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 Pagliaricci\Desktop\Arq\"/>
    </mc:Choice>
  </mc:AlternateContent>
  <xr:revisionPtr revIDLastSave="0" documentId="13_ncr:1_{564656B3-D80E-457A-ABA2-975BF804FB6B}" xr6:coauthVersionLast="47" xr6:coauthVersionMax="47" xr10:uidLastSave="{00000000-0000-0000-0000-000000000000}"/>
  <bookViews>
    <workbookView xWindow="-110" yWindow="-110" windowWidth="19420" windowHeight="11500" tabRatio="500" firstSheet="7" activeTab="8" xr2:uid="{00000000-000D-0000-FFFF-FFFF00000000}"/>
  </bookViews>
  <sheets>
    <sheet name="README" sheetId="1" r:id="rId1"/>
    <sheet name="CONFIG" sheetId="2" r:id="rId2"/>
    <sheet name="MATERIALES" sheetId="3" r:id="rId3"/>
    <sheet name="MANO_DE_OBRA" sheetId="4" r:id="rId4"/>
    <sheet name="EQUIPOS" sheetId="5" r:id="rId5"/>
    <sheet name="SUBCONTRATOS" sheetId="6" r:id="rId6"/>
    <sheet name="SUBCONTRATOS_PRY" sheetId="7" r:id="rId7"/>
    <sheet name="PARTIDAS" sheetId="8" r:id="rId8"/>
    <sheet name="COMPOSICIÓN" sheetId="9" r:id="rId9"/>
    <sheet name="PPTO_GENERADOR" sheetId="10" r:id="rId10"/>
    <sheet name="Sheet1" sheetId="19" r:id="rId11"/>
    <sheet name="CONSULTA_COMP" sheetId="11" r:id="rId12"/>
    <sheet name="CUADRILLA" sheetId="13" r:id="rId13"/>
    <sheet name="PLAN_ETAPA" sheetId="12" r:id="rId14"/>
    <sheet name="RQ_INPUT" sheetId="14" r:id="rId15"/>
    <sheet name="RQ_OUTPUT" sheetId="15" r:id="rId16"/>
    <sheet name="COLOR CODING REFERENCE" sheetId="16" r:id="rId17"/>
    <sheet name="_PLAN_STG" sheetId="17" r:id="rId18"/>
    <sheet name="_PLAN_LISTAS" sheetId="18" r:id="rId19"/>
  </sheets>
  <definedNames>
    <definedName name="_xlnm._FilterDatabase" localSheetId="17" hidden="1">_PLAN_STG!$A$1:$Q$1879</definedName>
    <definedName name="_xlnm._FilterDatabase" localSheetId="8" hidden="1">COMPOSICIÓN!$A$1:$R$1879</definedName>
    <definedName name="_xlnm._FilterDatabase" localSheetId="4" hidden="1">EQUIPOS!$A$1:$H$157</definedName>
    <definedName name="_xlnm._FilterDatabase" localSheetId="2" hidden="1">MATERIALES!$A$1:$J$345</definedName>
    <definedName name="_xlnm._FilterDatabase" localSheetId="7" hidden="1">PARTIDAS!$A$1:$R$269</definedName>
    <definedName name="_xlnm._FilterDatabase" localSheetId="9" hidden="1">PPTO_GENERADOR!$A$3:$AA$216</definedName>
    <definedName name="_xlnm._FilterDatabase" localSheetId="6" hidden="1">SUBCONTRATOS_PRY!$A$1:$F$139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79" i="9" l="1"/>
  <c r="R1878" i="9"/>
  <c r="R1877" i="9"/>
  <c r="R1876" i="9"/>
  <c r="R1875" i="9"/>
  <c r="R1874" i="9"/>
  <c r="R1873" i="9"/>
  <c r="R1872" i="9"/>
  <c r="R1871" i="9"/>
  <c r="R1870" i="9"/>
  <c r="R1869" i="9"/>
  <c r="R1868" i="9"/>
  <c r="R1867" i="9"/>
  <c r="R1866" i="9"/>
  <c r="R1865" i="9"/>
  <c r="R1864" i="9"/>
  <c r="R1863" i="9"/>
  <c r="R1862" i="9"/>
  <c r="R1861" i="9"/>
  <c r="R1860" i="9"/>
  <c r="R1859" i="9"/>
  <c r="R1858" i="9"/>
  <c r="R1857" i="9"/>
  <c r="R1856" i="9"/>
  <c r="R1855" i="9"/>
  <c r="R1854" i="9"/>
  <c r="R1853" i="9"/>
  <c r="R1852" i="9"/>
  <c r="R1851" i="9"/>
  <c r="R1850" i="9"/>
  <c r="R1849" i="9"/>
  <c r="R1848" i="9"/>
  <c r="R1847" i="9"/>
  <c r="R1846" i="9"/>
  <c r="R1845" i="9"/>
  <c r="R1844" i="9"/>
  <c r="R1843" i="9"/>
  <c r="R1842" i="9"/>
  <c r="R1841" i="9"/>
  <c r="R1840" i="9"/>
  <c r="R1839" i="9"/>
  <c r="R1838" i="9"/>
  <c r="R1837" i="9"/>
  <c r="R1836" i="9"/>
  <c r="R1835" i="9"/>
  <c r="R1834" i="9"/>
  <c r="R1833" i="9"/>
  <c r="R1832" i="9"/>
  <c r="R1831" i="9"/>
  <c r="R1830" i="9"/>
  <c r="R1829" i="9"/>
  <c r="R1828" i="9"/>
  <c r="R1827" i="9"/>
  <c r="R1826" i="9"/>
  <c r="R1825" i="9"/>
  <c r="R1824" i="9"/>
  <c r="R1823" i="9"/>
  <c r="R1822" i="9"/>
  <c r="R1821" i="9"/>
  <c r="R1820" i="9"/>
  <c r="R1819" i="9"/>
  <c r="R1818" i="9"/>
  <c r="R1817" i="9"/>
  <c r="R1816" i="9"/>
  <c r="R1815" i="9"/>
  <c r="R1814" i="9"/>
  <c r="R1813" i="9"/>
  <c r="R1812" i="9"/>
  <c r="R1811" i="9"/>
  <c r="R1810" i="9"/>
  <c r="R1809" i="9"/>
  <c r="R1808" i="9"/>
  <c r="R1807" i="9"/>
  <c r="R1806" i="9"/>
  <c r="R1805" i="9"/>
  <c r="R1804" i="9"/>
  <c r="R1803" i="9"/>
  <c r="R1802" i="9"/>
  <c r="R1801" i="9"/>
  <c r="R1800" i="9"/>
  <c r="R1799" i="9"/>
  <c r="R1798" i="9"/>
  <c r="R1797" i="9"/>
  <c r="R1796" i="9"/>
  <c r="R1795" i="9"/>
  <c r="R1794" i="9"/>
  <c r="R1793" i="9"/>
  <c r="R1792" i="9"/>
  <c r="R1791" i="9"/>
  <c r="R1790" i="9"/>
  <c r="R1789" i="9"/>
  <c r="R1788" i="9"/>
  <c r="R1787" i="9"/>
  <c r="R1786" i="9"/>
  <c r="R1785" i="9"/>
  <c r="R1784" i="9"/>
  <c r="R1783" i="9"/>
  <c r="R1782" i="9"/>
  <c r="R1781" i="9"/>
  <c r="R1780" i="9"/>
  <c r="R1779" i="9"/>
  <c r="R1778" i="9"/>
  <c r="R1777" i="9"/>
  <c r="R1776" i="9"/>
  <c r="R1775" i="9"/>
  <c r="R1774" i="9"/>
  <c r="R1773" i="9"/>
  <c r="R1772" i="9"/>
  <c r="R1771" i="9"/>
  <c r="R1770" i="9"/>
  <c r="R1769" i="9"/>
  <c r="R1768" i="9"/>
  <c r="R1767" i="9"/>
  <c r="R1766" i="9"/>
  <c r="R1765" i="9"/>
  <c r="R1764" i="9"/>
  <c r="R1763" i="9"/>
  <c r="R1762" i="9"/>
  <c r="R1761" i="9"/>
  <c r="R1760" i="9"/>
  <c r="R1759" i="9"/>
  <c r="R1758" i="9"/>
  <c r="R1757" i="9"/>
  <c r="R1756" i="9"/>
  <c r="R1755" i="9"/>
  <c r="R1754" i="9"/>
  <c r="R1753" i="9"/>
  <c r="R1752" i="9"/>
  <c r="R1751" i="9"/>
  <c r="R1750" i="9"/>
  <c r="R1749" i="9"/>
  <c r="R1748" i="9"/>
  <c r="R1747" i="9"/>
  <c r="R1746" i="9"/>
  <c r="R1745" i="9"/>
  <c r="R1744" i="9"/>
  <c r="R1743" i="9"/>
  <c r="R1742" i="9"/>
  <c r="R1741" i="9"/>
  <c r="R1740" i="9"/>
  <c r="R1739" i="9"/>
  <c r="R1738" i="9"/>
  <c r="R1737" i="9"/>
  <c r="R1736" i="9"/>
  <c r="R1735" i="9"/>
  <c r="R1734" i="9"/>
  <c r="R1733" i="9"/>
  <c r="R1732" i="9"/>
  <c r="R1731" i="9"/>
  <c r="R1730" i="9"/>
  <c r="R1729" i="9"/>
  <c r="R1728" i="9"/>
  <c r="R1727" i="9"/>
  <c r="R1726" i="9"/>
  <c r="R1725" i="9"/>
  <c r="R1724" i="9"/>
  <c r="R1723" i="9"/>
  <c r="R1722" i="9"/>
  <c r="R1721" i="9"/>
  <c r="R1720" i="9"/>
  <c r="R1719" i="9"/>
  <c r="R1718" i="9"/>
  <c r="R1717" i="9"/>
  <c r="R1716" i="9"/>
  <c r="R1715" i="9"/>
  <c r="R1714" i="9"/>
  <c r="R1713" i="9"/>
  <c r="R1712" i="9"/>
  <c r="R1711" i="9"/>
  <c r="R1710" i="9"/>
  <c r="R1709" i="9"/>
  <c r="R1708" i="9"/>
  <c r="R1707" i="9"/>
  <c r="R1706" i="9"/>
  <c r="R1705" i="9"/>
  <c r="R1704" i="9"/>
  <c r="R1703" i="9"/>
  <c r="R1702" i="9"/>
  <c r="R1701" i="9"/>
  <c r="R1700" i="9"/>
  <c r="R1699" i="9"/>
  <c r="R1698" i="9"/>
  <c r="R1697" i="9"/>
  <c r="R1696" i="9"/>
  <c r="R1695" i="9"/>
  <c r="R1694" i="9"/>
  <c r="R1693" i="9"/>
  <c r="R1692" i="9"/>
  <c r="R1691" i="9"/>
  <c r="R1690" i="9"/>
  <c r="R1689" i="9"/>
  <c r="R1688" i="9"/>
  <c r="R1687" i="9"/>
  <c r="R1686" i="9"/>
  <c r="R1685" i="9"/>
  <c r="R1684" i="9"/>
  <c r="R1683" i="9"/>
  <c r="R1682" i="9"/>
  <c r="R1681" i="9"/>
  <c r="R1680" i="9"/>
  <c r="R1679" i="9"/>
  <c r="R1678" i="9"/>
  <c r="R1677" i="9"/>
  <c r="R1676" i="9"/>
  <c r="R1675" i="9"/>
  <c r="R1674" i="9"/>
  <c r="R1673" i="9"/>
  <c r="R1672" i="9"/>
  <c r="R1671" i="9"/>
  <c r="R1670" i="9"/>
  <c r="R1669" i="9"/>
  <c r="R1668" i="9"/>
  <c r="R1667" i="9"/>
  <c r="R1666" i="9"/>
  <c r="R1665" i="9"/>
  <c r="R1664" i="9"/>
  <c r="R1663" i="9"/>
  <c r="R1662" i="9"/>
  <c r="R1661" i="9"/>
  <c r="R1660" i="9"/>
  <c r="R1659" i="9"/>
  <c r="R1658" i="9"/>
  <c r="R1657" i="9"/>
  <c r="R1656" i="9"/>
  <c r="R1655" i="9"/>
  <c r="R1654" i="9"/>
  <c r="R1653" i="9"/>
  <c r="R1652" i="9"/>
  <c r="R1651" i="9"/>
  <c r="R1650" i="9"/>
  <c r="R1649" i="9"/>
  <c r="R1648" i="9"/>
  <c r="R1647" i="9"/>
  <c r="R1646" i="9"/>
  <c r="R1645" i="9"/>
  <c r="R1644" i="9"/>
  <c r="R1643" i="9"/>
  <c r="R1642" i="9"/>
  <c r="R1641" i="9"/>
  <c r="R1640" i="9"/>
  <c r="R1639" i="9"/>
  <c r="R1638" i="9"/>
  <c r="R1637" i="9"/>
  <c r="R1636" i="9"/>
  <c r="R1635" i="9"/>
  <c r="R1634" i="9"/>
  <c r="R1633" i="9"/>
  <c r="R1632" i="9"/>
  <c r="R1631" i="9"/>
  <c r="R1630" i="9"/>
  <c r="R1629" i="9"/>
  <c r="R1628" i="9"/>
  <c r="R1627" i="9"/>
  <c r="R1626" i="9"/>
  <c r="R1625" i="9"/>
  <c r="R1624" i="9"/>
  <c r="R1623" i="9"/>
  <c r="R1622" i="9"/>
  <c r="R1621" i="9"/>
  <c r="R1620" i="9"/>
  <c r="R1619" i="9"/>
  <c r="R1618" i="9"/>
  <c r="R1617" i="9"/>
  <c r="R1616" i="9"/>
  <c r="R1615" i="9"/>
  <c r="R1614" i="9"/>
  <c r="R1613" i="9"/>
  <c r="R1612" i="9"/>
  <c r="R1611" i="9"/>
  <c r="R1610" i="9"/>
  <c r="R1609" i="9"/>
  <c r="R1608" i="9"/>
  <c r="R1607" i="9"/>
  <c r="R1606" i="9"/>
  <c r="R1605" i="9"/>
  <c r="R1604" i="9"/>
  <c r="R1603" i="9"/>
  <c r="R1602" i="9"/>
  <c r="R1601" i="9"/>
  <c r="R1600" i="9"/>
  <c r="R1599" i="9"/>
  <c r="R1598" i="9"/>
  <c r="R1597" i="9"/>
  <c r="R1596" i="9"/>
  <c r="R1595" i="9"/>
  <c r="R1594" i="9"/>
  <c r="R1593" i="9"/>
  <c r="R1592" i="9"/>
  <c r="R1591" i="9"/>
  <c r="R1590" i="9"/>
  <c r="R1589" i="9"/>
  <c r="R1588" i="9"/>
  <c r="R1587" i="9"/>
  <c r="R1586" i="9"/>
  <c r="R1585" i="9"/>
  <c r="R1584" i="9"/>
  <c r="R1583" i="9"/>
  <c r="R1582" i="9"/>
  <c r="R1581" i="9"/>
  <c r="R1580" i="9"/>
  <c r="R1579" i="9"/>
  <c r="R1578" i="9"/>
  <c r="R1577" i="9"/>
  <c r="R1576" i="9"/>
  <c r="R1575" i="9"/>
  <c r="R1574" i="9"/>
  <c r="R1573" i="9"/>
  <c r="R1572" i="9"/>
  <c r="R1571" i="9"/>
  <c r="R1570" i="9"/>
  <c r="R1569" i="9"/>
  <c r="R1568" i="9"/>
  <c r="R1567" i="9"/>
  <c r="R1566" i="9"/>
  <c r="R1565" i="9"/>
  <c r="R1564" i="9"/>
  <c r="R1563" i="9"/>
  <c r="R1562" i="9"/>
  <c r="R1561" i="9"/>
  <c r="R1560" i="9"/>
  <c r="R1559" i="9"/>
  <c r="R1558" i="9"/>
  <c r="R1557" i="9"/>
  <c r="R1556" i="9"/>
  <c r="R1555" i="9"/>
  <c r="R1554" i="9"/>
  <c r="R1553" i="9"/>
  <c r="R1552" i="9"/>
  <c r="R1551" i="9"/>
  <c r="R1550" i="9"/>
  <c r="R1549" i="9"/>
  <c r="R1548" i="9"/>
  <c r="R1547" i="9"/>
  <c r="R1546" i="9"/>
  <c r="R1545" i="9"/>
  <c r="R1544" i="9"/>
  <c r="R1543" i="9"/>
  <c r="R1542" i="9"/>
  <c r="R1541" i="9"/>
  <c r="R1540" i="9"/>
  <c r="R1539" i="9"/>
  <c r="R1538" i="9"/>
  <c r="R1537" i="9"/>
  <c r="R1536" i="9"/>
  <c r="R1535" i="9"/>
  <c r="R1534" i="9"/>
  <c r="R1533" i="9"/>
  <c r="R1532" i="9"/>
  <c r="R1531" i="9"/>
  <c r="R1530" i="9"/>
  <c r="R1529" i="9"/>
  <c r="R1528" i="9"/>
  <c r="R1527" i="9"/>
  <c r="R1526" i="9"/>
  <c r="R1525" i="9"/>
  <c r="R1524" i="9"/>
  <c r="R1523" i="9"/>
  <c r="R1522" i="9"/>
  <c r="R1521" i="9"/>
  <c r="R1520" i="9"/>
  <c r="R1519" i="9"/>
  <c r="R1518" i="9"/>
  <c r="R1517" i="9"/>
  <c r="R1516" i="9"/>
  <c r="R1515" i="9"/>
  <c r="R1514" i="9"/>
  <c r="R1513" i="9"/>
  <c r="R1512" i="9"/>
  <c r="R1511" i="9"/>
  <c r="R1510" i="9"/>
  <c r="R1509" i="9"/>
  <c r="R1508" i="9"/>
  <c r="R1507" i="9"/>
  <c r="R1506" i="9"/>
  <c r="R1505" i="9"/>
  <c r="R1504" i="9"/>
  <c r="R1503" i="9"/>
  <c r="R1502" i="9"/>
  <c r="R1501" i="9"/>
  <c r="R1500" i="9"/>
  <c r="R1499" i="9"/>
  <c r="R1498" i="9"/>
  <c r="R1497" i="9"/>
  <c r="R1496" i="9"/>
  <c r="R1495" i="9"/>
  <c r="R1494" i="9"/>
  <c r="R1493" i="9"/>
  <c r="R1492" i="9"/>
  <c r="R1491" i="9"/>
  <c r="R1490" i="9"/>
  <c r="R1489" i="9"/>
  <c r="R1488" i="9"/>
  <c r="R1487" i="9"/>
  <c r="R1486" i="9"/>
  <c r="R1485" i="9"/>
  <c r="R1484" i="9"/>
  <c r="R1483" i="9"/>
  <c r="R1482" i="9"/>
  <c r="R1481" i="9"/>
  <c r="R1480" i="9"/>
  <c r="R1479" i="9"/>
  <c r="R1478" i="9"/>
  <c r="R1477" i="9"/>
  <c r="R1476" i="9"/>
  <c r="R1475" i="9"/>
  <c r="R1474" i="9"/>
  <c r="R1473" i="9"/>
  <c r="R1472" i="9"/>
  <c r="R1471" i="9"/>
  <c r="R1470" i="9"/>
  <c r="R1469" i="9"/>
  <c r="R1468" i="9"/>
  <c r="R1467" i="9"/>
  <c r="R1466" i="9"/>
  <c r="R1465" i="9"/>
  <c r="R1464" i="9"/>
  <c r="R1463" i="9"/>
  <c r="R1462" i="9"/>
  <c r="R1461" i="9"/>
  <c r="R1460" i="9"/>
  <c r="R1459" i="9"/>
  <c r="R1458" i="9"/>
  <c r="R1457" i="9"/>
  <c r="R1456" i="9"/>
  <c r="R1455" i="9"/>
  <c r="R1454" i="9"/>
  <c r="R1453" i="9"/>
  <c r="R1452" i="9"/>
  <c r="R1451" i="9"/>
  <c r="R1450" i="9"/>
  <c r="R1449" i="9"/>
  <c r="R1448" i="9"/>
  <c r="R1447" i="9"/>
  <c r="R1446" i="9"/>
  <c r="R1445" i="9"/>
  <c r="R1444" i="9"/>
  <c r="R1443" i="9"/>
  <c r="R1442" i="9"/>
  <c r="R1441" i="9"/>
  <c r="R1440" i="9"/>
  <c r="R1439" i="9"/>
  <c r="R1438" i="9"/>
  <c r="R1437" i="9"/>
  <c r="R1436" i="9"/>
  <c r="R1435" i="9"/>
  <c r="R1434" i="9"/>
  <c r="R1433" i="9"/>
  <c r="R1432" i="9"/>
  <c r="R1431" i="9"/>
  <c r="R1430" i="9"/>
  <c r="R1429" i="9"/>
  <c r="R1428" i="9"/>
  <c r="R1427" i="9"/>
  <c r="R1426" i="9"/>
  <c r="R1425" i="9"/>
  <c r="R1424" i="9"/>
  <c r="R1423" i="9"/>
  <c r="R1422" i="9"/>
  <c r="R1421" i="9"/>
  <c r="R1420" i="9"/>
  <c r="R1419" i="9"/>
  <c r="R1418" i="9"/>
  <c r="R1417" i="9"/>
  <c r="R1416" i="9"/>
  <c r="R1415" i="9"/>
  <c r="R1414" i="9"/>
  <c r="R1413" i="9"/>
  <c r="R1412" i="9"/>
  <c r="R1411" i="9"/>
  <c r="R1410" i="9"/>
  <c r="R1409" i="9"/>
  <c r="R1408" i="9"/>
  <c r="R1407" i="9"/>
  <c r="R1406" i="9"/>
  <c r="R1405" i="9"/>
  <c r="R1404" i="9"/>
  <c r="R1403" i="9"/>
  <c r="R1402" i="9"/>
  <c r="R1401" i="9"/>
  <c r="R1400" i="9"/>
  <c r="R1399" i="9"/>
  <c r="R1398" i="9"/>
  <c r="R1397" i="9"/>
  <c r="R1396" i="9"/>
  <c r="R1395" i="9"/>
  <c r="R1394" i="9"/>
  <c r="R1393" i="9"/>
  <c r="R1392" i="9"/>
  <c r="R1391" i="9"/>
  <c r="R1390" i="9"/>
  <c r="R1389" i="9"/>
  <c r="R1388" i="9"/>
  <c r="R1387" i="9"/>
  <c r="R1386" i="9"/>
  <c r="R1385" i="9"/>
  <c r="R1384" i="9"/>
  <c r="R1383" i="9"/>
  <c r="R1382" i="9"/>
  <c r="R1381" i="9"/>
  <c r="R1380" i="9"/>
  <c r="R1379" i="9"/>
  <c r="R1378" i="9"/>
  <c r="R1377" i="9"/>
  <c r="R1376" i="9"/>
  <c r="R1375" i="9"/>
  <c r="R1374" i="9"/>
  <c r="R1373" i="9"/>
  <c r="R1372" i="9"/>
  <c r="R1371" i="9"/>
  <c r="R1370" i="9"/>
  <c r="R1369" i="9"/>
  <c r="R1368" i="9"/>
  <c r="R1367" i="9"/>
  <c r="R1366" i="9"/>
  <c r="R1365" i="9"/>
  <c r="R1364" i="9"/>
  <c r="R1363" i="9"/>
  <c r="R1362" i="9"/>
  <c r="R1361" i="9"/>
  <c r="R1360" i="9"/>
  <c r="R1359" i="9"/>
  <c r="R1358" i="9"/>
  <c r="R1357" i="9"/>
  <c r="R1356" i="9"/>
  <c r="R1355" i="9"/>
  <c r="R1354" i="9"/>
  <c r="R1353" i="9"/>
  <c r="R1352" i="9"/>
  <c r="R1351" i="9"/>
  <c r="R1350" i="9"/>
  <c r="R1349" i="9"/>
  <c r="R1348" i="9"/>
  <c r="R1347" i="9"/>
  <c r="R1346" i="9"/>
  <c r="R1345" i="9"/>
  <c r="R1344" i="9"/>
  <c r="R1343" i="9"/>
  <c r="R1342" i="9"/>
  <c r="R1341" i="9"/>
  <c r="R1340" i="9"/>
  <c r="R1339" i="9"/>
  <c r="R1338" i="9"/>
  <c r="R1337" i="9"/>
  <c r="R1336" i="9"/>
  <c r="R1335" i="9"/>
  <c r="R1334" i="9"/>
  <c r="R1333" i="9"/>
  <c r="R1332" i="9"/>
  <c r="R1331" i="9"/>
  <c r="R1330" i="9"/>
  <c r="R1329" i="9"/>
  <c r="R1328" i="9"/>
  <c r="R1327" i="9"/>
  <c r="R1326" i="9"/>
  <c r="R1325" i="9"/>
  <c r="R1324" i="9"/>
  <c r="R1323" i="9"/>
  <c r="R1322" i="9"/>
  <c r="R1321" i="9"/>
  <c r="R1320" i="9"/>
  <c r="R1319" i="9"/>
  <c r="R1318" i="9"/>
  <c r="R1317" i="9"/>
  <c r="R1316" i="9"/>
  <c r="R1315" i="9"/>
  <c r="R1314" i="9"/>
  <c r="R1313" i="9"/>
  <c r="R1312" i="9"/>
  <c r="R1311" i="9"/>
  <c r="R1310" i="9"/>
  <c r="R1309" i="9"/>
  <c r="R1308" i="9"/>
  <c r="R1307" i="9"/>
  <c r="R1306" i="9"/>
  <c r="R1305" i="9"/>
  <c r="R1304" i="9"/>
  <c r="R1303" i="9"/>
  <c r="R1302" i="9"/>
  <c r="R1301" i="9"/>
  <c r="R1300" i="9"/>
  <c r="R1299" i="9"/>
  <c r="R1298" i="9"/>
  <c r="R1297" i="9"/>
  <c r="R1296" i="9"/>
  <c r="R1295" i="9"/>
  <c r="R1294" i="9"/>
  <c r="R1293" i="9"/>
  <c r="R1292" i="9"/>
  <c r="R1291" i="9"/>
  <c r="R1290" i="9"/>
  <c r="R1289" i="9"/>
  <c r="R1288" i="9"/>
  <c r="R1287" i="9"/>
  <c r="R1286" i="9"/>
  <c r="R1285" i="9"/>
  <c r="R1284" i="9"/>
  <c r="R1283" i="9"/>
  <c r="R1282" i="9"/>
  <c r="R1281" i="9"/>
  <c r="R1280" i="9"/>
  <c r="R1279" i="9"/>
  <c r="R1278" i="9"/>
  <c r="R1277" i="9"/>
  <c r="R1276" i="9"/>
  <c r="R1275" i="9"/>
  <c r="R1274" i="9"/>
  <c r="R1273" i="9"/>
  <c r="R1272" i="9"/>
  <c r="R1271" i="9"/>
  <c r="R1270" i="9"/>
  <c r="R1269" i="9"/>
  <c r="R1268" i="9"/>
  <c r="R1267" i="9"/>
  <c r="R1266" i="9"/>
  <c r="R1265" i="9"/>
  <c r="R1264" i="9"/>
  <c r="R1263" i="9"/>
  <c r="R1262" i="9"/>
  <c r="R1261" i="9"/>
  <c r="R1260" i="9"/>
  <c r="R1259" i="9"/>
  <c r="R1258" i="9"/>
  <c r="R1257" i="9"/>
  <c r="R1256" i="9"/>
  <c r="R1255" i="9"/>
  <c r="R1254" i="9"/>
  <c r="R1253" i="9"/>
  <c r="R1252" i="9"/>
  <c r="R1251" i="9"/>
  <c r="R1250" i="9"/>
  <c r="R1249" i="9"/>
  <c r="R1248" i="9"/>
  <c r="R1247" i="9"/>
  <c r="R1246" i="9"/>
  <c r="R1245" i="9"/>
  <c r="R1244" i="9"/>
  <c r="R1243" i="9"/>
  <c r="R1242" i="9"/>
  <c r="R1241" i="9"/>
  <c r="R1240" i="9"/>
  <c r="R1239" i="9"/>
  <c r="R1238" i="9"/>
  <c r="R1237" i="9"/>
  <c r="R1236" i="9"/>
  <c r="R1235" i="9"/>
  <c r="R1234" i="9"/>
  <c r="R1233" i="9"/>
  <c r="R1232" i="9"/>
  <c r="R1231" i="9"/>
  <c r="R1230" i="9"/>
  <c r="R1229" i="9"/>
  <c r="R1228" i="9"/>
  <c r="R1227" i="9"/>
  <c r="R1226" i="9"/>
  <c r="R1225" i="9"/>
  <c r="R1224" i="9"/>
  <c r="R1223" i="9"/>
  <c r="R1222" i="9"/>
  <c r="R1221" i="9"/>
  <c r="R1220" i="9"/>
  <c r="R1219" i="9"/>
  <c r="R1218" i="9"/>
  <c r="R1217" i="9"/>
  <c r="R1216" i="9"/>
  <c r="R1215" i="9"/>
  <c r="R1214" i="9"/>
  <c r="R1213" i="9"/>
  <c r="R1212" i="9"/>
  <c r="R1211" i="9"/>
  <c r="R1210" i="9"/>
  <c r="R1209" i="9"/>
  <c r="R1208" i="9"/>
  <c r="R1207" i="9"/>
  <c r="R1206" i="9"/>
  <c r="R1205" i="9"/>
  <c r="R1204" i="9"/>
  <c r="R1203" i="9"/>
  <c r="R1202" i="9"/>
  <c r="R1201" i="9"/>
  <c r="R1200" i="9"/>
  <c r="R1199" i="9"/>
  <c r="R1198" i="9"/>
  <c r="R1197" i="9"/>
  <c r="R1196" i="9"/>
  <c r="R1195" i="9"/>
  <c r="R1194" i="9"/>
  <c r="R1193" i="9"/>
  <c r="R1192" i="9"/>
  <c r="R1191" i="9"/>
  <c r="R1190" i="9"/>
  <c r="R1189" i="9"/>
  <c r="R1188" i="9"/>
  <c r="R1187" i="9"/>
  <c r="R1186" i="9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9" i="9"/>
  <c r="R1138" i="9"/>
  <c r="R1137" i="9"/>
  <c r="R1136" i="9"/>
  <c r="R1135" i="9"/>
  <c r="R1134" i="9"/>
  <c r="R1133" i="9"/>
  <c r="R1132" i="9"/>
  <c r="R1131" i="9"/>
  <c r="R1130" i="9"/>
  <c r="R1129" i="9"/>
  <c r="R1128" i="9"/>
  <c r="R1127" i="9"/>
  <c r="R1126" i="9"/>
  <c r="R1125" i="9"/>
  <c r="R1124" i="9"/>
  <c r="R1123" i="9"/>
  <c r="R1122" i="9"/>
  <c r="R1121" i="9"/>
  <c r="R1120" i="9"/>
  <c r="R1119" i="9"/>
  <c r="R1118" i="9"/>
  <c r="R1117" i="9"/>
  <c r="R1116" i="9"/>
  <c r="R1115" i="9"/>
  <c r="R1114" i="9"/>
  <c r="R1113" i="9"/>
  <c r="R1112" i="9"/>
  <c r="R1111" i="9"/>
  <c r="R1110" i="9"/>
  <c r="R1109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9" i="9"/>
  <c r="R1038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8" i="9"/>
  <c r="R1007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1" i="9"/>
  <c r="R950" i="9"/>
  <c r="R949" i="9"/>
  <c r="R948" i="9"/>
  <c r="R947" i="9"/>
  <c r="R946" i="9"/>
  <c r="R945" i="9"/>
  <c r="R944" i="9"/>
  <c r="R943" i="9"/>
  <c r="R942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5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6" i="9"/>
  <c r="R825" i="9"/>
  <c r="R824" i="9"/>
  <c r="R823" i="9"/>
  <c r="R822" i="9"/>
  <c r="R821" i="9"/>
  <c r="R820" i="9"/>
  <c r="R819" i="9"/>
  <c r="R818" i="9"/>
  <c r="R817" i="9"/>
  <c r="R816" i="9"/>
  <c r="R815" i="9"/>
  <c r="R814" i="9"/>
  <c r="R813" i="9"/>
  <c r="R812" i="9"/>
  <c r="R811" i="9"/>
  <c r="R810" i="9"/>
  <c r="R809" i="9"/>
  <c r="R808" i="9"/>
  <c r="R807" i="9"/>
  <c r="R806" i="9"/>
  <c r="R805" i="9"/>
  <c r="R804" i="9"/>
  <c r="R803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4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8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P1879" i="9" l="1"/>
  <c r="P1878" i="9"/>
  <c r="P1877" i="9"/>
  <c r="P1876" i="9"/>
  <c r="P1875" i="9"/>
  <c r="P1874" i="9"/>
  <c r="P1873" i="9"/>
  <c r="P1872" i="9"/>
  <c r="P1871" i="9"/>
  <c r="P1870" i="9"/>
  <c r="P1869" i="9"/>
  <c r="P1868" i="9"/>
  <c r="P1867" i="9"/>
  <c r="P1866" i="9"/>
  <c r="P1865" i="9"/>
  <c r="P1864" i="9"/>
  <c r="P1863" i="9"/>
  <c r="P1862" i="9"/>
  <c r="P1861" i="9"/>
  <c r="P1860" i="9"/>
  <c r="P1859" i="9"/>
  <c r="P1858" i="9"/>
  <c r="P1857" i="9"/>
  <c r="P1856" i="9"/>
  <c r="P1855" i="9"/>
  <c r="P1854" i="9"/>
  <c r="P1853" i="9"/>
  <c r="P1852" i="9"/>
  <c r="P1851" i="9"/>
  <c r="P1850" i="9"/>
  <c r="P1849" i="9"/>
  <c r="P1848" i="9"/>
  <c r="Q1848" i="9" s="1"/>
  <c r="P1847" i="9"/>
  <c r="P1846" i="9"/>
  <c r="P1845" i="9"/>
  <c r="P1844" i="9"/>
  <c r="P1843" i="9"/>
  <c r="P1842" i="9"/>
  <c r="P1841" i="9"/>
  <c r="P1840" i="9"/>
  <c r="P1839" i="9"/>
  <c r="P1838" i="9"/>
  <c r="P1837" i="9"/>
  <c r="P1836" i="9"/>
  <c r="P1835" i="9"/>
  <c r="P1834" i="9"/>
  <c r="P1833" i="9"/>
  <c r="P1832" i="9"/>
  <c r="P1831" i="9"/>
  <c r="P1830" i="9"/>
  <c r="P1829" i="9"/>
  <c r="P1828" i="9"/>
  <c r="P1827" i="9"/>
  <c r="P1826" i="9"/>
  <c r="P1825" i="9"/>
  <c r="P1824" i="9"/>
  <c r="P1823" i="9"/>
  <c r="P1822" i="9"/>
  <c r="P1821" i="9"/>
  <c r="P1820" i="9"/>
  <c r="P1819" i="9"/>
  <c r="P1818" i="9"/>
  <c r="P1817" i="9"/>
  <c r="P1816" i="9"/>
  <c r="P1815" i="9"/>
  <c r="P1814" i="9"/>
  <c r="P1813" i="9"/>
  <c r="P1812" i="9"/>
  <c r="P1811" i="9"/>
  <c r="P1810" i="9"/>
  <c r="P1809" i="9"/>
  <c r="P1808" i="9"/>
  <c r="P1807" i="9"/>
  <c r="P1806" i="9"/>
  <c r="P1805" i="9"/>
  <c r="P1804" i="9"/>
  <c r="P1803" i="9"/>
  <c r="P1802" i="9"/>
  <c r="P1801" i="9"/>
  <c r="P1800" i="9"/>
  <c r="P1799" i="9"/>
  <c r="P1798" i="9"/>
  <c r="P1797" i="9"/>
  <c r="P1796" i="9"/>
  <c r="P1795" i="9"/>
  <c r="P1794" i="9"/>
  <c r="P1793" i="9"/>
  <c r="P1792" i="9"/>
  <c r="P1791" i="9"/>
  <c r="P1790" i="9"/>
  <c r="P1789" i="9"/>
  <c r="P1788" i="9"/>
  <c r="P1787" i="9"/>
  <c r="P1786" i="9"/>
  <c r="P1785" i="9"/>
  <c r="P1784" i="9"/>
  <c r="P1783" i="9"/>
  <c r="P1782" i="9"/>
  <c r="P1781" i="9"/>
  <c r="P1780" i="9"/>
  <c r="P1779" i="9"/>
  <c r="P1778" i="9"/>
  <c r="P1777" i="9"/>
  <c r="P1776" i="9"/>
  <c r="P1775" i="9"/>
  <c r="P1774" i="9"/>
  <c r="P1773" i="9"/>
  <c r="P1772" i="9"/>
  <c r="P1771" i="9"/>
  <c r="P1770" i="9"/>
  <c r="P1769" i="9"/>
  <c r="P1768" i="9"/>
  <c r="P1767" i="9"/>
  <c r="P1766" i="9"/>
  <c r="P1765" i="9"/>
  <c r="P1764" i="9"/>
  <c r="P1763" i="9"/>
  <c r="P1762" i="9"/>
  <c r="P1761" i="9"/>
  <c r="P1760" i="9"/>
  <c r="P1759" i="9"/>
  <c r="P1758" i="9"/>
  <c r="P1757" i="9"/>
  <c r="P1756" i="9"/>
  <c r="P1755" i="9"/>
  <c r="P1754" i="9"/>
  <c r="P1753" i="9"/>
  <c r="P1752" i="9"/>
  <c r="P1751" i="9"/>
  <c r="P1750" i="9"/>
  <c r="P1749" i="9"/>
  <c r="P1748" i="9"/>
  <c r="P1747" i="9"/>
  <c r="P1746" i="9"/>
  <c r="P1745" i="9"/>
  <c r="P1744" i="9"/>
  <c r="P1743" i="9"/>
  <c r="P1742" i="9"/>
  <c r="P1741" i="9"/>
  <c r="P1740" i="9"/>
  <c r="P1739" i="9"/>
  <c r="P1738" i="9"/>
  <c r="P1737" i="9"/>
  <c r="P1736" i="9"/>
  <c r="P1735" i="9"/>
  <c r="P1734" i="9"/>
  <c r="P1733" i="9"/>
  <c r="P1732" i="9"/>
  <c r="P1731" i="9"/>
  <c r="P1730" i="9"/>
  <c r="P1729" i="9"/>
  <c r="P1728" i="9"/>
  <c r="P1727" i="9"/>
  <c r="P1726" i="9"/>
  <c r="P1725" i="9"/>
  <c r="P1724" i="9"/>
  <c r="P1723" i="9"/>
  <c r="P1722" i="9"/>
  <c r="P1721" i="9"/>
  <c r="P1720" i="9"/>
  <c r="P1719" i="9"/>
  <c r="P1718" i="9"/>
  <c r="P1717" i="9"/>
  <c r="P1716" i="9"/>
  <c r="P1715" i="9"/>
  <c r="P1714" i="9"/>
  <c r="P1713" i="9"/>
  <c r="P1712" i="9"/>
  <c r="P1711" i="9"/>
  <c r="P1710" i="9"/>
  <c r="P1709" i="9"/>
  <c r="P1708" i="9"/>
  <c r="P1707" i="9"/>
  <c r="P1706" i="9"/>
  <c r="P1705" i="9"/>
  <c r="P1704" i="9"/>
  <c r="P1703" i="9"/>
  <c r="P1702" i="9"/>
  <c r="P1701" i="9"/>
  <c r="P1700" i="9"/>
  <c r="P1699" i="9"/>
  <c r="P1698" i="9"/>
  <c r="P1697" i="9"/>
  <c r="P1696" i="9"/>
  <c r="P1695" i="9"/>
  <c r="P1694" i="9"/>
  <c r="P1693" i="9"/>
  <c r="P1692" i="9"/>
  <c r="P1691" i="9"/>
  <c r="P1690" i="9"/>
  <c r="P1689" i="9"/>
  <c r="P1688" i="9"/>
  <c r="P1687" i="9"/>
  <c r="P1686" i="9"/>
  <c r="P1685" i="9"/>
  <c r="P1684" i="9"/>
  <c r="P1683" i="9"/>
  <c r="P1682" i="9"/>
  <c r="P1681" i="9"/>
  <c r="P1680" i="9"/>
  <c r="P1679" i="9"/>
  <c r="P1678" i="9"/>
  <c r="P1677" i="9"/>
  <c r="P1676" i="9"/>
  <c r="P1675" i="9"/>
  <c r="P1674" i="9"/>
  <c r="P1673" i="9"/>
  <c r="P1672" i="9"/>
  <c r="P1671" i="9"/>
  <c r="P1670" i="9"/>
  <c r="P1669" i="9"/>
  <c r="P1668" i="9"/>
  <c r="P1667" i="9"/>
  <c r="P1666" i="9"/>
  <c r="P1665" i="9"/>
  <c r="P1664" i="9"/>
  <c r="P1663" i="9"/>
  <c r="P1662" i="9"/>
  <c r="P1661" i="9"/>
  <c r="P1660" i="9"/>
  <c r="P1659" i="9"/>
  <c r="P1658" i="9"/>
  <c r="P1657" i="9"/>
  <c r="P1656" i="9"/>
  <c r="P1655" i="9"/>
  <c r="P1654" i="9"/>
  <c r="P1653" i="9"/>
  <c r="P1652" i="9"/>
  <c r="P1651" i="9"/>
  <c r="P1650" i="9"/>
  <c r="P1649" i="9"/>
  <c r="P1648" i="9"/>
  <c r="P1647" i="9"/>
  <c r="P1646" i="9"/>
  <c r="P1645" i="9"/>
  <c r="P1644" i="9"/>
  <c r="P1643" i="9"/>
  <c r="P1642" i="9"/>
  <c r="P1641" i="9"/>
  <c r="P1640" i="9"/>
  <c r="P1639" i="9"/>
  <c r="P1638" i="9"/>
  <c r="P1637" i="9"/>
  <c r="P1636" i="9"/>
  <c r="P1635" i="9"/>
  <c r="P1634" i="9"/>
  <c r="P1633" i="9"/>
  <c r="P1632" i="9"/>
  <c r="P1631" i="9"/>
  <c r="P1630" i="9"/>
  <c r="P1629" i="9"/>
  <c r="P1628" i="9"/>
  <c r="P1627" i="9"/>
  <c r="P1626" i="9"/>
  <c r="P1625" i="9"/>
  <c r="P1624" i="9"/>
  <c r="P1623" i="9"/>
  <c r="P1622" i="9"/>
  <c r="P1621" i="9"/>
  <c r="P1620" i="9"/>
  <c r="P1619" i="9"/>
  <c r="P1618" i="9"/>
  <c r="P1617" i="9"/>
  <c r="P1616" i="9"/>
  <c r="P1615" i="9"/>
  <c r="P1614" i="9"/>
  <c r="P1613" i="9"/>
  <c r="P1612" i="9"/>
  <c r="P1611" i="9"/>
  <c r="P1610" i="9"/>
  <c r="P1609" i="9"/>
  <c r="P1608" i="9"/>
  <c r="P1607" i="9"/>
  <c r="P1606" i="9"/>
  <c r="P1605" i="9"/>
  <c r="P1604" i="9"/>
  <c r="P1603" i="9"/>
  <c r="P1602" i="9"/>
  <c r="P1601" i="9"/>
  <c r="P1600" i="9"/>
  <c r="P1599" i="9"/>
  <c r="P1598" i="9"/>
  <c r="P1597" i="9"/>
  <c r="P1596" i="9"/>
  <c r="P1595" i="9"/>
  <c r="P1594" i="9"/>
  <c r="P1593" i="9"/>
  <c r="P1592" i="9"/>
  <c r="P1591" i="9"/>
  <c r="P1590" i="9"/>
  <c r="P1589" i="9"/>
  <c r="P1588" i="9"/>
  <c r="P1587" i="9"/>
  <c r="P1586" i="9"/>
  <c r="P1585" i="9"/>
  <c r="P1584" i="9"/>
  <c r="P1583" i="9"/>
  <c r="P1582" i="9"/>
  <c r="P1581" i="9"/>
  <c r="P1580" i="9"/>
  <c r="P1579" i="9"/>
  <c r="P1578" i="9"/>
  <c r="P1577" i="9"/>
  <c r="P1576" i="9"/>
  <c r="P1575" i="9"/>
  <c r="P1574" i="9"/>
  <c r="P1573" i="9"/>
  <c r="P1572" i="9"/>
  <c r="P1571" i="9"/>
  <c r="P1570" i="9"/>
  <c r="P1569" i="9"/>
  <c r="P1568" i="9"/>
  <c r="P1567" i="9"/>
  <c r="P1566" i="9"/>
  <c r="P1565" i="9"/>
  <c r="P1564" i="9"/>
  <c r="P1563" i="9"/>
  <c r="P1562" i="9"/>
  <c r="P1561" i="9"/>
  <c r="P1560" i="9"/>
  <c r="P1559" i="9"/>
  <c r="P1558" i="9"/>
  <c r="P1557" i="9"/>
  <c r="P1556" i="9"/>
  <c r="P1555" i="9"/>
  <c r="P1554" i="9"/>
  <c r="P1553" i="9"/>
  <c r="P1552" i="9"/>
  <c r="P1551" i="9"/>
  <c r="P1550" i="9"/>
  <c r="P1549" i="9"/>
  <c r="P1548" i="9"/>
  <c r="P1547" i="9"/>
  <c r="P1546" i="9"/>
  <c r="P1545" i="9"/>
  <c r="P1544" i="9"/>
  <c r="P1543" i="9"/>
  <c r="P1542" i="9"/>
  <c r="P1541" i="9"/>
  <c r="P1540" i="9"/>
  <c r="P1539" i="9"/>
  <c r="P1538" i="9"/>
  <c r="P1537" i="9"/>
  <c r="P1536" i="9"/>
  <c r="P1535" i="9"/>
  <c r="P1534" i="9"/>
  <c r="P1533" i="9"/>
  <c r="P1532" i="9"/>
  <c r="P1531" i="9"/>
  <c r="P1530" i="9"/>
  <c r="P1529" i="9"/>
  <c r="P1528" i="9"/>
  <c r="P1527" i="9"/>
  <c r="P1526" i="9"/>
  <c r="P1525" i="9"/>
  <c r="P1524" i="9"/>
  <c r="P1523" i="9"/>
  <c r="P1522" i="9"/>
  <c r="P1521" i="9"/>
  <c r="P1520" i="9"/>
  <c r="P1519" i="9"/>
  <c r="P1518" i="9"/>
  <c r="P1517" i="9"/>
  <c r="P1516" i="9"/>
  <c r="P1515" i="9"/>
  <c r="P1514" i="9"/>
  <c r="P1513" i="9"/>
  <c r="P1512" i="9"/>
  <c r="P1511" i="9"/>
  <c r="P1510" i="9"/>
  <c r="P1509" i="9"/>
  <c r="P1508" i="9"/>
  <c r="P1507" i="9"/>
  <c r="P1506" i="9"/>
  <c r="P1505" i="9"/>
  <c r="P1504" i="9"/>
  <c r="P1503" i="9"/>
  <c r="P1502" i="9"/>
  <c r="P1501" i="9"/>
  <c r="P1500" i="9"/>
  <c r="P1499" i="9"/>
  <c r="P1498" i="9"/>
  <c r="P1497" i="9"/>
  <c r="P1496" i="9"/>
  <c r="P1495" i="9"/>
  <c r="P1494" i="9"/>
  <c r="P1493" i="9"/>
  <c r="P1492" i="9"/>
  <c r="P1491" i="9"/>
  <c r="P1490" i="9"/>
  <c r="P1489" i="9"/>
  <c r="P1488" i="9"/>
  <c r="P1487" i="9"/>
  <c r="P1486" i="9"/>
  <c r="P1485" i="9"/>
  <c r="P1484" i="9"/>
  <c r="P1483" i="9"/>
  <c r="P1482" i="9"/>
  <c r="P1481" i="9"/>
  <c r="P1480" i="9"/>
  <c r="P1479" i="9"/>
  <c r="P1478" i="9"/>
  <c r="P1477" i="9"/>
  <c r="P1476" i="9"/>
  <c r="P1475" i="9"/>
  <c r="Q1475" i="9" s="1"/>
  <c r="P1474" i="9"/>
  <c r="P1473" i="9"/>
  <c r="P1472" i="9"/>
  <c r="P1471" i="9"/>
  <c r="P1470" i="9"/>
  <c r="P1469" i="9"/>
  <c r="P1468" i="9"/>
  <c r="P1467" i="9"/>
  <c r="P1466" i="9"/>
  <c r="P1465" i="9"/>
  <c r="P1464" i="9"/>
  <c r="P1463" i="9"/>
  <c r="P1462" i="9"/>
  <c r="P1461" i="9"/>
  <c r="P1460" i="9"/>
  <c r="P1459" i="9"/>
  <c r="P1458" i="9"/>
  <c r="P1457" i="9"/>
  <c r="P1456" i="9"/>
  <c r="P1455" i="9"/>
  <c r="P1454" i="9"/>
  <c r="P1453" i="9"/>
  <c r="P1452" i="9"/>
  <c r="P1451" i="9"/>
  <c r="P1450" i="9"/>
  <c r="P1449" i="9"/>
  <c r="P1448" i="9"/>
  <c r="P1447" i="9"/>
  <c r="P1446" i="9"/>
  <c r="P1445" i="9"/>
  <c r="P1444" i="9"/>
  <c r="P1443" i="9"/>
  <c r="Q1443" i="9" s="1"/>
  <c r="P1442" i="9"/>
  <c r="P1441" i="9"/>
  <c r="P1440" i="9"/>
  <c r="P1439" i="9"/>
  <c r="P1438" i="9"/>
  <c r="P1437" i="9"/>
  <c r="P1436" i="9"/>
  <c r="P1435" i="9"/>
  <c r="P1434" i="9"/>
  <c r="P1433" i="9"/>
  <c r="P1432" i="9"/>
  <c r="P1431" i="9"/>
  <c r="P1430" i="9"/>
  <c r="P1429" i="9"/>
  <c r="P1428" i="9"/>
  <c r="P1427" i="9"/>
  <c r="P1426" i="9"/>
  <c r="P1425" i="9"/>
  <c r="P1424" i="9"/>
  <c r="P1423" i="9"/>
  <c r="P1422" i="9"/>
  <c r="P1421" i="9"/>
  <c r="P1420" i="9"/>
  <c r="P1419" i="9"/>
  <c r="P1418" i="9"/>
  <c r="P1417" i="9"/>
  <c r="P1416" i="9"/>
  <c r="Q1416" i="9" s="1"/>
  <c r="P1415" i="9"/>
  <c r="P1414" i="9"/>
  <c r="Q1414" i="9" s="1"/>
  <c r="P1413" i="9"/>
  <c r="P1412" i="9"/>
  <c r="P1411" i="9"/>
  <c r="P1410" i="9"/>
  <c r="P1409" i="9"/>
  <c r="P1408" i="9"/>
  <c r="P1407" i="9"/>
  <c r="P1406" i="9"/>
  <c r="P1405" i="9"/>
  <c r="P1404" i="9"/>
  <c r="P1403" i="9"/>
  <c r="P1402" i="9"/>
  <c r="P1401" i="9"/>
  <c r="P1400" i="9"/>
  <c r="P1399" i="9"/>
  <c r="P1398" i="9"/>
  <c r="P1397" i="9"/>
  <c r="P1396" i="9"/>
  <c r="P1395" i="9"/>
  <c r="P1394" i="9"/>
  <c r="P1393" i="9"/>
  <c r="P1392" i="9"/>
  <c r="P1391" i="9"/>
  <c r="P1390" i="9"/>
  <c r="P1389" i="9"/>
  <c r="P1388" i="9"/>
  <c r="P1387" i="9"/>
  <c r="P1386" i="9"/>
  <c r="P1385" i="9"/>
  <c r="P1384" i="9"/>
  <c r="P1383" i="9"/>
  <c r="P1382" i="9"/>
  <c r="P1381" i="9"/>
  <c r="P1380" i="9"/>
  <c r="P1379" i="9"/>
  <c r="P1378" i="9"/>
  <c r="P1377" i="9"/>
  <c r="P1376" i="9"/>
  <c r="P1375" i="9"/>
  <c r="P1374" i="9"/>
  <c r="P1373" i="9"/>
  <c r="P1372" i="9"/>
  <c r="P1371" i="9"/>
  <c r="P1370" i="9"/>
  <c r="P1369" i="9"/>
  <c r="P1368" i="9"/>
  <c r="P1367" i="9"/>
  <c r="Q1367" i="9" s="1"/>
  <c r="P1366" i="9"/>
  <c r="P1365" i="9"/>
  <c r="P1364" i="9"/>
  <c r="P1363" i="9"/>
  <c r="P1362" i="9"/>
  <c r="P1361" i="9"/>
  <c r="P1360" i="9"/>
  <c r="P1359" i="9"/>
  <c r="P1358" i="9"/>
  <c r="P1357" i="9"/>
  <c r="P1356" i="9"/>
  <c r="P1355" i="9"/>
  <c r="P1354" i="9"/>
  <c r="P1353" i="9"/>
  <c r="P1352" i="9"/>
  <c r="P1351" i="9"/>
  <c r="P1350" i="9"/>
  <c r="P1349" i="9"/>
  <c r="P1348" i="9"/>
  <c r="P1347" i="9"/>
  <c r="P1346" i="9"/>
  <c r="P1345" i="9"/>
  <c r="P1344" i="9"/>
  <c r="P1343" i="9"/>
  <c r="P1342" i="9"/>
  <c r="P1341" i="9"/>
  <c r="P1340" i="9"/>
  <c r="P1339" i="9"/>
  <c r="P1338" i="9"/>
  <c r="P1337" i="9"/>
  <c r="P1336" i="9"/>
  <c r="P1335" i="9"/>
  <c r="P1334" i="9"/>
  <c r="P1333" i="9"/>
  <c r="P1332" i="9"/>
  <c r="P1331" i="9"/>
  <c r="Q1331" i="9" s="1"/>
  <c r="P1330" i="9"/>
  <c r="P1329" i="9"/>
  <c r="P1328" i="9"/>
  <c r="P1327" i="9"/>
  <c r="P1326" i="9"/>
  <c r="P1325" i="9"/>
  <c r="P1324" i="9"/>
  <c r="P1323" i="9"/>
  <c r="P1322" i="9"/>
  <c r="P1321" i="9"/>
  <c r="P1320" i="9"/>
  <c r="P1319" i="9"/>
  <c r="P1318" i="9"/>
  <c r="P1317" i="9"/>
  <c r="P1316" i="9"/>
  <c r="P1315" i="9"/>
  <c r="P1314" i="9"/>
  <c r="P1313" i="9"/>
  <c r="P1312" i="9"/>
  <c r="P1311" i="9"/>
  <c r="P1310" i="9"/>
  <c r="P1309" i="9"/>
  <c r="P1308" i="9"/>
  <c r="P1307" i="9"/>
  <c r="P1306" i="9"/>
  <c r="P1305" i="9"/>
  <c r="P1304" i="9"/>
  <c r="P1303" i="9"/>
  <c r="P1302" i="9"/>
  <c r="P1301" i="9"/>
  <c r="P1300" i="9"/>
  <c r="P1299" i="9"/>
  <c r="P1298" i="9"/>
  <c r="P1297" i="9"/>
  <c r="P1296" i="9"/>
  <c r="P1295" i="9"/>
  <c r="P1294" i="9"/>
  <c r="P1293" i="9"/>
  <c r="P1292" i="9"/>
  <c r="P1291" i="9"/>
  <c r="P1290" i="9"/>
  <c r="P1289" i="9"/>
  <c r="P1288" i="9"/>
  <c r="P1287" i="9"/>
  <c r="P1286" i="9"/>
  <c r="Q1286" i="9" s="1"/>
  <c r="P1285" i="9"/>
  <c r="P1284" i="9"/>
  <c r="P1283" i="9"/>
  <c r="P1282" i="9"/>
  <c r="P1281" i="9"/>
  <c r="P1280" i="9"/>
  <c r="P1279" i="9"/>
  <c r="P1278" i="9"/>
  <c r="P1277" i="9"/>
  <c r="P1276" i="9"/>
  <c r="P1275" i="9"/>
  <c r="P1274" i="9"/>
  <c r="P1273" i="9"/>
  <c r="P1272" i="9"/>
  <c r="P1271" i="9"/>
  <c r="P1270" i="9"/>
  <c r="P1269" i="9"/>
  <c r="P1268" i="9"/>
  <c r="P1267" i="9"/>
  <c r="P1266" i="9"/>
  <c r="P1265" i="9"/>
  <c r="P1264" i="9"/>
  <c r="P1263" i="9"/>
  <c r="P1262" i="9"/>
  <c r="P1261" i="9"/>
  <c r="P1260" i="9"/>
  <c r="P1259" i="9"/>
  <c r="P1258" i="9"/>
  <c r="P1257" i="9"/>
  <c r="P1256" i="9"/>
  <c r="Q1256" i="9" s="1"/>
  <c r="P1255" i="9"/>
  <c r="P1254" i="9"/>
  <c r="P1253" i="9"/>
  <c r="Q1253" i="9" s="1"/>
  <c r="P1252" i="9"/>
  <c r="P1251" i="9"/>
  <c r="P1250" i="9"/>
  <c r="P1249" i="9"/>
  <c r="P1248" i="9"/>
  <c r="P1247" i="9"/>
  <c r="P1246" i="9"/>
  <c r="P1245" i="9"/>
  <c r="P1244" i="9"/>
  <c r="P1243" i="9"/>
  <c r="P1242" i="9"/>
  <c r="P1241" i="9"/>
  <c r="P1240" i="9"/>
  <c r="P1239" i="9"/>
  <c r="P1238" i="9"/>
  <c r="P1237" i="9"/>
  <c r="P1236" i="9"/>
  <c r="P1235" i="9"/>
  <c r="P1234" i="9"/>
  <c r="P1233" i="9"/>
  <c r="P1232" i="9"/>
  <c r="P1231" i="9"/>
  <c r="P1230" i="9"/>
  <c r="P1229" i="9"/>
  <c r="P1228" i="9"/>
  <c r="P1227" i="9"/>
  <c r="P1226" i="9"/>
  <c r="Q1226" i="9" s="1"/>
  <c r="P1225" i="9"/>
  <c r="P1224" i="9"/>
  <c r="Q1224" i="9" s="1"/>
  <c r="P1223" i="9"/>
  <c r="P1222" i="9"/>
  <c r="P1221" i="9"/>
  <c r="Q1221" i="9" s="1"/>
  <c r="P1220" i="9"/>
  <c r="P1219" i="9"/>
  <c r="P1218" i="9"/>
  <c r="P1217" i="9"/>
  <c r="P1216" i="9"/>
  <c r="P1215" i="9"/>
  <c r="P1214" i="9"/>
  <c r="P1213" i="9"/>
  <c r="P1212" i="9"/>
  <c r="P1211" i="9"/>
  <c r="P1210" i="9"/>
  <c r="P1209" i="9"/>
  <c r="P1208" i="9"/>
  <c r="P1207" i="9"/>
  <c r="P1206" i="9"/>
  <c r="P1205" i="9"/>
  <c r="P1204" i="9"/>
  <c r="P1203" i="9"/>
  <c r="P1202" i="9"/>
  <c r="P1201" i="9"/>
  <c r="P1200" i="9"/>
  <c r="P1199" i="9"/>
  <c r="P1198" i="9"/>
  <c r="P1197" i="9"/>
  <c r="P1196" i="9"/>
  <c r="P1195" i="9"/>
  <c r="P1194" i="9"/>
  <c r="P1193" i="9"/>
  <c r="P1192" i="9"/>
  <c r="P1191" i="9"/>
  <c r="Q1191" i="9" s="1"/>
  <c r="P1190" i="9"/>
  <c r="P1189" i="9"/>
  <c r="P1188" i="9"/>
  <c r="P1187" i="9"/>
  <c r="P1186" i="9"/>
  <c r="P1185" i="9"/>
  <c r="P1184" i="9"/>
  <c r="P1183" i="9"/>
  <c r="P1182" i="9"/>
  <c r="P1181" i="9"/>
  <c r="P1180" i="9"/>
  <c r="P1179" i="9"/>
  <c r="P1178" i="9"/>
  <c r="P1177" i="9"/>
  <c r="P1176" i="9"/>
  <c r="P1175" i="9"/>
  <c r="P1174" i="9"/>
  <c r="P1173" i="9"/>
  <c r="P1172" i="9"/>
  <c r="P1171" i="9"/>
  <c r="P1170" i="9"/>
  <c r="P1169" i="9"/>
  <c r="P1168" i="9"/>
  <c r="P1167" i="9"/>
  <c r="P1166" i="9"/>
  <c r="P1165" i="9"/>
  <c r="P1164" i="9"/>
  <c r="P1163" i="9"/>
  <c r="P1162" i="9"/>
  <c r="P1161" i="9"/>
  <c r="P1160" i="9"/>
  <c r="P1159" i="9"/>
  <c r="P1158" i="9"/>
  <c r="P1157" i="9"/>
  <c r="P1156" i="9"/>
  <c r="P1155" i="9"/>
  <c r="P1154" i="9"/>
  <c r="P1153" i="9"/>
  <c r="P1152" i="9"/>
  <c r="P1151" i="9"/>
  <c r="P1150" i="9"/>
  <c r="P1149" i="9"/>
  <c r="P1148" i="9"/>
  <c r="P1147" i="9"/>
  <c r="P1146" i="9"/>
  <c r="P1145" i="9"/>
  <c r="P1144" i="9"/>
  <c r="Q1144" i="9" s="1"/>
  <c r="P1143" i="9"/>
  <c r="P1142" i="9"/>
  <c r="P1141" i="9"/>
  <c r="P1140" i="9"/>
  <c r="P1139" i="9"/>
  <c r="P1138" i="9"/>
  <c r="P1137" i="9"/>
  <c r="P1136" i="9"/>
  <c r="P1135" i="9"/>
  <c r="P1134" i="9"/>
  <c r="P1133" i="9"/>
  <c r="P1132" i="9"/>
  <c r="P1131" i="9"/>
  <c r="Q1131" i="9" s="1"/>
  <c r="P1130" i="9"/>
  <c r="P1129" i="9"/>
  <c r="P1128" i="9"/>
  <c r="P1127" i="9"/>
  <c r="P1126" i="9"/>
  <c r="P1125" i="9"/>
  <c r="P1124" i="9"/>
  <c r="P1123" i="9"/>
  <c r="P1122" i="9"/>
  <c r="P1121" i="9"/>
  <c r="P1120" i="9"/>
  <c r="P1119" i="9"/>
  <c r="P1118" i="9"/>
  <c r="P1117" i="9"/>
  <c r="P1116" i="9"/>
  <c r="P1115" i="9"/>
  <c r="P1114" i="9"/>
  <c r="P1113" i="9"/>
  <c r="Q1113" i="9" s="1"/>
  <c r="P1112" i="9"/>
  <c r="P1111" i="9"/>
  <c r="P1110" i="9"/>
  <c r="P1109" i="9"/>
  <c r="P1108" i="9"/>
  <c r="P1107" i="9"/>
  <c r="P1106" i="9"/>
  <c r="P1105" i="9"/>
  <c r="P1104" i="9"/>
  <c r="P1103" i="9"/>
  <c r="P1102" i="9"/>
  <c r="P1101" i="9"/>
  <c r="P1100" i="9"/>
  <c r="P1099" i="9"/>
  <c r="P1098" i="9"/>
  <c r="P1097" i="9"/>
  <c r="P1096" i="9"/>
  <c r="P1095" i="9"/>
  <c r="P1094" i="9"/>
  <c r="P1093" i="9"/>
  <c r="P1092" i="9"/>
  <c r="P1091" i="9"/>
  <c r="P1090" i="9"/>
  <c r="P1089" i="9"/>
  <c r="P1088" i="9"/>
  <c r="P1087" i="9"/>
  <c r="P1086" i="9"/>
  <c r="P1085" i="9"/>
  <c r="P1084" i="9"/>
  <c r="P1083" i="9"/>
  <c r="P1082" i="9"/>
  <c r="P1081" i="9"/>
  <c r="P1080" i="9"/>
  <c r="P1079" i="9"/>
  <c r="P1078" i="9"/>
  <c r="P1077" i="9"/>
  <c r="P1076" i="9"/>
  <c r="P1075" i="9"/>
  <c r="P1074" i="9"/>
  <c r="P1073" i="9"/>
  <c r="P1072" i="9"/>
  <c r="P1071" i="9"/>
  <c r="P1070" i="9"/>
  <c r="P1069" i="9"/>
  <c r="P1068" i="9"/>
  <c r="P1067" i="9"/>
  <c r="P1066" i="9"/>
  <c r="P1065" i="9"/>
  <c r="P1064" i="9"/>
  <c r="P1063" i="9"/>
  <c r="P1062" i="9"/>
  <c r="P1061" i="9"/>
  <c r="P1060" i="9"/>
  <c r="P1059" i="9"/>
  <c r="P1058" i="9"/>
  <c r="P1057" i="9"/>
  <c r="P1056" i="9"/>
  <c r="P1055" i="9"/>
  <c r="P1054" i="9"/>
  <c r="P1053" i="9"/>
  <c r="P1052" i="9"/>
  <c r="P1051" i="9"/>
  <c r="Q1051" i="9" s="1"/>
  <c r="P1050" i="9"/>
  <c r="P1049" i="9"/>
  <c r="P1048" i="9"/>
  <c r="P1047" i="9"/>
  <c r="P1046" i="9"/>
  <c r="P1045" i="9"/>
  <c r="P1044" i="9"/>
  <c r="P1043" i="9"/>
  <c r="P1042" i="9"/>
  <c r="P1041" i="9"/>
  <c r="P1040" i="9"/>
  <c r="P1039" i="9"/>
  <c r="P1038" i="9"/>
  <c r="P1037" i="9"/>
  <c r="P1036" i="9"/>
  <c r="P1035" i="9"/>
  <c r="P1034" i="9"/>
  <c r="P1033" i="9"/>
  <c r="P1032" i="9"/>
  <c r="P1031" i="9"/>
  <c r="P1030" i="9"/>
  <c r="P1029" i="9"/>
  <c r="P1028" i="9"/>
  <c r="P1027" i="9"/>
  <c r="P1026" i="9"/>
  <c r="P1025" i="9"/>
  <c r="P1024" i="9"/>
  <c r="P1023" i="9"/>
  <c r="P1022" i="9"/>
  <c r="P1021" i="9"/>
  <c r="P1020" i="9"/>
  <c r="P1019" i="9"/>
  <c r="P1018" i="9"/>
  <c r="P1017" i="9"/>
  <c r="P1016" i="9"/>
  <c r="P1015" i="9"/>
  <c r="P1014" i="9"/>
  <c r="P1013" i="9"/>
  <c r="P1012" i="9"/>
  <c r="P1011" i="9"/>
  <c r="P1010" i="9"/>
  <c r="P1009" i="9"/>
  <c r="P1008" i="9"/>
  <c r="P1007" i="9"/>
  <c r="P1006" i="9"/>
  <c r="P1005" i="9"/>
  <c r="P1004" i="9"/>
  <c r="P1003" i="9"/>
  <c r="P1002" i="9"/>
  <c r="P1001" i="9"/>
  <c r="P1000" i="9"/>
  <c r="P999" i="9"/>
  <c r="P998" i="9"/>
  <c r="P997" i="9"/>
  <c r="P996" i="9"/>
  <c r="P995" i="9"/>
  <c r="P994" i="9"/>
  <c r="P993" i="9"/>
  <c r="P992" i="9"/>
  <c r="P991" i="9"/>
  <c r="P990" i="9"/>
  <c r="P989" i="9"/>
  <c r="P988" i="9"/>
  <c r="P987" i="9"/>
  <c r="P986" i="9"/>
  <c r="P985" i="9"/>
  <c r="P984" i="9"/>
  <c r="P983" i="9"/>
  <c r="P982" i="9"/>
  <c r="P981" i="9"/>
  <c r="P980" i="9"/>
  <c r="P979" i="9"/>
  <c r="P978" i="9"/>
  <c r="P977" i="9"/>
  <c r="P976" i="9"/>
  <c r="P975" i="9"/>
  <c r="P974" i="9"/>
  <c r="P973" i="9"/>
  <c r="Q973" i="9" s="1"/>
  <c r="P972" i="9"/>
  <c r="P971" i="9"/>
  <c r="P970" i="9"/>
  <c r="P969" i="9"/>
  <c r="P968" i="9"/>
  <c r="P967" i="9"/>
  <c r="P966" i="9"/>
  <c r="P965" i="9"/>
  <c r="P964" i="9"/>
  <c r="P963" i="9"/>
  <c r="P962" i="9"/>
  <c r="P961" i="9"/>
  <c r="P960" i="9"/>
  <c r="P959" i="9"/>
  <c r="P958" i="9"/>
  <c r="P957" i="9"/>
  <c r="P956" i="9"/>
  <c r="P955" i="9"/>
  <c r="P954" i="9"/>
  <c r="P953" i="9"/>
  <c r="P952" i="9"/>
  <c r="P951" i="9"/>
  <c r="P950" i="9"/>
  <c r="P949" i="9"/>
  <c r="P948" i="9"/>
  <c r="P947" i="9"/>
  <c r="P946" i="9"/>
  <c r="P945" i="9"/>
  <c r="P944" i="9"/>
  <c r="P943" i="9"/>
  <c r="P942" i="9"/>
  <c r="P941" i="9"/>
  <c r="P940" i="9"/>
  <c r="P939" i="9"/>
  <c r="P938" i="9"/>
  <c r="P937" i="9"/>
  <c r="P936" i="9"/>
  <c r="P935" i="9"/>
  <c r="P934" i="9"/>
  <c r="Q934" i="9" s="1"/>
  <c r="P933" i="9"/>
  <c r="P932" i="9"/>
  <c r="P931" i="9"/>
  <c r="P930" i="9"/>
  <c r="P929" i="9"/>
  <c r="P928" i="9"/>
  <c r="P927" i="9"/>
  <c r="P926" i="9"/>
  <c r="P925" i="9"/>
  <c r="P924" i="9"/>
  <c r="P923" i="9"/>
  <c r="P922" i="9"/>
  <c r="P921" i="9"/>
  <c r="P920" i="9"/>
  <c r="P919" i="9"/>
  <c r="P918" i="9"/>
  <c r="P917" i="9"/>
  <c r="P916" i="9"/>
  <c r="P915" i="9"/>
  <c r="P914" i="9"/>
  <c r="P913" i="9"/>
  <c r="P912" i="9"/>
  <c r="P911" i="9"/>
  <c r="P910" i="9"/>
  <c r="P909" i="9"/>
  <c r="P908" i="9"/>
  <c r="P907" i="9"/>
  <c r="P906" i="9"/>
  <c r="P905" i="9"/>
  <c r="P904" i="9"/>
  <c r="P903" i="9"/>
  <c r="P902" i="9"/>
  <c r="P901" i="9"/>
  <c r="P900" i="9"/>
  <c r="P899" i="9"/>
  <c r="P898" i="9"/>
  <c r="P897" i="9"/>
  <c r="P896" i="9"/>
  <c r="P895" i="9"/>
  <c r="P894" i="9"/>
  <c r="P893" i="9"/>
  <c r="P892" i="9"/>
  <c r="P891" i="9"/>
  <c r="P890" i="9"/>
  <c r="P889" i="9"/>
  <c r="P888" i="9"/>
  <c r="P887" i="9"/>
  <c r="P886" i="9"/>
  <c r="P885" i="9"/>
  <c r="P884" i="9"/>
  <c r="P883" i="9"/>
  <c r="P882" i="9"/>
  <c r="P881" i="9"/>
  <c r="P880" i="9"/>
  <c r="P879" i="9"/>
  <c r="P878" i="9"/>
  <c r="P877" i="9"/>
  <c r="P876" i="9"/>
  <c r="P875" i="9"/>
  <c r="P874" i="9"/>
  <c r="P873" i="9"/>
  <c r="P872" i="9"/>
  <c r="P871" i="9"/>
  <c r="P870" i="9"/>
  <c r="P869" i="9"/>
  <c r="P868" i="9"/>
  <c r="P867" i="9"/>
  <c r="P866" i="9"/>
  <c r="P865" i="9"/>
  <c r="P864" i="9"/>
  <c r="P863" i="9"/>
  <c r="P862" i="9"/>
  <c r="P861" i="9"/>
  <c r="P860" i="9"/>
  <c r="P859" i="9"/>
  <c r="P858" i="9"/>
  <c r="P857" i="9"/>
  <c r="P856" i="9"/>
  <c r="P855" i="9"/>
  <c r="P854" i="9"/>
  <c r="P853" i="9"/>
  <c r="P852" i="9"/>
  <c r="P851" i="9"/>
  <c r="P850" i="9"/>
  <c r="P849" i="9"/>
  <c r="P848" i="9"/>
  <c r="P847" i="9"/>
  <c r="P846" i="9"/>
  <c r="P845" i="9"/>
  <c r="P844" i="9"/>
  <c r="P843" i="9"/>
  <c r="P842" i="9"/>
  <c r="P841" i="9"/>
  <c r="P840" i="9"/>
  <c r="P839" i="9"/>
  <c r="P838" i="9"/>
  <c r="Q838" i="9" s="1"/>
  <c r="P837" i="9"/>
  <c r="P836" i="9"/>
  <c r="P835" i="9"/>
  <c r="P834" i="9"/>
  <c r="P833" i="9"/>
  <c r="P832" i="9"/>
  <c r="P831" i="9"/>
  <c r="P830" i="9"/>
  <c r="P829" i="9"/>
  <c r="P828" i="9"/>
  <c r="P827" i="9"/>
  <c r="P826" i="9"/>
  <c r="P825" i="9"/>
  <c r="P824" i="9"/>
  <c r="P823" i="9"/>
  <c r="P822" i="9"/>
  <c r="P821" i="9"/>
  <c r="P820" i="9"/>
  <c r="P819" i="9"/>
  <c r="P818" i="9"/>
  <c r="P817" i="9"/>
  <c r="P816" i="9"/>
  <c r="P815" i="9"/>
  <c r="P814" i="9"/>
  <c r="P813" i="9"/>
  <c r="P812" i="9"/>
  <c r="P811" i="9"/>
  <c r="P810" i="9"/>
  <c r="P809" i="9"/>
  <c r="P808" i="9"/>
  <c r="P807" i="9"/>
  <c r="P806" i="9"/>
  <c r="P805" i="9"/>
  <c r="P804" i="9"/>
  <c r="P803" i="9"/>
  <c r="P802" i="9"/>
  <c r="P801" i="9"/>
  <c r="P800" i="9"/>
  <c r="P799" i="9"/>
  <c r="P798" i="9"/>
  <c r="P797" i="9"/>
  <c r="P796" i="9"/>
  <c r="P795" i="9"/>
  <c r="P794" i="9"/>
  <c r="P793" i="9"/>
  <c r="P792" i="9"/>
  <c r="P791" i="9"/>
  <c r="P790" i="9"/>
  <c r="P789" i="9"/>
  <c r="P788" i="9"/>
  <c r="P787" i="9"/>
  <c r="P786" i="9"/>
  <c r="P785" i="9"/>
  <c r="P784" i="9"/>
  <c r="P783" i="9"/>
  <c r="P782" i="9"/>
  <c r="P781" i="9"/>
  <c r="P780" i="9"/>
  <c r="P779" i="9"/>
  <c r="P778" i="9"/>
  <c r="P777" i="9"/>
  <c r="P776" i="9"/>
  <c r="P775" i="9"/>
  <c r="P774" i="9"/>
  <c r="P773" i="9"/>
  <c r="P772" i="9"/>
  <c r="P771" i="9"/>
  <c r="P770" i="9"/>
  <c r="P769" i="9"/>
  <c r="P768" i="9"/>
  <c r="P767" i="9"/>
  <c r="P766" i="9"/>
  <c r="P765" i="9"/>
  <c r="P764" i="9"/>
  <c r="P763" i="9"/>
  <c r="P762" i="9"/>
  <c r="P761" i="9"/>
  <c r="P760" i="9"/>
  <c r="P759" i="9"/>
  <c r="P758" i="9"/>
  <c r="P757" i="9"/>
  <c r="P756" i="9"/>
  <c r="P755" i="9"/>
  <c r="P754" i="9"/>
  <c r="P753" i="9"/>
  <c r="P752" i="9"/>
  <c r="P751" i="9"/>
  <c r="P750" i="9"/>
  <c r="P749" i="9"/>
  <c r="P748" i="9"/>
  <c r="P747" i="9"/>
  <c r="P746" i="9"/>
  <c r="Q746" i="9" s="1"/>
  <c r="P745" i="9"/>
  <c r="Q745" i="9" s="1"/>
  <c r="P744" i="9"/>
  <c r="P743" i="9"/>
  <c r="P742" i="9"/>
  <c r="P741" i="9"/>
  <c r="P740" i="9"/>
  <c r="P739" i="9"/>
  <c r="P738" i="9"/>
  <c r="P737" i="9"/>
  <c r="P736" i="9"/>
  <c r="P735" i="9"/>
  <c r="P734" i="9"/>
  <c r="P733" i="9"/>
  <c r="Q733" i="9" s="1"/>
  <c r="P732" i="9"/>
  <c r="P731" i="9"/>
  <c r="P730" i="9"/>
  <c r="P729" i="9"/>
  <c r="P728" i="9"/>
  <c r="P727" i="9"/>
  <c r="Q727" i="9" s="1"/>
  <c r="P726" i="9"/>
  <c r="P725" i="9"/>
  <c r="P724" i="9"/>
  <c r="P723" i="9"/>
  <c r="P722" i="9"/>
  <c r="P721" i="9"/>
  <c r="P720" i="9"/>
  <c r="P719" i="9"/>
  <c r="P718" i="9"/>
  <c r="P717" i="9"/>
  <c r="P716" i="9"/>
  <c r="P715" i="9"/>
  <c r="P714" i="9"/>
  <c r="P713" i="9"/>
  <c r="Q713" i="9" s="1"/>
  <c r="P712" i="9"/>
  <c r="P711" i="9"/>
  <c r="P710" i="9"/>
  <c r="P709" i="9"/>
  <c r="P708" i="9"/>
  <c r="P707" i="9"/>
  <c r="P706" i="9"/>
  <c r="P705" i="9"/>
  <c r="P704" i="9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7" i="9"/>
  <c r="P686" i="9"/>
  <c r="P685" i="9"/>
  <c r="P684" i="9"/>
  <c r="P683" i="9"/>
  <c r="P682" i="9"/>
  <c r="P681" i="9"/>
  <c r="P680" i="9"/>
  <c r="P679" i="9"/>
  <c r="P678" i="9"/>
  <c r="P677" i="9"/>
  <c r="P676" i="9"/>
  <c r="P675" i="9"/>
  <c r="P674" i="9"/>
  <c r="P673" i="9"/>
  <c r="P672" i="9"/>
  <c r="P671" i="9"/>
  <c r="P670" i="9"/>
  <c r="P669" i="9"/>
  <c r="P668" i="9"/>
  <c r="P667" i="9"/>
  <c r="Q667" i="9" s="1"/>
  <c r="P666" i="9"/>
  <c r="Q666" i="9" s="1"/>
  <c r="P665" i="9"/>
  <c r="Q665" i="9" s="1"/>
  <c r="P664" i="9"/>
  <c r="P663" i="9"/>
  <c r="P662" i="9"/>
  <c r="Q662" i="9" s="1"/>
  <c r="P661" i="9"/>
  <c r="P660" i="9"/>
  <c r="P659" i="9"/>
  <c r="P658" i="9"/>
  <c r="P657" i="9"/>
  <c r="P656" i="9"/>
  <c r="P655" i="9"/>
  <c r="P654" i="9"/>
  <c r="P653" i="9"/>
  <c r="P652" i="9"/>
  <c r="P651" i="9"/>
  <c r="P650" i="9"/>
  <c r="P649" i="9"/>
  <c r="P648" i="9"/>
  <c r="P647" i="9"/>
  <c r="P646" i="9"/>
  <c r="P645" i="9"/>
  <c r="P644" i="9"/>
  <c r="P643" i="9"/>
  <c r="P642" i="9"/>
  <c r="P641" i="9"/>
  <c r="P640" i="9"/>
  <c r="P639" i="9"/>
  <c r="P638" i="9"/>
  <c r="P637" i="9"/>
  <c r="P636" i="9"/>
  <c r="P635" i="9"/>
  <c r="P634" i="9"/>
  <c r="P633" i="9"/>
  <c r="P632" i="9"/>
  <c r="P631" i="9"/>
  <c r="P630" i="9"/>
  <c r="P629" i="9"/>
  <c r="P628" i="9"/>
  <c r="P627" i="9"/>
  <c r="P626" i="9"/>
  <c r="P625" i="9"/>
  <c r="P624" i="9"/>
  <c r="P623" i="9"/>
  <c r="P622" i="9"/>
  <c r="P621" i="9"/>
  <c r="P620" i="9"/>
  <c r="P619" i="9"/>
  <c r="P618" i="9"/>
  <c r="Q618" i="9" s="1"/>
  <c r="P617" i="9"/>
  <c r="P616" i="9"/>
  <c r="P615" i="9"/>
  <c r="P614" i="9"/>
  <c r="P613" i="9"/>
  <c r="P612" i="9"/>
  <c r="P611" i="9"/>
  <c r="P610" i="9"/>
  <c r="P609" i="9"/>
  <c r="P608" i="9"/>
  <c r="P607" i="9"/>
  <c r="P606" i="9"/>
  <c r="P605" i="9"/>
  <c r="P604" i="9"/>
  <c r="P603" i="9"/>
  <c r="P602" i="9"/>
  <c r="P601" i="9"/>
  <c r="P600" i="9"/>
  <c r="P599" i="9"/>
  <c r="P598" i="9"/>
  <c r="P597" i="9"/>
  <c r="P596" i="9"/>
  <c r="P595" i="9"/>
  <c r="P594" i="9"/>
  <c r="P593" i="9"/>
  <c r="P592" i="9"/>
  <c r="P591" i="9"/>
  <c r="P590" i="9"/>
  <c r="P589" i="9"/>
  <c r="P588" i="9"/>
  <c r="P587" i="9"/>
  <c r="P586" i="9"/>
  <c r="P585" i="9"/>
  <c r="P584" i="9"/>
  <c r="P583" i="9"/>
  <c r="P582" i="9"/>
  <c r="P581" i="9"/>
  <c r="P580" i="9"/>
  <c r="P579" i="9"/>
  <c r="P578" i="9"/>
  <c r="P577" i="9"/>
  <c r="P576" i="9"/>
  <c r="P575" i="9"/>
  <c r="P574" i="9"/>
  <c r="P573" i="9"/>
  <c r="P572" i="9"/>
  <c r="P571" i="9"/>
  <c r="P570" i="9"/>
  <c r="P569" i="9"/>
  <c r="P568" i="9"/>
  <c r="P567" i="9"/>
  <c r="P566" i="9"/>
  <c r="P565" i="9"/>
  <c r="P564" i="9"/>
  <c r="P563" i="9"/>
  <c r="P562" i="9"/>
  <c r="P561" i="9"/>
  <c r="P560" i="9"/>
  <c r="P559" i="9"/>
  <c r="P558" i="9"/>
  <c r="P557" i="9"/>
  <c r="P556" i="9"/>
  <c r="P555" i="9"/>
  <c r="P554" i="9"/>
  <c r="P553" i="9"/>
  <c r="P552" i="9"/>
  <c r="P551" i="9"/>
  <c r="P550" i="9"/>
  <c r="P549" i="9"/>
  <c r="P548" i="9"/>
  <c r="P547" i="9"/>
  <c r="P546" i="9"/>
  <c r="P545" i="9"/>
  <c r="P544" i="9"/>
  <c r="P543" i="9"/>
  <c r="P542" i="9"/>
  <c r="P541" i="9"/>
  <c r="P540" i="9"/>
  <c r="P539" i="9"/>
  <c r="P538" i="9"/>
  <c r="P537" i="9"/>
  <c r="P536" i="9"/>
  <c r="P535" i="9"/>
  <c r="P534" i="9"/>
  <c r="Q534" i="9" s="1"/>
  <c r="P533" i="9"/>
  <c r="P532" i="9"/>
  <c r="P531" i="9"/>
  <c r="P530" i="9"/>
  <c r="P529" i="9"/>
  <c r="P528" i="9"/>
  <c r="P527" i="9"/>
  <c r="P526" i="9"/>
  <c r="P525" i="9"/>
  <c r="P524" i="9"/>
  <c r="P523" i="9"/>
  <c r="P522" i="9"/>
  <c r="P521" i="9"/>
  <c r="P520" i="9"/>
  <c r="P519" i="9"/>
  <c r="P518" i="9"/>
  <c r="P517" i="9"/>
  <c r="P516" i="9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02" i="9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Q487" i="9" s="1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Q456" i="9" s="1"/>
  <c r="P455" i="9"/>
  <c r="Q455" i="9" s="1"/>
  <c r="P454" i="9"/>
  <c r="Q454" i="9" s="1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4" i="9"/>
  <c r="P423" i="9"/>
  <c r="Q423" i="9" s="1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Q410" i="9" s="1"/>
  <c r="P409" i="9"/>
  <c r="P408" i="9"/>
  <c r="P407" i="9"/>
  <c r="Q407" i="9" s="1"/>
  <c r="P406" i="9"/>
  <c r="Q406" i="9" s="1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Q378" i="9" s="1"/>
  <c r="P377" i="9"/>
  <c r="Q377" i="9" s="1"/>
  <c r="P376" i="9"/>
  <c r="P375" i="9"/>
  <c r="Q375" i="9" s="1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Q361" i="9" s="1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Q329" i="9" s="1"/>
  <c r="P328" i="9"/>
  <c r="Q328" i="9" s="1"/>
  <c r="P327" i="9"/>
  <c r="Q327" i="9" s="1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6" i="9"/>
  <c r="P255" i="9"/>
  <c r="P254" i="9"/>
  <c r="P253" i="9"/>
  <c r="P252" i="9"/>
  <c r="P251" i="9"/>
  <c r="P250" i="9"/>
  <c r="P249" i="9"/>
  <c r="P248" i="9"/>
  <c r="P247" i="9"/>
  <c r="P246" i="9"/>
  <c r="P245" i="9"/>
  <c r="P244" i="9"/>
  <c r="P243" i="9"/>
  <c r="P242" i="9"/>
  <c r="P241" i="9"/>
  <c r="P240" i="9"/>
  <c r="P239" i="9"/>
  <c r="P238" i="9"/>
  <c r="P237" i="9"/>
  <c r="P236" i="9"/>
  <c r="P235" i="9"/>
  <c r="P234" i="9"/>
  <c r="Q234" i="9" s="1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Q142" i="9" s="1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Q122" i="9" s="1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Q81" i="9" s="1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Q67" i="9" s="1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Q30" i="9" s="1"/>
  <c r="P29" i="9"/>
  <c r="P28" i="9"/>
  <c r="P27" i="9"/>
  <c r="Q27" i="9" s="1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Q13" i="9" s="1"/>
  <c r="P12" i="9"/>
  <c r="P11" i="9"/>
  <c r="P10" i="9"/>
  <c r="P9" i="9"/>
  <c r="P8" i="9"/>
  <c r="P7" i="9"/>
  <c r="P6" i="9"/>
  <c r="P5" i="9"/>
  <c r="P4" i="9"/>
  <c r="P3" i="9"/>
  <c r="P2" i="9"/>
  <c r="T194" i="10"/>
  <c r="T192" i="10"/>
  <c r="T191" i="10"/>
  <c r="T166" i="10"/>
  <c r="T215" i="10"/>
  <c r="T214" i="10"/>
  <c r="T212" i="10"/>
  <c r="T211" i="10"/>
  <c r="T210" i="10"/>
  <c r="T209" i="10"/>
  <c r="T208" i="10"/>
  <c r="T207" i="10"/>
  <c r="T206" i="10"/>
  <c r="T205" i="10"/>
  <c r="T204" i="10"/>
  <c r="T202" i="10"/>
  <c r="T201" i="10"/>
  <c r="T200" i="10"/>
  <c r="T199" i="10"/>
  <c r="T197" i="10"/>
  <c r="T196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69" i="10"/>
  <c r="T168" i="10"/>
  <c r="T167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5" i="10"/>
  <c r="T134" i="10"/>
  <c r="T133" i="10"/>
  <c r="T132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6" i="10"/>
  <c r="T115" i="10"/>
  <c r="T114" i="10"/>
  <c r="T113" i="10"/>
  <c r="T112" i="10"/>
  <c r="T111" i="10"/>
  <c r="T110" i="10"/>
  <c r="T108" i="10"/>
  <c r="T107" i="10"/>
  <c r="T106" i="10"/>
  <c r="T105" i="10"/>
  <c r="T103" i="10"/>
  <c r="T102" i="10"/>
  <c r="T101" i="10"/>
  <c r="T99" i="10"/>
  <c r="T98" i="10"/>
  <c r="T97" i="10"/>
  <c r="T96" i="10"/>
  <c r="T95" i="10"/>
  <c r="T94" i="10"/>
  <c r="T93" i="10"/>
  <c r="T92" i="10"/>
  <c r="T91" i="10"/>
  <c r="T90" i="10"/>
  <c r="T89" i="10"/>
  <c r="T87" i="10"/>
  <c r="T86" i="10"/>
  <c r="T85" i="10"/>
  <c r="T84" i="10"/>
  <c r="T82" i="10"/>
  <c r="T81" i="10"/>
  <c r="T80" i="10"/>
  <c r="T78" i="10"/>
  <c r="T77" i="10"/>
  <c r="T76" i="10"/>
  <c r="T75" i="10"/>
  <c r="T74" i="10"/>
  <c r="T73" i="10"/>
  <c r="T72" i="10"/>
  <c r="T71" i="10"/>
  <c r="T69" i="10"/>
  <c r="T68" i="10"/>
  <c r="T67" i="10"/>
  <c r="T66" i="10"/>
  <c r="T65" i="10"/>
  <c r="T64" i="10"/>
  <c r="T62" i="10"/>
  <c r="T60" i="10"/>
  <c r="T59" i="10"/>
  <c r="T58" i="10"/>
  <c r="T57" i="10"/>
  <c r="T56" i="10"/>
  <c r="T55" i="10"/>
  <c r="T54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5" i="10"/>
  <c r="T14" i="10"/>
  <c r="T13" i="10"/>
  <c r="T11" i="10"/>
  <c r="T10" i="10"/>
  <c r="T9" i="10"/>
  <c r="T8" i="10"/>
  <c r="T7" i="10"/>
  <c r="T6" i="10"/>
  <c r="T5" i="10"/>
  <c r="O1877" i="9"/>
  <c r="O1876" i="9"/>
  <c r="O1875" i="9"/>
  <c r="O1874" i="9"/>
  <c r="O1873" i="9"/>
  <c r="O1872" i="9"/>
  <c r="O1869" i="9"/>
  <c r="O1868" i="9"/>
  <c r="O1867" i="9"/>
  <c r="O1866" i="9"/>
  <c r="O1865" i="9"/>
  <c r="O1864" i="9"/>
  <c r="O1860" i="9"/>
  <c r="O1859" i="9"/>
  <c r="O1858" i="9"/>
  <c r="O1857" i="9"/>
  <c r="O1856" i="9"/>
  <c r="O1855" i="9"/>
  <c r="O1854" i="9"/>
  <c r="O1853" i="9"/>
  <c r="O1852" i="9"/>
  <c r="O1851" i="9"/>
  <c r="O1849" i="9"/>
  <c r="O1848" i="9"/>
  <c r="O1846" i="9"/>
  <c r="O1845" i="9"/>
  <c r="O1842" i="9"/>
  <c r="O1841" i="9"/>
  <c r="O1837" i="9"/>
  <c r="O1836" i="9"/>
  <c r="O1835" i="9"/>
  <c r="O1834" i="9"/>
  <c r="O1833" i="9"/>
  <c r="O1832" i="9"/>
  <c r="O1831" i="9"/>
  <c r="O1828" i="9"/>
  <c r="O1826" i="9"/>
  <c r="O1825" i="9"/>
  <c r="O1824" i="9"/>
  <c r="O1823" i="9"/>
  <c r="O1822" i="9"/>
  <c r="O1821" i="9"/>
  <c r="O1820" i="9"/>
  <c r="O1819" i="9"/>
  <c r="O1818" i="9"/>
  <c r="O1817" i="9"/>
  <c r="O1814" i="9"/>
  <c r="O1813" i="9"/>
  <c r="O1812" i="9"/>
  <c r="O1809" i="9"/>
  <c r="O1808" i="9"/>
  <c r="O1805" i="9"/>
  <c r="O1804" i="9"/>
  <c r="O1803" i="9"/>
  <c r="O1802" i="9"/>
  <c r="O1801" i="9"/>
  <c r="O1800" i="9"/>
  <c r="O1799" i="9"/>
  <c r="O1798" i="9"/>
  <c r="O1797" i="9"/>
  <c r="O1796" i="9"/>
  <c r="O1795" i="9"/>
  <c r="O1794" i="9"/>
  <c r="O1793" i="9"/>
  <c r="O1792" i="9"/>
  <c r="O1791" i="9"/>
  <c r="O1790" i="9"/>
  <c r="O1789" i="9"/>
  <c r="O1788" i="9"/>
  <c r="O1787" i="9"/>
  <c r="O1786" i="9"/>
  <c r="O1785" i="9"/>
  <c r="O1784" i="9"/>
  <c r="O1783" i="9"/>
  <c r="O1782" i="9"/>
  <c r="O1781" i="9"/>
  <c r="O1780" i="9"/>
  <c r="O1779" i="9"/>
  <c r="O1778" i="9"/>
  <c r="O1777" i="9"/>
  <c r="O1776" i="9"/>
  <c r="O1775" i="9"/>
  <c r="O1774" i="9"/>
  <c r="O1773" i="9"/>
  <c r="O1772" i="9"/>
  <c r="O1771" i="9"/>
  <c r="O1770" i="9"/>
  <c r="O1769" i="9"/>
  <c r="O1768" i="9"/>
  <c r="O1767" i="9"/>
  <c r="O1766" i="9"/>
  <c r="O1765" i="9"/>
  <c r="O1764" i="9"/>
  <c r="O1763" i="9"/>
  <c r="O1762" i="9"/>
  <c r="O1761" i="9"/>
  <c r="O1760" i="9"/>
  <c r="O1759" i="9"/>
  <c r="O1758" i="9"/>
  <c r="O1757" i="9"/>
  <c r="O1756" i="9"/>
  <c r="O1755" i="9"/>
  <c r="O1754" i="9"/>
  <c r="O1753" i="9"/>
  <c r="O1752" i="9"/>
  <c r="O1751" i="9"/>
  <c r="O1750" i="9"/>
  <c r="O1749" i="9"/>
  <c r="O1748" i="9"/>
  <c r="O1747" i="9"/>
  <c r="O1746" i="9"/>
  <c r="O1745" i="9"/>
  <c r="O1744" i="9"/>
  <c r="O1743" i="9"/>
  <c r="O1742" i="9"/>
  <c r="O1741" i="9"/>
  <c r="O1740" i="9"/>
  <c r="O1739" i="9"/>
  <c r="O1738" i="9"/>
  <c r="O1737" i="9"/>
  <c r="O1736" i="9"/>
  <c r="O1735" i="9"/>
  <c r="O1734" i="9"/>
  <c r="O1733" i="9"/>
  <c r="O1732" i="9"/>
  <c r="O1731" i="9"/>
  <c r="O1730" i="9"/>
  <c r="O1729" i="9"/>
  <c r="O1728" i="9"/>
  <c r="O1727" i="9"/>
  <c r="O1726" i="9"/>
  <c r="O1725" i="9"/>
  <c r="Q1725" i="9" s="1"/>
  <c r="O1724" i="9"/>
  <c r="O1723" i="9"/>
  <c r="O1722" i="9"/>
  <c r="O1721" i="9"/>
  <c r="O1720" i="9"/>
  <c r="O1719" i="9"/>
  <c r="O1718" i="9"/>
  <c r="O1717" i="9"/>
  <c r="O1716" i="9"/>
  <c r="O1715" i="9"/>
  <c r="O1714" i="9"/>
  <c r="O1713" i="9"/>
  <c r="Q1713" i="9" s="1"/>
  <c r="O1712" i="9"/>
  <c r="O1711" i="9"/>
  <c r="O1710" i="9"/>
  <c r="O1709" i="9"/>
  <c r="O1708" i="9"/>
  <c r="O1707" i="9"/>
  <c r="O1706" i="9"/>
  <c r="O1705" i="9"/>
  <c r="O1704" i="9"/>
  <c r="O1703" i="9"/>
  <c r="O1702" i="9"/>
  <c r="O1701" i="9"/>
  <c r="O1700" i="9"/>
  <c r="O1699" i="9"/>
  <c r="O1698" i="9"/>
  <c r="O1697" i="9"/>
  <c r="O1696" i="9"/>
  <c r="O1695" i="9"/>
  <c r="O1694" i="9"/>
  <c r="O1693" i="9"/>
  <c r="O1692" i="9"/>
  <c r="O1691" i="9"/>
  <c r="O1690" i="9"/>
  <c r="O1689" i="9"/>
  <c r="O1688" i="9"/>
  <c r="O1687" i="9"/>
  <c r="O1686" i="9"/>
  <c r="O1685" i="9"/>
  <c r="O1684" i="9"/>
  <c r="O1683" i="9"/>
  <c r="O1682" i="9"/>
  <c r="O1681" i="9"/>
  <c r="O1680" i="9"/>
  <c r="Q1680" i="9" s="1"/>
  <c r="O1679" i="9"/>
  <c r="O1678" i="9"/>
  <c r="O1677" i="9"/>
  <c r="O1676" i="9"/>
  <c r="O1675" i="9"/>
  <c r="O1674" i="9"/>
  <c r="O1673" i="9"/>
  <c r="O1670" i="9"/>
  <c r="O1669" i="9"/>
  <c r="O1668" i="9"/>
  <c r="O1667" i="9"/>
  <c r="O1666" i="9"/>
  <c r="O1665" i="9"/>
  <c r="O1664" i="9"/>
  <c r="Q1664" i="9" s="1"/>
  <c r="O1663" i="9"/>
  <c r="O1662" i="9"/>
  <c r="O1661" i="9"/>
  <c r="Q1661" i="9" s="1"/>
  <c r="O1658" i="9"/>
  <c r="O1657" i="9"/>
  <c r="O1656" i="9"/>
  <c r="O1655" i="9"/>
  <c r="O1654" i="9"/>
  <c r="O1653" i="9"/>
  <c r="O1652" i="9"/>
  <c r="O1651" i="9"/>
  <c r="O1650" i="9"/>
  <c r="O1649" i="9"/>
  <c r="O1646" i="9"/>
  <c r="O1645" i="9"/>
  <c r="O1644" i="9"/>
  <c r="O1643" i="9"/>
  <c r="O1642" i="9"/>
  <c r="O1641" i="9"/>
  <c r="O1640" i="9"/>
  <c r="O1639" i="9"/>
  <c r="O1638" i="9"/>
  <c r="O1637" i="9"/>
  <c r="O1636" i="9"/>
  <c r="O1635" i="9"/>
  <c r="O1634" i="9"/>
  <c r="O1633" i="9"/>
  <c r="O1632" i="9"/>
  <c r="O1631" i="9"/>
  <c r="O1630" i="9"/>
  <c r="O1629" i="9"/>
  <c r="O1628" i="9"/>
  <c r="O1627" i="9"/>
  <c r="O1626" i="9"/>
  <c r="O1625" i="9"/>
  <c r="O1624" i="9"/>
  <c r="O1623" i="9"/>
  <c r="O1622" i="9"/>
  <c r="O1621" i="9"/>
  <c r="O1620" i="9"/>
  <c r="O1619" i="9"/>
  <c r="O1618" i="9"/>
  <c r="O1617" i="9"/>
  <c r="O1616" i="9"/>
  <c r="O1615" i="9"/>
  <c r="O1614" i="9"/>
  <c r="O1613" i="9"/>
  <c r="O1612" i="9"/>
  <c r="O1611" i="9"/>
  <c r="O1610" i="9"/>
  <c r="O1609" i="9"/>
  <c r="O1608" i="9"/>
  <c r="O1607" i="9"/>
  <c r="O1606" i="9"/>
  <c r="O1605" i="9"/>
  <c r="O1604" i="9"/>
  <c r="O1603" i="9"/>
  <c r="O1602" i="9"/>
  <c r="O1601" i="9"/>
  <c r="O1600" i="9"/>
  <c r="O1599" i="9"/>
  <c r="O1598" i="9"/>
  <c r="O1597" i="9"/>
  <c r="O1596" i="9"/>
  <c r="O1595" i="9"/>
  <c r="O1594" i="9"/>
  <c r="O1593" i="9"/>
  <c r="O1592" i="9"/>
  <c r="O1591" i="9"/>
  <c r="O1590" i="9"/>
  <c r="O1589" i="9"/>
  <c r="O1588" i="9"/>
  <c r="O1587" i="9"/>
  <c r="O1586" i="9"/>
  <c r="O1585" i="9"/>
  <c r="O1584" i="9"/>
  <c r="O1583" i="9"/>
  <c r="O1582" i="9"/>
  <c r="O1581" i="9"/>
  <c r="O1580" i="9"/>
  <c r="O1579" i="9"/>
  <c r="O1578" i="9"/>
  <c r="O1577" i="9"/>
  <c r="O1576" i="9"/>
  <c r="O1575" i="9"/>
  <c r="O1574" i="9"/>
  <c r="O1573" i="9"/>
  <c r="O1572" i="9"/>
  <c r="O1571" i="9"/>
  <c r="O1570" i="9"/>
  <c r="O1569" i="9"/>
  <c r="O1568" i="9"/>
  <c r="O1567" i="9"/>
  <c r="O1566" i="9"/>
  <c r="O1565" i="9"/>
  <c r="O1564" i="9"/>
  <c r="O1563" i="9"/>
  <c r="O1562" i="9"/>
  <c r="O1561" i="9"/>
  <c r="O1560" i="9"/>
  <c r="O1559" i="9"/>
  <c r="O1558" i="9"/>
  <c r="O1557" i="9"/>
  <c r="O1556" i="9"/>
  <c r="O1555" i="9"/>
  <c r="O1554" i="9"/>
  <c r="O1553" i="9"/>
  <c r="O1552" i="9"/>
  <c r="O1551" i="9"/>
  <c r="O1550" i="9"/>
  <c r="O1549" i="9"/>
  <c r="O1548" i="9"/>
  <c r="O1547" i="9"/>
  <c r="O1546" i="9"/>
  <c r="O1545" i="9"/>
  <c r="O1544" i="9"/>
  <c r="O1543" i="9"/>
  <c r="O1542" i="9"/>
  <c r="O1541" i="9"/>
  <c r="O1540" i="9"/>
  <c r="O1539" i="9"/>
  <c r="O1538" i="9"/>
  <c r="O1537" i="9"/>
  <c r="O1536" i="9"/>
  <c r="O1535" i="9"/>
  <c r="O1534" i="9"/>
  <c r="O1533" i="9"/>
  <c r="Q1533" i="9" s="1"/>
  <c r="O1532" i="9"/>
  <c r="O1531" i="9"/>
  <c r="O1530" i="9"/>
  <c r="O1529" i="9"/>
  <c r="O1528" i="9"/>
  <c r="O1527" i="9"/>
  <c r="O1526" i="9"/>
  <c r="O1525" i="9"/>
  <c r="O1524" i="9"/>
  <c r="O1523" i="9"/>
  <c r="O1522" i="9"/>
  <c r="O1521" i="9"/>
  <c r="O1520" i="9"/>
  <c r="Q1520" i="9" s="1"/>
  <c r="O1519" i="9"/>
  <c r="O1518" i="9"/>
  <c r="O1517" i="9"/>
  <c r="O1516" i="9"/>
  <c r="O1515" i="9"/>
  <c r="O1514" i="9"/>
  <c r="O1513" i="9"/>
  <c r="O1512" i="9"/>
  <c r="O1511" i="9"/>
  <c r="O1510" i="9"/>
  <c r="O1509" i="9"/>
  <c r="O1508" i="9"/>
  <c r="O1507" i="9"/>
  <c r="O1506" i="9"/>
  <c r="O1505" i="9"/>
  <c r="O1504" i="9"/>
  <c r="O1503" i="9"/>
  <c r="O1502" i="9"/>
  <c r="O1501" i="9"/>
  <c r="O1500" i="9"/>
  <c r="O1499" i="9"/>
  <c r="O1498" i="9"/>
  <c r="O1497" i="9"/>
  <c r="O1496" i="9"/>
  <c r="O1495" i="9"/>
  <c r="O1494" i="9"/>
  <c r="O1493" i="9"/>
  <c r="O1492" i="9"/>
  <c r="O1491" i="9"/>
  <c r="O1490" i="9"/>
  <c r="O1489" i="9"/>
  <c r="O1488" i="9"/>
  <c r="O1487" i="9"/>
  <c r="O1486" i="9"/>
  <c r="O1485" i="9"/>
  <c r="O1484" i="9"/>
  <c r="O1483" i="9"/>
  <c r="O1482" i="9"/>
  <c r="O1481" i="9"/>
  <c r="O1480" i="9"/>
  <c r="O1479" i="9"/>
  <c r="O1478" i="9"/>
  <c r="O1477" i="9"/>
  <c r="O1476" i="9"/>
  <c r="O1475" i="9"/>
  <c r="O1474" i="9"/>
  <c r="O1473" i="9"/>
  <c r="O1472" i="9"/>
  <c r="O1471" i="9"/>
  <c r="O1470" i="9"/>
  <c r="O1469" i="9"/>
  <c r="Q1469" i="9" s="1"/>
  <c r="O1468" i="9"/>
  <c r="O1467" i="9"/>
  <c r="O1466" i="9"/>
  <c r="O1465" i="9"/>
  <c r="O1464" i="9"/>
  <c r="O1463" i="9"/>
  <c r="O1462" i="9"/>
  <c r="O1461" i="9"/>
  <c r="O1460" i="9"/>
  <c r="O1459" i="9"/>
  <c r="O1458" i="9"/>
  <c r="O1457" i="9"/>
  <c r="O1456" i="9"/>
  <c r="Q1456" i="9" s="1"/>
  <c r="O1455" i="9"/>
  <c r="O1454" i="9"/>
  <c r="O1453" i="9"/>
  <c r="O1452" i="9"/>
  <c r="O1451" i="9"/>
  <c r="O1450" i="9"/>
  <c r="O1449" i="9"/>
  <c r="O1448" i="9"/>
  <c r="O1447" i="9"/>
  <c r="O1446" i="9"/>
  <c r="O1445" i="9"/>
  <c r="O1444" i="9"/>
  <c r="O1443" i="9"/>
  <c r="O1442" i="9"/>
  <c r="O1441" i="9"/>
  <c r="O1440" i="9"/>
  <c r="Q1440" i="9" s="1"/>
  <c r="O1439" i="9"/>
  <c r="O1438" i="9"/>
  <c r="O1437" i="9"/>
  <c r="O1436" i="9"/>
  <c r="O1435" i="9"/>
  <c r="O1434" i="9"/>
  <c r="O1433" i="9"/>
  <c r="O1432" i="9"/>
  <c r="O1431" i="9"/>
  <c r="O1430" i="9"/>
  <c r="O1429" i="9"/>
  <c r="O1428" i="9"/>
  <c r="O1427" i="9"/>
  <c r="O1426" i="9"/>
  <c r="O1423" i="9"/>
  <c r="O1422" i="9"/>
  <c r="O1421" i="9"/>
  <c r="O1420" i="9"/>
  <c r="O1419" i="9"/>
  <c r="O1416" i="9"/>
  <c r="O1415" i="9"/>
  <c r="O1414" i="9"/>
  <c r="O1413" i="9"/>
  <c r="O1410" i="9"/>
  <c r="O1409" i="9"/>
  <c r="O1408" i="9"/>
  <c r="O1407" i="9"/>
  <c r="O1404" i="9"/>
  <c r="O1403" i="9"/>
  <c r="O1402" i="9"/>
  <c r="O1401" i="9"/>
  <c r="O1400" i="9"/>
  <c r="O1399" i="9"/>
  <c r="O1398" i="9"/>
  <c r="O1397" i="9"/>
  <c r="O1396" i="9"/>
  <c r="O1395" i="9"/>
  <c r="O1394" i="9"/>
  <c r="O1393" i="9"/>
  <c r="O1392" i="9"/>
  <c r="O1391" i="9"/>
  <c r="O1390" i="9"/>
  <c r="O1389" i="9"/>
  <c r="O1388" i="9"/>
  <c r="O1387" i="9"/>
  <c r="O1386" i="9"/>
  <c r="O1385" i="9"/>
  <c r="O1384" i="9"/>
  <c r="O1383" i="9"/>
  <c r="O1382" i="9"/>
  <c r="O1381" i="9"/>
  <c r="O1378" i="9"/>
  <c r="O1377" i="9"/>
  <c r="O1376" i="9"/>
  <c r="O1375" i="9"/>
  <c r="O1374" i="9"/>
  <c r="O1373" i="9"/>
  <c r="O1372" i="9"/>
  <c r="O1371" i="9"/>
  <c r="O1370" i="9"/>
  <c r="O1367" i="9"/>
  <c r="O1366" i="9"/>
  <c r="O1363" i="9"/>
  <c r="O1362" i="9"/>
  <c r="O1361" i="9"/>
  <c r="O1360" i="9"/>
  <c r="O1359" i="9"/>
  <c r="O1358" i="9"/>
  <c r="O1357" i="9"/>
  <c r="O1356" i="9"/>
  <c r="O1355" i="9"/>
  <c r="O1354" i="9"/>
  <c r="O1353" i="9"/>
  <c r="O1352" i="9"/>
  <c r="O1351" i="9"/>
  <c r="O1349" i="9"/>
  <c r="O1348" i="9"/>
  <c r="O1347" i="9"/>
  <c r="O1346" i="9"/>
  <c r="O1345" i="9"/>
  <c r="O1344" i="9"/>
  <c r="O1343" i="9"/>
  <c r="O1342" i="9"/>
  <c r="O1341" i="9"/>
  <c r="O1340" i="9"/>
  <c r="O1339" i="9"/>
  <c r="O1338" i="9"/>
  <c r="O1336" i="9"/>
  <c r="O1335" i="9"/>
  <c r="O1334" i="9"/>
  <c r="O1333" i="9"/>
  <c r="O1332" i="9"/>
  <c r="O1331" i="9"/>
  <c r="O1330" i="9"/>
  <c r="O1329" i="9"/>
  <c r="O1328" i="9"/>
  <c r="O1327" i="9"/>
  <c r="O1324" i="9"/>
  <c r="O1323" i="9"/>
  <c r="O1322" i="9"/>
  <c r="O1321" i="9"/>
  <c r="O1320" i="9"/>
  <c r="O1319" i="9"/>
  <c r="O1318" i="9"/>
  <c r="O1317" i="9"/>
  <c r="O1316" i="9"/>
  <c r="O1315" i="9"/>
  <c r="O1314" i="9"/>
  <c r="O1313" i="9"/>
  <c r="O1311" i="9"/>
  <c r="O1310" i="9"/>
  <c r="O1309" i="9"/>
  <c r="O1308" i="9"/>
  <c r="Q1308" i="9" s="1"/>
  <c r="O1307" i="9"/>
  <c r="O1306" i="9"/>
  <c r="O1305" i="9"/>
  <c r="O1304" i="9"/>
  <c r="O1303" i="9"/>
  <c r="O1302" i="9"/>
  <c r="O1301" i="9"/>
  <c r="O1300" i="9"/>
  <c r="O1299" i="9"/>
  <c r="O1298" i="9"/>
  <c r="O1297" i="9"/>
  <c r="O1294" i="9"/>
  <c r="O1293" i="9"/>
  <c r="O1292" i="9"/>
  <c r="O1291" i="9"/>
  <c r="O1289" i="9"/>
  <c r="O1288" i="9"/>
  <c r="O1287" i="9"/>
  <c r="O1286" i="9"/>
  <c r="O1283" i="9"/>
  <c r="O1282" i="9"/>
  <c r="O1281" i="9"/>
  <c r="O1280" i="9"/>
  <c r="Q1280" i="9" s="1"/>
  <c r="O1279" i="9"/>
  <c r="O1278" i="9"/>
  <c r="O1277" i="9"/>
  <c r="O1276" i="9"/>
  <c r="O1275" i="9"/>
  <c r="O1274" i="9"/>
  <c r="O1271" i="9"/>
  <c r="O1270" i="9"/>
  <c r="O1269" i="9"/>
  <c r="O1268" i="9"/>
  <c r="O1267" i="9"/>
  <c r="O1266" i="9"/>
  <c r="O1265" i="9"/>
  <c r="O1264" i="9"/>
  <c r="O1263" i="9"/>
  <c r="O1262" i="9"/>
  <c r="O1261" i="9"/>
  <c r="O1260" i="9"/>
  <c r="Q1260" i="9" s="1"/>
  <c r="O1259" i="9"/>
  <c r="O1258" i="9"/>
  <c r="O1257" i="9"/>
  <c r="O1254" i="9"/>
  <c r="O1253" i="9"/>
  <c r="O1252" i="9"/>
  <c r="O1249" i="9"/>
  <c r="O1248" i="9"/>
  <c r="O1247" i="9"/>
  <c r="O1246" i="9"/>
  <c r="O1245" i="9"/>
  <c r="O1244" i="9"/>
  <c r="O1241" i="9"/>
  <c r="O1240" i="9"/>
  <c r="O1239" i="9"/>
  <c r="O1238" i="9"/>
  <c r="O1237" i="9"/>
  <c r="O1236" i="9"/>
  <c r="O1233" i="9"/>
  <c r="O1232" i="9"/>
  <c r="O1231" i="9"/>
  <c r="O1230" i="9"/>
  <c r="O1229" i="9"/>
  <c r="Q1229" i="9" s="1"/>
  <c r="O1227" i="9"/>
  <c r="O1226" i="9"/>
  <c r="O1225" i="9"/>
  <c r="O1222" i="9"/>
  <c r="O1221" i="9"/>
  <c r="O1220" i="9"/>
  <c r="O1219" i="9"/>
  <c r="O1218" i="9"/>
  <c r="O1217" i="9"/>
  <c r="O1214" i="9"/>
  <c r="O1213" i="9"/>
  <c r="O1212" i="9"/>
  <c r="O1211" i="9"/>
  <c r="O1210" i="9"/>
  <c r="O1209" i="9"/>
  <c r="O1206" i="9"/>
  <c r="O1205" i="9"/>
  <c r="O1204" i="9"/>
  <c r="O1203" i="9"/>
  <c r="O1202" i="9"/>
  <c r="Q1202" i="9" s="1"/>
  <c r="O1201" i="9"/>
  <c r="Q1201" i="9" s="1"/>
  <c r="O1198" i="9"/>
  <c r="O1197" i="9"/>
  <c r="O1196" i="9"/>
  <c r="O1195" i="9"/>
  <c r="O1194" i="9"/>
  <c r="O1193" i="9"/>
  <c r="O1190" i="9"/>
  <c r="O1189" i="9"/>
  <c r="O1188" i="9"/>
  <c r="O1187" i="9"/>
  <c r="O1186" i="9"/>
  <c r="Q1186" i="9" s="1"/>
  <c r="O1185" i="9"/>
  <c r="Q1185" i="9" s="1"/>
  <c r="O1182" i="9"/>
  <c r="O1181" i="9"/>
  <c r="O1180" i="9"/>
  <c r="O1179" i="9"/>
  <c r="O1178" i="9"/>
  <c r="O1177" i="9"/>
  <c r="O1175" i="9"/>
  <c r="O1174" i="9"/>
  <c r="O1173" i="9"/>
  <c r="O1172" i="9"/>
  <c r="O1168" i="9"/>
  <c r="Q1168" i="9" s="1"/>
  <c r="O1167" i="9"/>
  <c r="Q1167" i="9" s="1"/>
  <c r="O1166" i="9"/>
  <c r="O1165" i="9"/>
  <c r="O1161" i="9"/>
  <c r="O1160" i="9"/>
  <c r="O1157" i="9"/>
  <c r="O1156" i="9"/>
  <c r="O1155" i="9"/>
  <c r="O1154" i="9"/>
  <c r="O1153" i="9"/>
  <c r="O1152" i="9"/>
  <c r="O1149" i="9"/>
  <c r="O1148" i="9"/>
  <c r="O1147" i="9"/>
  <c r="O1146" i="9"/>
  <c r="O1143" i="9"/>
  <c r="O1142" i="9"/>
  <c r="O1139" i="9"/>
  <c r="O1138" i="9"/>
  <c r="O1135" i="9"/>
  <c r="O1134" i="9"/>
  <c r="O1131" i="9"/>
  <c r="O1130" i="9"/>
  <c r="O1127" i="9"/>
  <c r="O1126" i="9"/>
  <c r="O1123" i="9"/>
  <c r="O1122" i="9"/>
  <c r="O1121" i="9"/>
  <c r="O1120" i="9"/>
  <c r="O1117" i="9"/>
  <c r="O1116" i="9"/>
  <c r="O1113" i="9"/>
  <c r="O1112" i="9"/>
  <c r="O1111" i="9"/>
  <c r="O1110" i="9"/>
  <c r="O1109" i="9"/>
  <c r="O1106" i="9"/>
  <c r="O1105" i="9"/>
  <c r="O1104" i="9"/>
  <c r="O1103" i="9"/>
  <c r="O1102" i="9"/>
  <c r="O1099" i="9"/>
  <c r="O1098" i="9"/>
  <c r="O1097" i="9"/>
  <c r="O1096" i="9"/>
  <c r="O1093" i="9"/>
  <c r="O1092" i="9"/>
  <c r="O1091" i="9"/>
  <c r="O1090" i="9"/>
  <c r="O1085" i="9"/>
  <c r="O1084" i="9"/>
  <c r="O1083" i="9"/>
  <c r="O1082" i="9"/>
  <c r="O1081" i="9"/>
  <c r="O1078" i="9"/>
  <c r="O1077" i="9"/>
  <c r="O1076" i="9"/>
  <c r="O1075" i="9"/>
  <c r="O1074" i="9"/>
  <c r="O1073" i="9"/>
  <c r="Q1073" i="9" s="1"/>
  <c r="O1072" i="9"/>
  <c r="O1067" i="9"/>
  <c r="O1066" i="9"/>
  <c r="O1065" i="9"/>
  <c r="O1064" i="9"/>
  <c r="O1063" i="9"/>
  <c r="O1062" i="9"/>
  <c r="Q1062" i="9" s="1"/>
  <c r="O1061" i="9"/>
  <c r="O1057" i="9"/>
  <c r="O1056" i="9"/>
  <c r="O1055" i="9"/>
  <c r="O1053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1" i="9"/>
  <c r="O1030" i="9"/>
  <c r="O1029" i="9"/>
  <c r="O1028" i="9"/>
  <c r="O1027" i="9"/>
  <c r="O1026" i="9"/>
  <c r="O1025" i="9"/>
  <c r="O1022" i="9"/>
  <c r="O1021" i="9"/>
  <c r="O1020" i="9"/>
  <c r="O1019" i="9"/>
  <c r="Q1019" i="9" s="1"/>
  <c r="O1018" i="9"/>
  <c r="Q1018" i="9" s="1"/>
  <c r="O1017" i="9"/>
  <c r="O1016" i="9"/>
  <c r="O1013" i="9"/>
  <c r="O1012" i="9"/>
  <c r="O1011" i="9"/>
  <c r="O1010" i="9"/>
  <c r="O1009" i="9"/>
  <c r="O1008" i="9"/>
  <c r="O1005" i="9"/>
  <c r="Q1005" i="9" s="1"/>
  <c r="O1004" i="9"/>
  <c r="O1003" i="9"/>
  <c r="Q1003" i="9" s="1"/>
  <c r="O1002" i="9"/>
  <c r="Q1002" i="9" s="1"/>
  <c r="O1001" i="9"/>
  <c r="O1000" i="9"/>
  <c r="O999" i="9"/>
  <c r="O998" i="9"/>
  <c r="O997" i="9"/>
  <c r="O996" i="9"/>
  <c r="O993" i="9"/>
  <c r="O992" i="9"/>
  <c r="O991" i="9"/>
  <c r="O990" i="9"/>
  <c r="Q990" i="9" s="1"/>
  <c r="O989" i="9"/>
  <c r="O988" i="9"/>
  <c r="O987" i="9"/>
  <c r="O984" i="9"/>
  <c r="O983" i="9"/>
  <c r="O982" i="9"/>
  <c r="O981" i="9"/>
  <c r="O980" i="9"/>
  <c r="O979" i="9"/>
  <c r="O978" i="9"/>
  <c r="O975" i="9"/>
  <c r="O974" i="9"/>
  <c r="O973" i="9"/>
  <c r="O972" i="9"/>
  <c r="O971" i="9"/>
  <c r="O970" i="9"/>
  <c r="O969" i="9"/>
  <c r="O968" i="9"/>
  <c r="O967" i="9"/>
  <c r="O966" i="9"/>
  <c r="O963" i="9"/>
  <c r="O962" i="9"/>
  <c r="O961" i="9"/>
  <c r="O960" i="9"/>
  <c r="O959" i="9"/>
  <c r="O958" i="9"/>
  <c r="O955" i="9"/>
  <c r="O954" i="9"/>
  <c r="O953" i="9"/>
  <c r="O952" i="9"/>
  <c r="O951" i="9"/>
  <c r="O947" i="9"/>
  <c r="O946" i="9"/>
  <c r="O945" i="9"/>
  <c r="O944" i="9"/>
  <c r="O943" i="9"/>
  <c r="O940" i="9"/>
  <c r="O939" i="9"/>
  <c r="O936" i="9"/>
  <c r="O935" i="9"/>
  <c r="O934" i="9"/>
  <c r="O931" i="9"/>
  <c r="O930" i="9"/>
  <c r="O929" i="9"/>
  <c r="O928" i="9"/>
  <c r="O925" i="9"/>
  <c r="O924" i="9"/>
  <c r="O923" i="9"/>
  <c r="O922" i="9"/>
  <c r="O919" i="9"/>
  <c r="O918" i="9"/>
  <c r="O917" i="9"/>
  <c r="O916" i="9"/>
  <c r="O915" i="9"/>
  <c r="O912" i="9"/>
  <c r="O911" i="9"/>
  <c r="O910" i="9"/>
  <c r="O909" i="9"/>
  <c r="O908" i="9"/>
  <c r="O907" i="9"/>
  <c r="O906" i="9"/>
  <c r="O905" i="9"/>
  <c r="O904" i="9"/>
  <c r="O901" i="9"/>
  <c r="Q901" i="9" s="1"/>
  <c r="O900" i="9"/>
  <c r="O899" i="9"/>
  <c r="O898" i="9"/>
  <c r="O897" i="9"/>
  <c r="O896" i="9"/>
  <c r="O895" i="9"/>
  <c r="O894" i="9"/>
  <c r="O891" i="9"/>
  <c r="Q891" i="9" s="1"/>
  <c r="O890" i="9"/>
  <c r="Q890" i="9" s="1"/>
  <c r="O889" i="9"/>
  <c r="O888" i="9"/>
  <c r="O887" i="9"/>
  <c r="O884" i="9"/>
  <c r="O883" i="9"/>
  <c r="O882" i="9"/>
  <c r="O881" i="9"/>
  <c r="O880" i="9"/>
  <c r="O879" i="9"/>
  <c r="Q879" i="9" s="1"/>
  <c r="O878" i="9"/>
  <c r="O877" i="9"/>
  <c r="O874" i="9"/>
  <c r="O873" i="9"/>
  <c r="O872" i="9"/>
  <c r="O871" i="9"/>
  <c r="O870" i="9"/>
  <c r="O869" i="9"/>
  <c r="O868" i="9"/>
  <c r="O867" i="9"/>
  <c r="O866" i="9"/>
  <c r="O863" i="9"/>
  <c r="O862" i="9"/>
  <c r="O861" i="9"/>
  <c r="O860" i="9"/>
  <c r="O859" i="9"/>
  <c r="O858" i="9"/>
  <c r="O857" i="9"/>
  <c r="O856" i="9"/>
  <c r="O853" i="9"/>
  <c r="O852" i="9"/>
  <c r="O851" i="9"/>
  <c r="O850" i="9"/>
  <c r="O849" i="9"/>
  <c r="O848" i="9"/>
  <c r="O847" i="9"/>
  <c r="O846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O822" i="9"/>
  <c r="O821" i="9"/>
  <c r="O820" i="9"/>
  <c r="O819" i="9"/>
  <c r="O818" i="9"/>
  <c r="O817" i="9"/>
  <c r="O816" i="9"/>
  <c r="O815" i="9"/>
  <c r="O814" i="9"/>
  <c r="O813" i="9"/>
  <c r="O812" i="9"/>
  <c r="O811" i="9"/>
  <c r="O810" i="9"/>
  <c r="O809" i="9"/>
  <c r="O808" i="9"/>
  <c r="O807" i="9"/>
  <c r="O806" i="9"/>
  <c r="O805" i="9"/>
  <c r="O804" i="9"/>
  <c r="O803" i="9"/>
  <c r="O802" i="9"/>
  <c r="O801" i="9"/>
  <c r="O800" i="9"/>
  <c r="O799" i="9"/>
  <c r="O798" i="9"/>
  <c r="O797" i="9"/>
  <c r="O796" i="9"/>
  <c r="O795" i="9"/>
  <c r="O794" i="9"/>
  <c r="O793" i="9"/>
  <c r="O792" i="9"/>
  <c r="O791" i="9"/>
  <c r="O790" i="9"/>
  <c r="O789" i="9"/>
  <c r="O785" i="9"/>
  <c r="O784" i="9"/>
  <c r="O783" i="9"/>
  <c r="O782" i="9"/>
  <c r="O780" i="9"/>
  <c r="O779" i="9"/>
  <c r="O778" i="9"/>
  <c r="O776" i="9"/>
  <c r="O775" i="9"/>
  <c r="O774" i="9"/>
  <c r="O772" i="9"/>
  <c r="O771" i="9"/>
  <c r="O770" i="9"/>
  <c r="O769" i="9"/>
  <c r="O766" i="9"/>
  <c r="Q766" i="9" s="1"/>
  <c r="O765" i="9"/>
  <c r="O764" i="9"/>
  <c r="O763" i="9"/>
  <c r="Q763" i="9" s="1"/>
  <c r="O762" i="9"/>
  <c r="O761" i="9"/>
  <c r="O760" i="9"/>
  <c r="O759" i="9"/>
  <c r="O758" i="9"/>
  <c r="O754" i="9"/>
  <c r="O753" i="9"/>
  <c r="O752" i="9"/>
  <c r="O751" i="9"/>
  <c r="O750" i="9"/>
  <c r="O749" i="9"/>
  <c r="O748" i="9"/>
  <c r="O747" i="9"/>
  <c r="O746" i="9"/>
  <c r="O745" i="9"/>
  <c r="O740" i="9"/>
  <c r="O739" i="9"/>
  <c r="O738" i="9"/>
  <c r="O737" i="9"/>
  <c r="O736" i="9"/>
  <c r="O735" i="9"/>
  <c r="O734" i="9"/>
  <c r="O733" i="9"/>
  <c r="O732" i="9"/>
  <c r="O731" i="9"/>
  <c r="O730" i="9"/>
  <c r="O729" i="9"/>
  <c r="O728" i="9"/>
  <c r="O727" i="9"/>
  <c r="O726" i="9"/>
  <c r="O725" i="9"/>
  <c r="O724" i="9"/>
  <c r="O720" i="9"/>
  <c r="O719" i="9"/>
  <c r="O718" i="9"/>
  <c r="O717" i="9"/>
  <c r="O716" i="9"/>
  <c r="O715" i="9"/>
  <c r="O714" i="9"/>
  <c r="O713" i="9"/>
  <c r="O712" i="9"/>
  <c r="O711" i="9"/>
  <c r="O709" i="9"/>
  <c r="O708" i="9"/>
  <c r="O705" i="9"/>
  <c r="O704" i="9"/>
  <c r="O703" i="9"/>
  <c r="O702" i="9"/>
  <c r="O698" i="9"/>
  <c r="O697" i="9"/>
  <c r="O696" i="9"/>
  <c r="O695" i="9"/>
  <c r="O694" i="9"/>
  <c r="O693" i="9"/>
  <c r="Q693" i="9" s="1"/>
  <c r="O692" i="9"/>
  <c r="O691" i="9"/>
  <c r="O690" i="9"/>
  <c r="Q690" i="9" s="1"/>
  <c r="O689" i="9"/>
  <c r="Q689" i="9" s="1"/>
  <c r="O688" i="9"/>
  <c r="O687" i="9"/>
  <c r="O685" i="9"/>
  <c r="O684" i="9"/>
  <c r="O683" i="9"/>
  <c r="O682" i="9"/>
  <c r="O681" i="9"/>
  <c r="O680" i="9"/>
  <c r="O679" i="9"/>
  <c r="O678" i="9"/>
  <c r="Q678" i="9" s="1"/>
  <c r="O677" i="9"/>
  <c r="Q677" i="9" s="1"/>
  <c r="O676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0" i="9"/>
  <c r="O659" i="9"/>
  <c r="O658" i="9"/>
  <c r="O657" i="9"/>
  <c r="Q657" i="9" s="1"/>
  <c r="O656" i="9"/>
  <c r="O655" i="9"/>
  <c r="O653" i="9"/>
  <c r="O652" i="9"/>
  <c r="O651" i="9"/>
  <c r="O650" i="9"/>
  <c r="O649" i="9"/>
  <c r="O648" i="9"/>
  <c r="O647" i="9"/>
  <c r="O646" i="9"/>
  <c r="O645" i="9"/>
  <c r="O642" i="9"/>
  <c r="O641" i="9"/>
  <c r="O640" i="9"/>
  <c r="O639" i="9"/>
  <c r="O638" i="9"/>
  <c r="O637" i="9"/>
  <c r="O636" i="9"/>
  <c r="O633" i="9"/>
  <c r="O632" i="9"/>
  <c r="O631" i="9"/>
  <c r="O630" i="9"/>
  <c r="O629" i="9"/>
  <c r="O628" i="9"/>
  <c r="O627" i="9"/>
  <c r="O626" i="9"/>
  <c r="O625" i="9"/>
  <c r="O624" i="9"/>
  <c r="O623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5" i="9"/>
  <c r="O604" i="9"/>
  <c r="O603" i="9"/>
  <c r="O602" i="9"/>
  <c r="Q602" i="9" s="1"/>
  <c r="O601" i="9"/>
  <c r="O600" i="9"/>
  <c r="O599" i="9"/>
  <c r="O598" i="9"/>
  <c r="O597" i="9"/>
  <c r="O596" i="9"/>
  <c r="O594" i="9"/>
  <c r="O593" i="9"/>
  <c r="O592" i="9"/>
  <c r="O591" i="9"/>
  <c r="O590" i="9"/>
  <c r="O589" i="9"/>
  <c r="O588" i="9"/>
  <c r="O587" i="9"/>
  <c r="O586" i="9"/>
  <c r="O585" i="9"/>
  <c r="O583" i="9"/>
  <c r="Q583" i="9" s="1"/>
  <c r="O582" i="9"/>
  <c r="O581" i="9"/>
  <c r="O580" i="9"/>
  <c r="O579" i="9"/>
  <c r="Q579" i="9" s="1"/>
  <c r="O578" i="9"/>
  <c r="Q578" i="9" s="1"/>
  <c r="O577" i="9"/>
  <c r="O576" i="9"/>
  <c r="O575" i="9"/>
  <c r="O574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29" i="9"/>
  <c r="O528" i="9"/>
  <c r="O527" i="9"/>
  <c r="Q527" i="9" s="1"/>
  <c r="O526" i="9"/>
  <c r="O525" i="9"/>
  <c r="O524" i="9"/>
  <c r="O521" i="9"/>
  <c r="O520" i="9"/>
  <c r="O519" i="9"/>
  <c r="O518" i="9"/>
  <c r="O517" i="9"/>
  <c r="O509" i="9"/>
  <c r="O508" i="9"/>
  <c r="O507" i="9"/>
  <c r="O506" i="9"/>
  <c r="O505" i="9"/>
  <c r="O504" i="9"/>
  <c r="O500" i="9"/>
  <c r="O499" i="9"/>
  <c r="O498" i="9"/>
  <c r="O497" i="9"/>
  <c r="O496" i="9"/>
  <c r="O495" i="9"/>
  <c r="O491" i="9"/>
  <c r="O490" i="9"/>
  <c r="O489" i="9"/>
  <c r="O488" i="9"/>
  <c r="O487" i="9"/>
  <c r="O486" i="9"/>
  <c r="O483" i="9"/>
  <c r="O482" i="9"/>
  <c r="O481" i="9"/>
  <c r="O480" i="9"/>
  <c r="O477" i="9"/>
  <c r="Q477" i="9" s="1"/>
  <c r="O476" i="9"/>
  <c r="O475" i="9"/>
  <c r="O474" i="9"/>
  <c r="O473" i="9"/>
  <c r="O472" i="9"/>
  <c r="O471" i="9"/>
  <c r="O470" i="9"/>
  <c r="O469" i="9"/>
  <c r="O466" i="9"/>
  <c r="O465" i="9"/>
  <c r="O464" i="9"/>
  <c r="O463" i="9"/>
  <c r="O462" i="9"/>
  <c r="O461" i="9"/>
  <c r="O460" i="9"/>
  <c r="O459" i="9"/>
  <c r="O458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1" i="9"/>
  <c r="O440" i="9"/>
  <c r="O439" i="9"/>
  <c r="O438" i="9"/>
  <c r="O437" i="9"/>
  <c r="O436" i="9"/>
  <c r="O435" i="9"/>
  <c r="O434" i="9"/>
  <c r="O433" i="9"/>
  <c r="O430" i="9"/>
  <c r="O429" i="9"/>
  <c r="O428" i="9"/>
  <c r="O427" i="9"/>
  <c r="O426" i="9"/>
  <c r="O425" i="9"/>
  <c r="O424" i="9"/>
  <c r="O423" i="9"/>
  <c r="O422" i="9"/>
  <c r="O421" i="9"/>
  <c r="O418" i="9"/>
  <c r="Q418" i="9" s="1"/>
  <c r="O417" i="9"/>
  <c r="O416" i="9"/>
  <c r="O415" i="9"/>
  <c r="O414" i="9"/>
  <c r="O413" i="9"/>
  <c r="O412" i="9"/>
  <c r="O411" i="9"/>
  <c r="O410" i="9"/>
  <c r="O409" i="9"/>
  <c r="O408" i="9"/>
  <c r="O407" i="9"/>
  <c r="O404" i="9"/>
  <c r="O403" i="9"/>
  <c r="O402" i="9"/>
  <c r="O401" i="9"/>
  <c r="O400" i="9"/>
  <c r="O399" i="9"/>
  <c r="Q399" i="9" s="1"/>
  <c r="O398" i="9"/>
  <c r="O397" i="9"/>
  <c r="O393" i="9"/>
  <c r="O392" i="9"/>
  <c r="O391" i="9"/>
  <c r="O390" i="9"/>
  <c r="O389" i="9"/>
  <c r="O388" i="9"/>
  <c r="O385" i="9"/>
  <c r="O384" i="9"/>
  <c r="O383" i="9"/>
  <c r="O382" i="9"/>
  <c r="Q382" i="9" s="1"/>
  <c r="O381" i="9"/>
  <c r="O380" i="9"/>
  <c r="O379" i="9"/>
  <c r="O378" i="9"/>
  <c r="O377" i="9"/>
  <c r="O376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59" i="9"/>
  <c r="O358" i="9"/>
  <c r="O357" i="9"/>
  <c r="O356" i="9"/>
  <c r="O355" i="9"/>
  <c r="O354" i="9"/>
  <c r="O353" i="9"/>
  <c r="O352" i="9"/>
  <c r="O351" i="9"/>
  <c r="O350" i="9"/>
  <c r="O347" i="9"/>
  <c r="O346" i="9"/>
  <c r="O345" i="9"/>
  <c r="O344" i="9"/>
  <c r="O343" i="9"/>
  <c r="O342" i="9"/>
  <c r="O341" i="9"/>
  <c r="O338" i="9"/>
  <c r="O337" i="9"/>
  <c r="O336" i="9"/>
  <c r="O335" i="9"/>
  <c r="O334" i="9"/>
  <c r="O333" i="9"/>
  <c r="O332" i="9"/>
  <c r="O331" i="9"/>
  <c r="O330" i="9"/>
  <c r="O329" i="9"/>
  <c r="O326" i="9"/>
  <c r="O325" i="9"/>
  <c r="Q325" i="9" s="1"/>
  <c r="O324" i="9"/>
  <c r="O323" i="9"/>
  <c r="Q323" i="9" s="1"/>
  <c r="O322" i="9"/>
  <c r="Q322" i="9" s="1"/>
  <c r="O321" i="9"/>
  <c r="O320" i="9"/>
  <c r="O319" i="9"/>
  <c r="O318" i="9"/>
  <c r="O317" i="9"/>
  <c r="O314" i="9"/>
  <c r="O313" i="9"/>
  <c r="O312" i="9"/>
  <c r="O311" i="9"/>
  <c r="O310" i="9"/>
  <c r="O309" i="9"/>
  <c r="O308" i="9"/>
  <c r="O307" i="9"/>
  <c r="Q307" i="9" s="1"/>
  <c r="O306" i="9"/>
  <c r="O305" i="9"/>
  <c r="O301" i="9"/>
  <c r="O300" i="9"/>
  <c r="O297" i="9"/>
  <c r="O296" i="9"/>
  <c r="O292" i="9"/>
  <c r="O291" i="9"/>
  <c r="O287" i="9"/>
  <c r="O286" i="9"/>
  <c r="O282" i="9"/>
  <c r="O281" i="9"/>
  <c r="O277" i="9"/>
  <c r="Q277" i="9" s="1"/>
  <c r="O276" i="9"/>
  <c r="O273" i="9"/>
  <c r="O272" i="9"/>
  <c r="O271" i="9"/>
  <c r="O270" i="9"/>
  <c r="O269" i="9"/>
  <c r="O268" i="9"/>
  <c r="O265" i="9"/>
  <c r="O264" i="9"/>
  <c r="O263" i="9"/>
  <c r="O262" i="9"/>
  <c r="O261" i="9"/>
  <c r="O260" i="9"/>
  <c r="O259" i="9"/>
  <c r="O256" i="9"/>
  <c r="O255" i="9"/>
  <c r="O254" i="9"/>
  <c r="O253" i="9"/>
  <c r="O252" i="9"/>
  <c r="O251" i="9"/>
  <c r="O250" i="9"/>
  <c r="O247" i="9"/>
  <c r="O246" i="9"/>
  <c r="O245" i="9"/>
  <c r="O244" i="9"/>
  <c r="O243" i="9"/>
  <c r="O240" i="9"/>
  <c r="O239" i="9"/>
  <c r="O238" i="9"/>
  <c r="O237" i="9"/>
  <c r="O236" i="9"/>
  <c r="O235" i="9"/>
  <c r="O234" i="9"/>
  <c r="O233" i="9"/>
  <c r="O232" i="9"/>
  <c r="O229" i="9"/>
  <c r="O228" i="9"/>
  <c r="O227" i="9"/>
  <c r="O226" i="9"/>
  <c r="O225" i="9"/>
  <c r="O224" i="9"/>
  <c r="O223" i="9"/>
  <c r="O222" i="9"/>
  <c r="O221" i="9"/>
  <c r="O218" i="9"/>
  <c r="O217" i="9"/>
  <c r="O216" i="9"/>
  <c r="O213" i="9"/>
  <c r="O212" i="9"/>
  <c r="O211" i="9"/>
  <c r="O210" i="9"/>
  <c r="O209" i="9"/>
  <c r="O208" i="9"/>
  <c r="O207" i="9"/>
  <c r="O206" i="9"/>
  <c r="O205" i="9"/>
  <c r="O203" i="9"/>
  <c r="O202" i="9"/>
  <c r="O201" i="9"/>
  <c r="O200" i="9"/>
  <c r="O199" i="9"/>
  <c r="O198" i="9"/>
  <c r="Q198" i="9" s="1"/>
  <c r="O197" i="9"/>
  <c r="Q197" i="9" s="1"/>
  <c r="O196" i="9"/>
  <c r="O195" i="9"/>
  <c r="O194" i="9"/>
  <c r="O191" i="9"/>
  <c r="O190" i="9"/>
  <c r="O189" i="9"/>
  <c r="O188" i="9"/>
  <c r="O187" i="9"/>
  <c r="O186" i="9"/>
  <c r="O185" i="9"/>
  <c r="O184" i="9"/>
  <c r="O183" i="9"/>
  <c r="O180" i="9"/>
  <c r="O179" i="9"/>
  <c r="Q179" i="9" s="1"/>
  <c r="O178" i="9"/>
  <c r="Q178" i="9" s="1"/>
  <c r="O177" i="9"/>
  <c r="O176" i="9"/>
  <c r="O175" i="9"/>
  <c r="O174" i="9"/>
  <c r="O173" i="9"/>
  <c r="O170" i="9"/>
  <c r="O169" i="9"/>
  <c r="O168" i="9"/>
  <c r="O167" i="9"/>
  <c r="O164" i="9"/>
  <c r="O163" i="9"/>
  <c r="O162" i="9"/>
  <c r="O161" i="9"/>
  <c r="Q161" i="9" s="1"/>
  <c r="O160" i="9"/>
  <c r="Q160" i="9" s="1"/>
  <c r="O157" i="9"/>
  <c r="O156" i="9"/>
  <c r="O155" i="9"/>
  <c r="O154" i="9"/>
  <c r="O153" i="9"/>
  <c r="O152" i="9"/>
  <c r="O149" i="9"/>
  <c r="O148" i="9"/>
  <c r="O147" i="9"/>
  <c r="O146" i="9"/>
  <c r="O143" i="9"/>
  <c r="O142" i="9"/>
  <c r="O141" i="9"/>
  <c r="O140" i="9"/>
  <c r="O139" i="9"/>
  <c r="O138" i="9"/>
  <c r="O135" i="9"/>
  <c r="O134" i="9"/>
  <c r="O133" i="9"/>
  <c r="O132" i="9"/>
  <c r="O131" i="9"/>
  <c r="O130" i="9"/>
  <c r="O129" i="9"/>
  <c r="O126" i="9"/>
  <c r="O125" i="9"/>
  <c r="O124" i="9"/>
  <c r="O123" i="9"/>
  <c r="O122" i="9"/>
  <c r="O121" i="9"/>
  <c r="O120" i="9"/>
  <c r="O117" i="9"/>
  <c r="O116" i="9"/>
  <c r="O115" i="9"/>
  <c r="O114" i="9"/>
  <c r="O113" i="9"/>
  <c r="O112" i="9"/>
  <c r="O111" i="9"/>
  <c r="O108" i="9"/>
  <c r="O107" i="9"/>
  <c r="O106" i="9"/>
  <c r="O105" i="9"/>
  <c r="O104" i="9"/>
  <c r="O103" i="9"/>
  <c r="O100" i="9"/>
  <c r="O99" i="9"/>
  <c r="O98" i="9"/>
  <c r="O97" i="9"/>
  <c r="O96" i="9"/>
  <c r="O93" i="9"/>
  <c r="O92" i="9"/>
  <c r="O91" i="9"/>
  <c r="O90" i="9"/>
  <c r="O87" i="9"/>
  <c r="O86" i="9"/>
  <c r="O85" i="9"/>
  <c r="O84" i="9"/>
  <c r="O81" i="9"/>
  <c r="O80" i="9"/>
  <c r="O79" i="9"/>
  <c r="O78" i="9"/>
  <c r="O77" i="9"/>
  <c r="O76" i="9"/>
  <c r="O75" i="9"/>
  <c r="O74" i="9"/>
  <c r="O73" i="9"/>
  <c r="O70" i="9"/>
  <c r="Q70" i="9" s="1"/>
  <c r="O69" i="9"/>
  <c r="O68" i="9"/>
  <c r="O67" i="9"/>
  <c r="O66" i="9"/>
  <c r="Q66" i="9" s="1"/>
  <c r="O65" i="9"/>
  <c r="O64" i="9"/>
  <c r="Q64" i="9" s="1"/>
  <c r="O63" i="9"/>
  <c r="O62" i="9"/>
  <c r="O61" i="9"/>
  <c r="O60" i="9"/>
  <c r="O59" i="9"/>
  <c r="O58" i="9"/>
  <c r="O57" i="9"/>
  <c r="O54" i="9"/>
  <c r="O53" i="9"/>
  <c r="O52" i="9"/>
  <c r="O51" i="9"/>
  <c r="O50" i="9"/>
  <c r="Q50" i="9" s="1"/>
  <c r="O49" i="9"/>
  <c r="Q49" i="9" s="1"/>
  <c r="O48" i="9"/>
  <c r="O47" i="9"/>
  <c r="O46" i="9"/>
  <c r="O43" i="9"/>
  <c r="O42" i="9"/>
  <c r="O41" i="9"/>
  <c r="O40" i="9"/>
  <c r="O39" i="9"/>
  <c r="O38" i="9"/>
  <c r="O37" i="9"/>
  <c r="O36" i="9"/>
  <c r="O35" i="9"/>
  <c r="O32" i="9"/>
  <c r="O31" i="9"/>
  <c r="O30" i="9"/>
  <c r="O29" i="9"/>
  <c r="O28" i="9"/>
  <c r="O27" i="9"/>
  <c r="O26" i="9"/>
  <c r="O25" i="9"/>
  <c r="O24" i="9"/>
  <c r="O21" i="9"/>
  <c r="O20" i="9"/>
  <c r="O19" i="9"/>
  <c r="O18" i="9"/>
  <c r="O17" i="9"/>
  <c r="O16" i="9"/>
  <c r="O15" i="9"/>
  <c r="O14" i="9"/>
  <c r="O13" i="9"/>
  <c r="O10" i="9"/>
  <c r="O9" i="9"/>
  <c r="O8" i="9"/>
  <c r="O7" i="9"/>
  <c r="O6" i="9"/>
  <c r="O5" i="9"/>
  <c r="O4" i="9"/>
  <c r="O3" i="9"/>
  <c r="O2" i="9"/>
  <c r="N1879" i="9"/>
  <c r="O1879" i="9" s="1"/>
  <c r="N1878" i="9"/>
  <c r="O1878" i="9" s="1"/>
  <c r="N1877" i="9"/>
  <c r="N1876" i="9"/>
  <c r="N1875" i="9"/>
  <c r="N1874" i="9"/>
  <c r="N1873" i="9"/>
  <c r="N1872" i="9"/>
  <c r="N1871" i="9"/>
  <c r="O1871" i="9" s="1"/>
  <c r="N1870" i="9"/>
  <c r="O1870" i="9" s="1"/>
  <c r="N1869" i="9"/>
  <c r="N1868" i="9"/>
  <c r="N1867" i="9"/>
  <c r="N1866" i="9"/>
  <c r="N1865" i="9"/>
  <c r="N1864" i="9"/>
  <c r="N1863" i="9"/>
  <c r="O1863" i="9" s="1"/>
  <c r="N1862" i="9"/>
  <c r="O1862" i="9" s="1"/>
  <c r="N1861" i="9"/>
  <c r="O1861" i="9" s="1"/>
  <c r="N1860" i="9"/>
  <c r="N1859" i="9"/>
  <c r="N1858" i="9"/>
  <c r="N1857" i="9"/>
  <c r="N1856" i="9"/>
  <c r="N1855" i="9"/>
  <c r="N1854" i="9"/>
  <c r="N1853" i="9"/>
  <c r="N1852" i="9"/>
  <c r="N1851" i="9"/>
  <c r="N1850" i="9"/>
  <c r="O1850" i="9" s="1"/>
  <c r="N1849" i="9"/>
  <c r="N1848" i="9"/>
  <c r="N1847" i="9"/>
  <c r="O1847" i="9" s="1"/>
  <c r="N1846" i="9"/>
  <c r="N1845" i="9"/>
  <c r="N1844" i="9"/>
  <c r="O1844" i="9" s="1"/>
  <c r="N1843" i="9"/>
  <c r="O1843" i="9" s="1"/>
  <c r="N1842" i="9"/>
  <c r="N1841" i="9"/>
  <c r="N1840" i="9"/>
  <c r="O1840" i="9" s="1"/>
  <c r="N1839" i="9"/>
  <c r="O1839" i="9" s="1"/>
  <c r="N1838" i="9"/>
  <c r="O1838" i="9" s="1"/>
  <c r="N1837" i="9"/>
  <c r="N1836" i="9"/>
  <c r="N1835" i="9"/>
  <c r="N1834" i="9"/>
  <c r="N1833" i="9"/>
  <c r="N1832" i="9"/>
  <c r="N1831" i="9"/>
  <c r="N1830" i="9"/>
  <c r="O1830" i="9" s="1"/>
  <c r="N1829" i="9"/>
  <c r="O1829" i="9" s="1"/>
  <c r="N1828" i="9"/>
  <c r="N1827" i="9"/>
  <c r="O1827" i="9" s="1"/>
  <c r="N1826" i="9"/>
  <c r="N1825" i="9"/>
  <c r="N1824" i="9"/>
  <c r="N1823" i="9"/>
  <c r="N1822" i="9"/>
  <c r="N1821" i="9"/>
  <c r="N1820" i="9"/>
  <c r="N1819" i="9"/>
  <c r="N1818" i="9"/>
  <c r="N1817" i="9"/>
  <c r="N1816" i="9"/>
  <c r="O1816" i="9" s="1"/>
  <c r="N1815" i="9"/>
  <c r="O1815" i="9" s="1"/>
  <c r="N1814" i="9"/>
  <c r="N1813" i="9"/>
  <c r="N1812" i="9"/>
  <c r="N1811" i="9"/>
  <c r="O1811" i="9" s="1"/>
  <c r="N1810" i="9"/>
  <c r="O1810" i="9" s="1"/>
  <c r="N1809" i="9"/>
  <c r="N1808" i="9"/>
  <c r="N1807" i="9"/>
  <c r="O1807" i="9" s="1"/>
  <c r="N1806" i="9"/>
  <c r="O1806" i="9" s="1"/>
  <c r="N1805" i="9"/>
  <c r="N1804" i="9"/>
  <c r="N1803" i="9"/>
  <c r="N1802" i="9"/>
  <c r="N1801" i="9"/>
  <c r="N1800" i="9"/>
  <c r="N1799" i="9"/>
  <c r="N1798" i="9"/>
  <c r="N1797" i="9"/>
  <c r="N1796" i="9"/>
  <c r="N1795" i="9"/>
  <c r="N1794" i="9"/>
  <c r="N1793" i="9"/>
  <c r="N1792" i="9"/>
  <c r="N1791" i="9"/>
  <c r="N1790" i="9"/>
  <c r="N1789" i="9"/>
  <c r="N1788" i="9"/>
  <c r="N1787" i="9"/>
  <c r="N1786" i="9"/>
  <c r="N1785" i="9"/>
  <c r="N1784" i="9"/>
  <c r="N1783" i="9"/>
  <c r="N1782" i="9"/>
  <c r="N1781" i="9"/>
  <c r="N1780" i="9"/>
  <c r="N1779" i="9"/>
  <c r="N1778" i="9"/>
  <c r="N1777" i="9"/>
  <c r="N1776" i="9"/>
  <c r="N1775" i="9"/>
  <c r="N1774" i="9"/>
  <c r="N1773" i="9"/>
  <c r="N1772" i="9"/>
  <c r="N1771" i="9"/>
  <c r="N1770" i="9"/>
  <c r="N1769" i="9"/>
  <c r="N1768" i="9"/>
  <c r="N1767" i="9"/>
  <c r="N1766" i="9"/>
  <c r="N1765" i="9"/>
  <c r="N1764" i="9"/>
  <c r="N1763" i="9"/>
  <c r="N1762" i="9"/>
  <c r="N1761" i="9"/>
  <c r="N1760" i="9"/>
  <c r="N1759" i="9"/>
  <c r="N1758" i="9"/>
  <c r="N1757" i="9"/>
  <c r="N1756" i="9"/>
  <c r="N1755" i="9"/>
  <c r="N1754" i="9"/>
  <c r="N1753" i="9"/>
  <c r="N1752" i="9"/>
  <c r="N1751" i="9"/>
  <c r="N1750" i="9"/>
  <c r="N1749" i="9"/>
  <c r="N1748" i="9"/>
  <c r="N1747" i="9"/>
  <c r="N1746" i="9"/>
  <c r="N1745" i="9"/>
  <c r="N1744" i="9"/>
  <c r="N1743" i="9"/>
  <c r="N1742" i="9"/>
  <c r="N1741" i="9"/>
  <c r="N1740" i="9"/>
  <c r="N1739" i="9"/>
  <c r="N1738" i="9"/>
  <c r="N1737" i="9"/>
  <c r="N1736" i="9"/>
  <c r="N1735" i="9"/>
  <c r="N1734" i="9"/>
  <c r="N1733" i="9"/>
  <c r="N1732" i="9"/>
  <c r="N1731" i="9"/>
  <c r="N1730" i="9"/>
  <c r="N1729" i="9"/>
  <c r="N1728" i="9"/>
  <c r="N1727" i="9"/>
  <c r="N1726" i="9"/>
  <c r="N1725" i="9"/>
  <c r="N1724" i="9"/>
  <c r="N1723" i="9"/>
  <c r="N1722" i="9"/>
  <c r="N1721" i="9"/>
  <c r="N1720" i="9"/>
  <c r="N1719" i="9"/>
  <c r="N1718" i="9"/>
  <c r="N1717" i="9"/>
  <c r="N1716" i="9"/>
  <c r="N1715" i="9"/>
  <c r="N1714" i="9"/>
  <c r="N1713" i="9"/>
  <c r="N1712" i="9"/>
  <c r="N1711" i="9"/>
  <c r="N1710" i="9"/>
  <c r="N1709" i="9"/>
  <c r="N1708" i="9"/>
  <c r="N1707" i="9"/>
  <c r="N1706" i="9"/>
  <c r="N1705" i="9"/>
  <c r="N1704" i="9"/>
  <c r="N1703" i="9"/>
  <c r="N1702" i="9"/>
  <c r="N1701" i="9"/>
  <c r="N1700" i="9"/>
  <c r="N1699" i="9"/>
  <c r="N1698" i="9"/>
  <c r="N1697" i="9"/>
  <c r="N1696" i="9"/>
  <c r="N1695" i="9"/>
  <c r="N1694" i="9"/>
  <c r="N1693" i="9"/>
  <c r="N1692" i="9"/>
  <c r="N1691" i="9"/>
  <c r="N1690" i="9"/>
  <c r="N1689" i="9"/>
  <c r="N1688" i="9"/>
  <c r="N1687" i="9"/>
  <c r="N1686" i="9"/>
  <c r="N1685" i="9"/>
  <c r="N1684" i="9"/>
  <c r="N1683" i="9"/>
  <c r="N1682" i="9"/>
  <c r="N1681" i="9"/>
  <c r="N1680" i="9"/>
  <c r="N1679" i="9"/>
  <c r="N1678" i="9"/>
  <c r="N1677" i="9"/>
  <c r="N1676" i="9"/>
  <c r="N1675" i="9"/>
  <c r="N1674" i="9"/>
  <c r="N1673" i="9"/>
  <c r="N1672" i="9"/>
  <c r="O1672" i="9" s="1"/>
  <c r="N1671" i="9"/>
  <c r="O1671" i="9" s="1"/>
  <c r="N1670" i="9"/>
  <c r="N1669" i="9"/>
  <c r="N1668" i="9"/>
  <c r="N1667" i="9"/>
  <c r="N1666" i="9"/>
  <c r="N1665" i="9"/>
  <c r="N1664" i="9"/>
  <c r="N1663" i="9"/>
  <c r="N1662" i="9"/>
  <c r="N1661" i="9"/>
  <c r="N1660" i="9"/>
  <c r="O1660" i="9" s="1"/>
  <c r="N1659" i="9"/>
  <c r="O1659" i="9" s="1"/>
  <c r="N1658" i="9"/>
  <c r="N1657" i="9"/>
  <c r="N1656" i="9"/>
  <c r="N1655" i="9"/>
  <c r="N1654" i="9"/>
  <c r="N1653" i="9"/>
  <c r="N1652" i="9"/>
  <c r="N1651" i="9"/>
  <c r="N1650" i="9"/>
  <c r="N1649" i="9"/>
  <c r="N1648" i="9"/>
  <c r="O1648" i="9" s="1"/>
  <c r="N1647" i="9"/>
  <c r="O1647" i="9" s="1"/>
  <c r="N1646" i="9"/>
  <c r="N1645" i="9"/>
  <c r="N1644" i="9"/>
  <c r="N1643" i="9"/>
  <c r="N1642" i="9"/>
  <c r="N1641" i="9"/>
  <c r="N1640" i="9"/>
  <c r="N1639" i="9"/>
  <c r="N1638" i="9"/>
  <c r="N1637" i="9"/>
  <c r="N1636" i="9"/>
  <c r="N1635" i="9"/>
  <c r="N1634" i="9"/>
  <c r="N1633" i="9"/>
  <c r="N1632" i="9"/>
  <c r="N1631" i="9"/>
  <c r="N1630" i="9"/>
  <c r="N1629" i="9"/>
  <c r="N1628" i="9"/>
  <c r="N1627" i="9"/>
  <c r="N1626" i="9"/>
  <c r="N1625" i="9"/>
  <c r="N1624" i="9"/>
  <c r="N1623" i="9"/>
  <c r="N1622" i="9"/>
  <c r="N1621" i="9"/>
  <c r="N1620" i="9"/>
  <c r="N1619" i="9"/>
  <c r="N1618" i="9"/>
  <c r="N1617" i="9"/>
  <c r="N1616" i="9"/>
  <c r="N1615" i="9"/>
  <c r="N1614" i="9"/>
  <c r="N1613" i="9"/>
  <c r="N1612" i="9"/>
  <c r="N1611" i="9"/>
  <c r="N1610" i="9"/>
  <c r="N1609" i="9"/>
  <c r="N1608" i="9"/>
  <c r="N1607" i="9"/>
  <c r="N1606" i="9"/>
  <c r="N1605" i="9"/>
  <c r="N1604" i="9"/>
  <c r="N1603" i="9"/>
  <c r="N1602" i="9"/>
  <c r="N1601" i="9"/>
  <c r="N1600" i="9"/>
  <c r="N1599" i="9"/>
  <c r="N1598" i="9"/>
  <c r="N1597" i="9"/>
  <c r="N1596" i="9"/>
  <c r="N1595" i="9"/>
  <c r="N1594" i="9"/>
  <c r="N1593" i="9"/>
  <c r="N1592" i="9"/>
  <c r="N1591" i="9"/>
  <c r="N1590" i="9"/>
  <c r="N1589" i="9"/>
  <c r="N1588" i="9"/>
  <c r="N1587" i="9"/>
  <c r="N1586" i="9"/>
  <c r="N1585" i="9"/>
  <c r="N1584" i="9"/>
  <c r="N1583" i="9"/>
  <c r="N1582" i="9"/>
  <c r="N1581" i="9"/>
  <c r="N1580" i="9"/>
  <c r="N1579" i="9"/>
  <c r="N1578" i="9"/>
  <c r="N1577" i="9"/>
  <c r="N1576" i="9"/>
  <c r="N1575" i="9"/>
  <c r="N1574" i="9"/>
  <c r="N1573" i="9"/>
  <c r="N1572" i="9"/>
  <c r="N1571" i="9"/>
  <c r="N1570" i="9"/>
  <c r="N1569" i="9"/>
  <c r="N1568" i="9"/>
  <c r="N1567" i="9"/>
  <c r="N1566" i="9"/>
  <c r="N1565" i="9"/>
  <c r="N1564" i="9"/>
  <c r="N1563" i="9"/>
  <c r="N1562" i="9"/>
  <c r="N1561" i="9"/>
  <c r="N1560" i="9"/>
  <c r="N1559" i="9"/>
  <c r="N1558" i="9"/>
  <c r="N1557" i="9"/>
  <c r="N1556" i="9"/>
  <c r="N1555" i="9"/>
  <c r="N1554" i="9"/>
  <c r="N1553" i="9"/>
  <c r="N1552" i="9"/>
  <c r="N1551" i="9"/>
  <c r="N1550" i="9"/>
  <c r="N1549" i="9"/>
  <c r="N1548" i="9"/>
  <c r="N1547" i="9"/>
  <c r="N1546" i="9"/>
  <c r="N1545" i="9"/>
  <c r="N1544" i="9"/>
  <c r="N1543" i="9"/>
  <c r="N1542" i="9"/>
  <c r="N1541" i="9"/>
  <c r="N1540" i="9"/>
  <c r="N1539" i="9"/>
  <c r="N1538" i="9"/>
  <c r="N1537" i="9"/>
  <c r="N1536" i="9"/>
  <c r="N1535" i="9"/>
  <c r="N1534" i="9"/>
  <c r="N1533" i="9"/>
  <c r="N1532" i="9"/>
  <c r="N1531" i="9"/>
  <c r="N1530" i="9"/>
  <c r="N1529" i="9"/>
  <c r="N1528" i="9"/>
  <c r="N1527" i="9"/>
  <c r="N1526" i="9"/>
  <c r="N1525" i="9"/>
  <c r="N1524" i="9"/>
  <c r="N1523" i="9"/>
  <c r="N1522" i="9"/>
  <c r="N1521" i="9"/>
  <c r="N1520" i="9"/>
  <c r="N1519" i="9"/>
  <c r="N1518" i="9"/>
  <c r="N1517" i="9"/>
  <c r="N1516" i="9"/>
  <c r="N1515" i="9"/>
  <c r="N1514" i="9"/>
  <c r="N1513" i="9"/>
  <c r="N1512" i="9"/>
  <c r="N1511" i="9"/>
  <c r="N1510" i="9"/>
  <c r="N1509" i="9"/>
  <c r="N1508" i="9"/>
  <c r="N1507" i="9"/>
  <c r="N1506" i="9"/>
  <c r="N1505" i="9"/>
  <c r="N1504" i="9"/>
  <c r="N1503" i="9"/>
  <c r="N1502" i="9"/>
  <c r="N1501" i="9"/>
  <c r="N1500" i="9"/>
  <c r="N1499" i="9"/>
  <c r="N1498" i="9"/>
  <c r="N1497" i="9"/>
  <c r="N1496" i="9"/>
  <c r="N1495" i="9"/>
  <c r="N1494" i="9"/>
  <c r="N1493" i="9"/>
  <c r="N1492" i="9"/>
  <c r="N1491" i="9"/>
  <c r="N1490" i="9"/>
  <c r="N1489" i="9"/>
  <c r="N1488" i="9"/>
  <c r="N1487" i="9"/>
  <c r="N1486" i="9"/>
  <c r="N1485" i="9"/>
  <c r="N1484" i="9"/>
  <c r="N1483" i="9"/>
  <c r="N1482" i="9"/>
  <c r="N1481" i="9"/>
  <c r="N1480" i="9"/>
  <c r="N1479" i="9"/>
  <c r="N1478" i="9"/>
  <c r="N1477" i="9"/>
  <c r="N1476" i="9"/>
  <c r="N1475" i="9"/>
  <c r="N1474" i="9"/>
  <c r="N1473" i="9"/>
  <c r="N1472" i="9"/>
  <c r="N1471" i="9"/>
  <c r="N1470" i="9"/>
  <c r="N1469" i="9"/>
  <c r="N1468" i="9"/>
  <c r="N1467" i="9"/>
  <c r="N1466" i="9"/>
  <c r="N1465" i="9"/>
  <c r="N1464" i="9"/>
  <c r="N1463" i="9"/>
  <c r="N1462" i="9"/>
  <c r="N1461" i="9"/>
  <c r="N1460" i="9"/>
  <c r="N1459" i="9"/>
  <c r="N1458" i="9"/>
  <c r="N1457" i="9"/>
  <c r="N1456" i="9"/>
  <c r="N1455" i="9"/>
  <c r="N1454" i="9"/>
  <c r="N1453" i="9"/>
  <c r="N1452" i="9"/>
  <c r="N1451" i="9"/>
  <c r="N1450" i="9"/>
  <c r="N1449" i="9"/>
  <c r="N1448" i="9"/>
  <c r="N1447" i="9"/>
  <c r="N1446" i="9"/>
  <c r="N1445" i="9"/>
  <c r="N1444" i="9"/>
  <c r="N1443" i="9"/>
  <c r="N1442" i="9"/>
  <c r="N1441" i="9"/>
  <c r="N1440" i="9"/>
  <c r="N1439" i="9"/>
  <c r="N1438" i="9"/>
  <c r="N1437" i="9"/>
  <c r="N1436" i="9"/>
  <c r="N1435" i="9"/>
  <c r="N1434" i="9"/>
  <c r="N1433" i="9"/>
  <c r="N1432" i="9"/>
  <c r="N1431" i="9"/>
  <c r="N1430" i="9"/>
  <c r="N1429" i="9"/>
  <c r="N1428" i="9"/>
  <c r="N1427" i="9"/>
  <c r="N1426" i="9"/>
  <c r="N1425" i="9"/>
  <c r="O1425" i="9" s="1"/>
  <c r="N1424" i="9"/>
  <c r="O1424" i="9" s="1"/>
  <c r="N1423" i="9"/>
  <c r="N1422" i="9"/>
  <c r="N1421" i="9"/>
  <c r="N1420" i="9"/>
  <c r="N1419" i="9"/>
  <c r="N1418" i="9"/>
  <c r="O1418" i="9" s="1"/>
  <c r="N1417" i="9"/>
  <c r="O1417" i="9" s="1"/>
  <c r="N1416" i="9"/>
  <c r="N1415" i="9"/>
  <c r="N1414" i="9"/>
  <c r="N1413" i="9"/>
  <c r="N1412" i="9"/>
  <c r="O1412" i="9" s="1"/>
  <c r="N1411" i="9"/>
  <c r="O1411" i="9" s="1"/>
  <c r="N1410" i="9"/>
  <c r="N1409" i="9"/>
  <c r="N1408" i="9"/>
  <c r="N1407" i="9"/>
  <c r="N1406" i="9"/>
  <c r="O1406" i="9" s="1"/>
  <c r="N1405" i="9"/>
  <c r="O1405" i="9" s="1"/>
  <c r="Q1405" i="9" s="1"/>
  <c r="N1404" i="9"/>
  <c r="N1403" i="9"/>
  <c r="N1402" i="9"/>
  <c r="N1401" i="9"/>
  <c r="N1400" i="9"/>
  <c r="N1399" i="9"/>
  <c r="N1398" i="9"/>
  <c r="N1397" i="9"/>
  <c r="N1396" i="9"/>
  <c r="N1395" i="9"/>
  <c r="N1394" i="9"/>
  <c r="N1393" i="9"/>
  <c r="N1392" i="9"/>
  <c r="N1391" i="9"/>
  <c r="N1390" i="9"/>
  <c r="N1389" i="9"/>
  <c r="N1388" i="9"/>
  <c r="N1387" i="9"/>
  <c r="N1386" i="9"/>
  <c r="N1385" i="9"/>
  <c r="N1384" i="9"/>
  <c r="N1383" i="9"/>
  <c r="N1382" i="9"/>
  <c r="N1381" i="9"/>
  <c r="N1380" i="9"/>
  <c r="O1380" i="9" s="1"/>
  <c r="N1379" i="9"/>
  <c r="O1379" i="9" s="1"/>
  <c r="N1378" i="9"/>
  <c r="N1377" i="9"/>
  <c r="N1376" i="9"/>
  <c r="N1375" i="9"/>
  <c r="N1374" i="9"/>
  <c r="N1373" i="9"/>
  <c r="N1372" i="9"/>
  <c r="N1371" i="9"/>
  <c r="N1370" i="9"/>
  <c r="N1369" i="9"/>
  <c r="O1369" i="9" s="1"/>
  <c r="N1368" i="9"/>
  <c r="O1368" i="9" s="1"/>
  <c r="N1367" i="9"/>
  <c r="N1366" i="9"/>
  <c r="N1365" i="9"/>
  <c r="O1365" i="9" s="1"/>
  <c r="N1364" i="9"/>
  <c r="O1364" i="9" s="1"/>
  <c r="N1363" i="9"/>
  <c r="N1362" i="9"/>
  <c r="N1361" i="9"/>
  <c r="N1360" i="9"/>
  <c r="N1359" i="9"/>
  <c r="N1358" i="9"/>
  <c r="N1357" i="9"/>
  <c r="N1356" i="9"/>
  <c r="N1355" i="9"/>
  <c r="N1354" i="9"/>
  <c r="N1353" i="9"/>
  <c r="N1352" i="9"/>
  <c r="N1351" i="9"/>
  <c r="N1350" i="9"/>
  <c r="O1350" i="9" s="1"/>
  <c r="N1349" i="9"/>
  <c r="N1348" i="9"/>
  <c r="N1347" i="9"/>
  <c r="N1346" i="9"/>
  <c r="N1345" i="9"/>
  <c r="N1344" i="9"/>
  <c r="N1343" i="9"/>
  <c r="N1342" i="9"/>
  <c r="N1341" i="9"/>
  <c r="N1340" i="9"/>
  <c r="N1339" i="9"/>
  <c r="N1338" i="9"/>
  <c r="N1337" i="9"/>
  <c r="O1337" i="9" s="1"/>
  <c r="N1336" i="9"/>
  <c r="N1335" i="9"/>
  <c r="N1334" i="9"/>
  <c r="N1333" i="9"/>
  <c r="N1332" i="9"/>
  <c r="N1331" i="9"/>
  <c r="N1330" i="9"/>
  <c r="N1329" i="9"/>
  <c r="N1328" i="9"/>
  <c r="N1327" i="9"/>
  <c r="N1326" i="9"/>
  <c r="O1326" i="9" s="1"/>
  <c r="N1325" i="9"/>
  <c r="O1325" i="9" s="1"/>
  <c r="Q1325" i="9" s="1"/>
  <c r="N1324" i="9"/>
  <c r="N1323" i="9"/>
  <c r="N1322" i="9"/>
  <c r="N1321" i="9"/>
  <c r="N1320" i="9"/>
  <c r="N1319" i="9"/>
  <c r="N1318" i="9"/>
  <c r="N1317" i="9"/>
  <c r="N1316" i="9"/>
  <c r="N1315" i="9"/>
  <c r="N1314" i="9"/>
  <c r="N1313" i="9"/>
  <c r="N1312" i="9"/>
  <c r="O1312" i="9" s="1"/>
  <c r="N1311" i="9"/>
  <c r="N1310" i="9"/>
  <c r="N1309" i="9"/>
  <c r="N1308" i="9"/>
  <c r="N1307" i="9"/>
  <c r="N1306" i="9"/>
  <c r="N1305" i="9"/>
  <c r="N1304" i="9"/>
  <c r="N1303" i="9"/>
  <c r="N1302" i="9"/>
  <c r="N1301" i="9"/>
  <c r="N1300" i="9"/>
  <c r="N1299" i="9"/>
  <c r="N1298" i="9"/>
  <c r="N1297" i="9"/>
  <c r="N1296" i="9"/>
  <c r="O1296" i="9" s="1"/>
  <c r="N1295" i="9"/>
  <c r="O1295" i="9" s="1"/>
  <c r="N1294" i="9"/>
  <c r="N1293" i="9"/>
  <c r="N1292" i="9"/>
  <c r="N1291" i="9"/>
  <c r="N1290" i="9"/>
  <c r="O1290" i="9" s="1"/>
  <c r="N1289" i="9"/>
  <c r="N1288" i="9"/>
  <c r="N1287" i="9"/>
  <c r="N1286" i="9"/>
  <c r="N1285" i="9"/>
  <c r="O1285" i="9" s="1"/>
  <c r="N1284" i="9"/>
  <c r="O1284" i="9" s="1"/>
  <c r="N1283" i="9"/>
  <c r="N1282" i="9"/>
  <c r="N1281" i="9"/>
  <c r="N1280" i="9"/>
  <c r="N1279" i="9"/>
  <c r="N1278" i="9"/>
  <c r="N1277" i="9"/>
  <c r="N1276" i="9"/>
  <c r="N1275" i="9"/>
  <c r="N1274" i="9"/>
  <c r="N1273" i="9"/>
  <c r="O1273" i="9" s="1"/>
  <c r="N1272" i="9"/>
  <c r="O1272" i="9" s="1"/>
  <c r="N1271" i="9"/>
  <c r="N1270" i="9"/>
  <c r="N1269" i="9"/>
  <c r="N1268" i="9"/>
  <c r="N1267" i="9"/>
  <c r="N1266" i="9"/>
  <c r="N1265" i="9"/>
  <c r="N1264" i="9"/>
  <c r="N1263" i="9"/>
  <c r="N1262" i="9"/>
  <c r="N1261" i="9"/>
  <c r="N1260" i="9"/>
  <c r="N1259" i="9"/>
  <c r="N1258" i="9"/>
  <c r="N1257" i="9"/>
  <c r="N1256" i="9"/>
  <c r="O1256" i="9" s="1"/>
  <c r="N1255" i="9"/>
  <c r="O1255" i="9" s="1"/>
  <c r="N1254" i="9"/>
  <c r="N1253" i="9"/>
  <c r="N1252" i="9"/>
  <c r="N1251" i="9"/>
  <c r="O1251" i="9" s="1"/>
  <c r="N1250" i="9"/>
  <c r="O1250" i="9" s="1"/>
  <c r="N1249" i="9"/>
  <c r="N1248" i="9"/>
  <c r="N1247" i="9"/>
  <c r="N1246" i="9"/>
  <c r="N1245" i="9"/>
  <c r="N1244" i="9"/>
  <c r="N1243" i="9"/>
  <c r="O1243" i="9" s="1"/>
  <c r="N1242" i="9"/>
  <c r="O1242" i="9" s="1"/>
  <c r="N1241" i="9"/>
  <c r="N1240" i="9"/>
  <c r="N1239" i="9"/>
  <c r="N1238" i="9"/>
  <c r="N1237" i="9"/>
  <c r="N1236" i="9"/>
  <c r="N1235" i="9"/>
  <c r="O1235" i="9" s="1"/>
  <c r="N1234" i="9"/>
  <c r="O1234" i="9" s="1"/>
  <c r="N1233" i="9"/>
  <c r="N1232" i="9"/>
  <c r="N1231" i="9"/>
  <c r="N1230" i="9"/>
  <c r="N1229" i="9"/>
  <c r="N1228" i="9"/>
  <c r="O1228" i="9" s="1"/>
  <c r="N1227" i="9"/>
  <c r="N1226" i="9"/>
  <c r="N1225" i="9"/>
  <c r="N1224" i="9"/>
  <c r="O1224" i="9" s="1"/>
  <c r="N1223" i="9"/>
  <c r="O1223" i="9" s="1"/>
  <c r="N1222" i="9"/>
  <c r="N1221" i="9"/>
  <c r="N1220" i="9"/>
  <c r="N1219" i="9"/>
  <c r="N1218" i="9"/>
  <c r="N1217" i="9"/>
  <c r="N1216" i="9"/>
  <c r="O1216" i="9" s="1"/>
  <c r="N1215" i="9"/>
  <c r="O1215" i="9" s="1"/>
  <c r="N1214" i="9"/>
  <c r="N1213" i="9"/>
  <c r="N1212" i="9"/>
  <c r="N1211" i="9"/>
  <c r="N1210" i="9"/>
  <c r="N1209" i="9"/>
  <c r="N1208" i="9"/>
  <c r="O1208" i="9" s="1"/>
  <c r="N1207" i="9"/>
  <c r="O1207" i="9" s="1"/>
  <c r="N1206" i="9"/>
  <c r="N1205" i="9"/>
  <c r="N1204" i="9"/>
  <c r="N1203" i="9"/>
  <c r="N1202" i="9"/>
  <c r="N1201" i="9"/>
  <c r="N1200" i="9"/>
  <c r="O1200" i="9" s="1"/>
  <c r="N1199" i="9"/>
  <c r="O1199" i="9" s="1"/>
  <c r="N1198" i="9"/>
  <c r="N1197" i="9"/>
  <c r="N1196" i="9"/>
  <c r="N1195" i="9"/>
  <c r="N1194" i="9"/>
  <c r="N1193" i="9"/>
  <c r="N1192" i="9"/>
  <c r="O1192" i="9" s="1"/>
  <c r="N1191" i="9"/>
  <c r="O1191" i="9" s="1"/>
  <c r="N1190" i="9"/>
  <c r="N1189" i="9"/>
  <c r="N1188" i="9"/>
  <c r="N1187" i="9"/>
  <c r="N1186" i="9"/>
  <c r="N1185" i="9"/>
  <c r="N1184" i="9"/>
  <c r="O1184" i="9" s="1"/>
  <c r="N1183" i="9"/>
  <c r="O1183" i="9" s="1"/>
  <c r="N1182" i="9"/>
  <c r="N1181" i="9"/>
  <c r="N1180" i="9"/>
  <c r="N1179" i="9"/>
  <c r="N1178" i="9"/>
  <c r="N1177" i="9"/>
  <c r="N1176" i="9"/>
  <c r="O1176" i="9" s="1"/>
  <c r="N1175" i="9"/>
  <c r="N1174" i="9"/>
  <c r="N1173" i="9"/>
  <c r="N1172" i="9"/>
  <c r="N1171" i="9"/>
  <c r="O1171" i="9" s="1"/>
  <c r="N1170" i="9"/>
  <c r="O1170" i="9" s="1"/>
  <c r="N1169" i="9"/>
  <c r="O1169" i="9" s="1"/>
  <c r="N1168" i="9"/>
  <c r="N1167" i="9"/>
  <c r="N1166" i="9"/>
  <c r="N1165" i="9"/>
  <c r="N1164" i="9"/>
  <c r="O1164" i="9" s="1"/>
  <c r="N1163" i="9"/>
  <c r="O1163" i="9" s="1"/>
  <c r="N1162" i="9"/>
  <c r="O1162" i="9" s="1"/>
  <c r="N1161" i="9"/>
  <c r="N1160" i="9"/>
  <c r="N1159" i="9"/>
  <c r="O1159" i="9" s="1"/>
  <c r="N1158" i="9"/>
  <c r="O1158" i="9" s="1"/>
  <c r="N1157" i="9"/>
  <c r="N1156" i="9"/>
  <c r="N1155" i="9"/>
  <c r="N1154" i="9"/>
  <c r="N1153" i="9"/>
  <c r="N1152" i="9"/>
  <c r="N1151" i="9"/>
  <c r="O1151" i="9" s="1"/>
  <c r="N1150" i="9"/>
  <c r="O1150" i="9" s="1"/>
  <c r="N1149" i="9"/>
  <c r="N1148" i="9"/>
  <c r="N1147" i="9"/>
  <c r="N1146" i="9"/>
  <c r="N1145" i="9"/>
  <c r="O1145" i="9" s="1"/>
  <c r="N1144" i="9"/>
  <c r="O1144" i="9" s="1"/>
  <c r="N1143" i="9"/>
  <c r="N1142" i="9"/>
  <c r="N1141" i="9"/>
  <c r="O1141" i="9" s="1"/>
  <c r="N1140" i="9"/>
  <c r="O1140" i="9" s="1"/>
  <c r="N1139" i="9"/>
  <c r="N1138" i="9"/>
  <c r="N1137" i="9"/>
  <c r="O1137" i="9" s="1"/>
  <c r="N1136" i="9"/>
  <c r="O1136" i="9" s="1"/>
  <c r="N1135" i="9"/>
  <c r="N1134" i="9"/>
  <c r="N1133" i="9"/>
  <c r="O1133" i="9" s="1"/>
  <c r="N1132" i="9"/>
  <c r="O1132" i="9" s="1"/>
  <c r="N1131" i="9"/>
  <c r="N1130" i="9"/>
  <c r="N1129" i="9"/>
  <c r="O1129" i="9" s="1"/>
  <c r="N1128" i="9"/>
  <c r="O1128" i="9" s="1"/>
  <c r="N1127" i="9"/>
  <c r="N1126" i="9"/>
  <c r="N1125" i="9"/>
  <c r="O1125" i="9" s="1"/>
  <c r="N1124" i="9"/>
  <c r="O1124" i="9" s="1"/>
  <c r="N1123" i="9"/>
  <c r="N1122" i="9"/>
  <c r="N1121" i="9"/>
  <c r="N1120" i="9"/>
  <c r="N1119" i="9"/>
  <c r="O1119" i="9" s="1"/>
  <c r="N1118" i="9"/>
  <c r="O1118" i="9" s="1"/>
  <c r="N1117" i="9"/>
  <c r="N1116" i="9"/>
  <c r="N1115" i="9"/>
  <c r="O1115" i="9" s="1"/>
  <c r="N1114" i="9"/>
  <c r="O1114" i="9" s="1"/>
  <c r="N1113" i="9"/>
  <c r="N1112" i="9"/>
  <c r="N1111" i="9"/>
  <c r="N1110" i="9"/>
  <c r="N1109" i="9"/>
  <c r="N1108" i="9"/>
  <c r="O1108" i="9" s="1"/>
  <c r="N1107" i="9"/>
  <c r="O1107" i="9" s="1"/>
  <c r="Q1107" i="9" s="1"/>
  <c r="N1106" i="9"/>
  <c r="N1105" i="9"/>
  <c r="N1104" i="9"/>
  <c r="N1103" i="9"/>
  <c r="N1102" i="9"/>
  <c r="N1101" i="9"/>
  <c r="O1101" i="9" s="1"/>
  <c r="N1100" i="9"/>
  <c r="O1100" i="9" s="1"/>
  <c r="N1099" i="9"/>
  <c r="N1098" i="9"/>
  <c r="N1097" i="9"/>
  <c r="N1096" i="9"/>
  <c r="N1095" i="9"/>
  <c r="O1095" i="9" s="1"/>
  <c r="N1094" i="9"/>
  <c r="O1094" i="9" s="1"/>
  <c r="N1093" i="9"/>
  <c r="N1092" i="9"/>
  <c r="N1091" i="9"/>
  <c r="N1090" i="9"/>
  <c r="N1089" i="9"/>
  <c r="O1089" i="9" s="1"/>
  <c r="N1088" i="9"/>
  <c r="O1088" i="9" s="1"/>
  <c r="N1087" i="9"/>
  <c r="O1087" i="9" s="1"/>
  <c r="N1086" i="9"/>
  <c r="O1086" i="9" s="1"/>
  <c r="N1085" i="9"/>
  <c r="N1084" i="9"/>
  <c r="N1083" i="9"/>
  <c r="N1082" i="9"/>
  <c r="N1081" i="9"/>
  <c r="N1080" i="9"/>
  <c r="O1080" i="9" s="1"/>
  <c r="N1079" i="9"/>
  <c r="O1079" i="9" s="1"/>
  <c r="N1078" i="9"/>
  <c r="N1077" i="9"/>
  <c r="N1076" i="9"/>
  <c r="N1075" i="9"/>
  <c r="N1074" i="9"/>
  <c r="N1073" i="9"/>
  <c r="N1072" i="9"/>
  <c r="N1071" i="9"/>
  <c r="O1071" i="9" s="1"/>
  <c r="N1070" i="9"/>
  <c r="O1070" i="9" s="1"/>
  <c r="N1069" i="9"/>
  <c r="O1069" i="9" s="1"/>
  <c r="N1068" i="9"/>
  <c r="O1068" i="9" s="1"/>
  <c r="N1067" i="9"/>
  <c r="N1066" i="9"/>
  <c r="N1065" i="9"/>
  <c r="N1064" i="9"/>
  <c r="N1063" i="9"/>
  <c r="N1062" i="9"/>
  <c r="N1061" i="9"/>
  <c r="N1060" i="9"/>
  <c r="O1060" i="9" s="1"/>
  <c r="N1059" i="9"/>
  <c r="O1059" i="9" s="1"/>
  <c r="N1058" i="9"/>
  <c r="O1058" i="9" s="1"/>
  <c r="Q1058" i="9" s="1"/>
  <c r="N1057" i="9"/>
  <c r="N1056" i="9"/>
  <c r="N1055" i="9"/>
  <c r="N1054" i="9"/>
  <c r="N1053" i="9"/>
  <c r="N1052" i="9"/>
  <c r="O1052" i="9" s="1"/>
  <c r="N1051" i="9"/>
  <c r="O1051" i="9" s="1"/>
  <c r="N1050" i="9"/>
  <c r="N1049" i="9"/>
  <c r="N1048" i="9"/>
  <c r="N1047" i="9"/>
  <c r="N1046" i="9"/>
  <c r="N1045" i="9"/>
  <c r="N1044" i="9"/>
  <c r="N1043" i="9"/>
  <c r="N1042" i="9"/>
  <c r="N1041" i="9"/>
  <c r="N1040" i="9"/>
  <c r="N1039" i="9"/>
  <c r="N1038" i="9"/>
  <c r="N1037" i="9"/>
  <c r="N1036" i="9"/>
  <c r="N1035" i="9"/>
  <c r="N1034" i="9"/>
  <c r="N1033" i="9"/>
  <c r="O1033" i="9" s="1"/>
  <c r="N1032" i="9"/>
  <c r="O1032" i="9" s="1"/>
  <c r="N1031" i="9"/>
  <c r="N1030" i="9"/>
  <c r="N1029" i="9"/>
  <c r="N1028" i="9"/>
  <c r="N1027" i="9"/>
  <c r="N1026" i="9"/>
  <c r="N1025" i="9"/>
  <c r="N1024" i="9"/>
  <c r="O1024" i="9" s="1"/>
  <c r="N1023" i="9"/>
  <c r="O1023" i="9" s="1"/>
  <c r="N1022" i="9"/>
  <c r="N1021" i="9"/>
  <c r="N1020" i="9"/>
  <c r="N1019" i="9"/>
  <c r="N1018" i="9"/>
  <c r="N1017" i="9"/>
  <c r="N1016" i="9"/>
  <c r="N1015" i="9"/>
  <c r="O1015" i="9" s="1"/>
  <c r="N1014" i="9"/>
  <c r="O1014" i="9" s="1"/>
  <c r="N1013" i="9"/>
  <c r="N1012" i="9"/>
  <c r="N1011" i="9"/>
  <c r="N1010" i="9"/>
  <c r="N1009" i="9"/>
  <c r="N1008" i="9"/>
  <c r="N1007" i="9"/>
  <c r="O1007" i="9" s="1"/>
  <c r="N1006" i="9"/>
  <c r="O1006" i="9" s="1"/>
  <c r="N1005" i="9"/>
  <c r="N1004" i="9"/>
  <c r="N1003" i="9"/>
  <c r="N1002" i="9"/>
  <c r="N1001" i="9"/>
  <c r="N1000" i="9"/>
  <c r="N999" i="9"/>
  <c r="N998" i="9"/>
  <c r="N997" i="9"/>
  <c r="N996" i="9"/>
  <c r="N995" i="9"/>
  <c r="O995" i="9" s="1"/>
  <c r="N994" i="9"/>
  <c r="O994" i="9" s="1"/>
  <c r="N993" i="9"/>
  <c r="N992" i="9"/>
  <c r="N991" i="9"/>
  <c r="N990" i="9"/>
  <c r="N989" i="9"/>
  <c r="N988" i="9"/>
  <c r="N987" i="9"/>
  <c r="N986" i="9"/>
  <c r="O986" i="9" s="1"/>
  <c r="Q986" i="9" s="1"/>
  <c r="N985" i="9"/>
  <c r="O985" i="9" s="1"/>
  <c r="N984" i="9"/>
  <c r="N983" i="9"/>
  <c r="N982" i="9"/>
  <c r="N981" i="9"/>
  <c r="N980" i="9"/>
  <c r="N979" i="9"/>
  <c r="N978" i="9"/>
  <c r="N977" i="9"/>
  <c r="O977" i="9" s="1"/>
  <c r="N976" i="9"/>
  <c r="O976" i="9" s="1"/>
  <c r="N975" i="9"/>
  <c r="N974" i="9"/>
  <c r="N973" i="9"/>
  <c r="N972" i="9"/>
  <c r="N971" i="9"/>
  <c r="N970" i="9"/>
  <c r="N969" i="9"/>
  <c r="N968" i="9"/>
  <c r="N967" i="9"/>
  <c r="N966" i="9"/>
  <c r="N965" i="9"/>
  <c r="O965" i="9" s="1"/>
  <c r="N964" i="9"/>
  <c r="O964" i="9" s="1"/>
  <c r="N963" i="9"/>
  <c r="N962" i="9"/>
  <c r="N961" i="9"/>
  <c r="N960" i="9"/>
  <c r="N959" i="9"/>
  <c r="N958" i="9"/>
  <c r="N957" i="9"/>
  <c r="O957" i="9" s="1"/>
  <c r="N956" i="9"/>
  <c r="O956" i="9" s="1"/>
  <c r="N955" i="9"/>
  <c r="N954" i="9"/>
  <c r="N953" i="9"/>
  <c r="N952" i="9"/>
  <c r="N951" i="9"/>
  <c r="N950" i="9"/>
  <c r="O950" i="9" s="1"/>
  <c r="N949" i="9"/>
  <c r="O949" i="9" s="1"/>
  <c r="Q949" i="9" s="1"/>
  <c r="N948" i="9"/>
  <c r="O948" i="9" s="1"/>
  <c r="N947" i="9"/>
  <c r="N946" i="9"/>
  <c r="N945" i="9"/>
  <c r="N944" i="9"/>
  <c r="N943" i="9"/>
  <c r="N942" i="9"/>
  <c r="O942" i="9" s="1"/>
  <c r="N941" i="9"/>
  <c r="O941" i="9" s="1"/>
  <c r="N940" i="9"/>
  <c r="N939" i="9"/>
  <c r="N938" i="9"/>
  <c r="O938" i="9" s="1"/>
  <c r="N937" i="9"/>
  <c r="O937" i="9" s="1"/>
  <c r="N936" i="9"/>
  <c r="N935" i="9"/>
  <c r="N934" i="9"/>
  <c r="N933" i="9"/>
  <c r="O933" i="9" s="1"/>
  <c r="Q933" i="9" s="1"/>
  <c r="N932" i="9"/>
  <c r="O932" i="9" s="1"/>
  <c r="N931" i="9"/>
  <c r="N930" i="9"/>
  <c r="N929" i="9"/>
  <c r="N928" i="9"/>
  <c r="N927" i="9"/>
  <c r="O927" i="9" s="1"/>
  <c r="N926" i="9"/>
  <c r="O926" i="9" s="1"/>
  <c r="N925" i="9"/>
  <c r="N924" i="9"/>
  <c r="N923" i="9"/>
  <c r="N922" i="9"/>
  <c r="N921" i="9"/>
  <c r="O921" i="9" s="1"/>
  <c r="N920" i="9"/>
  <c r="O920" i="9" s="1"/>
  <c r="N919" i="9"/>
  <c r="N918" i="9"/>
  <c r="N917" i="9"/>
  <c r="N916" i="9"/>
  <c r="N915" i="9"/>
  <c r="N914" i="9"/>
  <c r="O914" i="9" s="1"/>
  <c r="N913" i="9"/>
  <c r="O913" i="9" s="1"/>
  <c r="Q913" i="9" s="1"/>
  <c r="N912" i="9"/>
  <c r="N911" i="9"/>
  <c r="N910" i="9"/>
  <c r="N909" i="9"/>
  <c r="N908" i="9"/>
  <c r="N907" i="9"/>
  <c r="N906" i="9"/>
  <c r="N905" i="9"/>
  <c r="N904" i="9"/>
  <c r="N903" i="9"/>
  <c r="O903" i="9" s="1"/>
  <c r="N902" i="9"/>
  <c r="O902" i="9" s="1"/>
  <c r="N901" i="9"/>
  <c r="N900" i="9"/>
  <c r="N899" i="9"/>
  <c r="N898" i="9"/>
  <c r="N897" i="9"/>
  <c r="N896" i="9"/>
  <c r="N895" i="9"/>
  <c r="N894" i="9"/>
  <c r="N893" i="9"/>
  <c r="O893" i="9" s="1"/>
  <c r="N892" i="9"/>
  <c r="O892" i="9" s="1"/>
  <c r="N891" i="9"/>
  <c r="N890" i="9"/>
  <c r="N889" i="9"/>
  <c r="N888" i="9"/>
  <c r="N887" i="9"/>
  <c r="N886" i="9"/>
  <c r="O886" i="9" s="1"/>
  <c r="N885" i="9"/>
  <c r="O885" i="9" s="1"/>
  <c r="N884" i="9"/>
  <c r="N883" i="9"/>
  <c r="N882" i="9"/>
  <c r="N881" i="9"/>
  <c r="N880" i="9"/>
  <c r="N879" i="9"/>
  <c r="N878" i="9"/>
  <c r="N877" i="9"/>
  <c r="N876" i="9"/>
  <c r="O876" i="9" s="1"/>
  <c r="N875" i="9"/>
  <c r="O875" i="9" s="1"/>
  <c r="N874" i="9"/>
  <c r="N873" i="9"/>
  <c r="N872" i="9"/>
  <c r="N871" i="9"/>
  <c r="N870" i="9"/>
  <c r="N869" i="9"/>
  <c r="N868" i="9"/>
  <c r="N867" i="9"/>
  <c r="N866" i="9"/>
  <c r="N865" i="9"/>
  <c r="O865" i="9" s="1"/>
  <c r="N864" i="9"/>
  <c r="O864" i="9" s="1"/>
  <c r="N863" i="9"/>
  <c r="N862" i="9"/>
  <c r="N861" i="9"/>
  <c r="N860" i="9"/>
  <c r="N859" i="9"/>
  <c r="N858" i="9"/>
  <c r="N857" i="9"/>
  <c r="N856" i="9"/>
  <c r="N855" i="9"/>
  <c r="O855" i="9" s="1"/>
  <c r="N854" i="9"/>
  <c r="O854" i="9" s="1"/>
  <c r="N853" i="9"/>
  <c r="N852" i="9"/>
  <c r="N851" i="9"/>
  <c r="N850" i="9"/>
  <c r="N849" i="9"/>
  <c r="N848" i="9"/>
  <c r="N847" i="9"/>
  <c r="N846" i="9"/>
  <c r="N845" i="9"/>
  <c r="O845" i="9" s="1"/>
  <c r="Q845" i="9" s="1"/>
  <c r="N844" i="9"/>
  <c r="O844" i="9" s="1"/>
  <c r="N843" i="9"/>
  <c r="N842" i="9"/>
  <c r="N841" i="9"/>
  <c r="N840" i="9"/>
  <c r="N839" i="9"/>
  <c r="N838" i="9"/>
  <c r="N837" i="9"/>
  <c r="N836" i="9"/>
  <c r="N835" i="9"/>
  <c r="N834" i="9"/>
  <c r="N833" i="9"/>
  <c r="N832" i="9"/>
  <c r="N831" i="9"/>
  <c r="N830" i="9"/>
  <c r="N829" i="9"/>
  <c r="N828" i="9"/>
  <c r="N827" i="9"/>
  <c r="N826" i="9"/>
  <c r="N825" i="9"/>
  <c r="N824" i="9"/>
  <c r="N823" i="9"/>
  <c r="N822" i="9"/>
  <c r="N821" i="9"/>
  <c r="N820" i="9"/>
  <c r="N819" i="9"/>
  <c r="N818" i="9"/>
  <c r="N817" i="9"/>
  <c r="N816" i="9"/>
  <c r="N815" i="9"/>
  <c r="N814" i="9"/>
  <c r="N813" i="9"/>
  <c r="N812" i="9"/>
  <c r="N811" i="9"/>
  <c r="N810" i="9"/>
  <c r="N809" i="9"/>
  <c r="N808" i="9"/>
  <c r="N807" i="9"/>
  <c r="N806" i="9"/>
  <c r="N805" i="9"/>
  <c r="N804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O788" i="9" s="1"/>
  <c r="N787" i="9"/>
  <c r="O787" i="9" s="1"/>
  <c r="N786" i="9"/>
  <c r="O786" i="9" s="1"/>
  <c r="N785" i="9"/>
  <c r="N784" i="9"/>
  <c r="N783" i="9"/>
  <c r="N782" i="9"/>
  <c r="N781" i="9"/>
  <c r="O781" i="9" s="1"/>
  <c r="N780" i="9"/>
  <c r="N779" i="9"/>
  <c r="N778" i="9"/>
  <c r="N777" i="9"/>
  <c r="O777" i="9" s="1"/>
  <c r="N776" i="9"/>
  <c r="N775" i="9"/>
  <c r="N774" i="9"/>
  <c r="N773" i="9"/>
  <c r="O773" i="9" s="1"/>
  <c r="Q773" i="9" s="1"/>
  <c r="N772" i="9"/>
  <c r="N771" i="9"/>
  <c r="N770" i="9"/>
  <c r="N769" i="9"/>
  <c r="N768" i="9"/>
  <c r="O768" i="9" s="1"/>
  <c r="N767" i="9"/>
  <c r="O767" i="9" s="1"/>
  <c r="N766" i="9"/>
  <c r="N765" i="9"/>
  <c r="N764" i="9"/>
  <c r="N763" i="9"/>
  <c r="N762" i="9"/>
  <c r="N761" i="9"/>
  <c r="N760" i="9"/>
  <c r="N759" i="9"/>
  <c r="N758" i="9"/>
  <c r="N757" i="9"/>
  <c r="O757" i="9" s="1"/>
  <c r="N756" i="9"/>
  <c r="O756" i="9" s="1"/>
  <c r="N755" i="9"/>
  <c r="O755" i="9" s="1"/>
  <c r="N754" i="9"/>
  <c r="N753" i="9"/>
  <c r="N752" i="9"/>
  <c r="N751" i="9"/>
  <c r="N750" i="9"/>
  <c r="N749" i="9"/>
  <c r="N748" i="9"/>
  <c r="N747" i="9"/>
  <c r="N746" i="9"/>
  <c r="N745" i="9"/>
  <c r="N744" i="9"/>
  <c r="O744" i="9" s="1"/>
  <c r="N743" i="9"/>
  <c r="O743" i="9" s="1"/>
  <c r="N742" i="9"/>
  <c r="O742" i="9" s="1"/>
  <c r="N741" i="9"/>
  <c r="O741" i="9" s="1"/>
  <c r="N740" i="9"/>
  <c r="N739" i="9"/>
  <c r="N738" i="9"/>
  <c r="N737" i="9"/>
  <c r="N736" i="9"/>
  <c r="N735" i="9"/>
  <c r="N734" i="9"/>
  <c r="N733" i="9"/>
  <c r="N732" i="9"/>
  <c r="N731" i="9"/>
  <c r="N730" i="9"/>
  <c r="N729" i="9"/>
  <c r="N728" i="9"/>
  <c r="N727" i="9"/>
  <c r="N726" i="9"/>
  <c r="N725" i="9"/>
  <c r="N724" i="9"/>
  <c r="N723" i="9"/>
  <c r="O723" i="9" s="1"/>
  <c r="N722" i="9"/>
  <c r="O722" i="9" s="1"/>
  <c r="N721" i="9"/>
  <c r="O721" i="9" s="1"/>
  <c r="N720" i="9"/>
  <c r="N719" i="9"/>
  <c r="N718" i="9"/>
  <c r="N717" i="9"/>
  <c r="N716" i="9"/>
  <c r="N715" i="9"/>
  <c r="N714" i="9"/>
  <c r="N713" i="9"/>
  <c r="N712" i="9"/>
  <c r="N711" i="9"/>
  <c r="N710" i="9"/>
  <c r="O710" i="9" s="1"/>
  <c r="N709" i="9"/>
  <c r="N708" i="9"/>
  <c r="N707" i="9"/>
  <c r="O707" i="9" s="1"/>
  <c r="Q707" i="9" s="1"/>
  <c r="N706" i="9"/>
  <c r="O706" i="9" s="1"/>
  <c r="Q706" i="9" s="1"/>
  <c r="N705" i="9"/>
  <c r="N704" i="9"/>
  <c r="N703" i="9"/>
  <c r="N702" i="9"/>
  <c r="N701" i="9"/>
  <c r="O701" i="9" s="1"/>
  <c r="N700" i="9"/>
  <c r="O700" i="9" s="1"/>
  <c r="N699" i="9"/>
  <c r="O699" i="9" s="1"/>
  <c r="N698" i="9"/>
  <c r="N697" i="9"/>
  <c r="N696" i="9"/>
  <c r="N695" i="9"/>
  <c r="N694" i="9"/>
  <c r="N693" i="9"/>
  <c r="N692" i="9"/>
  <c r="N691" i="9"/>
  <c r="N690" i="9"/>
  <c r="N689" i="9"/>
  <c r="N688" i="9"/>
  <c r="N687" i="9"/>
  <c r="N686" i="9"/>
  <c r="O686" i="9" s="1"/>
  <c r="N685" i="9"/>
  <c r="N684" i="9"/>
  <c r="N683" i="9"/>
  <c r="N682" i="9"/>
  <c r="N681" i="9"/>
  <c r="N680" i="9"/>
  <c r="N679" i="9"/>
  <c r="N678" i="9"/>
  <c r="N677" i="9"/>
  <c r="N676" i="9"/>
  <c r="N675" i="9"/>
  <c r="O675" i="9" s="1"/>
  <c r="N674" i="9"/>
  <c r="N673" i="9"/>
  <c r="N672" i="9"/>
  <c r="N671" i="9"/>
  <c r="N670" i="9"/>
  <c r="N669" i="9"/>
  <c r="N668" i="9"/>
  <c r="N667" i="9"/>
  <c r="N666" i="9"/>
  <c r="N665" i="9"/>
  <c r="N664" i="9"/>
  <c r="N663" i="9"/>
  <c r="N662" i="9"/>
  <c r="O662" i="9" s="1"/>
  <c r="N661" i="9"/>
  <c r="O661" i="9" s="1"/>
  <c r="Q661" i="9" s="1"/>
  <c r="N660" i="9"/>
  <c r="N659" i="9"/>
  <c r="N658" i="9"/>
  <c r="N657" i="9"/>
  <c r="N656" i="9"/>
  <c r="N655" i="9"/>
  <c r="N654" i="9"/>
  <c r="O654" i="9" s="1"/>
  <c r="N653" i="9"/>
  <c r="N652" i="9"/>
  <c r="N651" i="9"/>
  <c r="N650" i="9"/>
  <c r="N649" i="9"/>
  <c r="N648" i="9"/>
  <c r="N647" i="9"/>
  <c r="N646" i="9"/>
  <c r="N645" i="9"/>
  <c r="N644" i="9"/>
  <c r="O644" i="9" s="1"/>
  <c r="N643" i="9"/>
  <c r="O643" i="9" s="1"/>
  <c r="N642" i="9"/>
  <c r="N641" i="9"/>
  <c r="N640" i="9"/>
  <c r="N639" i="9"/>
  <c r="N638" i="9"/>
  <c r="N637" i="9"/>
  <c r="N636" i="9"/>
  <c r="N635" i="9"/>
  <c r="O635" i="9" s="1"/>
  <c r="N634" i="9"/>
  <c r="O634" i="9" s="1"/>
  <c r="N633" i="9"/>
  <c r="N632" i="9"/>
  <c r="N631" i="9"/>
  <c r="N630" i="9"/>
  <c r="N629" i="9"/>
  <c r="N628" i="9"/>
  <c r="N627" i="9"/>
  <c r="N626" i="9"/>
  <c r="N625" i="9"/>
  <c r="N624" i="9"/>
  <c r="N623" i="9"/>
  <c r="N622" i="9"/>
  <c r="O622" i="9" s="1"/>
  <c r="N621" i="9"/>
  <c r="O621" i="9" s="1"/>
  <c r="N620" i="9"/>
  <c r="N619" i="9"/>
  <c r="N618" i="9"/>
  <c r="N617" i="9"/>
  <c r="N616" i="9"/>
  <c r="N615" i="9"/>
  <c r="N614" i="9"/>
  <c r="N613" i="9"/>
  <c r="N612" i="9"/>
  <c r="N611" i="9"/>
  <c r="N610" i="9"/>
  <c r="N609" i="9"/>
  <c r="N608" i="9"/>
  <c r="O608" i="9" s="1"/>
  <c r="N607" i="9"/>
  <c r="O607" i="9" s="1"/>
  <c r="N606" i="9"/>
  <c r="O606" i="9" s="1"/>
  <c r="N605" i="9"/>
  <c r="N604" i="9"/>
  <c r="N603" i="9"/>
  <c r="N602" i="9"/>
  <c r="N601" i="9"/>
  <c r="N600" i="9"/>
  <c r="N599" i="9"/>
  <c r="N598" i="9"/>
  <c r="N597" i="9"/>
  <c r="N596" i="9"/>
  <c r="N595" i="9"/>
  <c r="O595" i="9" s="1"/>
  <c r="Q595" i="9" s="1"/>
  <c r="N594" i="9"/>
  <c r="N593" i="9"/>
  <c r="N592" i="9"/>
  <c r="N591" i="9"/>
  <c r="N590" i="9"/>
  <c r="N589" i="9"/>
  <c r="N588" i="9"/>
  <c r="N587" i="9"/>
  <c r="N586" i="9"/>
  <c r="N585" i="9"/>
  <c r="N584" i="9"/>
  <c r="O584" i="9" s="1"/>
  <c r="N583" i="9"/>
  <c r="N582" i="9"/>
  <c r="N581" i="9"/>
  <c r="N580" i="9"/>
  <c r="N579" i="9"/>
  <c r="N578" i="9"/>
  <c r="N577" i="9"/>
  <c r="N576" i="9"/>
  <c r="N575" i="9"/>
  <c r="N574" i="9"/>
  <c r="N573" i="9"/>
  <c r="O573" i="9" s="1"/>
  <c r="N572" i="9"/>
  <c r="O572" i="9" s="1"/>
  <c r="N571" i="9"/>
  <c r="N570" i="9"/>
  <c r="N569" i="9"/>
  <c r="N568" i="9"/>
  <c r="N567" i="9"/>
  <c r="N566" i="9"/>
  <c r="N565" i="9"/>
  <c r="N564" i="9"/>
  <c r="N563" i="9"/>
  <c r="N562" i="9"/>
  <c r="N561" i="9"/>
  <c r="N560" i="9"/>
  <c r="N559" i="9"/>
  <c r="N558" i="9"/>
  <c r="O558" i="9" s="1"/>
  <c r="N557" i="9"/>
  <c r="O557" i="9" s="1"/>
  <c r="N556" i="9"/>
  <c r="N555" i="9"/>
  <c r="N554" i="9"/>
  <c r="N553" i="9"/>
  <c r="N552" i="9"/>
  <c r="N551" i="9"/>
  <c r="N550" i="9"/>
  <c r="N549" i="9"/>
  <c r="N548" i="9"/>
  <c r="N547" i="9"/>
  <c r="N546" i="9"/>
  <c r="N545" i="9"/>
  <c r="N544" i="9"/>
  <c r="O544" i="9" s="1"/>
  <c r="N543" i="9"/>
  <c r="N542" i="9"/>
  <c r="N541" i="9"/>
  <c r="N540" i="9"/>
  <c r="N539" i="9"/>
  <c r="N538" i="9"/>
  <c r="N537" i="9"/>
  <c r="N536" i="9"/>
  <c r="N535" i="9"/>
  <c r="N534" i="9"/>
  <c r="N533" i="9"/>
  <c r="N532" i="9"/>
  <c r="N531" i="9"/>
  <c r="O531" i="9" s="1"/>
  <c r="N530" i="9"/>
  <c r="O530" i="9" s="1"/>
  <c r="N529" i="9"/>
  <c r="N528" i="9"/>
  <c r="N527" i="9"/>
  <c r="N526" i="9"/>
  <c r="N525" i="9"/>
  <c r="N524" i="9"/>
  <c r="N523" i="9"/>
  <c r="O523" i="9" s="1"/>
  <c r="Q523" i="9" s="1"/>
  <c r="N522" i="9"/>
  <c r="O522" i="9" s="1"/>
  <c r="N521" i="9"/>
  <c r="N520" i="9"/>
  <c r="N519" i="9"/>
  <c r="N518" i="9"/>
  <c r="N517" i="9"/>
  <c r="N516" i="9"/>
  <c r="O516" i="9" s="1"/>
  <c r="N515" i="9"/>
  <c r="O515" i="9" s="1"/>
  <c r="N514" i="9"/>
  <c r="O514" i="9" s="1"/>
  <c r="N513" i="9"/>
  <c r="O513" i="9" s="1"/>
  <c r="N512" i="9"/>
  <c r="O512" i="9" s="1"/>
  <c r="N511" i="9"/>
  <c r="O511" i="9" s="1"/>
  <c r="N510" i="9"/>
  <c r="O510" i="9" s="1"/>
  <c r="N509" i="9"/>
  <c r="N508" i="9"/>
  <c r="N507" i="9"/>
  <c r="N506" i="9"/>
  <c r="N505" i="9"/>
  <c r="N504" i="9"/>
  <c r="N503" i="9"/>
  <c r="O503" i="9" s="1"/>
  <c r="N502" i="9"/>
  <c r="O502" i="9" s="1"/>
  <c r="N501" i="9"/>
  <c r="O501" i="9" s="1"/>
  <c r="N500" i="9"/>
  <c r="N499" i="9"/>
  <c r="N498" i="9"/>
  <c r="N497" i="9"/>
  <c r="N496" i="9"/>
  <c r="N495" i="9"/>
  <c r="N494" i="9"/>
  <c r="O494" i="9" s="1"/>
  <c r="N493" i="9"/>
  <c r="O493" i="9" s="1"/>
  <c r="N492" i="9"/>
  <c r="O492" i="9" s="1"/>
  <c r="N491" i="9"/>
  <c r="N490" i="9"/>
  <c r="N489" i="9"/>
  <c r="N488" i="9"/>
  <c r="N487" i="9"/>
  <c r="N486" i="9"/>
  <c r="N485" i="9"/>
  <c r="O485" i="9" s="1"/>
  <c r="N484" i="9"/>
  <c r="O484" i="9" s="1"/>
  <c r="N483" i="9"/>
  <c r="N482" i="9"/>
  <c r="N481" i="9"/>
  <c r="N480" i="9"/>
  <c r="N479" i="9"/>
  <c r="O479" i="9" s="1"/>
  <c r="N478" i="9"/>
  <c r="O478" i="9" s="1"/>
  <c r="N477" i="9"/>
  <c r="N476" i="9"/>
  <c r="N475" i="9"/>
  <c r="N474" i="9"/>
  <c r="N473" i="9"/>
  <c r="N472" i="9"/>
  <c r="N471" i="9"/>
  <c r="N470" i="9"/>
  <c r="N469" i="9"/>
  <c r="N468" i="9"/>
  <c r="O468" i="9" s="1"/>
  <c r="N467" i="9"/>
  <c r="O467" i="9" s="1"/>
  <c r="Q467" i="9" s="1"/>
  <c r="N466" i="9"/>
  <c r="N465" i="9"/>
  <c r="N464" i="9"/>
  <c r="N463" i="9"/>
  <c r="N462" i="9"/>
  <c r="N461" i="9"/>
  <c r="N460" i="9"/>
  <c r="N459" i="9"/>
  <c r="N458" i="9"/>
  <c r="N457" i="9"/>
  <c r="O457" i="9" s="1"/>
  <c r="N456" i="9"/>
  <c r="O456" i="9" s="1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O443" i="9" s="1"/>
  <c r="N442" i="9"/>
  <c r="O442" i="9" s="1"/>
  <c r="N441" i="9"/>
  <c r="N440" i="9"/>
  <c r="N439" i="9"/>
  <c r="N438" i="9"/>
  <c r="N437" i="9"/>
  <c r="N436" i="9"/>
  <c r="N435" i="9"/>
  <c r="N434" i="9"/>
  <c r="N433" i="9"/>
  <c r="N432" i="9"/>
  <c r="O432" i="9" s="1"/>
  <c r="N431" i="9"/>
  <c r="O431" i="9" s="1"/>
  <c r="N430" i="9"/>
  <c r="N429" i="9"/>
  <c r="N428" i="9"/>
  <c r="N427" i="9"/>
  <c r="N426" i="9"/>
  <c r="N425" i="9"/>
  <c r="N424" i="9"/>
  <c r="N423" i="9"/>
  <c r="N422" i="9"/>
  <c r="N421" i="9"/>
  <c r="N420" i="9"/>
  <c r="O420" i="9" s="1"/>
  <c r="N419" i="9"/>
  <c r="O419" i="9" s="1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O406" i="9" s="1"/>
  <c r="N405" i="9"/>
  <c r="O405" i="9" s="1"/>
  <c r="N404" i="9"/>
  <c r="N403" i="9"/>
  <c r="N402" i="9"/>
  <c r="N401" i="9"/>
  <c r="N400" i="9"/>
  <c r="N399" i="9"/>
  <c r="N398" i="9"/>
  <c r="N397" i="9"/>
  <c r="N396" i="9"/>
  <c r="O396" i="9" s="1"/>
  <c r="N395" i="9"/>
  <c r="O395" i="9" s="1"/>
  <c r="N394" i="9"/>
  <c r="O394" i="9" s="1"/>
  <c r="N393" i="9"/>
  <c r="N392" i="9"/>
  <c r="N391" i="9"/>
  <c r="N390" i="9"/>
  <c r="N389" i="9"/>
  <c r="N388" i="9"/>
  <c r="N387" i="9"/>
  <c r="O387" i="9" s="1"/>
  <c r="N386" i="9"/>
  <c r="O386" i="9" s="1"/>
  <c r="N385" i="9"/>
  <c r="N384" i="9"/>
  <c r="N383" i="9"/>
  <c r="N382" i="9"/>
  <c r="N381" i="9"/>
  <c r="N380" i="9"/>
  <c r="N379" i="9"/>
  <c r="N378" i="9"/>
  <c r="N377" i="9"/>
  <c r="N376" i="9"/>
  <c r="N375" i="9"/>
  <c r="O375" i="9" s="1"/>
  <c r="N374" i="9"/>
  <c r="O374" i="9" s="1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O361" i="9" s="1"/>
  <c r="N360" i="9"/>
  <c r="O360" i="9" s="1"/>
  <c r="N359" i="9"/>
  <c r="N358" i="9"/>
  <c r="N357" i="9"/>
  <c r="N356" i="9"/>
  <c r="N355" i="9"/>
  <c r="N354" i="9"/>
  <c r="N353" i="9"/>
  <c r="N352" i="9"/>
  <c r="N351" i="9"/>
  <c r="N350" i="9"/>
  <c r="N349" i="9"/>
  <c r="O349" i="9" s="1"/>
  <c r="N348" i="9"/>
  <c r="O348" i="9" s="1"/>
  <c r="N347" i="9"/>
  <c r="N346" i="9"/>
  <c r="N345" i="9"/>
  <c r="N344" i="9"/>
  <c r="N343" i="9"/>
  <c r="N342" i="9"/>
  <c r="N341" i="9"/>
  <c r="N340" i="9"/>
  <c r="O340" i="9" s="1"/>
  <c r="N339" i="9"/>
  <c r="O339" i="9" s="1"/>
  <c r="N338" i="9"/>
  <c r="N337" i="9"/>
  <c r="N336" i="9"/>
  <c r="N335" i="9"/>
  <c r="N334" i="9"/>
  <c r="N333" i="9"/>
  <c r="N332" i="9"/>
  <c r="N331" i="9"/>
  <c r="N330" i="9"/>
  <c r="N329" i="9"/>
  <c r="N328" i="9"/>
  <c r="O328" i="9" s="1"/>
  <c r="N327" i="9"/>
  <c r="O327" i="9" s="1"/>
  <c r="N326" i="9"/>
  <c r="N325" i="9"/>
  <c r="N324" i="9"/>
  <c r="N323" i="9"/>
  <c r="N322" i="9"/>
  <c r="N321" i="9"/>
  <c r="N320" i="9"/>
  <c r="N319" i="9"/>
  <c r="N318" i="9"/>
  <c r="N317" i="9"/>
  <c r="N316" i="9"/>
  <c r="O316" i="9" s="1"/>
  <c r="N315" i="9"/>
  <c r="O315" i="9" s="1"/>
  <c r="N314" i="9"/>
  <c r="N313" i="9"/>
  <c r="N312" i="9"/>
  <c r="N311" i="9"/>
  <c r="N310" i="9"/>
  <c r="N309" i="9"/>
  <c r="N308" i="9"/>
  <c r="N307" i="9"/>
  <c r="N306" i="9"/>
  <c r="N305" i="9"/>
  <c r="N304" i="9"/>
  <c r="O304" i="9" s="1"/>
  <c r="N303" i="9"/>
  <c r="O303" i="9" s="1"/>
  <c r="N302" i="9"/>
  <c r="O302" i="9" s="1"/>
  <c r="N301" i="9"/>
  <c r="N300" i="9"/>
  <c r="N299" i="9"/>
  <c r="O299" i="9" s="1"/>
  <c r="N298" i="9"/>
  <c r="O298" i="9" s="1"/>
  <c r="N297" i="9"/>
  <c r="N296" i="9"/>
  <c r="N295" i="9"/>
  <c r="O295" i="9" s="1"/>
  <c r="N294" i="9"/>
  <c r="O294" i="9" s="1"/>
  <c r="N293" i="9"/>
  <c r="O293" i="9" s="1"/>
  <c r="N292" i="9"/>
  <c r="N291" i="9"/>
  <c r="N290" i="9"/>
  <c r="O290" i="9" s="1"/>
  <c r="Q290" i="9" s="1"/>
  <c r="N289" i="9"/>
  <c r="O289" i="9" s="1"/>
  <c r="Q289" i="9" s="1"/>
  <c r="N288" i="9"/>
  <c r="O288" i="9" s="1"/>
  <c r="N287" i="9"/>
  <c r="N286" i="9"/>
  <c r="N285" i="9"/>
  <c r="O285" i="9" s="1"/>
  <c r="N284" i="9"/>
  <c r="O284" i="9" s="1"/>
  <c r="N283" i="9"/>
  <c r="O283" i="9" s="1"/>
  <c r="N282" i="9"/>
  <c r="N281" i="9"/>
  <c r="N280" i="9"/>
  <c r="O280" i="9" s="1"/>
  <c r="N279" i="9"/>
  <c r="O279" i="9" s="1"/>
  <c r="N278" i="9"/>
  <c r="O278" i="9" s="1"/>
  <c r="N277" i="9"/>
  <c r="N276" i="9"/>
  <c r="N275" i="9"/>
  <c r="O275" i="9" s="1"/>
  <c r="N274" i="9"/>
  <c r="O274" i="9" s="1"/>
  <c r="N273" i="9"/>
  <c r="N272" i="9"/>
  <c r="N271" i="9"/>
  <c r="N270" i="9"/>
  <c r="N269" i="9"/>
  <c r="N268" i="9"/>
  <c r="N267" i="9"/>
  <c r="O267" i="9" s="1"/>
  <c r="N266" i="9"/>
  <c r="O266" i="9" s="1"/>
  <c r="N265" i="9"/>
  <c r="N264" i="9"/>
  <c r="N263" i="9"/>
  <c r="N262" i="9"/>
  <c r="N261" i="9"/>
  <c r="N260" i="9"/>
  <c r="N259" i="9"/>
  <c r="N258" i="9"/>
  <c r="O258" i="9" s="1"/>
  <c r="N257" i="9"/>
  <c r="O257" i="9" s="1"/>
  <c r="N256" i="9"/>
  <c r="N255" i="9"/>
  <c r="N254" i="9"/>
  <c r="N253" i="9"/>
  <c r="N252" i="9"/>
  <c r="N251" i="9"/>
  <c r="N250" i="9"/>
  <c r="N249" i="9"/>
  <c r="O249" i="9" s="1"/>
  <c r="N248" i="9"/>
  <c r="O248" i="9" s="1"/>
  <c r="N247" i="9"/>
  <c r="N246" i="9"/>
  <c r="N245" i="9"/>
  <c r="N244" i="9"/>
  <c r="N243" i="9"/>
  <c r="N242" i="9"/>
  <c r="O242" i="9" s="1"/>
  <c r="N241" i="9"/>
  <c r="O241" i="9" s="1"/>
  <c r="N240" i="9"/>
  <c r="N239" i="9"/>
  <c r="N238" i="9"/>
  <c r="N237" i="9"/>
  <c r="N236" i="9"/>
  <c r="N235" i="9"/>
  <c r="N234" i="9"/>
  <c r="N233" i="9"/>
  <c r="N232" i="9"/>
  <c r="N231" i="9"/>
  <c r="O231" i="9" s="1"/>
  <c r="N230" i="9"/>
  <c r="O230" i="9" s="1"/>
  <c r="N229" i="9"/>
  <c r="N228" i="9"/>
  <c r="N227" i="9"/>
  <c r="N226" i="9"/>
  <c r="N225" i="9"/>
  <c r="N224" i="9"/>
  <c r="N223" i="9"/>
  <c r="N222" i="9"/>
  <c r="N221" i="9"/>
  <c r="N220" i="9"/>
  <c r="O220" i="9" s="1"/>
  <c r="N219" i="9"/>
  <c r="O219" i="9" s="1"/>
  <c r="N218" i="9"/>
  <c r="N217" i="9"/>
  <c r="N216" i="9"/>
  <c r="N215" i="9"/>
  <c r="O215" i="9" s="1"/>
  <c r="N214" i="9"/>
  <c r="O214" i="9" s="1"/>
  <c r="N213" i="9"/>
  <c r="N212" i="9"/>
  <c r="N211" i="9"/>
  <c r="N210" i="9"/>
  <c r="N209" i="9"/>
  <c r="N208" i="9"/>
  <c r="N207" i="9"/>
  <c r="N206" i="9"/>
  <c r="N205" i="9"/>
  <c r="N204" i="9"/>
  <c r="O204" i="9" s="1"/>
  <c r="N203" i="9"/>
  <c r="N202" i="9"/>
  <c r="N201" i="9"/>
  <c r="N200" i="9"/>
  <c r="N199" i="9"/>
  <c r="N198" i="9"/>
  <c r="N197" i="9"/>
  <c r="N196" i="9"/>
  <c r="N195" i="9"/>
  <c r="N194" i="9"/>
  <c r="N193" i="9"/>
  <c r="O193" i="9" s="1"/>
  <c r="N192" i="9"/>
  <c r="O192" i="9" s="1"/>
  <c r="N191" i="9"/>
  <c r="N190" i="9"/>
  <c r="N189" i="9"/>
  <c r="N188" i="9"/>
  <c r="N187" i="9"/>
  <c r="N186" i="9"/>
  <c r="N185" i="9"/>
  <c r="N184" i="9"/>
  <c r="N183" i="9"/>
  <c r="N182" i="9"/>
  <c r="O182" i="9" s="1"/>
  <c r="Q182" i="9" s="1"/>
  <c r="N181" i="9"/>
  <c r="O181" i="9" s="1"/>
  <c r="Q181" i="9" s="1"/>
  <c r="N180" i="9"/>
  <c r="N179" i="9"/>
  <c r="N178" i="9"/>
  <c r="N177" i="9"/>
  <c r="N176" i="9"/>
  <c r="N175" i="9"/>
  <c r="N174" i="9"/>
  <c r="N173" i="9"/>
  <c r="N172" i="9"/>
  <c r="O172" i="9" s="1"/>
  <c r="N171" i="9"/>
  <c r="O171" i="9" s="1"/>
  <c r="N170" i="9"/>
  <c r="N169" i="9"/>
  <c r="N168" i="9"/>
  <c r="N167" i="9"/>
  <c r="N166" i="9"/>
  <c r="O166" i="9" s="1"/>
  <c r="N165" i="9"/>
  <c r="O165" i="9" s="1"/>
  <c r="N164" i="9"/>
  <c r="N163" i="9"/>
  <c r="N162" i="9"/>
  <c r="N161" i="9"/>
  <c r="N160" i="9"/>
  <c r="N159" i="9"/>
  <c r="O159" i="9" s="1"/>
  <c r="N158" i="9"/>
  <c r="O158" i="9" s="1"/>
  <c r="N157" i="9"/>
  <c r="N156" i="9"/>
  <c r="N155" i="9"/>
  <c r="N154" i="9"/>
  <c r="N153" i="9"/>
  <c r="N152" i="9"/>
  <c r="N151" i="9"/>
  <c r="O151" i="9" s="1"/>
  <c r="N150" i="9"/>
  <c r="O150" i="9" s="1"/>
  <c r="Q150" i="9" s="1"/>
  <c r="N149" i="9"/>
  <c r="N148" i="9"/>
  <c r="N147" i="9"/>
  <c r="N146" i="9"/>
  <c r="N145" i="9"/>
  <c r="O145" i="9" s="1"/>
  <c r="N144" i="9"/>
  <c r="O144" i="9" s="1"/>
  <c r="N143" i="9"/>
  <c r="N142" i="9"/>
  <c r="N141" i="9"/>
  <c r="N140" i="9"/>
  <c r="N139" i="9"/>
  <c r="N138" i="9"/>
  <c r="N137" i="9"/>
  <c r="O137" i="9" s="1"/>
  <c r="N136" i="9"/>
  <c r="O136" i="9" s="1"/>
  <c r="N135" i="9"/>
  <c r="N134" i="9"/>
  <c r="N133" i="9"/>
  <c r="N132" i="9"/>
  <c r="N131" i="9"/>
  <c r="N130" i="9"/>
  <c r="N129" i="9"/>
  <c r="N128" i="9"/>
  <c r="O128" i="9" s="1"/>
  <c r="N127" i="9"/>
  <c r="O127" i="9" s="1"/>
  <c r="N126" i="9"/>
  <c r="N125" i="9"/>
  <c r="N124" i="9"/>
  <c r="N123" i="9"/>
  <c r="N122" i="9"/>
  <c r="N121" i="9"/>
  <c r="N120" i="9"/>
  <c r="N119" i="9"/>
  <c r="O119" i="9" s="1"/>
  <c r="N118" i="9"/>
  <c r="O118" i="9" s="1"/>
  <c r="N117" i="9"/>
  <c r="N116" i="9"/>
  <c r="N115" i="9"/>
  <c r="N114" i="9"/>
  <c r="N113" i="9"/>
  <c r="N112" i="9"/>
  <c r="N111" i="9"/>
  <c r="N110" i="9"/>
  <c r="O110" i="9" s="1"/>
  <c r="Q110" i="9" s="1"/>
  <c r="N109" i="9"/>
  <c r="O109" i="9" s="1"/>
  <c r="Q109" i="9" s="1"/>
  <c r="N108" i="9"/>
  <c r="N107" i="9"/>
  <c r="N106" i="9"/>
  <c r="N105" i="9"/>
  <c r="N104" i="9"/>
  <c r="N103" i="9"/>
  <c r="N102" i="9"/>
  <c r="O102" i="9" s="1"/>
  <c r="N101" i="9"/>
  <c r="O101" i="9" s="1"/>
  <c r="N100" i="9"/>
  <c r="N99" i="9"/>
  <c r="N98" i="9"/>
  <c r="N97" i="9"/>
  <c r="N96" i="9"/>
  <c r="N95" i="9"/>
  <c r="O95" i="9" s="1"/>
  <c r="N94" i="9"/>
  <c r="O94" i="9" s="1"/>
  <c r="N93" i="9"/>
  <c r="N92" i="9"/>
  <c r="N91" i="9"/>
  <c r="N90" i="9"/>
  <c r="N89" i="9"/>
  <c r="O89" i="9" s="1"/>
  <c r="N88" i="9"/>
  <c r="O88" i="9" s="1"/>
  <c r="N87" i="9"/>
  <c r="N86" i="9"/>
  <c r="N85" i="9"/>
  <c r="N84" i="9"/>
  <c r="N83" i="9"/>
  <c r="O83" i="9" s="1"/>
  <c r="Q83" i="9" s="1"/>
  <c r="N82" i="9"/>
  <c r="O82" i="9" s="1"/>
  <c r="N81" i="9"/>
  <c r="N80" i="9"/>
  <c r="N79" i="9"/>
  <c r="N78" i="9"/>
  <c r="N77" i="9"/>
  <c r="N76" i="9"/>
  <c r="N75" i="9"/>
  <c r="N74" i="9"/>
  <c r="N73" i="9"/>
  <c r="N72" i="9"/>
  <c r="O72" i="9" s="1"/>
  <c r="N71" i="9"/>
  <c r="O71" i="9" s="1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O56" i="9" s="1"/>
  <c r="N55" i="9"/>
  <c r="O55" i="9" s="1"/>
  <c r="N54" i="9"/>
  <c r="N53" i="9"/>
  <c r="N52" i="9"/>
  <c r="N51" i="9"/>
  <c r="N50" i="9"/>
  <c r="N49" i="9"/>
  <c r="N48" i="9"/>
  <c r="N47" i="9"/>
  <c r="N46" i="9"/>
  <c r="N45" i="9"/>
  <c r="O45" i="9" s="1"/>
  <c r="N44" i="9"/>
  <c r="O44" i="9" s="1"/>
  <c r="N43" i="9"/>
  <c r="N42" i="9"/>
  <c r="N41" i="9"/>
  <c r="N40" i="9"/>
  <c r="N39" i="9"/>
  <c r="N38" i="9"/>
  <c r="N37" i="9"/>
  <c r="N36" i="9"/>
  <c r="N35" i="9"/>
  <c r="N34" i="9"/>
  <c r="O34" i="9" s="1"/>
  <c r="Q34" i="9" s="1"/>
  <c r="N33" i="9"/>
  <c r="O33" i="9" s="1"/>
  <c r="Q33" i="9" s="1"/>
  <c r="N32" i="9"/>
  <c r="N31" i="9"/>
  <c r="N30" i="9"/>
  <c r="N29" i="9"/>
  <c r="N28" i="9"/>
  <c r="N27" i="9"/>
  <c r="N26" i="9"/>
  <c r="N25" i="9"/>
  <c r="N24" i="9"/>
  <c r="N23" i="9"/>
  <c r="O23" i="9" s="1"/>
  <c r="N22" i="9"/>
  <c r="O22" i="9" s="1"/>
  <c r="N21" i="9"/>
  <c r="N20" i="9"/>
  <c r="N19" i="9"/>
  <c r="N18" i="9"/>
  <c r="N17" i="9"/>
  <c r="N16" i="9"/>
  <c r="N15" i="9"/>
  <c r="N14" i="9"/>
  <c r="N13" i="9"/>
  <c r="N12" i="9"/>
  <c r="O12" i="9" s="1"/>
  <c r="N11" i="9"/>
  <c r="O11" i="9" s="1"/>
  <c r="N10" i="9"/>
  <c r="N9" i="9"/>
  <c r="N8" i="9"/>
  <c r="N7" i="9"/>
  <c r="N6" i="9"/>
  <c r="N5" i="9"/>
  <c r="N4" i="9"/>
  <c r="N3" i="9"/>
  <c r="N2" i="9"/>
  <c r="Q42" i="9" l="1"/>
  <c r="Q267" i="9"/>
  <c r="Q1271" i="9"/>
  <c r="Q189" i="9"/>
  <c r="Q1352" i="9"/>
  <c r="Q303" i="9"/>
  <c r="Q654" i="9"/>
  <c r="Q1235" i="9"/>
  <c r="Q199" i="9"/>
  <c r="Q218" i="9"/>
  <c r="Q333" i="9"/>
  <c r="Q539" i="9"/>
  <c r="Q651" i="9"/>
  <c r="Q749" i="9"/>
  <c r="Q840" i="9"/>
  <c r="Q989" i="9"/>
  <c r="Q1097" i="9"/>
  <c r="Q1657" i="9"/>
  <c r="Q129" i="9"/>
  <c r="Q144" i="9"/>
  <c r="Q607" i="9"/>
  <c r="Q1212" i="9"/>
  <c r="Q696" i="9"/>
  <c r="Q681" i="9"/>
  <c r="Q347" i="9"/>
  <c r="Q806" i="9"/>
  <c r="Q823" i="9"/>
  <c r="Q1227" i="9"/>
  <c r="Q200" i="9"/>
  <c r="Q239" i="9"/>
  <c r="Q471" i="9"/>
  <c r="Q491" i="9"/>
  <c r="Q730" i="9"/>
  <c r="Q841" i="9"/>
  <c r="Q923" i="9"/>
  <c r="Q1301" i="9"/>
  <c r="Q1336" i="9"/>
  <c r="Q1480" i="9"/>
  <c r="Q1544" i="9"/>
  <c r="Q1576" i="9"/>
  <c r="Q1640" i="9"/>
  <c r="Q305" i="9"/>
  <c r="Q640" i="9"/>
  <c r="Q928" i="9"/>
  <c r="Q1213" i="9"/>
  <c r="Q315" i="9"/>
  <c r="Q1257" i="9"/>
  <c r="Q155" i="9"/>
  <c r="Q1173" i="9"/>
  <c r="Q65" i="9"/>
  <c r="Q621" i="9"/>
  <c r="Q312" i="9"/>
  <c r="Q807" i="9"/>
  <c r="Q968" i="9"/>
  <c r="Q271" i="9"/>
  <c r="Q622" i="9"/>
  <c r="Q1163" i="9"/>
  <c r="Q1307" i="9"/>
  <c r="Q139" i="9"/>
  <c r="Q183" i="9"/>
  <c r="Q393" i="9"/>
  <c r="Q633" i="9"/>
  <c r="Q951" i="9"/>
  <c r="Q1220" i="9"/>
  <c r="Q1449" i="9"/>
  <c r="Q1513" i="9"/>
  <c r="Q1577" i="9"/>
  <c r="Q1609" i="9"/>
  <c r="Q1625" i="9"/>
  <c r="Q1641" i="9"/>
  <c r="Q1832" i="9"/>
  <c r="Q99" i="9"/>
  <c r="Q529" i="9"/>
  <c r="Q561" i="9"/>
  <c r="Q609" i="9"/>
  <c r="Q785" i="9"/>
  <c r="Q961" i="9"/>
  <c r="Q1055" i="9"/>
  <c r="Q1118" i="9"/>
  <c r="Q1150" i="9"/>
  <c r="Q342" i="9"/>
  <c r="Q759" i="9"/>
  <c r="Q365" i="9"/>
  <c r="Q605" i="9"/>
  <c r="Q1402" i="9"/>
  <c r="Q217" i="9"/>
  <c r="Q650" i="9"/>
  <c r="Q1096" i="9"/>
  <c r="Q1243" i="9"/>
  <c r="Q184" i="9"/>
  <c r="Q473" i="9"/>
  <c r="Q616" i="9"/>
  <c r="Q952" i="9"/>
  <c r="Q1434" i="9"/>
  <c r="Q1562" i="9"/>
  <c r="Q100" i="9"/>
  <c r="Q132" i="9"/>
  <c r="Q754" i="9"/>
  <c r="Q802" i="9"/>
  <c r="Q818" i="9"/>
  <c r="Q962" i="9"/>
  <c r="Q1041" i="9"/>
  <c r="Q1135" i="9"/>
  <c r="Q1151" i="9"/>
  <c r="Q935" i="9"/>
  <c r="Q1383" i="9"/>
  <c r="Q874" i="9"/>
  <c r="Q875" i="9"/>
  <c r="Q1161" i="9"/>
  <c r="Q216" i="9"/>
  <c r="Q488" i="9"/>
  <c r="Q1083" i="9"/>
  <c r="Q728" i="9"/>
  <c r="Q839" i="9"/>
  <c r="Q175" i="9"/>
  <c r="Q215" i="9"/>
  <c r="Q231" i="9"/>
  <c r="Q1095" i="9"/>
  <c r="Q77" i="9"/>
  <c r="Q121" i="9"/>
  <c r="Q617" i="9"/>
  <c r="Q906" i="9"/>
  <c r="Q1035" i="9"/>
  <c r="Q1321" i="9"/>
  <c r="Q1435" i="9"/>
  <c r="Q7" i="9"/>
  <c r="Q23" i="9"/>
  <c r="Q39" i="9"/>
  <c r="Q435" i="9"/>
  <c r="Q915" i="9"/>
  <c r="Q679" i="9"/>
  <c r="Q1268" i="9"/>
  <c r="Q219" i="9"/>
  <c r="Q857" i="9"/>
  <c r="Q1401" i="9"/>
  <c r="Q747" i="9"/>
  <c r="Q918" i="9"/>
  <c r="Q158" i="9"/>
  <c r="Q1386" i="9"/>
  <c r="Q128" i="9"/>
  <c r="Q606" i="9"/>
  <c r="Q1080" i="9"/>
  <c r="Q1672" i="9"/>
  <c r="Q734" i="9"/>
  <c r="Q907" i="9"/>
  <c r="Q1203" i="9"/>
  <c r="Q1322" i="9"/>
  <c r="Q71" i="9"/>
  <c r="Q86" i="9"/>
  <c r="Q436" i="9"/>
  <c r="Q868" i="9"/>
  <c r="Q568" i="9"/>
  <c r="Q889" i="9"/>
  <c r="Q873" i="9"/>
  <c r="Q252" i="9"/>
  <c r="Q984" i="9"/>
  <c r="Q1445" i="9"/>
  <c r="Q302" i="9"/>
  <c r="Q282" i="9"/>
  <c r="Q985" i="9"/>
  <c r="Q1017" i="9"/>
  <c r="Q1157" i="9"/>
  <c r="Q1817" i="9"/>
  <c r="Q9" i="9"/>
  <c r="Q87" i="9"/>
  <c r="Q326" i="9"/>
  <c r="Q869" i="9"/>
  <c r="Q1091" i="9"/>
  <c r="Q1394" i="9"/>
  <c r="Q1586" i="9"/>
  <c r="Q1864" i="9"/>
  <c r="Q946" i="9"/>
  <c r="Q1429" i="9"/>
  <c r="Q453" i="9"/>
  <c r="Q318" i="9"/>
  <c r="Q1304" i="9"/>
  <c r="Q256" i="9"/>
  <c r="Q472" i="9"/>
  <c r="Q545" i="9"/>
  <c r="Q1129" i="9"/>
  <c r="Q164" i="9"/>
  <c r="Q226" i="9"/>
  <c r="Q411" i="9"/>
  <c r="Q902" i="9"/>
  <c r="Q1029" i="9"/>
  <c r="Q266" i="9"/>
  <c r="Q394" i="9"/>
  <c r="Q522" i="9"/>
  <c r="Q1162" i="9"/>
  <c r="Q1242" i="9"/>
  <c r="Q1290" i="9"/>
  <c r="Q104" i="9"/>
  <c r="Q362" i="9"/>
  <c r="Q439" i="9"/>
  <c r="Q565" i="9"/>
  <c r="Q695" i="9"/>
  <c r="Q1205" i="9"/>
  <c r="Q1288" i="9"/>
  <c r="Q61" i="9"/>
  <c r="Q105" i="9"/>
  <c r="Q120" i="9"/>
  <c r="Q211" i="9"/>
  <c r="Q243" i="9"/>
  <c r="Q366" i="9"/>
  <c r="Q398" i="9"/>
  <c r="Q459" i="9"/>
  <c r="Q507" i="9"/>
  <c r="Q673" i="9"/>
  <c r="Q717" i="9"/>
  <c r="Q732" i="9"/>
  <c r="Q762" i="9"/>
  <c r="Q888" i="9"/>
  <c r="Q903" i="9"/>
  <c r="Q982" i="9"/>
  <c r="Q998" i="9"/>
  <c r="Q1045" i="9"/>
  <c r="Q1371" i="9"/>
  <c r="Q1387" i="9"/>
  <c r="Q1403" i="9"/>
  <c r="Q1466" i="9"/>
  <c r="Q1514" i="9"/>
  <c r="Q1626" i="9"/>
  <c r="Q1834" i="9"/>
  <c r="Q1865" i="9"/>
  <c r="Q517" i="9"/>
  <c r="Q562" i="9"/>
  <c r="Q224" i="9"/>
  <c r="Q437" i="9"/>
  <c r="Q72" i="9"/>
  <c r="Q225" i="9"/>
  <c r="Q11" i="9"/>
  <c r="Q299" i="9"/>
  <c r="Q395" i="9"/>
  <c r="Q635" i="9"/>
  <c r="Q343" i="9"/>
  <c r="Q422" i="9"/>
  <c r="Q440" i="9"/>
  <c r="Q1289" i="9"/>
  <c r="Q1701" i="9"/>
  <c r="Q1733" i="9"/>
  <c r="Q1749" i="9"/>
  <c r="Q1797" i="9"/>
  <c r="Q1841" i="9"/>
  <c r="Q16" i="9"/>
  <c r="Q62" i="9"/>
  <c r="Q106" i="9"/>
  <c r="Q166" i="9"/>
  <c r="Q212" i="9"/>
  <c r="Q276" i="9"/>
  <c r="Q367" i="9"/>
  <c r="Q445" i="9"/>
  <c r="Q460" i="9"/>
  <c r="Q599" i="9"/>
  <c r="Q659" i="9"/>
  <c r="Q703" i="9"/>
  <c r="Q795" i="9"/>
  <c r="Q827" i="9"/>
  <c r="Q983" i="9"/>
  <c r="Q1277" i="9"/>
  <c r="Q1293" i="9"/>
  <c r="Q1531" i="9"/>
  <c r="Q38" i="9"/>
  <c r="Q994" i="9"/>
  <c r="Q581" i="9"/>
  <c r="Q103" i="9"/>
  <c r="Q930" i="9"/>
  <c r="Q344" i="9"/>
  <c r="Q505" i="9"/>
  <c r="Q549" i="9"/>
  <c r="Q567" i="9"/>
  <c r="Q851" i="9"/>
  <c r="Q911" i="9"/>
  <c r="Q1040" i="9"/>
  <c r="Q1650" i="9"/>
  <c r="Q2" i="9"/>
  <c r="Q17" i="9"/>
  <c r="Q63" i="9"/>
  <c r="Q107" i="9"/>
  <c r="Q151" i="9"/>
  <c r="Q167" i="9"/>
  <c r="Q384" i="9"/>
  <c r="Q400" i="9"/>
  <c r="Q430" i="9"/>
  <c r="Q524" i="9"/>
  <c r="Q584" i="9"/>
  <c r="Q600" i="9"/>
  <c r="Q796" i="9"/>
  <c r="Q969" i="9"/>
  <c r="Q1016" i="9"/>
  <c r="Q1078" i="9"/>
  <c r="Q1294" i="9"/>
  <c r="Q1500" i="9"/>
  <c r="Q405" i="9"/>
  <c r="Q1413" i="9"/>
  <c r="Q685" i="9"/>
  <c r="Q379" i="9"/>
  <c r="Q546" i="9"/>
  <c r="Q1101" i="9"/>
  <c r="Q1133" i="9"/>
  <c r="Q345" i="9"/>
  <c r="Q506" i="9"/>
  <c r="Q872" i="9"/>
  <c r="Q894" i="9"/>
  <c r="Q1363" i="9"/>
  <c r="Q1457" i="9"/>
  <c r="Q1505" i="9"/>
  <c r="Q1521" i="9"/>
  <c r="Q1537" i="9"/>
  <c r="Q1669" i="9"/>
  <c r="Q18" i="9"/>
  <c r="Q214" i="9"/>
  <c r="Q246" i="9"/>
  <c r="Q278" i="9"/>
  <c r="Q338" i="9"/>
  <c r="Q385" i="9"/>
  <c r="Q431" i="9"/>
  <c r="Q447" i="9"/>
  <c r="Q510" i="9"/>
  <c r="Q585" i="9"/>
  <c r="Q691" i="9"/>
  <c r="Q705" i="9"/>
  <c r="Q938" i="9"/>
  <c r="Q954" i="9"/>
  <c r="Q1001" i="9"/>
  <c r="Q1063" i="9"/>
  <c r="Q1155" i="9"/>
  <c r="Q1232" i="9"/>
  <c r="Q1327" i="9"/>
  <c r="Q1613" i="9"/>
  <c r="Q470" i="9"/>
  <c r="Q1240" i="9"/>
  <c r="Q177" i="9"/>
  <c r="Q58" i="9"/>
  <c r="Q162" i="9"/>
  <c r="Q655" i="9"/>
  <c r="Q360" i="9"/>
  <c r="Q744" i="9"/>
  <c r="Q1128" i="9"/>
  <c r="Q1208" i="9"/>
  <c r="Q163" i="9"/>
  <c r="Q143" i="9"/>
  <c r="Q346" i="9"/>
  <c r="Q819" i="9"/>
  <c r="Q895" i="9"/>
  <c r="Q1189" i="9"/>
  <c r="Q1347" i="9"/>
  <c r="Q1442" i="9"/>
  <c r="Q1458" i="9"/>
  <c r="Q1490" i="9"/>
  <c r="Q1554" i="9"/>
  <c r="Q1634" i="9"/>
  <c r="Q1736" i="9"/>
  <c r="Q1752" i="9"/>
  <c r="Q4" i="9"/>
  <c r="Q295" i="9"/>
  <c r="Q310" i="9"/>
  <c r="Q416" i="9"/>
  <c r="Q448" i="9"/>
  <c r="Q557" i="9"/>
  <c r="Q721" i="9"/>
  <c r="Q1141" i="9"/>
  <c r="Q1438" i="9"/>
  <c r="Q1454" i="9"/>
  <c r="Q1614" i="9"/>
  <c r="Q929" i="9"/>
  <c r="Q133" i="9"/>
  <c r="Q656" i="9"/>
  <c r="Q127" i="9"/>
  <c r="Q159" i="9"/>
  <c r="Q1007" i="9"/>
  <c r="Q1023" i="9"/>
  <c r="Q111" i="9"/>
  <c r="Q254" i="9"/>
  <c r="Q856" i="9"/>
  <c r="Q896" i="9"/>
  <c r="Q1653" i="9"/>
  <c r="Q1689" i="9"/>
  <c r="Q1705" i="9"/>
  <c r="Q1769" i="9"/>
  <c r="Q5" i="9"/>
  <c r="Q94" i="9"/>
  <c r="Q232" i="9"/>
  <c r="Q248" i="9"/>
  <c r="Q311" i="9"/>
  <c r="Q496" i="9"/>
  <c r="Q542" i="9"/>
  <c r="Q558" i="9"/>
  <c r="Q783" i="9"/>
  <c r="Q862" i="9"/>
  <c r="Q1265" i="9"/>
  <c r="Q1281" i="9"/>
  <c r="Q1455" i="9"/>
  <c r="Q1599" i="9"/>
  <c r="Q1351" i="9"/>
  <c r="Q1813" i="9"/>
  <c r="Q729" i="9"/>
  <c r="Q855" i="9"/>
  <c r="Q288" i="9"/>
  <c r="Q235" i="9"/>
  <c r="Q255" i="9"/>
  <c r="Q350" i="9"/>
  <c r="Q427" i="9"/>
  <c r="Q789" i="9"/>
  <c r="Q805" i="9"/>
  <c r="Q917" i="9"/>
  <c r="Q21" i="9"/>
  <c r="Q51" i="9"/>
  <c r="Q95" i="9"/>
  <c r="Q186" i="9"/>
  <c r="Q201" i="9"/>
  <c r="Q233" i="9"/>
  <c r="Q249" i="9"/>
  <c r="Q265" i="9"/>
  <c r="Q388" i="9"/>
  <c r="Q497" i="9"/>
  <c r="Q543" i="9"/>
  <c r="Q619" i="9"/>
  <c r="Q768" i="9"/>
  <c r="Q800" i="9"/>
  <c r="Q925" i="9"/>
  <c r="Q389" i="9"/>
  <c r="Q1067" i="9"/>
  <c r="Q1299" i="9"/>
  <c r="Q1425" i="9"/>
  <c r="Q53" i="9"/>
  <c r="Q113" i="9"/>
  <c r="Q221" i="9"/>
  <c r="Q712" i="9"/>
  <c r="Q1008" i="9"/>
  <c r="Q1370" i="9"/>
  <c r="Q1432" i="9"/>
  <c r="Q1478" i="9"/>
  <c r="Q3" i="9"/>
  <c r="Q220" i="9"/>
  <c r="Q285" i="9"/>
  <c r="Q348" i="9"/>
  <c r="Q593" i="9"/>
  <c r="Q634" i="9"/>
  <c r="Q700" i="9"/>
  <c r="Q1108" i="9"/>
  <c r="Q1164" i="9"/>
  <c r="Q1585" i="9"/>
  <c r="Q1600" i="9"/>
  <c r="Q1849" i="9"/>
  <c r="Q44" i="9"/>
  <c r="Q56" i="9"/>
  <c r="Q82" i="9"/>
  <c r="Q54" i="9"/>
  <c r="Q157" i="9"/>
  <c r="Q284" i="9"/>
  <c r="Q412" i="9"/>
  <c r="Q481" i="9"/>
  <c r="Q592" i="9"/>
  <c r="Q782" i="9"/>
  <c r="Q55" i="9"/>
  <c r="Q258" i="9"/>
  <c r="Q550" i="9"/>
  <c r="Q648" i="9"/>
  <c r="Q31" i="9"/>
  <c r="Q145" i="9"/>
  <c r="Q171" i="9"/>
  <c r="Q209" i="9"/>
  <c r="Q259" i="9"/>
  <c r="Q272" i="9"/>
  <c r="Q336" i="9"/>
  <c r="Q349" i="9"/>
  <c r="Q401" i="9"/>
  <c r="Q441" i="9"/>
  <c r="Q498" i="9"/>
  <c r="Q551" i="9"/>
  <c r="Q566" i="9"/>
  <c r="Q594" i="9"/>
  <c r="Q742" i="9"/>
  <c r="Q769" i="9"/>
  <c r="Q828" i="9"/>
  <c r="Q897" i="9"/>
  <c r="Q955" i="9"/>
  <c r="Q996" i="9"/>
  <c r="Q1068" i="9"/>
  <c r="Q1109" i="9"/>
  <c r="Q1310" i="9"/>
  <c r="Q1340" i="9"/>
  <c r="Q1356" i="9"/>
  <c r="Q1448" i="9"/>
  <c r="Q1601" i="9"/>
  <c r="Q1835" i="9"/>
  <c r="Q32" i="9"/>
  <c r="Q134" i="9"/>
  <c r="Q210" i="9"/>
  <c r="Q260" i="9"/>
  <c r="Q273" i="9"/>
  <c r="Q337" i="9"/>
  <c r="Q363" i="9"/>
  <c r="Q390" i="9"/>
  <c r="Q442" i="9"/>
  <c r="Q484" i="9"/>
  <c r="Q580" i="9"/>
  <c r="Q610" i="9"/>
  <c r="Q676" i="9"/>
  <c r="Q716" i="9"/>
  <c r="Q813" i="9"/>
  <c r="Q829" i="9"/>
  <c r="Q956" i="9"/>
  <c r="Q997" i="9"/>
  <c r="Q1124" i="9"/>
  <c r="Q1182" i="9"/>
  <c r="Q1326" i="9"/>
  <c r="Q1341" i="9"/>
  <c r="Q1357" i="9"/>
  <c r="Q1373" i="9"/>
  <c r="Q1481" i="9"/>
  <c r="Q1571" i="9"/>
  <c r="Q1756" i="9"/>
  <c r="Q1572" i="9"/>
  <c r="Q1805" i="9"/>
  <c r="Q1821" i="9"/>
  <c r="Q46" i="9"/>
  <c r="Q97" i="9"/>
  <c r="Q222" i="9"/>
  <c r="Q261" i="9"/>
  <c r="Q313" i="9"/>
  <c r="Q457" i="9"/>
  <c r="Q485" i="9"/>
  <c r="Q596" i="9"/>
  <c r="Q757" i="9"/>
  <c r="Q957" i="9"/>
  <c r="Q970" i="9"/>
  <c r="Q1209" i="9"/>
  <c r="Q1238" i="9"/>
  <c r="Q6" i="9"/>
  <c r="Q19" i="9"/>
  <c r="Q59" i="9"/>
  <c r="Q84" i="9"/>
  <c r="Q98" i="9"/>
  <c r="Q123" i="9"/>
  <c r="Q148" i="9"/>
  <c r="Q174" i="9"/>
  <c r="Q185" i="9"/>
  <c r="Q223" i="9"/>
  <c r="Q236" i="9"/>
  <c r="Q314" i="9"/>
  <c r="Q339" i="9"/>
  <c r="Q404" i="9"/>
  <c r="Q444" i="9"/>
  <c r="Q514" i="9"/>
  <c r="Q554" i="9"/>
  <c r="Q582" i="9"/>
  <c r="Q597" i="9"/>
  <c r="Q612" i="9"/>
  <c r="Q623" i="9"/>
  <c r="Q731" i="9"/>
  <c r="Q772" i="9"/>
  <c r="Q786" i="9"/>
  <c r="Q801" i="9"/>
  <c r="Q900" i="9"/>
  <c r="Q958" i="9"/>
  <c r="Q1028" i="9"/>
  <c r="Q1056" i="9"/>
  <c r="Q1210" i="9"/>
  <c r="Q1239" i="9"/>
  <c r="Q1269" i="9"/>
  <c r="Q1313" i="9"/>
  <c r="Q1343" i="9"/>
  <c r="Q1451" i="9"/>
  <c r="Q1542" i="9"/>
  <c r="Q1557" i="9"/>
  <c r="Q1573" i="9"/>
  <c r="Q1726" i="9"/>
  <c r="Q1528" i="9"/>
  <c r="Q1558" i="9"/>
  <c r="Q1574" i="9"/>
  <c r="Q35" i="9"/>
  <c r="Q138" i="9"/>
  <c r="Q176" i="9"/>
  <c r="Q187" i="9"/>
  <c r="Q251" i="9"/>
  <c r="Q316" i="9"/>
  <c r="Q556" i="9"/>
  <c r="Q639" i="9"/>
  <c r="Q817" i="9"/>
  <c r="Q833" i="9"/>
  <c r="Q945" i="9"/>
  <c r="Q960" i="9"/>
  <c r="Q1453" i="9"/>
  <c r="Q1559" i="9"/>
  <c r="Q1362" i="9"/>
  <c r="Q1486" i="9"/>
  <c r="Q1682" i="9"/>
  <c r="Q1698" i="9"/>
  <c r="Q1545" i="9"/>
  <c r="Q1561" i="9"/>
  <c r="Q1592" i="9"/>
  <c r="Q304" i="9"/>
  <c r="Q461" i="9"/>
  <c r="Q761" i="9"/>
  <c r="Q37" i="9"/>
  <c r="Q433" i="9"/>
  <c r="Q544" i="9"/>
  <c r="Q1187" i="9"/>
  <c r="Q24" i="9"/>
  <c r="Q75" i="9"/>
  <c r="Q88" i="9"/>
  <c r="Q140" i="9"/>
  <c r="Q152" i="9"/>
  <c r="Q165" i="9"/>
  <c r="Q190" i="9"/>
  <c r="Q279" i="9"/>
  <c r="Q292" i="9"/>
  <c r="Q319" i="9"/>
  <c r="Q408" i="9"/>
  <c r="Q421" i="9"/>
  <c r="Q434" i="9"/>
  <c r="Q519" i="9"/>
  <c r="Q531" i="9"/>
  <c r="Q572" i="9"/>
  <c r="Q628" i="9"/>
  <c r="Q641" i="9"/>
  <c r="Q708" i="9"/>
  <c r="Q791" i="9"/>
  <c r="Q820" i="9"/>
  <c r="Q877" i="9"/>
  <c r="Q947" i="9"/>
  <c r="Q1102" i="9"/>
  <c r="Q1116" i="9"/>
  <c r="Q1145" i="9"/>
  <c r="Q1244" i="9"/>
  <c r="Q1274" i="9"/>
  <c r="Q1303" i="9"/>
  <c r="Q1395" i="9"/>
  <c r="Q1411" i="9"/>
  <c r="Q1503" i="9"/>
  <c r="Q1518" i="9"/>
  <c r="Q1532" i="9"/>
  <c r="Q1546" i="9"/>
  <c r="Q126" i="9"/>
  <c r="Q419" i="9"/>
  <c r="Q489" i="9"/>
  <c r="Q1200" i="9"/>
  <c r="Q10" i="9"/>
  <c r="Q291" i="9"/>
  <c r="Q368" i="9"/>
  <c r="Q530" i="9"/>
  <c r="Q571" i="9"/>
  <c r="Q1273" i="9"/>
  <c r="Q1317" i="9"/>
  <c r="Q12" i="9"/>
  <c r="Q25" i="9"/>
  <c r="Q76" i="9"/>
  <c r="Q89" i="9"/>
  <c r="Q141" i="9"/>
  <c r="Q153" i="9"/>
  <c r="Q191" i="9"/>
  <c r="Q202" i="9"/>
  <c r="Q280" i="9"/>
  <c r="Q293" i="9"/>
  <c r="Q320" i="9"/>
  <c r="Q330" i="9"/>
  <c r="Q396" i="9"/>
  <c r="Q409" i="9"/>
  <c r="Q450" i="9"/>
  <c r="Q476" i="9"/>
  <c r="Q520" i="9"/>
  <c r="Q560" i="9"/>
  <c r="Q642" i="9"/>
  <c r="Q668" i="9"/>
  <c r="Q709" i="9"/>
  <c r="Q723" i="9"/>
  <c r="Q735" i="9"/>
  <c r="Q764" i="9"/>
  <c r="Q777" i="9"/>
  <c r="Q821" i="9"/>
  <c r="Q850" i="9"/>
  <c r="Q863" i="9"/>
  <c r="Q878" i="9"/>
  <c r="Q948" i="9"/>
  <c r="Q1061" i="9"/>
  <c r="Q1076" i="9"/>
  <c r="Q1090" i="9"/>
  <c r="Q1117" i="9"/>
  <c r="Q1146" i="9"/>
  <c r="Q1174" i="9"/>
  <c r="Q1216" i="9"/>
  <c r="Q1230" i="9"/>
  <c r="Q1245" i="9"/>
  <c r="Q1381" i="9"/>
  <c r="Q1396" i="9"/>
  <c r="Q1412" i="9"/>
  <c r="Q1427" i="9"/>
  <c r="Q1473" i="9"/>
  <c r="Q1685" i="9"/>
  <c r="Q237" i="9"/>
  <c r="Q352" i="9"/>
  <c r="Q74" i="9"/>
  <c r="Q355" i="9"/>
  <c r="Q420" i="9"/>
  <c r="Q518" i="9"/>
  <c r="Q876" i="9"/>
  <c r="Q1172" i="9"/>
  <c r="Q1410" i="9"/>
  <c r="Q90" i="9"/>
  <c r="Q116" i="9"/>
  <c r="Q154" i="9"/>
  <c r="Q192" i="9"/>
  <c r="Q230" i="9"/>
  <c r="Q242" i="9"/>
  <c r="Q281" i="9"/>
  <c r="Q294" i="9"/>
  <c r="Q321" i="9"/>
  <c r="Q371" i="9"/>
  <c r="Q397" i="9"/>
  <c r="Q465" i="9"/>
  <c r="Q492" i="9"/>
  <c r="Q533" i="9"/>
  <c r="Q604" i="9"/>
  <c r="Q630" i="9"/>
  <c r="Q643" i="9"/>
  <c r="Q684" i="9"/>
  <c r="Q710" i="9"/>
  <c r="Q724" i="9"/>
  <c r="Q822" i="9"/>
  <c r="Q864" i="9"/>
  <c r="Q920" i="9"/>
  <c r="Q1048" i="9"/>
  <c r="Q1077" i="9"/>
  <c r="Q1104" i="9"/>
  <c r="Q1147" i="9"/>
  <c r="Q1175" i="9"/>
  <c r="Q1217" i="9"/>
  <c r="Q1231" i="9"/>
  <c r="Q1276" i="9"/>
  <c r="Q1320" i="9"/>
  <c r="Q1334" i="9"/>
  <c r="Q1382" i="9"/>
  <c r="Q1397" i="9"/>
  <c r="Q1670" i="9"/>
  <c r="Q432" i="9"/>
  <c r="Q1534" i="9"/>
  <c r="Q1612" i="9"/>
  <c r="Q1656" i="9"/>
  <c r="Q73" i="9"/>
  <c r="Q680" i="9"/>
  <c r="Q52" i="9"/>
  <c r="Q117" i="9"/>
  <c r="Q268" i="9"/>
  <c r="Q359" i="9"/>
  <c r="Q493" i="9"/>
  <c r="Q631" i="9"/>
  <c r="Q644" i="9"/>
  <c r="Q670" i="9"/>
  <c r="Q711" i="9"/>
  <c r="Q794" i="9"/>
  <c r="Q892" i="9"/>
  <c r="Q921" i="9"/>
  <c r="Q991" i="9"/>
  <c r="Q1020" i="9"/>
  <c r="Q1105" i="9"/>
  <c r="Q1132" i="9"/>
  <c r="Q1148" i="9"/>
  <c r="Q1218" i="9"/>
  <c r="Q1306" i="9"/>
  <c r="Q14" i="9"/>
  <c r="Q28" i="9"/>
  <c r="Q40" i="9"/>
  <c r="Q79" i="9"/>
  <c r="Q92" i="9"/>
  <c r="Q118" i="9"/>
  <c r="Q130" i="9"/>
  <c r="Q180" i="9"/>
  <c r="Q194" i="9"/>
  <c r="Q244" i="9"/>
  <c r="Q269" i="9"/>
  <c r="Q308" i="9"/>
  <c r="Q386" i="9"/>
  <c r="Q479" i="9"/>
  <c r="Q494" i="9"/>
  <c r="Q547" i="9"/>
  <c r="Q632" i="9"/>
  <c r="Q686" i="9"/>
  <c r="Q751" i="9"/>
  <c r="Q780" i="9"/>
  <c r="Q808" i="9"/>
  <c r="Q922" i="9"/>
  <c r="Q966" i="9"/>
  <c r="Q979" i="9"/>
  <c r="Q1021" i="9"/>
  <c r="Q1119" i="9"/>
  <c r="Q1177" i="9"/>
  <c r="Q1368" i="9"/>
  <c r="Q1460" i="9"/>
  <c r="Q1491" i="9"/>
  <c r="Q1627" i="9"/>
  <c r="Q914" i="9"/>
  <c r="Q36" i="9"/>
  <c r="Q354" i="9"/>
  <c r="Q932" i="9"/>
  <c r="Q1228" i="9"/>
  <c r="Q15" i="9"/>
  <c r="Q29" i="9"/>
  <c r="Q41" i="9"/>
  <c r="Q93" i="9"/>
  <c r="Q119" i="9"/>
  <c r="Q156" i="9"/>
  <c r="Q195" i="9"/>
  <c r="Q206" i="9"/>
  <c r="Q245" i="9"/>
  <c r="Q283" i="9"/>
  <c r="Q296" i="9"/>
  <c r="Q309" i="9"/>
  <c r="Q374" i="9"/>
  <c r="Q424" i="9"/>
  <c r="Q438" i="9"/>
  <c r="Q480" i="9"/>
  <c r="Q495" i="9"/>
  <c r="Q509" i="9"/>
  <c r="Q535" i="9"/>
  <c r="Q563" i="9"/>
  <c r="Q577" i="9"/>
  <c r="Q591" i="9"/>
  <c r="Q646" i="9"/>
  <c r="Q672" i="9"/>
  <c r="Q853" i="9"/>
  <c r="Q867" i="9"/>
  <c r="Q1065" i="9"/>
  <c r="Q1079" i="9"/>
  <c r="Q1093" i="9"/>
  <c r="Q1134" i="9"/>
  <c r="Q1204" i="9"/>
  <c r="Q1292" i="9"/>
  <c r="Q1337" i="9"/>
  <c r="Q1353" i="9"/>
  <c r="Q1369" i="9"/>
  <c r="Q1400" i="9"/>
  <c r="Q1431" i="9"/>
  <c r="Q1461" i="9"/>
  <c r="Q1477" i="9"/>
  <c r="Q1492" i="9"/>
  <c r="Q1536" i="9"/>
  <c r="Q1720" i="9"/>
  <c r="Q1587" i="9"/>
  <c r="Q1615" i="9"/>
  <c r="Q1671" i="9"/>
  <c r="Q1760" i="9"/>
  <c r="Q1791" i="9"/>
  <c r="Q1822" i="9"/>
  <c r="Q1838" i="9"/>
  <c r="Q1852" i="9"/>
  <c r="Q1868" i="9"/>
  <c r="Q85" i="9"/>
  <c r="Q96" i="9"/>
  <c r="Q108" i="9"/>
  <c r="Q131" i="9"/>
  <c r="Q188" i="9"/>
  <c r="Q213" i="9"/>
  <c r="Q247" i="9"/>
  <c r="Q257" i="9"/>
  <c r="Q270" i="9"/>
  <c r="Q306" i="9"/>
  <c r="Q341" i="9"/>
  <c r="Q351" i="9"/>
  <c r="Q376" i="9"/>
  <c r="Q446" i="9"/>
  <c r="Q483" i="9"/>
  <c r="Q559" i="9"/>
  <c r="Q569" i="9"/>
  <c r="Q608" i="9"/>
  <c r="Q620" i="9"/>
  <c r="Q645" i="9"/>
  <c r="Q682" i="9"/>
  <c r="Q694" i="9"/>
  <c r="Q720" i="9"/>
  <c r="Q758" i="9"/>
  <c r="Q770" i="9"/>
  <c r="Q784" i="9"/>
  <c r="Q825" i="9"/>
  <c r="Q852" i="9"/>
  <c r="Q865" i="9"/>
  <c r="Q904" i="9"/>
  <c r="Q972" i="9"/>
  <c r="Q1025" i="9"/>
  <c r="Q1039" i="9"/>
  <c r="Q1066" i="9"/>
  <c r="Q1094" i="9"/>
  <c r="Q1120" i="9"/>
  <c r="Q1214" i="9"/>
  <c r="Q1270" i="9"/>
  <c r="Q1309" i="9"/>
  <c r="Q1324" i="9"/>
  <c r="Q1354" i="9"/>
  <c r="Q1384" i="9"/>
  <c r="Q1415" i="9"/>
  <c r="Q1430" i="9"/>
  <c r="Q1474" i="9"/>
  <c r="Q1489" i="9"/>
  <c r="Q1519" i="9"/>
  <c r="Q1560" i="9"/>
  <c r="Q1575" i="9"/>
  <c r="Q1588" i="9"/>
  <c r="Q1602" i="9"/>
  <c r="Q1630" i="9"/>
  <c r="Q1644" i="9"/>
  <c r="Q1658" i="9"/>
  <c r="Q1717" i="9"/>
  <c r="Q1731" i="9"/>
  <c r="Q1745" i="9"/>
  <c r="Q1617" i="9"/>
  <c r="Q1808" i="9"/>
  <c r="Q1840" i="9"/>
  <c r="Q1854" i="9"/>
  <c r="Q1870" i="9"/>
  <c r="Q1547" i="9"/>
  <c r="Q1590" i="9"/>
  <c r="Q1604" i="9"/>
  <c r="Q1618" i="9"/>
  <c r="Q1646" i="9"/>
  <c r="Q1778" i="9"/>
  <c r="Q1794" i="9"/>
  <c r="Q1809" i="9"/>
  <c r="Q1506" i="9"/>
  <c r="Q1605" i="9"/>
  <c r="Q1633" i="9"/>
  <c r="Q1764" i="9"/>
  <c r="Q1795" i="9"/>
  <c r="Q1856" i="9"/>
  <c r="Q1549" i="9"/>
  <c r="Q1620" i="9"/>
  <c r="Q1648" i="9"/>
  <c r="Q1691" i="9"/>
  <c r="Q1706" i="9"/>
  <c r="Q8" i="9"/>
  <c r="Q43" i="9"/>
  <c r="Q101" i="9"/>
  <c r="Q135" i="9"/>
  <c r="Q168" i="9"/>
  <c r="Q193" i="9"/>
  <c r="Q203" i="9"/>
  <c r="Q227" i="9"/>
  <c r="Q250" i="9"/>
  <c r="Q262" i="9"/>
  <c r="Q286" i="9"/>
  <c r="Q297" i="9"/>
  <c r="Q331" i="9"/>
  <c r="Q356" i="9"/>
  <c r="Q391" i="9"/>
  <c r="Q413" i="9"/>
  <c r="Q462" i="9"/>
  <c r="Q499" i="9"/>
  <c r="Q511" i="9"/>
  <c r="Q537" i="9"/>
  <c r="Q574" i="9"/>
  <c r="Q613" i="9"/>
  <c r="Q636" i="9"/>
  <c r="Q687" i="9"/>
  <c r="Q725" i="9"/>
  <c r="Q736" i="9"/>
  <c r="Q774" i="9"/>
  <c r="Q842" i="9"/>
  <c r="Q870" i="9"/>
  <c r="Q909" i="9"/>
  <c r="Q1042" i="9"/>
  <c r="Q1071" i="9"/>
  <c r="Q1084" i="9"/>
  <c r="Q1111" i="9"/>
  <c r="Q1138" i="9"/>
  <c r="Q1152" i="9"/>
  <c r="Q1166" i="9"/>
  <c r="Q1179" i="9"/>
  <c r="Q1192" i="9"/>
  <c r="Q1219" i="9"/>
  <c r="Q1314" i="9"/>
  <c r="Q1329" i="9"/>
  <c r="Q1344" i="9"/>
  <c r="Q1359" i="9"/>
  <c r="Q1388" i="9"/>
  <c r="Q1463" i="9"/>
  <c r="Q1508" i="9"/>
  <c r="Q1564" i="9"/>
  <c r="Q1578" i="9"/>
  <c r="Q1649" i="9"/>
  <c r="Q1692" i="9"/>
  <c r="Q1707" i="9"/>
  <c r="Q1721" i="9"/>
  <c r="Q1750" i="9"/>
  <c r="Q1781" i="9"/>
  <c r="Q1812" i="9"/>
  <c r="Q1828" i="9"/>
  <c r="Q102" i="9"/>
  <c r="Q124" i="9"/>
  <c r="Q136" i="9"/>
  <c r="Q146" i="9"/>
  <c r="Q169" i="9"/>
  <c r="Q204" i="9"/>
  <c r="Q228" i="9"/>
  <c r="Q238" i="9"/>
  <c r="Q263" i="9"/>
  <c r="Q274" i="9"/>
  <c r="Q287" i="9"/>
  <c r="Q298" i="9"/>
  <c r="Q332" i="9"/>
  <c r="Q357" i="9"/>
  <c r="Q392" i="9"/>
  <c r="Q402" i="9"/>
  <c r="Q414" i="9"/>
  <c r="Q426" i="9"/>
  <c r="Q451" i="9"/>
  <c r="Q463" i="9"/>
  <c r="Q474" i="9"/>
  <c r="Q512" i="9"/>
  <c r="Q526" i="9"/>
  <c r="Q538" i="9"/>
  <c r="Q575" i="9"/>
  <c r="Q614" i="9"/>
  <c r="Q674" i="9"/>
  <c r="Q726" i="9"/>
  <c r="Q737" i="9"/>
  <c r="Q804" i="9"/>
  <c r="Q831" i="9"/>
  <c r="Q843" i="9"/>
  <c r="Q910" i="9"/>
  <c r="Q936" i="9"/>
  <c r="Q1004" i="9"/>
  <c r="Q1030" i="9"/>
  <c r="Q1043" i="9"/>
  <c r="Q1057" i="9"/>
  <c r="Q1085" i="9"/>
  <c r="Q1112" i="9"/>
  <c r="Q1139" i="9"/>
  <c r="Q1153" i="9"/>
  <c r="Q1180" i="9"/>
  <c r="Q1193" i="9"/>
  <c r="Q1315" i="9"/>
  <c r="Q1330" i="9"/>
  <c r="Q1345" i="9"/>
  <c r="Q1360" i="9"/>
  <c r="Q1420" i="9"/>
  <c r="Q1464" i="9"/>
  <c r="Q1494" i="9"/>
  <c r="Q1509" i="9"/>
  <c r="Q1523" i="9"/>
  <c r="Q1551" i="9"/>
  <c r="Q1565" i="9"/>
  <c r="Q1636" i="9"/>
  <c r="Q1693" i="9"/>
  <c r="Q1829" i="9"/>
  <c r="Q20" i="9"/>
  <c r="Q45" i="9"/>
  <c r="Q78" i="9"/>
  <c r="Q112" i="9"/>
  <c r="Q125" i="9"/>
  <c r="Q137" i="9"/>
  <c r="Q147" i="9"/>
  <c r="Q170" i="9"/>
  <c r="Q205" i="9"/>
  <c r="Q264" i="9"/>
  <c r="Q275" i="9"/>
  <c r="Q358" i="9"/>
  <c r="Q380" i="9"/>
  <c r="Q452" i="9"/>
  <c r="Q475" i="9"/>
  <c r="Q501" i="9"/>
  <c r="Q513" i="9"/>
  <c r="Q587" i="9"/>
  <c r="Q601" i="9"/>
  <c r="Q638" i="9"/>
  <c r="Q699" i="9"/>
  <c r="Q738" i="9"/>
  <c r="Q776" i="9"/>
  <c r="Q832" i="9"/>
  <c r="Q844" i="9"/>
  <c r="Q937" i="9"/>
  <c r="Q950" i="9"/>
  <c r="Q1031" i="9"/>
  <c r="Q1099" i="9"/>
  <c r="Q1127" i="9"/>
  <c r="Q1140" i="9"/>
  <c r="Q1181" i="9"/>
  <c r="Q1249" i="9"/>
  <c r="Q1261" i="9"/>
  <c r="Q1302" i="9"/>
  <c r="Q1316" i="9"/>
  <c r="Q1346" i="9"/>
  <c r="Q1406" i="9"/>
  <c r="Q1437" i="9"/>
  <c r="Q1495" i="9"/>
  <c r="Q1510" i="9"/>
  <c r="Q1524" i="9"/>
  <c r="Q1538" i="9"/>
  <c r="Q1552" i="9"/>
  <c r="Q1651" i="9"/>
  <c r="Q1679" i="9"/>
  <c r="Q1694" i="9"/>
  <c r="Q1723" i="9"/>
  <c r="Q1768" i="9"/>
  <c r="Q1511" i="9"/>
  <c r="Q1624" i="9"/>
  <c r="Q1665" i="9"/>
  <c r="Q1753" i="9"/>
  <c r="Q1784" i="9"/>
  <c r="Q47" i="9"/>
  <c r="Q68" i="9"/>
  <c r="Q80" i="9"/>
  <c r="Q114" i="9"/>
  <c r="Q149" i="9"/>
  <c r="Q196" i="9"/>
  <c r="Q207" i="9"/>
  <c r="Q240" i="9"/>
  <c r="Q253" i="9"/>
  <c r="Q300" i="9"/>
  <c r="Q324" i="9"/>
  <c r="Q334" i="9"/>
  <c r="Q369" i="9"/>
  <c r="Q466" i="9"/>
  <c r="Q503" i="9"/>
  <c r="Q515" i="9"/>
  <c r="Q528" i="9"/>
  <c r="Q589" i="9"/>
  <c r="Q626" i="9"/>
  <c r="Q701" i="9"/>
  <c r="Q714" i="9"/>
  <c r="Q740" i="9"/>
  <c r="Q765" i="9"/>
  <c r="Q778" i="9"/>
  <c r="Q792" i="9"/>
  <c r="Q834" i="9"/>
  <c r="Q859" i="9"/>
  <c r="Q886" i="9"/>
  <c r="Q898" i="9"/>
  <c r="Q912" i="9"/>
  <c r="Q926" i="9"/>
  <c r="Q967" i="9"/>
  <c r="Q980" i="9"/>
  <c r="Q992" i="9"/>
  <c r="Q1006" i="9"/>
  <c r="Q1033" i="9"/>
  <c r="Q1046" i="9"/>
  <c r="Q1114" i="9"/>
  <c r="Q1236" i="9"/>
  <c r="Q1263" i="9"/>
  <c r="Q1332" i="9"/>
  <c r="Q1377" i="9"/>
  <c r="Q1392" i="9"/>
  <c r="Q1423" i="9"/>
  <c r="Q1467" i="9"/>
  <c r="Q1482" i="9"/>
  <c r="Q1497" i="9"/>
  <c r="Q1568" i="9"/>
  <c r="Q1582" i="9"/>
  <c r="Q1639" i="9"/>
  <c r="Q1711" i="9"/>
  <c r="Q1738" i="9"/>
  <c r="Q1785" i="9"/>
  <c r="Q22" i="9"/>
  <c r="Q48" i="9"/>
  <c r="Q57" i="9"/>
  <c r="Q69" i="9"/>
  <c r="Q91" i="9"/>
  <c r="Q115" i="9"/>
  <c r="Q173" i="9"/>
  <c r="Q208" i="9"/>
  <c r="Q241" i="9"/>
  <c r="Q301" i="9"/>
  <c r="Q335" i="9"/>
  <c r="Q370" i="9"/>
  <c r="Q417" i="9"/>
  <c r="Q490" i="9"/>
  <c r="Q504" i="9"/>
  <c r="Q553" i="9"/>
  <c r="Q590" i="9"/>
  <c r="Q603" i="9"/>
  <c r="Q627" i="9"/>
  <c r="Q653" i="9"/>
  <c r="Q664" i="9"/>
  <c r="Q702" i="9"/>
  <c r="Q741" i="9"/>
  <c r="Q752" i="9"/>
  <c r="Q779" i="9"/>
  <c r="Q835" i="9"/>
  <c r="Q887" i="9"/>
  <c r="Q899" i="9"/>
  <c r="Q927" i="9"/>
  <c r="Q981" i="9"/>
  <c r="Q993" i="9"/>
  <c r="Q1034" i="9"/>
  <c r="Q1047" i="9"/>
  <c r="Q1060" i="9"/>
  <c r="Q1075" i="9"/>
  <c r="Q1089" i="9"/>
  <c r="Q1115" i="9"/>
  <c r="Q1143" i="9"/>
  <c r="Q1169" i="9"/>
  <c r="Q1184" i="9"/>
  <c r="Q1197" i="9"/>
  <c r="Q1237" i="9"/>
  <c r="Q1252" i="9"/>
  <c r="Q1264" i="9"/>
  <c r="Q1279" i="9"/>
  <c r="Q1319" i="9"/>
  <c r="Q1364" i="9"/>
  <c r="Q1409" i="9"/>
  <c r="Q1424" i="9"/>
  <c r="Q1468" i="9"/>
  <c r="Q1667" i="9"/>
  <c r="Q1681" i="9"/>
  <c r="Q1739" i="9"/>
  <c r="Q1801" i="9"/>
  <c r="Q372" i="9"/>
  <c r="Q383" i="9"/>
  <c r="Q429" i="9"/>
  <c r="Q464" i="9"/>
  <c r="Q500" i="9"/>
  <c r="Q573" i="9"/>
  <c r="Q598" i="9"/>
  <c r="Q647" i="9"/>
  <c r="Q658" i="9"/>
  <c r="Q671" i="9"/>
  <c r="Q719" i="9"/>
  <c r="Q755" i="9"/>
  <c r="Q767" i="9"/>
  <c r="Q781" i="9"/>
  <c r="Q793" i="9"/>
  <c r="Q830" i="9"/>
  <c r="Q854" i="9"/>
  <c r="Q866" i="9"/>
  <c r="Q924" i="9"/>
  <c r="Q959" i="9"/>
  <c r="Q971" i="9"/>
  <c r="Q995" i="9"/>
  <c r="Q1032" i="9"/>
  <c r="Q1044" i="9"/>
  <c r="Q1070" i="9"/>
  <c r="Q1081" i="9"/>
  <c r="Q1106" i="9"/>
  <c r="Q1130" i="9"/>
  <c r="Q1154" i="9"/>
  <c r="Q1178" i="9"/>
  <c r="Q1190" i="9"/>
  <c r="Q1255" i="9"/>
  <c r="Q1267" i="9"/>
  <c r="Q1291" i="9"/>
  <c r="Q1305" i="9"/>
  <c r="Q1318" i="9"/>
  <c r="Q1358" i="9"/>
  <c r="Q1385" i="9"/>
  <c r="Q1399" i="9"/>
  <c r="Q1428" i="9"/>
  <c r="Q1441" i="9"/>
  <c r="Q1452" i="9"/>
  <c r="Q1465" i="9"/>
  <c r="Q1479" i="9"/>
  <c r="Q1493" i="9"/>
  <c r="Q1507" i="9"/>
  <c r="Q1535" i="9"/>
  <c r="Q1548" i="9"/>
  <c r="Q1589" i="9"/>
  <c r="Q1629" i="9"/>
  <c r="Q1642" i="9"/>
  <c r="Q1737" i="9"/>
  <c r="Q1767" i="9"/>
  <c r="Q1825" i="9"/>
  <c r="Q1827" i="9"/>
  <c r="Q1855" i="9"/>
  <c r="Q1871" i="9"/>
  <c r="Q1872" i="9"/>
  <c r="Q1799" i="9"/>
  <c r="Q1842" i="9"/>
  <c r="Q1857" i="9"/>
  <c r="Q353" i="9"/>
  <c r="Q364" i="9"/>
  <c r="Q387" i="9"/>
  <c r="Q443" i="9"/>
  <c r="Q468" i="9"/>
  <c r="Q478" i="9"/>
  <c r="Q516" i="9"/>
  <c r="Q540" i="9"/>
  <c r="Q552" i="9"/>
  <c r="Q588" i="9"/>
  <c r="Q625" i="9"/>
  <c r="Q698" i="9"/>
  <c r="Q760" i="9"/>
  <c r="Q771" i="9"/>
  <c r="Q797" i="9"/>
  <c r="Q809" i="9"/>
  <c r="Q871" i="9"/>
  <c r="Q880" i="9"/>
  <c r="Q893" i="9"/>
  <c r="Q905" i="9"/>
  <c r="Q916" i="9"/>
  <c r="Q939" i="9"/>
  <c r="Q963" i="9"/>
  <c r="Q975" i="9"/>
  <c r="Q1000" i="9"/>
  <c r="Q1036" i="9"/>
  <c r="Q1049" i="9"/>
  <c r="Q1074" i="9"/>
  <c r="Q1158" i="9"/>
  <c r="Q1183" i="9"/>
  <c r="Q1194" i="9"/>
  <c r="Q1206" i="9"/>
  <c r="Q1233" i="9"/>
  <c r="Q1283" i="9"/>
  <c r="Q1296" i="9"/>
  <c r="Q1335" i="9"/>
  <c r="Q1348" i="9"/>
  <c r="Q1374" i="9"/>
  <c r="Q1389" i="9"/>
  <c r="Q1404" i="9"/>
  <c r="Q1417" i="9"/>
  <c r="Q1433" i="9"/>
  <c r="Q1483" i="9"/>
  <c r="Q1512" i="9"/>
  <c r="Q1525" i="9"/>
  <c r="Q1539" i="9"/>
  <c r="Q1579" i="9"/>
  <c r="Q1593" i="9"/>
  <c r="Q1607" i="9"/>
  <c r="Q1621" i="9"/>
  <c r="Q1647" i="9"/>
  <c r="Q1714" i="9"/>
  <c r="Q1742" i="9"/>
  <c r="Q1771" i="9"/>
  <c r="Q1800" i="9"/>
  <c r="Q1814" i="9"/>
  <c r="Q798" i="9"/>
  <c r="Q810" i="9"/>
  <c r="Q964" i="9"/>
  <c r="Q1011" i="9"/>
  <c r="Q1037" i="9"/>
  <c r="Q1087" i="9"/>
  <c r="Q1122" i="9"/>
  <c r="Q1159" i="9"/>
  <c r="Q1170" i="9"/>
  <c r="Q1195" i="9"/>
  <c r="Q1207" i="9"/>
  <c r="Q1234" i="9"/>
  <c r="Q1247" i="9"/>
  <c r="Q1259" i="9"/>
  <c r="Q1284" i="9"/>
  <c r="Q1297" i="9"/>
  <c r="Q1349" i="9"/>
  <c r="Q1375" i="9"/>
  <c r="Q1390" i="9"/>
  <c r="Q1418" i="9"/>
  <c r="Q1470" i="9"/>
  <c r="Q1484" i="9"/>
  <c r="Q1498" i="9"/>
  <c r="Q1594" i="9"/>
  <c r="Q1608" i="9"/>
  <c r="Q1659" i="9"/>
  <c r="Q1687" i="9"/>
  <c r="Q1729" i="9"/>
  <c r="Q1758" i="9"/>
  <c r="Q1772" i="9"/>
  <c r="Q1786" i="9"/>
  <c r="Q1815" i="9"/>
  <c r="Q748" i="9"/>
  <c r="Q799" i="9"/>
  <c r="Q811" i="9"/>
  <c r="Q846" i="9"/>
  <c r="Q858" i="9"/>
  <c r="Q882" i="9"/>
  <c r="Q941" i="9"/>
  <c r="Q977" i="9"/>
  <c r="Q988" i="9"/>
  <c r="Q1012" i="9"/>
  <c r="Q1024" i="9"/>
  <c r="Q1088" i="9"/>
  <c r="Q1098" i="9"/>
  <c r="Q1123" i="9"/>
  <c r="Q1160" i="9"/>
  <c r="Q1171" i="9"/>
  <c r="Q1248" i="9"/>
  <c r="Q1285" i="9"/>
  <c r="Q1298" i="9"/>
  <c r="Q1323" i="9"/>
  <c r="Q1350" i="9"/>
  <c r="Q1376" i="9"/>
  <c r="Q1419" i="9"/>
  <c r="Q1446" i="9"/>
  <c r="Q1471" i="9"/>
  <c r="Q1527" i="9"/>
  <c r="Q1541" i="9"/>
  <c r="Q1567" i="9"/>
  <c r="Q1581" i="9"/>
  <c r="Q1595" i="9"/>
  <c r="Q1623" i="9"/>
  <c r="Q1635" i="9"/>
  <c r="Q1674" i="9"/>
  <c r="Q1688" i="9"/>
  <c r="Q1744" i="9"/>
  <c r="Q1759" i="9"/>
  <c r="Q1773" i="9"/>
  <c r="Q1787" i="9"/>
  <c r="Q1816" i="9"/>
  <c r="Q1774" i="9"/>
  <c r="Q1846" i="9"/>
  <c r="Q1861" i="9"/>
  <c r="Q837" i="9"/>
  <c r="Q848" i="9"/>
  <c r="Q884" i="9"/>
  <c r="Q943" i="9"/>
  <c r="Q1014" i="9"/>
  <c r="Q1026" i="9"/>
  <c r="Q1052" i="9"/>
  <c r="Q1100" i="9"/>
  <c r="Q1125" i="9"/>
  <c r="Q1149" i="9"/>
  <c r="Q1198" i="9"/>
  <c r="Q1222" i="9"/>
  <c r="Q1287" i="9"/>
  <c r="Q1300" i="9"/>
  <c r="Q1311" i="9"/>
  <c r="Q1378" i="9"/>
  <c r="Q1407" i="9"/>
  <c r="Q1487" i="9"/>
  <c r="Q1501" i="9"/>
  <c r="Q1515" i="9"/>
  <c r="Q1529" i="9"/>
  <c r="Q1543" i="9"/>
  <c r="Q1555" i="9"/>
  <c r="Q1569" i="9"/>
  <c r="Q1597" i="9"/>
  <c r="Q1610" i="9"/>
  <c r="Q1637" i="9"/>
  <c r="Q1662" i="9"/>
  <c r="Q1676" i="9"/>
  <c r="Q1704" i="9"/>
  <c r="Q1718" i="9"/>
  <c r="Q1732" i="9"/>
  <c r="Q1746" i="9"/>
  <c r="Q1818" i="9"/>
  <c r="Q750" i="9"/>
  <c r="Q788" i="9"/>
  <c r="Q814" i="9"/>
  <c r="Q824" i="9"/>
  <c r="Q861" i="9"/>
  <c r="Q1015" i="9"/>
  <c r="Q1027" i="9"/>
  <c r="Q1053" i="9"/>
  <c r="Q1064" i="9"/>
  <c r="Q1126" i="9"/>
  <c r="Q1136" i="9"/>
  <c r="Q1199" i="9"/>
  <c r="Q1223" i="9"/>
  <c r="Q1250" i="9"/>
  <c r="Q1275" i="9"/>
  <c r="Q1339" i="9"/>
  <c r="Q1366" i="9"/>
  <c r="Q1379" i="9"/>
  <c r="Q1393" i="9"/>
  <c r="Q1422" i="9"/>
  <c r="Q1436" i="9"/>
  <c r="Q1459" i="9"/>
  <c r="Q1488" i="9"/>
  <c r="Q1502" i="9"/>
  <c r="Q1516" i="9"/>
  <c r="Q1530" i="9"/>
  <c r="Q1570" i="9"/>
  <c r="Q1584" i="9"/>
  <c r="Q1598" i="9"/>
  <c r="Q1611" i="9"/>
  <c r="Q1638" i="9"/>
  <c r="Q1677" i="9"/>
  <c r="Q1719" i="9"/>
  <c r="Q1747" i="9"/>
  <c r="Q1833" i="9"/>
  <c r="Q1631" i="9"/>
  <c r="Q1654" i="9"/>
  <c r="Q1702" i="9"/>
  <c r="Q1715" i="9"/>
  <c r="Q1727" i="9"/>
  <c r="Q1740" i="9"/>
  <c r="Q1754" i="9"/>
  <c r="Q1782" i="9"/>
  <c r="Q1796" i="9"/>
  <c r="Q1810" i="9"/>
  <c r="Q1823" i="9"/>
  <c r="Q1836" i="9"/>
  <c r="Q1850" i="9"/>
  <c r="Q1866" i="9"/>
  <c r="Q26" i="9"/>
  <c r="Q60" i="9"/>
  <c r="Q172" i="9"/>
  <c r="Q229" i="9"/>
  <c r="Q317" i="9"/>
  <c r="Q340" i="9"/>
  <c r="Q373" i="9"/>
  <c r="Q428" i="9"/>
  <c r="Q486" i="9"/>
  <c r="Q508" i="9"/>
  <c r="Q521" i="9"/>
  <c r="Q532" i="9"/>
  <c r="Q555" i="9"/>
  <c r="Q615" i="9"/>
  <c r="Q624" i="9"/>
  <c r="Q637" i="9"/>
  <c r="Q649" i="9"/>
  <c r="Q660" i="9"/>
  <c r="Q683" i="9"/>
  <c r="Q718" i="9"/>
  <c r="Q743" i="9"/>
  <c r="Q753" i="9"/>
  <c r="Q790" i="9"/>
  <c r="Q803" i="9"/>
  <c r="Q816" i="9"/>
  <c r="Q826" i="9"/>
  <c r="Q885" i="9"/>
  <c r="Q908" i="9"/>
  <c r="Q919" i="9"/>
  <c r="Q931" i="9"/>
  <c r="Q944" i="9"/>
  <c r="Q953" i="9"/>
  <c r="Q978" i="9"/>
  <c r="Q1013" i="9"/>
  <c r="Q1038" i="9"/>
  <c r="Q1050" i="9"/>
  <c r="Q1086" i="9"/>
  <c r="Q1110" i="9"/>
  <c r="Q1121" i="9"/>
  <c r="Q1156" i="9"/>
  <c r="Q1215" i="9"/>
  <c r="Q1241" i="9"/>
  <c r="Q1254" i="9"/>
  <c r="Q1266" i="9"/>
  <c r="Q1278" i="9"/>
  <c r="Q1328" i="9"/>
  <c r="Q1342" i="9"/>
  <c r="Q1355" i="9"/>
  <c r="Q1380" i="9"/>
  <c r="Q1408" i="9"/>
  <c r="Q1421" i="9"/>
  <c r="Q1447" i="9"/>
  <c r="Q1472" i="9"/>
  <c r="Q1485" i="9"/>
  <c r="Q1499" i="9"/>
  <c r="Q1526" i="9"/>
  <c r="Q1540" i="9"/>
  <c r="Q1553" i="9"/>
  <c r="Q1566" i="9"/>
  <c r="Q1580" i="9"/>
  <c r="Q1606" i="9"/>
  <c r="Q1619" i="9"/>
  <c r="Q1632" i="9"/>
  <c r="Q1643" i="9"/>
  <c r="Q1655" i="9"/>
  <c r="Q1666" i="9"/>
  <c r="Q1645" i="9"/>
  <c r="Q1668" i="9"/>
  <c r="Q1690" i="9"/>
  <c r="Q1730" i="9"/>
  <c r="Q1743" i="9"/>
  <c r="Q1757" i="9"/>
  <c r="Q1770" i="9"/>
  <c r="Q1798" i="9"/>
  <c r="Q1826" i="9"/>
  <c r="Q1839" i="9"/>
  <c r="Q1853" i="9"/>
  <c r="Q1869" i="9"/>
  <c r="Q1873" i="9"/>
  <c r="Q1660" i="9"/>
  <c r="Q1695" i="9"/>
  <c r="Q1708" i="9"/>
  <c r="Q1734" i="9"/>
  <c r="Q1748" i="9"/>
  <c r="Q1761" i="9"/>
  <c r="Q1775" i="9"/>
  <c r="Q1788" i="9"/>
  <c r="Q1802" i="9"/>
  <c r="Q1830" i="9"/>
  <c r="Q1843" i="9"/>
  <c r="Q1858" i="9"/>
  <c r="Q1683" i="9"/>
  <c r="Q1696" i="9"/>
  <c r="Q1709" i="9"/>
  <c r="Q1735" i="9"/>
  <c r="Q1762" i="9"/>
  <c r="Q1776" i="9"/>
  <c r="Q1789" i="9"/>
  <c r="Q1803" i="9"/>
  <c r="Q1831" i="9"/>
  <c r="Q1844" i="9"/>
  <c r="Q1859" i="9"/>
  <c r="Q1673" i="9"/>
  <c r="Q1684" i="9"/>
  <c r="Q1697" i="9"/>
  <c r="Q1710" i="9"/>
  <c r="Q1722" i="9"/>
  <c r="Q1763" i="9"/>
  <c r="Q1777" i="9"/>
  <c r="Q1790" i="9"/>
  <c r="Q1804" i="9"/>
  <c r="Q1845" i="9"/>
  <c r="Q1860" i="9"/>
  <c r="Q1877" i="9"/>
  <c r="Q1663" i="9"/>
  <c r="Q1699" i="9"/>
  <c r="Q1712" i="9"/>
  <c r="Q1724" i="9"/>
  <c r="Q1751" i="9"/>
  <c r="Q1765" i="9"/>
  <c r="Q1779" i="9"/>
  <c r="Q1792" i="9"/>
  <c r="Q1806" i="9"/>
  <c r="Q1819" i="9"/>
  <c r="Q1847" i="9"/>
  <c r="Q1862" i="9"/>
  <c r="Q381" i="9"/>
  <c r="Q403" i="9"/>
  <c r="Q415" i="9"/>
  <c r="Q425" i="9"/>
  <c r="Q449" i="9"/>
  <c r="Q458" i="9"/>
  <c r="Q482" i="9"/>
  <c r="Q541" i="9"/>
  <c r="Q564" i="9"/>
  <c r="Q576" i="9"/>
  <c r="Q586" i="9"/>
  <c r="Q611" i="9"/>
  <c r="Q669" i="9"/>
  <c r="Q692" i="9"/>
  <c r="Q704" i="9"/>
  <c r="Q715" i="9"/>
  <c r="Q739" i="9"/>
  <c r="Q775" i="9"/>
  <c r="Q787" i="9"/>
  <c r="Q812" i="9"/>
  <c r="Q836" i="9"/>
  <c r="Q847" i="9"/>
  <c r="Q881" i="9"/>
  <c r="Q940" i="9"/>
  <c r="Q974" i="9"/>
  <c r="Q999" i="9"/>
  <c r="Q1009" i="9"/>
  <c r="Q1022" i="9"/>
  <c r="Q1059" i="9"/>
  <c r="Q1072" i="9"/>
  <c r="Q1082" i="9"/>
  <c r="Q1142" i="9"/>
  <c r="Q1165" i="9"/>
  <c r="Q1176" i="9"/>
  <c r="Q1188" i="9"/>
  <c r="Q1211" i="9"/>
  <c r="Q1225" i="9"/>
  <c r="Q1251" i="9"/>
  <c r="Q1262" i="9"/>
  <c r="Q1312" i="9"/>
  <c r="Q1338" i="9"/>
  <c r="Q1365" i="9"/>
  <c r="Q1391" i="9"/>
  <c r="Q1444" i="9"/>
  <c r="Q1496" i="9"/>
  <c r="Q1522" i="9"/>
  <c r="Q1550" i="9"/>
  <c r="Q1563" i="9"/>
  <c r="Q1591" i="9"/>
  <c r="Q1603" i="9"/>
  <c r="Q1616" i="9"/>
  <c r="Q1628" i="9"/>
  <c r="Q1652" i="9"/>
  <c r="Q1675" i="9"/>
  <c r="Q1686" i="9"/>
  <c r="Q1700" i="9"/>
  <c r="Q1766" i="9"/>
  <c r="Q1780" i="9"/>
  <c r="Q1793" i="9"/>
  <c r="Q1807" i="9"/>
  <c r="Q1820" i="9"/>
  <c r="Q1863" i="9"/>
  <c r="Q469" i="9"/>
  <c r="Q502" i="9"/>
  <c r="Q525" i="9"/>
  <c r="Q536" i="9"/>
  <c r="Q548" i="9"/>
  <c r="Q570" i="9"/>
  <c r="Q629" i="9"/>
  <c r="Q652" i="9"/>
  <c r="Q663" i="9"/>
  <c r="Q675" i="9"/>
  <c r="Q688" i="9"/>
  <c r="Q697" i="9"/>
  <c r="Q722" i="9"/>
  <c r="Q756" i="9"/>
  <c r="Q815" i="9"/>
  <c r="Q849" i="9"/>
  <c r="Q860" i="9"/>
  <c r="Q883" i="9"/>
  <c r="Q942" i="9"/>
  <c r="Q965" i="9"/>
  <c r="Q976" i="9"/>
  <c r="Q987" i="9"/>
  <c r="Q1010" i="9"/>
  <c r="Q1069" i="9"/>
  <c r="Q1092" i="9"/>
  <c r="Q1103" i="9"/>
  <c r="Q1137" i="9"/>
  <c r="Q1196" i="9"/>
  <c r="Q1246" i="9"/>
  <c r="Q1258" i="9"/>
  <c r="Q1272" i="9"/>
  <c r="Q1282" i="9"/>
  <c r="Q1295" i="9"/>
  <c r="Q1333" i="9"/>
  <c r="Q1361" i="9"/>
  <c r="Q1372" i="9"/>
  <c r="Q1398" i="9"/>
  <c r="Q1426" i="9"/>
  <c r="Q1439" i="9"/>
  <c r="Q1450" i="9"/>
  <c r="Q1462" i="9"/>
  <c r="Q1476" i="9"/>
  <c r="Q1504" i="9"/>
  <c r="Q1517" i="9"/>
  <c r="Q1556" i="9"/>
  <c r="Q1583" i="9"/>
  <c r="Q1596" i="9"/>
  <c r="Q1622" i="9"/>
  <c r="Q1678" i="9"/>
  <c r="Q1703" i="9"/>
  <c r="Q1716" i="9"/>
  <c r="Q1728" i="9"/>
  <c r="Q1741" i="9"/>
  <c r="Q1755" i="9"/>
  <c r="Q1783" i="9"/>
  <c r="Q1811" i="9"/>
  <c r="Q1824" i="9"/>
  <c r="Q1837" i="9"/>
  <c r="Q1851" i="9"/>
  <c r="Q1867" i="9"/>
  <c r="Q1874" i="9"/>
  <c r="Q1875" i="9"/>
  <c r="Q1876" i="9"/>
  <c r="Q1878" i="9"/>
  <c r="Q1879" i="9"/>
  <c r="J431" i="12"/>
  <c r="H1879" i="17"/>
  <c r="G1879" i="17"/>
  <c r="F1879" i="17"/>
  <c r="D1879" i="17"/>
  <c r="C1879" i="17"/>
  <c r="B1879" i="17"/>
  <c r="A1879" i="17"/>
  <c r="N1879" i="17" s="1"/>
  <c r="H1878" i="17"/>
  <c r="G1878" i="17"/>
  <c r="F1878" i="17"/>
  <c r="D1878" i="17"/>
  <c r="C1878" i="17"/>
  <c r="B1878" i="17"/>
  <c r="A1878" i="17"/>
  <c r="N1878" i="17" s="1"/>
  <c r="H1877" i="17"/>
  <c r="G1877" i="17"/>
  <c r="D1877" i="17"/>
  <c r="C1877" i="17"/>
  <c r="B1877" i="17"/>
  <c r="A1877" i="17"/>
  <c r="L1877" i="17" s="1"/>
  <c r="O1877" i="17" s="1"/>
  <c r="P1877" i="17" s="1"/>
  <c r="H1876" i="17"/>
  <c r="G1876" i="17"/>
  <c r="D1876" i="17"/>
  <c r="C1876" i="17"/>
  <c r="B1876" i="17"/>
  <c r="A1876" i="17"/>
  <c r="M1876" i="17" s="1"/>
  <c r="H1875" i="17"/>
  <c r="G1875" i="17"/>
  <c r="D1875" i="17"/>
  <c r="C1875" i="17"/>
  <c r="B1875" i="17"/>
  <c r="A1875" i="17"/>
  <c r="N1875" i="17" s="1"/>
  <c r="H1874" i="17"/>
  <c r="G1874" i="17"/>
  <c r="F1874" i="17"/>
  <c r="D1874" i="17"/>
  <c r="C1874" i="17"/>
  <c r="B1874" i="17"/>
  <c r="A1874" i="17"/>
  <c r="H1873" i="17"/>
  <c r="G1873" i="17"/>
  <c r="F1873" i="17"/>
  <c r="D1873" i="17"/>
  <c r="C1873" i="17"/>
  <c r="B1873" i="17"/>
  <c r="A1873" i="17"/>
  <c r="N1873" i="17" s="1"/>
  <c r="H1872" i="17"/>
  <c r="G1872" i="17"/>
  <c r="F1872" i="17"/>
  <c r="D1872" i="17"/>
  <c r="C1872" i="17"/>
  <c r="B1872" i="17"/>
  <c r="A1872" i="17"/>
  <c r="H1871" i="17"/>
  <c r="G1871" i="17"/>
  <c r="F1871" i="17"/>
  <c r="D1871" i="17"/>
  <c r="C1871" i="17"/>
  <c r="B1871" i="17"/>
  <c r="A1871" i="17"/>
  <c r="N1871" i="17" s="1"/>
  <c r="H1870" i="17"/>
  <c r="G1870" i="17"/>
  <c r="F1870" i="17"/>
  <c r="D1870" i="17"/>
  <c r="C1870" i="17"/>
  <c r="B1870" i="17"/>
  <c r="A1870" i="17"/>
  <c r="H1869" i="17"/>
  <c r="G1869" i="17"/>
  <c r="D1869" i="17"/>
  <c r="C1869" i="17"/>
  <c r="B1869" i="17"/>
  <c r="A1869" i="17"/>
  <c r="H1868" i="17"/>
  <c r="G1868" i="17"/>
  <c r="D1868" i="17"/>
  <c r="C1868" i="17"/>
  <c r="B1868" i="17"/>
  <c r="A1868" i="17"/>
  <c r="H1867" i="17"/>
  <c r="G1867" i="17"/>
  <c r="D1867" i="17"/>
  <c r="C1867" i="17"/>
  <c r="B1867" i="17"/>
  <c r="A1867" i="17"/>
  <c r="H1866" i="17"/>
  <c r="G1866" i="17"/>
  <c r="F1866" i="17"/>
  <c r="D1866" i="17"/>
  <c r="C1866" i="17"/>
  <c r="B1866" i="17"/>
  <c r="A1866" i="17"/>
  <c r="N1866" i="17" s="1"/>
  <c r="H1865" i="17"/>
  <c r="G1865" i="17"/>
  <c r="F1865" i="17"/>
  <c r="D1865" i="17"/>
  <c r="C1865" i="17"/>
  <c r="B1865" i="17"/>
  <c r="A1865" i="17"/>
  <c r="L1865" i="17" s="1"/>
  <c r="O1865" i="17" s="1"/>
  <c r="P1865" i="17" s="1"/>
  <c r="H1864" i="17"/>
  <c r="G1864" i="17"/>
  <c r="F1864" i="17"/>
  <c r="D1864" i="17"/>
  <c r="C1864" i="17"/>
  <c r="B1864" i="17"/>
  <c r="A1864" i="17"/>
  <c r="H1863" i="17"/>
  <c r="G1863" i="17"/>
  <c r="F1863" i="17"/>
  <c r="D1863" i="17"/>
  <c r="C1863" i="17"/>
  <c r="B1863" i="17"/>
  <c r="A1863" i="17"/>
  <c r="N1863" i="17" s="1"/>
  <c r="H1862" i="17"/>
  <c r="G1862" i="17"/>
  <c r="F1862" i="17"/>
  <c r="D1862" i="17"/>
  <c r="C1862" i="17"/>
  <c r="B1862" i="17"/>
  <c r="A1862" i="17"/>
  <c r="N1862" i="17" s="1"/>
  <c r="H1861" i="17"/>
  <c r="G1861" i="17"/>
  <c r="F1861" i="17"/>
  <c r="D1861" i="17"/>
  <c r="C1861" i="17"/>
  <c r="B1861" i="17"/>
  <c r="A1861" i="17"/>
  <c r="N1861" i="17" s="1"/>
  <c r="H1860" i="17"/>
  <c r="G1860" i="17"/>
  <c r="D1860" i="17"/>
  <c r="C1860" i="17"/>
  <c r="B1860" i="17"/>
  <c r="A1860" i="17"/>
  <c r="L1860" i="17" s="1"/>
  <c r="O1860" i="17" s="1"/>
  <c r="P1860" i="17" s="1"/>
  <c r="H1859" i="17"/>
  <c r="G1859" i="17"/>
  <c r="D1859" i="17"/>
  <c r="C1859" i="17"/>
  <c r="B1859" i="17"/>
  <c r="A1859" i="17"/>
  <c r="H1858" i="17"/>
  <c r="G1858" i="17"/>
  <c r="F1858" i="17"/>
  <c r="D1858" i="17"/>
  <c r="C1858" i="17"/>
  <c r="B1858" i="17"/>
  <c r="A1858" i="17"/>
  <c r="H1857" i="17"/>
  <c r="G1857" i="17"/>
  <c r="F1857" i="17"/>
  <c r="D1857" i="17"/>
  <c r="C1857" i="17"/>
  <c r="B1857" i="17"/>
  <c r="A1857" i="17"/>
  <c r="H1856" i="17"/>
  <c r="G1856" i="17"/>
  <c r="F1856" i="17"/>
  <c r="D1856" i="17"/>
  <c r="C1856" i="17"/>
  <c r="B1856" i="17"/>
  <c r="A1856" i="17"/>
  <c r="M1856" i="17" s="1"/>
  <c r="H1855" i="17"/>
  <c r="G1855" i="17"/>
  <c r="F1855" i="17"/>
  <c r="D1855" i="17"/>
  <c r="C1855" i="17"/>
  <c r="B1855" i="17"/>
  <c r="A1855" i="17"/>
  <c r="N1855" i="17" s="1"/>
  <c r="H1854" i="17"/>
  <c r="G1854" i="17"/>
  <c r="F1854" i="17"/>
  <c r="D1854" i="17"/>
  <c r="C1854" i="17"/>
  <c r="B1854" i="17"/>
  <c r="A1854" i="17"/>
  <c r="H1853" i="17"/>
  <c r="G1853" i="17"/>
  <c r="F1853" i="17"/>
  <c r="D1853" i="17"/>
  <c r="C1853" i="17"/>
  <c r="B1853" i="17"/>
  <c r="A1853" i="17"/>
  <c r="H1852" i="17"/>
  <c r="G1852" i="17"/>
  <c r="D1852" i="17"/>
  <c r="C1852" i="17"/>
  <c r="B1852" i="17"/>
  <c r="A1852" i="17"/>
  <c r="K1852" i="17" s="1"/>
  <c r="H1851" i="17"/>
  <c r="G1851" i="17"/>
  <c r="F1851" i="17"/>
  <c r="D1851" i="17"/>
  <c r="C1851" i="17"/>
  <c r="B1851" i="17"/>
  <c r="A1851" i="17"/>
  <c r="M1851" i="17" s="1"/>
  <c r="H1850" i="17"/>
  <c r="G1850" i="17"/>
  <c r="F1850" i="17"/>
  <c r="D1850" i="17"/>
  <c r="C1850" i="17"/>
  <c r="B1850" i="17"/>
  <c r="A1850" i="17"/>
  <c r="N1850" i="17" s="1"/>
  <c r="H1849" i="17"/>
  <c r="G1849" i="17"/>
  <c r="D1849" i="17"/>
  <c r="C1849" i="17"/>
  <c r="B1849" i="17"/>
  <c r="A1849" i="17"/>
  <c r="N1849" i="17" s="1"/>
  <c r="H1848" i="17"/>
  <c r="G1848" i="17"/>
  <c r="F1848" i="17"/>
  <c r="D1848" i="17"/>
  <c r="C1848" i="17"/>
  <c r="B1848" i="17"/>
  <c r="A1848" i="17"/>
  <c r="H1847" i="17"/>
  <c r="G1847" i="17"/>
  <c r="F1847" i="17"/>
  <c r="D1847" i="17"/>
  <c r="C1847" i="17"/>
  <c r="B1847" i="17"/>
  <c r="A1847" i="17"/>
  <c r="K1847" i="17" s="1"/>
  <c r="H1846" i="17"/>
  <c r="G1846" i="17"/>
  <c r="D1846" i="17"/>
  <c r="C1846" i="17"/>
  <c r="B1846" i="17"/>
  <c r="A1846" i="17"/>
  <c r="N1846" i="17" s="1"/>
  <c r="H1845" i="17"/>
  <c r="G1845" i="17"/>
  <c r="F1845" i="17"/>
  <c r="D1845" i="17"/>
  <c r="C1845" i="17"/>
  <c r="B1845" i="17"/>
  <c r="A1845" i="17"/>
  <c r="H1844" i="17"/>
  <c r="G1844" i="17"/>
  <c r="F1844" i="17"/>
  <c r="D1844" i="17"/>
  <c r="C1844" i="17"/>
  <c r="B1844" i="17"/>
  <c r="A1844" i="17"/>
  <c r="H1843" i="17"/>
  <c r="G1843" i="17"/>
  <c r="F1843" i="17"/>
  <c r="D1843" i="17"/>
  <c r="C1843" i="17"/>
  <c r="B1843" i="17"/>
  <c r="A1843" i="17"/>
  <c r="J1843" i="17" s="1"/>
  <c r="H1842" i="17"/>
  <c r="G1842" i="17"/>
  <c r="D1842" i="17"/>
  <c r="C1842" i="17"/>
  <c r="B1842" i="17"/>
  <c r="A1842" i="17"/>
  <c r="J1842" i="17" s="1"/>
  <c r="H1841" i="17"/>
  <c r="G1841" i="17"/>
  <c r="F1841" i="17"/>
  <c r="D1841" i="17"/>
  <c r="C1841" i="17"/>
  <c r="B1841" i="17"/>
  <c r="A1841" i="17"/>
  <c r="H1840" i="17"/>
  <c r="G1840" i="17"/>
  <c r="F1840" i="17"/>
  <c r="D1840" i="17"/>
  <c r="C1840" i="17"/>
  <c r="B1840" i="17"/>
  <c r="A1840" i="17"/>
  <c r="N1840" i="17" s="1"/>
  <c r="H1839" i="17"/>
  <c r="G1839" i="17"/>
  <c r="F1839" i="17"/>
  <c r="D1839" i="17"/>
  <c r="C1839" i="17"/>
  <c r="B1839" i="17"/>
  <c r="A1839" i="17"/>
  <c r="H1838" i="17"/>
  <c r="G1838" i="17"/>
  <c r="F1838" i="17"/>
  <c r="D1838" i="17"/>
  <c r="C1838" i="17"/>
  <c r="B1838" i="17"/>
  <c r="A1838" i="17"/>
  <c r="H1837" i="17"/>
  <c r="G1837" i="17"/>
  <c r="D1837" i="17"/>
  <c r="C1837" i="17"/>
  <c r="B1837" i="17"/>
  <c r="A1837" i="17"/>
  <c r="H1836" i="17"/>
  <c r="G1836" i="17"/>
  <c r="D1836" i="17"/>
  <c r="C1836" i="17"/>
  <c r="B1836" i="17"/>
  <c r="A1836" i="17"/>
  <c r="K1836" i="17" s="1"/>
  <c r="H1835" i="17"/>
  <c r="G1835" i="17"/>
  <c r="D1835" i="17"/>
  <c r="C1835" i="17"/>
  <c r="B1835" i="17"/>
  <c r="A1835" i="17"/>
  <c r="K1835" i="17" s="1"/>
  <c r="H1834" i="17"/>
  <c r="G1834" i="17"/>
  <c r="F1834" i="17"/>
  <c r="D1834" i="17"/>
  <c r="C1834" i="17"/>
  <c r="B1834" i="17"/>
  <c r="A1834" i="17"/>
  <c r="K1834" i="17" s="1"/>
  <c r="H1833" i="17"/>
  <c r="G1833" i="17"/>
  <c r="F1833" i="17"/>
  <c r="D1833" i="17"/>
  <c r="C1833" i="17"/>
  <c r="B1833" i="17"/>
  <c r="A1833" i="17"/>
  <c r="N1833" i="17" s="1"/>
  <c r="H1832" i="17"/>
  <c r="G1832" i="17"/>
  <c r="F1832" i="17"/>
  <c r="D1832" i="17"/>
  <c r="C1832" i="17"/>
  <c r="B1832" i="17"/>
  <c r="A1832" i="17"/>
  <c r="K1832" i="17" s="1"/>
  <c r="H1831" i="17"/>
  <c r="G1831" i="17"/>
  <c r="F1831" i="17"/>
  <c r="D1831" i="17"/>
  <c r="C1831" i="17"/>
  <c r="B1831" i="17"/>
  <c r="A1831" i="17"/>
  <c r="L1831" i="17" s="1"/>
  <c r="O1831" i="17" s="1"/>
  <c r="H1830" i="17"/>
  <c r="G1830" i="17"/>
  <c r="F1830" i="17"/>
  <c r="D1830" i="17"/>
  <c r="C1830" i="17"/>
  <c r="B1830" i="17"/>
  <c r="A1830" i="17"/>
  <c r="K1830" i="17" s="1"/>
  <c r="H1829" i="17"/>
  <c r="G1829" i="17"/>
  <c r="F1829" i="17"/>
  <c r="D1829" i="17"/>
  <c r="C1829" i="17"/>
  <c r="B1829" i="17"/>
  <c r="A1829" i="17"/>
  <c r="N1829" i="17" s="1"/>
  <c r="H1828" i="17"/>
  <c r="G1828" i="17"/>
  <c r="F1828" i="17"/>
  <c r="D1828" i="17"/>
  <c r="C1828" i="17"/>
  <c r="B1828" i="17"/>
  <c r="A1828" i="17"/>
  <c r="N1828" i="17" s="1"/>
  <c r="H1827" i="17"/>
  <c r="G1827" i="17"/>
  <c r="D1827" i="17"/>
  <c r="C1827" i="17"/>
  <c r="B1827" i="17"/>
  <c r="A1827" i="17"/>
  <c r="L1827" i="17" s="1"/>
  <c r="O1827" i="17" s="1"/>
  <c r="H1826" i="17"/>
  <c r="G1826" i="17"/>
  <c r="D1826" i="17"/>
  <c r="C1826" i="17"/>
  <c r="B1826" i="17"/>
  <c r="A1826" i="17"/>
  <c r="M1826" i="17" s="1"/>
  <c r="H1825" i="17"/>
  <c r="G1825" i="17"/>
  <c r="D1825" i="17"/>
  <c r="C1825" i="17"/>
  <c r="B1825" i="17"/>
  <c r="A1825" i="17"/>
  <c r="J1825" i="17" s="1"/>
  <c r="H1824" i="17"/>
  <c r="G1824" i="17"/>
  <c r="D1824" i="17"/>
  <c r="C1824" i="17"/>
  <c r="B1824" i="17"/>
  <c r="A1824" i="17"/>
  <c r="N1824" i="17" s="1"/>
  <c r="H1823" i="17"/>
  <c r="G1823" i="17"/>
  <c r="D1823" i="17"/>
  <c r="C1823" i="17"/>
  <c r="B1823" i="17"/>
  <c r="A1823" i="17"/>
  <c r="M1823" i="17" s="1"/>
  <c r="H1822" i="17"/>
  <c r="G1822" i="17"/>
  <c r="D1822" i="17"/>
  <c r="C1822" i="17"/>
  <c r="B1822" i="17"/>
  <c r="A1822" i="17"/>
  <c r="H1821" i="17"/>
  <c r="G1821" i="17"/>
  <c r="D1821" i="17"/>
  <c r="C1821" i="17"/>
  <c r="B1821" i="17"/>
  <c r="A1821" i="17"/>
  <c r="H1820" i="17"/>
  <c r="G1820" i="17"/>
  <c r="D1820" i="17"/>
  <c r="C1820" i="17"/>
  <c r="B1820" i="17"/>
  <c r="A1820" i="17"/>
  <c r="H1819" i="17"/>
  <c r="G1819" i="17"/>
  <c r="D1819" i="17"/>
  <c r="C1819" i="17"/>
  <c r="B1819" i="17"/>
  <c r="A1819" i="17"/>
  <c r="N1819" i="17" s="1"/>
  <c r="H1818" i="17"/>
  <c r="G1818" i="17"/>
  <c r="F1818" i="17"/>
  <c r="D1818" i="17"/>
  <c r="C1818" i="17"/>
  <c r="B1818" i="17"/>
  <c r="A1818" i="17"/>
  <c r="K1818" i="17" s="1"/>
  <c r="H1817" i="17"/>
  <c r="G1817" i="17"/>
  <c r="F1817" i="17"/>
  <c r="D1817" i="17"/>
  <c r="C1817" i="17"/>
  <c r="B1817" i="17"/>
  <c r="A1817" i="17"/>
  <c r="J1817" i="17" s="1"/>
  <c r="H1816" i="17"/>
  <c r="G1816" i="17"/>
  <c r="F1816" i="17"/>
  <c r="D1816" i="17"/>
  <c r="C1816" i="17"/>
  <c r="B1816" i="17"/>
  <c r="A1816" i="17"/>
  <c r="N1816" i="17" s="1"/>
  <c r="H1815" i="17"/>
  <c r="G1815" i="17"/>
  <c r="F1815" i="17"/>
  <c r="D1815" i="17"/>
  <c r="C1815" i="17"/>
  <c r="B1815" i="17"/>
  <c r="A1815" i="17"/>
  <c r="L1815" i="17" s="1"/>
  <c r="O1815" i="17" s="1"/>
  <c r="H1814" i="17"/>
  <c r="G1814" i="17"/>
  <c r="D1814" i="17"/>
  <c r="C1814" i="17"/>
  <c r="B1814" i="17"/>
  <c r="A1814" i="17"/>
  <c r="M1814" i="17" s="1"/>
  <c r="H1813" i="17"/>
  <c r="G1813" i="17"/>
  <c r="D1813" i="17"/>
  <c r="C1813" i="17"/>
  <c r="B1813" i="17"/>
  <c r="A1813" i="17"/>
  <c r="H1812" i="17"/>
  <c r="G1812" i="17"/>
  <c r="F1812" i="17"/>
  <c r="D1812" i="17"/>
  <c r="C1812" i="17"/>
  <c r="B1812" i="17"/>
  <c r="A1812" i="17"/>
  <c r="N1812" i="17" s="1"/>
  <c r="H1811" i="17"/>
  <c r="G1811" i="17"/>
  <c r="F1811" i="17"/>
  <c r="D1811" i="17"/>
  <c r="C1811" i="17"/>
  <c r="B1811" i="17"/>
  <c r="A1811" i="17"/>
  <c r="J1811" i="17" s="1"/>
  <c r="H1810" i="17"/>
  <c r="G1810" i="17"/>
  <c r="F1810" i="17"/>
  <c r="D1810" i="17"/>
  <c r="C1810" i="17"/>
  <c r="B1810" i="17"/>
  <c r="A1810" i="17"/>
  <c r="J1810" i="17" s="1"/>
  <c r="H1809" i="17"/>
  <c r="G1809" i="17"/>
  <c r="D1809" i="17"/>
  <c r="C1809" i="17"/>
  <c r="B1809" i="17"/>
  <c r="A1809" i="17"/>
  <c r="J1809" i="17" s="1"/>
  <c r="H1808" i="17"/>
  <c r="G1808" i="17"/>
  <c r="F1808" i="17"/>
  <c r="D1808" i="17"/>
  <c r="C1808" i="17"/>
  <c r="B1808" i="17"/>
  <c r="A1808" i="17"/>
  <c r="L1808" i="17" s="1"/>
  <c r="O1808" i="17" s="1"/>
  <c r="H1807" i="17"/>
  <c r="G1807" i="17"/>
  <c r="F1807" i="17"/>
  <c r="D1807" i="17"/>
  <c r="C1807" i="17"/>
  <c r="B1807" i="17"/>
  <c r="A1807" i="17"/>
  <c r="H1806" i="17"/>
  <c r="G1806" i="17"/>
  <c r="F1806" i="17"/>
  <c r="D1806" i="17"/>
  <c r="C1806" i="17"/>
  <c r="B1806" i="17"/>
  <c r="A1806" i="17"/>
  <c r="H1805" i="17"/>
  <c r="G1805" i="17"/>
  <c r="D1805" i="17"/>
  <c r="C1805" i="17"/>
  <c r="B1805" i="17"/>
  <c r="A1805" i="17"/>
  <c r="H1804" i="17"/>
  <c r="G1804" i="17"/>
  <c r="D1804" i="17"/>
  <c r="C1804" i="17"/>
  <c r="B1804" i="17"/>
  <c r="A1804" i="17"/>
  <c r="L1804" i="17" s="1"/>
  <c r="O1804" i="17" s="1"/>
  <c r="H1803" i="17"/>
  <c r="G1803" i="17"/>
  <c r="D1803" i="17"/>
  <c r="C1803" i="17"/>
  <c r="B1803" i="17"/>
  <c r="A1803" i="17"/>
  <c r="N1803" i="17" s="1"/>
  <c r="H1802" i="17"/>
  <c r="G1802" i="17"/>
  <c r="D1802" i="17"/>
  <c r="C1802" i="17"/>
  <c r="B1802" i="17"/>
  <c r="A1802" i="17"/>
  <c r="H1801" i="17"/>
  <c r="G1801" i="17"/>
  <c r="D1801" i="17"/>
  <c r="C1801" i="17"/>
  <c r="B1801" i="17"/>
  <c r="A1801" i="17"/>
  <c r="H1800" i="17"/>
  <c r="G1800" i="17"/>
  <c r="D1800" i="17"/>
  <c r="C1800" i="17"/>
  <c r="B1800" i="17"/>
  <c r="A1800" i="17"/>
  <c r="N1800" i="17" s="1"/>
  <c r="H1799" i="17"/>
  <c r="G1799" i="17"/>
  <c r="F1799" i="17"/>
  <c r="D1799" i="17"/>
  <c r="C1799" i="17"/>
  <c r="B1799" i="17"/>
  <c r="A1799" i="17"/>
  <c r="L1799" i="17" s="1"/>
  <c r="O1799" i="17" s="1"/>
  <c r="H1798" i="17"/>
  <c r="G1798" i="17"/>
  <c r="F1798" i="17"/>
  <c r="D1798" i="17"/>
  <c r="C1798" i="17"/>
  <c r="B1798" i="17"/>
  <c r="A1798" i="17"/>
  <c r="J1798" i="17" s="1"/>
  <c r="H1797" i="17"/>
  <c r="G1797" i="17"/>
  <c r="F1797" i="17"/>
  <c r="D1797" i="17"/>
  <c r="C1797" i="17"/>
  <c r="B1797" i="17"/>
  <c r="A1797" i="17"/>
  <c r="N1797" i="17" s="1"/>
  <c r="H1796" i="17"/>
  <c r="G1796" i="17"/>
  <c r="F1796" i="17"/>
  <c r="D1796" i="17"/>
  <c r="C1796" i="17"/>
  <c r="B1796" i="17"/>
  <c r="A1796" i="17"/>
  <c r="M1796" i="17" s="1"/>
  <c r="H1795" i="17"/>
  <c r="G1795" i="17"/>
  <c r="F1795" i="17"/>
  <c r="D1795" i="17"/>
  <c r="C1795" i="17"/>
  <c r="B1795" i="17"/>
  <c r="A1795" i="17"/>
  <c r="H1794" i="17"/>
  <c r="G1794" i="17"/>
  <c r="D1794" i="17"/>
  <c r="C1794" i="17"/>
  <c r="B1794" i="17"/>
  <c r="A1794" i="17"/>
  <c r="J1794" i="17" s="1"/>
  <c r="H1793" i="17"/>
  <c r="G1793" i="17"/>
  <c r="F1793" i="17"/>
  <c r="D1793" i="17"/>
  <c r="C1793" i="17"/>
  <c r="B1793" i="17"/>
  <c r="A1793" i="17"/>
  <c r="J1793" i="17" s="1"/>
  <c r="H1792" i="17"/>
  <c r="G1792" i="17"/>
  <c r="D1792" i="17"/>
  <c r="C1792" i="17"/>
  <c r="B1792" i="17"/>
  <c r="A1792" i="17"/>
  <c r="H1791" i="17"/>
  <c r="G1791" i="17"/>
  <c r="D1791" i="17"/>
  <c r="C1791" i="17"/>
  <c r="B1791" i="17"/>
  <c r="A1791" i="17"/>
  <c r="M1791" i="17" s="1"/>
  <c r="H1790" i="17"/>
  <c r="G1790" i="17"/>
  <c r="D1790" i="17"/>
  <c r="C1790" i="17"/>
  <c r="B1790" i="17"/>
  <c r="A1790" i="17"/>
  <c r="H1789" i="17"/>
  <c r="G1789" i="17"/>
  <c r="D1789" i="17"/>
  <c r="C1789" i="17"/>
  <c r="B1789" i="17"/>
  <c r="A1789" i="17"/>
  <c r="H1788" i="17"/>
  <c r="G1788" i="17"/>
  <c r="D1788" i="17"/>
  <c r="C1788" i="17"/>
  <c r="B1788" i="17"/>
  <c r="A1788" i="17"/>
  <c r="H1787" i="17"/>
  <c r="G1787" i="17"/>
  <c r="D1787" i="17"/>
  <c r="C1787" i="17"/>
  <c r="B1787" i="17"/>
  <c r="A1787" i="17"/>
  <c r="H1786" i="17"/>
  <c r="G1786" i="17"/>
  <c r="D1786" i="17"/>
  <c r="C1786" i="17"/>
  <c r="B1786" i="17"/>
  <c r="A1786" i="17"/>
  <c r="L1786" i="17" s="1"/>
  <c r="O1786" i="17" s="1"/>
  <c r="H1785" i="17"/>
  <c r="G1785" i="17"/>
  <c r="D1785" i="17"/>
  <c r="C1785" i="17"/>
  <c r="B1785" i="17"/>
  <c r="A1785" i="17"/>
  <c r="M1785" i="17" s="1"/>
  <c r="H1784" i="17"/>
  <c r="G1784" i="17"/>
  <c r="D1784" i="17"/>
  <c r="C1784" i="17"/>
  <c r="B1784" i="17"/>
  <c r="A1784" i="17"/>
  <c r="H1783" i="17"/>
  <c r="G1783" i="17"/>
  <c r="D1783" i="17"/>
  <c r="C1783" i="17"/>
  <c r="B1783" i="17"/>
  <c r="A1783" i="17"/>
  <c r="M1783" i="17" s="1"/>
  <c r="H1782" i="17"/>
  <c r="G1782" i="17"/>
  <c r="D1782" i="17"/>
  <c r="C1782" i="17"/>
  <c r="B1782" i="17"/>
  <c r="A1782" i="17"/>
  <c r="H1781" i="17"/>
  <c r="G1781" i="17"/>
  <c r="D1781" i="17"/>
  <c r="C1781" i="17"/>
  <c r="B1781" i="17"/>
  <c r="A1781" i="17"/>
  <c r="M1781" i="17" s="1"/>
  <c r="H1780" i="17"/>
  <c r="G1780" i="17"/>
  <c r="D1780" i="17"/>
  <c r="C1780" i="17"/>
  <c r="B1780" i="17"/>
  <c r="A1780" i="17"/>
  <c r="L1780" i="17" s="1"/>
  <c r="O1780" i="17" s="1"/>
  <c r="H1779" i="17"/>
  <c r="G1779" i="17"/>
  <c r="D1779" i="17"/>
  <c r="C1779" i="17"/>
  <c r="B1779" i="17"/>
  <c r="A1779" i="17"/>
  <c r="K1779" i="17" s="1"/>
  <c r="H1778" i="17"/>
  <c r="G1778" i="17"/>
  <c r="D1778" i="17"/>
  <c r="C1778" i="17"/>
  <c r="B1778" i="17"/>
  <c r="A1778" i="17"/>
  <c r="H1777" i="17"/>
  <c r="G1777" i="17"/>
  <c r="D1777" i="17"/>
  <c r="C1777" i="17"/>
  <c r="B1777" i="17"/>
  <c r="A1777" i="17"/>
  <c r="J1777" i="17" s="1"/>
  <c r="H1776" i="17"/>
  <c r="G1776" i="17"/>
  <c r="D1776" i="17"/>
  <c r="C1776" i="17"/>
  <c r="B1776" i="17"/>
  <c r="A1776" i="17"/>
  <c r="L1776" i="17" s="1"/>
  <c r="O1776" i="17" s="1"/>
  <c r="H1775" i="17"/>
  <c r="G1775" i="17"/>
  <c r="D1775" i="17"/>
  <c r="C1775" i="17"/>
  <c r="B1775" i="17"/>
  <c r="A1775" i="17"/>
  <c r="M1775" i="17" s="1"/>
  <c r="H1774" i="17"/>
  <c r="G1774" i="17"/>
  <c r="D1774" i="17"/>
  <c r="C1774" i="17"/>
  <c r="B1774" i="17"/>
  <c r="A1774" i="17"/>
  <c r="H1773" i="17"/>
  <c r="G1773" i="17"/>
  <c r="D1773" i="17"/>
  <c r="C1773" i="17"/>
  <c r="B1773" i="17"/>
  <c r="A1773" i="17"/>
  <c r="H1772" i="17"/>
  <c r="G1772" i="17"/>
  <c r="D1772" i="17"/>
  <c r="C1772" i="17"/>
  <c r="B1772" i="17"/>
  <c r="A1772" i="17"/>
  <c r="L1772" i="17" s="1"/>
  <c r="O1772" i="17" s="1"/>
  <c r="H1771" i="17"/>
  <c r="G1771" i="17"/>
  <c r="F1771" i="17"/>
  <c r="D1771" i="17"/>
  <c r="C1771" i="17"/>
  <c r="B1771" i="17"/>
  <c r="A1771" i="17"/>
  <c r="N1771" i="17" s="1"/>
  <c r="H1770" i="17"/>
  <c r="G1770" i="17"/>
  <c r="D1770" i="17"/>
  <c r="C1770" i="17"/>
  <c r="B1770" i="17"/>
  <c r="A1770" i="17"/>
  <c r="K1770" i="17" s="1"/>
  <c r="H1769" i="17"/>
  <c r="G1769" i="17"/>
  <c r="D1769" i="17"/>
  <c r="C1769" i="17"/>
  <c r="B1769" i="17"/>
  <c r="A1769" i="17"/>
  <c r="N1769" i="17" s="1"/>
  <c r="H1768" i="17"/>
  <c r="G1768" i="17"/>
  <c r="D1768" i="17"/>
  <c r="C1768" i="17"/>
  <c r="B1768" i="17"/>
  <c r="A1768" i="17"/>
  <c r="J1768" i="17" s="1"/>
  <c r="H1767" i="17"/>
  <c r="G1767" i="17"/>
  <c r="D1767" i="17"/>
  <c r="C1767" i="17"/>
  <c r="B1767" i="17"/>
  <c r="A1767" i="17"/>
  <c r="M1767" i="17" s="1"/>
  <c r="H1766" i="17"/>
  <c r="G1766" i="17"/>
  <c r="D1766" i="17"/>
  <c r="C1766" i="17"/>
  <c r="B1766" i="17"/>
  <c r="A1766" i="17"/>
  <c r="J1766" i="17" s="1"/>
  <c r="H1765" i="17"/>
  <c r="G1765" i="17"/>
  <c r="D1765" i="17"/>
  <c r="C1765" i="17"/>
  <c r="B1765" i="17"/>
  <c r="A1765" i="17"/>
  <c r="N1765" i="17" s="1"/>
  <c r="H1764" i="17"/>
  <c r="G1764" i="17"/>
  <c r="D1764" i="17"/>
  <c r="C1764" i="17"/>
  <c r="B1764" i="17"/>
  <c r="A1764" i="17"/>
  <c r="N1764" i="17" s="1"/>
  <c r="H1763" i="17"/>
  <c r="G1763" i="17"/>
  <c r="D1763" i="17"/>
  <c r="C1763" i="17"/>
  <c r="B1763" i="17"/>
  <c r="A1763" i="17"/>
  <c r="N1763" i="17" s="1"/>
  <c r="H1762" i="17"/>
  <c r="G1762" i="17"/>
  <c r="D1762" i="17"/>
  <c r="C1762" i="17"/>
  <c r="B1762" i="17"/>
  <c r="A1762" i="17"/>
  <c r="L1762" i="17" s="1"/>
  <c r="O1762" i="17" s="1"/>
  <c r="H1761" i="17"/>
  <c r="G1761" i="17"/>
  <c r="F1761" i="17"/>
  <c r="D1761" i="17"/>
  <c r="C1761" i="17"/>
  <c r="B1761" i="17"/>
  <c r="A1761" i="17"/>
  <c r="J1761" i="17" s="1"/>
  <c r="H1760" i="17"/>
  <c r="G1760" i="17"/>
  <c r="F1760" i="17"/>
  <c r="D1760" i="17"/>
  <c r="C1760" i="17"/>
  <c r="B1760" i="17"/>
  <c r="A1760" i="17"/>
  <c r="N1760" i="17" s="1"/>
  <c r="H1759" i="17"/>
  <c r="G1759" i="17"/>
  <c r="F1759" i="17"/>
  <c r="D1759" i="17"/>
  <c r="C1759" i="17"/>
  <c r="B1759" i="17"/>
  <c r="A1759" i="17"/>
  <c r="N1759" i="17" s="1"/>
  <c r="H1758" i="17"/>
  <c r="G1758" i="17"/>
  <c r="D1758" i="17"/>
  <c r="C1758" i="17"/>
  <c r="B1758" i="17"/>
  <c r="A1758" i="17"/>
  <c r="H1757" i="17"/>
  <c r="G1757" i="17"/>
  <c r="F1757" i="17"/>
  <c r="D1757" i="17"/>
  <c r="C1757" i="17"/>
  <c r="B1757" i="17"/>
  <c r="A1757" i="17"/>
  <c r="H1756" i="17"/>
  <c r="G1756" i="17"/>
  <c r="F1756" i="17"/>
  <c r="D1756" i="17"/>
  <c r="C1756" i="17"/>
  <c r="B1756" i="17"/>
  <c r="A1756" i="17"/>
  <c r="J1756" i="17" s="1"/>
  <c r="H1755" i="17"/>
  <c r="G1755" i="17"/>
  <c r="D1755" i="17"/>
  <c r="C1755" i="17"/>
  <c r="B1755" i="17"/>
  <c r="A1755" i="17"/>
  <c r="K1755" i="17" s="1"/>
  <c r="H1754" i="17"/>
  <c r="G1754" i="17"/>
  <c r="D1754" i="17"/>
  <c r="C1754" i="17"/>
  <c r="B1754" i="17"/>
  <c r="A1754" i="17"/>
  <c r="J1754" i="17" s="1"/>
  <c r="H1753" i="17"/>
  <c r="G1753" i="17"/>
  <c r="D1753" i="17"/>
  <c r="C1753" i="17"/>
  <c r="B1753" i="17"/>
  <c r="A1753" i="17"/>
  <c r="L1753" i="17" s="1"/>
  <c r="O1753" i="17" s="1"/>
  <c r="H1752" i="17"/>
  <c r="G1752" i="17"/>
  <c r="D1752" i="17"/>
  <c r="C1752" i="17"/>
  <c r="B1752" i="17"/>
  <c r="A1752" i="17"/>
  <c r="J1752" i="17" s="1"/>
  <c r="H1751" i="17"/>
  <c r="G1751" i="17"/>
  <c r="D1751" i="17"/>
  <c r="C1751" i="17"/>
  <c r="B1751" i="17"/>
  <c r="A1751" i="17"/>
  <c r="H1750" i="17"/>
  <c r="G1750" i="17"/>
  <c r="D1750" i="17"/>
  <c r="C1750" i="17"/>
  <c r="B1750" i="17"/>
  <c r="A1750" i="17"/>
  <c r="L1750" i="17" s="1"/>
  <c r="O1750" i="17" s="1"/>
  <c r="H1749" i="17"/>
  <c r="G1749" i="17"/>
  <c r="D1749" i="17"/>
  <c r="C1749" i="17"/>
  <c r="B1749" i="17"/>
  <c r="A1749" i="17"/>
  <c r="N1749" i="17" s="1"/>
  <c r="H1748" i="17"/>
  <c r="G1748" i="17"/>
  <c r="D1748" i="17"/>
  <c r="C1748" i="17"/>
  <c r="B1748" i="17"/>
  <c r="A1748" i="17"/>
  <c r="N1748" i="17" s="1"/>
  <c r="H1747" i="17"/>
  <c r="G1747" i="17"/>
  <c r="D1747" i="17"/>
  <c r="C1747" i="17"/>
  <c r="B1747" i="17"/>
  <c r="A1747" i="17"/>
  <c r="J1747" i="17" s="1"/>
  <c r="H1746" i="17"/>
  <c r="G1746" i="17"/>
  <c r="D1746" i="17"/>
  <c r="C1746" i="17"/>
  <c r="B1746" i="17"/>
  <c r="A1746" i="17"/>
  <c r="M1746" i="17" s="1"/>
  <c r="H1745" i="17"/>
  <c r="G1745" i="17"/>
  <c r="D1745" i="17"/>
  <c r="C1745" i="17"/>
  <c r="B1745" i="17"/>
  <c r="A1745" i="17"/>
  <c r="H1744" i="17"/>
  <c r="G1744" i="17"/>
  <c r="F1744" i="17"/>
  <c r="D1744" i="17"/>
  <c r="C1744" i="17"/>
  <c r="B1744" i="17"/>
  <c r="A1744" i="17"/>
  <c r="N1744" i="17" s="1"/>
  <c r="H1743" i="17"/>
  <c r="G1743" i="17"/>
  <c r="F1743" i="17"/>
  <c r="D1743" i="17"/>
  <c r="C1743" i="17"/>
  <c r="B1743" i="17"/>
  <c r="A1743" i="17"/>
  <c r="H1742" i="17"/>
  <c r="G1742" i="17"/>
  <c r="D1742" i="17"/>
  <c r="C1742" i="17"/>
  <c r="B1742" i="17"/>
  <c r="A1742" i="17"/>
  <c r="H1741" i="17"/>
  <c r="G1741" i="17"/>
  <c r="F1741" i="17"/>
  <c r="D1741" i="17"/>
  <c r="C1741" i="17"/>
  <c r="B1741" i="17"/>
  <c r="A1741" i="17"/>
  <c r="H1740" i="17"/>
  <c r="G1740" i="17"/>
  <c r="F1740" i="17"/>
  <c r="D1740" i="17"/>
  <c r="C1740" i="17"/>
  <c r="B1740" i="17"/>
  <c r="A1740" i="17"/>
  <c r="L1740" i="17" s="1"/>
  <c r="O1740" i="17" s="1"/>
  <c r="H1739" i="17"/>
  <c r="G1739" i="17"/>
  <c r="D1739" i="17"/>
  <c r="C1739" i="17"/>
  <c r="B1739" i="17"/>
  <c r="A1739" i="17"/>
  <c r="J1739" i="17" s="1"/>
  <c r="H1738" i="17"/>
  <c r="G1738" i="17"/>
  <c r="F1738" i="17"/>
  <c r="D1738" i="17"/>
  <c r="C1738" i="17"/>
  <c r="B1738" i="17"/>
  <c r="A1738" i="17"/>
  <c r="N1738" i="17" s="1"/>
  <c r="H1737" i="17"/>
  <c r="G1737" i="17"/>
  <c r="F1737" i="17"/>
  <c r="D1737" i="17"/>
  <c r="C1737" i="17"/>
  <c r="B1737" i="17"/>
  <c r="A1737" i="17"/>
  <c r="L1737" i="17" s="1"/>
  <c r="O1737" i="17" s="1"/>
  <c r="H1736" i="17"/>
  <c r="G1736" i="17"/>
  <c r="D1736" i="17"/>
  <c r="C1736" i="17"/>
  <c r="B1736" i="17"/>
  <c r="A1736" i="17"/>
  <c r="H1735" i="17"/>
  <c r="G1735" i="17"/>
  <c r="F1735" i="17"/>
  <c r="D1735" i="17"/>
  <c r="C1735" i="17"/>
  <c r="B1735" i="17"/>
  <c r="A1735" i="17"/>
  <c r="H1734" i="17"/>
  <c r="G1734" i="17"/>
  <c r="F1734" i="17"/>
  <c r="D1734" i="17"/>
  <c r="C1734" i="17"/>
  <c r="B1734" i="17"/>
  <c r="A1734" i="17"/>
  <c r="L1734" i="17" s="1"/>
  <c r="O1734" i="17" s="1"/>
  <c r="H1733" i="17"/>
  <c r="G1733" i="17"/>
  <c r="D1733" i="17"/>
  <c r="C1733" i="17"/>
  <c r="B1733" i="17"/>
  <c r="A1733" i="17"/>
  <c r="K1733" i="17" s="1"/>
  <c r="H1732" i="17"/>
  <c r="G1732" i="17"/>
  <c r="F1732" i="17"/>
  <c r="D1732" i="17"/>
  <c r="C1732" i="17"/>
  <c r="B1732" i="17"/>
  <c r="A1732" i="17"/>
  <c r="J1732" i="17" s="1"/>
  <c r="H1731" i="17"/>
  <c r="G1731" i="17"/>
  <c r="F1731" i="17"/>
  <c r="D1731" i="17"/>
  <c r="C1731" i="17"/>
  <c r="B1731" i="17"/>
  <c r="A1731" i="17"/>
  <c r="H1730" i="17"/>
  <c r="G1730" i="17"/>
  <c r="D1730" i="17"/>
  <c r="C1730" i="17"/>
  <c r="B1730" i="17"/>
  <c r="A1730" i="17"/>
  <c r="J1730" i="17" s="1"/>
  <c r="H1729" i="17"/>
  <c r="G1729" i="17"/>
  <c r="F1729" i="17"/>
  <c r="D1729" i="17"/>
  <c r="C1729" i="17"/>
  <c r="B1729" i="17"/>
  <c r="A1729" i="17"/>
  <c r="K1729" i="17" s="1"/>
  <c r="H1728" i="17"/>
  <c r="G1728" i="17"/>
  <c r="F1728" i="17"/>
  <c r="D1728" i="17"/>
  <c r="C1728" i="17"/>
  <c r="B1728" i="17"/>
  <c r="A1728" i="17"/>
  <c r="H1727" i="17"/>
  <c r="G1727" i="17"/>
  <c r="D1727" i="17"/>
  <c r="C1727" i="17"/>
  <c r="B1727" i="17"/>
  <c r="A1727" i="17"/>
  <c r="H1726" i="17"/>
  <c r="G1726" i="17"/>
  <c r="F1726" i="17"/>
  <c r="D1726" i="17"/>
  <c r="C1726" i="17"/>
  <c r="B1726" i="17"/>
  <c r="A1726" i="17"/>
  <c r="M1726" i="17" s="1"/>
  <c r="H1725" i="17"/>
  <c r="G1725" i="17"/>
  <c r="F1725" i="17"/>
  <c r="D1725" i="17"/>
  <c r="C1725" i="17"/>
  <c r="B1725" i="17"/>
  <c r="A1725" i="17"/>
  <c r="H1724" i="17"/>
  <c r="G1724" i="17"/>
  <c r="D1724" i="17"/>
  <c r="C1724" i="17"/>
  <c r="B1724" i="17"/>
  <c r="A1724" i="17"/>
  <c r="H1723" i="17"/>
  <c r="G1723" i="17"/>
  <c r="F1723" i="17"/>
  <c r="D1723" i="17"/>
  <c r="C1723" i="17"/>
  <c r="B1723" i="17"/>
  <c r="A1723" i="17"/>
  <c r="H1722" i="17"/>
  <c r="G1722" i="17"/>
  <c r="F1722" i="17"/>
  <c r="D1722" i="17"/>
  <c r="C1722" i="17"/>
  <c r="B1722" i="17"/>
  <c r="A1722" i="17"/>
  <c r="N1722" i="17" s="1"/>
  <c r="H1721" i="17"/>
  <c r="G1721" i="17"/>
  <c r="D1721" i="17"/>
  <c r="C1721" i="17"/>
  <c r="B1721" i="17"/>
  <c r="A1721" i="17"/>
  <c r="L1721" i="17" s="1"/>
  <c r="O1721" i="17" s="1"/>
  <c r="H1720" i="17"/>
  <c r="G1720" i="17"/>
  <c r="F1720" i="17"/>
  <c r="D1720" i="17"/>
  <c r="C1720" i="17"/>
  <c r="B1720" i="17"/>
  <c r="A1720" i="17"/>
  <c r="J1720" i="17" s="1"/>
  <c r="H1719" i="17"/>
  <c r="G1719" i="17"/>
  <c r="F1719" i="17"/>
  <c r="D1719" i="17"/>
  <c r="C1719" i="17"/>
  <c r="B1719" i="17"/>
  <c r="A1719" i="17"/>
  <c r="J1719" i="17" s="1"/>
  <c r="H1718" i="17"/>
  <c r="G1718" i="17"/>
  <c r="D1718" i="17"/>
  <c r="C1718" i="17"/>
  <c r="B1718" i="17"/>
  <c r="A1718" i="17"/>
  <c r="H1717" i="17"/>
  <c r="G1717" i="17"/>
  <c r="F1717" i="17"/>
  <c r="D1717" i="17"/>
  <c r="C1717" i="17"/>
  <c r="B1717" i="17"/>
  <c r="A1717" i="17"/>
  <c r="N1717" i="17" s="1"/>
  <c r="H1716" i="17"/>
  <c r="G1716" i="17"/>
  <c r="F1716" i="17"/>
  <c r="D1716" i="17"/>
  <c r="C1716" i="17"/>
  <c r="B1716" i="17"/>
  <c r="A1716" i="17"/>
  <c r="H1715" i="17"/>
  <c r="G1715" i="17"/>
  <c r="D1715" i="17"/>
  <c r="C1715" i="17"/>
  <c r="B1715" i="17"/>
  <c r="A1715" i="17"/>
  <c r="H1714" i="17"/>
  <c r="G1714" i="17"/>
  <c r="F1714" i="17"/>
  <c r="D1714" i="17"/>
  <c r="C1714" i="17"/>
  <c r="B1714" i="17"/>
  <c r="A1714" i="17"/>
  <c r="J1714" i="17" s="1"/>
  <c r="H1713" i="17"/>
  <c r="G1713" i="17"/>
  <c r="F1713" i="17"/>
  <c r="D1713" i="17"/>
  <c r="C1713" i="17"/>
  <c r="B1713" i="17"/>
  <c r="A1713" i="17"/>
  <c r="K1713" i="17" s="1"/>
  <c r="H1712" i="17"/>
  <c r="G1712" i="17"/>
  <c r="D1712" i="17"/>
  <c r="C1712" i="17"/>
  <c r="B1712" i="17"/>
  <c r="A1712" i="17"/>
  <c r="H1711" i="17"/>
  <c r="G1711" i="17"/>
  <c r="F1711" i="17"/>
  <c r="D1711" i="17"/>
  <c r="C1711" i="17"/>
  <c r="B1711" i="17"/>
  <c r="A1711" i="17"/>
  <c r="H1710" i="17"/>
  <c r="G1710" i="17"/>
  <c r="F1710" i="17"/>
  <c r="D1710" i="17"/>
  <c r="C1710" i="17"/>
  <c r="B1710" i="17"/>
  <c r="A1710" i="17"/>
  <c r="H1709" i="17"/>
  <c r="G1709" i="17"/>
  <c r="D1709" i="17"/>
  <c r="C1709" i="17"/>
  <c r="B1709" i="17"/>
  <c r="A1709" i="17"/>
  <c r="H1708" i="17"/>
  <c r="G1708" i="17"/>
  <c r="F1708" i="17"/>
  <c r="D1708" i="17"/>
  <c r="C1708" i="17"/>
  <c r="B1708" i="17"/>
  <c r="A1708" i="17"/>
  <c r="M1708" i="17" s="1"/>
  <c r="H1707" i="17"/>
  <c r="G1707" i="17"/>
  <c r="F1707" i="17"/>
  <c r="D1707" i="17"/>
  <c r="C1707" i="17"/>
  <c r="B1707" i="17"/>
  <c r="A1707" i="17"/>
  <c r="H1706" i="17"/>
  <c r="G1706" i="17"/>
  <c r="F1706" i="17"/>
  <c r="D1706" i="17"/>
  <c r="C1706" i="17"/>
  <c r="B1706" i="17"/>
  <c r="A1706" i="17"/>
  <c r="K1706" i="17" s="1"/>
  <c r="H1705" i="17"/>
  <c r="G1705" i="17"/>
  <c r="D1705" i="17"/>
  <c r="C1705" i="17"/>
  <c r="B1705" i="17"/>
  <c r="A1705" i="17"/>
  <c r="N1705" i="17" s="1"/>
  <c r="H1704" i="17"/>
  <c r="G1704" i="17"/>
  <c r="D1704" i="17"/>
  <c r="C1704" i="17"/>
  <c r="B1704" i="17"/>
  <c r="A1704" i="17"/>
  <c r="L1704" i="17" s="1"/>
  <c r="O1704" i="17" s="1"/>
  <c r="H1703" i="17"/>
  <c r="G1703" i="17"/>
  <c r="D1703" i="17"/>
  <c r="C1703" i="17"/>
  <c r="B1703" i="17"/>
  <c r="A1703" i="17"/>
  <c r="L1703" i="17" s="1"/>
  <c r="O1703" i="17" s="1"/>
  <c r="H1702" i="17"/>
  <c r="G1702" i="17"/>
  <c r="D1702" i="17"/>
  <c r="C1702" i="17"/>
  <c r="B1702" i="17"/>
  <c r="A1702" i="17"/>
  <c r="H1701" i="17"/>
  <c r="G1701" i="17"/>
  <c r="F1701" i="17"/>
  <c r="D1701" i="17"/>
  <c r="C1701" i="17"/>
  <c r="B1701" i="17"/>
  <c r="A1701" i="17"/>
  <c r="J1701" i="17" s="1"/>
  <c r="H1700" i="17"/>
  <c r="G1700" i="17"/>
  <c r="F1700" i="17"/>
  <c r="D1700" i="17"/>
  <c r="C1700" i="17"/>
  <c r="B1700" i="17"/>
  <c r="A1700" i="17"/>
  <c r="H1699" i="17"/>
  <c r="G1699" i="17"/>
  <c r="F1699" i="17"/>
  <c r="D1699" i="17"/>
  <c r="C1699" i="17"/>
  <c r="B1699" i="17"/>
  <c r="A1699" i="17"/>
  <c r="H1698" i="17"/>
  <c r="G1698" i="17"/>
  <c r="F1698" i="17"/>
  <c r="D1698" i="17"/>
  <c r="C1698" i="17"/>
  <c r="B1698" i="17"/>
  <c r="A1698" i="17"/>
  <c r="N1698" i="17" s="1"/>
  <c r="H1697" i="17"/>
  <c r="G1697" i="17"/>
  <c r="F1697" i="17"/>
  <c r="D1697" i="17"/>
  <c r="C1697" i="17"/>
  <c r="B1697" i="17"/>
  <c r="A1697" i="17"/>
  <c r="H1696" i="17"/>
  <c r="G1696" i="17"/>
  <c r="D1696" i="17"/>
  <c r="C1696" i="17"/>
  <c r="B1696" i="17"/>
  <c r="A1696" i="17"/>
  <c r="H1695" i="17"/>
  <c r="G1695" i="17"/>
  <c r="D1695" i="17"/>
  <c r="C1695" i="17"/>
  <c r="B1695" i="17"/>
  <c r="A1695" i="17"/>
  <c r="N1695" i="17" s="1"/>
  <c r="H1694" i="17"/>
  <c r="G1694" i="17"/>
  <c r="D1694" i="17"/>
  <c r="C1694" i="17"/>
  <c r="B1694" i="17"/>
  <c r="A1694" i="17"/>
  <c r="N1694" i="17" s="1"/>
  <c r="H1693" i="17"/>
  <c r="G1693" i="17"/>
  <c r="D1693" i="17"/>
  <c r="C1693" i="17"/>
  <c r="B1693" i="17"/>
  <c r="A1693" i="17"/>
  <c r="J1693" i="17" s="1"/>
  <c r="H1692" i="17"/>
  <c r="G1692" i="17"/>
  <c r="D1692" i="17"/>
  <c r="C1692" i="17"/>
  <c r="B1692" i="17"/>
  <c r="A1692" i="17"/>
  <c r="N1692" i="17" s="1"/>
  <c r="H1691" i="17"/>
  <c r="G1691" i="17"/>
  <c r="D1691" i="17"/>
  <c r="C1691" i="17"/>
  <c r="B1691" i="17"/>
  <c r="A1691" i="17"/>
  <c r="J1691" i="17" s="1"/>
  <c r="H1690" i="17"/>
  <c r="G1690" i="17"/>
  <c r="D1690" i="17"/>
  <c r="C1690" i="17"/>
  <c r="B1690" i="17"/>
  <c r="A1690" i="17"/>
  <c r="N1690" i="17" s="1"/>
  <c r="H1689" i="17"/>
  <c r="G1689" i="17"/>
  <c r="F1689" i="17"/>
  <c r="D1689" i="17"/>
  <c r="C1689" i="17"/>
  <c r="B1689" i="17"/>
  <c r="A1689" i="17"/>
  <c r="M1689" i="17" s="1"/>
  <c r="H1688" i="17"/>
  <c r="G1688" i="17"/>
  <c r="F1688" i="17"/>
  <c r="D1688" i="17"/>
  <c r="C1688" i="17"/>
  <c r="B1688" i="17"/>
  <c r="A1688" i="17"/>
  <c r="N1688" i="17" s="1"/>
  <c r="H1687" i="17"/>
  <c r="G1687" i="17"/>
  <c r="F1687" i="17"/>
  <c r="D1687" i="17"/>
  <c r="C1687" i="17"/>
  <c r="B1687" i="17"/>
  <c r="A1687" i="17"/>
  <c r="K1687" i="17" s="1"/>
  <c r="H1686" i="17"/>
  <c r="G1686" i="17"/>
  <c r="F1686" i="17"/>
  <c r="D1686" i="17"/>
  <c r="C1686" i="17"/>
  <c r="B1686" i="17"/>
  <c r="A1686" i="17"/>
  <c r="N1686" i="17" s="1"/>
  <c r="H1685" i="17"/>
  <c r="G1685" i="17"/>
  <c r="F1685" i="17"/>
  <c r="D1685" i="17"/>
  <c r="C1685" i="17"/>
  <c r="B1685" i="17"/>
  <c r="A1685" i="17"/>
  <c r="N1685" i="17" s="1"/>
  <c r="H1684" i="17"/>
  <c r="G1684" i="17"/>
  <c r="F1684" i="17"/>
  <c r="D1684" i="17"/>
  <c r="C1684" i="17"/>
  <c r="B1684" i="17"/>
  <c r="A1684" i="17"/>
  <c r="L1684" i="17" s="1"/>
  <c r="O1684" i="17" s="1"/>
  <c r="H1683" i="17"/>
  <c r="G1683" i="17"/>
  <c r="F1683" i="17"/>
  <c r="D1683" i="17"/>
  <c r="C1683" i="17"/>
  <c r="B1683" i="17"/>
  <c r="A1683" i="17"/>
  <c r="H1682" i="17"/>
  <c r="G1682" i="17"/>
  <c r="F1682" i="17"/>
  <c r="D1682" i="17"/>
  <c r="C1682" i="17"/>
  <c r="B1682" i="17"/>
  <c r="A1682" i="17"/>
  <c r="H1681" i="17"/>
  <c r="G1681" i="17"/>
  <c r="F1681" i="17"/>
  <c r="D1681" i="17"/>
  <c r="C1681" i="17"/>
  <c r="B1681" i="17"/>
  <c r="A1681" i="17"/>
  <c r="J1681" i="17" s="1"/>
  <c r="H1680" i="17"/>
  <c r="G1680" i="17"/>
  <c r="F1680" i="17"/>
  <c r="D1680" i="17"/>
  <c r="C1680" i="17"/>
  <c r="B1680" i="17"/>
  <c r="A1680" i="17"/>
  <c r="H1679" i="17"/>
  <c r="G1679" i="17"/>
  <c r="F1679" i="17"/>
  <c r="D1679" i="17"/>
  <c r="C1679" i="17"/>
  <c r="B1679" i="17"/>
  <c r="A1679" i="17"/>
  <c r="M1679" i="17" s="1"/>
  <c r="H1678" i="17"/>
  <c r="G1678" i="17"/>
  <c r="F1678" i="17"/>
  <c r="D1678" i="17"/>
  <c r="C1678" i="17"/>
  <c r="B1678" i="17"/>
  <c r="A1678" i="17"/>
  <c r="H1677" i="17"/>
  <c r="G1677" i="17"/>
  <c r="F1677" i="17"/>
  <c r="D1677" i="17"/>
  <c r="C1677" i="17"/>
  <c r="B1677" i="17"/>
  <c r="A1677" i="17"/>
  <c r="L1677" i="17" s="1"/>
  <c r="O1677" i="17" s="1"/>
  <c r="H1676" i="17"/>
  <c r="G1676" i="17"/>
  <c r="F1676" i="17"/>
  <c r="D1676" i="17"/>
  <c r="C1676" i="17"/>
  <c r="B1676" i="17"/>
  <c r="A1676" i="17"/>
  <c r="N1676" i="17" s="1"/>
  <c r="H1675" i="17"/>
  <c r="G1675" i="17"/>
  <c r="F1675" i="17"/>
  <c r="D1675" i="17"/>
  <c r="C1675" i="17"/>
  <c r="B1675" i="17"/>
  <c r="A1675" i="17"/>
  <c r="K1675" i="17" s="1"/>
  <c r="H1674" i="17"/>
  <c r="G1674" i="17"/>
  <c r="F1674" i="17"/>
  <c r="D1674" i="17"/>
  <c r="C1674" i="17"/>
  <c r="B1674" i="17"/>
  <c r="A1674" i="17"/>
  <c r="N1674" i="17" s="1"/>
  <c r="H1673" i="17"/>
  <c r="G1673" i="17"/>
  <c r="F1673" i="17"/>
  <c r="D1673" i="17"/>
  <c r="C1673" i="17"/>
  <c r="B1673" i="17"/>
  <c r="A1673" i="17"/>
  <c r="H1672" i="17"/>
  <c r="G1672" i="17"/>
  <c r="F1672" i="17"/>
  <c r="D1672" i="17"/>
  <c r="C1672" i="17"/>
  <c r="B1672" i="17"/>
  <c r="A1672" i="17"/>
  <c r="K1672" i="17" s="1"/>
  <c r="H1671" i="17"/>
  <c r="G1671" i="17"/>
  <c r="F1671" i="17"/>
  <c r="D1671" i="17"/>
  <c r="C1671" i="17"/>
  <c r="B1671" i="17"/>
  <c r="A1671" i="17"/>
  <c r="J1671" i="17" s="1"/>
  <c r="H1670" i="17"/>
  <c r="G1670" i="17"/>
  <c r="D1670" i="17"/>
  <c r="C1670" i="17"/>
  <c r="B1670" i="17"/>
  <c r="A1670" i="17"/>
  <c r="H1669" i="17"/>
  <c r="G1669" i="17"/>
  <c r="D1669" i="17"/>
  <c r="C1669" i="17"/>
  <c r="B1669" i="17"/>
  <c r="A1669" i="17"/>
  <c r="N1669" i="17" s="1"/>
  <c r="H1668" i="17"/>
  <c r="G1668" i="17"/>
  <c r="D1668" i="17"/>
  <c r="C1668" i="17"/>
  <c r="B1668" i="17"/>
  <c r="A1668" i="17"/>
  <c r="H1667" i="17"/>
  <c r="G1667" i="17"/>
  <c r="D1667" i="17"/>
  <c r="C1667" i="17"/>
  <c r="B1667" i="17"/>
  <c r="A1667" i="17"/>
  <c r="H1666" i="17"/>
  <c r="G1666" i="17"/>
  <c r="D1666" i="17"/>
  <c r="C1666" i="17"/>
  <c r="B1666" i="17"/>
  <c r="A1666" i="17"/>
  <c r="M1666" i="17" s="1"/>
  <c r="H1665" i="17"/>
  <c r="G1665" i="17"/>
  <c r="D1665" i="17"/>
  <c r="C1665" i="17"/>
  <c r="B1665" i="17"/>
  <c r="A1665" i="17"/>
  <c r="H1664" i="17"/>
  <c r="G1664" i="17"/>
  <c r="D1664" i="17"/>
  <c r="C1664" i="17"/>
  <c r="B1664" i="17"/>
  <c r="A1664" i="17"/>
  <c r="N1664" i="17" s="1"/>
  <c r="H1663" i="17"/>
  <c r="G1663" i="17"/>
  <c r="D1663" i="17"/>
  <c r="C1663" i="17"/>
  <c r="B1663" i="17"/>
  <c r="A1663" i="17"/>
  <c r="M1663" i="17" s="1"/>
  <c r="H1662" i="17"/>
  <c r="G1662" i="17"/>
  <c r="D1662" i="17"/>
  <c r="C1662" i="17"/>
  <c r="B1662" i="17"/>
  <c r="A1662" i="17"/>
  <c r="K1662" i="17" s="1"/>
  <c r="H1661" i="17"/>
  <c r="G1661" i="17"/>
  <c r="F1661" i="17"/>
  <c r="D1661" i="17"/>
  <c r="C1661" i="17"/>
  <c r="B1661" i="17"/>
  <c r="A1661" i="17"/>
  <c r="H1660" i="17"/>
  <c r="G1660" i="17"/>
  <c r="F1660" i="17"/>
  <c r="D1660" i="17"/>
  <c r="C1660" i="17"/>
  <c r="B1660" i="17"/>
  <c r="A1660" i="17"/>
  <c r="H1659" i="17"/>
  <c r="G1659" i="17"/>
  <c r="F1659" i="17"/>
  <c r="D1659" i="17"/>
  <c r="C1659" i="17"/>
  <c r="B1659" i="17"/>
  <c r="A1659" i="17"/>
  <c r="J1659" i="17" s="1"/>
  <c r="H1658" i="17"/>
  <c r="G1658" i="17"/>
  <c r="D1658" i="17"/>
  <c r="C1658" i="17"/>
  <c r="B1658" i="17"/>
  <c r="A1658" i="17"/>
  <c r="K1658" i="17" s="1"/>
  <c r="H1657" i="17"/>
  <c r="G1657" i="17"/>
  <c r="D1657" i="17"/>
  <c r="C1657" i="17"/>
  <c r="B1657" i="17"/>
  <c r="A1657" i="17"/>
  <c r="H1656" i="17"/>
  <c r="G1656" i="17"/>
  <c r="D1656" i="17"/>
  <c r="C1656" i="17"/>
  <c r="B1656" i="17"/>
  <c r="A1656" i="17"/>
  <c r="K1656" i="17" s="1"/>
  <c r="H1655" i="17"/>
  <c r="G1655" i="17"/>
  <c r="D1655" i="17"/>
  <c r="C1655" i="17"/>
  <c r="B1655" i="17"/>
  <c r="A1655" i="17"/>
  <c r="M1655" i="17" s="1"/>
  <c r="H1654" i="17"/>
  <c r="G1654" i="17"/>
  <c r="D1654" i="17"/>
  <c r="C1654" i="17"/>
  <c r="B1654" i="17"/>
  <c r="A1654" i="17"/>
  <c r="N1654" i="17" s="1"/>
  <c r="H1653" i="17"/>
  <c r="G1653" i="17"/>
  <c r="D1653" i="17"/>
  <c r="C1653" i="17"/>
  <c r="B1653" i="17"/>
  <c r="A1653" i="17"/>
  <c r="H1652" i="17"/>
  <c r="G1652" i="17"/>
  <c r="D1652" i="17"/>
  <c r="C1652" i="17"/>
  <c r="B1652" i="17"/>
  <c r="A1652" i="17"/>
  <c r="N1652" i="17" s="1"/>
  <c r="H1651" i="17"/>
  <c r="G1651" i="17"/>
  <c r="D1651" i="17"/>
  <c r="C1651" i="17"/>
  <c r="B1651" i="17"/>
  <c r="A1651" i="17"/>
  <c r="N1651" i="17" s="1"/>
  <c r="H1650" i="17"/>
  <c r="G1650" i="17"/>
  <c r="D1650" i="17"/>
  <c r="C1650" i="17"/>
  <c r="B1650" i="17"/>
  <c r="A1650" i="17"/>
  <c r="K1650" i="17" s="1"/>
  <c r="H1649" i="17"/>
  <c r="G1649" i="17"/>
  <c r="F1649" i="17"/>
  <c r="D1649" i="17"/>
  <c r="C1649" i="17"/>
  <c r="B1649" i="17"/>
  <c r="A1649" i="17"/>
  <c r="K1649" i="17" s="1"/>
  <c r="H1648" i="17"/>
  <c r="G1648" i="17"/>
  <c r="F1648" i="17"/>
  <c r="D1648" i="17"/>
  <c r="C1648" i="17"/>
  <c r="B1648" i="17"/>
  <c r="A1648" i="17"/>
  <c r="H1647" i="17"/>
  <c r="G1647" i="17"/>
  <c r="F1647" i="17"/>
  <c r="D1647" i="17"/>
  <c r="C1647" i="17"/>
  <c r="B1647" i="17"/>
  <c r="A1647" i="17"/>
  <c r="H1646" i="17"/>
  <c r="G1646" i="17"/>
  <c r="D1646" i="17"/>
  <c r="C1646" i="17"/>
  <c r="B1646" i="17"/>
  <c r="A1646" i="17"/>
  <c r="J1646" i="17" s="1"/>
  <c r="H1645" i="17"/>
  <c r="G1645" i="17"/>
  <c r="D1645" i="17"/>
  <c r="C1645" i="17"/>
  <c r="B1645" i="17"/>
  <c r="A1645" i="17"/>
  <c r="H1644" i="17"/>
  <c r="G1644" i="17"/>
  <c r="D1644" i="17"/>
  <c r="C1644" i="17"/>
  <c r="B1644" i="17"/>
  <c r="A1644" i="17"/>
  <c r="J1644" i="17" s="1"/>
  <c r="H1643" i="17"/>
  <c r="G1643" i="17"/>
  <c r="D1643" i="17"/>
  <c r="C1643" i="17"/>
  <c r="B1643" i="17"/>
  <c r="A1643" i="17"/>
  <c r="J1643" i="17" s="1"/>
  <c r="H1642" i="17"/>
  <c r="G1642" i="17"/>
  <c r="D1642" i="17"/>
  <c r="C1642" i="17"/>
  <c r="B1642" i="17"/>
  <c r="A1642" i="17"/>
  <c r="K1642" i="17" s="1"/>
  <c r="H1641" i="17"/>
  <c r="G1641" i="17"/>
  <c r="D1641" i="17"/>
  <c r="C1641" i="17"/>
  <c r="B1641" i="17"/>
  <c r="A1641" i="17"/>
  <c r="H1640" i="17"/>
  <c r="G1640" i="17"/>
  <c r="D1640" i="17"/>
  <c r="C1640" i="17"/>
  <c r="B1640" i="17"/>
  <c r="A1640" i="17"/>
  <c r="L1640" i="17" s="1"/>
  <c r="O1640" i="17" s="1"/>
  <c r="H1639" i="17"/>
  <c r="G1639" i="17"/>
  <c r="D1639" i="17"/>
  <c r="C1639" i="17"/>
  <c r="B1639" i="17"/>
  <c r="A1639" i="17"/>
  <c r="H1638" i="17"/>
  <c r="G1638" i="17"/>
  <c r="D1638" i="17"/>
  <c r="C1638" i="17"/>
  <c r="B1638" i="17"/>
  <c r="A1638" i="17"/>
  <c r="H1637" i="17"/>
  <c r="G1637" i="17"/>
  <c r="D1637" i="17"/>
  <c r="C1637" i="17"/>
  <c r="B1637" i="17"/>
  <c r="A1637" i="17"/>
  <c r="N1637" i="17" s="1"/>
  <c r="H1636" i="17"/>
  <c r="G1636" i="17"/>
  <c r="D1636" i="17"/>
  <c r="C1636" i="17"/>
  <c r="B1636" i="17"/>
  <c r="A1636" i="17"/>
  <c r="H1635" i="17"/>
  <c r="G1635" i="17"/>
  <c r="D1635" i="17"/>
  <c r="C1635" i="17"/>
  <c r="B1635" i="17"/>
  <c r="A1635" i="17"/>
  <c r="M1635" i="17" s="1"/>
  <c r="H1634" i="17"/>
  <c r="G1634" i="17"/>
  <c r="F1634" i="17"/>
  <c r="D1634" i="17"/>
  <c r="C1634" i="17"/>
  <c r="B1634" i="17"/>
  <c r="A1634" i="17"/>
  <c r="H1633" i="17"/>
  <c r="G1633" i="17"/>
  <c r="F1633" i="17"/>
  <c r="D1633" i="17"/>
  <c r="C1633" i="17"/>
  <c r="B1633" i="17"/>
  <c r="A1633" i="17"/>
  <c r="H1632" i="17"/>
  <c r="G1632" i="17"/>
  <c r="D1632" i="17"/>
  <c r="C1632" i="17"/>
  <c r="B1632" i="17"/>
  <c r="A1632" i="17"/>
  <c r="L1632" i="17" s="1"/>
  <c r="O1632" i="17" s="1"/>
  <c r="H1631" i="17"/>
  <c r="G1631" i="17"/>
  <c r="D1631" i="17"/>
  <c r="C1631" i="17"/>
  <c r="B1631" i="17"/>
  <c r="A1631" i="17"/>
  <c r="H1630" i="17"/>
  <c r="G1630" i="17"/>
  <c r="D1630" i="17"/>
  <c r="C1630" i="17"/>
  <c r="B1630" i="17"/>
  <c r="A1630" i="17"/>
  <c r="H1629" i="17"/>
  <c r="G1629" i="17"/>
  <c r="D1629" i="17"/>
  <c r="C1629" i="17"/>
  <c r="B1629" i="17"/>
  <c r="A1629" i="17"/>
  <c r="J1629" i="17" s="1"/>
  <c r="H1628" i="17"/>
  <c r="G1628" i="17"/>
  <c r="D1628" i="17"/>
  <c r="C1628" i="17"/>
  <c r="B1628" i="17"/>
  <c r="A1628" i="17"/>
  <c r="H1627" i="17"/>
  <c r="G1627" i="17"/>
  <c r="D1627" i="17"/>
  <c r="C1627" i="17"/>
  <c r="B1627" i="17"/>
  <c r="A1627" i="17"/>
  <c r="H1626" i="17"/>
  <c r="G1626" i="17"/>
  <c r="D1626" i="17"/>
  <c r="C1626" i="17"/>
  <c r="B1626" i="17"/>
  <c r="A1626" i="17"/>
  <c r="M1626" i="17" s="1"/>
  <c r="H1625" i="17"/>
  <c r="G1625" i="17"/>
  <c r="D1625" i="17"/>
  <c r="C1625" i="17"/>
  <c r="B1625" i="17"/>
  <c r="A1625" i="17"/>
  <c r="H1624" i="17"/>
  <c r="G1624" i="17"/>
  <c r="F1624" i="17"/>
  <c r="D1624" i="17"/>
  <c r="C1624" i="17"/>
  <c r="B1624" i="17"/>
  <c r="A1624" i="17"/>
  <c r="N1624" i="17" s="1"/>
  <c r="H1623" i="17"/>
  <c r="G1623" i="17"/>
  <c r="F1623" i="17"/>
  <c r="D1623" i="17"/>
  <c r="C1623" i="17"/>
  <c r="B1623" i="17"/>
  <c r="A1623" i="17"/>
  <c r="M1623" i="17" s="1"/>
  <c r="H1622" i="17"/>
  <c r="G1622" i="17"/>
  <c r="D1622" i="17"/>
  <c r="C1622" i="17"/>
  <c r="B1622" i="17"/>
  <c r="A1622" i="17"/>
  <c r="N1622" i="17" s="1"/>
  <c r="H1621" i="17"/>
  <c r="G1621" i="17"/>
  <c r="D1621" i="17"/>
  <c r="C1621" i="17"/>
  <c r="B1621" i="17"/>
  <c r="A1621" i="17"/>
  <c r="H1620" i="17"/>
  <c r="G1620" i="17"/>
  <c r="D1620" i="17"/>
  <c r="C1620" i="17"/>
  <c r="B1620" i="17"/>
  <c r="A1620" i="17"/>
  <c r="H1619" i="17"/>
  <c r="G1619" i="17"/>
  <c r="D1619" i="17"/>
  <c r="C1619" i="17"/>
  <c r="B1619" i="17"/>
  <c r="A1619" i="17"/>
  <c r="L1619" i="17" s="1"/>
  <c r="O1619" i="17" s="1"/>
  <c r="H1618" i="17"/>
  <c r="G1618" i="17"/>
  <c r="D1618" i="17"/>
  <c r="C1618" i="17"/>
  <c r="B1618" i="17"/>
  <c r="A1618" i="17"/>
  <c r="K1618" i="17" s="1"/>
  <c r="H1617" i="17"/>
  <c r="G1617" i="17"/>
  <c r="D1617" i="17"/>
  <c r="C1617" i="17"/>
  <c r="B1617" i="17"/>
  <c r="A1617" i="17"/>
  <c r="H1616" i="17"/>
  <c r="G1616" i="17"/>
  <c r="D1616" i="17"/>
  <c r="C1616" i="17"/>
  <c r="B1616" i="17"/>
  <c r="A1616" i="17"/>
  <c r="H1615" i="17"/>
  <c r="G1615" i="17"/>
  <c r="F1615" i="17"/>
  <c r="D1615" i="17"/>
  <c r="C1615" i="17"/>
  <c r="B1615" i="17"/>
  <c r="A1615" i="17"/>
  <c r="N1615" i="17" s="1"/>
  <c r="H1614" i="17"/>
  <c r="G1614" i="17"/>
  <c r="F1614" i="17"/>
  <c r="D1614" i="17"/>
  <c r="C1614" i="17"/>
  <c r="B1614" i="17"/>
  <c r="A1614" i="17"/>
  <c r="K1614" i="17" s="1"/>
  <c r="H1613" i="17"/>
  <c r="G1613" i="17"/>
  <c r="D1613" i="17"/>
  <c r="C1613" i="17"/>
  <c r="B1613" i="17"/>
  <c r="A1613" i="17"/>
  <c r="H1612" i="17"/>
  <c r="G1612" i="17"/>
  <c r="D1612" i="17"/>
  <c r="C1612" i="17"/>
  <c r="B1612" i="17"/>
  <c r="A1612" i="17"/>
  <c r="N1612" i="17" s="1"/>
  <c r="H1611" i="17"/>
  <c r="G1611" i="17"/>
  <c r="D1611" i="17"/>
  <c r="C1611" i="17"/>
  <c r="B1611" i="17"/>
  <c r="A1611" i="17"/>
  <c r="H1610" i="17"/>
  <c r="G1610" i="17"/>
  <c r="D1610" i="17"/>
  <c r="C1610" i="17"/>
  <c r="B1610" i="17"/>
  <c r="A1610" i="17"/>
  <c r="H1609" i="17"/>
  <c r="G1609" i="17"/>
  <c r="D1609" i="17"/>
  <c r="C1609" i="17"/>
  <c r="B1609" i="17"/>
  <c r="A1609" i="17"/>
  <c r="H1608" i="17"/>
  <c r="G1608" i="17"/>
  <c r="D1608" i="17"/>
  <c r="C1608" i="17"/>
  <c r="B1608" i="17"/>
  <c r="A1608" i="17"/>
  <c r="J1608" i="17" s="1"/>
  <c r="H1607" i="17"/>
  <c r="G1607" i="17"/>
  <c r="D1607" i="17"/>
  <c r="C1607" i="17"/>
  <c r="B1607" i="17"/>
  <c r="A1607" i="17"/>
  <c r="H1606" i="17"/>
  <c r="G1606" i="17"/>
  <c r="D1606" i="17"/>
  <c r="C1606" i="17"/>
  <c r="B1606" i="17"/>
  <c r="A1606" i="17"/>
  <c r="M1606" i="17" s="1"/>
  <c r="H1605" i="17"/>
  <c r="G1605" i="17"/>
  <c r="D1605" i="17"/>
  <c r="C1605" i="17"/>
  <c r="B1605" i="17"/>
  <c r="A1605" i="17"/>
  <c r="H1604" i="17"/>
  <c r="G1604" i="17"/>
  <c r="D1604" i="17"/>
  <c r="C1604" i="17"/>
  <c r="B1604" i="17"/>
  <c r="A1604" i="17"/>
  <c r="H1603" i="17"/>
  <c r="G1603" i="17"/>
  <c r="F1603" i="17"/>
  <c r="D1603" i="17"/>
  <c r="C1603" i="17"/>
  <c r="B1603" i="17"/>
  <c r="A1603" i="17"/>
  <c r="H1602" i="17"/>
  <c r="G1602" i="17"/>
  <c r="F1602" i="17"/>
  <c r="D1602" i="17"/>
  <c r="C1602" i="17"/>
  <c r="B1602" i="17"/>
  <c r="A1602" i="17"/>
  <c r="H1601" i="17"/>
  <c r="G1601" i="17"/>
  <c r="D1601" i="17"/>
  <c r="C1601" i="17"/>
  <c r="B1601" i="17"/>
  <c r="A1601" i="17"/>
  <c r="H1600" i="17"/>
  <c r="G1600" i="17"/>
  <c r="D1600" i="17"/>
  <c r="C1600" i="17"/>
  <c r="B1600" i="17"/>
  <c r="A1600" i="17"/>
  <c r="N1600" i="17" s="1"/>
  <c r="H1599" i="17"/>
  <c r="G1599" i="17"/>
  <c r="D1599" i="17"/>
  <c r="C1599" i="17"/>
  <c r="B1599" i="17"/>
  <c r="A1599" i="17"/>
  <c r="L1599" i="17" s="1"/>
  <c r="O1599" i="17" s="1"/>
  <c r="H1598" i="17"/>
  <c r="G1598" i="17"/>
  <c r="D1598" i="17"/>
  <c r="C1598" i="17"/>
  <c r="B1598" i="17"/>
  <c r="A1598" i="17"/>
  <c r="H1597" i="17"/>
  <c r="G1597" i="17"/>
  <c r="D1597" i="17"/>
  <c r="C1597" i="17"/>
  <c r="B1597" i="17"/>
  <c r="A1597" i="17"/>
  <c r="M1597" i="17" s="1"/>
  <c r="H1596" i="17"/>
  <c r="G1596" i="17"/>
  <c r="D1596" i="17"/>
  <c r="C1596" i="17"/>
  <c r="B1596" i="17"/>
  <c r="A1596" i="17"/>
  <c r="L1596" i="17" s="1"/>
  <c r="O1596" i="17" s="1"/>
  <c r="H1595" i="17"/>
  <c r="G1595" i="17"/>
  <c r="D1595" i="17"/>
  <c r="C1595" i="17"/>
  <c r="B1595" i="17"/>
  <c r="A1595" i="17"/>
  <c r="N1595" i="17" s="1"/>
  <c r="H1594" i="17"/>
  <c r="G1594" i="17"/>
  <c r="D1594" i="17"/>
  <c r="C1594" i="17"/>
  <c r="B1594" i="17"/>
  <c r="A1594" i="17"/>
  <c r="N1594" i="17" s="1"/>
  <c r="H1593" i="17"/>
  <c r="G1593" i="17"/>
  <c r="D1593" i="17"/>
  <c r="C1593" i="17"/>
  <c r="B1593" i="17"/>
  <c r="A1593" i="17"/>
  <c r="J1593" i="17" s="1"/>
  <c r="H1592" i="17"/>
  <c r="G1592" i="17"/>
  <c r="D1592" i="17"/>
  <c r="C1592" i="17"/>
  <c r="B1592" i="17"/>
  <c r="A1592" i="17"/>
  <c r="K1592" i="17" s="1"/>
  <c r="H1591" i="17"/>
  <c r="G1591" i="17"/>
  <c r="D1591" i="17"/>
  <c r="C1591" i="17"/>
  <c r="B1591" i="17"/>
  <c r="A1591" i="17"/>
  <c r="H1590" i="17"/>
  <c r="G1590" i="17"/>
  <c r="D1590" i="17"/>
  <c r="C1590" i="17"/>
  <c r="B1590" i="17"/>
  <c r="A1590" i="17"/>
  <c r="L1590" i="17" s="1"/>
  <c r="O1590" i="17" s="1"/>
  <c r="H1589" i="17"/>
  <c r="G1589" i="17"/>
  <c r="D1589" i="17"/>
  <c r="C1589" i="17"/>
  <c r="B1589" i="17"/>
  <c r="A1589" i="17"/>
  <c r="H1588" i="17"/>
  <c r="G1588" i="17"/>
  <c r="D1588" i="17"/>
  <c r="C1588" i="17"/>
  <c r="B1588" i="17"/>
  <c r="A1588" i="17"/>
  <c r="K1588" i="17" s="1"/>
  <c r="H1587" i="17"/>
  <c r="G1587" i="17"/>
  <c r="F1587" i="17"/>
  <c r="D1587" i="17"/>
  <c r="C1587" i="17"/>
  <c r="B1587" i="17"/>
  <c r="A1587" i="17"/>
  <c r="N1587" i="17" s="1"/>
  <c r="H1586" i="17"/>
  <c r="G1586" i="17"/>
  <c r="D1586" i="17"/>
  <c r="C1586" i="17"/>
  <c r="B1586" i="17"/>
  <c r="A1586" i="17"/>
  <c r="J1586" i="17" s="1"/>
  <c r="H1585" i="17"/>
  <c r="G1585" i="17"/>
  <c r="D1585" i="17"/>
  <c r="C1585" i="17"/>
  <c r="B1585" i="17"/>
  <c r="A1585" i="17"/>
  <c r="H1584" i="17"/>
  <c r="G1584" i="17"/>
  <c r="D1584" i="17"/>
  <c r="C1584" i="17"/>
  <c r="B1584" i="17"/>
  <c r="A1584" i="17"/>
  <c r="H1583" i="17"/>
  <c r="G1583" i="17"/>
  <c r="D1583" i="17"/>
  <c r="C1583" i="17"/>
  <c r="B1583" i="17"/>
  <c r="A1583" i="17"/>
  <c r="N1583" i="17" s="1"/>
  <c r="H1582" i="17"/>
  <c r="G1582" i="17"/>
  <c r="D1582" i="17"/>
  <c r="C1582" i="17"/>
  <c r="B1582" i="17"/>
  <c r="A1582" i="17"/>
  <c r="J1582" i="17" s="1"/>
  <c r="H1581" i="17"/>
  <c r="G1581" i="17"/>
  <c r="F1581" i="17"/>
  <c r="D1581" i="17"/>
  <c r="C1581" i="17"/>
  <c r="B1581" i="17"/>
  <c r="A1581" i="17"/>
  <c r="L1581" i="17" s="1"/>
  <c r="O1581" i="17" s="1"/>
  <c r="P1581" i="17" s="1"/>
  <c r="H1580" i="17"/>
  <c r="G1580" i="17"/>
  <c r="F1580" i="17"/>
  <c r="D1580" i="17"/>
  <c r="C1580" i="17"/>
  <c r="B1580" i="17"/>
  <c r="A1580" i="17"/>
  <c r="H1579" i="17"/>
  <c r="G1579" i="17"/>
  <c r="F1579" i="17"/>
  <c r="D1579" i="17"/>
  <c r="C1579" i="17"/>
  <c r="B1579" i="17"/>
  <c r="A1579" i="17"/>
  <c r="M1579" i="17" s="1"/>
  <c r="H1578" i="17"/>
  <c r="G1578" i="17"/>
  <c r="D1578" i="17"/>
  <c r="C1578" i="17"/>
  <c r="B1578" i="17"/>
  <c r="A1578" i="17"/>
  <c r="J1578" i="17" s="1"/>
  <c r="H1577" i="17"/>
  <c r="G1577" i="17"/>
  <c r="D1577" i="17"/>
  <c r="C1577" i="17"/>
  <c r="B1577" i="17"/>
  <c r="A1577" i="17"/>
  <c r="H1576" i="17"/>
  <c r="G1576" i="17"/>
  <c r="D1576" i="17"/>
  <c r="C1576" i="17"/>
  <c r="B1576" i="17"/>
  <c r="A1576" i="17"/>
  <c r="H1575" i="17"/>
  <c r="G1575" i="17"/>
  <c r="D1575" i="17"/>
  <c r="C1575" i="17"/>
  <c r="B1575" i="17"/>
  <c r="A1575" i="17"/>
  <c r="N1575" i="17" s="1"/>
  <c r="H1574" i="17"/>
  <c r="G1574" i="17"/>
  <c r="D1574" i="17"/>
  <c r="C1574" i="17"/>
  <c r="B1574" i="17"/>
  <c r="A1574" i="17"/>
  <c r="L1574" i="17" s="1"/>
  <c r="O1574" i="17" s="1"/>
  <c r="P1574" i="17" s="1"/>
  <c r="H1573" i="17"/>
  <c r="G1573" i="17"/>
  <c r="F1573" i="17"/>
  <c r="D1573" i="17"/>
  <c r="C1573" i="17"/>
  <c r="B1573" i="17"/>
  <c r="A1573" i="17"/>
  <c r="N1573" i="17" s="1"/>
  <c r="H1572" i="17"/>
  <c r="G1572" i="17"/>
  <c r="F1572" i="17"/>
  <c r="D1572" i="17"/>
  <c r="C1572" i="17"/>
  <c r="B1572" i="17"/>
  <c r="A1572" i="17"/>
  <c r="H1571" i="17"/>
  <c r="G1571" i="17"/>
  <c r="F1571" i="17"/>
  <c r="D1571" i="17"/>
  <c r="C1571" i="17"/>
  <c r="B1571" i="17"/>
  <c r="A1571" i="17"/>
  <c r="K1571" i="17" s="1"/>
  <c r="H1570" i="17"/>
  <c r="G1570" i="17"/>
  <c r="D1570" i="17"/>
  <c r="C1570" i="17"/>
  <c r="B1570" i="17"/>
  <c r="A1570" i="17"/>
  <c r="H1569" i="17"/>
  <c r="G1569" i="17"/>
  <c r="D1569" i="17"/>
  <c r="C1569" i="17"/>
  <c r="B1569" i="17"/>
  <c r="A1569" i="17"/>
  <c r="N1569" i="17" s="1"/>
  <c r="H1568" i="17"/>
  <c r="G1568" i="17"/>
  <c r="D1568" i="17"/>
  <c r="C1568" i="17"/>
  <c r="B1568" i="17"/>
  <c r="A1568" i="17"/>
  <c r="H1567" i="17"/>
  <c r="G1567" i="17"/>
  <c r="D1567" i="17"/>
  <c r="C1567" i="17"/>
  <c r="B1567" i="17"/>
  <c r="A1567" i="17"/>
  <c r="H1566" i="17"/>
  <c r="G1566" i="17"/>
  <c r="D1566" i="17"/>
  <c r="C1566" i="17"/>
  <c r="B1566" i="17"/>
  <c r="A1566" i="17"/>
  <c r="H1565" i="17"/>
  <c r="G1565" i="17"/>
  <c r="F1565" i="17"/>
  <c r="D1565" i="17"/>
  <c r="C1565" i="17"/>
  <c r="B1565" i="17"/>
  <c r="A1565" i="17"/>
  <c r="J1565" i="17" s="1"/>
  <c r="H1564" i="17"/>
  <c r="G1564" i="17"/>
  <c r="F1564" i="17"/>
  <c r="D1564" i="17"/>
  <c r="C1564" i="17"/>
  <c r="B1564" i="17"/>
  <c r="A1564" i="17"/>
  <c r="J1564" i="17" s="1"/>
  <c r="H1563" i="17"/>
  <c r="G1563" i="17"/>
  <c r="F1563" i="17"/>
  <c r="D1563" i="17"/>
  <c r="C1563" i="17"/>
  <c r="B1563" i="17"/>
  <c r="A1563" i="17"/>
  <c r="L1563" i="17" s="1"/>
  <c r="O1563" i="17" s="1"/>
  <c r="P1563" i="17" s="1"/>
  <c r="H1562" i="17"/>
  <c r="G1562" i="17"/>
  <c r="D1562" i="17"/>
  <c r="C1562" i="17"/>
  <c r="B1562" i="17"/>
  <c r="A1562" i="17"/>
  <c r="J1562" i="17" s="1"/>
  <c r="H1561" i="17"/>
  <c r="G1561" i="17"/>
  <c r="D1561" i="17"/>
  <c r="C1561" i="17"/>
  <c r="B1561" i="17"/>
  <c r="A1561" i="17"/>
  <c r="H1560" i="17"/>
  <c r="G1560" i="17"/>
  <c r="D1560" i="17"/>
  <c r="C1560" i="17"/>
  <c r="B1560" i="17"/>
  <c r="A1560" i="17"/>
  <c r="H1559" i="17"/>
  <c r="G1559" i="17"/>
  <c r="D1559" i="17"/>
  <c r="C1559" i="17"/>
  <c r="B1559" i="17"/>
  <c r="A1559" i="17"/>
  <c r="M1559" i="17" s="1"/>
  <c r="H1558" i="17"/>
  <c r="G1558" i="17"/>
  <c r="D1558" i="17"/>
  <c r="C1558" i="17"/>
  <c r="B1558" i="17"/>
  <c r="A1558" i="17"/>
  <c r="N1558" i="17" s="1"/>
  <c r="H1557" i="17"/>
  <c r="G1557" i="17"/>
  <c r="F1557" i="17"/>
  <c r="D1557" i="17"/>
  <c r="C1557" i="17"/>
  <c r="B1557" i="17"/>
  <c r="A1557" i="17"/>
  <c r="H1556" i="17"/>
  <c r="G1556" i="17"/>
  <c r="F1556" i="17"/>
  <c r="D1556" i="17"/>
  <c r="C1556" i="17"/>
  <c r="B1556" i="17"/>
  <c r="A1556" i="17"/>
  <c r="H1555" i="17"/>
  <c r="G1555" i="17"/>
  <c r="F1555" i="17"/>
  <c r="D1555" i="17"/>
  <c r="C1555" i="17"/>
  <c r="B1555" i="17"/>
  <c r="A1555" i="17"/>
  <c r="H1554" i="17"/>
  <c r="G1554" i="17"/>
  <c r="D1554" i="17"/>
  <c r="C1554" i="17"/>
  <c r="B1554" i="17"/>
  <c r="A1554" i="17"/>
  <c r="K1554" i="17" s="1"/>
  <c r="H1553" i="17"/>
  <c r="G1553" i="17"/>
  <c r="D1553" i="17"/>
  <c r="C1553" i="17"/>
  <c r="B1553" i="17"/>
  <c r="A1553" i="17"/>
  <c r="N1553" i="17" s="1"/>
  <c r="H1552" i="17"/>
  <c r="G1552" i="17"/>
  <c r="D1552" i="17"/>
  <c r="C1552" i="17"/>
  <c r="B1552" i="17"/>
  <c r="A1552" i="17"/>
  <c r="H1551" i="17"/>
  <c r="G1551" i="17"/>
  <c r="D1551" i="17"/>
  <c r="C1551" i="17"/>
  <c r="B1551" i="17"/>
  <c r="A1551" i="17"/>
  <c r="J1551" i="17" s="1"/>
  <c r="H1550" i="17"/>
  <c r="G1550" i="17"/>
  <c r="D1550" i="17"/>
  <c r="C1550" i="17"/>
  <c r="B1550" i="17"/>
  <c r="A1550" i="17"/>
  <c r="M1550" i="17" s="1"/>
  <c r="H1549" i="17"/>
  <c r="G1549" i="17"/>
  <c r="D1549" i="17"/>
  <c r="C1549" i="17"/>
  <c r="B1549" i="17"/>
  <c r="A1549" i="17"/>
  <c r="H1548" i="17"/>
  <c r="G1548" i="17"/>
  <c r="F1548" i="17"/>
  <c r="D1548" i="17"/>
  <c r="C1548" i="17"/>
  <c r="B1548" i="17"/>
  <c r="A1548" i="17"/>
  <c r="J1548" i="17" s="1"/>
  <c r="H1547" i="17"/>
  <c r="G1547" i="17"/>
  <c r="F1547" i="17"/>
  <c r="D1547" i="17"/>
  <c r="C1547" i="17"/>
  <c r="B1547" i="17"/>
  <c r="A1547" i="17"/>
  <c r="H1546" i="17"/>
  <c r="G1546" i="17"/>
  <c r="F1546" i="17"/>
  <c r="D1546" i="17"/>
  <c r="C1546" i="17"/>
  <c r="B1546" i="17"/>
  <c r="A1546" i="17"/>
  <c r="J1546" i="17" s="1"/>
  <c r="H1545" i="17"/>
  <c r="G1545" i="17"/>
  <c r="D1545" i="17"/>
  <c r="C1545" i="17"/>
  <c r="B1545" i="17"/>
  <c r="A1545" i="17"/>
  <c r="K1545" i="17" s="1"/>
  <c r="H1544" i="17"/>
  <c r="G1544" i="17"/>
  <c r="D1544" i="17"/>
  <c r="C1544" i="17"/>
  <c r="B1544" i="17"/>
  <c r="A1544" i="17"/>
  <c r="N1544" i="17" s="1"/>
  <c r="H1543" i="17"/>
  <c r="G1543" i="17"/>
  <c r="D1543" i="17"/>
  <c r="C1543" i="17"/>
  <c r="B1543" i="17"/>
  <c r="A1543" i="17"/>
  <c r="M1543" i="17" s="1"/>
  <c r="H1542" i="17"/>
  <c r="G1542" i="17"/>
  <c r="D1542" i="17"/>
  <c r="C1542" i="17"/>
  <c r="B1542" i="17"/>
  <c r="A1542" i="17"/>
  <c r="M1542" i="17" s="1"/>
  <c r="H1541" i="17"/>
  <c r="G1541" i="17"/>
  <c r="D1541" i="17"/>
  <c r="C1541" i="17"/>
  <c r="B1541" i="17"/>
  <c r="A1541" i="17"/>
  <c r="M1541" i="17" s="1"/>
  <c r="H1540" i="17"/>
  <c r="G1540" i="17"/>
  <c r="D1540" i="17"/>
  <c r="C1540" i="17"/>
  <c r="B1540" i="17"/>
  <c r="A1540" i="17"/>
  <c r="H1539" i="17"/>
  <c r="G1539" i="17"/>
  <c r="F1539" i="17"/>
  <c r="D1539" i="17"/>
  <c r="C1539" i="17"/>
  <c r="B1539" i="17"/>
  <c r="A1539" i="17"/>
  <c r="N1539" i="17" s="1"/>
  <c r="H1538" i="17"/>
  <c r="G1538" i="17"/>
  <c r="F1538" i="17"/>
  <c r="D1538" i="17"/>
  <c r="C1538" i="17"/>
  <c r="B1538" i="17"/>
  <c r="A1538" i="17"/>
  <c r="M1538" i="17" s="1"/>
  <c r="H1537" i="17"/>
  <c r="G1537" i="17"/>
  <c r="F1537" i="17"/>
  <c r="D1537" i="17"/>
  <c r="C1537" i="17"/>
  <c r="B1537" i="17"/>
  <c r="A1537" i="17"/>
  <c r="L1537" i="17" s="1"/>
  <c r="O1537" i="17" s="1"/>
  <c r="P1537" i="17" s="1"/>
  <c r="H1536" i="17"/>
  <c r="G1536" i="17"/>
  <c r="D1536" i="17"/>
  <c r="C1536" i="17"/>
  <c r="B1536" i="17"/>
  <c r="A1536" i="17"/>
  <c r="M1536" i="17" s="1"/>
  <c r="H1535" i="17"/>
  <c r="G1535" i="17"/>
  <c r="D1535" i="17"/>
  <c r="C1535" i="17"/>
  <c r="B1535" i="17"/>
  <c r="A1535" i="17"/>
  <c r="L1535" i="17" s="1"/>
  <c r="O1535" i="17" s="1"/>
  <c r="P1535" i="17" s="1"/>
  <c r="H1534" i="17"/>
  <c r="G1534" i="17"/>
  <c r="D1534" i="17"/>
  <c r="C1534" i="17"/>
  <c r="B1534" i="17"/>
  <c r="A1534" i="17"/>
  <c r="J1534" i="17" s="1"/>
  <c r="H1533" i="17"/>
  <c r="G1533" i="17"/>
  <c r="D1533" i="17"/>
  <c r="C1533" i="17"/>
  <c r="B1533" i="17"/>
  <c r="A1533" i="17"/>
  <c r="N1533" i="17" s="1"/>
  <c r="H1532" i="17"/>
  <c r="G1532" i="17"/>
  <c r="D1532" i="17"/>
  <c r="C1532" i="17"/>
  <c r="B1532" i="17"/>
  <c r="A1532" i="17"/>
  <c r="H1531" i="17"/>
  <c r="G1531" i="17"/>
  <c r="D1531" i="17"/>
  <c r="C1531" i="17"/>
  <c r="B1531" i="17"/>
  <c r="A1531" i="17"/>
  <c r="L1531" i="17" s="1"/>
  <c r="O1531" i="17" s="1"/>
  <c r="P1531" i="17" s="1"/>
  <c r="H1530" i="17"/>
  <c r="G1530" i="17"/>
  <c r="F1530" i="17"/>
  <c r="D1530" i="17"/>
  <c r="C1530" i="17"/>
  <c r="B1530" i="17"/>
  <c r="A1530" i="17"/>
  <c r="H1529" i="17"/>
  <c r="G1529" i="17"/>
  <c r="F1529" i="17"/>
  <c r="D1529" i="17"/>
  <c r="C1529" i="17"/>
  <c r="B1529" i="17"/>
  <c r="A1529" i="17"/>
  <c r="M1529" i="17" s="1"/>
  <c r="H1528" i="17"/>
  <c r="G1528" i="17"/>
  <c r="F1528" i="17"/>
  <c r="D1528" i="17"/>
  <c r="C1528" i="17"/>
  <c r="B1528" i="17"/>
  <c r="A1528" i="17"/>
  <c r="K1528" i="17" s="1"/>
  <c r="H1527" i="17"/>
  <c r="G1527" i="17"/>
  <c r="F1527" i="17"/>
  <c r="D1527" i="17"/>
  <c r="C1527" i="17"/>
  <c r="B1527" i="17"/>
  <c r="A1527" i="17"/>
  <c r="N1527" i="17" s="1"/>
  <c r="H1526" i="17"/>
  <c r="G1526" i="17"/>
  <c r="D1526" i="17"/>
  <c r="C1526" i="17"/>
  <c r="B1526" i="17"/>
  <c r="A1526" i="17"/>
  <c r="N1526" i="17" s="1"/>
  <c r="H1525" i="17"/>
  <c r="G1525" i="17"/>
  <c r="D1525" i="17"/>
  <c r="C1525" i="17"/>
  <c r="B1525" i="17"/>
  <c r="A1525" i="17"/>
  <c r="J1525" i="17" s="1"/>
  <c r="H1524" i="17"/>
  <c r="G1524" i="17"/>
  <c r="D1524" i="17"/>
  <c r="C1524" i="17"/>
  <c r="B1524" i="17"/>
  <c r="A1524" i="17"/>
  <c r="J1524" i="17" s="1"/>
  <c r="H1523" i="17"/>
  <c r="G1523" i="17"/>
  <c r="D1523" i="17"/>
  <c r="C1523" i="17"/>
  <c r="B1523" i="17"/>
  <c r="A1523" i="17"/>
  <c r="J1523" i="17" s="1"/>
  <c r="H1522" i="17"/>
  <c r="G1522" i="17"/>
  <c r="D1522" i="17"/>
  <c r="C1522" i="17"/>
  <c r="B1522" i="17"/>
  <c r="A1522" i="17"/>
  <c r="H1521" i="17"/>
  <c r="G1521" i="17"/>
  <c r="D1521" i="17"/>
  <c r="C1521" i="17"/>
  <c r="B1521" i="17"/>
  <c r="A1521" i="17"/>
  <c r="M1521" i="17" s="1"/>
  <c r="H1520" i="17"/>
  <c r="G1520" i="17"/>
  <c r="F1520" i="17"/>
  <c r="D1520" i="17"/>
  <c r="C1520" i="17"/>
  <c r="B1520" i="17"/>
  <c r="A1520" i="17"/>
  <c r="H1519" i="17"/>
  <c r="G1519" i="17"/>
  <c r="F1519" i="17"/>
  <c r="D1519" i="17"/>
  <c r="C1519" i="17"/>
  <c r="B1519" i="17"/>
  <c r="A1519" i="17"/>
  <c r="N1519" i="17" s="1"/>
  <c r="H1518" i="17"/>
  <c r="G1518" i="17"/>
  <c r="F1518" i="17"/>
  <c r="D1518" i="17"/>
  <c r="C1518" i="17"/>
  <c r="B1518" i="17"/>
  <c r="A1518" i="17"/>
  <c r="M1518" i="17" s="1"/>
  <c r="H1517" i="17"/>
  <c r="G1517" i="17"/>
  <c r="F1517" i="17"/>
  <c r="D1517" i="17"/>
  <c r="C1517" i="17"/>
  <c r="B1517" i="17"/>
  <c r="A1517" i="17"/>
  <c r="H1516" i="17"/>
  <c r="G1516" i="17"/>
  <c r="F1516" i="17"/>
  <c r="D1516" i="17"/>
  <c r="C1516" i="17"/>
  <c r="B1516" i="17"/>
  <c r="A1516" i="17"/>
  <c r="H1515" i="17"/>
  <c r="G1515" i="17"/>
  <c r="D1515" i="17"/>
  <c r="C1515" i="17"/>
  <c r="B1515" i="17"/>
  <c r="A1515" i="17"/>
  <c r="K1515" i="17" s="1"/>
  <c r="H1514" i="17"/>
  <c r="G1514" i="17"/>
  <c r="D1514" i="17"/>
  <c r="C1514" i="17"/>
  <c r="B1514" i="17"/>
  <c r="A1514" i="17"/>
  <c r="K1514" i="17" s="1"/>
  <c r="H1513" i="17"/>
  <c r="G1513" i="17"/>
  <c r="D1513" i="17"/>
  <c r="C1513" i="17"/>
  <c r="B1513" i="17"/>
  <c r="A1513" i="17"/>
  <c r="H1512" i="17"/>
  <c r="G1512" i="17"/>
  <c r="D1512" i="17"/>
  <c r="C1512" i="17"/>
  <c r="B1512" i="17"/>
  <c r="A1512" i="17"/>
  <c r="J1512" i="17" s="1"/>
  <c r="H1511" i="17"/>
  <c r="G1511" i="17"/>
  <c r="D1511" i="17"/>
  <c r="C1511" i="17"/>
  <c r="B1511" i="17"/>
  <c r="A1511" i="17"/>
  <c r="H1510" i="17"/>
  <c r="G1510" i="17"/>
  <c r="D1510" i="17"/>
  <c r="C1510" i="17"/>
  <c r="B1510" i="17"/>
  <c r="A1510" i="17"/>
  <c r="J1510" i="17" s="1"/>
  <c r="H1509" i="17"/>
  <c r="G1509" i="17"/>
  <c r="D1509" i="17"/>
  <c r="C1509" i="17"/>
  <c r="B1509" i="17"/>
  <c r="A1509" i="17"/>
  <c r="H1508" i="17"/>
  <c r="G1508" i="17"/>
  <c r="F1508" i="17"/>
  <c r="D1508" i="17"/>
  <c r="C1508" i="17"/>
  <c r="B1508" i="17"/>
  <c r="A1508" i="17"/>
  <c r="J1508" i="17" s="1"/>
  <c r="H1507" i="17"/>
  <c r="G1507" i="17"/>
  <c r="F1507" i="17"/>
  <c r="D1507" i="17"/>
  <c r="C1507" i="17"/>
  <c r="B1507" i="17"/>
  <c r="A1507" i="17"/>
  <c r="M1507" i="17" s="1"/>
  <c r="H1506" i="17"/>
  <c r="G1506" i="17"/>
  <c r="F1506" i="17"/>
  <c r="D1506" i="17"/>
  <c r="C1506" i="17"/>
  <c r="B1506" i="17"/>
  <c r="A1506" i="17"/>
  <c r="J1506" i="17" s="1"/>
  <c r="H1505" i="17"/>
  <c r="G1505" i="17"/>
  <c r="F1505" i="17"/>
  <c r="D1505" i="17"/>
  <c r="C1505" i="17"/>
  <c r="B1505" i="17"/>
  <c r="A1505" i="17"/>
  <c r="L1505" i="17" s="1"/>
  <c r="O1505" i="17" s="1"/>
  <c r="P1505" i="17" s="1"/>
  <c r="H1504" i="17"/>
  <c r="G1504" i="17"/>
  <c r="F1504" i="17"/>
  <c r="D1504" i="17"/>
  <c r="C1504" i="17"/>
  <c r="B1504" i="17"/>
  <c r="A1504" i="17"/>
  <c r="H1503" i="17"/>
  <c r="G1503" i="17"/>
  <c r="D1503" i="17"/>
  <c r="C1503" i="17"/>
  <c r="B1503" i="17"/>
  <c r="A1503" i="17"/>
  <c r="K1503" i="17" s="1"/>
  <c r="H1502" i="17"/>
  <c r="G1502" i="17"/>
  <c r="D1502" i="17"/>
  <c r="C1502" i="17"/>
  <c r="B1502" i="17"/>
  <c r="A1502" i="17"/>
  <c r="H1501" i="17"/>
  <c r="G1501" i="17"/>
  <c r="D1501" i="17"/>
  <c r="C1501" i="17"/>
  <c r="B1501" i="17"/>
  <c r="A1501" i="17"/>
  <c r="N1501" i="17" s="1"/>
  <c r="H1500" i="17"/>
  <c r="G1500" i="17"/>
  <c r="D1500" i="17"/>
  <c r="C1500" i="17"/>
  <c r="B1500" i="17"/>
  <c r="A1500" i="17"/>
  <c r="H1499" i="17"/>
  <c r="G1499" i="17"/>
  <c r="D1499" i="17"/>
  <c r="C1499" i="17"/>
  <c r="B1499" i="17"/>
  <c r="A1499" i="17"/>
  <c r="M1499" i="17" s="1"/>
  <c r="H1498" i="17"/>
  <c r="G1498" i="17"/>
  <c r="D1498" i="17"/>
  <c r="C1498" i="17"/>
  <c r="B1498" i="17"/>
  <c r="A1498" i="17"/>
  <c r="K1498" i="17" s="1"/>
  <c r="H1497" i="17"/>
  <c r="G1497" i="17"/>
  <c r="D1497" i="17"/>
  <c r="C1497" i="17"/>
  <c r="B1497" i="17"/>
  <c r="A1497" i="17"/>
  <c r="H1496" i="17"/>
  <c r="G1496" i="17"/>
  <c r="D1496" i="17"/>
  <c r="C1496" i="17"/>
  <c r="B1496" i="17"/>
  <c r="A1496" i="17"/>
  <c r="H1495" i="17"/>
  <c r="G1495" i="17"/>
  <c r="F1495" i="17"/>
  <c r="D1495" i="17"/>
  <c r="C1495" i="17"/>
  <c r="B1495" i="17"/>
  <c r="A1495" i="17"/>
  <c r="M1495" i="17" s="1"/>
  <c r="H1494" i="17"/>
  <c r="G1494" i="17"/>
  <c r="F1494" i="17"/>
  <c r="D1494" i="17"/>
  <c r="C1494" i="17"/>
  <c r="B1494" i="17"/>
  <c r="A1494" i="17"/>
  <c r="H1493" i="17"/>
  <c r="G1493" i="17"/>
  <c r="F1493" i="17"/>
  <c r="D1493" i="17"/>
  <c r="C1493" i="17"/>
  <c r="B1493" i="17"/>
  <c r="A1493" i="17"/>
  <c r="M1493" i="17" s="1"/>
  <c r="H1492" i="17"/>
  <c r="G1492" i="17"/>
  <c r="F1492" i="17"/>
  <c r="D1492" i="17"/>
  <c r="C1492" i="17"/>
  <c r="B1492" i="17"/>
  <c r="A1492" i="17"/>
  <c r="N1492" i="17" s="1"/>
  <c r="H1491" i="17"/>
  <c r="G1491" i="17"/>
  <c r="F1491" i="17"/>
  <c r="D1491" i="17"/>
  <c r="C1491" i="17"/>
  <c r="B1491" i="17"/>
  <c r="A1491" i="17"/>
  <c r="M1491" i="17" s="1"/>
  <c r="H1490" i="17"/>
  <c r="G1490" i="17"/>
  <c r="D1490" i="17"/>
  <c r="C1490" i="17"/>
  <c r="B1490" i="17"/>
  <c r="A1490" i="17"/>
  <c r="M1490" i="17" s="1"/>
  <c r="H1489" i="17"/>
  <c r="G1489" i="17"/>
  <c r="D1489" i="17"/>
  <c r="C1489" i="17"/>
  <c r="B1489" i="17"/>
  <c r="A1489" i="17"/>
  <c r="J1489" i="17" s="1"/>
  <c r="H1488" i="17"/>
  <c r="G1488" i="17"/>
  <c r="D1488" i="17"/>
  <c r="C1488" i="17"/>
  <c r="B1488" i="17"/>
  <c r="A1488" i="17"/>
  <c r="L1488" i="17" s="1"/>
  <c r="O1488" i="17" s="1"/>
  <c r="P1488" i="17" s="1"/>
  <c r="H1487" i="17"/>
  <c r="G1487" i="17"/>
  <c r="D1487" i="17"/>
  <c r="C1487" i="17"/>
  <c r="B1487" i="17"/>
  <c r="A1487" i="17"/>
  <c r="N1487" i="17" s="1"/>
  <c r="H1486" i="17"/>
  <c r="G1486" i="17"/>
  <c r="D1486" i="17"/>
  <c r="C1486" i="17"/>
  <c r="B1486" i="17"/>
  <c r="A1486" i="17"/>
  <c r="M1486" i="17" s="1"/>
  <c r="H1485" i="17"/>
  <c r="G1485" i="17"/>
  <c r="D1485" i="17"/>
  <c r="C1485" i="17"/>
  <c r="B1485" i="17"/>
  <c r="A1485" i="17"/>
  <c r="L1485" i="17" s="1"/>
  <c r="O1485" i="17" s="1"/>
  <c r="P1485" i="17" s="1"/>
  <c r="H1484" i="17"/>
  <c r="G1484" i="17"/>
  <c r="D1484" i="17"/>
  <c r="C1484" i="17"/>
  <c r="B1484" i="17"/>
  <c r="A1484" i="17"/>
  <c r="H1483" i="17"/>
  <c r="G1483" i="17"/>
  <c r="D1483" i="17"/>
  <c r="C1483" i="17"/>
  <c r="B1483" i="17"/>
  <c r="A1483" i="17"/>
  <c r="L1483" i="17" s="1"/>
  <c r="O1483" i="17" s="1"/>
  <c r="P1483" i="17" s="1"/>
  <c r="H1482" i="17"/>
  <c r="G1482" i="17"/>
  <c r="F1482" i="17"/>
  <c r="D1482" i="17"/>
  <c r="C1482" i="17"/>
  <c r="B1482" i="17"/>
  <c r="A1482" i="17"/>
  <c r="H1481" i="17"/>
  <c r="G1481" i="17"/>
  <c r="F1481" i="17"/>
  <c r="D1481" i="17"/>
  <c r="C1481" i="17"/>
  <c r="B1481" i="17"/>
  <c r="A1481" i="17"/>
  <c r="M1481" i="17" s="1"/>
  <c r="H1480" i="17"/>
  <c r="G1480" i="17"/>
  <c r="F1480" i="17"/>
  <c r="D1480" i="17"/>
  <c r="C1480" i="17"/>
  <c r="B1480" i="17"/>
  <c r="A1480" i="17"/>
  <c r="H1479" i="17"/>
  <c r="G1479" i="17"/>
  <c r="F1479" i="17"/>
  <c r="D1479" i="17"/>
  <c r="C1479" i="17"/>
  <c r="B1479" i="17"/>
  <c r="A1479" i="17"/>
  <c r="N1479" i="17" s="1"/>
  <c r="H1478" i="17"/>
  <c r="G1478" i="17"/>
  <c r="F1478" i="17"/>
  <c r="D1478" i="17"/>
  <c r="C1478" i="17"/>
  <c r="B1478" i="17"/>
  <c r="A1478" i="17"/>
  <c r="M1478" i="17" s="1"/>
  <c r="H1477" i="17"/>
  <c r="G1477" i="17"/>
  <c r="D1477" i="17"/>
  <c r="C1477" i="17"/>
  <c r="B1477" i="17"/>
  <c r="A1477" i="17"/>
  <c r="J1477" i="17" s="1"/>
  <c r="H1476" i="17"/>
  <c r="G1476" i="17"/>
  <c r="D1476" i="17"/>
  <c r="C1476" i="17"/>
  <c r="B1476" i="17"/>
  <c r="A1476" i="17"/>
  <c r="M1476" i="17" s="1"/>
  <c r="H1475" i="17"/>
  <c r="G1475" i="17"/>
  <c r="D1475" i="17"/>
  <c r="C1475" i="17"/>
  <c r="B1475" i="17"/>
  <c r="A1475" i="17"/>
  <c r="L1475" i="17" s="1"/>
  <c r="O1475" i="17" s="1"/>
  <c r="P1475" i="17" s="1"/>
  <c r="H1474" i="17"/>
  <c r="G1474" i="17"/>
  <c r="D1474" i="17"/>
  <c r="C1474" i="17"/>
  <c r="B1474" i="17"/>
  <c r="A1474" i="17"/>
  <c r="H1473" i="17"/>
  <c r="G1473" i="17"/>
  <c r="D1473" i="17"/>
  <c r="C1473" i="17"/>
  <c r="B1473" i="17"/>
  <c r="A1473" i="17"/>
  <c r="N1473" i="17" s="1"/>
  <c r="H1472" i="17"/>
  <c r="G1472" i="17"/>
  <c r="D1472" i="17"/>
  <c r="C1472" i="17"/>
  <c r="B1472" i="17"/>
  <c r="A1472" i="17"/>
  <c r="H1471" i="17"/>
  <c r="G1471" i="17"/>
  <c r="D1471" i="17"/>
  <c r="C1471" i="17"/>
  <c r="B1471" i="17"/>
  <c r="A1471" i="17"/>
  <c r="H1470" i="17"/>
  <c r="G1470" i="17"/>
  <c r="D1470" i="17"/>
  <c r="C1470" i="17"/>
  <c r="B1470" i="17"/>
  <c r="A1470" i="17"/>
  <c r="H1469" i="17"/>
  <c r="G1469" i="17"/>
  <c r="F1469" i="17"/>
  <c r="D1469" i="17"/>
  <c r="C1469" i="17"/>
  <c r="B1469" i="17"/>
  <c r="A1469" i="17"/>
  <c r="N1469" i="17" s="1"/>
  <c r="H1468" i="17"/>
  <c r="G1468" i="17"/>
  <c r="F1468" i="17"/>
  <c r="D1468" i="17"/>
  <c r="C1468" i="17"/>
  <c r="B1468" i="17"/>
  <c r="A1468" i="17"/>
  <c r="H1467" i="17"/>
  <c r="G1467" i="17"/>
  <c r="F1467" i="17"/>
  <c r="D1467" i="17"/>
  <c r="C1467" i="17"/>
  <c r="B1467" i="17"/>
  <c r="A1467" i="17"/>
  <c r="M1467" i="17" s="1"/>
  <c r="H1466" i="17"/>
  <c r="G1466" i="17"/>
  <c r="F1466" i="17"/>
  <c r="D1466" i="17"/>
  <c r="C1466" i="17"/>
  <c r="B1466" i="17"/>
  <c r="A1466" i="17"/>
  <c r="N1466" i="17" s="1"/>
  <c r="H1465" i="17"/>
  <c r="G1465" i="17"/>
  <c r="F1465" i="17"/>
  <c r="D1465" i="17"/>
  <c r="C1465" i="17"/>
  <c r="B1465" i="17"/>
  <c r="A1465" i="17"/>
  <c r="N1465" i="17" s="1"/>
  <c r="H1464" i="17"/>
  <c r="G1464" i="17"/>
  <c r="D1464" i="17"/>
  <c r="C1464" i="17"/>
  <c r="B1464" i="17"/>
  <c r="A1464" i="17"/>
  <c r="N1464" i="17" s="1"/>
  <c r="H1463" i="17"/>
  <c r="G1463" i="17"/>
  <c r="D1463" i="17"/>
  <c r="C1463" i="17"/>
  <c r="B1463" i="17"/>
  <c r="A1463" i="17"/>
  <c r="H1462" i="17"/>
  <c r="G1462" i="17"/>
  <c r="D1462" i="17"/>
  <c r="C1462" i="17"/>
  <c r="B1462" i="17"/>
  <c r="A1462" i="17"/>
  <c r="J1462" i="17" s="1"/>
  <c r="H1461" i="17"/>
  <c r="G1461" i="17"/>
  <c r="D1461" i="17"/>
  <c r="C1461" i="17"/>
  <c r="B1461" i="17"/>
  <c r="A1461" i="17"/>
  <c r="M1461" i="17" s="1"/>
  <c r="H1460" i="17"/>
  <c r="G1460" i="17"/>
  <c r="D1460" i="17"/>
  <c r="C1460" i="17"/>
  <c r="B1460" i="17"/>
  <c r="A1460" i="17"/>
  <c r="K1460" i="17" s="1"/>
  <c r="H1459" i="17"/>
  <c r="G1459" i="17"/>
  <c r="D1459" i="17"/>
  <c r="C1459" i="17"/>
  <c r="B1459" i="17"/>
  <c r="A1459" i="17"/>
  <c r="M1459" i="17" s="1"/>
  <c r="H1458" i="17"/>
  <c r="G1458" i="17"/>
  <c r="D1458" i="17"/>
  <c r="C1458" i="17"/>
  <c r="B1458" i="17"/>
  <c r="A1458" i="17"/>
  <c r="H1457" i="17"/>
  <c r="G1457" i="17"/>
  <c r="D1457" i="17"/>
  <c r="C1457" i="17"/>
  <c r="B1457" i="17"/>
  <c r="A1457" i="17"/>
  <c r="H1456" i="17"/>
  <c r="G1456" i="17"/>
  <c r="F1456" i="17"/>
  <c r="D1456" i="17"/>
  <c r="C1456" i="17"/>
  <c r="B1456" i="17"/>
  <c r="A1456" i="17"/>
  <c r="H1455" i="17"/>
  <c r="G1455" i="17"/>
  <c r="F1455" i="17"/>
  <c r="D1455" i="17"/>
  <c r="C1455" i="17"/>
  <c r="B1455" i="17"/>
  <c r="A1455" i="17"/>
  <c r="H1454" i="17"/>
  <c r="G1454" i="17"/>
  <c r="F1454" i="17"/>
  <c r="D1454" i="17"/>
  <c r="C1454" i="17"/>
  <c r="B1454" i="17"/>
  <c r="A1454" i="17"/>
  <c r="K1454" i="17" s="1"/>
  <c r="H1453" i="17"/>
  <c r="G1453" i="17"/>
  <c r="F1453" i="17"/>
  <c r="D1453" i="17"/>
  <c r="C1453" i="17"/>
  <c r="B1453" i="17"/>
  <c r="A1453" i="17"/>
  <c r="M1453" i="17" s="1"/>
  <c r="H1452" i="17"/>
  <c r="G1452" i="17"/>
  <c r="F1452" i="17"/>
  <c r="D1452" i="17"/>
  <c r="C1452" i="17"/>
  <c r="B1452" i="17"/>
  <c r="A1452" i="17"/>
  <c r="H1451" i="17"/>
  <c r="G1451" i="17"/>
  <c r="D1451" i="17"/>
  <c r="C1451" i="17"/>
  <c r="B1451" i="17"/>
  <c r="A1451" i="17"/>
  <c r="H1450" i="17"/>
  <c r="G1450" i="17"/>
  <c r="D1450" i="17"/>
  <c r="C1450" i="17"/>
  <c r="B1450" i="17"/>
  <c r="A1450" i="17"/>
  <c r="N1450" i="17" s="1"/>
  <c r="H1449" i="17"/>
  <c r="G1449" i="17"/>
  <c r="D1449" i="17"/>
  <c r="C1449" i="17"/>
  <c r="B1449" i="17"/>
  <c r="A1449" i="17"/>
  <c r="H1448" i="17"/>
  <c r="G1448" i="17"/>
  <c r="D1448" i="17"/>
  <c r="C1448" i="17"/>
  <c r="B1448" i="17"/>
  <c r="A1448" i="17"/>
  <c r="N1448" i="17" s="1"/>
  <c r="H1447" i="17"/>
  <c r="G1447" i="17"/>
  <c r="D1447" i="17"/>
  <c r="C1447" i="17"/>
  <c r="B1447" i="17"/>
  <c r="A1447" i="17"/>
  <c r="M1447" i="17" s="1"/>
  <c r="H1446" i="17"/>
  <c r="G1446" i="17"/>
  <c r="D1446" i="17"/>
  <c r="C1446" i="17"/>
  <c r="B1446" i="17"/>
  <c r="A1446" i="17"/>
  <c r="H1445" i="17"/>
  <c r="G1445" i="17"/>
  <c r="D1445" i="17"/>
  <c r="C1445" i="17"/>
  <c r="B1445" i="17"/>
  <c r="A1445" i="17"/>
  <c r="N1445" i="17" s="1"/>
  <c r="H1444" i="17"/>
  <c r="G1444" i="17"/>
  <c r="D1444" i="17"/>
  <c r="C1444" i="17"/>
  <c r="B1444" i="17"/>
  <c r="A1444" i="17"/>
  <c r="J1444" i="17" s="1"/>
  <c r="H1443" i="17"/>
  <c r="G1443" i="17"/>
  <c r="D1443" i="17"/>
  <c r="C1443" i="17"/>
  <c r="B1443" i="17"/>
  <c r="A1443" i="17"/>
  <c r="H1442" i="17"/>
  <c r="G1442" i="17"/>
  <c r="F1442" i="17"/>
  <c r="D1442" i="17"/>
  <c r="C1442" i="17"/>
  <c r="B1442" i="17"/>
  <c r="A1442" i="17"/>
  <c r="J1442" i="17" s="1"/>
  <c r="H1441" i="17"/>
  <c r="G1441" i="17"/>
  <c r="F1441" i="17"/>
  <c r="D1441" i="17"/>
  <c r="C1441" i="17"/>
  <c r="B1441" i="17"/>
  <c r="A1441" i="17"/>
  <c r="H1440" i="17"/>
  <c r="G1440" i="17"/>
  <c r="F1440" i="17"/>
  <c r="D1440" i="17"/>
  <c r="C1440" i="17"/>
  <c r="B1440" i="17"/>
  <c r="A1440" i="17"/>
  <c r="H1439" i="17"/>
  <c r="G1439" i="17"/>
  <c r="F1439" i="17"/>
  <c r="D1439" i="17"/>
  <c r="C1439" i="17"/>
  <c r="B1439" i="17"/>
  <c r="A1439" i="17"/>
  <c r="M1439" i="17" s="1"/>
  <c r="H1438" i="17"/>
  <c r="G1438" i="17"/>
  <c r="F1438" i="17"/>
  <c r="D1438" i="17"/>
  <c r="C1438" i="17"/>
  <c r="B1438" i="17"/>
  <c r="A1438" i="17"/>
  <c r="N1438" i="17" s="1"/>
  <c r="H1437" i="17"/>
  <c r="G1437" i="17"/>
  <c r="D1437" i="17"/>
  <c r="C1437" i="17"/>
  <c r="B1437" i="17"/>
  <c r="A1437" i="17"/>
  <c r="H1436" i="17"/>
  <c r="G1436" i="17"/>
  <c r="D1436" i="17"/>
  <c r="C1436" i="17"/>
  <c r="B1436" i="17"/>
  <c r="A1436" i="17"/>
  <c r="H1435" i="17"/>
  <c r="G1435" i="17"/>
  <c r="D1435" i="17"/>
  <c r="C1435" i="17"/>
  <c r="B1435" i="17"/>
  <c r="A1435" i="17"/>
  <c r="M1435" i="17" s="1"/>
  <c r="H1434" i="17"/>
  <c r="G1434" i="17"/>
  <c r="D1434" i="17"/>
  <c r="C1434" i="17"/>
  <c r="B1434" i="17"/>
  <c r="A1434" i="17"/>
  <c r="H1433" i="17"/>
  <c r="G1433" i="17"/>
  <c r="D1433" i="17"/>
  <c r="C1433" i="17"/>
  <c r="B1433" i="17"/>
  <c r="A1433" i="17"/>
  <c r="K1433" i="17" s="1"/>
  <c r="H1432" i="17"/>
  <c r="G1432" i="17"/>
  <c r="D1432" i="17"/>
  <c r="C1432" i="17"/>
  <c r="B1432" i="17"/>
  <c r="A1432" i="17"/>
  <c r="H1431" i="17"/>
  <c r="G1431" i="17"/>
  <c r="D1431" i="17"/>
  <c r="C1431" i="17"/>
  <c r="B1431" i="17"/>
  <c r="A1431" i="17"/>
  <c r="N1431" i="17" s="1"/>
  <c r="H1430" i="17"/>
  <c r="G1430" i="17"/>
  <c r="D1430" i="17"/>
  <c r="C1430" i="17"/>
  <c r="B1430" i="17"/>
  <c r="A1430" i="17"/>
  <c r="K1430" i="17" s="1"/>
  <c r="H1429" i="17"/>
  <c r="G1429" i="17"/>
  <c r="D1429" i="17"/>
  <c r="C1429" i="17"/>
  <c r="B1429" i="17"/>
  <c r="A1429" i="17"/>
  <c r="N1429" i="17" s="1"/>
  <c r="H1428" i="17"/>
  <c r="G1428" i="17"/>
  <c r="F1428" i="17"/>
  <c r="D1428" i="17"/>
  <c r="C1428" i="17"/>
  <c r="B1428" i="17"/>
  <c r="A1428" i="17"/>
  <c r="N1428" i="17" s="1"/>
  <c r="H1427" i="17"/>
  <c r="G1427" i="17"/>
  <c r="F1427" i="17"/>
  <c r="D1427" i="17"/>
  <c r="C1427" i="17"/>
  <c r="B1427" i="17"/>
  <c r="A1427" i="17"/>
  <c r="H1426" i="17"/>
  <c r="G1426" i="17"/>
  <c r="F1426" i="17"/>
  <c r="D1426" i="17"/>
  <c r="C1426" i="17"/>
  <c r="B1426" i="17"/>
  <c r="A1426" i="17"/>
  <c r="M1426" i="17" s="1"/>
  <c r="H1425" i="17"/>
  <c r="G1425" i="17"/>
  <c r="F1425" i="17"/>
  <c r="D1425" i="17"/>
  <c r="C1425" i="17"/>
  <c r="B1425" i="17"/>
  <c r="A1425" i="17"/>
  <c r="H1424" i="17"/>
  <c r="G1424" i="17"/>
  <c r="F1424" i="17"/>
  <c r="D1424" i="17"/>
  <c r="C1424" i="17"/>
  <c r="B1424" i="17"/>
  <c r="A1424" i="17"/>
  <c r="N1424" i="17" s="1"/>
  <c r="H1423" i="17"/>
  <c r="G1423" i="17"/>
  <c r="F1423" i="17"/>
  <c r="D1423" i="17"/>
  <c r="C1423" i="17"/>
  <c r="B1423" i="17"/>
  <c r="A1423" i="17"/>
  <c r="M1423" i="17" s="1"/>
  <c r="H1422" i="17"/>
  <c r="G1422" i="17"/>
  <c r="D1422" i="17"/>
  <c r="C1422" i="17"/>
  <c r="B1422" i="17"/>
  <c r="A1422" i="17"/>
  <c r="J1422" i="17" s="1"/>
  <c r="H1421" i="17"/>
  <c r="G1421" i="17"/>
  <c r="D1421" i="17"/>
  <c r="C1421" i="17"/>
  <c r="B1421" i="17"/>
  <c r="A1421" i="17"/>
  <c r="H1420" i="17"/>
  <c r="G1420" i="17"/>
  <c r="F1420" i="17"/>
  <c r="D1420" i="17"/>
  <c r="C1420" i="17"/>
  <c r="B1420" i="17"/>
  <c r="A1420" i="17"/>
  <c r="K1420" i="17" s="1"/>
  <c r="H1419" i="17"/>
  <c r="G1419" i="17"/>
  <c r="F1419" i="17"/>
  <c r="D1419" i="17"/>
  <c r="C1419" i="17"/>
  <c r="B1419" i="17"/>
  <c r="A1419" i="17"/>
  <c r="M1419" i="17" s="1"/>
  <c r="H1418" i="17"/>
  <c r="G1418" i="17"/>
  <c r="F1418" i="17"/>
  <c r="D1418" i="17"/>
  <c r="C1418" i="17"/>
  <c r="B1418" i="17"/>
  <c r="A1418" i="17"/>
  <c r="H1417" i="17"/>
  <c r="G1417" i="17"/>
  <c r="F1417" i="17"/>
  <c r="D1417" i="17"/>
  <c r="C1417" i="17"/>
  <c r="B1417" i="17"/>
  <c r="A1417" i="17"/>
  <c r="K1417" i="17" s="1"/>
  <c r="H1416" i="17"/>
  <c r="G1416" i="17"/>
  <c r="D1416" i="17"/>
  <c r="C1416" i="17"/>
  <c r="B1416" i="17"/>
  <c r="A1416" i="17"/>
  <c r="K1416" i="17" s="1"/>
  <c r="H1415" i="17"/>
  <c r="G1415" i="17"/>
  <c r="D1415" i="17"/>
  <c r="C1415" i="17"/>
  <c r="B1415" i="17"/>
  <c r="A1415" i="17"/>
  <c r="J1415" i="17" s="1"/>
  <c r="H1414" i="17"/>
  <c r="G1414" i="17"/>
  <c r="F1414" i="17"/>
  <c r="D1414" i="17"/>
  <c r="C1414" i="17"/>
  <c r="B1414" i="17"/>
  <c r="A1414" i="17"/>
  <c r="K1414" i="17" s="1"/>
  <c r="H1413" i="17"/>
  <c r="G1413" i="17"/>
  <c r="F1413" i="17"/>
  <c r="D1413" i="17"/>
  <c r="C1413" i="17"/>
  <c r="B1413" i="17"/>
  <c r="A1413" i="17"/>
  <c r="H1412" i="17"/>
  <c r="G1412" i="17"/>
  <c r="F1412" i="17"/>
  <c r="D1412" i="17"/>
  <c r="C1412" i="17"/>
  <c r="B1412" i="17"/>
  <c r="A1412" i="17"/>
  <c r="M1412" i="17" s="1"/>
  <c r="H1411" i="17"/>
  <c r="G1411" i="17"/>
  <c r="F1411" i="17"/>
  <c r="D1411" i="17"/>
  <c r="C1411" i="17"/>
  <c r="B1411" i="17"/>
  <c r="A1411" i="17"/>
  <c r="J1411" i="17" s="1"/>
  <c r="H1410" i="17"/>
  <c r="G1410" i="17"/>
  <c r="D1410" i="17"/>
  <c r="C1410" i="17"/>
  <c r="B1410" i="17"/>
  <c r="A1410" i="17"/>
  <c r="H1409" i="17"/>
  <c r="G1409" i="17"/>
  <c r="D1409" i="17"/>
  <c r="C1409" i="17"/>
  <c r="B1409" i="17"/>
  <c r="A1409" i="17"/>
  <c r="N1409" i="17" s="1"/>
  <c r="H1408" i="17"/>
  <c r="G1408" i="17"/>
  <c r="F1408" i="17"/>
  <c r="D1408" i="17"/>
  <c r="C1408" i="17"/>
  <c r="B1408" i="17"/>
  <c r="A1408" i="17"/>
  <c r="N1408" i="17" s="1"/>
  <c r="H1407" i="17"/>
  <c r="G1407" i="17"/>
  <c r="F1407" i="17"/>
  <c r="D1407" i="17"/>
  <c r="C1407" i="17"/>
  <c r="B1407" i="17"/>
  <c r="A1407" i="17"/>
  <c r="H1406" i="17"/>
  <c r="G1406" i="17"/>
  <c r="F1406" i="17"/>
  <c r="D1406" i="17"/>
  <c r="C1406" i="17"/>
  <c r="B1406" i="17"/>
  <c r="A1406" i="17"/>
  <c r="H1405" i="17"/>
  <c r="G1405" i="17"/>
  <c r="F1405" i="17"/>
  <c r="D1405" i="17"/>
  <c r="C1405" i="17"/>
  <c r="B1405" i="17"/>
  <c r="A1405" i="17"/>
  <c r="H1404" i="17"/>
  <c r="G1404" i="17"/>
  <c r="D1404" i="17"/>
  <c r="C1404" i="17"/>
  <c r="B1404" i="17"/>
  <c r="A1404" i="17"/>
  <c r="K1404" i="17" s="1"/>
  <c r="H1403" i="17"/>
  <c r="G1403" i="17"/>
  <c r="D1403" i="17"/>
  <c r="C1403" i="17"/>
  <c r="B1403" i="17"/>
  <c r="A1403" i="17"/>
  <c r="L1403" i="17" s="1"/>
  <c r="O1403" i="17" s="1"/>
  <c r="H1402" i="17"/>
  <c r="G1402" i="17"/>
  <c r="F1402" i="17"/>
  <c r="D1402" i="17"/>
  <c r="C1402" i="17"/>
  <c r="B1402" i="17"/>
  <c r="A1402" i="17"/>
  <c r="N1402" i="17" s="1"/>
  <c r="H1401" i="17"/>
  <c r="G1401" i="17"/>
  <c r="F1401" i="17"/>
  <c r="D1401" i="17"/>
  <c r="C1401" i="17"/>
  <c r="B1401" i="17"/>
  <c r="A1401" i="17"/>
  <c r="N1401" i="17" s="1"/>
  <c r="H1400" i="17"/>
  <c r="G1400" i="17"/>
  <c r="F1400" i="17"/>
  <c r="D1400" i="17"/>
  <c r="C1400" i="17"/>
  <c r="B1400" i="17"/>
  <c r="A1400" i="17"/>
  <c r="H1399" i="17"/>
  <c r="G1399" i="17"/>
  <c r="D1399" i="17"/>
  <c r="C1399" i="17"/>
  <c r="B1399" i="17"/>
  <c r="A1399" i="17"/>
  <c r="J1399" i="17" s="1"/>
  <c r="H1398" i="17"/>
  <c r="G1398" i="17"/>
  <c r="D1398" i="17"/>
  <c r="C1398" i="17"/>
  <c r="B1398" i="17"/>
  <c r="A1398" i="17"/>
  <c r="N1398" i="17" s="1"/>
  <c r="H1397" i="17"/>
  <c r="G1397" i="17"/>
  <c r="D1397" i="17"/>
  <c r="C1397" i="17"/>
  <c r="B1397" i="17"/>
  <c r="A1397" i="17"/>
  <c r="H1396" i="17"/>
  <c r="G1396" i="17"/>
  <c r="D1396" i="17"/>
  <c r="C1396" i="17"/>
  <c r="B1396" i="17"/>
  <c r="A1396" i="17"/>
  <c r="L1396" i="17" s="1"/>
  <c r="O1396" i="17" s="1"/>
  <c r="H1395" i="17"/>
  <c r="G1395" i="17"/>
  <c r="D1395" i="17"/>
  <c r="C1395" i="17"/>
  <c r="B1395" i="17"/>
  <c r="A1395" i="17"/>
  <c r="M1395" i="17" s="1"/>
  <c r="H1394" i="17"/>
  <c r="G1394" i="17"/>
  <c r="D1394" i="17"/>
  <c r="C1394" i="17"/>
  <c r="B1394" i="17"/>
  <c r="A1394" i="17"/>
  <c r="N1394" i="17" s="1"/>
  <c r="H1393" i="17"/>
  <c r="G1393" i="17"/>
  <c r="D1393" i="17"/>
  <c r="C1393" i="17"/>
  <c r="B1393" i="17"/>
  <c r="A1393" i="17"/>
  <c r="L1393" i="17" s="1"/>
  <c r="O1393" i="17" s="1"/>
  <c r="H1392" i="17"/>
  <c r="G1392" i="17"/>
  <c r="D1392" i="17"/>
  <c r="C1392" i="17"/>
  <c r="B1392" i="17"/>
  <c r="A1392" i="17"/>
  <c r="H1391" i="17"/>
  <c r="G1391" i="17"/>
  <c r="F1391" i="17"/>
  <c r="D1391" i="17"/>
  <c r="C1391" i="17"/>
  <c r="B1391" i="17"/>
  <c r="A1391" i="17"/>
  <c r="N1391" i="17" s="1"/>
  <c r="H1390" i="17"/>
  <c r="G1390" i="17"/>
  <c r="F1390" i="17"/>
  <c r="D1390" i="17"/>
  <c r="C1390" i="17"/>
  <c r="B1390" i="17"/>
  <c r="A1390" i="17"/>
  <c r="H1389" i="17"/>
  <c r="G1389" i="17"/>
  <c r="F1389" i="17"/>
  <c r="D1389" i="17"/>
  <c r="C1389" i="17"/>
  <c r="B1389" i="17"/>
  <c r="A1389" i="17"/>
  <c r="L1389" i="17" s="1"/>
  <c r="O1389" i="17" s="1"/>
  <c r="H1388" i="17"/>
  <c r="G1388" i="17"/>
  <c r="D1388" i="17"/>
  <c r="C1388" i="17"/>
  <c r="B1388" i="17"/>
  <c r="A1388" i="17"/>
  <c r="L1388" i="17" s="1"/>
  <c r="O1388" i="17" s="1"/>
  <c r="H1387" i="17"/>
  <c r="G1387" i="17"/>
  <c r="D1387" i="17"/>
  <c r="C1387" i="17"/>
  <c r="B1387" i="17"/>
  <c r="A1387" i="17"/>
  <c r="L1387" i="17" s="1"/>
  <c r="O1387" i="17" s="1"/>
  <c r="H1386" i="17"/>
  <c r="G1386" i="17"/>
  <c r="D1386" i="17"/>
  <c r="C1386" i="17"/>
  <c r="B1386" i="17"/>
  <c r="A1386" i="17"/>
  <c r="M1386" i="17" s="1"/>
  <c r="H1385" i="17"/>
  <c r="G1385" i="17"/>
  <c r="D1385" i="17"/>
  <c r="C1385" i="17"/>
  <c r="B1385" i="17"/>
  <c r="A1385" i="17"/>
  <c r="H1384" i="17"/>
  <c r="G1384" i="17"/>
  <c r="D1384" i="17"/>
  <c r="C1384" i="17"/>
  <c r="B1384" i="17"/>
  <c r="A1384" i="17"/>
  <c r="H1383" i="17"/>
  <c r="G1383" i="17"/>
  <c r="D1383" i="17"/>
  <c r="C1383" i="17"/>
  <c r="B1383" i="17"/>
  <c r="A1383" i="17"/>
  <c r="J1383" i="17" s="1"/>
  <c r="H1382" i="17"/>
  <c r="G1382" i="17"/>
  <c r="D1382" i="17"/>
  <c r="C1382" i="17"/>
  <c r="B1382" i="17"/>
  <c r="A1382" i="17"/>
  <c r="H1381" i="17"/>
  <c r="G1381" i="17"/>
  <c r="D1381" i="17"/>
  <c r="C1381" i="17"/>
  <c r="B1381" i="17"/>
  <c r="A1381" i="17"/>
  <c r="J1381" i="17" s="1"/>
  <c r="H1380" i="17"/>
  <c r="G1380" i="17"/>
  <c r="F1380" i="17"/>
  <c r="D1380" i="17"/>
  <c r="C1380" i="17"/>
  <c r="B1380" i="17"/>
  <c r="A1380" i="17"/>
  <c r="H1379" i="17"/>
  <c r="G1379" i="17"/>
  <c r="F1379" i="17"/>
  <c r="D1379" i="17"/>
  <c r="C1379" i="17"/>
  <c r="B1379" i="17"/>
  <c r="A1379" i="17"/>
  <c r="H1378" i="17"/>
  <c r="G1378" i="17"/>
  <c r="D1378" i="17"/>
  <c r="C1378" i="17"/>
  <c r="B1378" i="17"/>
  <c r="A1378" i="17"/>
  <c r="K1378" i="17" s="1"/>
  <c r="H1377" i="17"/>
  <c r="G1377" i="17"/>
  <c r="D1377" i="17"/>
  <c r="C1377" i="17"/>
  <c r="B1377" i="17"/>
  <c r="A1377" i="17"/>
  <c r="M1377" i="17" s="1"/>
  <c r="H1376" i="17"/>
  <c r="G1376" i="17"/>
  <c r="F1376" i="17"/>
  <c r="D1376" i="17"/>
  <c r="C1376" i="17"/>
  <c r="B1376" i="17"/>
  <c r="A1376" i="17"/>
  <c r="H1375" i="17"/>
  <c r="G1375" i="17"/>
  <c r="F1375" i="17"/>
  <c r="D1375" i="17"/>
  <c r="C1375" i="17"/>
  <c r="B1375" i="17"/>
  <c r="A1375" i="17"/>
  <c r="H1374" i="17"/>
  <c r="G1374" i="17"/>
  <c r="D1374" i="17"/>
  <c r="C1374" i="17"/>
  <c r="B1374" i="17"/>
  <c r="A1374" i="17"/>
  <c r="K1374" i="17" s="1"/>
  <c r="H1373" i="17"/>
  <c r="G1373" i="17"/>
  <c r="F1373" i="17"/>
  <c r="D1373" i="17"/>
  <c r="C1373" i="17"/>
  <c r="B1373" i="17"/>
  <c r="A1373" i="17"/>
  <c r="K1373" i="17" s="1"/>
  <c r="H1372" i="17"/>
  <c r="G1372" i="17"/>
  <c r="F1372" i="17"/>
  <c r="D1372" i="17"/>
  <c r="C1372" i="17"/>
  <c r="B1372" i="17"/>
  <c r="A1372" i="17"/>
  <c r="N1372" i="17" s="1"/>
  <c r="H1371" i="17"/>
  <c r="G1371" i="17"/>
  <c r="D1371" i="17"/>
  <c r="C1371" i="17"/>
  <c r="B1371" i="17"/>
  <c r="A1371" i="17"/>
  <c r="K1371" i="17" s="1"/>
  <c r="H1370" i="17"/>
  <c r="G1370" i="17"/>
  <c r="F1370" i="17"/>
  <c r="D1370" i="17"/>
  <c r="C1370" i="17"/>
  <c r="B1370" i="17"/>
  <c r="A1370" i="17"/>
  <c r="J1370" i="17" s="1"/>
  <c r="H1369" i="17"/>
  <c r="G1369" i="17"/>
  <c r="F1369" i="17"/>
  <c r="D1369" i="17"/>
  <c r="C1369" i="17"/>
  <c r="B1369" i="17"/>
  <c r="A1369" i="17"/>
  <c r="H1368" i="17"/>
  <c r="G1368" i="17"/>
  <c r="F1368" i="17"/>
  <c r="D1368" i="17"/>
  <c r="C1368" i="17"/>
  <c r="B1368" i="17"/>
  <c r="A1368" i="17"/>
  <c r="H1367" i="17"/>
  <c r="G1367" i="17"/>
  <c r="D1367" i="17"/>
  <c r="C1367" i="17"/>
  <c r="B1367" i="17"/>
  <c r="A1367" i="17"/>
  <c r="H1366" i="17"/>
  <c r="G1366" i="17"/>
  <c r="F1366" i="17"/>
  <c r="D1366" i="17"/>
  <c r="C1366" i="17"/>
  <c r="B1366" i="17"/>
  <c r="A1366" i="17"/>
  <c r="L1366" i="17" s="1"/>
  <c r="O1366" i="17" s="1"/>
  <c r="H1365" i="17"/>
  <c r="G1365" i="17"/>
  <c r="F1365" i="17"/>
  <c r="D1365" i="17"/>
  <c r="C1365" i="17"/>
  <c r="B1365" i="17"/>
  <c r="A1365" i="17"/>
  <c r="M1365" i="17" s="1"/>
  <c r="H1364" i="17"/>
  <c r="G1364" i="17"/>
  <c r="F1364" i="17"/>
  <c r="D1364" i="17"/>
  <c r="C1364" i="17"/>
  <c r="B1364" i="17"/>
  <c r="A1364" i="17"/>
  <c r="H1363" i="17"/>
  <c r="G1363" i="17"/>
  <c r="D1363" i="17"/>
  <c r="C1363" i="17"/>
  <c r="B1363" i="17"/>
  <c r="A1363" i="17"/>
  <c r="N1363" i="17" s="1"/>
  <c r="H1362" i="17"/>
  <c r="G1362" i="17"/>
  <c r="D1362" i="17"/>
  <c r="C1362" i="17"/>
  <c r="B1362" i="17"/>
  <c r="A1362" i="17"/>
  <c r="L1362" i="17" s="1"/>
  <c r="O1362" i="17" s="1"/>
  <c r="H1361" i="17"/>
  <c r="G1361" i="17"/>
  <c r="D1361" i="17"/>
  <c r="C1361" i="17"/>
  <c r="B1361" i="17"/>
  <c r="A1361" i="17"/>
  <c r="M1361" i="17" s="1"/>
  <c r="H1360" i="17"/>
  <c r="G1360" i="17"/>
  <c r="D1360" i="17"/>
  <c r="C1360" i="17"/>
  <c r="B1360" i="17"/>
  <c r="A1360" i="17"/>
  <c r="H1359" i="17"/>
  <c r="G1359" i="17"/>
  <c r="D1359" i="17"/>
  <c r="C1359" i="17"/>
  <c r="B1359" i="17"/>
  <c r="A1359" i="17"/>
  <c r="L1359" i="17" s="1"/>
  <c r="O1359" i="17" s="1"/>
  <c r="H1358" i="17"/>
  <c r="G1358" i="17"/>
  <c r="D1358" i="17"/>
  <c r="C1358" i="17"/>
  <c r="B1358" i="17"/>
  <c r="A1358" i="17"/>
  <c r="N1358" i="17" s="1"/>
  <c r="H1357" i="17"/>
  <c r="G1357" i="17"/>
  <c r="D1357" i="17"/>
  <c r="C1357" i="17"/>
  <c r="B1357" i="17"/>
  <c r="A1357" i="17"/>
  <c r="N1357" i="17" s="1"/>
  <c r="H1356" i="17"/>
  <c r="G1356" i="17"/>
  <c r="D1356" i="17"/>
  <c r="C1356" i="17"/>
  <c r="B1356" i="17"/>
  <c r="A1356" i="17"/>
  <c r="H1355" i="17"/>
  <c r="G1355" i="17"/>
  <c r="D1355" i="17"/>
  <c r="C1355" i="17"/>
  <c r="B1355" i="17"/>
  <c r="A1355" i="17"/>
  <c r="H1354" i="17"/>
  <c r="G1354" i="17"/>
  <c r="D1354" i="17"/>
  <c r="C1354" i="17"/>
  <c r="B1354" i="17"/>
  <c r="A1354" i="17"/>
  <c r="K1354" i="17" s="1"/>
  <c r="H1353" i="17"/>
  <c r="G1353" i="17"/>
  <c r="F1353" i="17"/>
  <c r="D1353" i="17"/>
  <c r="C1353" i="17"/>
  <c r="B1353" i="17"/>
  <c r="A1353" i="17"/>
  <c r="K1353" i="17" s="1"/>
  <c r="H1352" i="17"/>
  <c r="G1352" i="17"/>
  <c r="F1352" i="17"/>
  <c r="D1352" i="17"/>
  <c r="C1352" i="17"/>
  <c r="B1352" i="17"/>
  <c r="A1352" i="17"/>
  <c r="H1351" i="17"/>
  <c r="G1351" i="17"/>
  <c r="F1351" i="17"/>
  <c r="D1351" i="17"/>
  <c r="C1351" i="17"/>
  <c r="B1351" i="17"/>
  <c r="A1351" i="17"/>
  <c r="M1351" i="17" s="1"/>
  <c r="H1350" i="17"/>
  <c r="G1350" i="17"/>
  <c r="F1350" i="17"/>
  <c r="D1350" i="17"/>
  <c r="C1350" i="17"/>
  <c r="B1350" i="17"/>
  <c r="A1350" i="17"/>
  <c r="M1350" i="17" s="1"/>
  <c r="H1349" i="17"/>
  <c r="G1349" i="17"/>
  <c r="D1349" i="17"/>
  <c r="C1349" i="17"/>
  <c r="B1349" i="17"/>
  <c r="A1349" i="17"/>
  <c r="H1348" i="17"/>
  <c r="G1348" i="17"/>
  <c r="D1348" i="17"/>
  <c r="C1348" i="17"/>
  <c r="B1348" i="17"/>
  <c r="A1348" i="17"/>
  <c r="H1347" i="17"/>
  <c r="G1347" i="17"/>
  <c r="D1347" i="17"/>
  <c r="C1347" i="17"/>
  <c r="B1347" i="17"/>
  <c r="A1347" i="17"/>
  <c r="M1347" i="17" s="1"/>
  <c r="H1346" i="17"/>
  <c r="G1346" i="17"/>
  <c r="D1346" i="17"/>
  <c r="C1346" i="17"/>
  <c r="B1346" i="17"/>
  <c r="A1346" i="17"/>
  <c r="H1345" i="17"/>
  <c r="G1345" i="17"/>
  <c r="D1345" i="17"/>
  <c r="C1345" i="17"/>
  <c r="B1345" i="17"/>
  <c r="A1345" i="17"/>
  <c r="L1345" i="17" s="1"/>
  <c r="O1345" i="17" s="1"/>
  <c r="P1345" i="17" s="1"/>
  <c r="H1344" i="17"/>
  <c r="G1344" i="17"/>
  <c r="D1344" i="17"/>
  <c r="C1344" i="17"/>
  <c r="B1344" i="17"/>
  <c r="A1344" i="17"/>
  <c r="H1343" i="17"/>
  <c r="G1343" i="17"/>
  <c r="D1343" i="17"/>
  <c r="C1343" i="17"/>
  <c r="B1343" i="17"/>
  <c r="A1343" i="17"/>
  <c r="H1342" i="17"/>
  <c r="G1342" i="17"/>
  <c r="D1342" i="17"/>
  <c r="C1342" i="17"/>
  <c r="B1342" i="17"/>
  <c r="A1342" i="17"/>
  <c r="N1342" i="17" s="1"/>
  <c r="H1341" i="17"/>
  <c r="G1341" i="17"/>
  <c r="D1341" i="17"/>
  <c r="C1341" i="17"/>
  <c r="B1341" i="17"/>
  <c r="A1341" i="17"/>
  <c r="N1341" i="17" s="1"/>
  <c r="H1340" i="17"/>
  <c r="G1340" i="17"/>
  <c r="D1340" i="17"/>
  <c r="C1340" i="17"/>
  <c r="B1340" i="17"/>
  <c r="A1340" i="17"/>
  <c r="L1340" i="17" s="1"/>
  <c r="O1340" i="17" s="1"/>
  <c r="P1340" i="17" s="1"/>
  <c r="H1339" i="17"/>
  <c r="G1339" i="17"/>
  <c r="F1339" i="17"/>
  <c r="D1339" i="17"/>
  <c r="C1339" i="17"/>
  <c r="B1339" i="17"/>
  <c r="A1339" i="17"/>
  <c r="H1338" i="17"/>
  <c r="G1338" i="17"/>
  <c r="F1338" i="17"/>
  <c r="D1338" i="17"/>
  <c r="C1338" i="17"/>
  <c r="B1338" i="17"/>
  <c r="A1338" i="17"/>
  <c r="H1337" i="17"/>
  <c r="G1337" i="17"/>
  <c r="F1337" i="17"/>
  <c r="D1337" i="17"/>
  <c r="C1337" i="17"/>
  <c r="B1337" i="17"/>
  <c r="A1337" i="17"/>
  <c r="H1336" i="17"/>
  <c r="G1336" i="17"/>
  <c r="D1336" i="17"/>
  <c r="C1336" i="17"/>
  <c r="B1336" i="17"/>
  <c r="A1336" i="17"/>
  <c r="N1336" i="17" s="1"/>
  <c r="H1335" i="17"/>
  <c r="G1335" i="17"/>
  <c r="D1335" i="17"/>
  <c r="C1335" i="17"/>
  <c r="B1335" i="17"/>
  <c r="A1335" i="17"/>
  <c r="H1334" i="17"/>
  <c r="G1334" i="17"/>
  <c r="D1334" i="17"/>
  <c r="C1334" i="17"/>
  <c r="B1334" i="17"/>
  <c r="A1334" i="17"/>
  <c r="H1333" i="17"/>
  <c r="G1333" i="17"/>
  <c r="D1333" i="17"/>
  <c r="C1333" i="17"/>
  <c r="B1333" i="17"/>
  <c r="A1333" i="17"/>
  <c r="H1332" i="17"/>
  <c r="G1332" i="17"/>
  <c r="D1332" i="17"/>
  <c r="C1332" i="17"/>
  <c r="B1332" i="17"/>
  <c r="A1332" i="17"/>
  <c r="M1332" i="17" s="1"/>
  <c r="H1331" i="17"/>
  <c r="G1331" i="17"/>
  <c r="D1331" i="17"/>
  <c r="C1331" i="17"/>
  <c r="B1331" i="17"/>
  <c r="A1331" i="17"/>
  <c r="M1331" i="17" s="1"/>
  <c r="H1330" i="17"/>
  <c r="G1330" i="17"/>
  <c r="D1330" i="17"/>
  <c r="C1330" i="17"/>
  <c r="B1330" i="17"/>
  <c r="A1330" i="17"/>
  <c r="J1330" i="17" s="1"/>
  <c r="H1329" i="17"/>
  <c r="G1329" i="17"/>
  <c r="D1329" i="17"/>
  <c r="C1329" i="17"/>
  <c r="B1329" i="17"/>
  <c r="A1329" i="17"/>
  <c r="J1329" i="17" s="1"/>
  <c r="H1328" i="17"/>
  <c r="G1328" i="17"/>
  <c r="F1328" i="17"/>
  <c r="D1328" i="17"/>
  <c r="C1328" i="17"/>
  <c r="B1328" i="17"/>
  <c r="A1328" i="17"/>
  <c r="K1328" i="17" s="1"/>
  <c r="H1327" i="17"/>
  <c r="G1327" i="17"/>
  <c r="F1327" i="17"/>
  <c r="D1327" i="17"/>
  <c r="C1327" i="17"/>
  <c r="B1327" i="17"/>
  <c r="A1327" i="17"/>
  <c r="H1326" i="17"/>
  <c r="G1326" i="17"/>
  <c r="F1326" i="17"/>
  <c r="D1326" i="17"/>
  <c r="C1326" i="17"/>
  <c r="B1326" i="17"/>
  <c r="A1326" i="17"/>
  <c r="L1326" i="17" s="1"/>
  <c r="O1326" i="17" s="1"/>
  <c r="H1325" i="17"/>
  <c r="G1325" i="17"/>
  <c r="F1325" i="17"/>
  <c r="D1325" i="17"/>
  <c r="C1325" i="17"/>
  <c r="B1325" i="17"/>
  <c r="A1325" i="17"/>
  <c r="J1325" i="17" s="1"/>
  <c r="H1324" i="17"/>
  <c r="G1324" i="17"/>
  <c r="D1324" i="17"/>
  <c r="C1324" i="17"/>
  <c r="B1324" i="17"/>
  <c r="A1324" i="17"/>
  <c r="N1324" i="17" s="1"/>
  <c r="H1323" i="17"/>
  <c r="G1323" i="17"/>
  <c r="D1323" i="17"/>
  <c r="C1323" i="17"/>
  <c r="B1323" i="17"/>
  <c r="A1323" i="17"/>
  <c r="J1323" i="17" s="1"/>
  <c r="H1322" i="17"/>
  <c r="G1322" i="17"/>
  <c r="D1322" i="17"/>
  <c r="C1322" i="17"/>
  <c r="B1322" i="17"/>
  <c r="A1322" i="17"/>
  <c r="J1322" i="17" s="1"/>
  <c r="H1321" i="17"/>
  <c r="G1321" i="17"/>
  <c r="D1321" i="17"/>
  <c r="C1321" i="17"/>
  <c r="B1321" i="17"/>
  <c r="A1321" i="17"/>
  <c r="H1320" i="17"/>
  <c r="G1320" i="17"/>
  <c r="D1320" i="17"/>
  <c r="C1320" i="17"/>
  <c r="B1320" i="17"/>
  <c r="A1320" i="17"/>
  <c r="H1319" i="17"/>
  <c r="G1319" i="17"/>
  <c r="D1319" i="17"/>
  <c r="C1319" i="17"/>
  <c r="B1319" i="17"/>
  <c r="A1319" i="17"/>
  <c r="H1318" i="17"/>
  <c r="G1318" i="17"/>
  <c r="D1318" i="17"/>
  <c r="C1318" i="17"/>
  <c r="B1318" i="17"/>
  <c r="A1318" i="17"/>
  <c r="N1318" i="17" s="1"/>
  <c r="H1317" i="17"/>
  <c r="G1317" i="17"/>
  <c r="D1317" i="17"/>
  <c r="C1317" i="17"/>
  <c r="B1317" i="17"/>
  <c r="A1317" i="17"/>
  <c r="H1316" i="17"/>
  <c r="G1316" i="17"/>
  <c r="D1316" i="17"/>
  <c r="C1316" i="17"/>
  <c r="B1316" i="17"/>
  <c r="A1316" i="17"/>
  <c r="L1316" i="17" s="1"/>
  <c r="O1316" i="17" s="1"/>
  <c r="H1315" i="17"/>
  <c r="G1315" i="17"/>
  <c r="D1315" i="17"/>
  <c r="C1315" i="17"/>
  <c r="B1315" i="17"/>
  <c r="A1315" i="17"/>
  <c r="J1315" i="17" s="1"/>
  <c r="H1314" i="17"/>
  <c r="G1314" i="17"/>
  <c r="F1314" i="17"/>
  <c r="D1314" i="17"/>
  <c r="C1314" i="17"/>
  <c r="B1314" i="17"/>
  <c r="A1314" i="17"/>
  <c r="L1314" i="17" s="1"/>
  <c r="O1314" i="17" s="1"/>
  <c r="H1313" i="17"/>
  <c r="G1313" i="17"/>
  <c r="F1313" i="17"/>
  <c r="D1313" i="17"/>
  <c r="C1313" i="17"/>
  <c r="B1313" i="17"/>
  <c r="A1313" i="17"/>
  <c r="H1312" i="17"/>
  <c r="G1312" i="17"/>
  <c r="F1312" i="17"/>
  <c r="D1312" i="17"/>
  <c r="C1312" i="17"/>
  <c r="B1312" i="17"/>
  <c r="A1312" i="17"/>
  <c r="H1311" i="17"/>
  <c r="G1311" i="17"/>
  <c r="D1311" i="17"/>
  <c r="C1311" i="17"/>
  <c r="B1311" i="17"/>
  <c r="A1311" i="17"/>
  <c r="H1310" i="17"/>
  <c r="G1310" i="17"/>
  <c r="D1310" i="17"/>
  <c r="C1310" i="17"/>
  <c r="B1310" i="17"/>
  <c r="A1310" i="17"/>
  <c r="H1309" i="17"/>
  <c r="G1309" i="17"/>
  <c r="D1309" i="17"/>
  <c r="C1309" i="17"/>
  <c r="B1309" i="17"/>
  <c r="A1309" i="17"/>
  <c r="H1308" i="17"/>
  <c r="G1308" i="17"/>
  <c r="D1308" i="17"/>
  <c r="C1308" i="17"/>
  <c r="B1308" i="17"/>
  <c r="A1308" i="17"/>
  <c r="H1307" i="17"/>
  <c r="G1307" i="17"/>
  <c r="D1307" i="17"/>
  <c r="C1307" i="17"/>
  <c r="B1307" i="17"/>
  <c r="A1307" i="17"/>
  <c r="H1306" i="17"/>
  <c r="G1306" i="17"/>
  <c r="D1306" i="17"/>
  <c r="C1306" i="17"/>
  <c r="B1306" i="17"/>
  <c r="A1306" i="17"/>
  <c r="M1306" i="17" s="1"/>
  <c r="H1305" i="17"/>
  <c r="G1305" i="17"/>
  <c r="D1305" i="17"/>
  <c r="C1305" i="17"/>
  <c r="B1305" i="17"/>
  <c r="A1305" i="17"/>
  <c r="N1305" i="17" s="1"/>
  <c r="H1304" i="17"/>
  <c r="G1304" i="17"/>
  <c r="D1304" i="17"/>
  <c r="C1304" i="17"/>
  <c r="B1304" i="17"/>
  <c r="A1304" i="17"/>
  <c r="H1303" i="17"/>
  <c r="G1303" i="17"/>
  <c r="D1303" i="17"/>
  <c r="C1303" i="17"/>
  <c r="B1303" i="17"/>
  <c r="A1303" i="17"/>
  <c r="L1303" i="17" s="1"/>
  <c r="O1303" i="17" s="1"/>
  <c r="P1303" i="17" s="1"/>
  <c r="H1302" i="17"/>
  <c r="G1302" i="17"/>
  <c r="D1302" i="17"/>
  <c r="C1302" i="17"/>
  <c r="B1302" i="17"/>
  <c r="A1302" i="17"/>
  <c r="H1301" i="17"/>
  <c r="G1301" i="17"/>
  <c r="F1301" i="17"/>
  <c r="D1301" i="17"/>
  <c r="C1301" i="17"/>
  <c r="B1301" i="17"/>
  <c r="A1301" i="17"/>
  <c r="H1300" i="17"/>
  <c r="G1300" i="17"/>
  <c r="F1300" i="17"/>
  <c r="D1300" i="17"/>
  <c r="C1300" i="17"/>
  <c r="B1300" i="17"/>
  <c r="A1300" i="17"/>
  <c r="M1300" i="17" s="1"/>
  <c r="H1299" i="17"/>
  <c r="G1299" i="17"/>
  <c r="F1299" i="17"/>
  <c r="D1299" i="17"/>
  <c r="C1299" i="17"/>
  <c r="B1299" i="17"/>
  <c r="A1299" i="17"/>
  <c r="J1299" i="17" s="1"/>
  <c r="H1298" i="17"/>
  <c r="G1298" i="17"/>
  <c r="D1298" i="17"/>
  <c r="C1298" i="17"/>
  <c r="B1298" i="17"/>
  <c r="A1298" i="17"/>
  <c r="M1298" i="17" s="1"/>
  <c r="H1297" i="17"/>
  <c r="G1297" i="17"/>
  <c r="F1297" i="17"/>
  <c r="D1297" i="17"/>
  <c r="C1297" i="17"/>
  <c r="B1297" i="17"/>
  <c r="A1297" i="17"/>
  <c r="L1297" i="17" s="1"/>
  <c r="O1297" i="17" s="1"/>
  <c r="H1296" i="17"/>
  <c r="G1296" i="17"/>
  <c r="F1296" i="17"/>
  <c r="D1296" i="17"/>
  <c r="C1296" i="17"/>
  <c r="B1296" i="17"/>
  <c r="A1296" i="17"/>
  <c r="H1295" i="17"/>
  <c r="G1295" i="17"/>
  <c r="F1295" i="17"/>
  <c r="D1295" i="17"/>
  <c r="C1295" i="17"/>
  <c r="B1295" i="17"/>
  <c r="A1295" i="17"/>
  <c r="K1295" i="17" s="1"/>
  <c r="H1294" i="17"/>
  <c r="G1294" i="17"/>
  <c r="D1294" i="17"/>
  <c r="C1294" i="17"/>
  <c r="B1294" i="17"/>
  <c r="A1294" i="17"/>
  <c r="L1294" i="17" s="1"/>
  <c r="O1294" i="17" s="1"/>
  <c r="H1293" i="17"/>
  <c r="G1293" i="17"/>
  <c r="D1293" i="17"/>
  <c r="C1293" i="17"/>
  <c r="B1293" i="17"/>
  <c r="A1293" i="17"/>
  <c r="M1293" i="17" s="1"/>
  <c r="H1292" i="17"/>
  <c r="G1292" i="17"/>
  <c r="F1292" i="17"/>
  <c r="D1292" i="17"/>
  <c r="C1292" i="17"/>
  <c r="B1292" i="17"/>
  <c r="A1292" i="17"/>
  <c r="H1291" i="17"/>
  <c r="G1291" i="17"/>
  <c r="F1291" i="17"/>
  <c r="D1291" i="17"/>
  <c r="C1291" i="17"/>
  <c r="B1291" i="17"/>
  <c r="A1291" i="17"/>
  <c r="N1291" i="17" s="1"/>
  <c r="H1290" i="17"/>
  <c r="G1290" i="17"/>
  <c r="F1290" i="17"/>
  <c r="D1290" i="17"/>
  <c r="C1290" i="17"/>
  <c r="B1290" i="17"/>
  <c r="A1290" i="17"/>
  <c r="N1290" i="17" s="1"/>
  <c r="H1289" i="17"/>
  <c r="G1289" i="17"/>
  <c r="D1289" i="17"/>
  <c r="C1289" i="17"/>
  <c r="B1289" i="17"/>
  <c r="A1289" i="17"/>
  <c r="M1289" i="17" s="1"/>
  <c r="H1288" i="17"/>
  <c r="G1288" i="17"/>
  <c r="D1288" i="17"/>
  <c r="C1288" i="17"/>
  <c r="B1288" i="17"/>
  <c r="A1288" i="17"/>
  <c r="H1287" i="17"/>
  <c r="G1287" i="17"/>
  <c r="F1287" i="17"/>
  <c r="D1287" i="17"/>
  <c r="C1287" i="17"/>
  <c r="B1287" i="17"/>
  <c r="A1287" i="17"/>
  <c r="N1287" i="17" s="1"/>
  <c r="H1286" i="17"/>
  <c r="G1286" i="17"/>
  <c r="F1286" i="17"/>
  <c r="D1286" i="17"/>
  <c r="C1286" i="17"/>
  <c r="B1286" i="17"/>
  <c r="A1286" i="17"/>
  <c r="K1286" i="17" s="1"/>
  <c r="H1285" i="17"/>
  <c r="G1285" i="17"/>
  <c r="F1285" i="17"/>
  <c r="D1285" i="17"/>
  <c r="C1285" i="17"/>
  <c r="B1285" i="17"/>
  <c r="A1285" i="17"/>
  <c r="N1285" i="17" s="1"/>
  <c r="H1284" i="17"/>
  <c r="G1284" i="17"/>
  <c r="F1284" i="17"/>
  <c r="D1284" i="17"/>
  <c r="C1284" i="17"/>
  <c r="B1284" i="17"/>
  <c r="A1284" i="17"/>
  <c r="H1283" i="17"/>
  <c r="G1283" i="17"/>
  <c r="D1283" i="17"/>
  <c r="C1283" i="17"/>
  <c r="B1283" i="17"/>
  <c r="A1283" i="17"/>
  <c r="H1282" i="17"/>
  <c r="G1282" i="17"/>
  <c r="D1282" i="17"/>
  <c r="C1282" i="17"/>
  <c r="B1282" i="17"/>
  <c r="A1282" i="17"/>
  <c r="H1281" i="17"/>
  <c r="G1281" i="17"/>
  <c r="D1281" i="17"/>
  <c r="C1281" i="17"/>
  <c r="B1281" i="17"/>
  <c r="A1281" i="17"/>
  <c r="M1281" i="17" s="1"/>
  <c r="H1280" i="17"/>
  <c r="G1280" i="17"/>
  <c r="D1280" i="17"/>
  <c r="C1280" i="17"/>
  <c r="B1280" i="17"/>
  <c r="A1280" i="17"/>
  <c r="H1279" i="17"/>
  <c r="G1279" i="17"/>
  <c r="D1279" i="17"/>
  <c r="C1279" i="17"/>
  <c r="B1279" i="17"/>
  <c r="A1279" i="17"/>
  <c r="N1279" i="17" s="1"/>
  <c r="H1278" i="17"/>
  <c r="G1278" i="17"/>
  <c r="D1278" i="17"/>
  <c r="C1278" i="17"/>
  <c r="B1278" i="17"/>
  <c r="A1278" i="17"/>
  <c r="K1278" i="17" s="1"/>
  <c r="H1277" i="17"/>
  <c r="G1277" i="17"/>
  <c r="D1277" i="17"/>
  <c r="C1277" i="17"/>
  <c r="B1277" i="17"/>
  <c r="A1277" i="17"/>
  <c r="H1276" i="17"/>
  <c r="G1276" i="17"/>
  <c r="D1276" i="17"/>
  <c r="C1276" i="17"/>
  <c r="B1276" i="17"/>
  <c r="A1276" i="17"/>
  <c r="K1276" i="17" s="1"/>
  <c r="H1275" i="17"/>
  <c r="G1275" i="17"/>
  <c r="F1275" i="17"/>
  <c r="D1275" i="17"/>
  <c r="C1275" i="17"/>
  <c r="B1275" i="17"/>
  <c r="A1275" i="17"/>
  <c r="J1275" i="17" s="1"/>
  <c r="H1274" i="17"/>
  <c r="G1274" i="17"/>
  <c r="F1274" i="17"/>
  <c r="D1274" i="17"/>
  <c r="C1274" i="17"/>
  <c r="B1274" i="17"/>
  <c r="A1274" i="17"/>
  <c r="H1273" i="17"/>
  <c r="G1273" i="17"/>
  <c r="F1273" i="17"/>
  <c r="D1273" i="17"/>
  <c r="C1273" i="17"/>
  <c r="B1273" i="17"/>
  <c r="A1273" i="17"/>
  <c r="J1273" i="17" s="1"/>
  <c r="H1272" i="17"/>
  <c r="G1272" i="17"/>
  <c r="F1272" i="17"/>
  <c r="D1272" i="17"/>
  <c r="C1272" i="17"/>
  <c r="B1272" i="17"/>
  <c r="A1272" i="17"/>
  <c r="H1271" i="17"/>
  <c r="G1271" i="17"/>
  <c r="D1271" i="17"/>
  <c r="C1271" i="17"/>
  <c r="B1271" i="17"/>
  <c r="A1271" i="17"/>
  <c r="J1271" i="17" s="1"/>
  <c r="H1270" i="17"/>
  <c r="G1270" i="17"/>
  <c r="D1270" i="17"/>
  <c r="C1270" i="17"/>
  <c r="B1270" i="17"/>
  <c r="A1270" i="17"/>
  <c r="J1270" i="17" s="1"/>
  <c r="H1269" i="17"/>
  <c r="G1269" i="17"/>
  <c r="D1269" i="17"/>
  <c r="C1269" i="17"/>
  <c r="B1269" i="17"/>
  <c r="A1269" i="17"/>
  <c r="H1268" i="17"/>
  <c r="G1268" i="17"/>
  <c r="D1268" i="17"/>
  <c r="C1268" i="17"/>
  <c r="B1268" i="17"/>
  <c r="A1268" i="17"/>
  <c r="K1268" i="17" s="1"/>
  <c r="H1267" i="17"/>
  <c r="G1267" i="17"/>
  <c r="D1267" i="17"/>
  <c r="C1267" i="17"/>
  <c r="B1267" i="17"/>
  <c r="A1267" i="17"/>
  <c r="M1267" i="17" s="1"/>
  <c r="H1266" i="17"/>
  <c r="G1266" i="17"/>
  <c r="D1266" i="17"/>
  <c r="C1266" i="17"/>
  <c r="B1266" i="17"/>
  <c r="A1266" i="17"/>
  <c r="N1266" i="17" s="1"/>
  <c r="H1265" i="17"/>
  <c r="G1265" i="17"/>
  <c r="D1265" i="17"/>
  <c r="C1265" i="17"/>
  <c r="B1265" i="17"/>
  <c r="A1265" i="17"/>
  <c r="L1265" i="17" s="1"/>
  <c r="O1265" i="17" s="1"/>
  <c r="H1264" i="17"/>
  <c r="G1264" i="17"/>
  <c r="D1264" i="17"/>
  <c r="C1264" i="17"/>
  <c r="B1264" i="17"/>
  <c r="A1264" i="17"/>
  <c r="N1264" i="17" s="1"/>
  <c r="H1263" i="17"/>
  <c r="G1263" i="17"/>
  <c r="F1263" i="17"/>
  <c r="D1263" i="17"/>
  <c r="C1263" i="17"/>
  <c r="B1263" i="17"/>
  <c r="A1263" i="17"/>
  <c r="N1263" i="17" s="1"/>
  <c r="H1262" i="17"/>
  <c r="G1262" i="17"/>
  <c r="F1262" i="17"/>
  <c r="D1262" i="17"/>
  <c r="C1262" i="17"/>
  <c r="B1262" i="17"/>
  <c r="A1262" i="17"/>
  <c r="H1261" i="17"/>
  <c r="G1261" i="17"/>
  <c r="F1261" i="17"/>
  <c r="D1261" i="17"/>
  <c r="C1261" i="17"/>
  <c r="B1261" i="17"/>
  <c r="A1261" i="17"/>
  <c r="H1260" i="17"/>
  <c r="G1260" i="17"/>
  <c r="F1260" i="17"/>
  <c r="D1260" i="17"/>
  <c r="C1260" i="17"/>
  <c r="B1260" i="17"/>
  <c r="A1260" i="17"/>
  <c r="K1260" i="17" s="1"/>
  <c r="H1259" i="17"/>
  <c r="G1259" i="17"/>
  <c r="D1259" i="17"/>
  <c r="C1259" i="17"/>
  <c r="B1259" i="17"/>
  <c r="A1259" i="17"/>
  <c r="N1259" i="17" s="1"/>
  <c r="H1258" i="17"/>
  <c r="G1258" i="17"/>
  <c r="D1258" i="17"/>
  <c r="C1258" i="17"/>
  <c r="B1258" i="17"/>
  <c r="A1258" i="17"/>
  <c r="H1257" i="17"/>
  <c r="G1257" i="17"/>
  <c r="F1257" i="17"/>
  <c r="D1257" i="17"/>
  <c r="C1257" i="17"/>
  <c r="B1257" i="17"/>
  <c r="A1257" i="17"/>
  <c r="N1257" i="17" s="1"/>
  <c r="H1256" i="17"/>
  <c r="G1256" i="17"/>
  <c r="F1256" i="17"/>
  <c r="D1256" i="17"/>
  <c r="C1256" i="17"/>
  <c r="B1256" i="17"/>
  <c r="A1256" i="17"/>
  <c r="H1255" i="17"/>
  <c r="G1255" i="17"/>
  <c r="F1255" i="17"/>
  <c r="D1255" i="17"/>
  <c r="C1255" i="17"/>
  <c r="B1255" i="17"/>
  <c r="A1255" i="17"/>
  <c r="N1255" i="17" s="1"/>
  <c r="H1254" i="17"/>
  <c r="G1254" i="17"/>
  <c r="D1254" i="17"/>
  <c r="C1254" i="17"/>
  <c r="B1254" i="17"/>
  <c r="A1254" i="17"/>
  <c r="M1254" i="17" s="1"/>
  <c r="H1253" i="17"/>
  <c r="G1253" i="17"/>
  <c r="D1253" i="17"/>
  <c r="C1253" i="17"/>
  <c r="B1253" i="17"/>
  <c r="A1253" i="17"/>
  <c r="H1252" i="17"/>
  <c r="G1252" i="17"/>
  <c r="F1252" i="17"/>
  <c r="D1252" i="17"/>
  <c r="C1252" i="17"/>
  <c r="B1252" i="17"/>
  <c r="A1252" i="17"/>
  <c r="M1252" i="17" s="1"/>
  <c r="H1251" i="17"/>
  <c r="G1251" i="17"/>
  <c r="F1251" i="17"/>
  <c r="D1251" i="17"/>
  <c r="C1251" i="17"/>
  <c r="B1251" i="17"/>
  <c r="A1251" i="17"/>
  <c r="H1250" i="17"/>
  <c r="G1250" i="17"/>
  <c r="F1250" i="17"/>
  <c r="D1250" i="17"/>
  <c r="C1250" i="17"/>
  <c r="B1250" i="17"/>
  <c r="A1250" i="17"/>
  <c r="J1250" i="17" s="1"/>
  <c r="H1249" i="17"/>
  <c r="G1249" i="17"/>
  <c r="D1249" i="17"/>
  <c r="C1249" i="17"/>
  <c r="B1249" i="17"/>
  <c r="A1249" i="17"/>
  <c r="J1249" i="17" s="1"/>
  <c r="H1248" i="17"/>
  <c r="G1248" i="17"/>
  <c r="D1248" i="17"/>
  <c r="C1248" i="17"/>
  <c r="B1248" i="17"/>
  <c r="A1248" i="17"/>
  <c r="H1247" i="17"/>
  <c r="G1247" i="17"/>
  <c r="D1247" i="17"/>
  <c r="C1247" i="17"/>
  <c r="B1247" i="17"/>
  <c r="A1247" i="17"/>
  <c r="H1246" i="17"/>
  <c r="G1246" i="17"/>
  <c r="D1246" i="17"/>
  <c r="C1246" i="17"/>
  <c r="B1246" i="17"/>
  <c r="A1246" i="17"/>
  <c r="H1245" i="17"/>
  <c r="G1245" i="17"/>
  <c r="F1245" i="17"/>
  <c r="D1245" i="17"/>
  <c r="C1245" i="17"/>
  <c r="B1245" i="17"/>
  <c r="A1245" i="17"/>
  <c r="H1244" i="17"/>
  <c r="G1244" i="17"/>
  <c r="F1244" i="17"/>
  <c r="D1244" i="17"/>
  <c r="C1244" i="17"/>
  <c r="B1244" i="17"/>
  <c r="A1244" i="17"/>
  <c r="H1243" i="17"/>
  <c r="G1243" i="17"/>
  <c r="F1243" i="17"/>
  <c r="D1243" i="17"/>
  <c r="C1243" i="17"/>
  <c r="B1243" i="17"/>
  <c r="A1243" i="17"/>
  <c r="L1243" i="17" s="1"/>
  <c r="O1243" i="17" s="1"/>
  <c r="P1243" i="17" s="1"/>
  <c r="H1242" i="17"/>
  <c r="G1242" i="17"/>
  <c r="F1242" i="17"/>
  <c r="D1242" i="17"/>
  <c r="C1242" i="17"/>
  <c r="B1242" i="17"/>
  <c r="A1242" i="17"/>
  <c r="H1241" i="17"/>
  <c r="G1241" i="17"/>
  <c r="D1241" i="17"/>
  <c r="C1241" i="17"/>
  <c r="B1241" i="17"/>
  <c r="A1241" i="17"/>
  <c r="L1241" i="17" s="1"/>
  <c r="O1241" i="17" s="1"/>
  <c r="P1241" i="17" s="1"/>
  <c r="H1240" i="17"/>
  <c r="G1240" i="17"/>
  <c r="D1240" i="17"/>
  <c r="C1240" i="17"/>
  <c r="B1240" i="17"/>
  <c r="A1240" i="17"/>
  <c r="H1239" i="17"/>
  <c r="G1239" i="17"/>
  <c r="D1239" i="17"/>
  <c r="C1239" i="17"/>
  <c r="B1239" i="17"/>
  <c r="A1239" i="17"/>
  <c r="M1239" i="17" s="1"/>
  <c r="H1238" i="17"/>
  <c r="G1238" i="17"/>
  <c r="D1238" i="17"/>
  <c r="C1238" i="17"/>
  <c r="B1238" i="17"/>
  <c r="A1238" i="17"/>
  <c r="M1238" i="17" s="1"/>
  <c r="H1237" i="17"/>
  <c r="G1237" i="17"/>
  <c r="F1237" i="17"/>
  <c r="D1237" i="17"/>
  <c r="C1237" i="17"/>
  <c r="B1237" i="17"/>
  <c r="A1237" i="17"/>
  <c r="H1236" i="17"/>
  <c r="G1236" i="17"/>
  <c r="F1236" i="17"/>
  <c r="D1236" i="17"/>
  <c r="C1236" i="17"/>
  <c r="B1236" i="17"/>
  <c r="A1236" i="17"/>
  <c r="L1236" i="17" s="1"/>
  <c r="O1236" i="17" s="1"/>
  <c r="P1236" i="17" s="1"/>
  <c r="H1235" i="17"/>
  <c r="G1235" i="17"/>
  <c r="F1235" i="17"/>
  <c r="D1235" i="17"/>
  <c r="C1235" i="17"/>
  <c r="B1235" i="17"/>
  <c r="A1235" i="17"/>
  <c r="J1235" i="17" s="1"/>
  <c r="H1234" i="17"/>
  <c r="G1234" i="17"/>
  <c r="F1234" i="17"/>
  <c r="D1234" i="17"/>
  <c r="C1234" i="17"/>
  <c r="B1234" i="17"/>
  <c r="A1234" i="17"/>
  <c r="H1233" i="17"/>
  <c r="G1233" i="17"/>
  <c r="D1233" i="17"/>
  <c r="C1233" i="17"/>
  <c r="B1233" i="17"/>
  <c r="A1233" i="17"/>
  <c r="M1233" i="17" s="1"/>
  <c r="H1232" i="17"/>
  <c r="G1232" i="17"/>
  <c r="D1232" i="17"/>
  <c r="C1232" i="17"/>
  <c r="B1232" i="17"/>
  <c r="A1232" i="17"/>
  <c r="L1232" i="17" s="1"/>
  <c r="O1232" i="17" s="1"/>
  <c r="P1232" i="17" s="1"/>
  <c r="H1231" i="17"/>
  <c r="G1231" i="17"/>
  <c r="D1231" i="17"/>
  <c r="C1231" i="17"/>
  <c r="B1231" i="17"/>
  <c r="A1231" i="17"/>
  <c r="N1231" i="17" s="1"/>
  <c r="H1230" i="17"/>
  <c r="G1230" i="17"/>
  <c r="F1230" i="17"/>
  <c r="D1230" i="17"/>
  <c r="C1230" i="17"/>
  <c r="B1230" i="17"/>
  <c r="A1230" i="17"/>
  <c r="J1230" i="17" s="1"/>
  <c r="H1229" i="17"/>
  <c r="G1229" i="17"/>
  <c r="F1229" i="17"/>
  <c r="D1229" i="17"/>
  <c r="C1229" i="17"/>
  <c r="B1229" i="17"/>
  <c r="A1229" i="17"/>
  <c r="H1228" i="17"/>
  <c r="G1228" i="17"/>
  <c r="F1228" i="17"/>
  <c r="D1228" i="17"/>
  <c r="C1228" i="17"/>
  <c r="B1228" i="17"/>
  <c r="A1228" i="17"/>
  <c r="H1227" i="17"/>
  <c r="G1227" i="17"/>
  <c r="D1227" i="17"/>
  <c r="C1227" i="17"/>
  <c r="B1227" i="17"/>
  <c r="A1227" i="17"/>
  <c r="H1226" i="17"/>
  <c r="G1226" i="17"/>
  <c r="D1226" i="17"/>
  <c r="C1226" i="17"/>
  <c r="B1226" i="17"/>
  <c r="A1226" i="17"/>
  <c r="J1226" i="17" s="1"/>
  <c r="H1225" i="17"/>
  <c r="G1225" i="17"/>
  <c r="F1225" i="17"/>
  <c r="D1225" i="17"/>
  <c r="C1225" i="17"/>
  <c r="B1225" i="17"/>
  <c r="A1225" i="17"/>
  <c r="M1225" i="17" s="1"/>
  <c r="H1224" i="17"/>
  <c r="G1224" i="17"/>
  <c r="F1224" i="17"/>
  <c r="D1224" i="17"/>
  <c r="C1224" i="17"/>
  <c r="B1224" i="17"/>
  <c r="A1224" i="17"/>
  <c r="L1224" i="17" s="1"/>
  <c r="O1224" i="17" s="1"/>
  <c r="H1223" i="17"/>
  <c r="G1223" i="17"/>
  <c r="F1223" i="17"/>
  <c r="D1223" i="17"/>
  <c r="C1223" i="17"/>
  <c r="B1223" i="17"/>
  <c r="A1223" i="17"/>
  <c r="N1223" i="17" s="1"/>
  <c r="H1222" i="17"/>
  <c r="G1222" i="17"/>
  <c r="D1222" i="17"/>
  <c r="C1222" i="17"/>
  <c r="B1222" i="17"/>
  <c r="A1222" i="17"/>
  <c r="H1221" i="17"/>
  <c r="G1221" i="17"/>
  <c r="D1221" i="17"/>
  <c r="C1221" i="17"/>
  <c r="B1221" i="17"/>
  <c r="A1221" i="17"/>
  <c r="H1220" i="17"/>
  <c r="G1220" i="17"/>
  <c r="D1220" i="17"/>
  <c r="C1220" i="17"/>
  <c r="B1220" i="17"/>
  <c r="A1220" i="17"/>
  <c r="J1220" i="17" s="1"/>
  <c r="H1219" i="17"/>
  <c r="G1219" i="17"/>
  <c r="F1219" i="17"/>
  <c r="D1219" i="17"/>
  <c r="C1219" i="17"/>
  <c r="B1219" i="17"/>
  <c r="A1219" i="17"/>
  <c r="H1218" i="17"/>
  <c r="G1218" i="17"/>
  <c r="F1218" i="17"/>
  <c r="D1218" i="17"/>
  <c r="C1218" i="17"/>
  <c r="B1218" i="17"/>
  <c r="A1218" i="17"/>
  <c r="N1218" i="17" s="1"/>
  <c r="H1217" i="17"/>
  <c r="G1217" i="17"/>
  <c r="F1217" i="17"/>
  <c r="D1217" i="17"/>
  <c r="C1217" i="17"/>
  <c r="B1217" i="17"/>
  <c r="A1217" i="17"/>
  <c r="K1217" i="17" s="1"/>
  <c r="H1216" i="17"/>
  <c r="G1216" i="17"/>
  <c r="F1216" i="17"/>
  <c r="D1216" i="17"/>
  <c r="C1216" i="17"/>
  <c r="B1216" i="17"/>
  <c r="A1216" i="17"/>
  <c r="H1215" i="17"/>
  <c r="G1215" i="17"/>
  <c r="F1215" i="17"/>
  <c r="D1215" i="17"/>
  <c r="C1215" i="17"/>
  <c r="B1215" i="17"/>
  <c r="A1215" i="17"/>
  <c r="M1215" i="17" s="1"/>
  <c r="H1214" i="17"/>
  <c r="G1214" i="17"/>
  <c r="D1214" i="17"/>
  <c r="C1214" i="17"/>
  <c r="B1214" i="17"/>
  <c r="A1214" i="17"/>
  <c r="J1214" i="17" s="1"/>
  <c r="H1213" i="17"/>
  <c r="G1213" i="17"/>
  <c r="D1213" i="17"/>
  <c r="C1213" i="17"/>
  <c r="B1213" i="17"/>
  <c r="A1213" i="17"/>
  <c r="J1213" i="17" s="1"/>
  <c r="H1212" i="17"/>
  <c r="G1212" i="17"/>
  <c r="D1212" i="17"/>
  <c r="C1212" i="17"/>
  <c r="B1212" i="17"/>
  <c r="A1212" i="17"/>
  <c r="H1211" i="17"/>
  <c r="G1211" i="17"/>
  <c r="D1211" i="17"/>
  <c r="C1211" i="17"/>
  <c r="B1211" i="17"/>
  <c r="A1211" i="17"/>
  <c r="M1211" i="17" s="1"/>
  <c r="H1210" i="17"/>
  <c r="G1210" i="17"/>
  <c r="F1210" i="17"/>
  <c r="D1210" i="17"/>
  <c r="C1210" i="17"/>
  <c r="B1210" i="17"/>
  <c r="A1210" i="17"/>
  <c r="M1210" i="17" s="1"/>
  <c r="H1209" i="17"/>
  <c r="G1209" i="17"/>
  <c r="F1209" i="17"/>
  <c r="D1209" i="17"/>
  <c r="C1209" i="17"/>
  <c r="B1209" i="17"/>
  <c r="A1209" i="17"/>
  <c r="M1209" i="17" s="1"/>
  <c r="H1208" i="17"/>
  <c r="G1208" i="17"/>
  <c r="F1208" i="17"/>
  <c r="D1208" i="17"/>
  <c r="C1208" i="17"/>
  <c r="B1208" i="17"/>
  <c r="A1208" i="17"/>
  <c r="K1208" i="17" s="1"/>
  <c r="H1207" i="17"/>
  <c r="G1207" i="17"/>
  <c r="F1207" i="17"/>
  <c r="D1207" i="17"/>
  <c r="C1207" i="17"/>
  <c r="B1207" i="17"/>
  <c r="A1207" i="17"/>
  <c r="K1207" i="17" s="1"/>
  <c r="H1206" i="17"/>
  <c r="G1206" i="17"/>
  <c r="D1206" i="17"/>
  <c r="C1206" i="17"/>
  <c r="B1206" i="17"/>
  <c r="A1206" i="17"/>
  <c r="K1206" i="17" s="1"/>
  <c r="H1205" i="17"/>
  <c r="G1205" i="17"/>
  <c r="D1205" i="17"/>
  <c r="C1205" i="17"/>
  <c r="B1205" i="17"/>
  <c r="A1205" i="17"/>
  <c r="L1205" i="17" s="1"/>
  <c r="O1205" i="17" s="1"/>
  <c r="P1205" i="17" s="1"/>
  <c r="H1204" i="17"/>
  <c r="G1204" i="17"/>
  <c r="D1204" i="17"/>
  <c r="C1204" i="17"/>
  <c r="B1204" i="17"/>
  <c r="A1204" i="17"/>
  <c r="J1204" i="17" s="1"/>
  <c r="H1203" i="17"/>
  <c r="G1203" i="17"/>
  <c r="D1203" i="17"/>
  <c r="C1203" i="17"/>
  <c r="B1203" i="17"/>
  <c r="A1203" i="17"/>
  <c r="L1203" i="17" s="1"/>
  <c r="O1203" i="17" s="1"/>
  <c r="P1203" i="17" s="1"/>
  <c r="H1202" i="17"/>
  <c r="G1202" i="17"/>
  <c r="F1202" i="17"/>
  <c r="D1202" i="17"/>
  <c r="C1202" i="17"/>
  <c r="B1202" i="17"/>
  <c r="A1202" i="17"/>
  <c r="N1202" i="17" s="1"/>
  <c r="H1201" i="17"/>
  <c r="G1201" i="17"/>
  <c r="F1201" i="17"/>
  <c r="D1201" i="17"/>
  <c r="C1201" i="17"/>
  <c r="B1201" i="17"/>
  <c r="A1201" i="17"/>
  <c r="M1201" i="17" s="1"/>
  <c r="H1200" i="17"/>
  <c r="G1200" i="17"/>
  <c r="F1200" i="17"/>
  <c r="D1200" i="17"/>
  <c r="C1200" i="17"/>
  <c r="B1200" i="17"/>
  <c r="A1200" i="17"/>
  <c r="M1200" i="17" s="1"/>
  <c r="H1199" i="17"/>
  <c r="G1199" i="17"/>
  <c r="F1199" i="17"/>
  <c r="D1199" i="17"/>
  <c r="C1199" i="17"/>
  <c r="B1199" i="17"/>
  <c r="A1199" i="17"/>
  <c r="H1198" i="17"/>
  <c r="G1198" i="17"/>
  <c r="D1198" i="17"/>
  <c r="C1198" i="17"/>
  <c r="B1198" i="17"/>
  <c r="A1198" i="17"/>
  <c r="H1197" i="17"/>
  <c r="G1197" i="17"/>
  <c r="D1197" i="17"/>
  <c r="C1197" i="17"/>
  <c r="B1197" i="17"/>
  <c r="A1197" i="17"/>
  <c r="K1197" i="17" s="1"/>
  <c r="H1196" i="17"/>
  <c r="G1196" i="17"/>
  <c r="D1196" i="17"/>
  <c r="C1196" i="17"/>
  <c r="B1196" i="17"/>
  <c r="A1196" i="17"/>
  <c r="H1195" i="17"/>
  <c r="G1195" i="17"/>
  <c r="D1195" i="17"/>
  <c r="C1195" i="17"/>
  <c r="B1195" i="17"/>
  <c r="A1195" i="17"/>
  <c r="H1194" i="17"/>
  <c r="G1194" i="17"/>
  <c r="F1194" i="17"/>
  <c r="D1194" i="17"/>
  <c r="C1194" i="17"/>
  <c r="B1194" i="17"/>
  <c r="A1194" i="17"/>
  <c r="J1194" i="17" s="1"/>
  <c r="H1193" i="17"/>
  <c r="G1193" i="17"/>
  <c r="F1193" i="17"/>
  <c r="D1193" i="17"/>
  <c r="C1193" i="17"/>
  <c r="B1193" i="17"/>
  <c r="A1193" i="17"/>
  <c r="N1193" i="17" s="1"/>
  <c r="H1192" i="17"/>
  <c r="G1192" i="17"/>
  <c r="F1192" i="17"/>
  <c r="D1192" i="17"/>
  <c r="C1192" i="17"/>
  <c r="B1192" i="17"/>
  <c r="A1192" i="17"/>
  <c r="N1192" i="17" s="1"/>
  <c r="H1191" i="17"/>
  <c r="G1191" i="17"/>
  <c r="F1191" i="17"/>
  <c r="D1191" i="17"/>
  <c r="C1191" i="17"/>
  <c r="B1191" i="17"/>
  <c r="A1191" i="17"/>
  <c r="N1191" i="17" s="1"/>
  <c r="H1190" i="17"/>
  <c r="G1190" i="17"/>
  <c r="D1190" i="17"/>
  <c r="C1190" i="17"/>
  <c r="B1190" i="17"/>
  <c r="A1190" i="17"/>
  <c r="N1190" i="17" s="1"/>
  <c r="H1189" i="17"/>
  <c r="G1189" i="17"/>
  <c r="D1189" i="17"/>
  <c r="C1189" i="17"/>
  <c r="B1189" i="17"/>
  <c r="A1189" i="17"/>
  <c r="J1189" i="17" s="1"/>
  <c r="H1188" i="17"/>
  <c r="G1188" i="17"/>
  <c r="D1188" i="17"/>
  <c r="C1188" i="17"/>
  <c r="B1188" i="17"/>
  <c r="A1188" i="17"/>
  <c r="N1188" i="17" s="1"/>
  <c r="H1187" i="17"/>
  <c r="G1187" i="17"/>
  <c r="D1187" i="17"/>
  <c r="C1187" i="17"/>
  <c r="B1187" i="17"/>
  <c r="A1187" i="17"/>
  <c r="H1186" i="17"/>
  <c r="G1186" i="17"/>
  <c r="F1186" i="17"/>
  <c r="D1186" i="17"/>
  <c r="C1186" i="17"/>
  <c r="B1186" i="17"/>
  <c r="A1186" i="17"/>
  <c r="H1185" i="17"/>
  <c r="G1185" i="17"/>
  <c r="F1185" i="17"/>
  <c r="D1185" i="17"/>
  <c r="C1185" i="17"/>
  <c r="B1185" i="17"/>
  <c r="A1185" i="17"/>
  <c r="H1184" i="17"/>
  <c r="G1184" i="17"/>
  <c r="F1184" i="17"/>
  <c r="D1184" i="17"/>
  <c r="C1184" i="17"/>
  <c r="B1184" i="17"/>
  <c r="A1184" i="17"/>
  <c r="L1184" i="17" s="1"/>
  <c r="O1184" i="17" s="1"/>
  <c r="H1183" i="17"/>
  <c r="G1183" i="17"/>
  <c r="F1183" i="17"/>
  <c r="D1183" i="17"/>
  <c r="C1183" i="17"/>
  <c r="B1183" i="17"/>
  <c r="A1183" i="17"/>
  <c r="J1183" i="17" s="1"/>
  <c r="H1182" i="17"/>
  <c r="G1182" i="17"/>
  <c r="D1182" i="17"/>
  <c r="C1182" i="17"/>
  <c r="B1182" i="17"/>
  <c r="A1182" i="17"/>
  <c r="K1182" i="17" s="1"/>
  <c r="H1181" i="17"/>
  <c r="G1181" i="17"/>
  <c r="D1181" i="17"/>
  <c r="C1181" i="17"/>
  <c r="B1181" i="17"/>
  <c r="A1181" i="17"/>
  <c r="H1180" i="17"/>
  <c r="G1180" i="17"/>
  <c r="D1180" i="17"/>
  <c r="C1180" i="17"/>
  <c r="B1180" i="17"/>
  <c r="A1180" i="17"/>
  <c r="N1180" i="17" s="1"/>
  <c r="H1179" i="17"/>
  <c r="G1179" i="17"/>
  <c r="D1179" i="17"/>
  <c r="C1179" i="17"/>
  <c r="B1179" i="17"/>
  <c r="A1179" i="17"/>
  <c r="M1179" i="17" s="1"/>
  <c r="H1178" i="17"/>
  <c r="G1178" i="17"/>
  <c r="D1178" i="17"/>
  <c r="C1178" i="17"/>
  <c r="B1178" i="17"/>
  <c r="A1178" i="17"/>
  <c r="H1177" i="17"/>
  <c r="G1177" i="17"/>
  <c r="F1177" i="17"/>
  <c r="D1177" i="17"/>
  <c r="C1177" i="17"/>
  <c r="B1177" i="17"/>
  <c r="A1177" i="17"/>
  <c r="J1177" i="17" s="1"/>
  <c r="H1176" i="17"/>
  <c r="G1176" i="17"/>
  <c r="F1176" i="17"/>
  <c r="D1176" i="17"/>
  <c r="C1176" i="17"/>
  <c r="B1176" i="17"/>
  <c r="A1176" i="17"/>
  <c r="H1175" i="17"/>
  <c r="G1175" i="17"/>
  <c r="D1175" i="17"/>
  <c r="C1175" i="17"/>
  <c r="B1175" i="17"/>
  <c r="A1175" i="17"/>
  <c r="K1175" i="17" s="1"/>
  <c r="H1174" i="17"/>
  <c r="G1174" i="17"/>
  <c r="F1174" i="17"/>
  <c r="D1174" i="17"/>
  <c r="C1174" i="17"/>
  <c r="B1174" i="17"/>
  <c r="A1174" i="17"/>
  <c r="H1173" i="17"/>
  <c r="G1173" i="17"/>
  <c r="F1173" i="17"/>
  <c r="D1173" i="17"/>
  <c r="C1173" i="17"/>
  <c r="B1173" i="17"/>
  <c r="A1173" i="17"/>
  <c r="K1173" i="17" s="1"/>
  <c r="H1172" i="17"/>
  <c r="G1172" i="17"/>
  <c r="F1172" i="17"/>
  <c r="D1172" i="17"/>
  <c r="C1172" i="17"/>
  <c r="B1172" i="17"/>
  <c r="A1172" i="17"/>
  <c r="M1172" i="17" s="1"/>
  <c r="H1171" i="17"/>
  <c r="G1171" i="17"/>
  <c r="F1171" i="17"/>
  <c r="D1171" i="17"/>
  <c r="C1171" i="17"/>
  <c r="B1171" i="17"/>
  <c r="A1171" i="17"/>
  <c r="H1170" i="17"/>
  <c r="G1170" i="17"/>
  <c r="F1170" i="17"/>
  <c r="D1170" i="17"/>
  <c r="C1170" i="17"/>
  <c r="B1170" i="17"/>
  <c r="A1170" i="17"/>
  <c r="L1170" i="17" s="1"/>
  <c r="O1170" i="17" s="1"/>
  <c r="P1170" i="17" s="1"/>
  <c r="H1169" i="17"/>
  <c r="G1169" i="17"/>
  <c r="F1169" i="17"/>
  <c r="D1169" i="17"/>
  <c r="C1169" i="17"/>
  <c r="B1169" i="17"/>
  <c r="A1169" i="17"/>
  <c r="M1169" i="17" s="1"/>
  <c r="H1168" i="17"/>
  <c r="G1168" i="17"/>
  <c r="D1168" i="17"/>
  <c r="C1168" i="17"/>
  <c r="B1168" i="17"/>
  <c r="A1168" i="17"/>
  <c r="H1167" i="17"/>
  <c r="G1167" i="17"/>
  <c r="F1167" i="17"/>
  <c r="D1167" i="17"/>
  <c r="C1167" i="17"/>
  <c r="B1167" i="17"/>
  <c r="A1167" i="17"/>
  <c r="H1166" i="17"/>
  <c r="G1166" i="17"/>
  <c r="F1166" i="17"/>
  <c r="D1166" i="17"/>
  <c r="C1166" i="17"/>
  <c r="B1166" i="17"/>
  <c r="A1166" i="17"/>
  <c r="J1166" i="17" s="1"/>
  <c r="H1165" i="17"/>
  <c r="G1165" i="17"/>
  <c r="F1165" i="17"/>
  <c r="D1165" i="17"/>
  <c r="C1165" i="17"/>
  <c r="B1165" i="17"/>
  <c r="A1165" i="17"/>
  <c r="H1164" i="17"/>
  <c r="G1164" i="17"/>
  <c r="F1164" i="17"/>
  <c r="D1164" i="17"/>
  <c r="C1164" i="17"/>
  <c r="B1164" i="17"/>
  <c r="A1164" i="17"/>
  <c r="H1163" i="17"/>
  <c r="G1163" i="17"/>
  <c r="F1163" i="17"/>
  <c r="D1163" i="17"/>
  <c r="C1163" i="17"/>
  <c r="B1163" i="17"/>
  <c r="A1163" i="17"/>
  <c r="J1163" i="17" s="1"/>
  <c r="H1162" i="17"/>
  <c r="G1162" i="17"/>
  <c r="F1162" i="17"/>
  <c r="D1162" i="17"/>
  <c r="C1162" i="17"/>
  <c r="B1162" i="17"/>
  <c r="A1162" i="17"/>
  <c r="J1162" i="17" s="1"/>
  <c r="H1161" i="17"/>
  <c r="G1161" i="17"/>
  <c r="D1161" i="17"/>
  <c r="C1161" i="17"/>
  <c r="B1161" i="17"/>
  <c r="A1161" i="17"/>
  <c r="M1161" i="17" s="1"/>
  <c r="H1160" i="17"/>
  <c r="G1160" i="17"/>
  <c r="F1160" i="17"/>
  <c r="D1160" i="17"/>
  <c r="C1160" i="17"/>
  <c r="B1160" i="17"/>
  <c r="A1160" i="17"/>
  <c r="M1160" i="17" s="1"/>
  <c r="H1159" i="17"/>
  <c r="G1159" i="17"/>
  <c r="F1159" i="17"/>
  <c r="D1159" i="17"/>
  <c r="C1159" i="17"/>
  <c r="B1159" i="17"/>
  <c r="A1159" i="17"/>
  <c r="H1158" i="17"/>
  <c r="G1158" i="17"/>
  <c r="F1158" i="17"/>
  <c r="D1158" i="17"/>
  <c r="C1158" i="17"/>
  <c r="B1158" i="17"/>
  <c r="A1158" i="17"/>
  <c r="H1157" i="17"/>
  <c r="G1157" i="17"/>
  <c r="D1157" i="17"/>
  <c r="C1157" i="17"/>
  <c r="B1157" i="17"/>
  <c r="A1157" i="17"/>
  <c r="H1156" i="17"/>
  <c r="G1156" i="17"/>
  <c r="D1156" i="17"/>
  <c r="C1156" i="17"/>
  <c r="B1156" i="17"/>
  <c r="A1156" i="17"/>
  <c r="H1155" i="17"/>
  <c r="G1155" i="17"/>
  <c r="D1155" i="17"/>
  <c r="C1155" i="17"/>
  <c r="B1155" i="17"/>
  <c r="A1155" i="17"/>
  <c r="L1155" i="17" s="1"/>
  <c r="O1155" i="17" s="1"/>
  <c r="P1155" i="17" s="1"/>
  <c r="H1154" i="17"/>
  <c r="G1154" i="17"/>
  <c r="D1154" i="17"/>
  <c r="C1154" i="17"/>
  <c r="B1154" i="17"/>
  <c r="A1154" i="17"/>
  <c r="K1154" i="17" s="1"/>
  <c r="H1153" i="17"/>
  <c r="G1153" i="17"/>
  <c r="F1153" i="17"/>
  <c r="D1153" i="17"/>
  <c r="C1153" i="17"/>
  <c r="B1153" i="17"/>
  <c r="A1153" i="17"/>
  <c r="M1153" i="17" s="1"/>
  <c r="H1152" i="17"/>
  <c r="G1152" i="17"/>
  <c r="F1152" i="17"/>
  <c r="D1152" i="17"/>
  <c r="C1152" i="17"/>
  <c r="B1152" i="17"/>
  <c r="A1152" i="17"/>
  <c r="N1152" i="17" s="1"/>
  <c r="H1151" i="17"/>
  <c r="G1151" i="17"/>
  <c r="F1151" i="17"/>
  <c r="D1151" i="17"/>
  <c r="C1151" i="17"/>
  <c r="B1151" i="17"/>
  <c r="A1151" i="17"/>
  <c r="H1150" i="17"/>
  <c r="G1150" i="17"/>
  <c r="F1150" i="17"/>
  <c r="D1150" i="17"/>
  <c r="C1150" i="17"/>
  <c r="B1150" i="17"/>
  <c r="A1150" i="17"/>
  <c r="L1150" i="17" s="1"/>
  <c r="O1150" i="17" s="1"/>
  <c r="H1149" i="17"/>
  <c r="G1149" i="17"/>
  <c r="D1149" i="17"/>
  <c r="C1149" i="17"/>
  <c r="B1149" i="17"/>
  <c r="A1149" i="17"/>
  <c r="J1149" i="17" s="1"/>
  <c r="H1148" i="17"/>
  <c r="G1148" i="17"/>
  <c r="D1148" i="17"/>
  <c r="C1148" i="17"/>
  <c r="B1148" i="17"/>
  <c r="A1148" i="17"/>
  <c r="H1147" i="17"/>
  <c r="G1147" i="17"/>
  <c r="F1147" i="17"/>
  <c r="D1147" i="17"/>
  <c r="C1147" i="17"/>
  <c r="B1147" i="17"/>
  <c r="A1147" i="17"/>
  <c r="H1146" i="17"/>
  <c r="G1146" i="17"/>
  <c r="F1146" i="17"/>
  <c r="D1146" i="17"/>
  <c r="C1146" i="17"/>
  <c r="B1146" i="17"/>
  <c r="A1146" i="17"/>
  <c r="N1146" i="17" s="1"/>
  <c r="H1145" i="17"/>
  <c r="G1145" i="17"/>
  <c r="F1145" i="17"/>
  <c r="D1145" i="17"/>
  <c r="C1145" i="17"/>
  <c r="B1145" i="17"/>
  <c r="A1145" i="17"/>
  <c r="M1145" i="17" s="1"/>
  <c r="H1144" i="17"/>
  <c r="G1144" i="17"/>
  <c r="F1144" i="17"/>
  <c r="D1144" i="17"/>
  <c r="C1144" i="17"/>
  <c r="B1144" i="17"/>
  <c r="A1144" i="17"/>
  <c r="J1144" i="17" s="1"/>
  <c r="H1143" i="17"/>
  <c r="G1143" i="17"/>
  <c r="D1143" i="17"/>
  <c r="C1143" i="17"/>
  <c r="B1143" i="17"/>
  <c r="A1143" i="17"/>
  <c r="H1142" i="17"/>
  <c r="G1142" i="17"/>
  <c r="F1142" i="17"/>
  <c r="D1142" i="17"/>
  <c r="C1142" i="17"/>
  <c r="B1142" i="17"/>
  <c r="A1142" i="17"/>
  <c r="H1141" i="17"/>
  <c r="G1141" i="17"/>
  <c r="F1141" i="17"/>
  <c r="D1141" i="17"/>
  <c r="C1141" i="17"/>
  <c r="B1141" i="17"/>
  <c r="A1141" i="17"/>
  <c r="K1141" i="17" s="1"/>
  <c r="H1140" i="17"/>
  <c r="G1140" i="17"/>
  <c r="F1140" i="17"/>
  <c r="D1140" i="17"/>
  <c r="C1140" i="17"/>
  <c r="B1140" i="17"/>
  <c r="A1140" i="17"/>
  <c r="H1139" i="17"/>
  <c r="G1139" i="17"/>
  <c r="D1139" i="17"/>
  <c r="C1139" i="17"/>
  <c r="B1139" i="17"/>
  <c r="A1139" i="17"/>
  <c r="M1139" i="17" s="1"/>
  <c r="H1138" i="17"/>
  <c r="G1138" i="17"/>
  <c r="F1138" i="17"/>
  <c r="D1138" i="17"/>
  <c r="C1138" i="17"/>
  <c r="B1138" i="17"/>
  <c r="A1138" i="17"/>
  <c r="H1137" i="17"/>
  <c r="G1137" i="17"/>
  <c r="F1137" i="17"/>
  <c r="D1137" i="17"/>
  <c r="C1137" i="17"/>
  <c r="B1137" i="17"/>
  <c r="A1137" i="17"/>
  <c r="J1137" i="17" s="1"/>
  <c r="H1136" i="17"/>
  <c r="G1136" i="17"/>
  <c r="F1136" i="17"/>
  <c r="D1136" i="17"/>
  <c r="C1136" i="17"/>
  <c r="B1136" i="17"/>
  <c r="A1136" i="17"/>
  <c r="H1135" i="17"/>
  <c r="G1135" i="17"/>
  <c r="D1135" i="17"/>
  <c r="C1135" i="17"/>
  <c r="B1135" i="17"/>
  <c r="A1135" i="17"/>
  <c r="M1135" i="17" s="1"/>
  <c r="H1134" i="17"/>
  <c r="G1134" i="17"/>
  <c r="F1134" i="17"/>
  <c r="D1134" i="17"/>
  <c r="C1134" i="17"/>
  <c r="B1134" i="17"/>
  <c r="A1134" i="17"/>
  <c r="N1134" i="17" s="1"/>
  <c r="H1133" i="17"/>
  <c r="G1133" i="17"/>
  <c r="F1133" i="17"/>
  <c r="D1133" i="17"/>
  <c r="C1133" i="17"/>
  <c r="B1133" i="17"/>
  <c r="A1133" i="17"/>
  <c r="H1132" i="17"/>
  <c r="G1132" i="17"/>
  <c r="F1132" i="17"/>
  <c r="D1132" i="17"/>
  <c r="C1132" i="17"/>
  <c r="B1132" i="17"/>
  <c r="A1132" i="17"/>
  <c r="H1131" i="17"/>
  <c r="G1131" i="17"/>
  <c r="D1131" i="17"/>
  <c r="C1131" i="17"/>
  <c r="B1131" i="17"/>
  <c r="A1131" i="17"/>
  <c r="L1131" i="17" s="1"/>
  <c r="O1131" i="17" s="1"/>
  <c r="H1130" i="17"/>
  <c r="G1130" i="17"/>
  <c r="F1130" i="17"/>
  <c r="D1130" i="17"/>
  <c r="C1130" i="17"/>
  <c r="B1130" i="17"/>
  <c r="A1130" i="17"/>
  <c r="H1129" i="17"/>
  <c r="G1129" i="17"/>
  <c r="F1129" i="17"/>
  <c r="D1129" i="17"/>
  <c r="C1129" i="17"/>
  <c r="B1129" i="17"/>
  <c r="A1129" i="17"/>
  <c r="H1128" i="17"/>
  <c r="G1128" i="17"/>
  <c r="F1128" i="17"/>
  <c r="D1128" i="17"/>
  <c r="C1128" i="17"/>
  <c r="B1128" i="17"/>
  <c r="A1128" i="17"/>
  <c r="L1128" i="17" s="1"/>
  <c r="O1128" i="17" s="1"/>
  <c r="H1127" i="17"/>
  <c r="G1127" i="17"/>
  <c r="D1127" i="17"/>
  <c r="C1127" i="17"/>
  <c r="B1127" i="17"/>
  <c r="A1127" i="17"/>
  <c r="H1126" i="17"/>
  <c r="G1126" i="17"/>
  <c r="F1126" i="17"/>
  <c r="D1126" i="17"/>
  <c r="C1126" i="17"/>
  <c r="B1126" i="17"/>
  <c r="A1126" i="17"/>
  <c r="H1125" i="17"/>
  <c r="G1125" i="17"/>
  <c r="F1125" i="17"/>
  <c r="D1125" i="17"/>
  <c r="C1125" i="17"/>
  <c r="B1125" i="17"/>
  <c r="A1125" i="17"/>
  <c r="H1124" i="17"/>
  <c r="G1124" i="17"/>
  <c r="F1124" i="17"/>
  <c r="D1124" i="17"/>
  <c r="C1124" i="17"/>
  <c r="B1124" i="17"/>
  <c r="A1124" i="17"/>
  <c r="J1124" i="17" s="1"/>
  <c r="H1123" i="17"/>
  <c r="G1123" i="17"/>
  <c r="D1123" i="17"/>
  <c r="C1123" i="17"/>
  <c r="B1123" i="17"/>
  <c r="A1123" i="17"/>
  <c r="J1123" i="17" s="1"/>
  <c r="H1122" i="17"/>
  <c r="G1122" i="17"/>
  <c r="D1122" i="17"/>
  <c r="C1122" i="17"/>
  <c r="B1122" i="17"/>
  <c r="A1122" i="17"/>
  <c r="H1121" i="17"/>
  <c r="G1121" i="17"/>
  <c r="D1121" i="17"/>
  <c r="C1121" i="17"/>
  <c r="B1121" i="17"/>
  <c r="A1121" i="17"/>
  <c r="H1120" i="17"/>
  <c r="G1120" i="17"/>
  <c r="F1120" i="17"/>
  <c r="D1120" i="17"/>
  <c r="C1120" i="17"/>
  <c r="B1120" i="17"/>
  <c r="A1120" i="17"/>
  <c r="M1120" i="17" s="1"/>
  <c r="H1119" i="17"/>
  <c r="G1119" i="17"/>
  <c r="F1119" i="17"/>
  <c r="D1119" i="17"/>
  <c r="C1119" i="17"/>
  <c r="B1119" i="17"/>
  <c r="A1119" i="17"/>
  <c r="M1119" i="17" s="1"/>
  <c r="H1118" i="17"/>
  <c r="G1118" i="17"/>
  <c r="F1118" i="17"/>
  <c r="D1118" i="17"/>
  <c r="C1118" i="17"/>
  <c r="B1118" i="17"/>
  <c r="A1118" i="17"/>
  <c r="H1117" i="17"/>
  <c r="G1117" i="17"/>
  <c r="D1117" i="17"/>
  <c r="C1117" i="17"/>
  <c r="B1117" i="17"/>
  <c r="A1117" i="17"/>
  <c r="K1117" i="17" s="1"/>
  <c r="H1116" i="17"/>
  <c r="G1116" i="17"/>
  <c r="F1116" i="17"/>
  <c r="D1116" i="17"/>
  <c r="C1116" i="17"/>
  <c r="B1116" i="17"/>
  <c r="A1116" i="17"/>
  <c r="H1115" i="17"/>
  <c r="G1115" i="17"/>
  <c r="F1115" i="17"/>
  <c r="D1115" i="17"/>
  <c r="C1115" i="17"/>
  <c r="B1115" i="17"/>
  <c r="A1115" i="17"/>
  <c r="H1114" i="17"/>
  <c r="G1114" i="17"/>
  <c r="F1114" i="17"/>
  <c r="D1114" i="17"/>
  <c r="C1114" i="17"/>
  <c r="B1114" i="17"/>
  <c r="A1114" i="17"/>
  <c r="J1114" i="17" s="1"/>
  <c r="H1113" i="17"/>
  <c r="G1113" i="17"/>
  <c r="D1113" i="17"/>
  <c r="C1113" i="17"/>
  <c r="B1113" i="17"/>
  <c r="A1113" i="17"/>
  <c r="H1112" i="17"/>
  <c r="G1112" i="17"/>
  <c r="D1112" i="17"/>
  <c r="C1112" i="17"/>
  <c r="B1112" i="17"/>
  <c r="A1112" i="17"/>
  <c r="K1112" i="17" s="1"/>
  <c r="H1111" i="17"/>
  <c r="G1111" i="17"/>
  <c r="D1111" i="17"/>
  <c r="C1111" i="17"/>
  <c r="B1111" i="17"/>
  <c r="A1111" i="17"/>
  <c r="M1111" i="17" s="1"/>
  <c r="H1110" i="17"/>
  <c r="G1110" i="17"/>
  <c r="F1110" i="17"/>
  <c r="D1110" i="17"/>
  <c r="C1110" i="17"/>
  <c r="B1110" i="17"/>
  <c r="A1110" i="17"/>
  <c r="N1110" i="17" s="1"/>
  <c r="H1109" i="17"/>
  <c r="G1109" i="17"/>
  <c r="F1109" i="17"/>
  <c r="D1109" i="17"/>
  <c r="C1109" i="17"/>
  <c r="B1109" i="17"/>
  <c r="A1109" i="17"/>
  <c r="H1108" i="17"/>
  <c r="G1108" i="17"/>
  <c r="F1108" i="17"/>
  <c r="D1108" i="17"/>
  <c r="C1108" i="17"/>
  <c r="B1108" i="17"/>
  <c r="A1108" i="17"/>
  <c r="M1108" i="17" s="1"/>
  <c r="H1107" i="17"/>
  <c r="G1107" i="17"/>
  <c r="F1107" i="17"/>
  <c r="D1107" i="17"/>
  <c r="C1107" i="17"/>
  <c r="B1107" i="17"/>
  <c r="A1107" i="17"/>
  <c r="H1106" i="17"/>
  <c r="G1106" i="17"/>
  <c r="D1106" i="17"/>
  <c r="C1106" i="17"/>
  <c r="B1106" i="17"/>
  <c r="A1106" i="17"/>
  <c r="H1105" i="17"/>
  <c r="G1105" i="17"/>
  <c r="D1105" i="17"/>
  <c r="C1105" i="17"/>
  <c r="B1105" i="17"/>
  <c r="A1105" i="17"/>
  <c r="H1104" i="17"/>
  <c r="G1104" i="17"/>
  <c r="D1104" i="17"/>
  <c r="C1104" i="17"/>
  <c r="B1104" i="17"/>
  <c r="A1104" i="17"/>
  <c r="H1103" i="17"/>
  <c r="G1103" i="17"/>
  <c r="F1103" i="17"/>
  <c r="D1103" i="17"/>
  <c r="C1103" i="17"/>
  <c r="B1103" i="17"/>
  <c r="A1103" i="17"/>
  <c r="M1103" i="17" s="1"/>
  <c r="H1102" i="17"/>
  <c r="G1102" i="17"/>
  <c r="F1102" i="17"/>
  <c r="D1102" i="17"/>
  <c r="C1102" i="17"/>
  <c r="B1102" i="17"/>
  <c r="A1102" i="17"/>
  <c r="N1102" i="17" s="1"/>
  <c r="H1101" i="17"/>
  <c r="G1101" i="17"/>
  <c r="F1101" i="17"/>
  <c r="D1101" i="17"/>
  <c r="C1101" i="17"/>
  <c r="B1101" i="17"/>
  <c r="A1101" i="17"/>
  <c r="H1100" i="17"/>
  <c r="G1100" i="17"/>
  <c r="F1100" i="17"/>
  <c r="D1100" i="17"/>
  <c r="C1100" i="17"/>
  <c r="B1100" i="17"/>
  <c r="A1100" i="17"/>
  <c r="N1100" i="17" s="1"/>
  <c r="H1099" i="17"/>
  <c r="G1099" i="17"/>
  <c r="D1099" i="17"/>
  <c r="C1099" i="17"/>
  <c r="B1099" i="17"/>
  <c r="A1099" i="17"/>
  <c r="J1099" i="17" s="1"/>
  <c r="H1098" i="17"/>
  <c r="G1098" i="17"/>
  <c r="D1098" i="17"/>
  <c r="C1098" i="17"/>
  <c r="B1098" i="17"/>
  <c r="A1098" i="17"/>
  <c r="H1097" i="17"/>
  <c r="G1097" i="17"/>
  <c r="D1097" i="17"/>
  <c r="C1097" i="17"/>
  <c r="B1097" i="17"/>
  <c r="A1097" i="17"/>
  <c r="J1097" i="17" s="1"/>
  <c r="H1096" i="17"/>
  <c r="G1096" i="17"/>
  <c r="F1096" i="17"/>
  <c r="D1096" i="17"/>
  <c r="C1096" i="17"/>
  <c r="B1096" i="17"/>
  <c r="A1096" i="17"/>
  <c r="L1096" i="17" s="1"/>
  <c r="O1096" i="17" s="1"/>
  <c r="H1095" i="17"/>
  <c r="G1095" i="17"/>
  <c r="F1095" i="17"/>
  <c r="D1095" i="17"/>
  <c r="C1095" i="17"/>
  <c r="B1095" i="17"/>
  <c r="A1095" i="17"/>
  <c r="N1095" i="17" s="1"/>
  <c r="H1094" i="17"/>
  <c r="G1094" i="17"/>
  <c r="F1094" i="17"/>
  <c r="D1094" i="17"/>
  <c r="C1094" i="17"/>
  <c r="B1094" i="17"/>
  <c r="A1094" i="17"/>
  <c r="N1094" i="17" s="1"/>
  <c r="H1093" i="17"/>
  <c r="G1093" i="17"/>
  <c r="D1093" i="17"/>
  <c r="C1093" i="17"/>
  <c r="B1093" i="17"/>
  <c r="A1093" i="17"/>
  <c r="K1093" i="17" s="1"/>
  <c r="H1092" i="17"/>
  <c r="G1092" i="17"/>
  <c r="D1092" i="17"/>
  <c r="C1092" i="17"/>
  <c r="B1092" i="17"/>
  <c r="A1092" i="17"/>
  <c r="H1091" i="17"/>
  <c r="G1091" i="17"/>
  <c r="D1091" i="17"/>
  <c r="C1091" i="17"/>
  <c r="B1091" i="17"/>
  <c r="A1091" i="17"/>
  <c r="H1090" i="17"/>
  <c r="G1090" i="17"/>
  <c r="F1090" i="17"/>
  <c r="D1090" i="17"/>
  <c r="C1090" i="17"/>
  <c r="B1090" i="17"/>
  <c r="A1090" i="17"/>
  <c r="H1089" i="17"/>
  <c r="G1089" i="17"/>
  <c r="F1089" i="17"/>
  <c r="D1089" i="17"/>
  <c r="C1089" i="17"/>
  <c r="B1089" i="17"/>
  <c r="A1089" i="17"/>
  <c r="H1088" i="17"/>
  <c r="G1088" i="17"/>
  <c r="F1088" i="17"/>
  <c r="D1088" i="17"/>
  <c r="C1088" i="17"/>
  <c r="B1088" i="17"/>
  <c r="A1088" i="17"/>
  <c r="L1088" i="17" s="1"/>
  <c r="O1088" i="17" s="1"/>
  <c r="H1087" i="17"/>
  <c r="G1087" i="17"/>
  <c r="F1087" i="17"/>
  <c r="D1087" i="17"/>
  <c r="C1087" i="17"/>
  <c r="B1087" i="17"/>
  <c r="A1087" i="17"/>
  <c r="H1086" i="17"/>
  <c r="G1086" i="17"/>
  <c r="F1086" i="17"/>
  <c r="D1086" i="17"/>
  <c r="C1086" i="17"/>
  <c r="B1086" i="17"/>
  <c r="A1086" i="17"/>
  <c r="N1086" i="17" s="1"/>
  <c r="H1085" i="17"/>
  <c r="G1085" i="17"/>
  <c r="D1085" i="17"/>
  <c r="C1085" i="17"/>
  <c r="B1085" i="17"/>
  <c r="A1085" i="17"/>
  <c r="M1085" i="17" s="1"/>
  <c r="H1084" i="17"/>
  <c r="G1084" i="17"/>
  <c r="D1084" i="17"/>
  <c r="C1084" i="17"/>
  <c r="B1084" i="17"/>
  <c r="A1084" i="17"/>
  <c r="H1083" i="17"/>
  <c r="G1083" i="17"/>
  <c r="D1083" i="17"/>
  <c r="C1083" i="17"/>
  <c r="B1083" i="17"/>
  <c r="A1083" i="17"/>
  <c r="H1082" i="17"/>
  <c r="G1082" i="17"/>
  <c r="D1082" i="17"/>
  <c r="C1082" i="17"/>
  <c r="B1082" i="17"/>
  <c r="A1082" i="17"/>
  <c r="M1082" i="17" s="1"/>
  <c r="H1081" i="17"/>
  <c r="G1081" i="17"/>
  <c r="F1081" i="17"/>
  <c r="D1081" i="17"/>
  <c r="C1081" i="17"/>
  <c r="B1081" i="17"/>
  <c r="A1081" i="17"/>
  <c r="K1081" i="17" s="1"/>
  <c r="H1080" i="17"/>
  <c r="G1080" i="17"/>
  <c r="F1080" i="17"/>
  <c r="D1080" i="17"/>
  <c r="C1080" i="17"/>
  <c r="B1080" i="17"/>
  <c r="A1080" i="17"/>
  <c r="H1079" i="17"/>
  <c r="G1079" i="17"/>
  <c r="F1079" i="17"/>
  <c r="D1079" i="17"/>
  <c r="C1079" i="17"/>
  <c r="B1079" i="17"/>
  <c r="A1079" i="17"/>
  <c r="J1079" i="17" s="1"/>
  <c r="H1078" i="17"/>
  <c r="G1078" i="17"/>
  <c r="D1078" i="17"/>
  <c r="C1078" i="17"/>
  <c r="B1078" i="17"/>
  <c r="A1078" i="17"/>
  <c r="H1077" i="17"/>
  <c r="G1077" i="17"/>
  <c r="D1077" i="17"/>
  <c r="C1077" i="17"/>
  <c r="B1077" i="17"/>
  <c r="A1077" i="17"/>
  <c r="J1077" i="17" s="1"/>
  <c r="H1076" i="17"/>
  <c r="G1076" i="17"/>
  <c r="D1076" i="17"/>
  <c r="C1076" i="17"/>
  <c r="B1076" i="17"/>
  <c r="A1076" i="17"/>
  <c r="J1076" i="17" s="1"/>
  <c r="H1075" i="17"/>
  <c r="G1075" i="17"/>
  <c r="D1075" i="17"/>
  <c r="C1075" i="17"/>
  <c r="B1075" i="17"/>
  <c r="A1075" i="17"/>
  <c r="N1075" i="17" s="1"/>
  <c r="H1074" i="17"/>
  <c r="G1074" i="17"/>
  <c r="F1074" i="17"/>
  <c r="D1074" i="17"/>
  <c r="C1074" i="17"/>
  <c r="B1074" i="17"/>
  <c r="A1074" i="17"/>
  <c r="N1074" i="17" s="1"/>
  <c r="H1073" i="17"/>
  <c r="G1073" i="17"/>
  <c r="F1073" i="17"/>
  <c r="D1073" i="17"/>
  <c r="C1073" i="17"/>
  <c r="B1073" i="17"/>
  <c r="A1073" i="17"/>
  <c r="H1072" i="17"/>
  <c r="G1072" i="17"/>
  <c r="F1072" i="17"/>
  <c r="D1072" i="17"/>
  <c r="C1072" i="17"/>
  <c r="B1072" i="17"/>
  <c r="A1072" i="17"/>
  <c r="M1072" i="17" s="1"/>
  <c r="H1071" i="17"/>
  <c r="G1071" i="17"/>
  <c r="F1071" i="17"/>
  <c r="D1071" i="17"/>
  <c r="C1071" i="17"/>
  <c r="B1071" i="17"/>
  <c r="A1071" i="17"/>
  <c r="H1070" i="17"/>
  <c r="G1070" i="17"/>
  <c r="F1070" i="17"/>
  <c r="D1070" i="17"/>
  <c r="C1070" i="17"/>
  <c r="B1070" i="17"/>
  <c r="A1070" i="17"/>
  <c r="L1070" i="17" s="1"/>
  <c r="O1070" i="17" s="1"/>
  <c r="H1069" i="17"/>
  <c r="G1069" i="17"/>
  <c r="F1069" i="17"/>
  <c r="D1069" i="17"/>
  <c r="C1069" i="17"/>
  <c r="B1069" i="17"/>
  <c r="A1069" i="17"/>
  <c r="H1068" i="17"/>
  <c r="G1068" i="17"/>
  <c r="F1068" i="17"/>
  <c r="D1068" i="17"/>
  <c r="C1068" i="17"/>
  <c r="B1068" i="17"/>
  <c r="A1068" i="17"/>
  <c r="J1068" i="17" s="1"/>
  <c r="H1067" i="17"/>
  <c r="G1067" i="17"/>
  <c r="D1067" i="17"/>
  <c r="C1067" i="17"/>
  <c r="B1067" i="17"/>
  <c r="A1067" i="17"/>
  <c r="H1066" i="17"/>
  <c r="G1066" i="17"/>
  <c r="D1066" i="17"/>
  <c r="C1066" i="17"/>
  <c r="B1066" i="17"/>
  <c r="A1066" i="17"/>
  <c r="K1066" i="17" s="1"/>
  <c r="H1065" i="17"/>
  <c r="G1065" i="17"/>
  <c r="D1065" i="17"/>
  <c r="C1065" i="17"/>
  <c r="B1065" i="17"/>
  <c r="A1065" i="17"/>
  <c r="L1065" i="17" s="1"/>
  <c r="O1065" i="17" s="1"/>
  <c r="H1064" i="17"/>
  <c r="G1064" i="17"/>
  <c r="D1064" i="17"/>
  <c r="C1064" i="17"/>
  <c r="B1064" i="17"/>
  <c r="A1064" i="17"/>
  <c r="H1063" i="17"/>
  <c r="G1063" i="17"/>
  <c r="D1063" i="17"/>
  <c r="C1063" i="17"/>
  <c r="B1063" i="17"/>
  <c r="A1063" i="17"/>
  <c r="H1062" i="17"/>
  <c r="G1062" i="17"/>
  <c r="D1062" i="17"/>
  <c r="C1062" i="17"/>
  <c r="B1062" i="17"/>
  <c r="A1062" i="17"/>
  <c r="L1062" i="17" s="1"/>
  <c r="O1062" i="17" s="1"/>
  <c r="H1061" i="17"/>
  <c r="G1061" i="17"/>
  <c r="F1061" i="17"/>
  <c r="D1061" i="17"/>
  <c r="C1061" i="17"/>
  <c r="B1061" i="17"/>
  <c r="A1061" i="17"/>
  <c r="J1061" i="17" s="1"/>
  <c r="H1060" i="17"/>
  <c r="G1060" i="17"/>
  <c r="F1060" i="17"/>
  <c r="D1060" i="17"/>
  <c r="C1060" i="17"/>
  <c r="B1060" i="17"/>
  <c r="A1060" i="17"/>
  <c r="L1060" i="17" s="1"/>
  <c r="O1060" i="17" s="1"/>
  <c r="H1059" i="17"/>
  <c r="G1059" i="17"/>
  <c r="F1059" i="17"/>
  <c r="D1059" i="17"/>
  <c r="C1059" i="17"/>
  <c r="B1059" i="17"/>
  <c r="A1059" i="17"/>
  <c r="L1059" i="17" s="1"/>
  <c r="O1059" i="17" s="1"/>
  <c r="H1058" i="17"/>
  <c r="G1058" i="17"/>
  <c r="F1058" i="17"/>
  <c r="D1058" i="17"/>
  <c r="C1058" i="17"/>
  <c r="B1058" i="17"/>
  <c r="A1058" i="17"/>
  <c r="H1057" i="17"/>
  <c r="G1057" i="17"/>
  <c r="D1057" i="17"/>
  <c r="C1057" i="17"/>
  <c r="B1057" i="17"/>
  <c r="A1057" i="17"/>
  <c r="L1057" i="17" s="1"/>
  <c r="O1057" i="17" s="1"/>
  <c r="H1056" i="17"/>
  <c r="G1056" i="17"/>
  <c r="D1056" i="17"/>
  <c r="C1056" i="17"/>
  <c r="B1056" i="17"/>
  <c r="A1056" i="17"/>
  <c r="H1055" i="17"/>
  <c r="G1055" i="17"/>
  <c r="D1055" i="17"/>
  <c r="C1055" i="17"/>
  <c r="B1055" i="17"/>
  <c r="A1055" i="17"/>
  <c r="N1055" i="17" s="1"/>
  <c r="H1054" i="17"/>
  <c r="D1054" i="17"/>
  <c r="C1054" i="17"/>
  <c r="B1054" i="17"/>
  <c r="A1054" i="17"/>
  <c r="L1054" i="17" s="1"/>
  <c r="O1054" i="17" s="1"/>
  <c r="H1053" i="17"/>
  <c r="G1053" i="17"/>
  <c r="F1053" i="17"/>
  <c r="D1053" i="17"/>
  <c r="C1053" i="17"/>
  <c r="B1053" i="17"/>
  <c r="A1053" i="17"/>
  <c r="M1053" i="17" s="1"/>
  <c r="H1052" i="17"/>
  <c r="G1052" i="17"/>
  <c r="F1052" i="17"/>
  <c r="D1052" i="17"/>
  <c r="C1052" i="17"/>
  <c r="B1052" i="17"/>
  <c r="A1052" i="17"/>
  <c r="H1051" i="17"/>
  <c r="G1051" i="17"/>
  <c r="F1051" i="17"/>
  <c r="D1051" i="17"/>
  <c r="C1051" i="17"/>
  <c r="B1051" i="17"/>
  <c r="A1051" i="17"/>
  <c r="L1051" i="17" s="1"/>
  <c r="O1051" i="17" s="1"/>
  <c r="P1051" i="17" s="1"/>
  <c r="H1050" i="17"/>
  <c r="G1050" i="17"/>
  <c r="D1050" i="17"/>
  <c r="C1050" i="17"/>
  <c r="B1050" i="17"/>
  <c r="A1050" i="17"/>
  <c r="H1049" i="17"/>
  <c r="G1049" i="17"/>
  <c r="D1049" i="17"/>
  <c r="C1049" i="17"/>
  <c r="B1049" i="17"/>
  <c r="A1049" i="17"/>
  <c r="N1049" i="17" s="1"/>
  <c r="H1048" i="17"/>
  <c r="G1048" i="17"/>
  <c r="D1048" i="17"/>
  <c r="C1048" i="17"/>
  <c r="B1048" i="17"/>
  <c r="A1048" i="17"/>
  <c r="L1048" i="17" s="1"/>
  <c r="O1048" i="17" s="1"/>
  <c r="P1048" i="17" s="1"/>
  <c r="H1047" i="17"/>
  <c r="G1047" i="17"/>
  <c r="D1047" i="17"/>
  <c r="C1047" i="17"/>
  <c r="B1047" i="17"/>
  <c r="A1047" i="17"/>
  <c r="H1046" i="17"/>
  <c r="G1046" i="17"/>
  <c r="F1046" i="17"/>
  <c r="D1046" i="17"/>
  <c r="C1046" i="17"/>
  <c r="B1046" i="17"/>
  <c r="A1046" i="17"/>
  <c r="N1046" i="17" s="1"/>
  <c r="H1045" i="17"/>
  <c r="G1045" i="17"/>
  <c r="F1045" i="17"/>
  <c r="D1045" i="17"/>
  <c r="C1045" i="17"/>
  <c r="B1045" i="17"/>
  <c r="A1045" i="17"/>
  <c r="M1045" i="17" s="1"/>
  <c r="H1044" i="17"/>
  <c r="G1044" i="17"/>
  <c r="F1044" i="17"/>
  <c r="D1044" i="17"/>
  <c r="C1044" i="17"/>
  <c r="B1044" i="17"/>
  <c r="A1044" i="17"/>
  <c r="K1044" i="17" s="1"/>
  <c r="H1043" i="17"/>
  <c r="G1043" i="17"/>
  <c r="F1043" i="17"/>
  <c r="D1043" i="17"/>
  <c r="C1043" i="17"/>
  <c r="B1043" i="17"/>
  <c r="A1043" i="17"/>
  <c r="L1043" i="17" s="1"/>
  <c r="O1043" i="17" s="1"/>
  <c r="H1042" i="17"/>
  <c r="G1042" i="17"/>
  <c r="D1042" i="17"/>
  <c r="C1042" i="17"/>
  <c r="B1042" i="17"/>
  <c r="A1042" i="17"/>
  <c r="H1041" i="17"/>
  <c r="G1041" i="17"/>
  <c r="F1041" i="17"/>
  <c r="D1041" i="17"/>
  <c r="C1041" i="17"/>
  <c r="B1041" i="17"/>
  <c r="A1041" i="17"/>
  <c r="H1040" i="17"/>
  <c r="G1040" i="17"/>
  <c r="F1040" i="17"/>
  <c r="D1040" i="17"/>
  <c r="C1040" i="17"/>
  <c r="B1040" i="17"/>
  <c r="A1040" i="17"/>
  <c r="N1040" i="17" s="1"/>
  <c r="H1039" i="17"/>
  <c r="G1039" i="17"/>
  <c r="F1039" i="17"/>
  <c r="D1039" i="17"/>
  <c r="C1039" i="17"/>
  <c r="B1039" i="17"/>
  <c r="A1039" i="17"/>
  <c r="H1038" i="17"/>
  <c r="G1038" i="17"/>
  <c r="F1038" i="17"/>
  <c r="D1038" i="17"/>
  <c r="C1038" i="17"/>
  <c r="B1038" i="17"/>
  <c r="A1038" i="17"/>
  <c r="H1037" i="17"/>
  <c r="G1037" i="17"/>
  <c r="D1037" i="17"/>
  <c r="C1037" i="17"/>
  <c r="B1037" i="17"/>
  <c r="A1037" i="17"/>
  <c r="H1036" i="17"/>
  <c r="G1036" i="17"/>
  <c r="D1036" i="17"/>
  <c r="C1036" i="17"/>
  <c r="B1036" i="17"/>
  <c r="A1036" i="17"/>
  <c r="L1036" i="17" s="1"/>
  <c r="O1036" i="17" s="1"/>
  <c r="H1035" i="17"/>
  <c r="G1035" i="17"/>
  <c r="D1035" i="17"/>
  <c r="C1035" i="17"/>
  <c r="B1035" i="17"/>
  <c r="A1035" i="17"/>
  <c r="K1035" i="17" s="1"/>
  <c r="H1034" i="17"/>
  <c r="G1034" i="17"/>
  <c r="F1034" i="17"/>
  <c r="D1034" i="17"/>
  <c r="C1034" i="17"/>
  <c r="B1034" i="17"/>
  <c r="A1034" i="17"/>
  <c r="N1034" i="17" s="1"/>
  <c r="H1033" i="17"/>
  <c r="G1033" i="17"/>
  <c r="F1033" i="17"/>
  <c r="D1033" i="17"/>
  <c r="C1033" i="17"/>
  <c r="B1033" i="17"/>
  <c r="A1033" i="17"/>
  <c r="H1032" i="17"/>
  <c r="G1032" i="17"/>
  <c r="F1032" i="17"/>
  <c r="D1032" i="17"/>
  <c r="C1032" i="17"/>
  <c r="B1032" i="17"/>
  <c r="A1032" i="17"/>
  <c r="H1031" i="17"/>
  <c r="G1031" i="17"/>
  <c r="D1031" i="17"/>
  <c r="C1031" i="17"/>
  <c r="B1031" i="17"/>
  <c r="A1031" i="17"/>
  <c r="N1031" i="17" s="1"/>
  <c r="H1030" i="17"/>
  <c r="G1030" i="17"/>
  <c r="D1030" i="17"/>
  <c r="C1030" i="17"/>
  <c r="B1030" i="17"/>
  <c r="A1030" i="17"/>
  <c r="H1029" i="17"/>
  <c r="G1029" i="17"/>
  <c r="D1029" i="17"/>
  <c r="C1029" i="17"/>
  <c r="B1029" i="17"/>
  <c r="A1029" i="17"/>
  <c r="N1029" i="17" s="1"/>
  <c r="H1028" i="17"/>
  <c r="G1028" i="17"/>
  <c r="D1028" i="17"/>
  <c r="C1028" i="17"/>
  <c r="B1028" i="17"/>
  <c r="A1028" i="17"/>
  <c r="H1027" i="17"/>
  <c r="G1027" i="17"/>
  <c r="F1027" i="17"/>
  <c r="D1027" i="17"/>
  <c r="C1027" i="17"/>
  <c r="B1027" i="17"/>
  <c r="A1027" i="17"/>
  <c r="H1026" i="17"/>
  <c r="G1026" i="17"/>
  <c r="F1026" i="17"/>
  <c r="D1026" i="17"/>
  <c r="C1026" i="17"/>
  <c r="B1026" i="17"/>
  <c r="A1026" i="17"/>
  <c r="K1026" i="17" s="1"/>
  <c r="H1025" i="17"/>
  <c r="G1025" i="17"/>
  <c r="F1025" i="17"/>
  <c r="D1025" i="17"/>
  <c r="C1025" i="17"/>
  <c r="B1025" i="17"/>
  <c r="A1025" i="17"/>
  <c r="M1025" i="17" s="1"/>
  <c r="H1024" i="17"/>
  <c r="G1024" i="17"/>
  <c r="F1024" i="17"/>
  <c r="D1024" i="17"/>
  <c r="C1024" i="17"/>
  <c r="B1024" i="17"/>
  <c r="A1024" i="17"/>
  <c r="N1024" i="17" s="1"/>
  <c r="H1023" i="17"/>
  <c r="G1023" i="17"/>
  <c r="F1023" i="17"/>
  <c r="D1023" i="17"/>
  <c r="C1023" i="17"/>
  <c r="B1023" i="17"/>
  <c r="A1023" i="17"/>
  <c r="H1022" i="17"/>
  <c r="G1022" i="17"/>
  <c r="D1022" i="17"/>
  <c r="C1022" i="17"/>
  <c r="B1022" i="17"/>
  <c r="A1022" i="17"/>
  <c r="H1021" i="17"/>
  <c r="G1021" i="17"/>
  <c r="D1021" i="17"/>
  <c r="C1021" i="17"/>
  <c r="B1021" i="17"/>
  <c r="A1021" i="17"/>
  <c r="N1021" i="17" s="1"/>
  <c r="H1020" i="17"/>
  <c r="G1020" i="17"/>
  <c r="D1020" i="17"/>
  <c r="C1020" i="17"/>
  <c r="B1020" i="17"/>
  <c r="A1020" i="17"/>
  <c r="H1019" i="17"/>
  <c r="G1019" i="17"/>
  <c r="D1019" i="17"/>
  <c r="C1019" i="17"/>
  <c r="B1019" i="17"/>
  <c r="A1019" i="17"/>
  <c r="M1019" i="17" s="1"/>
  <c r="H1018" i="17"/>
  <c r="G1018" i="17"/>
  <c r="F1018" i="17"/>
  <c r="D1018" i="17"/>
  <c r="C1018" i="17"/>
  <c r="B1018" i="17"/>
  <c r="A1018" i="17"/>
  <c r="H1017" i="17"/>
  <c r="G1017" i="17"/>
  <c r="F1017" i="17"/>
  <c r="D1017" i="17"/>
  <c r="C1017" i="17"/>
  <c r="B1017" i="17"/>
  <c r="A1017" i="17"/>
  <c r="M1017" i="17" s="1"/>
  <c r="H1016" i="17"/>
  <c r="G1016" i="17"/>
  <c r="F1016" i="17"/>
  <c r="D1016" i="17"/>
  <c r="C1016" i="17"/>
  <c r="B1016" i="17"/>
  <c r="A1016" i="17"/>
  <c r="N1016" i="17" s="1"/>
  <c r="H1015" i="17"/>
  <c r="G1015" i="17"/>
  <c r="F1015" i="17"/>
  <c r="D1015" i="17"/>
  <c r="C1015" i="17"/>
  <c r="B1015" i="17"/>
  <c r="A1015" i="17"/>
  <c r="M1015" i="17" s="1"/>
  <c r="H1014" i="17"/>
  <c r="G1014" i="17"/>
  <c r="F1014" i="17"/>
  <c r="D1014" i="17"/>
  <c r="C1014" i="17"/>
  <c r="B1014" i="17"/>
  <c r="A1014" i="17"/>
  <c r="H1013" i="17"/>
  <c r="G1013" i="17"/>
  <c r="D1013" i="17"/>
  <c r="C1013" i="17"/>
  <c r="B1013" i="17"/>
  <c r="A1013" i="17"/>
  <c r="H1012" i="17"/>
  <c r="G1012" i="17"/>
  <c r="D1012" i="17"/>
  <c r="C1012" i="17"/>
  <c r="B1012" i="17"/>
  <c r="A1012" i="17"/>
  <c r="H1011" i="17"/>
  <c r="G1011" i="17"/>
  <c r="D1011" i="17"/>
  <c r="C1011" i="17"/>
  <c r="B1011" i="17"/>
  <c r="A1011" i="17"/>
  <c r="H1010" i="17"/>
  <c r="G1010" i="17"/>
  <c r="F1010" i="17"/>
  <c r="D1010" i="17"/>
  <c r="C1010" i="17"/>
  <c r="B1010" i="17"/>
  <c r="A1010" i="17"/>
  <c r="N1010" i="17" s="1"/>
  <c r="H1009" i="17"/>
  <c r="G1009" i="17"/>
  <c r="F1009" i="17"/>
  <c r="D1009" i="17"/>
  <c r="C1009" i="17"/>
  <c r="B1009" i="17"/>
  <c r="A1009" i="17"/>
  <c r="H1008" i="17"/>
  <c r="G1008" i="17"/>
  <c r="F1008" i="17"/>
  <c r="D1008" i="17"/>
  <c r="C1008" i="17"/>
  <c r="B1008" i="17"/>
  <c r="A1008" i="17"/>
  <c r="H1007" i="17"/>
  <c r="G1007" i="17"/>
  <c r="F1007" i="17"/>
  <c r="D1007" i="17"/>
  <c r="C1007" i="17"/>
  <c r="B1007" i="17"/>
  <c r="A1007" i="17"/>
  <c r="H1006" i="17"/>
  <c r="G1006" i="17"/>
  <c r="F1006" i="17"/>
  <c r="D1006" i="17"/>
  <c r="C1006" i="17"/>
  <c r="B1006" i="17"/>
  <c r="A1006" i="17"/>
  <c r="L1006" i="17" s="1"/>
  <c r="O1006" i="17" s="1"/>
  <c r="H1005" i="17"/>
  <c r="G1005" i="17"/>
  <c r="D1005" i="17"/>
  <c r="C1005" i="17"/>
  <c r="B1005" i="17"/>
  <c r="A1005" i="17"/>
  <c r="H1004" i="17"/>
  <c r="G1004" i="17"/>
  <c r="D1004" i="17"/>
  <c r="C1004" i="17"/>
  <c r="B1004" i="17"/>
  <c r="A1004" i="17"/>
  <c r="H1003" i="17"/>
  <c r="G1003" i="17"/>
  <c r="D1003" i="17"/>
  <c r="C1003" i="17"/>
  <c r="B1003" i="17"/>
  <c r="A1003" i="17"/>
  <c r="M1003" i="17" s="1"/>
  <c r="H1002" i="17"/>
  <c r="G1002" i="17"/>
  <c r="D1002" i="17"/>
  <c r="C1002" i="17"/>
  <c r="B1002" i="17"/>
  <c r="A1002" i="17"/>
  <c r="H1001" i="17"/>
  <c r="G1001" i="17"/>
  <c r="D1001" i="17"/>
  <c r="C1001" i="17"/>
  <c r="B1001" i="17"/>
  <c r="A1001" i="17"/>
  <c r="K1001" i="17" s="1"/>
  <c r="H1000" i="17"/>
  <c r="G1000" i="17"/>
  <c r="D1000" i="17"/>
  <c r="C1000" i="17"/>
  <c r="B1000" i="17"/>
  <c r="A1000" i="17"/>
  <c r="L1000" i="17" s="1"/>
  <c r="O1000" i="17" s="1"/>
  <c r="H999" i="17"/>
  <c r="G999" i="17"/>
  <c r="D999" i="17"/>
  <c r="C999" i="17"/>
  <c r="B999" i="17"/>
  <c r="A999" i="17"/>
  <c r="L999" i="17" s="1"/>
  <c r="O999" i="17" s="1"/>
  <c r="H998" i="17"/>
  <c r="G998" i="17"/>
  <c r="D998" i="17"/>
  <c r="C998" i="17"/>
  <c r="B998" i="17"/>
  <c r="A998" i="17"/>
  <c r="M998" i="17" s="1"/>
  <c r="H997" i="17"/>
  <c r="G997" i="17"/>
  <c r="D997" i="17"/>
  <c r="C997" i="17"/>
  <c r="B997" i="17"/>
  <c r="A997" i="17"/>
  <c r="H996" i="17"/>
  <c r="G996" i="17"/>
  <c r="F996" i="17"/>
  <c r="D996" i="17"/>
  <c r="C996" i="17"/>
  <c r="B996" i="17"/>
  <c r="A996" i="17"/>
  <c r="H995" i="17"/>
  <c r="G995" i="17"/>
  <c r="F995" i="17"/>
  <c r="D995" i="17"/>
  <c r="C995" i="17"/>
  <c r="B995" i="17"/>
  <c r="A995" i="17"/>
  <c r="J995" i="17" s="1"/>
  <c r="H994" i="17"/>
  <c r="G994" i="17"/>
  <c r="F994" i="17"/>
  <c r="D994" i="17"/>
  <c r="C994" i="17"/>
  <c r="B994" i="17"/>
  <c r="A994" i="17"/>
  <c r="K994" i="17" s="1"/>
  <c r="H993" i="17"/>
  <c r="G993" i="17"/>
  <c r="D993" i="17"/>
  <c r="C993" i="17"/>
  <c r="B993" i="17"/>
  <c r="A993" i="17"/>
  <c r="H992" i="17"/>
  <c r="G992" i="17"/>
  <c r="D992" i="17"/>
  <c r="C992" i="17"/>
  <c r="B992" i="17"/>
  <c r="A992" i="17"/>
  <c r="H991" i="17"/>
  <c r="G991" i="17"/>
  <c r="D991" i="17"/>
  <c r="C991" i="17"/>
  <c r="B991" i="17"/>
  <c r="A991" i="17"/>
  <c r="M991" i="17" s="1"/>
  <c r="H990" i="17"/>
  <c r="G990" i="17"/>
  <c r="D990" i="17"/>
  <c r="C990" i="17"/>
  <c r="B990" i="17"/>
  <c r="A990" i="17"/>
  <c r="M990" i="17" s="1"/>
  <c r="H989" i="17"/>
  <c r="G989" i="17"/>
  <c r="D989" i="17"/>
  <c r="C989" i="17"/>
  <c r="B989" i="17"/>
  <c r="A989" i="17"/>
  <c r="H988" i="17"/>
  <c r="G988" i="17"/>
  <c r="F988" i="17"/>
  <c r="D988" i="17"/>
  <c r="C988" i="17"/>
  <c r="B988" i="17"/>
  <c r="A988" i="17"/>
  <c r="J988" i="17" s="1"/>
  <c r="H987" i="17"/>
  <c r="G987" i="17"/>
  <c r="D987" i="17"/>
  <c r="C987" i="17"/>
  <c r="B987" i="17"/>
  <c r="A987" i="17"/>
  <c r="H986" i="17"/>
  <c r="G986" i="17"/>
  <c r="F986" i="17"/>
  <c r="D986" i="17"/>
  <c r="C986" i="17"/>
  <c r="B986" i="17"/>
  <c r="A986" i="17"/>
  <c r="M986" i="17" s="1"/>
  <c r="H985" i="17"/>
  <c r="G985" i="17"/>
  <c r="F985" i="17"/>
  <c r="D985" i="17"/>
  <c r="C985" i="17"/>
  <c r="B985" i="17"/>
  <c r="A985" i="17"/>
  <c r="J985" i="17" s="1"/>
  <c r="H984" i="17"/>
  <c r="G984" i="17"/>
  <c r="D984" i="17"/>
  <c r="C984" i="17"/>
  <c r="B984" i="17"/>
  <c r="A984" i="17"/>
  <c r="J984" i="17" s="1"/>
  <c r="H983" i="17"/>
  <c r="G983" i="17"/>
  <c r="D983" i="17"/>
  <c r="C983" i="17"/>
  <c r="B983" i="17"/>
  <c r="A983" i="17"/>
  <c r="K983" i="17" s="1"/>
  <c r="H982" i="17"/>
  <c r="G982" i="17"/>
  <c r="D982" i="17"/>
  <c r="C982" i="17"/>
  <c r="B982" i="17"/>
  <c r="A982" i="17"/>
  <c r="N982" i="17" s="1"/>
  <c r="H981" i="17"/>
  <c r="G981" i="17"/>
  <c r="F981" i="17"/>
  <c r="D981" i="17"/>
  <c r="C981" i="17"/>
  <c r="B981" i="17"/>
  <c r="A981" i="17"/>
  <c r="M981" i="17" s="1"/>
  <c r="H980" i="17"/>
  <c r="G980" i="17"/>
  <c r="F980" i="17"/>
  <c r="D980" i="17"/>
  <c r="C980" i="17"/>
  <c r="B980" i="17"/>
  <c r="A980" i="17"/>
  <c r="L980" i="17" s="1"/>
  <c r="O980" i="17" s="1"/>
  <c r="H979" i="17"/>
  <c r="G979" i="17"/>
  <c r="F979" i="17"/>
  <c r="D979" i="17"/>
  <c r="C979" i="17"/>
  <c r="B979" i="17"/>
  <c r="A979" i="17"/>
  <c r="K979" i="17" s="1"/>
  <c r="H978" i="17"/>
  <c r="G978" i="17"/>
  <c r="F978" i="17"/>
  <c r="D978" i="17"/>
  <c r="C978" i="17"/>
  <c r="B978" i="17"/>
  <c r="A978" i="17"/>
  <c r="H977" i="17"/>
  <c r="G977" i="17"/>
  <c r="F977" i="17"/>
  <c r="D977" i="17"/>
  <c r="C977" i="17"/>
  <c r="B977" i="17"/>
  <c r="A977" i="17"/>
  <c r="L977" i="17" s="1"/>
  <c r="O977" i="17" s="1"/>
  <c r="H976" i="17"/>
  <c r="G976" i="17"/>
  <c r="F976" i="17"/>
  <c r="D976" i="17"/>
  <c r="C976" i="17"/>
  <c r="B976" i="17"/>
  <c r="A976" i="17"/>
  <c r="N976" i="17" s="1"/>
  <c r="H975" i="17"/>
  <c r="G975" i="17"/>
  <c r="D975" i="17"/>
  <c r="C975" i="17"/>
  <c r="B975" i="17"/>
  <c r="A975" i="17"/>
  <c r="M975" i="17" s="1"/>
  <c r="H974" i="17"/>
  <c r="G974" i="17"/>
  <c r="D974" i="17"/>
  <c r="C974" i="17"/>
  <c r="B974" i="17"/>
  <c r="A974" i="17"/>
  <c r="H973" i="17"/>
  <c r="G973" i="17"/>
  <c r="D973" i="17"/>
  <c r="C973" i="17"/>
  <c r="B973" i="17"/>
  <c r="A973" i="17"/>
  <c r="J973" i="17" s="1"/>
  <c r="H972" i="17"/>
  <c r="G972" i="17"/>
  <c r="D972" i="17"/>
  <c r="C972" i="17"/>
  <c r="B972" i="17"/>
  <c r="A972" i="17"/>
  <c r="N972" i="17" s="1"/>
  <c r="H971" i="17"/>
  <c r="G971" i="17"/>
  <c r="D971" i="17"/>
  <c r="C971" i="17"/>
  <c r="B971" i="17"/>
  <c r="A971" i="17"/>
  <c r="M971" i="17" s="1"/>
  <c r="H970" i="17"/>
  <c r="G970" i="17"/>
  <c r="D970" i="17"/>
  <c r="C970" i="17"/>
  <c r="B970" i="17"/>
  <c r="A970" i="17"/>
  <c r="H969" i="17"/>
  <c r="G969" i="17"/>
  <c r="D969" i="17"/>
  <c r="C969" i="17"/>
  <c r="B969" i="17"/>
  <c r="A969" i="17"/>
  <c r="M969" i="17" s="1"/>
  <c r="H968" i="17"/>
  <c r="G968" i="17"/>
  <c r="D968" i="17"/>
  <c r="C968" i="17"/>
  <c r="B968" i="17"/>
  <c r="A968" i="17"/>
  <c r="L968" i="17" s="1"/>
  <c r="O968" i="17" s="1"/>
  <c r="H967" i="17"/>
  <c r="G967" i="17"/>
  <c r="D967" i="17"/>
  <c r="C967" i="17"/>
  <c r="B967" i="17"/>
  <c r="A967" i="17"/>
  <c r="H966" i="17"/>
  <c r="G966" i="17"/>
  <c r="F966" i="17"/>
  <c r="D966" i="17"/>
  <c r="C966" i="17"/>
  <c r="B966" i="17"/>
  <c r="A966" i="17"/>
  <c r="K966" i="17" s="1"/>
  <c r="H965" i="17"/>
  <c r="G965" i="17"/>
  <c r="F965" i="17"/>
  <c r="D965" i="17"/>
  <c r="C965" i="17"/>
  <c r="B965" i="17"/>
  <c r="A965" i="17"/>
  <c r="K965" i="17" s="1"/>
  <c r="H964" i="17"/>
  <c r="G964" i="17"/>
  <c r="F964" i="17"/>
  <c r="D964" i="17"/>
  <c r="C964" i="17"/>
  <c r="B964" i="17"/>
  <c r="A964" i="17"/>
  <c r="H963" i="17"/>
  <c r="G963" i="17"/>
  <c r="D963" i="17"/>
  <c r="C963" i="17"/>
  <c r="B963" i="17"/>
  <c r="A963" i="17"/>
  <c r="L963" i="17" s="1"/>
  <c r="O963" i="17" s="1"/>
  <c r="H962" i="17"/>
  <c r="G962" i="17"/>
  <c r="D962" i="17"/>
  <c r="C962" i="17"/>
  <c r="B962" i="17"/>
  <c r="A962" i="17"/>
  <c r="M962" i="17" s="1"/>
  <c r="H961" i="17"/>
  <c r="G961" i="17"/>
  <c r="D961" i="17"/>
  <c r="C961" i="17"/>
  <c r="B961" i="17"/>
  <c r="A961" i="17"/>
  <c r="L961" i="17" s="1"/>
  <c r="O961" i="17" s="1"/>
  <c r="H960" i="17"/>
  <c r="G960" i="17"/>
  <c r="F960" i="17"/>
  <c r="D960" i="17"/>
  <c r="C960" i="17"/>
  <c r="B960" i="17"/>
  <c r="A960" i="17"/>
  <c r="H959" i="17"/>
  <c r="G959" i="17"/>
  <c r="F959" i="17"/>
  <c r="D959" i="17"/>
  <c r="C959" i="17"/>
  <c r="B959" i="17"/>
  <c r="A959" i="17"/>
  <c r="H958" i="17"/>
  <c r="G958" i="17"/>
  <c r="F958" i="17"/>
  <c r="D958" i="17"/>
  <c r="C958" i="17"/>
  <c r="B958" i="17"/>
  <c r="A958" i="17"/>
  <c r="M958" i="17" s="1"/>
  <c r="H957" i="17"/>
  <c r="G957" i="17"/>
  <c r="F957" i="17"/>
  <c r="D957" i="17"/>
  <c r="C957" i="17"/>
  <c r="B957" i="17"/>
  <c r="A957" i="17"/>
  <c r="K957" i="17" s="1"/>
  <c r="H956" i="17"/>
  <c r="G956" i="17"/>
  <c r="F956" i="17"/>
  <c r="D956" i="17"/>
  <c r="C956" i="17"/>
  <c r="B956" i="17"/>
  <c r="A956" i="17"/>
  <c r="H955" i="17"/>
  <c r="G955" i="17"/>
  <c r="D955" i="17"/>
  <c r="C955" i="17"/>
  <c r="B955" i="17"/>
  <c r="A955" i="17"/>
  <c r="M955" i="17" s="1"/>
  <c r="H954" i="17"/>
  <c r="G954" i="17"/>
  <c r="D954" i="17"/>
  <c r="C954" i="17"/>
  <c r="B954" i="17"/>
  <c r="A954" i="17"/>
  <c r="M954" i="17" s="1"/>
  <c r="H953" i="17"/>
  <c r="G953" i="17"/>
  <c r="D953" i="17"/>
  <c r="C953" i="17"/>
  <c r="B953" i="17"/>
  <c r="A953" i="17"/>
  <c r="M953" i="17" s="1"/>
  <c r="H952" i="17"/>
  <c r="G952" i="17"/>
  <c r="D952" i="17"/>
  <c r="C952" i="17"/>
  <c r="B952" i="17"/>
  <c r="A952" i="17"/>
  <c r="H951" i="17"/>
  <c r="G951" i="17"/>
  <c r="F951" i="17"/>
  <c r="D951" i="17"/>
  <c r="C951" i="17"/>
  <c r="B951" i="17"/>
  <c r="A951" i="17"/>
  <c r="J951" i="17" s="1"/>
  <c r="H950" i="17"/>
  <c r="G950" i="17"/>
  <c r="F950" i="17"/>
  <c r="D950" i="17"/>
  <c r="C950" i="17"/>
  <c r="B950" i="17"/>
  <c r="A950" i="17"/>
  <c r="H949" i="17"/>
  <c r="G949" i="17"/>
  <c r="F949" i="17"/>
  <c r="D949" i="17"/>
  <c r="C949" i="17"/>
  <c r="B949" i="17"/>
  <c r="A949" i="17"/>
  <c r="M949" i="17" s="1"/>
  <c r="H948" i="17"/>
  <c r="G948" i="17"/>
  <c r="F948" i="17"/>
  <c r="D948" i="17"/>
  <c r="C948" i="17"/>
  <c r="B948" i="17"/>
  <c r="A948" i="17"/>
  <c r="H947" i="17"/>
  <c r="G947" i="17"/>
  <c r="D947" i="17"/>
  <c r="C947" i="17"/>
  <c r="B947" i="17"/>
  <c r="A947" i="17"/>
  <c r="K947" i="17" s="1"/>
  <c r="H946" i="17"/>
  <c r="G946" i="17"/>
  <c r="D946" i="17"/>
  <c r="C946" i="17"/>
  <c r="B946" i="17"/>
  <c r="A946" i="17"/>
  <c r="K946" i="17" s="1"/>
  <c r="H945" i="17"/>
  <c r="G945" i="17"/>
  <c r="D945" i="17"/>
  <c r="C945" i="17"/>
  <c r="B945" i="17"/>
  <c r="A945" i="17"/>
  <c r="M945" i="17" s="1"/>
  <c r="H944" i="17"/>
  <c r="G944" i="17"/>
  <c r="D944" i="17"/>
  <c r="C944" i="17"/>
  <c r="B944" i="17"/>
  <c r="A944" i="17"/>
  <c r="N944" i="17" s="1"/>
  <c r="H943" i="17"/>
  <c r="G943" i="17"/>
  <c r="F943" i="17"/>
  <c r="D943" i="17"/>
  <c r="C943" i="17"/>
  <c r="B943" i="17"/>
  <c r="A943" i="17"/>
  <c r="H942" i="17"/>
  <c r="G942" i="17"/>
  <c r="F942" i="17"/>
  <c r="D942" i="17"/>
  <c r="C942" i="17"/>
  <c r="B942" i="17"/>
  <c r="A942" i="17"/>
  <c r="L942" i="17" s="1"/>
  <c r="O942" i="17" s="1"/>
  <c r="H941" i="17"/>
  <c r="G941" i="17"/>
  <c r="F941" i="17"/>
  <c r="D941" i="17"/>
  <c r="C941" i="17"/>
  <c r="B941" i="17"/>
  <c r="A941" i="17"/>
  <c r="H940" i="17"/>
  <c r="G940" i="17"/>
  <c r="D940" i="17"/>
  <c r="C940" i="17"/>
  <c r="B940" i="17"/>
  <c r="A940" i="17"/>
  <c r="J940" i="17" s="1"/>
  <c r="H939" i="17"/>
  <c r="G939" i="17"/>
  <c r="F939" i="17"/>
  <c r="D939" i="17"/>
  <c r="C939" i="17"/>
  <c r="B939" i="17"/>
  <c r="A939" i="17"/>
  <c r="H938" i="17"/>
  <c r="G938" i="17"/>
  <c r="F938" i="17"/>
  <c r="D938" i="17"/>
  <c r="C938" i="17"/>
  <c r="B938" i="17"/>
  <c r="A938" i="17"/>
  <c r="N938" i="17" s="1"/>
  <c r="H937" i="17"/>
  <c r="G937" i="17"/>
  <c r="F937" i="17"/>
  <c r="D937" i="17"/>
  <c r="C937" i="17"/>
  <c r="B937" i="17"/>
  <c r="A937" i="17"/>
  <c r="M937" i="17" s="1"/>
  <c r="H936" i="17"/>
  <c r="G936" i="17"/>
  <c r="D936" i="17"/>
  <c r="C936" i="17"/>
  <c r="B936" i="17"/>
  <c r="A936" i="17"/>
  <c r="H935" i="17"/>
  <c r="G935" i="17"/>
  <c r="D935" i="17"/>
  <c r="C935" i="17"/>
  <c r="B935" i="17"/>
  <c r="A935" i="17"/>
  <c r="M935" i="17" s="1"/>
  <c r="H934" i="17"/>
  <c r="G934" i="17"/>
  <c r="F934" i="17"/>
  <c r="D934" i="17"/>
  <c r="C934" i="17"/>
  <c r="B934" i="17"/>
  <c r="A934" i="17"/>
  <c r="K934" i="17" s="1"/>
  <c r="H933" i="17"/>
  <c r="G933" i="17"/>
  <c r="F933" i="17"/>
  <c r="D933" i="17"/>
  <c r="C933" i="17"/>
  <c r="B933" i="17"/>
  <c r="A933" i="17"/>
  <c r="K933" i="17" s="1"/>
  <c r="H932" i="17"/>
  <c r="G932" i="17"/>
  <c r="F932" i="17"/>
  <c r="D932" i="17"/>
  <c r="C932" i="17"/>
  <c r="B932" i="17"/>
  <c r="A932" i="17"/>
  <c r="H931" i="17"/>
  <c r="G931" i="17"/>
  <c r="D931" i="17"/>
  <c r="C931" i="17"/>
  <c r="B931" i="17"/>
  <c r="A931" i="17"/>
  <c r="M931" i="17" s="1"/>
  <c r="H930" i="17"/>
  <c r="G930" i="17"/>
  <c r="D930" i="17"/>
  <c r="C930" i="17"/>
  <c r="B930" i="17"/>
  <c r="A930" i="17"/>
  <c r="L930" i="17" s="1"/>
  <c r="O930" i="17" s="1"/>
  <c r="H929" i="17"/>
  <c r="G929" i="17"/>
  <c r="D929" i="17"/>
  <c r="C929" i="17"/>
  <c r="B929" i="17"/>
  <c r="A929" i="17"/>
  <c r="H928" i="17"/>
  <c r="G928" i="17"/>
  <c r="F928" i="17"/>
  <c r="D928" i="17"/>
  <c r="C928" i="17"/>
  <c r="B928" i="17"/>
  <c r="A928" i="17"/>
  <c r="L928" i="17" s="1"/>
  <c r="O928" i="17" s="1"/>
  <c r="H927" i="17"/>
  <c r="G927" i="17"/>
  <c r="F927" i="17"/>
  <c r="D927" i="17"/>
  <c r="C927" i="17"/>
  <c r="B927" i="17"/>
  <c r="A927" i="17"/>
  <c r="M927" i="17" s="1"/>
  <c r="H926" i="17"/>
  <c r="G926" i="17"/>
  <c r="F926" i="17"/>
  <c r="D926" i="17"/>
  <c r="C926" i="17"/>
  <c r="B926" i="17"/>
  <c r="A926" i="17"/>
  <c r="M926" i="17" s="1"/>
  <c r="H925" i="17"/>
  <c r="G925" i="17"/>
  <c r="D925" i="17"/>
  <c r="C925" i="17"/>
  <c r="B925" i="17"/>
  <c r="A925" i="17"/>
  <c r="H924" i="17"/>
  <c r="G924" i="17"/>
  <c r="D924" i="17"/>
  <c r="C924" i="17"/>
  <c r="B924" i="17"/>
  <c r="A924" i="17"/>
  <c r="J924" i="17" s="1"/>
  <c r="H923" i="17"/>
  <c r="G923" i="17"/>
  <c r="D923" i="17"/>
  <c r="C923" i="17"/>
  <c r="B923" i="17"/>
  <c r="A923" i="17"/>
  <c r="J923" i="17" s="1"/>
  <c r="H922" i="17"/>
  <c r="G922" i="17"/>
  <c r="F922" i="17"/>
  <c r="D922" i="17"/>
  <c r="C922" i="17"/>
  <c r="B922" i="17"/>
  <c r="A922" i="17"/>
  <c r="H921" i="17"/>
  <c r="G921" i="17"/>
  <c r="F921" i="17"/>
  <c r="D921" i="17"/>
  <c r="C921" i="17"/>
  <c r="B921" i="17"/>
  <c r="A921" i="17"/>
  <c r="H920" i="17"/>
  <c r="G920" i="17"/>
  <c r="F920" i="17"/>
  <c r="D920" i="17"/>
  <c r="C920" i="17"/>
  <c r="B920" i="17"/>
  <c r="A920" i="17"/>
  <c r="N920" i="17" s="1"/>
  <c r="H919" i="17"/>
  <c r="G919" i="17"/>
  <c r="D919" i="17"/>
  <c r="C919" i="17"/>
  <c r="B919" i="17"/>
  <c r="A919" i="17"/>
  <c r="H918" i="17"/>
  <c r="G918" i="17"/>
  <c r="D918" i="17"/>
  <c r="C918" i="17"/>
  <c r="B918" i="17"/>
  <c r="A918" i="17"/>
  <c r="H917" i="17"/>
  <c r="G917" i="17"/>
  <c r="D917" i="17"/>
  <c r="C917" i="17"/>
  <c r="B917" i="17"/>
  <c r="A917" i="17"/>
  <c r="K917" i="17" s="1"/>
  <c r="H916" i="17"/>
  <c r="G916" i="17"/>
  <c r="D916" i="17"/>
  <c r="C916" i="17"/>
  <c r="B916" i="17"/>
  <c r="A916" i="17"/>
  <c r="N916" i="17" s="1"/>
  <c r="H915" i="17"/>
  <c r="G915" i="17"/>
  <c r="F915" i="17"/>
  <c r="D915" i="17"/>
  <c r="C915" i="17"/>
  <c r="B915" i="17"/>
  <c r="A915" i="17"/>
  <c r="H914" i="17"/>
  <c r="G914" i="17"/>
  <c r="F914" i="17"/>
  <c r="D914" i="17"/>
  <c r="C914" i="17"/>
  <c r="B914" i="17"/>
  <c r="A914" i="17"/>
  <c r="L914" i="17" s="1"/>
  <c r="O914" i="17" s="1"/>
  <c r="H913" i="17"/>
  <c r="G913" i="17"/>
  <c r="F913" i="17"/>
  <c r="D913" i="17"/>
  <c r="C913" i="17"/>
  <c r="B913" i="17"/>
  <c r="A913" i="17"/>
  <c r="L913" i="17" s="1"/>
  <c r="O913" i="17" s="1"/>
  <c r="H912" i="17"/>
  <c r="G912" i="17"/>
  <c r="D912" i="17"/>
  <c r="C912" i="17"/>
  <c r="B912" i="17"/>
  <c r="A912" i="17"/>
  <c r="H911" i="17"/>
  <c r="G911" i="17"/>
  <c r="D911" i="17"/>
  <c r="C911" i="17"/>
  <c r="B911" i="17"/>
  <c r="A911" i="17"/>
  <c r="H910" i="17"/>
  <c r="G910" i="17"/>
  <c r="D910" i="17"/>
  <c r="C910" i="17"/>
  <c r="B910" i="17"/>
  <c r="A910" i="17"/>
  <c r="H909" i="17"/>
  <c r="G909" i="17"/>
  <c r="D909" i="17"/>
  <c r="C909" i="17"/>
  <c r="B909" i="17"/>
  <c r="A909" i="17"/>
  <c r="H908" i="17"/>
  <c r="G908" i="17"/>
  <c r="D908" i="17"/>
  <c r="C908" i="17"/>
  <c r="B908" i="17"/>
  <c r="A908" i="17"/>
  <c r="H907" i="17"/>
  <c r="G907" i="17"/>
  <c r="D907" i="17"/>
  <c r="C907" i="17"/>
  <c r="B907" i="17"/>
  <c r="A907" i="17"/>
  <c r="J907" i="17" s="1"/>
  <c r="H906" i="17"/>
  <c r="G906" i="17"/>
  <c r="F906" i="17"/>
  <c r="D906" i="17"/>
  <c r="C906" i="17"/>
  <c r="B906" i="17"/>
  <c r="A906" i="17"/>
  <c r="H905" i="17"/>
  <c r="G905" i="17"/>
  <c r="F905" i="17"/>
  <c r="D905" i="17"/>
  <c r="C905" i="17"/>
  <c r="B905" i="17"/>
  <c r="A905" i="17"/>
  <c r="N905" i="17" s="1"/>
  <c r="H904" i="17"/>
  <c r="G904" i="17"/>
  <c r="F904" i="17"/>
  <c r="D904" i="17"/>
  <c r="C904" i="17"/>
  <c r="B904" i="17"/>
  <c r="A904" i="17"/>
  <c r="N904" i="17" s="1"/>
  <c r="H903" i="17"/>
  <c r="G903" i="17"/>
  <c r="F903" i="17"/>
  <c r="D903" i="17"/>
  <c r="C903" i="17"/>
  <c r="B903" i="17"/>
  <c r="A903" i="17"/>
  <c r="H902" i="17"/>
  <c r="G902" i="17"/>
  <c r="F902" i="17"/>
  <c r="D902" i="17"/>
  <c r="C902" i="17"/>
  <c r="B902" i="17"/>
  <c r="A902" i="17"/>
  <c r="H901" i="17"/>
  <c r="G901" i="17"/>
  <c r="D901" i="17"/>
  <c r="C901" i="17"/>
  <c r="B901" i="17"/>
  <c r="A901" i="17"/>
  <c r="H900" i="17"/>
  <c r="G900" i="17"/>
  <c r="D900" i="17"/>
  <c r="C900" i="17"/>
  <c r="B900" i="17"/>
  <c r="A900" i="17"/>
  <c r="L900" i="17" s="1"/>
  <c r="O900" i="17" s="1"/>
  <c r="P900" i="17" s="1"/>
  <c r="H899" i="17"/>
  <c r="G899" i="17"/>
  <c r="D899" i="17"/>
  <c r="C899" i="17"/>
  <c r="B899" i="17"/>
  <c r="A899" i="17"/>
  <c r="L899" i="17" s="1"/>
  <c r="O899" i="17" s="1"/>
  <c r="P899" i="17" s="1"/>
  <c r="H898" i="17"/>
  <c r="G898" i="17"/>
  <c r="D898" i="17"/>
  <c r="C898" i="17"/>
  <c r="B898" i="17"/>
  <c r="A898" i="17"/>
  <c r="H897" i="17"/>
  <c r="G897" i="17"/>
  <c r="D897" i="17"/>
  <c r="C897" i="17"/>
  <c r="B897" i="17"/>
  <c r="A897" i="17"/>
  <c r="N897" i="17" s="1"/>
  <c r="H896" i="17"/>
  <c r="G896" i="17"/>
  <c r="F896" i="17"/>
  <c r="D896" i="17"/>
  <c r="C896" i="17"/>
  <c r="B896" i="17"/>
  <c r="A896" i="17"/>
  <c r="K896" i="17" s="1"/>
  <c r="H895" i="17"/>
  <c r="G895" i="17"/>
  <c r="F895" i="17"/>
  <c r="D895" i="17"/>
  <c r="C895" i="17"/>
  <c r="B895" i="17"/>
  <c r="A895" i="17"/>
  <c r="N895" i="17" s="1"/>
  <c r="H894" i="17"/>
  <c r="G894" i="17"/>
  <c r="F894" i="17"/>
  <c r="D894" i="17"/>
  <c r="C894" i="17"/>
  <c r="B894" i="17"/>
  <c r="A894" i="17"/>
  <c r="H893" i="17"/>
  <c r="G893" i="17"/>
  <c r="F893" i="17"/>
  <c r="D893" i="17"/>
  <c r="C893" i="17"/>
  <c r="B893" i="17"/>
  <c r="A893" i="17"/>
  <c r="J893" i="17" s="1"/>
  <c r="H892" i="17"/>
  <c r="G892" i="17"/>
  <c r="F892" i="17"/>
  <c r="D892" i="17"/>
  <c r="C892" i="17"/>
  <c r="B892" i="17"/>
  <c r="A892" i="17"/>
  <c r="L892" i="17" s="1"/>
  <c r="O892" i="17" s="1"/>
  <c r="H891" i="17"/>
  <c r="G891" i="17"/>
  <c r="D891" i="17"/>
  <c r="C891" i="17"/>
  <c r="B891" i="17"/>
  <c r="A891" i="17"/>
  <c r="M891" i="17" s="1"/>
  <c r="H890" i="17"/>
  <c r="G890" i="17"/>
  <c r="D890" i="17"/>
  <c r="C890" i="17"/>
  <c r="B890" i="17"/>
  <c r="A890" i="17"/>
  <c r="N890" i="17" s="1"/>
  <c r="H889" i="17"/>
  <c r="G889" i="17"/>
  <c r="D889" i="17"/>
  <c r="C889" i="17"/>
  <c r="B889" i="17"/>
  <c r="A889" i="17"/>
  <c r="H888" i="17"/>
  <c r="G888" i="17"/>
  <c r="D888" i="17"/>
  <c r="C888" i="17"/>
  <c r="B888" i="17"/>
  <c r="A888" i="17"/>
  <c r="H887" i="17"/>
  <c r="G887" i="17"/>
  <c r="F887" i="17"/>
  <c r="D887" i="17"/>
  <c r="C887" i="17"/>
  <c r="B887" i="17"/>
  <c r="A887" i="17"/>
  <c r="H886" i="17"/>
  <c r="G886" i="17"/>
  <c r="F886" i="17"/>
  <c r="D886" i="17"/>
  <c r="C886" i="17"/>
  <c r="B886" i="17"/>
  <c r="A886" i="17"/>
  <c r="H885" i="17"/>
  <c r="G885" i="17"/>
  <c r="F885" i="17"/>
  <c r="D885" i="17"/>
  <c r="C885" i="17"/>
  <c r="B885" i="17"/>
  <c r="A885" i="17"/>
  <c r="N885" i="17" s="1"/>
  <c r="H884" i="17"/>
  <c r="G884" i="17"/>
  <c r="D884" i="17"/>
  <c r="C884" i="17"/>
  <c r="B884" i="17"/>
  <c r="A884" i="17"/>
  <c r="H883" i="17"/>
  <c r="G883" i="17"/>
  <c r="D883" i="17"/>
  <c r="C883" i="17"/>
  <c r="B883" i="17"/>
  <c r="A883" i="17"/>
  <c r="H882" i="17"/>
  <c r="G882" i="17"/>
  <c r="D882" i="17"/>
  <c r="C882" i="17"/>
  <c r="B882" i="17"/>
  <c r="A882" i="17"/>
  <c r="J882" i="17" s="1"/>
  <c r="H881" i="17"/>
  <c r="G881" i="17"/>
  <c r="D881" i="17"/>
  <c r="C881" i="17"/>
  <c r="B881" i="17"/>
  <c r="A881" i="17"/>
  <c r="M881" i="17" s="1"/>
  <c r="H880" i="17"/>
  <c r="G880" i="17"/>
  <c r="D880" i="17"/>
  <c r="C880" i="17"/>
  <c r="B880" i="17"/>
  <c r="A880" i="17"/>
  <c r="L880" i="17" s="1"/>
  <c r="O880" i="17" s="1"/>
  <c r="P880" i="17" s="1"/>
  <c r="H879" i="17"/>
  <c r="G879" i="17"/>
  <c r="F879" i="17"/>
  <c r="D879" i="17"/>
  <c r="C879" i="17"/>
  <c r="B879" i="17"/>
  <c r="A879" i="17"/>
  <c r="H878" i="17"/>
  <c r="G878" i="17"/>
  <c r="F878" i="17"/>
  <c r="D878" i="17"/>
  <c r="C878" i="17"/>
  <c r="B878" i="17"/>
  <c r="A878" i="17"/>
  <c r="H877" i="17"/>
  <c r="G877" i="17"/>
  <c r="F877" i="17"/>
  <c r="D877" i="17"/>
  <c r="C877" i="17"/>
  <c r="B877" i="17"/>
  <c r="A877" i="17"/>
  <c r="H876" i="17"/>
  <c r="G876" i="17"/>
  <c r="F876" i="17"/>
  <c r="D876" i="17"/>
  <c r="C876" i="17"/>
  <c r="B876" i="17"/>
  <c r="A876" i="17"/>
  <c r="H875" i="17"/>
  <c r="G875" i="17"/>
  <c r="F875" i="17"/>
  <c r="D875" i="17"/>
  <c r="C875" i="17"/>
  <c r="B875" i="17"/>
  <c r="A875" i="17"/>
  <c r="L875" i="17" s="1"/>
  <c r="O875" i="17" s="1"/>
  <c r="H874" i="17"/>
  <c r="G874" i="17"/>
  <c r="D874" i="17"/>
  <c r="C874" i="17"/>
  <c r="B874" i="17"/>
  <c r="A874" i="17"/>
  <c r="M874" i="17" s="1"/>
  <c r="H873" i="17"/>
  <c r="G873" i="17"/>
  <c r="D873" i="17"/>
  <c r="C873" i="17"/>
  <c r="B873" i="17"/>
  <c r="A873" i="17"/>
  <c r="H872" i="17"/>
  <c r="G872" i="17"/>
  <c r="D872" i="17"/>
  <c r="C872" i="17"/>
  <c r="B872" i="17"/>
  <c r="A872" i="17"/>
  <c r="K872" i="17" s="1"/>
  <c r="H871" i="17"/>
  <c r="G871" i="17"/>
  <c r="D871" i="17"/>
  <c r="C871" i="17"/>
  <c r="B871" i="17"/>
  <c r="A871" i="17"/>
  <c r="H870" i="17"/>
  <c r="G870" i="17"/>
  <c r="D870" i="17"/>
  <c r="C870" i="17"/>
  <c r="B870" i="17"/>
  <c r="A870" i="17"/>
  <c r="H869" i="17"/>
  <c r="G869" i="17"/>
  <c r="D869" i="17"/>
  <c r="C869" i="17"/>
  <c r="B869" i="17"/>
  <c r="A869" i="17"/>
  <c r="H868" i="17"/>
  <c r="G868" i="17"/>
  <c r="F868" i="17"/>
  <c r="D868" i="17"/>
  <c r="C868" i="17"/>
  <c r="B868" i="17"/>
  <c r="A868" i="17"/>
  <c r="L868" i="17" s="1"/>
  <c r="O868" i="17" s="1"/>
  <c r="H867" i="17"/>
  <c r="G867" i="17"/>
  <c r="F867" i="17"/>
  <c r="D867" i="17"/>
  <c r="C867" i="17"/>
  <c r="B867" i="17"/>
  <c r="A867" i="17"/>
  <c r="M867" i="17" s="1"/>
  <c r="H866" i="17"/>
  <c r="G866" i="17"/>
  <c r="F866" i="17"/>
  <c r="D866" i="17"/>
  <c r="C866" i="17"/>
  <c r="B866" i="17"/>
  <c r="A866" i="17"/>
  <c r="L866" i="17" s="1"/>
  <c r="O866" i="17" s="1"/>
  <c r="H865" i="17"/>
  <c r="G865" i="17"/>
  <c r="F865" i="17"/>
  <c r="D865" i="17"/>
  <c r="C865" i="17"/>
  <c r="B865" i="17"/>
  <c r="A865" i="17"/>
  <c r="L865" i="17" s="1"/>
  <c r="O865" i="17" s="1"/>
  <c r="P865" i="17" s="1"/>
  <c r="H864" i="17"/>
  <c r="G864" i="17"/>
  <c r="F864" i="17"/>
  <c r="D864" i="17"/>
  <c r="C864" i="17"/>
  <c r="B864" i="17"/>
  <c r="A864" i="17"/>
  <c r="H863" i="17"/>
  <c r="G863" i="17"/>
  <c r="D863" i="17"/>
  <c r="C863" i="17"/>
  <c r="B863" i="17"/>
  <c r="A863" i="17"/>
  <c r="N863" i="17" s="1"/>
  <c r="H862" i="17"/>
  <c r="G862" i="17"/>
  <c r="D862" i="17"/>
  <c r="C862" i="17"/>
  <c r="B862" i="17"/>
  <c r="A862" i="17"/>
  <c r="H861" i="17"/>
  <c r="G861" i="17"/>
  <c r="D861" i="17"/>
  <c r="C861" i="17"/>
  <c r="B861" i="17"/>
  <c r="A861" i="17"/>
  <c r="K861" i="17" s="1"/>
  <c r="H860" i="17"/>
  <c r="G860" i="17"/>
  <c r="D860" i="17"/>
  <c r="C860" i="17"/>
  <c r="B860" i="17"/>
  <c r="A860" i="17"/>
  <c r="M860" i="17" s="1"/>
  <c r="H859" i="17"/>
  <c r="G859" i="17"/>
  <c r="D859" i="17"/>
  <c r="C859" i="17"/>
  <c r="B859" i="17"/>
  <c r="A859" i="17"/>
  <c r="M859" i="17" s="1"/>
  <c r="H858" i="17"/>
  <c r="G858" i="17"/>
  <c r="F858" i="17"/>
  <c r="D858" i="17"/>
  <c r="C858" i="17"/>
  <c r="B858" i="17"/>
  <c r="A858" i="17"/>
  <c r="J858" i="17" s="1"/>
  <c r="H857" i="17"/>
  <c r="G857" i="17"/>
  <c r="F857" i="17"/>
  <c r="D857" i="17"/>
  <c r="C857" i="17"/>
  <c r="B857" i="17"/>
  <c r="A857" i="17"/>
  <c r="K857" i="17" s="1"/>
  <c r="H856" i="17"/>
  <c r="G856" i="17"/>
  <c r="F856" i="17"/>
  <c r="D856" i="17"/>
  <c r="C856" i="17"/>
  <c r="B856" i="17"/>
  <c r="A856" i="17"/>
  <c r="H855" i="17"/>
  <c r="G855" i="17"/>
  <c r="F855" i="17"/>
  <c r="D855" i="17"/>
  <c r="C855" i="17"/>
  <c r="B855" i="17"/>
  <c r="A855" i="17"/>
  <c r="H854" i="17"/>
  <c r="G854" i="17"/>
  <c r="F854" i="17"/>
  <c r="D854" i="17"/>
  <c r="C854" i="17"/>
  <c r="B854" i="17"/>
  <c r="A854" i="17"/>
  <c r="H853" i="17"/>
  <c r="G853" i="17"/>
  <c r="D853" i="17"/>
  <c r="C853" i="17"/>
  <c r="B853" i="17"/>
  <c r="A853" i="17"/>
  <c r="H852" i="17"/>
  <c r="G852" i="17"/>
  <c r="D852" i="17"/>
  <c r="C852" i="17"/>
  <c r="B852" i="17"/>
  <c r="A852" i="17"/>
  <c r="M852" i="17" s="1"/>
  <c r="H851" i="17"/>
  <c r="G851" i="17"/>
  <c r="D851" i="17"/>
  <c r="C851" i="17"/>
  <c r="B851" i="17"/>
  <c r="A851" i="17"/>
  <c r="H850" i="17"/>
  <c r="G850" i="17"/>
  <c r="D850" i="17"/>
  <c r="C850" i="17"/>
  <c r="B850" i="17"/>
  <c r="A850" i="17"/>
  <c r="L850" i="17" s="1"/>
  <c r="O850" i="17" s="1"/>
  <c r="P850" i="17" s="1"/>
  <c r="H849" i="17"/>
  <c r="G849" i="17"/>
  <c r="D849" i="17"/>
  <c r="C849" i="17"/>
  <c r="B849" i="17"/>
  <c r="A849" i="17"/>
  <c r="L849" i="17" s="1"/>
  <c r="O849" i="17" s="1"/>
  <c r="P849" i="17" s="1"/>
  <c r="H848" i="17"/>
  <c r="G848" i="17"/>
  <c r="F848" i="17"/>
  <c r="D848" i="17"/>
  <c r="C848" i="17"/>
  <c r="B848" i="17"/>
  <c r="A848" i="17"/>
  <c r="N848" i="17" s="1"/>
  <c r="H847" i="17"/>
  <c r="G847" i="17"/>
  <c r="F847" i="17"/>
  <c r="D847" i="17"/>
  <c r="C847" i="17"/>
  <c r="B847" i="17"/>
  <c r="A847" i="17"/>
  <c r="L847" i="17" s="1"/>
  <c r="O847" i="17" s="1"/>
  <c r="P847" i="17" s="1"/>
  <c r="H846" i="17"/>
  <c r="G846" i="17"/>
  <c r="F846" i="17"/>
  <c r="D846" i="17"/>
  <c r="C846" i="17"/>
  <c r="B846" i="17"/>
  <c r="A846" i="17"/>
  <c r="H845" i="17"/>
  <c r="G845" i="17"/>
  <c r="F845" i="17"/>
  <c r="D845" i="17"/>
  <c r="C845" i="17"/>
  <c r="B845" i="17"/>
  <c r="A845" i="17"/>
  <c r="J845" i="17" s="1"/>
  <c r="H844" i="17"/>
  <c r="G844" i="17"/>
  <c r="F844" i="17"/>
  <c r="D844" i="17"/>
  <c r="C844" i="17"/>
  <c r="B844" i="17"/>
  <c r="A844" i="17"/>
  <c r="H843" i="17"/>
  <c r="G843" i="17"/>
  <c r="D843" i="17"/>
  <c r="C843" i="17"/>
  <c r="B843" i="17"/>
  <c r="A843" i="17"/>
  <c r="H842" i="17"/>
  <c r="G842" i="17"/>
  <c r="D842" i="17"/>
  <c r="C842" i="17"/>
  <c r="B842" i="17"/>
  <c r="A842" i="17"/>
  <c r="M842" i="17" s="1"/>
  <c r="H841" i="17"/>
  <c r="G841" i="17"/>
  <c r="F841" i="17"/>
  <c r="D841" i="17"/>
  <c r="C841" i="17"/>
  <c r="B841" i="17"/>
  <c r="A841" i="17"/>
  <c r="N841" i="17" s="1"/>
  <c r="H840" i="17"/>
  <c r="G840" i="17"/>
  <c r="D840" i="17"/>
  <c r="C840" i="17"/>
  <c r="B840" i="17"/>
  <c r="A840" i="17"/>
  <c r="H839" i="17"/>
  <c r="G839" i="17"/>
  <c r="F839" i="17"/>
  <c r="D839" i="17"/>
  <c r="C839" i="17"/>
  <c r="B839" i="17"/>
  <c r="A839" i="17"/>
  <c r="H838" i="17"/>
  <c r="G838" i="17"/>
  <c r="F838" i="17"/>
  <c r="D838" i="17"/>
  <c r="C838" i="17"/>
  <c r="B838" i="17"/>
  <c r="A838" i="17"/>
  <c r="N838" i="17" s="1"/>
  <c r="H837" i="17"/>
  <c r="G837" i="17"/>
  <c r="F837" i="17"/>
  <c r="D837" i="17"/>
  <c r="C837" i="17"/>
  <c r="B837" i="17"/>
  <c r="A837" i="17"/>
  <c r="N837" i="17" s="1"/>
  <c r="H836" i="17"/>
  <c r="G836" i="17"/>
  <c r="D836" i="17"/>
  <c r="C836" i="17"/>
  <c r="B836" i="17"/>
  <c r="A836" i="17"/>
  <c r="J836" i="17" s="1"/>
  <c r="H835" i="17"/>
  <c r="G835" i="17"/>
  <c r="F835" i="17"/>
  <c r="D835" i="17"/>
  <c r="C835" i="17"/>
  <c r="B835" i="17"/>
  <c r="A835" i="17"/>
  <c r="H834" i="17"/>
  <c r="G834" i="17"/>
  <c r="F834" i="17"/>
  <c r="D834" i="17"/>
  <c r="C834" i="17"/>
  <c r="B834" i="17"/>
  <c r="A834" i="17"/>
  <c r="J834" i="17" s="1"/>
  <c r="H833" i="17"/>
  <c r="G833" i="17"/>
  <c r="D833" i="17"/>
  <c r="C833" i="17"/>
  <c r="B833" i="17"/>
  <c r="A833" i="17"/>
  <c r="J833" i="17" s="1"/>
  <c r="H832" i="17"/>
  <c r="G832" i="17"/>
  <c r="F832" i="17"/>
  <c r="D832" i="17"/>
  <c r="C832" i="17"/>
  <c r="B832" i="17"/>
  <c r="A832" i="17"/>
  <c r="K832" i="17" s="1"/>
  <c r="H831" i="17"/>
  <c r="G831" i="17"/>
  <c r="F831" i="17"/>
  <c r="D831" i="17"/>
  <c r="C831" i="17"/>
  <c r="B831" i="17"/>
  <c r="A831" i="17"/>
  <c r="H830" i="17"/>
  <c r="G830" i="17"/>
  <c r="D830" i="17"/>
  <c r="C830" i="17"/>
  <c r="B830" i="17"/>
  <c r="A830" i="17"/>
  <c r="J830" i="17" s="1"/>
  <c r="H829" i="17"/>
  <c r="G829" i="17"/>
  <c r="F829" i="17"/>
  <c r="D829" i="17"/>
  <c r="C829" i="17"/>
  <c r="B829" i="17"/>
  <c r="A829" i="17"/>
  <c r="H828" i="17"/>
  <c r="G828" i="17"/>
  <c r="D828" i="17"/>
  <c r="C828" i="17"/>
  <c r="B828" i="17"/>
  <c r="A828" i="17"/>
  <c r="K828" i="17" s="1"/>
  <c r="H827" i="17"/>
  <c r="G827" i="17"/>
  <c r="F827" i="17"/>
  <c r="D827" i="17"/>
  <c r="C827" i="17"/>
  <c r="B827" i="17"/>
  <c r="A827" i="17"/>
  <c r="L827" i="17" s="1"/>
  <c r="O827" i="17" s="1"/>
  <c r="H826" i="17"/>
  <c r="G826" i="17"/>
  <c r="F826" i="17"/>
  <c r="D826" i="17"/>
  <c r="C826" i="17"/>
  <c r="B826" i="17"/>
  <c r="A826" i="17"/>
  <c r="H825" i="17"/>
  <c r="G825" i="17"/>
  <c r="D825" i="17"/>
  <c r="C825" i="17"/>
  <c r="B825" i="17"/>
  <c r="A825" i="17"/>
  <c r="N825" i="17" s="1"/>
  <c r="H824" i="17"/>
  <c r="G824" i="17"/>
  <c r="F824" i="17"/>
  <c r="D824" i="17"/>
  <c r="C824" i="17"/>
  <c r="B824" i="17"/>
  <c r="A824" i="17"/>
  <c r="H823" i="17"/>
  <c r="G823" i="17"/>
  <c r="F823" i="17"/>
  <c r="D823" i="17"/>
  <c r="C823" i="17"/>
  <c r="B823" i="17"/>
  <c r="A823" i="17"/>
  <c r="H822" i="17"/>
  <c r="G822" i="17"/>
  <c r="D822" i="17"/>
  <c r="C822" i="17"/>
  <c r="B822" i="17"/>
  <c r="A822" i="17"/>
  <c r="N822" i="17" s="1"/>
  <c r="H821" i="17"/>
  <c r="G821" i="17"/>
  <c r="F821" i="17"/>
  <c r="D821" i="17"/>
  <c r="C821" i="17"/>
  <c r="B821" i="17"/>
  <c r="A821" i="17"/>
  <c r="H820" i="17"/>
  <c r="G820" i="17"/>
  <c r="F820" i="17"/>
  <c r="D820" i="17"/>
  <c r="C820" i="17"/>
  <c r="B820" i="17"/>
  <c r="A820" i="17"/>
  <c r="J820" i="17" s="1"/>
  <c r="H819" i="17"/>
  <c r="G819" i="17"/>
  <c r="D819" i="17"/>
  <c r="C819" i="17"/>
  <c r="B819" i="17"/>
  <c r="A819" i="17"/>
  <c r="M819" i="17" s="1"/>
  <c r="H818" i="17"/>
  <c r="G818" i="17"/>
  <c r="F818" i="17"/>
  <c r="D818" i="17"/>
  <c r="C818" i="17"/>
  <c r="B818" i="17"/>
  <c r="A818" i="17"/>
  <c r="H817" i="17"/>
  <c r="G817" i="17"/>
  <c r="F817" i="17"/>
  <c r="D817" i="17"/>
  <c r="C817" i="17"/>
  <c r="B817" i="17"/>
  <c r="A817" i="17"/>
  <c r="L817" i="17" s="1"/>
  <c r="O817" i="17" s="1"/>
  <c r="H816" i="17"/>
  <c r="G816" i="17"/>
  <c r="D816" i="17"/>
  <c r="C816" i="17"/>
  <c r="B816" i="17"/>
  <c r="A816" i="17"/>
  <c r="N816" i="17" s="1"/>
  <c r="H815" i="17"/>
  <c r="G815" i="17"/>
  <c r="F815" i="17"/>
  <c r="D815" i="17"/>
  <c r="C815" i="17"/>
  <c r="B815" i="17"/>
  <c r="A815" i="17"/>
  <c r="H814" i="17"/>
  <c r="G814" i="17"/>
  <c r="F814" i="17"/>
  <c r="D814" i="17"/>
  <c r="C814" i="17"/>
  <c r="B814" i="17"/>
  <c r="A814" i="17"/>
  <c r="M814" i="17" s="1"/>
  <c r="H813" i="17"/>
  <c r="G813" i="17"/>
  <c r="D813" i="17"/>
  <c r="C813" i="17"/>
  <c r="B813" i="17"/>
  <c r="A813" i="17"/>
  <c r="N813" i="17" s="1"/>
  <c r="H812" i="17"/>
  <c r="G812" i="17"/>
  <c r="F812" i="17"/>
  <c r="D812" i="17"/>
  <c r="C812" i="17"/>
  <c r="B812" i="17"/>
  <c r="A812" i="17"/>
  <c r="H811" i="17"/>
  <c r="G811" i="17"/>
  <c r="F811" i="17"/>
  <c r="D811" i="17"/>
  <c r="C811" i="17"/>
  <c r="B811" i="17"/>
  <c r="A811" i="17"/>
  <c r="H810" i="17"/>
  <c r="G810" i="17"/>
  <c r="D810" i="17"/>
  <c r="C810" i="17"/>
  <c r="B810" i="17"/>
  <c r="A810" i="17"/>
  <c r="N810" i="17" s="1"/>
  <c r="H809" i="17"/>
  <c r="G809" i="17"/>
  <c r="F809" i="17"/>
  <c r="D809" i="17"/>
  <c r="C809" i="17"/>
  <c r="B809" i="17"/>
  <c r="A809" i="17"/>
  <c r="K809" i="17" s="1"/>
  <c r="H808" i="17"/>
  <c r="G808" i="17"/>
  <c r="F808" i="17"/>
  <c r="D808" i="17"/>
  <c r="C808" i="17"/>
  <c r="B808" i="17"/>
  <c r="A808" i="17"/>
  <c r="K808" i="17" s="1"/>
  <c r="H807" i="17"/>
  <c r="G807" i="17"/>
  <c r="D807" i="17"/>
  <c r="C807" i="17"/>
  <c r="B807" i="17"/>
  <c r="A807" i="17"/>
  <c r="H806" i="17"/>
  <c r="G806" i="17"/>
  <c r="F806" i="17"/>
  <c r="D806" i="17"/>
  <c r="C806" i="17"/>
  <c r="B806" i="17"/>
  <c r="A806" i="17"/>
  <c r="M806" i="17" s="1"/>
  <c r="H805" i="17"/>
  <c r="G805" i="17"/>
  <c r="F805" i="17"/>
  <c r="D805" i="17"/>
  <c r="C805" i="17"/>
  <c r="B805" i="17"/>
  <c r="A805" i="17"/>
  <c r="H804" i="17"/>
  <c r="G804" i="17"/>
  <c r="D804" i="17"/>
  <c r="C804" i="17"/>
  <c r="B804" i="17"/>
  <c r="A804" i="17"/>
  <c r="J804" i="17" s="1"/>
  <c r="H803" i="17"/>
  <c r="G803" i="17"/>
  <c r="F803" i="17"/>
  <c r="D803" i="17"/>
  <c r="C803" i="17"/>
  <c r="B803" i="17"/>
  <c r="A803" i="17"/>
  <c r="H802" i="17"/>
  <c r="G802" i="17"/>
  <c r="F802" i="17"/>
  <c r="D802" i="17"/>
  <c r="C802" i="17"/>
  <c r="B802" i="17"/>
  <c r="A802" i="17"/>
  <c r="J802" i="17" s="1"/>
  <c r="H801" i="17"/>
  <c r="G801" i="17"/>
  <c r="D801" i="17"/>
  <c r="C801" i="17"/>
  <c r="B801" i="17"/>
  <c r="A801" i="17"/>
  <c r="H800" i="17"/>
  <c r="G800" i="17"/>
  <c r="F800" i="17"/>
  <c r="D800" i="17"/>
  <c r="C800" i="17"/>
  <c r="B800" i="17"/>
  <c r="A800" i="17"/>
  <c r="N800" i="17" s="1"/>
  <c r="H799" i="17"/>
  <c r="G799" i="17"/>
  <c r="F799" i="17"/>
  <c r="D799" i="17"/>
  <c r="C799" i="17"/>
  <c r="B799" i="17"/>
  <c r="A799" i="17"/>
  <c r="J799" i="17" s="1"/>
  <c r="H798" i="17"/>
  <c r="G798" i="17"/>
  <c r="D798" i="17"/>
  <c r="C798" i="17"/>
  <c r="B798" i="17"/>
  <c r="A798" i="17"/>
  <c r="K798" i="17" s="1"/>
  <c r="H797" i="17"/>
  <c r="G797" i="17"/>
  <c r="F797" i="17"/>
  <c r="D797" i="17"/>
  <c r="C797" i="17"/>
  <c r="B797" i="17"/>
  <c r="A797" i="17"/>
  <c r="H796" i="17"/>
  <c r="G796" i="17"/>
  <c r="F796" i="17"/>
  <c r="D796" i="17"/>
  <c r="C796" i="17"/>
  <c r="B796" i="17"/>
  <c r="A796" i="17"/>
  <c r="H795" i="17"/>
  <c r="G795" i="17"/>
  <c r="D795" i="17"/>
  <c r="C795" i="17"/>
  <c r="B795" i="17"/>
  <c r="A795" i="17"/>
  <c r="M795" i="17" s="1"/>
  <c r="H794" i="17"/>
  <c r="G794" i="17"/>
  <c r="F794" i="17"/>
  <c r="D794" i="17"/>
  <c r="C794" i="17"/>
  <c r="B794" i="17"/>
  <c r="A794" i="17"/>
  <c r="M794" i="17" s="1"/>
  <c r="H793" i="17"/>
  <c r="G793" i="17"/>
  <c r="F793" i="17"/>
  <c r="D793" i="17"/>
  <c r="C793" i="17"/>
  <c r="B793" i="17"/>
  <c r="A793" i="17"/>
  <c r="N793" i="17" s="1"/>
  <c r="H792" i="17"/>
  <c r="G792" i="17"/>
  <c r="D792" i="17"/>
  <c r="C792" i="17"/>
  <c r="B792" i="17"/>
  <c r="A792" i="17"/>
  <c r="J792" i="17" s="1"/>
  <c r="H791" i="17"/>
  <c r="G791" i="17"/>
  <c r="D791" i="17"/>
  <c r="C791" i="17"/>
  <c r="B791" i="17"/>
  <c r="A791" i="17"/>
  <c r="J791" i="17" s="1"/>
  <c r="H790" i="17"/>
  <c r="G790" i="17"/>
  <c r="D790" i="17"/>
  <c r="C790" i="17"/>
  <c r="B790" i="17"/>
  <c r="A790" i="17"/>
  <c r="N790" i="17" s="1"/>
  <c r="H789" i="17"/>
  <c r="G789" i="17"/>
  <c r="F789" i="17"/>
  <c r="D789" i="17"/>
  <c r="C789" i="17"/>
  <c r="B789" i="17"/>
  <c r="A789" i="17"/>
  <c r="J789" i="17" s="1"/>
  <c r="H788" i="17"/>
  <c r="G788" i="17"/>
  <c r="F788" i="17"/>
  <c r="D788" i="17"/>
  <c r="C788" i="17"/>
  <c r="B788" i="17"/>
  <c r="A788" i="17"/>
  <c r="H787" i="17"/>
  <c r="G787" i="17"/>
  <c r="F787" i="17"/>
  <c r="D787" i="17"/>
  <c r="C787" i="17"/>
  <c r="B787" i="17"/>
  <c r="A787" i="17"/>
  <c r="J787" i="17" s="1"/>
  <c r="H786" i="17"/>
  <c r="G786" i="17"/>
  <c r="F786" i="17"/>
  <c r="D786" i="17"/>
  <c r="C786" i="17"/>
  <c r="B786" i="17"/>
  <c r="A786" i="17"/>
  <c r="L786" i="17" s="1"/>
  <c r="O786" i="17" s="1"/>
  <c r="H785" i="17"/>
  <c r="G785" i="17"/>
  <c r="D785" i="17"/>
  <c r="C785" i="17"/>
  <c r="B785" i="17"/>
  <c r="A785" i="17"/>
  <c r="J785" i="17" s="1"/>
  <c r="H784" i="17"/>
  <c r="G784" i="17"/>
  <c r="D784" i="17"/>
  <c r="C784" i="17"/>
  <c r="B784" i="17"/>
  <c r="A784" i="17"/>
  <c r="H783" i="17"/>
  <c r="G783" i="17"/>
  <c r="D783" i="17"/>
  <c r="C783" i="17"/>
  <c r="B783" i="17"/>
  <c r="A783" i="17"/>
  <c r="K783" i="17" s="1"/>
  <c r="H782" i="17"/>
  <c r="G782" i="17"/>
  <c r="F782" i="17"/>
  <c r="D782" i="17"/>
  <c r="C782" i="17"/>
  <c r="B782" i="17"/>
  <c r="A782" i="17"/>
  <c r="H781" i="17"/>
  <c r="G781" i="17"/>
  <c r="F781" i="17"/>
  <c r="D781" i="17"/>
  <c r="C781" i="17"/>
  <c r="B781" i="17"/>
  <c r="A781" i="17"/>
  <c r="K781" i="17" s="1"/>
  <c r="H780" i="17"/>
  <c r="G780" i="17"/>
  <c r="D780" i="17"/>
  <c r="C780" i="17"/>
  <c r="B780" i="17"/>
  <c r="A780" i="17"/>
  <c r="M780" i="17" s="1"/>
  <c r="H779" i="17"/>
  <c r="G779" i="17"/>
  <c r="F779" i="17"/>
  <c r="D779" i="17"/>
  <c r="C779" i="17"/>
  <c r="B779" i="17"/>
  <c r="A779" i="17"/>
  <c r="L779" i="17" s="1"/>
  <c r="O779" i="17" s="1"/>
  <c r="H778" i="17"/>
  <c r="G778" i="17"/>
  <c r="F778" i="17"/>
  <c r="D778" i="17"/>
  <c r="C778" i="17"/>
  <c r="B778" i="17"/>
  <c r="A778" i="17"/>
  <c r="K778" i="17" s="1"/>
  <c r="H777" i="17"/>
  <c r="G777" i="17"/>
  <c r="F777" i="17"/>
  <c r="D777" i="17"/>
  <c r="C777" i="17"/>
  <c r="B777" i="17"/>
  <c r="A777" i="17"/>
  <c r="H776" i="17"/>
  <c r="G776" i="17"/>
  <c r="D776" i="17"/>
  <c r="C776" i="17"/>
  <c r="B776" i="17"/>
  <c r="A776" i="17"/>
  <c r="K776" i="17" s="1"/>
  <c r="H775" i="17"/>
  <c r="G775" i="17"/>
  <c r="F775" i="17"/>
  <c r="D775" i="17"/>
  <c r="C775" i="17"/>
  <c r="B775" i="17"/>
  <c r="A775" i="17"/>
  <c r="H774" i="17"/>
  <c r="G774" i="17"/>
  <c r="F774" i="17"/>
  <c r="D774" i="17"/>
  <c r="C774" i="17"/>
  <c r="B774" i="17"/>
  <c r="A774" i="17"/>
  <c r="H773" i="17"/>
  <c r="G773" i="17"/>
  <c r="F773" i="17"/>
  <c r="D773" i="17"/>
  <c r="C773" i="17"/>
  <c r="B773" i="17"/>
  <c r="A773" i="17"/>
  <c r="N773" i="17" s="1"/>
  <c r="H772" i="17"/>
  <c r="G772" i="17"/>
  <c r="F772" i="17"/>
  <c r="D772" i="17"/>
  <c r="C772" i="17"/>
  <c r="B772" i="17"/>
  <c r="A772" i="17"/>
  <c r="N772" i="17" s="1"/>
  <c r="H771" i="17"/>
  <c r="G771" i="17"/>
  <c r="F771" i="17"/>
  <c r="D771" i="17"/>
  <c r="C771" i="17"/>
  <c r="B771" i="17"/>
  <c r="A771" i="17"/>
  <c r="N771" i="17" s="1"/>
  <c r="H770" i="17"/>
  <c r="G770" i="17"/>
  <c r="F770" i="17"/>
  <c r="D770" i="17"/>
  <c r="C770" i="17"/>
  <c r="B770" i="17"/>
  <c r="A770" i="17"/>
  <c r="H769" i="17"/>
  <c r="G769" i="17"/>
  <c r="F769" i="17"/>
  <c r="D769" i="17"/>
  <c r="C769" i="17"/>
  <c r="B769" i="17"/>
  <c r="A769" i="17"/>
  <c r="H768" i="17"/>
  <c r="G768" i="17"/>
  <c r="F768" i="17"/>
  <c r="D768" i="17"/>
  <c r="C768" i="17"/>
  <c r="B768" i="17"/>
  <c r="A768" i="17"/>
  <c r="H767" i="17"/>
  <c r="G767" i="17"/>
  <c r="F767" i="17"/>
  <c r="D767" i="17"/>
  <c r="C767" i="17"/>
  <c r="B767" i="17"/>
  <c r="A767" i="17"/>
  <c r="H766" i="17"/>
  <c r="G766" i="17"/>
  <c r="D766" i="17"/>
  <c r="C766" i="17"/>
  <c r="B766" i="17"/>
  <c r="A766" i="17"/>
  <c r="H765" i="17"/>
  <c r="G765" i="17"/>
  <c r="D765" i="17"/>
  <c r="C765" i="17"/>
  <c r="B765" i="17"/>
  <c r="A765" i="17"/>
  <c r="H764" i="17"/>
  <c r="G764" i="17"/>
  <c r="D764" i="17"/>
  <c r="C764" i="17"/>
  <c r="B764" i="17"/>
  <c r="A764" i="17"/>
  <c r="H763" i="17"/>
  <c r="G763" i="17"/>
  <c r="D763" i="17"/>
  <c r="C763" i="17"/>
  <c r="B763" i="17"/>
  <c r="A763" i="17"/>
  <c r="H762" i="17"/>
  <c r="G762" i="17"/>
  <c r="D762" i="17"/>
  <c r="C762" i="17"/>
  <c r="B762" i="17"/>
  <c r="A762" i="17"/>
  <c r="J762" i="17" s="1"/>
  <c r="H761" i="17"/>
  <c r="G761" i="17"/>
  <c r="D761" i="17"/>
  <c r="C761" i="17"/>
  <c r="B761" i="17"/>
  <c r="A761" i="17"/>
  <c r="K761" i="17" s="1"/>
  <c r="H760" i="17"/>
  <c r="G760" i="17"/>
  <c r="D760" i="17"/>
  <c r="C760" i="17"/>
  <c r="B760" i="17"/>
  <c r="A760" i="17"/>
  <c r="H759" i="17"/>
  <c r="G759" i="17"/>
  <c r="D759" i="17"/>
  <c r="C759" i="17"/>
  <c r="B759" i="17"/>
  <c r="A759" i="17"/>
  <c r="H758" i="17"/>
  <c r="G758" i="17"/>
  <c r="F758" i="17"/>
  <c r="D758" i="17"/>
  <c r="C758" i="17"/>
  <c r="B758" i="17"/>
  <c r="A758" i="17"/>
  <c r="H757" i="17"/>
  <c r="G757" i="17"/>
  <c r="F757" i="17"/>
  <c r="D757" i="17"/>
  <c r="C757" i="17"/>
  <c r="B757" i="17"/>
  <c r="A757" i="17"/>
  <c r="H756" i="17"/>
  <c r="G756" i="17"/>
  <c r="F756" i="17"/>
  <c r="D756" i="17"/>
  <c r="C756" i="17"/>
  <c r="B756" i="17"/>
  <c r="A756" i="17"/>
  <c r="M756" i="17" s="1"/>
  <c r="H755" i="17"/>
  <c r="G755" i="17"/>
  <c r="F755" i="17"/>
  <c r="D755" i="17"/>
  <c r="C755" i="17"/>
  <c r="B755" i="17"/>
  <c r="A755" i="17"/>
  <c r="N755" i="17" s="1"/>
  <c r="H754" i="17"/>
  <c r="G754" i="17"/>
  <c r="D754" i="17"/>
  <c r="C754" i="17"/>
  <c r="B754" i="17"/>
  <c r="A754" i="17"/>
  <c r="H753" i="17"/>
  <c r="G753" i="17"/>
  <c r="D753" i="17"/>
  <c r="C753" i="17"/>
  <c r="B753" i="17"/>
  <c r="A753" i="17"/>
  <c r="L753" i="17" s="1"/>
  <c r="O753" i="17" s="1"/>
  <c r="H752" i="17"/>
  <c r="G752" i="17"/>
  <c r="D752" i="17"/>
  <c r="C752" i="17"/>
  <c r="B752" i="17"/>
  <c r="A752" i="17"/>
  <c r="K752" i="17" s="1"/>
  <c r="H751" i="17"/>
  <c r="G751" i="17"/>
  <c r="D751" i="17"/>
  <c r="C751" i="17"/>
  <c r="B751" i="17"/>
  <c r="A751" i="17"/>
  <c r="H750" i="17"/>
  <c r="G750" i="17"/>
  <c r="D750" i="17"/>
  <c r="C750" i="17"/>
  <c r="B750" i="17"/>
  <c r="A750" i="17"/>
  <c r="H749" i="17"/>
  <c r="G749" i="17"/>
  <c r="F749" i="17"/>
  <c r="D749" i="17"/>
  <c r="C749" i="17"/>
  <c r="B749" i="17"/>
  <c r="A749" i="17"/>
  <c r="H748" i="17"/>
  <c r="G748" i="17"/>
  <c r="F748" i="17"/>
  <c r="D748" i="17"/>
  <c r="C748" i="17"/>
  <c r="B748" i="17"/>
  <c r="A748" i="17"/>
  <c r="J748" i="17" s="1"/>
  <c r="H747" i="17"/>
  <c r="G747" i="17"/>
  <c r="F747" i="17"/>
  <c r="D747" i="17"/>
  <c r="C747" i="17"/>
  <c r="B747" i="17"/>
  <c r="A747" i="17"/>
  <c r="H746" i="17"/>
  <c r="G746" i="17"/>
  <c r="F746" i="17"/>
  <c r="D746" i="17"/>
  <c r="C746" i="17"/>
  <c r="B746" i="17"/>
  <c r="A746" i="17"/>
  <c r="M746" i="17" s="1"/>
  <c r="H745" i="17"/>
  <c r="G745" i="17"/>
  <c r="F745" i="17"/>
  <c r="D745" i="17"/>
  <c r="C745" i="17"/>
  <c r="B745" i="17"/>
  <c r="A745" i="17"/>
  <c r="H744" i="17"/>
  <c r="G744" i="17"/>
  <c r="F744" i="17"/>
  <c r="D744" i="17"/>
  <c r="C744" i="17"/>
  <c r="B744" i="17"/>
  <c r="A744" i="17"/>
  <c r="N744" i="17" s="1"/>
  <c r="H743" i="17"/>
  <c r="G743" i="17"/>
  <c r="F743" i="17"/>
  <c r="D743" i="17"/>
  <c r="C743" i="17"/>
  <c r="B743" i="17"/>
  <c r="A743" i="17"/>
  <c r="H742" i="17"/>
  <c r="G742" i="17"/>
  <c r="F742" i="17"/>
  <c r="D742" i="17"/>
  <c r="C742" i="17"/>
  <c r="B742" i="17"/>
  <c r="A742" i="17"/>
  <c r="H741" i="17"/>
  <c r="G741" i="17"/>
  <c r="F741" i="17"/>
  <c r="D741" i="17"/>
  <c r="C741" i="17"/>
  <c r="B741" i="17"/>
  <c r="A741" i="17"/>
  <c r="M741" i="17" s="1"/>
  <c r="H740" i="17"/>
  <c r="G740" i="17"/>
  <c r="D740" i="17"/>
  <c r="C740" i="17"/>
  <c r="B740" i="17"/>
  <c r="A740" i="17"/>
  <c r="N740" i="17" s="1"/>
  <c r="H739" i="17"/>
  <c r="G739" i="17"/>
  <c r="D739" i="17"/>
  <c r="C739" i="17"/>
  <c r="B739" i="17"/>
  <c r="A739" i="17"/>
  <c r="M739" i="17" s="1"/>
  <c r="H738" i="17"/>
  <c r="G738" i="17"/>
  <c r="D738" i="17"/>
  <c r="C738" i="17"/>
  <c r="B738" i="17"/>
  <c r="A738" i="17"/>
  <c r="L738" i="17" s="1"/>
  <c r="O738" i="17" s="1"/>
  <c r="H737" i="17"/>
  <c r="G737" i="17"/>
  <c r="D737" i="17"/>
  <c r="C737" i="17"/>
  <c r="B737" i="17"/>
  <c r="A737" i="17"/>
  <c r="H736" i="17"/>
  <c r="G736" i="17"/>
  <c r="D736" i="17"/>
  <c r="C736" i="17"/>
  <c r="B736" i="17"/>
  <c r="A736" i="17"/>
  <c r="H735" i="17"/>
  <c r="G735" i="17"/>
  <c r="D735" i="17"/>
  <c r="C735" i="17"/>
  <c r="B735" i="17"/>
  <c r="A735" i="17"/>
  <c r="N735" i="17" s="1"/>
  <c r="H734" i="17"/>
  <c r="G734" i="17"/>
  <c r="D734" i="17"/>
  <c r="C734" i="17"/>
  <c r="B734" i="17"/>
  <c r="A734" i="17"/>
  <c r="H733" i="17"/>
  <c r="G733" i="17"/>
  <c r="D733" i="17"/>
  <c r="C733" i="17"/>
  <c r="B733" i="17"/>
  <c r="A733" i="17"/>
  <c r="H732" i="17"/>
  <c r="G732" i="17"/>
  <c r="D732" i="17"/>
  <c r="C732" i="17"/>
  <c r="B732" i="17"/>
  <c r="A732" i="17"/>
  <c r="H731" i="17"/>
  <c r="G731" i="17"/>
  <c r="D731" i="17"/>
  <c r="C731" i="17"/>
  <c r="B731" i="17"/>
  <c r="A731" i="17"/>
  <c r="N731" i="17" s="1"/>
  <c r="H730" i="17"/>
  <c r="G730" i="17"/>
  <c r="D730" i="17"/>
  <c r="C730" i="17"/>
  <c r="B730" i="17"/>
  <c r="A730" i="17"/>
  <c r="N730" i="17" s="1"/>
  <c r="H729" i="17"/>
  <c r="G729" i="17"/>
  <c r="D729" i="17"/>
  <c r="C729" i="17"/>
  <c r="B729" i="17"/>
  <c r="A729" i="17"/>
  <c r="K729" i="17" s="1"/>
  <c r="H728" i="17"/>
  <c r="G728" i="17"/>
  <c r="D728" i="17"/>
  <c r="C728" i="17"/>
  <c r="B728" i="17"/>
  <c r="A728" i="17"/>
  <c r="J728" i="17" s="1"/>
  <c r="H727" i="17"/>
  <c r="G727" i="17"/>
  <c r="D727" i="17"/>
  <c r="C727" i="17"/>
  <c r="B727" i="17"/>
  <c r="A727" i="17"/>
  <c r="K727" i="17" s="1"/>
  <c r="H726" i="17"/>
  <c r="G726" i="17"/>
  <c r="D726" i="17"/>
  <c r="C726" i="17"/>
  <c r="B726" i="17"/>
  <c r="A726" i="17"/>
  <c r="H725" i="17"/>
  <c r="G725" i="17"/>
  <c r="D725" i="17"/>
  <c r="C725" i="17"/>
  <c r="B725" i="17"/>
  <c r="A725" i="17"/>
  <c r="H724" i="17"/>
  <c r="G724" i="17"/>
  <c r="F724" i="17"/>
  <c r="D724" i="17"/>
  <c r="C724" i="17"/>
  <c r="B724" i="17"/>
  <c r="A724" i="17"/>
  <c r="J724" i="17" s="1"/>
  <c r="H723" i="17"/>
  <c r="G723" i="17"/>
  <c r="F723" i="17"/>
  <c r="D723" i="17"/>
  <c r="C723" i="17"/>
  <c r="B723" i="17"/>
  <c r="A723" i="17"/>
  <c r="M723" i="17" s="1"/>
  <c r="H722" i="17"/>
  <c r="G722" i="17"/>
  <c r="F722" i="17"/>
  <c r="D722" i="17"/>
  <c r="C722" i="17"/>
  <c r="B722" i="17"/>
  <c r="A722" i="17"/>
  <c r="J722" i="17" s="1"/>
  <c r="H721" i="17"/>
  <c r="G721" i="17"/>
  <c r="F721" i="17"/>
  <c r="D721" i="17"/>
  <c r="C721" i="17"/>
  <c r="B721" i="17"/>
  <c r="A721" i="17"/>
  <c r="M721" i="17" s="1"/>
  <c r="H720" i="17"/>
  <c r="G720" i="17"/>
  <c r="D720" i="17"/>
  <c r="C720" i="17"/>
  <c r="B720" i="17"/>
  <c r="A720" i="17"/>
  <c r="H719" i="17"/>
  <c r="G719" i="17"/>
  <c r="D719" i="17"/>
  <c r="C719" i="17"/>
  <c r="B719" i="17"/>
  <c r="A719" i="17"/>
  <c r="K719" i="17" s="1"/>
  <c r="H718" i="17"/>
  <c r="G718" i="17"/>
  <c r="D718" i="17"/>
  <c r="C718" i="17"/>
  <c r="B718" i="17"/>
  <c r="A718" i="17"/>
  <c r="H717" i="17"/>
  <c r="G717" i="17"/>
  <c r="D717" i="17"/>
  <c r="C717" i="17"/>
  <c r="B717" i="17"/>
  <c r="A717" i="17"/>
  <c r="M717" i="17" s="1"/>
  <c r="H716" i="17"/>
  <c r="G716" i="17"/>
  <c r="D716" i="17"/>
  <c r="C716" i="17"/>
  <c r="B716" i="17"/>
  <c r="A716" i="17"/>
  <c r="H715" i="17"/>
  <c r="G715" i="17"/>
  <c r="D715" i="17"/>
  <c r="C715" i="17"/>
  <c r="B715" i="17"/>
  <c r="A715" i="17"/>
  <c r="L715" i="17" s="1"/>
  <c r="O715" i="17" s="1"/>
  <c r="H714" i="17"/>
  <c r="G714" i="17"/>
  <c r="D714" i="17"/>
  <c r="C714" i="17"/>
  <c r="B714" i="17"/>
  <c r="A714" i="17"/>
  <c r="J714" i="17" s="1"/>
  <c r="H713" i="17"/>
  <c r="G713" i="17"/>
  <c r="D713" i="17"/>
  <c r="C713" i="17"/>
  <c r="B713" i="17"/>
  <c r="A713" i="17"/>
  <c r="K713" i="17" s="1"/>
  <c r="H712" i="17"/>
  <c r="G712" i="17"/>
  <c r="F712" i="17"/>
  <c r="D712" i="17"/>
  <c r="C712" i="17"/>
  <c r="B712" i="17"/>
  <c r="A712" i="17"/>
  <c r="H711" i="17"/>
  <c r="G711" i="17"/>
  <c r="F711" i="17"/>
  <c r="D711" i="17"/>
  <c r="C711" i="17"/>
  <c r="B711" i="17"/>
  <c r="A711" i="17"/>
  <c r="M711" i="17" s="1"/>
  <c r="H710" i="17"/>
  <c r="G710" i="17"/>
  <c r="F710" i="17"/>
  <c r="D710" i="17"/>
  <c r="C710" i="17"/>
  <c r="B710" i="17"/>
  <c r="A710" i="17"/>
  <c r="H709" i="17"/>
  <c r="G709" i="17"/>
  <c r="D709" i="17"/>
  <c r="C709" i="17"/>
  <c r="B709" i="17"/>
  <c r="A709" i="17"/>
  <c r="H708" i="17"/>
  <c r="G708" i="17"/>
  <c r="F708" i="17"/>
  <c r="D708" i="17"/>
  <c r="C708" i="17"/>
  <c r="B708" i="17"/>
  <c r="A708" i="17"/>
  <c r="J708" i="17" s="1"/>
  <c r="H707" i="17"/>
  <c r="G707" i="17"/>
  <c r="F707" i="17"/>
  <c r="D707" i="17"/>
  <c r="C707" i="17"/>
  <c r="B707" i="17"/>
  <c r="A707" i="17"/>
  <c r="M707" i="17" s="1"/>
  <c r="H706" i="17"/>
  <c r="G706" i="17"/>
  <c r="F706" i="17"/>
  <c r="D706" i="17"/>
  <c r="C706" i="17"/>
  <c r="B706" i="17"/>
  <c r="A706" i="17"/>
  <c r="L706" i="17" s="1"/>
  <c r="O706" i="17" s="1"/>
  <c r="P706" i="17" s="1"/>
  <c r="H705" i="17"/>
  <c r="G705" i="17"/>
  <c r="D705" i="17"/>
  <c r="C705" i="17"/>
  <c r="B705" i="17"/>
  <c r="A705" i="17"/>
  <c r="H704" i="17"/>
  <c r="G704" i="17"/>
  <c r="F704" i="17"/>
  <c r="D704" i="17"/>
  <c r="C704" i="17"/>
  <c r="B704" i="17"/>
  <c r="A704" i="17"/>
  <c r="N704" i="17" s="1"/>
  <c r="H703" i="17"/>
  <c r="G703" i="17"/>
  <c r="F703" i="17"/>
  <c r="D703" i="17"/>
  <c r="C703" i="17"/>
  <c r="B703" i="17"/>
  <c r="A703" i="17"/>
  <c r="H702" i="17"/>
  <c r="G702" i="17"/>
  <c r="F702" i="17"/>
  <c r="D702" i="17"/>
  <c r="C702" i="17"/>
  <c r="B702" i="17"/>
  <c r="A702" i="17"/>
  <c r="K702" i="17" s="1"/>
  <c r="H701" i="17"/>
  <c r="G701" i="17"/>
  <c r="F701" i="17"/>
  <c r="D701" i="17"/>
  <c r="C701" i="17"/>
  <c r="B701" i="17"/>
  <c r="A701" i="17"/>
  <c r="H700" i="17"/>
  <c r="G700" i="17"/>
  <c r="F700" i="17"/>
  <c r="D700" i="17"/>
  <c r="C700" i="17"/>
  <c r="B700" i="17"/>
  <c r="A700" i="17"/>
  <c r="J700" i="17" s="1"/>
  <c r="H699" i="17"/>
  <c r="G699" i="17"/>
  <c r="F699" i="17"/>
  <c r="D699" i="17"/>
  <c r="C699" i="17"/>
  <c r="B699" i="17"/>
  <c r="A699" i="17"/>
  <c r="M699" i="17" s="1"/>
  <c r="H698" i="17"/>
  <c r="G698" i="17"/>
  <c r="D698" i="17"/>
  <c r="C698" i="17"/>
  <c r="B698" i="17"/>
  <c r="A698" i="17"/>
  <c r="K698" i="17" s="1"/>
  <c r="H697" i="17"/>
  <c r="G697" i="17"/>
  <c r="D697" i="17"/>
  <c r="C697" i="17"/>
  <c r="B697" i="17"/>
  <c r="A697" i="17"/>
  <c r="M697" i="17" s="1"/>
  <c r="H696" i="17"/>
  <c r="G696" i="17"/>
  <c r="D696" i="17"/>
  <c r="C696" i="17"/>
  <c r="B696" i="17"/>
  <c r="A696" i="17"/>
  <c r="L696" i="17" s="1"/>
  <c r="O696" i="17" s="1"/>
  <c r="H695" i="17"/>
  <c r="G695" i="17"/>
  <c r="D695" i="17"/>
  <c r="C695" i="17"/>
  <c r="B695" i="17"/>
  <c r="A695" i="17"/>
  <c r="H694" i="17"/>
  <c r="G694" i="17"/>
  <c r="D694" i="17"/>
  <c r="C694" i="17"/>
  <c r="B694" i="17"/>
  <c r="A694" i="17"/>
  <c r="N694" i="17" s="1"/>
  <c r="H693" i="17"/>
  <c r="G693" i="17"/>
  <c r="D693" i="17"/>
  <c r="C693" i="17"/>
  <c r="B693" i="17"/>
  <c r="A693" i="17"/>
  <c r="H692" i="17"/>
  <c r="G692" i="17"/>
  <c r="D692" i="17"/>
  <c r="C692" i="17"/>
  <c r="B692" i="17"/>
  <c r="A692" i="17"/>
  <c r="N692" i="17" s="1"/>
  <c r="H691" i="17"/>
  <c r="G691" i="17"/>
  <c r="D691" i="17"/>
  <c r="C691" i="17"/>
  <c r="B691" i="17"/>
  <c r="A691" i="17"/>
  <c r="M691" i="17" s="1"/>
  <c r="H690" i="17"/>
  <c r="G690" i="17"/>
  <c r="F690" i="17"/>
  <c r="D690" i="17"/>
  <c r="C690" i="17"/>
  <c r="B690" i="17"/>
  <c r="A690" i="17"/>
  <c r="H689" i="17"/>
  <c r="G689" i="17"/>
  <c r="F689" i="17"/>
  <c r="D689" i="17"/>
  <c r="C689" i="17"/>
  <c r="B689" i="17"/>
  <c r="A689" i="17"/>
  <c r="H688" i="17"/>
  <c r="G688" i="17"/>
  <c r="F688" i="17"/>
  <c r="D688" i="17"/>
  <c r="C688" i="17"/>
  <c r="B688" i="17"/>
  <c r="A688" i="17"/>
  <c r="N688" i="17" s="1"/>
  <c r="H687" i="17"/>
  <c r="G687" i="17"/>
  <c r="F687" i="17"/>
  <c r="D687" i="17"/>
  <c r="C687" i="17"/>
  <c r="B687" i="17"/>
  <c r="A687" i="17"/>
  <c r="K687" i="17" s="1"/>
  <c r="H686" i="17"/>
  <c r="G686" i="17"/>
  <c r="F686" i="17"/>
  <c r="D686" i="17"/>
  <c r="C686" i="17"/>
  <c r="B686" i="17"/>
  <c r="A686" i="17"/>
  <c r="N686" i="17" s="1"/>
  <c r="H685" i="17"/>
  <c r="G685" i="17"/>
  <c r="D685" i="17"/>
  <c r="C685" i="17"/>
  <c r="B685" i="17"/>
  <c r="A685" i="17"/>
  <c r="K685" i="17" s="1"/>
  <c r="H684" i="17"/>
  <c r="G684" i="17"/>
  <c r="D684" i="17"/>
  <c r="C684" i="17"/>
  <c r="B684" i="17"/>
  <c r="A684" i="17"/>
  <c r="H683" i="17"/>
  <c r="G683" i="17"/>
  <c r="D683" i="17"/>
  <c r="C683" i="17"/>
  <c r="B683" i="17"/>
  <c r="A683" i="17"/>
  <c r="K683" i="17" s="1"/>
  <c r="H682" i="17"/>
  <c r="G682" i="17"/>
  <c r="D682" i="17"/>
  <c r="C682" i="17"/>
  <c r="B682" i="17"/>
  <c r="A682" i="17"/>
  <c r="H681" i="17"/>
  <c r="G681" i="17"/>
  <c r="D681" i="17"/>
  <c r="C681" i="17"/>
  <c r="B681" i="17"/>
  <c r="A681" i="17"/>
  <c r="N681" i="17" s="1"/>
  <c r="H680" i="17"/>
  <c r="G680" i="17"/>
  <c r="D680" i="17"/>
  <c r="C680" i="17"/>
  <c r="B680" i="17"/>
  <c r="A680" i="17"/>
  <c r="H679" i="17"/>
  <c r="G679" i="17"/>
  <c r="D679" i="17"/>
  <c r="C679" i="17"/>
  <c r="B679" i="17"/>
  <c r="A679" i="17"/>
  <c r="H678" i="17"/>
  <c r="G678" i="17"/>
  <c r="D678" i="17"/>
  <c r="C678" i="17"/>
  <c r="B678" i="17"/>
  <c r="A678" i="17"/>
  <c r="H677" i="17"/>
  <c r="G677" i="17"/>
  <c r="F677" i="17"/>
  <c r="D677" i="17"/>
  <c r="C677" i="17"/>
  <c r="B677" i="17"/>
  <c r="A677" i="17"/>
  <c r="K677" i="17" s="1"/>
  <c r="H676" i="17"/>
  <c r="G676" i="17"/>
  <c r="F676" i="17"/>
  <c r="D676" i="17"/>
  <c r="C676" i="17"/>
  <c r="B676" i="17"/>
  <c r="A676" i="17"/>
  <c r="L676" i="17" s="1"/>
  <c r="O676" i="17" s="1"/>
  <c r="P676" i="17" s="1"/>
  <c r="H675" i="17"/>
  <c r="G675" i="17"/>
  <c r="F675" i="17"/>
  <c r="D675" i="17"/>
  <c r="C675" i="17"/>
  <c r="B675" i="17"/>
  <c r="A675" i="17"/>
  <c r="H674" i="17"/>
  <c r="G674" i="17"/>
  <c r="D674" i="17"/>
  <c r="C674" i="17"/>
  <c r="B674" i="17"/>
  <c r="A674" i="17"/>
  <c r="J674" i="17" s="1"/>
  <c r="H673" i="17"/>
  <c r="G673" i="17"/>
  <c r="D673" i="17"/>
  <c r="C673" i="17"/>
  <c r="B673" i="17"/>
  <c r="A673" i="17"/>
  <c r="H672" i="17"/>
  <c r="G672" i="17"/>
  <c r="D672" i="17"/>
  <c r="C672" i="17"/>
  <c r="B672" i="17"/>
  <c r="A672" i="17"/>
  <c r="H671" i="17"/>
  <c r="G671" i="17"/>
  <c r="D671" i="17"/>
  <c r="C671" i="17"/>
  <c r="B671" i="17"/>
  <c r="A671" i="17"/>
  <c r="N671" i="17" s="1"/>
  <c r="H670" i="17"/>
  <c r="G670" i="17"/>
  <c r="D670" i="17"/>
  <c r="C670" i="17"/>
  <c r="B670" i="17"/>
  <c r="A670" i="17"/>
  <c r="H669" i="17"/>
  <c r="G669" i="17"/>
  <c r="D669" i="17"/>
  <c r="C669" i="17"/>
  <c r="B669" i="17"/>
  <c r="A669" i="17"/>
  <c r="H668" i="17"/>
  <c r="G668" i="17"/>
  <c r="D668" i="17"/>
  <c r="C668" i="17"/>
  <c r="B668" i="17"/>
  <c r="A668" i="17"/>
  <c r="J668" i="17" s="1"/>
  <c r="H667" i="17"/>
  <c r="G667" i="17"/>
  <c r="D667" i="17"/>
  <c r="C667" i="17"/>
  <c r="B667" i="17"/>
  <c r="A667" i="17"/>
  <c r="M667" i="17" s="1"/>
  <c r="H666" i="17"/>
  <c r="G666" i="17"/>
  <c r="D666" i="17"/>
  <c r="C666" i="17"/>
  <c r="B666" i="17"/>
  <c r="A666" i="17"/>
  <c r="N666" i="17" s="1"/>
  <c r="H665" i="17"/>
  <c r="G665" i="17"/>
  <c r="D665" i="17"/>
  <c r="C665" i="17"/>
  <c r="B665" i="17"/>
  <c r="A665" i="17"/>
  <c r="N665" i="17" s="1"/>
  <c r="H664" i="17"/>
  <c r="G664" i="17"/>
  <c r="F664" i="17"/>
  <c r="D664" i="17"/>
  <c r="C664" i="17"/>
  <c r="B664" i="17"/>
  <c r="A664" i="17"/>
  <c r="K664" i="17" s="1"/>
  <c r="H663" i="17"/>
  <c r="G663" i="17"/>
  <c r="F663" i="17"/>
  <c r="D663" i="17"/>
  <c r="C663" i="17"/>
  <c r="B663" i="17"/>
  <c r="A663" i="17"/>
  <c r="H662" i="17"/>
  <c r="G662" i="17"/>
  <c r="F662" i="17"/>
  <c r="D662" i="17"/>
  <c r="C662" i="17"/>
  <c r="B662" i="17"/>
  <c r="A662" i="17"/>
  <c r="J662" i="17" s="1"/>
  <c r="H661" i="17"/>
  <c r="G661" i="17"/>
  <c r="F661" i="17"/>
  <c r="D661" i="17"/>
  <c r="C661" i="17"/>
  <c r="B661" i="17"/>
  <c r="A661" i="17"/>
  <c r="M661" i="17" s="1"/>
  <c r="H660" i="17"/>
  <c r="G660" i="17"/>
  <c r="D660" i="17"/>
  <c r="C660" i="17"/>
  <c r="B660" i="17"/>
  <c r="A660" i="17"/>
  <c r="H659" i="17"/>
  <c r="G659" i="17"/>
  <c r="D659" i="17"/>
  <c r="C659" i="17"/>
  <c r="B659" i="17"/>
  <c r="A659" i="17"/>
  <c r="J659" i="17" s="1"/>
  <c r="H658" i="17"/>
  <c r="G658" i="17"/>
  <c r="D658" i="17"/>
  <c r="C658" i="17"/>
  <c r="B658" i="17"/>
  <c r="A658" i="17"/>
  <c r="N658" i="17" s="1"/>
  <c r="H657" i="17"/>
  <c r="G657" i="17"/>
  <c r="D657" i="17"/>
  <c r="C657" i="17"/>
  <c r="B657" i="17"/>
  <c r="A657" i="17"/>
  <c r="N657" i="17" s="1"/>
  <c r="H656" i="17"/>
  <c r="G656" i="17"/>
  <c r="D656" i="17"/>
  <c r="C656" i="17"/>
  <c r="B656" i="17"/>
  <c r="A656" i="17"/>
  <c r="L656" i="17" s="1"/>
  <c r="O656" i="17" s="1"/>
  <c r="H655" i="17"/>
  <c r="G655" i="17"/>
  <c r="F655" i="17"/>
  <c r="D655" i="17"/>
  <c r="C655" i="17"/>
  <c r="B655" i="17"/>
  <c r="A655" i="17"/>
  <c r="H654" i="17"/>
  <c r="G654" i="17"/>
  <c r="F654" i="17"/>
  <c r="D654" i="17"/>
  <c r="C654" i="17"/>
  <c r="B654" i="17"/>
  <c r="A654" i="17"/>
  <c r="K654" i="17" s="1"/>
  <c r="H653" i="17"/>
  <c r="G653" i="17"/>
  <c r="D653" i="17"/>
  <c r="C653" i="17"/>
  <c r="B653" i="17"/>
  <c r="A653" i="17"/>
  <c r="M653" i="17" s="1"/>
  <c r="H652" i="17"/>
  <c r="G652" i="17"/>
  <c r="D652" i="17"/>
  <c r="C652" i="17"/>
  <c r="B652" i="17"/>
  <c r="A652" i="17"/>
  <c r="J652" i="17" s="1"/>
  <c r="H651" i="17"/>
  <c r="G651" i="17"/>
  <c r="D651" i="17"/>
  <c r="C651" i="17"/>
  <c r="B651" i="17"/>
  <c r="A651" i="17"/>
  <c r="K651" i="17" s="1"/>
  <c r="H650" i="17"/>
  <c r="G650" i="17"/>
  <c r="D650" i="17"/>
  <c r="C650" i="17"/>
  <c r="B650" i="17"/>
  <c r="A650" i="17"/>
  <c r="M650" i="17" s="1"/>
  <c r="H649" i="17"/>
  <c r="G649" i="17"/>
  <c r="D649" i="17"/>
  <c r="C649" i="17"/>
  <c r="B649" i="17"/>
  <c r="A649" i="17"/>
  <c r="H648" i="17"/>
  <c r="G648" i="17"/>
  <c r="D648" i="17"/>
  <c r="C648" i="17"/>
  <c r="B648" i="17"/>
  <c r="A648" i="17"/>
  <c r="H647" i="17"/>
  <c r="G647" i="17"/>
  <c r="D647" i="17"/>
  <c r="C647" i="17"/>
  <c r="B647" i="17"/>
  <c r="A647" i="17"/>
  <c r="K647" i="17" s="1"/>
  <c r="H646" i="17"/>
  <c r="G646" i="17"/>
  <c r="F646" i="17"/>
  <c r="D646" i="17"/>
  <c r="C646" i="17"/>
  <c r="B646" i="17"/>
  <c r="A646" i="17"/>
  <c r="H645" i="17"/>
  <c r="G645" i="17"/>
  <c r="F645" i="17"/>
  <c r="D645" i="17"/>
  <c r="C645" i="17"/>
  <c r="B645" i="17"/>
  <c r="A645" i="17"/>
  <c r="L645" i="17" s="1"/>
  <c r="O645" i="17" s="1"/>
  <c r="P645" i="17" s="1"/>
  <c r="H644" i="17"/>
  <c r="G644" i="17"/>
  <c r="F644" i="17"/>
  <c r="D644" i="17"/>
  <c r="C644" i="17"/>
  <c r="B644" i="17"/>
  <c r="A644" i="17"/>
  <c r="H643" i="17"/>
  <c r="G643" i="17"/>
  <c r="F643" i="17"/>
  <c r="D643" i="17"/>
  <c r="C643" i="17"/>
  <c r="B643" i="17"/>
  <c r="A643" i="17"/>
  <c r="H642" i="17"/>
  <c r="G642" i="17"/>
  <c r="D642" i="17"/>
  <c r="C642" i="17"/>
  <c r="B642" i="17"/>
  <c r="A642" i="17"/>
  <c r="M642" i="17" s="1"/>
  <c r="H641" i="17"/>
  <c r="G641" i="17"/>
  <c r="D641" i="17"/>
  <c r="C641" i="17"/>
  <c r="B641" i="17"/>
  <c r="A641" i="17"/>
  <c r="N641" i="17" s="1"/>
  <c r="H640" i="17"/>
  <c r="G640" i="17"/>
  <c r="D640" i="17"/>
  <c r="C640" i="17"/>
  <c r="B640" i="17"/>
  <c r="A640" i="17"/>
  <c r="M640" i="17" s="1"/>
  <c r="H639" i="17"/>
  <c r="G639" i="17"/>
  <c r="D639" i="17"/>
  <c r="C639" i="17"/>
  <c r="B639" i="17"/>
  <c r="A639" i="17"/>
  <c r="H638" i="17"/>
  <c r="G638" i="17"/>
  <c r="D638" i="17"/>
  <c r="C638" i="17"/>
  <c r="B638" i="17"/>
  <c r="A638" i="17"/>
  <c r="H637" i="17"/>
  <c r="G637" i="17"/>
  <c r="F637" i="17"/>
  <c r="D637" i="17"/>
  <c r="C637" i="17"/>
  <c r="B637" i="17"/>
  <c r="A637" i="17"/>
  <c r="M637" i="17" s="1"/>
  <c r="H636" i="17"/>
  <c r="G636" i="17"/>
  <c r="F636" i="17"/>
  <c r="D636" i="17"/>
  <c r="C636" i="17"/>
  <c r="B636" i="17"/>
  <c r="A636" i="17"/>
  <c r="H635" i="17"/>
  <c r="G635" i="17"/>
  <c r="F635" i="17"/>
  <c r="D635" i="17"/>
  <c r="C635" i="17"/>
  <c r="B635" i="17"/>
  <c r="A635" i="17"/>
  <c r="M635" i="17" s="1"/>
  <c r="H634" i="17"/>
  <c r="G634" i="17"/>
  <c r="F634" i="17"/>
  <c r="D634" i="17"/>
  <c r="C634" i="17"/>
  <c r="B634" i="17"/>
  <c r="A634" i="17"/>
  <c r="H633" i="17"/>
  <c r="G633" i="17"/>
  <c r="D633" i="17"/>
  <c r="C633" i="17"/>
  <c r="B633" i="17"/>
  <c r="A633" i="17"/>
  <c r="M633" i="17" s="1"/>
  <c r="H632" i="17"/>
  <c r="G632" i="17"/>
  <c r="D632" i="17"/>
  <c r="C632" i="17"/>
  <c r="B632" i="17"/>
  <c r="A632" i="17"/>
  <c r="H631" i="17"/>
  <c r="G631" i="17"/>
  <c r="D631" i="17"/>
  <c r="C631" i="17"/>
  <c r="B631" i="17"/>
  <c r="A631" i="17"/>
  <c r="H630" i="17"/>
  <c r="G630" i="17"/>
  <c r="D630" i="17"/>
  <c r="C630" i="17"/>
  <c r="B630" i="17"/>
  <c r="A630" i="17"/>
  <c r="N630" i="17" s="1"/>
  <c r="H629" i="17"/>
  <c r="G629" i="17"/>
  <c r="D629" i="17"/>
  <c r="C629" i="17"/>
  <c r="B629" i="17"/>
  <c r="A629" i="17"/>
  <c r="L629" i="17" s="1"/>
  <c r="O629" i="17" s="1"/>
  <c r="P629" i="17" s="1"/>
  <c r="H628" i="17"/>
  <c r="G628" i="17"/>
  <c r="D628" i="17"/>
  <c r="C628" i="17"/>
  <c r="B628" i="17"/>
  <c r="A628" i="17"/>
  <c r="H627" i="17"/>
  <c r="G627" i="17"/>
  <c r="D627" i="17"/>
  <c r="C627" i="17"/>
  <c r="B627" i="17"/>
  <c r="A627" i="17"/>
  <c r="H626" i="17"/>
  <c r="G626" i="17"/>
  <c r="D626" i="17"/>
  <c r="C626" i="17"/>
  <c r="B626" i="17"/>
  <c r="A626" i="17"/>
  <c r="M626" i="17" s="1"/>
  <c r="H625" i="17"/>
  <c r="G625" i="17"/>
  <c r="D625" i="17"/>
  <c r="C625" i="17"/>
  <c r="B625" i="17"/>
  <c r="A625" i="17"/>
  <c r="H624" i="17"/>
  <c r="G624" i="17"/>
  <c r="F624" i="17"/>
  <c r="D624" i="17"/>
  <c r="C624" i="17"/>
  <c r="B624" i="17"/>
  <c r="A624" i="17"/>
  <c r="M624" i="17" s="1"/>
  <c r="H623" i="17"/>
  <c r="G623" i="17"/>
  <c r="F623" i="17"/>
  <c r="D623" i="17"/>
  <c r="C623" i="17"/>
  <c r="B623" i="17"/>
  <c r="A623" i="17"/>
  <c r="M623" i="17" s="1"/>
  <c r="H622" i="17"/>
  <c r="G622" i="17"/>
  <c r="F622" i="17"/>
  <c r="D622" i="17"/>
  <c r="C622" i="17"/>
  <c r="B622" i="17"/>
  <c r="A622" i="17"/>
  <c r="L622" i="17" s="1"/>
  <c r="O622" i="17" s="1"/>
  <c r="P622" i="17" s="1"/>
  <c r="H621" i="17"/>
  <c r="G621" i="17"/>
  <c r="F621" i="17"/>
  <c r="D621" i="17"/>
  <c r="C621" i="17"/>
  <c r="B621" i="17"/>
  <c r="A621" i="17"/>
  <c r="K621" i="17" s="1"/>
  <c r="H620" i="17"/>
  <c r="G620" i="17"/>
  <c r="D620" i="17"/>
  <c r="C620" i="17"/>
  <c r="B620" i="17"/>
  <c r="A620" i="17"/>
  <c r="H619" i="17"/>
  <c r="G619" i="17"/>
  <c r="D619" i="17"/>
  <c r="C619" i="17"/>
  <c r="B619" i="17"/>
  <c r="A619" i="17"/>
  <c r="M619" i="17" s="1"/>
  <c r="H618" i="17"/>
  <c r="G618" i="17"/>
  <c r="D618" i="17"/>
  <c r="C618" i="17"/>
  <c r="B618" i="17"/>
  <c r="A618" i="17"/>
  <c r="J618" i="17" s="1"/>
  <c r="H617" i="17"/>
  <c r="G617" i="17"/>
  <c r="D617" i="17"/>
  <c r="C617" i="17"/>
  <c r="B617" i="17"/>
  <c r="A617" i="17"/>
  <c r="N617" i="17" s="1"/>
  <c r="H616" i="17"/>
  <c r="G616" i="17"/>
  <c r="D616" i="17"/>
  <c r="C616" i="17"/>
  <c r="B616" i="17"/>
  <c r="A616" i="17"/>
  <c r="N616" i="17" s="1"/>
  <c r="H615" i="17"/>
  <c r="G615" i="17"/>
  <c r="D615" i="17"/>
  <c r="C615" i="17"/>
  <c r="B615" i="17"/>
  <c r="A615" i="17"/>
  <c r="H614" i="17"/>
  <c r="G614" i="17"/>
  <c r="D614" i="17"/>
  <c r="C614" i="17"/>
  <c r="B614" i="17"/>
  <c r="A614" i="17"/>
  <c r="L614" i="17" s="1"/>
  <c r="O614" i="17" s="1"/>
  <c r="P614" i="17" s="1"/>
  <c r="H613" i="17"/>
  <c r="G613" i="17"/>
  <c r="D613" i="17"/>
  <c r="C613" i="17"/>
  <c r="B613" i="17"/>
  <c r="A613" i="17"/>
  <c r="H612" i="17"/>
  <c r="G612" i="17"/>
  <c r="D612" i="17"/>
  <c r="C612" i="17"/>
  <c r="B612" i="17"/>
  <c r="A612" i="17"/>
  <c r="K612" i="17" s="1"/>
  <c r="H611" i="17"/>
  <c r="G611" i="17"/>
  <c r="D611" i="17"/>
  <c r="C611" i="17"/>
  <c r="B611" i="17"/>
  <c r="A611" i="17"/>
  <c r="L611" i="17" s="1"/>
  <c r="O611" i="17" s="1"/>
  <c r="P611" i="17" s="1"/>
  <c r="H610" i="17"/>
  <c r="G610" i="17"/>
  <c r="F610" i="17"/>
  <c r="D610" i="17"/>
  <c r="C610" i="17"/>
  <c r="B610" i="17"/>
  <c r="A610" i="17"/>
  <c r="N610" i="17" s="1"/>
  <c r="H609" i="17"/>
  <c r="G609" i="17"/>
  <c r="F609" i="17"/>
  <c r="D609" i="17"/>
  <c r="C609" i="17"/>
  <c r="B609" i="17"/>
  <c r="A609" i="17"/>
  <c r="M609" i="17" s="1"/>
  <c r="H608" i="17"/>
  <c r="G608" i="17"/>
  <c r="F608" i="17"/>
  <c r="D608" i="17"/>
  <c r="C608" i="17"/>
  <c r="B608" i="17"/>
  <c r="A608" i="17"/>
  <c r="N608" i="17" s="1"/>
  <c r="H607" i="17"/>
  <c r="G607" i="17"/>
  <c r="F607" i="17"/>
  <c r="D607" i="17"/>
  <c r="C607" i="17"/>
  <c r="B607" i="17"/>
  <c r="A607" i="17"/>
  <c r="L607" i="17" s="1"/>
  <c r="O607" i="17" s="1"/>
  <c r="P607" i="17" s="1"/>
  <c r="H606" i="17"/>
  <c r="G606" i="17"/>
  <c r="F606" i="17"/>
  <c r="D606" i="17"/>
  <c r="C606" i="17"/>
  <c r="B606" i="17"/>
  <c r="A606" i="17"/>
  <c r="J606" i="17" s="1"/>
  <c r="H605" i="17"/>
  <c r="G605" i="17"/>
  <c r="D605" i="17"/>
  <c r="C605" i="17"/>
  <c r="B605" i="17"/>
  <c r="A605" i="17"/>
  <c r="N605" i="17" s="1"/>
  <c r="H604" i="17"/>
  <c r="G604" i="17"/>
  <c r="D604" i="17"/>
  <c r="C604" i="17"/>
  <c r="B604" i="17"/>
  <c r="A604" i="17"/>
  <c r="N604" i="17" s="1"/>
  <c r="H603" i="17"/>
  <c r="G603" i="17"/>
  <c r="D603" i="17"/>
  <c r="C603" i="17"/>
  <c r="B603" i="17"/>
  <c r="A603" i="17"/>
  <c r="L603" i="17" s="1"/>
  <c r="O603" i="17" s="1"/>
  <c r="H602" i="17"/>
  <c r="G602" i="17"/>
  <c r="D602" i="17"/>
  <c r="C602" i="17"/>
  <c r="B602" i="17"/>
  <c r="A602" i="17"/>
  <c r="N602" i="17" s="1"/>
  <c r="H601" i="17"/>
  <c r="G601" i="17"/>
  <c r="D601" i="17"/>
  <c r="C601" i="17"/>
  <c r="B601" i="17"/>
  <c r="A601" i="17"/>
  <c r="N601" i="17" s="1"/>
  <c r="H600" i="17"/>
  <c r="G600" i="17"/>
  <c r="D600" i="17"/>
  <c r="C600" i="17"/>
  <c r="B600" i="17"/>
  <c r="A600" i="17"/>
  <c r="K600" i="17" s="1"/>
  <c r="H599" i="17"/>
  <c r="G599" i="17"/>
  <c r="F599" i="17"/>
  <c r="D599" i="17"/>
  <c r="C599" i="17"/>
  <c r="B599" i="17"/>
  <c r="A599" i="17"/>
  <c r="H598" i="17"/>
  <c r="G598" i="17"/>
  <c r="F598" i="17"/>
  <c r="D598" i="17"/>
  <c r="C598" i="17"/>
  <c r="B598" i="17"/>
  <c r="A598" i="17"/>
  <c r="M598" i="17" s="1"/>
  <c r="H597" i="17"/>
  <c r="G597" i="17"/>
  <c r="F597" i="17"/>
  <c r="D597" i="17"/>
  <c r="C597" i="17"/>
  <c r="B597" i="17"/>
  <c r="A597" i="17"/>
  <c r="N597" i="17" s="1"/>
  <c r="H596" i="17"/>
  <c r="G596" i="17"/>
  <c r="F596" i="17"/>
  <c r="D596" i="17"/>
  <c r="C596" i="17"/>
  <c r="B596" i="17"/>
  <c r="A596" i="17"/>
  <c r="K596" i="17" s="1"/>
  <c r="H595" i="17"/>
  <c r="G595" i="17"/>
  <c r="F595" i="17"/>
  <c r="D595" i="17"/>
  <c r="C595" i="17"/>
  <c r="B595" i="17"/>
  <c r="A595" i="17"/>
  <c r="H594" i="17"/>
  <c r="G594" i="17"/>
  <c r="D594" i="17"/>
  <c r="C594" i="17"/>
  <c r="B594" i="17"/>
  <c r="A594" i="17"/>
  <c r="H593" i="17"/>
  <c r="G593" i="17"/>
  <c r="D593" i="17"/>
  <c r="C593" i="17"/>
  <c r="B593" i="17"/>
  <c r="A593" i="17"/>
  <c r="H592" i="17"/>
  <c r="G592" i="17"/>
  <c r="D592" i="17"/>
  <c r="C592" i="17"/>
  <c r="B592" i="17"/>
  <c r="A592" i="17"/>
  <c r="H591" i="17"/>
  <c r="G591" i="17"/>
  <c r="D591" i="17"/>
  <c r="C591" i="17"/>
  <c r="B591" i="17"/>
  <c r="A591" i="17"/>
  <c r="J591" i="17" s="1"/>
  <c r="H590" i="17"/>
  <c r="G590" i="17"/>
  <c r="D590" i="17"/>
  <c r="C590" i="17"/>
  <c r="B590" i="17"/>
  <c r="A590" i="17"/>
  <c r="L590" i="17" s="1"/>
  <c r="O590" i="17" s="1"/>
  <c r="P590" i="17" s="1"/>
  <c r="H589" i="17"/>
  <c r="G589" i="17"/>
  <c r="D589" i="17"/>
  <c r="C589" i="17"/>
  <c r="B589" i="17"/>
  <c r="A589" i="17"/>
  <c r="H588" i="17"/>
  <c r="G588" i="17"/>
  <c r="D588" i="17"/>
  <c r="C588" i="17"/>
  <c r="B588" i="17"/>
  <c r="A588" i="17"/>
  <c r="N588" i="17" s="1"/>
  <c r="H587" i="17"/>
  <c r="G587" i="17"/>
  <c r="D587" i="17"/>
  <c r="C587" i="17"/>
  <c r="B587" i="17"/>
  <c r="A587" i="17"/>
  <c r="H586" i="17"/>
  <c r="G586" i="17"/>
  <c r="F586" i="17"/>
  <c r="D586" i="17"/>
  <c r="C586" i="17"/>
  <c r="B586" i="17"/>
  <c r="A586" i="17"/>
  <c r="N586" i="17" s="1"/>
  <c r="H585" i="17"/>
  <c r="G585" i="17"/>
  <c r="F585" i="17"/>
  <c r="D585" i="17"/>
  <c r="C585" i="17"/>
  <c r="B585" i="17"/>
  <c r="A585" i="17"/>
  <c r="H584" i="17"/>
  <c r="G584" i="17"/>
  <c r="F584" i="17"/>
  <c r="D584" i="17"/>
  <c r="C584" i="17"/>
  <c r="B584" i="17"/>
  <c r="A584" i="17"/>
  <c r="J584" i="17" s="1"/>
  <c r="H583" i="17"/>
  <c r="G583" i="17"/>
  <c r="D583" i="17"/>
  <c r="C583" i="17"/>
  <c r="B583" i="17"/>
  <c r="A583" i="17"/>
  <c r="N583" i="17" s="1"/>
  <c r="H582" i="17"/>
  <c r="G582" i="17"/>
  <c r="D582" i="17"/>
  <c r="C582" i="17"/>
  <c r="B582" i="17"/>
  <c r="A582" i="17"/>
  <c r="H581" i="17"/>
  <c r="G581" i="17"/>
  <c r="D581" i="17"/>
  <c r="C581" i="17"/>
  <c r="B581" i="17"/>
  <c r="A581" i="17"/>
  <c r="H580" i="17"/>
  <c r="G580" i="17"/>
  <c r="D580" i="17"/>
  <c r="C580" i="17"/>
  <c r="B580" i="17"/>
  <c r="A580" i="17"/>
  <c r="H579" i="17"/>
  <c r="G579" i="17"/>
  <c r="D579" i="17"/>
  <c r="C579" i="17"/>
  <c r="B579" i="17"/>
  <c r="A579" i="17"/>
  <c r="M579" i="17" s="1"/>
  <c r="H578" i="17"/>
  <c r="G578" i="17"/>
  <c r="D578" i="17"/>
  <c r="C578" i="17"/>
  <c r="B578" i="17"/>
  <c r="A578" i="17"/>
  <c r="H577" i="17"/>
  <c r="G577" i="17"/>
  <c r="D577" i="17"/>
  <c r="C577" i="17"/>
  <c r="B577" i="17"/>
  <c r="A577" i="17"/>
  <c r="L577" i="17" s="1"/>
  <c r="O577" i="17" s="1"/>
  <c r="P577" i="17" s="1"/>
  <c r="H576" i="17"/>
  <c r="G576" i="17"/>
  <c r="D576" i="17"/>
  <c r="C576" i="17"/>
  <c r="B576" i="17"/>
  <c r="A576" i="17"/>
  <c r="L576" i="17" s="1"/>
  <c r="O576" i="17" s="1"/>
  <c r="P576" i="17" s="1"/>
  <c r="H575" i="17"/>
  <c r="G575" i="17"/>
  <c r="F575" i="17"/>
  <c r="D575" i="17"/>
  <c r="C575" i="17"/>
  <c r="B575" i="17"/>
  <c r="A575" i="17"/>
  <c r="M575" i="17" s="1"/>
  <c r="H574" i="17"/>
  <c r="G574" i="17"/>
  <c r="F574" i="17"/>
  <c r="D574" i="17"/>
  <c r="C574" i="17"/>
  <c r="B574" i="17"/>
  <c r="A574" i="17"/>
  <c r="H573" i="17"/>
  <c r="G573" i="17"/>
  <c r="F573" i="17"/>
  <c r="D573" i="17"/>
  <c r="C573" i="17"/>
  <c r="B573" i="17"/>
  <c r="A573" i="17"/>
  <c r="H572" i="17"/>
  <c r="G572" i="17"/>
  <c r="F572" i="17"/>
  <c r="D572" i="17"/>
  <c r="C572" i="17"/>
  <c r="B572" i="17"/>
  <c r="A572" i="17"/>
  <c r="H571" i="17"/>
  <c r="G571" i="17"/>
  <c r="D571" i="17"/>
  <c r="C571" i="17"/>
  <c r="B571" i="17"/>
  <c r="A571" i="17"/>
  <c r="H570" i="17"/>
  <c r="G570" i="17"/>
  <c r="D570" i="17"/>
  <c r="C570" i="17"/>
  <c r="B570" i="17"/>
  <c r="A570" i="17"/>
  <c r="N570" i="17" s="1"/>
  <c r="H569" i="17"/>
  <c r="G569" i="17"/>
  <c r="D569" i="17"/>
  <c r="C569" i="17"/>
  <c r="B569" i="17"/>
  <c r="A569" i="17"/>
  <c r="H568" i="17"/>
  <c r="G568" i="17"/>
  <c r="D568" i="17"/>
  <c r="C568" i="17"/>
  <c r="B568" i="17"/>
  <c r="A568" i="17"/>
  <c r="M568" i="17" s="1"/>
  <c r="H567" i="17"/>
  <c r="G567" i="17"/>
  <c r="D567" i="17"/>
  <c r="C567" i="17"/>
  <c r="B567" i="17"/>
  <c r="A567" i="17"/>
  <c r="H566" i="17"/>
  <c r="G566" i="17"/>
  <c r="D566" i="17"/>
  <c r="C566" i="17"/>
  <c r="B566" i="17"/>
  <c r="A566" i="17"/>
  <c r="K566" i="17" s="1"/>
  <c r="H565" i="17"/>
  <c r="G565" i="17"/>
  <c r="D565" i="17"/>
  <c r="C565" i="17"/>
  <c r="B565" i="17"/>
  <c r="A565" i="17"/>
  <c r="K565" i="17" s="1"/>
  <c r="H564" i="17"/>
  <c r="G564" i="17"/>
  <c r="D564" i="17"/>
  <c r="C564" i="17"/>
  <c r="B564" i="17"/>
  <c r="A564" i="17"/>
  <c r="N564" i="17" s="1"/>
  <c r="H563" i="17"/>
  <c r="G563" i="17"/>
  <c r="D563" i="17"/>
  <c r="C563" i="17"/>
  <c r="B563" i="17"/>
  <c r="A563" i="17"/>
  <c r="K563" i="17" s="1"/>
  <c r="H562" i="17"/>
  <c r="G562" i="17"/>
  <c r="D562" i="17"/>
  <c r="C562" i="17"/>
  <c r="B562" i="17"/>
  <c r="A562" i="17"/>
  <c r="H561" i="17"/>
  <c r="G561" i="17"/>
  <c r="F561" i="17"/>
  <c r="D561" i="17"/>
  <c r="C561" i="17"/>
  <c r="B561" i="17"/>
  <c r="A561" i="17"/>
  <c r="H560" i="17"/>
  <c r="G560" i="17"/>
  <c r="F560" i="17"/>
  <c r="D560" i="17"/>
  <c r="C560" i="17"/>
  <c r="B560" i="17"/>
  <c r="A560" i="17"/>
  <c r="K560" i="17" s="1"/>
  <c r="H559" i="17"/>
  <c r="G559" i="17"/>
  <c r="F559" i="17"/>
  <c r="D559" i="17"/>
  <c r="C559" i="17"/>
  <c r="B559" i="17"/>
  <c r="A559" i="17"/>
  <c r="N559" i="17" s="1"/>
  <c r="H558" i="17"/>
  <c r="G558" i="17"/>
  <c r="F558" i="17"/>
  <c r="D558" i="17"/>
  <c r="C558" i="17"/>
  <c r="B558" i="17"/>
  <c r="A558" i="17"/>
  <c r="H557" i="17"/>
  <c r="G557" i="17"/>
  <c r="F557" i="17"/>
  <c r="D557" i="17"/>
  <c r="C557" i="17"/>
  <c r="B557" i="17"/>
  <c r="A557" i="17"/>
  <c r="J557" i="17" s="1"/>
  <c r="H556" i="17"/>
  <c r="G556" i="17"/>
  <c r="D556" i="17"/>
  <c r="C556" i="17"/>
  <c r="B556" i="17"/>
  <c r="A556" i="17"/>
  <c r="H555" i="17"/>
  <c r="G555" i="17"/>
  <c r="D555" i="17"/>
  <c r="C555" i="17"/>
  <c r="B555" i="17"/>
  <c r="A555" i="17"/>
  <c r="H554" i="17"/>
  <c r="G554" i="17"/>
  <c r="D554" i="17"/>
  <c r="C554" i="17"/>
  <c r="B554" i="17"/>
  <c r="A554" i="17"/>
  <c r="J554" i="17" s="1"/>
  <c r="H553" i="17"/>
  <c r="G553" i="17"/>
  <c r="D553" i="17"/>
  <c r="C553" i="17"/>
  <c r="B553" i="17"/>
  <c r="A553" i="17"/>
  <c r="H552" i="17"/>
  <c r="G552" i="17"/>
  <c r="D552" i="17"/>
  <c r="C552" i="17"/>
  <c r="B552" i="17"/>
  <c r="A552" i="17"/>
  <c r="N552" i="17" s="1"/>
  <c r="H551" i="17"/>
  <c r="G551" i="17"/>
  <c r="D551" i="17"/>
  <c r="C551" i="17"/>
  <c r="B551" i="17"/>
  <c r="A551" i="17"/>
  <c r="H550" i="17"/>
  <c r="G550" i="17"/>
  <c r="D550" i="17"/>
  <c r="C550" i="17"/>
  <c r="B550" i="17"/>
  <c r="A550" i="17"/>
  <c r="N550" i="17" s="1"/>
  <c r="H549" i="17"/>
  <c r="G549" i="17"/>
  <c r="D549" i="17"/>
  <c r="C549" i="17"/>
  <c r="B549" i="17"/>
  <c r="A549" i="17"/>
  <c r="H548" i="17"/>
  <c r="G548" i="17"/>
  <c r="D548" i="17"/>
  <c r="C548" i="17"/>
  <c r="B548" i="17"/>
  <c r="A548" i="17"/>
  <c r="H547" i="17"/>
  <c r="G547" i="17"/>
  <c r="D547" i="17"/>
  <c r="C547" i="17"/>
  <c r="B547" i="17"/>
  <c r="A547" i="17"/>
  <c r="H546" i="17"/>
  <c r="G546" i="17"/>
  <c r="F546" i="17"/>
  <c r="D546" i="17"/>
  <c r="C546" i="17"/>
  <c r="B546" i="17"/>
  <c r="A546" i="17"/>
  <c r="N546" i="17" s="1"/>
  <c r="H545" i="17"/>
  <c r="G545" i="17"/>
  <c r="F545" i="17"/>
  <c r="D545" i="17"/>
  <c r="C545" i="17"/>
  <c r="B545" i="17"/>
  <c r="A545" i="17"/>
  <c r="N545" i="17" s="1"/>
  <c r="H544" i="17"/>
  <c r="G544" i="17"/>
  <c r="F544" i="17"/>
  <c r="D544" i="17"/>
  <c r="C544" i="17"/>
  <c r="B544" i="17"/>
  <c r="A544" i="17"/>
  <c r="N544" i="17" s="1"/>
  <c r="H543" i="17"/>
  <c r="G543" i="17"/>
  <c r="D543" i="17"/>
  <c r="C543" i="17"/>
  <c r="B543" i="17"/>
  <c r="A543" i="17"/>
  <c r="H542" i="17"/>
  <c r="G542" i="17"/>
  <c r="D542" i="17"/>
  <c r="C542" i="17"/>
  <c r="B542" i="17"/>
  <c r="A542" i="17"/>
  <c r="H541" i="17"/>
  <c r="G541" i="17"/>
  <c r="D541" i="17"/>
  <c r="C541" i="17"/>
  <c r="B541" i="17"/>
  <c r="A541" i="17"/>
  <c r="J541" i="17" s="1"/>
  <c r="H540" i="17"/>
  <c r="G540" i="17"/>
  <c r="D540" i="17"/>
  <c r="C540" i="17"/>
  <c r="B540" i="17"/>
  <c r="A540" i="17"/>
  <c r="H539" i="17"/>
  <c r="G539" i="17"/>
  <c r="D539" i="17"/>
  <c r="C539" i="17"/>
  <c r="B539" i="17"/>
  <c r="A539" i="17"/>
  <c r="N539" i="17" s="1"/>
  <c r="H538" i="17"/>
  <c r="G538" i="17"/>
  <c r="D538" i="17"/>
  <c r="C538" i="17"/>
  <c r="B538" i="17"/>
  <c r="A538" i="17"/>
  <c r="H537" i="17"/>
  <c r="G537" i="17"/>
  <c r="D537" i="17"/>
  <c r="C537" i="17"/>
  <c r="B537" i="17"/>
  <c r="A537" i="17"/>
  <c r="K537" i="17" s="1"/>
  <c r="H536" i="17"/>
  <c r="G536" i="17"/>
  <c r="D536" i="17"/>
  <c r="C536" i="17"/>
  <c r="B536" i="17"/>
  <c r="A536" i="17"/>
  <c r="H535" i="17"/>
  <c r="G535" i="17"/>
  <c r="D535" i="17"/>
  <c r="C535" i="17"/>
  <c r="B535" i="17"/>
  <c r="A535" i="17"/>
  <c r="N535" i="17" s="1"/>
  <c r="H534" i="17"/>
  <c r="G534" i="17"/>
  <c r="D534" i="17"/>
  <c r="C534" i="17"/>
  <c r="B534" i="17"/>
  <c r="A534" i="17"/>
  <c r="H533" i="17"/>
  <c r="G533" i="17"/>
  <c r="F533" i="17"/>
  <c r="D533" i="17"/>
  <c r="C533" i="17"/>
  <c r="B533" i="17"/>
  <c r="A533" i="17"/>
  <c r="K533" i="17" s="1"/>
  <c r="H532" i="17"/>
  <c r="G532" i="17"/>
  <c r="F532" i="17"/>
  <c r="D532" i="17"/>
  <c r="C532" i="17"/>
  <c r="B532" i="17"/>
  <c r="A532" i="17"/>
  <c r="H531" i="17"/>
  <c r="G531" i="17"/>
  <c r="F531" i="17"/>
  <c r="D531" i="17"/>
  <c r="C531" i="17"/>
  <c r="B531" i="17"/>
  <c r="A531" i="17"/>
  <c r="M531" i="17" s="1"/>
  <c r="H530" i="17"/>
  <c r="G530" i="17"/>
  <c r="F530" i="17"/>
  <c r="D530" i="17"/>
  <c r="C530" i="17"/>
  <c r="B530" i="17"/>
  <c r="A530" i="17"/>
  <c r="H529" i="17"/>
  <c r="G529" i="17"/>
  <c r="D529" i="17"/>
  <c r="C529" i="17"/>
  <c r="B529" i="17"/>
  <c r="A529" i="17"/>
  <c r="K529" i="17" s="1"/>
  <c r="H528" i="17"/>
  <c r="G528" i="17"/>
  <c r="D528" i="17"/>
  <c r="C528" i="17"/>
  <c r="B528" i="17"/>
  <c r="A528" i="17"/>
  <c r="H527" i="17"/>
  <c r="G527" i="17"/>
  <c r="D527" i="17"/>
  <c r="C527" i="17"/>
  <c r="B527" i="17"/>
  <c r="A527" i="17"/>
  <c r="N527" i="17" s="1"/>
  <c r="H526" i="17"/>
  <c r="G526" i="17"/>
  <c r="D526" i="17"/>
  <c r="C526" i="17"/>
  <c r="B526" i="17"/>
  <c r="A526" i="17"/>
  <c r="J526" i="17" s="1"/>
  <c r="H525" i="17"/>
  <c r="G525" i="17"/>
  <c r="D525" i="17"/>
  <c r="C525" i="17"/>
  <c r="B525" i="17"/>
  <c r="A525" i="17"/>
  <c r="H524" i="17"/>
  <c r="G524" i="17"/>
  <c r="D524" i="17"/>
  <c r="C524" i="17"/>
  <c r="B524" i="17"/>
  <c r="A524" i="17"/>
  <c r="K524" i="17" s="1"/>
  <c r="H523" i="17"/>
  <c r="G523" i="17"/>
  <c r="F523" i="17"/>
  <c r="D523" i="17"/>
  <c r="C523" i="17"/>
  <c r="B523" i="17"/>
  <c r="A523" i="17"/>
  <c r="N523" i="17" s="1"/>
  <c r="H522" i="17"/>
  <c r="G522" i="17"/>
  <c r="F522" i="17"/>
  <c r="D522" i="17"/>
  <c r="C522" i="17"/>
  <c r="B522" i="17"/>
  <c r="A522" i="17"/>
  <c r="N522" i="17" s="1"/>
  <c r="H521" i="17"/>
  <c r="G521" i="17"/>
  <c r="D521" i="17"/>
  <c r="C521" i="17"/>
  <c r="B521" i="17"/>
  <c r="A521" i="17"/>
  <c r="H520" i="17"/>
  <c r="G520" i="17"/>
  <c r="D520" i="17"/>
  <c r="C520" i="17"/>
  <c r="B520" i="17"/>
  <c r="A520" i="17"/>
  <c r="J520" i="17" s="1"/>
  <c r="H519" i="17"/>
  <c r="G519" i="17"/>
  <c r="D519" i="17"/>
  <c r="C519" i="17"/>
  <c r="B519" i="17"/>
  <c r="A519" i="17"/>
  <c r="H518" i="17"/>
  <c r="G518" i="17"/>
  <c r="D518" i="17"/>
  <c r="C518" i="17"/>
  <c r="B518" i="17"/>
  <c r="A518" i="17"/>
  <c r="M518" i="17" s="1"/>
  <c r="H517" i="17"/>
  <c r="G517" i="17"/>
  <c r="D517" i="17"/>
  <c r="C517" i="17"/>
  <c r="B517" i="17"/>
  <c r="A517" i="17"/>
  <c r="H516" i="17"/>
  <c r="G516" i="17"/>
  <c r="F516" i="17"/>
  <c r="D516" i="17"/>
  <c r="C516" i="17"/>
  <c r="B516" i="17"/>
  <c r="A516" i="17"/>
  <c r="H515" i="17"/>
  <c r="G515" i="17"/>
  <c r="F515" i="17"/>
  <c r="D515" i="17"/>
  <c r="C515" i="17"/>
  <c r="B515" i="17"/>
  <c r="A515" i="17"/>
  <c r="N515" i="17" s="1"/>
  <c r="H514" i="17"/>
  <c r="G514" i="17"/>
  <c r="F514" i="17"/>
  <c r="D514" i="17"/>
  <c r="C514" i="17"/>
  <c r="B514" i="17"/>
  <c r="A514" i="17"/>
  <c r="H513" i="17"/>
  <c r="G513" i="17"/>
  <c r="F513" i="17"/>
  <c r="D513" i="17"/>
  <c r="C513" i="17"/>
  <c r="B513" i="17"/>
  <c r="A513" i="17"/>
  <c r="H512" i="17"/>
  <c r="G512" i="17"/>
  <c r="F512" i="17"/>
  <c r="D512" i="17"/>
  <c r="C512" i="17"/>
  <c r="B512" i="17"/>
  <c r="A512" i="17"/>
  <c r="H511" i="17"/>
  <c r="G511" i="17"/>
  <c r="F511" i="17"/>
  <c r="D511" i="17"/>
  <c r="C511" i="17"/>
  <c r="B511" i="17"/>
  <c r="A511" i="17"/>
  <c r="K511" i="17" s="1"/>
  <c r="H510" i="17"/>
  <c r="G510" i="17"/>
  <c r="F510" i="17"/>
  <c r="D510" i="17"/>
  <c r="C510" i="17"/>
  <c r="B510" i="17"/>
  <c r="A510" i="17"/>
  <c r="H509" i="17"/>
  <c r="G509" i="17"/>
  <c r="D509" i="17"/>
  <c r="C509" i="17"/>
  <c r="B509" i="17"/>
  <c r="A509" i="17"/>
  <c r="H508" i="17"/>
  <c r="G508" i="17"/>
  <c r="D508" i="17"/>
  <c r="C508" i="17"/>
  <c r="B508" i="17"/>
  <c r="A508" i="17"/>
  <c r="J508" i="17" s="1"/>
  <c r="H507" i="17"/>
  <c r="G507" i="17"/>
  <c r="D507" i="17"/>
  <c r="C507" i="17"/>
  <c r="B507" i="17"/>
  <c r="A507" i="17"/>
  <c r="N507" i="17" s="1"/>
  <c r="H506" i="17"/>
  <c r="G506" i="17"/>
  <c r="D506" i="17"/>
  <c r="C506" i="17"/>
  <c r="B506" i="17"/>
  <c r="A506" i="17"/>
  <c r="H505" i="17"/>
  <c r="G505" i="17"/>
  <c r="D505" i="17"/>
  <c r="C505" i="17"/>
  <c r="B505" i="17"/>
  <c r="A505" i="17"/>
  <c r="N505" i="17" s="1"/>
  <c r="H504" i="17"/>
  <c r="G504" i="17"/>
  <c r="D504" i="17"/>
  <c r="C504" i="17"/>
  <c r="B504" i="17"/>
  <c r="A504" i="17"/>
  <c r="N504" i="17" s="1"/>
  <c r="H503" i="17"/>
  <c r="G503" i="17"/>
  <c r="F503" i="17"/>
  <c r="D503" i="17"/>
  <c r="C503" i="17"/>
  <c r="B503" i="17"/>
  <c r="A503" i="17"/>
  <c r="H502" i="17"/>
  <c r="G502" i="17"/>
  <c r="F502" i="17"/>
  <c r="D502" i="17"/>
  <c r="C502" i="17"/>
  <c r="B502" i="17"/>
  <c r="A502" i="17"/>
  <c r="J502" i="17" s="1"/>
  <c r="H501" i="17"/>
  <c r="G501" i="17"/>
  <c r="F501" i="17"/>
  <c r="D501" i="17"/>
  <c r="C501" i="17"/>
  <c r="B501" i="17"/>
  <c r="A501" i="17"/>
  <c r="L501" i="17" s="1"/>
  <c r="O501" i="17" s="1"/>
  <c r="P501" i="17" s="1"/>
  <c r="H500" i="17"/>
  <c r="G500" i="17"/>
  <c r="D500" i="17"/>
  <c r="C500" i="17"/>
  <c r="B500" i="17"/>
  <c r="A500" i="17"/>
  <c r="H499" i="17"/>
  <c r="G499" i="17"/>
  <c r="D499" i="17"/>
  <c r="C499" i="17"/>
  <c r="B499" i="17"/>
  <c r="A499" i="17"/>
  <c r="N499" i="17" s="1"/>
  <c r="H498" i="17"/>
  <c r="G498" i="17"/>
  <c r="D498" i="17"/>
  <c r="C498" i="17"/>
  <c r="B498" i="17"/>
  <c r="A498" i="17"/>
  <c r="H497" i="17"/>
  <c r="G497" i="17"/>
  <c r="D497" i="17"/>
  <c r="C497" i="17"/>
  <c r="B497" i="17"/>
  <c r="A497" i="17"/>
  <c r="J497" i="17" s="1"/>
  <c r="H496" i="17"/>
  <c r="G496" i="17"/>
  <c r="D496" i="17"/>
  <c r="C496" i="17"/>
  <c r="B496" i="17"/>
  <c r="A496" i="17"/>
  <c r="N496" i="17" s="1"/>
  <c r="H495" i="17"/>
  <c r="G495" i="17"/>
  <c r="D495" i="17"/>
  <c r="C495" i="17"/>
  <c r="B495" i="17"/>
  <c r="A495" i="17"/>
  <c r="H494" i="17"/>
  <c r="G494" i="17"/>
  <c r="F494" i="17"/>
  <c r="D494" i="17"/>
  <c r="C494" i="17"/>
  <c r="B494" i="17"/>
  <c r="A494" i="17"/>
  <c r="J494" i="17" s="1"/>
  <c r="H493" i="17"/>
  <c r="G493" i="17"/>
  <c r="F493" i="17"/>
  <c r="D493" i="17"/>
  <c r="C493" i="17"/>
  <c r="B493" i="17"/>
  <c r="A493" i="17"/>
  <c r="J493" i="17" s="1"/>
  <c r="H492" i="17"/>
  <c r="G492" i="17"/>
  <c r="F492" i="17"/>
  <c r="D492" i="17"/>
  <c r="C492" i="17"/>
  <c r="B492" i="17"/>
  <c r="A492" i="17"/>
  <c r="M492" i="17" s="1"/>
  <c r="H491" i="17"/>
  <c r="G491" i="17"/>
  <c r="D491" i="17"/>
  <c r="C491" i="17"/>
  <c r="B491" i="17"/>
  <c r="A491" i="17"/>
  <c r="H490" i="17"/>
  <c r="G490" i="17"/>
  <c r="D490" i="17"/>
  <c r="C490" i="17"/>
  <c r="B490" i="17"/>
  <c r="A490" i="17"/>
  <c r="H489" i="17"/>
  <c r="G489" i="17"/>
  <c r="D489" i="17"/>
  <c r="C489" i="17"/>
  <c r="B489" i="17"/>
  <c r="A489" i="17"/>
  <c r="N489" i="17" s="1"/>
  <c r="H488" i="17"/>
  <c r="G488" i="17"/>
  <c r="D488" i="17"/>
  <c r="C488" i="17"/>
  <c r="B488" i="17"/>
  <c r="A488" i="17"/>
  <c r="H487" i="17"/>
  <c r="G487" i="17"/>
  <c r="D487" i="17"/>
  <c r="C487" i="17"/>
  <c r="B487" i="17"/>
  <c r="A487" i="17"/>
  <c r="M487" i="17" s="1"/>
  <c r="H486" i="17"/>
  <c r="G486" i="17"/>
  <c r="D486" i="17"/>
  <c r="C486" i="17"/>
  <c r="B486" i="17"/>
  <c r="A486" i="17"/>
  <c r="H485" i="17"/>
  <c r="G485" i="17"/>
  <c r="F485" i="17"/>
  <c r="D485" i="17"/>
  <c r="C485" i="17"/>
  <c r="B485" i="17"/>
  <c r="A485" i="17"/>
  <c r="L485" i="17" s="1"/>
  <c r="O485" i="17" s="1"/>
  <c r="P485" i="17" s="1"/>
  <c r="H484" i="17"/>
  <c r="G484" i="17"/>
  <c r="F484" i="17"/>
  <c r="D484" i="17"/>
  <c r="C484" i="17"/>
  <c r="B484" i="17"/>
  <c r="A484" i="17"/>
  <c r="M484" i="17" s="1"/>
  <c r="H483" i="17"/>
  <c r="G483" i="17"/>
  <c r="D483" i="17"/>
  <c r="C483" i="17"/>
  <c r="B483" i="17"/>
  <c r="A483" i="17"/>
  <c r="N483" i="17" s="1"/>
  <c r="H482" i="17"/>
  <c r="G482" i="17"/>
  <c r="D482" i="17"/>
  <c r="C482" i="17"/>
  <c r="B482" i="17"/>
  <c r="A482" i="17"/>
  <c r="N482" i="17" s="1"/>
  <c r="H481" i="17"/>
  <c r="G481" i="17"/>
  <c r="D481" i="17"/>
  <c r="C481" i="17"/>
  <c r="B481" i="17"/>
  <c r="A481" i="17"/>
  <c r="H480" i="17"/>
  <c r="G480" i="17"/>
  <c r="D480" i="17"/>
  <c r="C480" i="17"/>
  <c r="B480" i="17"/>
  <c r="A480" i="17"/>
  <c r="H479" i="17"/>
  <c r="G479" i="17"/>
  <c r="F479" i="17"/>
  <c r="D479" i="17"/>
  <c r="C479" i="17"/>
  <c r="B479" i="17"/>
  <c r="A479" i="17"/>
  <c r="N479" i="17" s="1"/>
  <c r="H478" i="17"/>
  <c r="G478" i="17"/>
  <c r="F478" i="17"/>
  <c r="D478" i="17"/>
  <c r="C478" i="17"/>
  <c r="B478" i="17"/>
  <c r="A478" i="17"/>
  <c r="H477" i="17"/>
  <c r="G477" i="17"/>
  <c r="D477" i="17"/>
  <c r="C477" i="17"/>
  <c r="B477" i="17"/>
  <c r="A477" i="17"/>
  <c r="H476" i="17"/>
  <c r="G476" i="17"/>
  <c r="D476" i="17"/>
  <c r="C476" i="17"/>
  <c r="B476" i="17"/>
  <c r="A476" i="17"/>
  <c r="L476" i="17" s="1"/>
  <c r="O476" i="17" s="1"/>
  <c r="P476" i="17" s="1"/>
  <c r="H475" i="17"/>
  <c r="G475" i="17"/>
  <c r="D475" i="17"/>
  <c r="C475" i="17"/>
  <c r="B475" i="17"/>
  <c r="A475" i="17"/>
  <c r="H474" i="17"/>
  <c r="G474" i="17"/>
  <c r="D474" i="17"/>
  <c r="C474" i="17"/>
  <c r="B474" i="17"/>
  <c r="A474" i="17"/>
  <c r="J474" i="17" s="1"/>
  <c r="H473" i="17"/>
  <c r="G473" i="17"/>
  <c r="D473" i="17"/>
  <c r="C473" i="17"/>
  <c r="B473" i="17"/>
  <c r="A473" i="17"/>
  <c r="N473" i="17" s="1"/>
  <c r="H472" i="17"/>
  <c r="G472" i="17"/>
  <c r="D472" i="17"/>
  <c r="C472" i="17"/>
  <c r="B472" i="17"/>
  <c r="A472" i="17"/>
  <c r="H471" i="17"/>
  <c r="G471" i="17"/>
  <c r="F471" i="17"/>
  <c r="D471" i="17"/>
  <c r="C471" i="17"/>
  <c r="B471" i="17"/>
  <c r="A471" i="17"/>
  <c r="H470" i="17"/>
  <c r="G470" i="17"/>
  <c r="F470" i="17"/>
  <c r="D470" i="17"/>
  <c r="C470" i="17"/>
  <c r="B470" i="17"/>
  <c r="A470" i="17"/>
  <c r="L470" i="17" s="1"/>
  <c r="O470" i="17" s="1"/>
  <c r="P470" i="17" s="1"/>
  <c r="H469" i="17"/>
  <c r="G469" i="17"/>
  <c r="F469" i="17"/>
  <c r="D469" i="17"/>
  <c r="C469" i="17"/>
  <c r="B469" i="17"/>
  <c r="A469" i="17"/>
  <c r="L469" i="17" s="1"/>
  <c r="O469" i="17" s="1"/>
  <c r="P469" i="17" s="1"/>
  <c r="H468" i="17"/>
  <c r="G468" i="17"/>
  <c r="F468" i="17"/>
  <c r="D468" i="17"/>
  <c r="C468" i="17"/>
  <c r="B468" i="17"/>
  <c r="A468" i="17"/>
  <c r="H467" i="17"/>
  <c r="G467" i="17"/>
  <c r="F467" i="17"/>
  <c r="D467" i="17"/>
  <c r="C467" i="17"/>
  <c r="B467" i="17"/>
  <c r="A467" i="17"/>
  <c r="L467" i="17" s="1"/>
  <c r="O467" i="17" s="1"/>
  <c r="P467" i="17" s="1"/>
  <c r="H466" i="17"/>
  <c r="G466" i="17"/>
  <c r="D466" i="17"/>
  <c r="C466" i="17"/>
  <c r="B466" i="17"/>
  <c r="A466" i="17"/>
  <c r="L466" i="17" s="1"/>
  <c r="O466" i="17" s="1"/>
  <c r="P466" i="17" s="1"/>
  <c r="H465" i="17"/>
  <c r="G465" i="17"/>
  <c r="D465" i="17"/>
  <c r="C465" i="17"/>
  <c r="B465" i="17"/>
  <c r="A465" i="17"/>
  <c r="H464" i="17"/>
  <c r="G464" i="17"/>
  <c r="D464" i="17"/>
  <c r="C464" i="17"/>
  <c r="B464" i="17"/>
  <c r="A464" i="17"/>
  <c r="N464" i="17" s="1"/>
  <c r="H463" i="17"/>
  <c r="G463" i="17"/>
  <c r="D463" i="17"/>
  <c r="C463" i="17"/>
  <c r="B463" i="17"/>
  <c r="A463" i="17"/>
  <c r="H462" i="17"/>
  <c r="G462" i="17"/>
  <c r="D462" i="17"/>
  <c r="C462" i="17"/>
  <c r="B462" i="17"/>
  <c r="A462" i="17"/>
  <c r="H461" i="17"/>
  <c r="G461" i="17"/>
  <c r="D461" i="17"/>
  <c r="C461" i="17"/>
  <c r="B461" i="17"/>
  <c r="A461" i="17"/>
  <c r="K461" i="17" s="1"/>
  <c r="H460" i="17"/>
  <c r="G460" i="17"/>
  <c r="F460" i="17"/>
  <c r="D460" i="17"/>
  <c r="C460" i="17"/>
  <c r="B460" i="17"/>
  <c r="A460" i="17"/>
  <c r="H459" i="17"/>
  <c r="G459" i="17"/>
  <c r="F459" i="17"/>
  <c r="D459" i="17"/>
  <c r="C459" i="17"/>
  <c r="B459" i="17"/>
  <c r="A459" i="17"/>
  <c r="N459" i="17" s="1"/>
  <c r="H458" i="17"/>
  <c r="G458" i="17"/>
  <c r="F458" i="17"/>
  <c r="D458" i="17"/>
  <c r="C458" i="17"/>
  <c r="B458" i="17"/>
  <c r="A458" i="17"/>
  <c r="L458" i="17" s="1"/>
  <c r="O458" i="17" s="1"/>
  <c r="P458" i="17" s="1"/>
  <c r="H457" i="17"/>
  <c r="G457" i="17"/>
  <c r="F457" i="17"/>
  <c r="D457" i="17"/>
  <c r="C457" i="17"/>
  <c r="B457" i="17"/>
  <c r="A457" i="17"/>
  <c r="H456" i="17"/>
  <c r="G456" i="17"/>
  <c r="F456" i="17"/>
  <c r="D456" i="17"/>
  <c r="C456" i="17"/>
  <c r="B456" i="17"/>
  <c r="A456" i="17"/>
  <c r="N456" i="17" s="1"/>
  <c r="H455" i="17"/>
  <c r="G455" i="17"/>
  <c r="D455" i="17"/>
  <c r="C455" i="17"/>
  <c r="B455" i="17"/>
  <c r="A455" i="17"/>
  <c r="H454" i="17"/>
  <c r="G454" i="17"/>
  <c r="D454" i="17"/>
  <c r="C454" i="17"/>
  <c r="B454" i="17"/>
  <c r="A454" i="17"/>
  <c r="H453" i="17"/>
  <c r="G453" i="17"/>
  <c r="D453" i="17"/>
  <c r="C453" i="17"/>
  <c r="B453" i="17"/>
  <c r="A453" i="17"/>
  <c r="H452" i="17"/>
  <c r="G452" i="17"/>
  <c r="D452" i="17"/>
  <c r="C452" i="17"/>
  <c r="B452" i="17"/>
  <c r="A452" i="17"/>
  <c r="H451" i="17"/>
  <c r="G451" i="17"/>
  <c r="D451" i="17"/>
  <c r="C451" i="17"/>
  <c r="B451" i="17"/>
  <c r="A451" i="17"/>
  <c r="J451" i="17" s="1"/>
  <c r="H450" i="17"/>
  <c r="G450" i="17"/>
  <c r="D450" i="17"/>
  <c r="C450" i="17"/>
  <c r="B450" i="17"/>
  <c r="A450" i="17"/>
  <c r="H449" i="17"/>
  <c r="G449" i="17"/>
  <c r="D449" i="17"/>
  <c r="C449" i="17"/>
  <c r="B449" i="17"/>
  <c r="A449" i="17"/>
  <c r="L449" i="17" s="1"/>
  <c r="O449" i="17" s="1"/>
  <c r="P449" i="17" s="1"/>
  <c r="H448" i="17"/>
  <c r="G448" i="17"/>
  <c r="D448" i="17"/>
  <c r="C448" i="17"/>
  <c r="B448" i="17"/>
  <c r="A448" i="17"/>
  <c r="N448" i="17" s="1"/>
  <c r="H447" i="17"/>
  <c r="G447" i="17"/>
  <c r="D447" i="17"/>
  <c r="C447" i="17"/>
  <c r="B447" i="17"/>
  <c r="A447" i="17"/>
  <c r="N447" i="17" s="1"/>
  <c r="H446" i="17"/>
  <c r="G446" i="17"/>
  <c r="F446" i="17"/>
  <c r="D446" i="17"/>
  <c r="C446" i="17"/>
  <c r="B446" i="17"/>
  <c r="A446" i="17"/>
  <c r="H445" i="17"/>
  <c r="G445" i="17"/>
  <c r="F445" i="17"/>
  <c r="D445" i="17"/>
  <c r="C445" i="17"/>
  <c r="B445" i="17"/>
  <c r="A445" i="17"/>
  <c r="H444" i="17"/>
  <c r="G444" i="17"/>
  <c r="F444" i="17"/>
  <c r="D444" i="17"/>
  <c r="C444" i="17"/>
  <c r="B444" i="17"/>
  <c r="A444" i="17"/>
  <c r="M444" i="17" s="1"/>
  <c r="H443" i="17"/>
  <c r="G443" i="17"/>
  <c r="F443" i="17"/>
  <c r="D443" i="17"/>
  <c r="C443" i="17"/>
  <c r="B443" i="17"/>
  <c r="A443" i="17"/>
  <c r="J443" i="17" s="1"/>
  <c r="H442" i="17"/>
  <c r="G442" i="17"/>
  <c r="F442" i="17"/>
  <c r="D442" i="17"/>
  <c r="C442" i="17"/>
  <c r="B442" i="17"/>
  <c r="A442" i="17"/>
  <c r="L442" i="17" s="1"/>
  <c r="O442" i="17" s="1"/>
  <c r="P442" i="17" s="1"/>
  <c r="H441" i="17"/>
  <c r="G441" i="17"/>
  <c r="D441" i="17"/>
  <c r="C441" i="17"/>
  <c r="B441" i="17"/>
  <c r="A441" i="17"/>
  <c r="N441" i="17" s="1"/>
  <c r="H440" i="17"/>
  <c r="G440" i="17"/>
  <c r="D440" i="17"/>
  <c r="C440" i="17"/>
  <c r="B440" i="17"/>
  <c r="A440" i="17"/>
  <c r="H439" i="17"/>
  <c r="G439" i="17"/>
  <c r="D439" i="17"/>
  <c r="C439" i="17"/>
  <c r="B439" i="17"/>
  <c r="A439" i="17"/>
  <c r="N439" i="17" s="1"/>
  <c r="H438" i="17"/>
  <c r="G438" i="17"/>
  <c r="D438" i="17"/>
  <c r="C438" i="17"/>
  <c r="B438" i="17"/>
  <c r="A438" i="17"/>
  <c r="H437" i="17"/>
  <c r="G437" i="17"/>
  <c r="D437" i="17"/>
  <c r="C437" i="17"/>
  <c r="B437" i="17"/>
  <c r="A437" i="17"/>
  <c r="N437" i="17" s="1"/>
  <c r="H436" i="17"/>
  <c r="G436" i="17"/>
  <c r="D436" i="17"/>
  <c r="C436" i="17"/>
  <c r="B436" i="17"/>
  <c r="A436" i="17"/>
  <c r="M436" i="17" s="1"/>
  <c r="H435" i="17"/>
  <c r="G435" i="17"/>
  <c r="D435" i="17"/>
  <c r="C435" i="17"/>
  <c r="B435" i="17"/>
  <c r="A435" i="17"/>
  <c r="H434" i="17"/>
  <c r="G434" i="17"/>
  <c r="D434" i="17"/>
  <c r="C434" i="17"/>
  <c r="B434" i="17"/>
  <c r="A434" i="17"/>
  <c r="H433" i="17"/>
  <c r="G433" i="17"/>
  <c r="D433" i="17"/>
  <c r="C433" i="17"/>
  <c r="B433" i="17"/>
  <c r="A433" i="17"/>
  <c r="K433" i="17" s="1"/>
  <c r="H432" i="17"/>
  <c r="G432" i="17"/>
  <c r="F432" i="17"/>
  <c r="D432" i="17"/>
  <c r="C432" i="17"/>
  <c r="B432" i="17"/>
  <c r="A432" i="17"/>
  <c r="L432" i="17" s="1"/>
  <c r="O432" i="17" s="1"/>
  <c r="P432" i="17" s="1"/>
  <c r="H431" i="17"/>
  <c r="G431" i="17"/>
  <c r="F431" i="17"/>
  <c r="D431" i="17"/>
  <c r="C431" i="17"/>
  <c r="B431" i="17"/>
  <c r="A431" i="17"/>
  <c r="N431" i="17" s="1"/>
  <c r="H430" i="17"/>
  <c r="G430" i="17"/>
  <c r="D430" i="17"/>
  <c r="C430" i="17"/>
  <c r="B430" i="17"/>
  <c r="A430" i="17"/>
  <c r="H429" i="17"/>
  <c r="G429" i="17"/>
  <c r="D429" i="17"/>
  <c r="C429" i="17"/>
  <c r="B429" i="17"/>
  <c r="A429" i="17"/>
  <c r="M429" i="17" s="1"/>
  <c r="H428" i="17"/>
  <c r="G428" i="17"/>
  <c r="D428" i="17"/>
  <c r="C428" i="17"/>
  <c r="B428" i="17"/>
  <c r="A428" i="17"/>
  <c r="K428" i="17" s="1"/>
  <c r="H427" i="17"/>
  <c r="G427" i="17"/>
  <c r="D427" i="17"/>
  <c r="C427" i="17"/>
  <c r="B427" i="17"/>
  <c r="A427" i="17"/>
  <c r="L427" i="17" s="1"/>
  <c r="O427" i="17" s="1"/>
  <c r="P427" i="17" s="1"/>
  <c r="H426" i="17"/>
  <c r="G426" i="17"/>
  <c r="D426" i="17"/>
  <c r="C426" i="17"/>
  <c r="B426" i="17"/>
  <c r="A426" i="17"/>
  <c r="L426" i="17" s="1"/>
  <c r="O426" i="17" s="1"/>
  <c r="P426" i="17" s="1"/>
  <c r="H425" i="17"/>
  <c r="G425" i="17"/>
  <c r="D425" i="17"/>
  <c r="C425" i="17"/>
  <c r="B425" i="17"/>
  <c r="A425" i="17"/>
  <c r="N425" i="17" s="1"/>
  <c r="H424" i="17"/>
  <c r="G424" i="17"/>
  <c r="D424" i="17"/>
  <c r="C424" i="17"/>
  <c r="B424" i="17"/>
  <c r="A424" i="17"/>
  <c r="N424" i="17" s="1"/>
  <c r="H423" i="17"/>
  <c r="G423" i="17"/>
  <c r="F423" i="17"/>
  <c r="D423" i="17"/>
  <c r="C423" i="17"/>
  <c r="B423" i="17"/>
  <c r="A423" i="17"/>
  <c r="N423" i="17" s="1"/>
  <c r="H422" i="17"/>
  <c r="G422" i="17"/>
  <c r="F422" i="17"/>
  <c r="D422" i="17"/>
  <c r="C422" i="17"/>
  <c r="B422" i="17"/>
  <c r="A422" i="17"/>
  <c r="H421" i="17"/>
  <c r="G421" i="17"/>
  <c r="F421" i="17"/>
  <c r="D421" i="17"/>
  <c r="C421" i="17"/>
  <c r="B421" i="17"/>
  <c r="A421" i="17"/>
  <c r="N421" i="17" s="1"/>
  <c r="H420" i="17"/>
  <c r="G420" i="17"/>
  <c r="F420" i="17"/>
  <c r="D420" i="17"/>
  <c r="C420" i="17"/>
  <c r="B420" i="17"/>
  <c r="A420" i="17"/>
  <c r="N420" i="17" s="1"/>
  <c r="H419" i="17"/>
  <c r="G419" i="17"/>
  <c r="F419" i="17"/>
  <c r="D419" i="17"/>
  <c r="C419" i="17"/>
  <c r="B419" i="17"/>
  <c r="A419" i="17"/>
  <c r="N419" i="17" s="1"/>
  <c r="H418" i="17"/>
  <c r="G418" i="17"/>
  <c r="D418" i="17"/>
  <c r="C418" i="17"/>
  <c r="B418" i="17"/>
  <c r="A418" i="17"/>
  <c r="N418" i="17" s="1"/>
  <c r="H417" i="17"/>
  <c r="G417" i="17"/>
  <c r="D417" i="17"/>
  <c r="C417" i="17"/>
  <c r="B417" i="17"/>
  <c r="A417" i="17"/>
  <c r="J417" i="17" s="1"/>
  <c r="H416" i="17"/>
  <c r="G416" i="17"/>
  <c r="D416" i="17"/>
  <c r="C416" i="17"/>
  <c r="B416" i="17"/>
  <c r="A416" i="17"/>
  <c r="H415" i="17"/>
  <c r="G415" i="17"/>
  <c r="D415" i="17"/>
  <c r="C415" i="17"/>
  <c r="B415" i="17"/>
  <c r="A415" i="17"/>
  <c r="L415" i="17" s="1"/>
  <c r="O415" i="17" s="1"/>
  <c r="P415" i="17" s="1"/>
  <c r="H414" i="17"/>
  <c r="G414" i="17"/>
  <c r="D414" i="17"/>
  <c r="C414" i="17"/>
  <c r="B414" i="17"/>
  <c r="A414" i="17"/>
  <c r="M414" i="17" s="1"/>
  <c r="H413" i="17"/>
  <c r="G413" i="17"/>
  <c r="D413" i="17"/>
  <c r="C413" i="17"/>
  <c r="B413" i="17"/>
  <c r="A413" i="17"/>
  <c r="M413" i="17" s="1"/>
  <c r="H412" i="17"/>
  <c r="G412" i="17"/>
  <c r="D412" i="17"/>
  <c r="C412" i="17"/>
  <c r="B412" i="17"/>
  <c r="A412" i="17"/>
  <c r="H411" i="17"/>
  <c r="G411" i="17"/>
  <c r="D411" i="17"/>
  <c r="C411" i="17"/>
  <c r="B411" i="17"/>
  <c r="A411" i="17"/>
  <c r="N411" i="17" s="1"/>
  <c r="H410" i="17"/>
  <c r="G410" i="17"/>
  <c r="D410" i="17"/>
  <c r="C410" i="17"/>
  <c r="B410" i="17"/>
  <c r="A410" i="17"/>
  <c r="H409" i="17"/>
  <c r="G409" i="17"/>
  <c r="F409" i="17"/>
  <c r="D409" i="17"/>
  <c r="C409" i="17"/>
  <c r="B409" i="17"/>
  <c r="A409" i="17"/>
  <c r="H408" i="17"/>
  <c r="G408" i="17"/>
  <c r="F408" i="17"/>
  <c r="D408" i="17"/>
  <c r="C408" i="17"/>
  <c r="B408" i="17"/>
  <c r="A408" i="17"/>
  <c r="M408" i="17" s="1"/>
  <c r="H407" i="17"/>
  <c r="G407" i="17"/>
  <c r="F407" i="17"/>
  <c r="D407" i="17"/>
  <c r="C407" i="17"/>
  <c r="B407" i="17"/>
  <c r="A407" i="17"/>
  <c r="J407" i="17" s="1"/>
  <c r="H406" i="17"/>
  <c r="G406" i="17"/>
  <c r="F406" i="17"/>
  <c r="D406" i="17"/>
  <c r="C406" i="17"/>
  <c r="B406" i="17"/>
  <c r="A406" i="17"/>
  <c r="H405" i="17"/>
  <c r="G405" i="17"/>
  <c r="F405" i="17"/>
  <c r="D405" i="17"/>
  <c r="C405" i="17"/>
  <c r="B405" i="17"/>
  <c r="A405" i="17"/>
  <c r="N405" i="17" s="1"/>
  <c r="H404" i="17"/>
  <c r="G404" i="17"/>
  <c r="D404" i="17"/>
  <c r="C404" i="17"/>
  <c r="B404" i="17"/>
  <c r="A404" i="17"/>
  <c r="H403" i="17"/>
  <c r="G403" i="17"/>
  <c r="D403" i="17"/>
  <c r="C403" i="17"/>
  <c r="B403" i="17"/>
  <c r="A403" i="17"/>
  <c r="N403" i="17" s="1"/>
  <c r="H402" i="17"/>
  <c r="G402" i="17"/>
  <c r="D402" i="17"/>
  <c r="C402" i="17"/>
  <c r="B402" i="17"/>
  <c r="A402" i="17"/>
  <c r="N402" i="17" s="1"/>
  <c r="H401" i="17"/>
  <c r="G401" i="17"/>
  <c r="D401" i="17"/>
  <c r="C401" i="17"/>
  <c r="B401" i="17"/>
  <c r="A401" i="17"/>
  <c r="J401" i="17" s="1"/>
  <c r="H400" i="17"/>
  <c r="G400" i="17"/>
  <c r="D400" i="17"/>
  <c r="C400" i="17"/>
  <c r="B400" i="17"/>
  <c r="A400" i="17"/>
  <c r="H399" i="17"/>
  <c r="G399" i="17"/>
  <c r="D399" i="17"/>
  <c r="C399" i="17"/>
  <c r="B399" i="17"/>
  <c r="A399" i="17"/>
  <c r="L399" i="17" s="1"/>
  <c r="O399" i="17" s="1"/>
  <c r="P399" i="17" s="1"/>
  <c r="H398" i="17"/>
  <c r="G398" i="17"/>
  <c r="F398" i="17"/>
  <c r="D398" i="17"/>
  <c r="C398" i="17"/>
  <c r="B398" i="17"/>
  <c r="A398" i="17"/>
  <c r="L398" i="17" s="1"/>
  <c r="O398" i="17" s="1"/>
  <c r="P398" i="17" s="1"/>
  <c r="H397" i="17"/>
  <c r="G397" i="17"/>
  <c r="F397" i="17"/>
  <c r="D397" i="17"/>
  <c r="C397" i="17"/>
  <c r="B397" i="17"/>
  <c r="A397" i="17"/>
  <c r="M397" i="17" s="1"/>
  <c r="H396" i="17"/>
  <c r="G396" i="17"/>
  <c r="F396" i="17"/>
  <c r="D396" i="17"/>
  <c r="C396" i="17"/>
  <c r="B396" i="17"/>
  <c r="A396" i="17"/>
  <c r="H395" i="17"/>
  <c r="G395" i="17"/>
  <c r="F395" i="17"/>
  <c r="D395" i="17"/>
  <c r="C395" i="17"/>
  <c r="B395" i="17"/>
  <c r="A395" i="17"/>
  <c r="N395" i="17" s="1"/>
  <c r="H394" i="17"/>
  <c r="G394" i="17"/>
  <c r="F394" i="17"/>
  <c r="D394" i="17"/>
  <c r="C394" i="17"/>
  <c r="B394" i="17"/>
  <c r="A394" i="17"/>
  <c r="L394" i="17" s="1"/>
  <c r="O394" i="17" s="1"/>
  <c r="P394" i="17" s="1"/>
  <c r="H393" i="17"/>
  <c r="G393" i="17"/>
  <c r="D393" i="17"/>
  <c r="C393" i="17"/>
  <c r="B393" i="17"/>
  <c r="A393" i="17"/>
  <c r="L393" i="17" s="1"/>
  <c r="O393" i="17" s="1"/>
  <c r="P393" i="17" s="1"/>
  <c r="H392" i="17"/>
  <c r="G392" i="17"/>
  <c r="D392" i="17"/>
  <c r="C392" i="17"/>
  <c r="B392" i="17"/>
  <c r="A392" i="17"/>
  <c r="M392" i="17" s="1"/>
  <c r="H391" i="17"/>
  <c r="G391" i="17"/>
  <c r="D391" i="17"/>
  <c r="C391" i="17"/>
  <c r="B391" i="17"/>
  <c r="A391" i="17"/>
  <c r="H390" i="17"/>
  <c r="G390" i="17"/>
  <c r="D390" i="17"/>
  <c r="C390" i="17"/>
  <c r="B390" i="17"/>
  <c r="A390" i="17"/>
  <c r="J390" i="17" s="1"/>
  <c r="H389" i="17"/>
  <c r="G389" i="17"/>
  <c r="D389" i="17"/>
  <c r="C389" i="17"/>
  <c r="B389" i="17"/>
  <c r="A389" i="17"/>
  <c r="L389" i="17" s="1"/>
  <c r="O389" i="17" s="1"/>
  <c r="P389" i="17" s="1"/>
  <c r="H388" i="17"/>
  <c r="G388" i="17"/>
  <c r="D388" i="17"/>
  <c r="C388" i="17"/>
  <c r="B388" i="17"/>
  <c r="A388" i="17"/>
  <c r="H387" i="17"/>
  <c r="G387" i="17"/>
  <c r="F387" i="17"/>
  <c r="D387" i="17"/>
  <c r="C387" i="17"/>
  <c r="B387" i="17"/>
  <c r="A387" i="17"/>
  <c r="L387" i="17" s="1"/>
  <c r="O387" i="17" s="1"/>
  <c r="P387" i="17" s="1"/>
  <c r="H386" i="17"/>
  <c r="G386" i="17"/>
  <c r="F386" i="17"/>
  <c r="D386" i="17"/>
  <c r="C386" i="17"/>
  <c r="B386" i="17"/>
  <c r="A386" i="17"/>
  <c r="L386" i="17" s="1"/>
  <c r="O386" i="17" s="1"/>
  <c r="P386" i="17" s="1"/>
  <c r="H385" i="17"/>
  <c r="G385" i="17"/>
  <c r="D385" i="17"/>
  <c r="C385" i="17"/>
  <c r="B385" i="17"/>
  <c r="A385" i="17"/>
  <c r="H384" i="17"/>
  <c r="G384" i="17"/>
  <c r="D384" i="17"/>
  <c r="C384" i="17"/>
  <c r="B384" i="17"/>
  <c r="A384" i="17"/>
  <c r="K384" i="17" s="1"/>
  <c r="H383" i="17"/>
  <c r="G383" i="17"/>
  <c r="D383" i="17"/>
  <c r="C383" i="17"/>
  <c r="B383" i="17"/>
  <c r="A383" i="17"/>
  <c r="L383" i="17" s="1"/>
  <c r="O383" i="17" s="1"/>
  <c r="P383" i="17" s="1"/>
  <c r="H382" i="17"/>
  <c r="G382" i="17"/>
  <c r="D382" i="17"/>
  <c r="C382" i="17"/>
  <c r="B382" i="17"/>
  <c r="A382" i="17"/>
  <c r="H381" i="17"/>
  <c r="G381" i="17"/>
  <c r="D381" i="17"/>
  <c r="C381" i="17"/>
  <c r="B381" i="17"/>
  <c r="A381" i="17"/>
  <c r="H380" i="17"/>
  <c r="G380" i="17"/>
  <c r="D380" i="17"/>
  <c r="C380" i="17"/>
  <c r="B380" i="17"/>
  <c r="A380" i="17"/>
  <c r="H379" i="17"/>
  <c r="G379" i="17"/>
  <c r="D379" i="17"/>
  <c r="C379" i="17"/>
  <c r="B379" i="17"/>
  <c r="A379" i="17"/>
  <c r="K379" i="17" s="1"/>
  <c r="H378" i="17"/>
  <c r="G378" i="17"/>
  <c r="D378" i="17"/>
  <c r="C378" i="17"/>
  <c r="B378" i="17"/>
  <c r="A378" i="17"/>
  <c r="H377" i="17"/>
  <c r="G377" i="17"/>
  <c r="F377" i="17"/>
  <c r="D377" i="17"/>
  <c r="C377" i="17"/>
  <c r="B377" i="17"/>
  <c r="A377" i="17"/>
  <c r="J377" i="17" s="1"/>
  <c r="H376" i="17"/>
  <c r="G376" i="17"/>
  <c r="F376" i="17"/>
  <c r="D376" i="17"/>
  <c r="C376" i="17"/>
  <c r="B376" i="17"/>
  <c r="A376" i="17"/>
  <c r="N376" i="17" s="1"/>
  <c r="H375" i="17"/>
  <c r="G375" i="17"/>
  <c r="F375" i="17"/>
  <c r="D375" i="17"/>
  <c r="C375" i="17"/>
  <c r="B375" i="17"/>
  <c r="A375" i="17"/>
  <c r="H374" i="17"/>
  <c r="G374" i="17"/>
  <c r="F374" i="17"/>
  <c r="D374" i="17"/>
  <c r="C374" i="17"/>
  <c r="B374" i="17"/>
  <c r="A374" i="17"/>
  <c r="N374" i="17" s="1"/>
  <c r="H373" i="17"/>
  <c r="G373" i="17"/>
  <c r="D373" i="17"/>
  <c r="C373" i="17"/>
  <c r="B373" i="17"/>
  <c r="A373" i="17"/>
  <c r="N373" i="17" s="1"/>
  <c r="H372" i="17"/>
  <c r="G372" i="17"/>
  <c r="D372" i="17"/>
  <c r="C372" i="17"/>
  <c r="B372" i="17"/>
  <c r="A372" i="17"/>
  <c r="N372" i="17" s="1"/>
  <c r="H371" i="17"/>
  <c r="G371" i="17"/>
  <c r="D371" i="17"/>
  <c r="C371" i="17"/>
  <c r="B371" i="17"/>
  <c r="A371" i="17"/>
  <c r="M371" i="17" s="1"/>
  <c r="H370" i="17"/>
  <c r="G370" i="17"/>
  <c r="D370" i="17"/>
  <c r="C370" i="17"/>
  <c r="B370" i="17"/>
  <c r="A370" i="17"/>
  <c r="H369" i="17"/>
  <c r="G369" i="17"/>
  <c r="D369" i="17"/>
  <c r="C369" i="17"/>
  <c r="B369" i="17"/>
  <c r="A369" i="17"/>
  <c r="M369" i="17" s="1"/>
  <c r="H368" i="17"/>
  <c r="G368" i="17"/>
  <c r="D368" i="17"/>
  <c r="C368" i="17"/>
  <c r="B368" i="17"/>
  <c r="A368" i="17"/>
  <c r="H367" i="17"/>
  <c r="G367" i="17"/>
  <c r="D367" i="17"/>
  <c r="C367" i="17"/>
  <c r="B367" i="17"/>
  <c r="A367" i="17"/>
  <c r="L367" i="17" s="1"/>
  <c r="O367" i="17" s="1"/>
  <c r="H366" i="17"/>
  <c r="G366" i="17"/>
  <c r="D366" i="17"/>
  <c r="C366" i="17"/>
  <c r="B366" i="17"/>
  <c r="A366" i="17"/>
  <c r="H365" i="17"/>
  <c r="G365" i="17"/>
  <c r="D365" i="17"/>
  <c r="C365" i="17"/>
  <c r="B365" i="17"/>
  <c r="A365" i="17"/>
  <c r="L365" i="17" s="1"/>
  <c r="O365" i="17" s="1"/>
  <c r="P365" i="17" s="1"/>
  <c r="H364" i="17"/>
  <c r="G364" i="17"/>
  <c r="D364" i="17"/>
  <c r="C364" i="17"/>
  <c r="B364" i="17"/>
  <c r="A364" i="17"/>
  <c r="H363" i="17"/>
  <c r="G363" i="17"/>
  <c r="F363" i="17"/>
  <c r="D363" i="17"/>
  <c r="C363" i="17"/>
  <c r="B363" i="17"/>
  <c r="A363" i="17"/>
  <c r="N363" i="17" s="1"/>
  <c r="H362" i="17"/>
  <c r="G362" i="17"/>
  <c r="F362" i="17"/>
  <c r="D362" i="17"/>
  <c r="C362" i="17"/>
  <c r="B362" i="17"/>
  <c r="A362" i="17"/>
  <c r="M362" i="17" s="1"/>
  <c r="H361" i="17"/>
  <c r="G361" i="17"/>
  <c r="F361" i="17"/>
  <c r="D361" i="17"/>
  <c r="C361" i="17"/>
  <c r="B361" i="17"/>
  <c r="A361" i="17"/>
  <c r="N361" i="17" s="1"/>
  <c r="H360" i="17"/>
  <c r="G360" i="17"/>
  <c r="F360" i="17"/>
  <c r="D360" i="17"/>
  <c r="C360" i="17"/>
  <c r="B360" i="17"/>
  <c r="A360" i="17"/>
  <c r="H359" i="17"/>
  <c r="G359" i="17"/>
  <c r="D359" i="17"/>
  <c r="C359" i="17"/>
  <c r="B359" i="17"/>
  <c r="A359" i="17"/>
  <c r="L359" i="17" s="1"/>
  <c r="O359" i="17" s="1"/>
  <c r="P359" i="17" s="1"/>
  <c r="H358" i="17"/>
  <c r="G358" i="17"/>
  <c r="D358" i="17"/>
  <c r="C358" i="17"/>
  <c r="B358" i="17"/>
  <c r="A358" i="17"/>
  <c r="L358" i="17" s="1"/>
  <c r="O358" i="17" s="1"/>
  <c r="P358" i="17" s="1"/>
  <c r="H357" i="17"/>
  <c r="G357" i="17"/>
  <c r="D357" i="17"/>
  <c r="C357" i="17"/>
  <c r="B357" i="17"/>
  <c r="A357" i="17"/>
  <c r="H356" i="17"/>
  <c r="G356" i="17"/>
  <c r="D356" i="17"/>
  <c r="C356" i="17"/>
  <c r="B356" i="17"/>
  <c r="A356" i="17"/>
  <c r="L356" i="17" s="1"/>
  <c r="O356" i="17" s="1"/>
  <c r="P356" i="17" s="1"/>
  <c r="H355" i="17"/>
  <c r="G355" i="17"/>
  <c r="D355" i="17"/>
  <c r="C355" i="17"/>
  <c r="B355" i="17"/>
  <c r="A355" i="17"/>
  <c r="J355" i="17" s="1"/>
  <c r="H354" i="17"/>
  <c r="G354" i="17"/>
  <c r="D354" i="17"/>
  <c r="C354" i="17"/>
  <c r="B354" i="17"/>
  <c r="A354" i="17"/>
  <c r="H353" i="17"/>
  <c r="G353" i="17"/>
  <c r="D353" i="17"/>
  <c r="C353" i="17"/>
  <c r="B353" i="17"/>
  <c r="A353" i="17"/>
  <c r="L353" i="17" s="1"/>
  <c r="O353" i="17" s="1"/>
  <c r="P353" i="17" s="1"/>
  <c r="H352" i="17"/>
  <c r="G352" i="17"/>
  <c r="D352" i="17"/>
  <c r="C352" i="17"/>
  <c r="B352" i="17"/>
  <c r="A352" i="17"/>
  <c r="H351" i="17"/>
  <c r="G351" i="17"/>
  <c r="F351" i="17"/>
  <c r="D351" i="17"/>
  <c r="C351" i="17"/>
  <c r="B351" i="17"/>
  <c r="A351" i="17"/>
  <c r="H350" i="17"/>
  <c r="G350" i="17"/>
  <c r="F350" i="17"/>
  <c r="D350" i="17"/>
  <c r="C350" i="17"/>
  <c r="B350" i="17"/>
  <c r="A350" i="17"/>
  <c r="H349" i="17"/>
  <c r="G349" i="17"/>
  <c r="F349" i="17"/>
  <c r="D349" i="17"/>
  <c r="C349" i="17"/>
  <c r="B349" i="17"/>
  <c r="A349" i="17"/>
  <c r="M349" i="17" s="1"/>
  <c r="H348" i="17"/>
  <c r="G348" i="17"/>
  <c r="F348" i="17"/>
  <c r="D348" i="17"/>
  <c r="C348" i="17"/>
  <c r="B348" i="17"/>
  <c r="A348" i="17"/>
  <c r="H347" i="17"/>
  <c r="G347" i="17"/>
  <c r="D347" i="17"/>
  <c r="C347" i="17"/>
  <c r="B347" i="17"/>
  <c r="A347" i="17"/>
  <c r="N347" i="17" s="1"/>
  <c r="H346" i="17"/>
  <c r="G346" i="17"/>
  <c r="D346" i="17"/>
  <c r="C346" i="17"/>
  <c r="B346" i="17"/>
  <c r="A346" i="17"/>
  <c r="N346" i="17" s="1"/>
  <c r="H345" i="17"/>
  <c r="G345" i="17"/>
  <c r="D345" i="17"/>
  <c r="C345" i="17"/>
  <c r="B345" i="17"/>
  <c r="A345" i="17"/>
  <c r="N345" i="17" s="1"/>
  <c r="H344" i="17"/>
  <c r="G344" i="17"/>
  <c r="D344" i="17"/>
  <c r="C344" i="17"/>
  <c r="B344" i="17"/>
  <c r="A344" i="17"/>
  <c r="N344" i="17" s="1"/>
  <c r="H343" i="17"/>
  <c r="G343" i="17"/>
  <c r="D343" i="17"/>
  <c r="C343" i="17"/>
  <c r="B343" i="17"/>
  <c r="A343" i="17"/>
  <c r="N343" i="17" s="1"/>
  <c r="H342" i="17"/>
  <c r="G342" i="17"/>
  <c r="F342" i="17"/>
  <c r="D342" i="17"/>
  <c r="C342" i="17"/>
  <c r="B342" i="17"/>
  <c r="A342" i="17"/>
  <c r="M342" i="17" s="1"/>
  <c r="H341" i="17"/>
  <c r="G341" i="17"/>
  <c r="F341" i="17"/>
  <c r="D341" i="17"/>
  <c r="C341" i="17"/>
  <c r="B341" i="17"/>
  <c r="A341" i="17"/>
  <c r="L341" i="17" s="1"/>
  <c r="O341" i="17" s="1"/>
  <c r="P341" i="17" s="1"/>
  <c r="H340" i="17"/>
  <c r="G340" i="17"/>
  <c r="F340" i="17"/>
  <c r="D340" i="17"/>
  <c r="C340" i="17"/>
  <c r="B340" i="17"/>
  <c r="A340" i="17"/>
  <c r="L340" i="17" s="1"/>
  <c r="O340" i="17" s="1"/>
  <c r="P340" i="17" s="1"/>
  <c r="H339" i="17"/>
  <c r="G339" i="17"/>
  <c r="F339" i="17"/>
  <c r="D339" i="17"/>
  <c r="C339" i="17"/>
  <c r="B339" i="17"/>
  <c r="A339" i="17"/>
  <c r="L339" i="17" s="1"/>
  <c r="O339" i="17" s="1"/>
  <c r="P339" i="17" s="1"/>
  <c r="H338" i="17"/>
  <c r="G338" i="17"/>
  <c r="D338" i="17"/>
  <c r="C338" i="17"/>
  <c r="B338" i="17"/>
  <c r="A338" i="17"/>
  <c r="L338" i="17" s="1"/>
  <c r="O338" i="17" s="1"/>
  <c r="P338" i="17" s="1"/>
  <c r="H337" i="17"/>
  <c r="G337" i="17"/>
  <c r="D337" i="17"/>
  <c r="C337" i="17"/>
  <c r="B337" i="17"/>
  <c r="A337" i="17"/>
  <c r="K337" i="17" s="1"/>
  <c r="H336" i="17"/>
  <c r="G336" i="17"/>
  <c r="D336" i="17"/>
  <c r="C336" i="17"/>
  <c r="B336" i="17"/>
  <c r="A336" i="17"/>
  <c r="K336" i="17" s="1"/>
  <c r="H335" i="17"/>
  <c r="G335" i="17"/>
  <c r="D335" i="17"/>
  <c r="C335" i="17"/>
  <c r="B335" i="17"/>
  <c r="A335" i="17"/>
  <c r="H334" i="17"/>
  <c r="G334" i="17"/>
  <c r="D334" i="17"/>
  <c r="C334" i="17"/>
  <c r="B334" i="17"/>
  <c r="A334" i="17"/>
  <c r="L334" i="17" s="1"/>
  <c r="O334" i="17" s="1"/>
  <c r="P334" i="17" s="1"/>
  <c r="H333" i="17"/>
  <c r="G333" i="17"/>
  <c r="D333" i="17"/>
  <c r="C333" i="17"/>
  <c r="B333" i="17"/>
  <c r="A333" i="17"/>
  <c r="H332" i="17"/>
  <c r="G332" i="17"/>
  <c r="D332" i="17"/>
  <c r="C332" i="17"/>
  <c r="B332" i="17"/>
  <c r="A332" i="17"/>
  <c r="N332" i="17" s="1"/>
  <c r="H331" i="17"/>
  <c r="G331" i="17"/>
  <c r="D331" i="17"/>
  <c r="C331" i="17"/>
  <c r="B331" i="17"/>
  <c r="A331" i="17"/>
  <c r="H330" i="17"/>
  <c r="G330" i="17"/>
  <c r="F330" i="17"/>
  <c r="D330" i="17"/>
  <c r="C330" i="17"/>
  <c r="B330" i="17"/>
  <c r="A330" i="17"/>
  <c r="H329" i="17"/>
  <c r="G329" i="17"/>
  <c r="F329" i="17"/>
  <c r="D329" i="17"/>
  <c r="C329" i="17"/>
  <c r="B329" i="17"/>
  <c r="A329" i="17"/>
  <c r="H328" i="17"/>
  <c r="G328" i="17"/>
  <c r="F328" i="17"/>
  <c r="D328" i="17"/>
  <c r="C328" i="17"/>
  <c r="B328" i="17"/>
  <c r="A328" i="17"/>
  <c r="N328" i="17" s="1"/>
  <c r="H327" i="17"/>
  <c r="G327" i="17"/>
  <c r="F327" i="17"/>
  <c r="D327" i="17"/>
  <c r="C327" i="17"/>
  <c r="B327" i="17"/>
  <c r="A327" i="17"/>
  <c r="L327" i="17" s="1"/>
  <c r="O327" i="17" s="1"/>
  <c r="P327" i="17" s="1"/>
  <c r="H326" i="17"/>
  <c r="G326" i="17"/>
  <c r="D326" i="17"/>
  <c r="C326" i="17"/>
  <c r="B326" i="17"/>
  <c r="A326" i="17"/>
  <c r="H325" i="17"/>
  <c r="G325" i="17"/>
  <c r="D325" i="17"/>
  <c r="C325" i="17"/>
  <c r="B325" i="17"/>
  <c r="A325" i="17"/>
  <c r="J325" i="17" s="1"/>
  <c r="H324" i="17"/>
  <c r="G324" i="17"/>
  <c r="D324" i="17"/>
  <c r="C324" i="17"/>
  <c r="B324" i="17"/>
  <c r="A324" i="17"/>
  <c r="N324" i="17" s="1"/>
  <c r="H323" i="17"/>
  <c r="G323" i="17"/>
  <c r="D323" i="17"/>
  <c r="C323" i="17"/>
  <c r="B323" i="17"/>
  <c r="A323" i="17"/>
  <c r="H322" i="17"/>
  <c r="G322" i="17"/>
  <c r="D322" i="17"/>
  <c r="C322" i="17"/>
  <c r="B322" i="17"/>
  <c r="A322" i="17"/>
  <c r="N322" i="17" s="1"/>
  <c r="H321" i="17"/>
  <c r="G321" i="17"/>
  <c r="D321" i="17"/>
  <c r="C321" i="17"/>
  <c r="B321" i="17"/>
  <c r="A321" i="17"/>
  <c r="J321" i="17" s="1"/>
  <c r="H320" i="17"/>
  <c r="G320" i="17"/>
  <c r="D320" i="17"/>
  <c r="C320" i="17"/>
  <c r="B320" i="17"/>
  <c r="A320" i="17"/>
  <c r="H319" i="17"/>
  <c r="G319" i="17"/>
  <c r="D319" i="17"/>
  <c r="C319" i="17"/>
  <c r="B319" i="17"/>
  <c r="A319" i="17"/>
  <c r="L319" i="17" s="1"/>
  <c r="O319" i="17" s="1"/>
  <c r="P319" i="17" s="1"/>
  <c r="H318" i="17"/>
  <c r="G318" i="17"/>
  <c r="F318" i="17"/>
  <c r="D318" i="17"/>
  <c r="C318" i="17"/>
  <c r="B318" i="17"/>
  <c r="A318" i="17"/>
  <c r="J318" i="17" s="1"/>
  <c r="H317" i="17"/>
  <c r="G317" i="17"/>
  <c r="F317" i="17"/>
  <c r="D317" i="17"/>
  <c r="C317" i="17"/>
  <c r="B317" i="17"/>
  <c r="A317" i="17"/>
  <c r="N317" i="17" s="1"/>
  <c r="H316" i="17"/>
  <c r="G316" i="17"/>
  <c r="F316" i="17"/>
  <c r="D316" i="17"/>
  <c r="C316" i="17"/>
  <c r="B316" i="17"/>
  <c r="A316" i="17"/>
  <c r="N316" i="17" s="1"/>
  <c r="H315" i="17"/>
  <c r="G315" i="17"/>
  <c r="F315" i="17"/>
  <c r="D315" i="17"/>
  <c r="C315" i="17"/>
  <c r="B315" i="17"/>
  <c r="A315" i="17"/>
  <c r="H314" i="17"/>
  <c r="G314" i="17"/>
  <c r="D314" i="17"/>
  <c r="C314" i="17"/>
  <c r="B314" i="17"/>
  <c r="A314" i="17"/>
  <c r="H313" i="17"/>
  <c r="G313" i="17"/>
  <c r="D313" i="17"/>
  <c r="C313" i="17"/>
  <c r="B313" i="17"/>
  <c r="A313" i="17"/>
  <c r="N313" i="17" s="1"/>
  <c r="H312" i="17"/>
  <c r="G312" i="17"/>
  <c r="D312" i="17"/>
  <c r="C312" i="17"/>
  <c r="B312" i="17"/>
  <c r="A312" i="17"/>
  <c r="N312" i="17" s="1"/>
  <c r="H311" i="17"/>
  <c r="G311" i="17"/>
  <c r="D311" i="17"/>
  <c r="C311" i="17"/>
  <c r="B311" i="17"/>
  <c r="A311" i="17"/>
  <c r="N311" i="17" s="1"/>
  <c r="H310" i="17"/>
  <c r="G310" i="17"/>
  <c r="D310" i="17"/>
  <c r="C310" i="17"/>
  <c r="B310" i="17"/>
  <c r="A310" i="17"/>
  <c r="H309" i="17"/>
  <c r="G309" i="17"/>
  <c r="D309" i="17"/>
  <c r="C309" i="17"/>
  <c r="B309" i="17"/>
  <c r="A309" i="17"/>
  <c r="H308" i="17"/>
  <c r="G308" i="17"/>
  <c r="D308" i="17"/>
  <c r="C308" i="17"/>
  <c r="B308" i="17"/>
  <c r="A308" i="17"/>
  <c r="N308" i="17" s="1"/>
  <c r="H307" i="17"/>
  <c r="G307" i="17"/>
  <c r="D307" i="17"/>
  <c r="C307" i="17"/>
  <c r="B307" i="17"/>
  <c r="A307" i="17"/>
  <c r="H306" i="17"/>
  <c r="G306" i="17"/>
  <c r="F306" i="17"/>
  <c r="D306" i="17"/>
  <c r="C306" i="17"/>
  <c r="B306" i="17"/>
  <c r="A306" i="17"/>
  <c r="N306" i="17" s="1"/>
  <c r="H305" i="17"/>
  <c r="G305" i="17"/>
  <c r="F305" i="17"/>
  <c r="D305" i="17"/>
  <c r="C305" i="17"/>
  <c r="B305" i="17"/>
  <c r="A305" i="17"/>
  <c r="H304" i="17"/>
  <c r="G304" i="17"/>
  <c r="F304" i="17"/>
  <c r="D304" i="17"/>
  <c r="C304" i="17"/>
  <c r="B304" i="17"/>
  <c r="A304" i="17"/>
  <c r="L304" i="17" s="1"/>
  <c r="O304" i="17" s="1"/>
  <c r="P304" i="17" s="1"/>
  <c r="H303" i="17"/>
  <c r="G303" i="17"/>
  <c r="F303" i="17"/>
  <c r="D303" i="17"/>
  <c r="C303" i="17"/>
  <c r="B303" i="17"/>
  <c r="A303" i="17"/>
  <c r="N303" i="17" s="1"/>
  <c r="H302" i="17"/>
  <c r="G302" i="17"/>
  <c r="F302" i="17"/>
  <c r="D302" i="17"/>
  <c r="C302" i="17"/>
  <c r="B302" i="17"/>
  <c r="A302" i="17"/>
  <c r="N302" i="17" s="1"/>
  <c r="H301" i="17"/>
  <c r="G301" i="17"/>
  <c r="D301" i="17"/>
  <c r="C301" i="17"/>
  <c r="B301" i="17"/>
  <c r="A301" i="17"/>
  <c r="M301" i="17" s="1"/>
  <c r="H300" i="17"/>
  <c r="G300" i="17"/>
  <c r="D300" i="17"/>
  <c r="C300" i="17"/>
  <c r="B300" i="17"/>
  <c r="A300" i="17"/>
  <c r="N300" i="17" s="1"/>
  <c r="H299" i="17"/>
  <c r="G299" i="17"/>
  <c r="F299" i="17"/>
  <c r="D299" i="17"/>
  <c r="C299" i="17"/>
  <c r="B299" i="17"/>
  <c r="A299" i="17"/>
  <c r="N299" i="17" s="1"/>
  <c r="H298" i="17"/>
  <c r="G298" i="17"/>
  <c r="F298" i="17"/>
  <c r="D298" i="17"/>
  <c r="C298" i="17"/>
  <c r="B298" i="17"/>
  <c r="A298" i="17"/>
  <c r="M298" i="17" s="1"/>
  <c r="H297" i="17"/>
  <c r="G297" i="17"/>
  <c r="D297" i="17"/>
  <c r="C297" i="17"/>
  <c r="B297" i="17"/>
  <c r="A297" i="17"/>
  <c r="H296" i="17"/>
  <c r="G296" i="17"/>
  <c r="D296" i="17"/>
  <c r="C296" i="17"/>
  <c r="B296" i="17"/>
  <c r="A296" i="17"/>
  <c r="N296" i="17" s="1"/>
  <c r="H295" i="17"/>
  <c r="G295" i="17"/>
  <c r="F295" i="17"/>
  <c r="D295" i="17"/>
  <c r="C295" i="17"/>
  <c r="B295" i="17"/>
  <c r="A295" i="17"/>
  <c r="L295" i="17" s="1"/>
  <c r="O295" i="17" s="1"/>
  <c r="P295" i="17" s="1"/>
  <c r="H294" i="17"/>
  <c r="G294" i="17"/>
  <c r="F294" i="17"/>
  <c r="D294" i="17"/>
  <c r="C294" i="17"/>
  <c r="B294" i="17"/>
  <c r="A294" i="17"/>
  <c r="M294" i="17" s="1"/>
  <c r="H293" i="17"/>
  <c r="G293" i="17"/>
  <c r="F293" i="17"/>
  <c r="D293" i="17"/>
  <c r="C293" i="17"/>
  <c r="B293" i="17"/>
  <c r="A293" i="17"/>
  <c r="H292" i="17"/>
  <c r="G292" i="17"/>
  <c r="D292" i="17"/>
  <c r="C292" i="17"/>
  <c r="B292" i="17"/>
  <c r="A292" i="17"/>
  <c r="N292" i="17" s="1"/>
  <c r="H291" i="17"/>
  <c r="G291" i="17"/>
  <c r="D291" i="17"/>
  <c r="C291" i="17"/>
  <c r="B291" i="17"/>
  <c r="A291" i="17"/>
  <c r="N291" i="17" s="1"/>
  <c r="H290" i="17"/>
  <c r="G290" i="17"/>
  <c r="F290" i="17"/>
  <c r="D290" i="17"/>
  <c r="C290" i="17"/>
  <c r="B290" i="17"/>
  <c r="A290" i="17"/>
  <c r="N290" i="17" s="1"/>
  <c r="H289" i="17"/>
  <c r="G289" i="17"/>
  <c r="F289" i="17"/>
  <c r="D289" i="17"/>
  <c r="C289" i="17"/>
  <c r="B289" i="17"/>
  <c r="A289" i="17"/>
  <c r="J289" i="17" s="1"/>
  <c r="H288" i="17"/>
  <c r="G288" i="17"/>
  <c r="F288" i="17"/>
  <c r="D288" i="17"/>
  <c r="C288" i="17"/>
  <c r="B288" i="17"/>
  <c r="A288" i="17"/>
  <c r="K288" i="17" s="1"/>
  <c r="H287" i="17"/>
  <c r="G287" i="17"/>
  <c r="D287" i="17"/>
  <c r="C287" i="17"/>
  <c r="B287" i="17"/>
  <c r="A287" i="17"/>
  <c r="L287" i="17" s="1"/>
  <c r="O287" i="17" s="1"/>
  <c r="P287" i="17" s="1"/>
  <c r="H286" i="17"/>
  <c r="G286" i="17"/>
  <c r="D286" i="17"/>
  <c r="C286" i="17"/>
  <c r="B286" i="17"/>
  <c r="A286" i="17"/>
  <c r="M286" i="17" s="1"/>
  <c r="H285" i="17"/>
  <c r="G285" i="17"/>
  <c r="F285" i="17"/>
  <c r="D285" i="17"/>
  <c r="C285" i="17"/>
  <c r="B285" i="17"/>
  <c r="A285" i="17"/>
  <c r="N285" i="17" s="1"/>
  <c r="H284" i="17"/>
  <c r="G284" i="17"/>
  <c r="F284" i="17"/>
  <c r="D284" i="17"/>
  <c r="C284" i="17"/>
  <c r="B284" i="17"/>
  <c r="A284" i="17"/>
  <c r="N284" i="17" s="1"/>
  <c r="H283" i="17"/>
  <c r="G283" i="17"/>
  <c r="F283" i="17"/>
  <c r="D283" i="17"/>
  <c r="C283" i="17"/>
  <c r="B283" i="17"/>
  <c r="A283" i="17"/>
  <c r="N283" i="17" s="1"/>
  <c r="H282" i="17"/>
  <c r="G282" i="17"/>
  <c r="D282" i="17"/>
  <c r="C282" i="17"/>
  <c r="B282" i="17"/>
  <c r="A282" i="17"/>
  <c r="H281" i="17"/>
  <c r="G281" i="17"/>
  <c r="D281" i="17"/>
  <c r="C281" i="17"/>
  <c r="B281" i="17"/>
  <c r="A281" i="17"/>
  <c r="M281" i="17" s="1"/>
  <c r="H280" i="17"/>
  <c r="G280" i="17"/>
  <c r="F280" i="17"/>
  <c r="D280" i="17"/>
  <c r="C280" i="17"/>
  <c r="B280" i="17"/>
  <c r="A280" i="17"/>
  <c r="H279" i="17"/>
  <c r="G279" i="17"/>
  <c r="F279" i="17"/>
  <c r="D279" i="17"/>
  <c r="C279" i="17"/>
  <c r="B279" i="17"/>
  <c r="A279" i="17"/>
  <c r="H278" i="17"/>
  <c r="G278" i="17"/>
  <c r="F278" i="17"/>
  <c r="D278" i="17"/>
  <c r="C278" i="17"/>
  <c r="B278" i="17"/>
  <c r="A278" i="17"/>
  <c r="H277" i="17"/>
  <c r="G277" i="17"/>
  <c r="D277" i="17"/>
  <c r="C277" i="17"/>
  <c r="B277" i="17"/>
  <c r="A277" i="17"/>
  <c r="M277" i="17" s="1"/>
  <c r="H276" i="17"/>
  <c r="G276" i="17"/>
  <c r="D276" i="17"/>
  <c r="C276" i="17"/>
  <c r="B276" i="17"/>
  <c r="A276" i="17"/>
  <c r="N276" i="17" s="1"/>
  <c r="H275" i="17"/>
  <c r="G275" i="17"/>
  <c r="F275" i="17"/>
  <c r="D275" i="17"/>
  <c r="C275" i="17"/>
  <c r="B275" i="17"/>
  <c r="A275" i="17"/>
  <c r="H274" i="17"/>
  <c r="G274" i="17"/>
  <c r="F274" i="17"/>
  <c r="D274" i="17"/>
  <c r="C274" i="17"/>
  <c r="B274" i="17"/>
  <c r="A274" i="17"/>
  <c r="K274" i="17" s="1"/>
  <c r="H273" i="17"/>
  <c r="G273" i="17"/>
  <c r="D273" i="17"/>
  <c r="C273" i="17"/>
  <c r="B273" i="17"/>
  <c r="A273" i="17"/>
  <c r="H272" i="17"/>
  <c r="G272" i="17"/>
  <c r="D272" i="17"/>
  <c r="C272" i="17"/>
  <c r="B272" i="17"/>
  <c r="A272" i="17"/>
  <c r="J272" i="17" s="1"/>
  <c r="H271" i="17"/>
  <c r="G271" i="17"/>
  <c r="D271" i="17"/>
  <c r="C271" i="17"/>
  <c r="B271" i="17"/>
  <c r="A271" i="17"/>
  <c r="H270" i="17"/>
  <c r="G270" i="17"/>
  <c r="D270" i="17"/>
  <c r="C270" i="17"/>
  <c r="B270" i="17"/>
  <c r="A270" i="17"/>
  <c r="M270" i="17" s="1"/>
  <c r="H269" i="17"/>
  <c r="G269" i="17"/>
  <c r="F269" i="17"/>
  <c r="D269" i="17"/>
  <c r="C269" i="17"/>
  <c r="B269" i="17"/>
  <c r="A269" i="17"/>
  <c r="H268" i="17"/>
  <c r="G268" i="17"/>
  <c r="F268" i="17"/>
  <c r="D268" i="17"/>
  <c r="C268" i="17"/>
  <c r="B268" i="17"/>
  <c r="A268" i="17"/>
  <c r="J268" i="17" s="1"/>
  <c r="H267" i="17"/>
  <c r="G267" i="17"/>
  <c r="F267" i="17"/>
  <c r="D267" i="17"/>
  <c r="C267" i="17"/>
  <c r="B267" i="17"/>
  <c r="A267" i="17"/>
  <c r="L267" i="17" s="1"/>
  <c r="O267" i="17" s="1"/>
  <c r="H266" i="17"/>
  <c r="G266" i="17"/>
  <c r="F266" i="17"/>
  <c r="D266" i="17"/>
  <c r="C266" i="17"/>
  <c r="B266" i="17"/>
  <c r="A266" i="17"/>
  <c r="J266" i="17" s="1"/>
  <c r="H265" i="17"/>
  <c r="G265" i="17"/>
  <c r="D265" i="17"/>
  <c r="C265" i="17"/>
  <c r="B265" i="17"/>
  <c r="A265" i="17"/>
  <c r="N265" i="17" s="1"/>
  <c r="H264" i="17"/>
  <c r="G264" i="17"/>
  <c r="D264" i="17"/>
  <c r="C264" i="17"/>
  <c r="B264" i="17"/>
  <c r="A264" i="17"/>
  <c r="K264" i="17" s="1"/>
  <c r="H263" i="17"/>
  <c r="G263" i="17"/>
  <c r="D263" i="17"/>
  <c r="C263" i="17"/>
  <c r="B263" i="17"/>
  <c r="A263" i="17"/>
  <c r="J263" i="17" s="1"/>
  <c r="H262" i="17"/>
  <c r="G262" i="17"/>
  <c r="D262" i="17"/>
  <c r="C262" i="17"/>
  <c r="B262" i="17"/>
  <c r="A262" i="17"/>
  <c r="L262" i="17" s="1"/>
  <c r="O262" i="17" s="1"/>
  <c r="H261" i="17"/>
  <c r="G261" i="17"/>
  <c r="D261" i="17"/>
  <c r="C261" i="17"/>
  <c r="B261" i="17"/>
  <c r="A261" i="17"/>
  <c r="J261" i="17" s="1"/>
  <c r="H260" i="17"/>
  <c r="G260" i="17"/>
  <c r="F260" i="17"/>
  <c r="D260" i="17"/>
  <c r="C260" i="17"/>
  <c r="B260" i="17"/>
  <c r="A260" i="17"/>
  <c r="H259" i="17"/>
  <c r="G259" i="17"/>
  <c r="F259" i="17"/>
  <c r="D259" i="17"/>
  <c r="C259" i="17"/>
  <c r="B259" i="17"/>
  <c r="A259" i="17"/>
  <c r="M259" i="17" s="1"/>
  <c r="H258" i="17"/>
  <c r="G258" i="17"/>
  <c r="F258" i="17"/>
  <c r="D258" i="17"/>
  <c r="C258" i="17"/>
  <c r="B258" i="17"/>
  <c r="A258" i="17"/>
  <c r="N258" i="17" s="1"/>
  <c r="H257" i="17"/>
  <c r="G257" i="17"/>
  <c r="F257" i="17"/>
  <c r="D257" i="17"/>
  <c r="C257" i="17"/>
  <c r="B257" i="17"/>
  <c r="A257" i="17"/>
  <c r="H256" i="17"/>
  <c r="G256" i="17"/>
  <c r="D256" i="17"/>
  <c r="C256" i="17"/>
  <c r="B256" i="17"/>
  <c r="A256" i="17"/>
  <c r="N256" i="17" s="1"/>
  <c r="H255" i="17"/>
  <c r="G255" i="17"/>
  <c r="D255" i="17"/>
  <c r="C255" i="17"/>
  <c r="B255" i="17"/>
  <c r="A255" i="17"/>
  <c r="N255" i="17" s="1"/>
  <c r="H254" i="17"/>
  <c r="G254" i="17"/>
  <c r="D254" i="17"/>
  <c r="C254" i="17"/>
  <c r="B254" i="17"/>
  <c r="A254" i="17"/>
  <c r="N254" i="17" s="1"/>
  <c r="H253" i="17"/>
  <c r="G253" i="17"/>
  <c r="D253" i="17"/>
  <c r="C253" i="17"/>
  <c r="B253" i="17"/>
  <c r="A253" i="17"/>
  <c r="L253" i="17" s="1"/>
  <c r="O253" i="17" s="1"/>
  <c r="H252" i="17"/>
  <c r="G252" i="17"/>
  <c r="D252" i="17"/>
  <c r="C252" i="17"/>
  <c r="B252" i="17"/>
  <c r="A252" i="17"/>
  <c r="M252" i="17" s="1"/>
  <c r="H251" i="17"/>
  <c r="G251" i="17"/>
  <c r="F251" i="17"/>
  <c r="D251" i="17"/>
  <c r="C251" i="17"/>
  <c r="B251" i="17"/>
  <c r="A251" i="17"/>
  <c r="N251" i="17" s="1"/>
  <c r="H250" i="17"/>
  <c r="G250" i="17"/>
  <c r="F250" i="17"/>
  <c r="D250" i="17"/>
  <c r="C250" i="17"/>
  <c r="B250" i="17"/>
  <c r="A250" i="17"/>
  <c r="M250" i="17" s="1"/>
  <c r="H249" i="17"/>
  <c r="G249" i="17"/>
  <c r="F249" i="17"/>
  <c r="D249" i="17"/>
  <c r="C249" i="17"/>
  <c r="B249" i="17"/>
  <c r="A249" i="17"/>
  <c r="M249" i="17" s="1"/>
  <c r="H248" i="17"/>
  <c r="G248" i="17"/>
  <c r="F248" i="17"/>
  <c r="D248" i="17"/>
  <c r="C248" i="17"/>
  <c r="B248" i="17"/>
  <c r="A248" i="17"/>
  <c r="N248" i="17" s="1"/>
  <c r="H247" i="17"/>
  <c r="G247" i="17"/>
  <c r="D247" i="17"/>
  <c r="C247" i="17"/>
  <c r="B247" i="17"/>
  <c r="A247" i="17"/>
  <c r="H246" i="17"/>
  <c r="G246" i="17"/>
  <c r="D246" i="17"/>
  <c r="C246" i="17"/>
  <c r="B246" i="17"/>
  <c r="A246" i="17"/>
  <c r="M246" i="17" s="1"/>
  <c r="H245" i="17"/>
  <c r="G245" i="17"/>
  <c r="D245" i="17"/>
  <c r="C245" i="17"/>
  <c r="B245" i="17"/>
  <c r="A245" i="17"/>
  <c r="M245" i="17" s="1"/>
  <c r="H244" i="17"/>
  <c r="G244" i="17"/>
  <c r="F244" i="17"/>
  <c r="D244" i="17"/>
  <c r="C244" i="17"/>
  <c r="B244" i="17"/>
  <c r="A244" i="17"/>
  <c r="H243" i="17"/>
  <c r="G243" i="17"/>
  <c r="F243" i="17"/>
  <c r="D243" i="17"/>
  <c r="C243" i="17"/>
  <c r="B243" i="17"/>
  <c r="A243" i="17"/>
  <c r="N243" i="17" s="1"/>
  <c r="H242" i="17"/>
  <c r="G242" i="17"/>
  <c r="F242" i="17"/>
  <c r="D242" i="17"/>
  <c r="C242" i="17"/>
  <c r="B242" i="17"/>
  <c r="A242" i="17"/>
  <c r="H241" i="17"/>
  <c r="G241" i="17"/>
  <c r="F241" i="17"/>
  <c r="D241" i="17"/>
  <c r="C241" i="17"/>
  <c r="B241" i="17"/>
  <c r="A241" i="17"/>
  <c r="H240" i="17"/>
  <c r="G240" i="17"/>
  <c r="D240" i="17"/>
  <c r="C240" i="17"/>
  <c r="B240" i="17"/>
  <c r="A240" i="17"/>
  <c r="H239" i="17"/>
  <c r="G239" i="17"/>
  <c r="D239" i="17"/>
  <c r="C239" i="17"/>
  <c r="B239" i="17"/>
  <c r="A239" i="17"/>
  <c r="H238" i="17"/>
  <c r="G238" i="17"/>
  <c r="D238" i="17"/>
  <c r="C238" i="17"/>
  <c r="B238" i="17"/>
  <c r="A238" i="17"/>
  <c r="H237" i="17"/>
  <c r="G237" i="17"/>
  <c r="D237" i="17"/>
  <c r="C237" i="17"/>
  <c r="B237" i="17"/>
  <c r="A237" i="17"/>
  <c r="H236" i="17"/>
  <c r="G236" i="17"/>
  <c r="D236" i="17"/>
  <c r="C236" i="17"/>
  <c r="B236" i="17"/>
  <c r="A236" i="17"/>
  <c r="N236" i="17" s="1"/>
  <c r="H235" i="17"/>
  <c r="G235" i="17"/>
  <c r="D235" i="17"/>
  <c r="C235" i="17"/>
  <c r="B235" i="17"/>
  <c r="A235" i="17"/>
  <c r="N235" i="17" s="1"/>
  <c r="H234" i="17"/>
  <c r="G234" i="17"/>
  <c r="F234" i="17"/>
  <c r="D234" i="17"/>
  <c r="C234" i="17"/>
  <c r="B234" i="17"/>
  <c r="A234" i="17"/>
  <c r="K234" i="17" s="1"/>
  <c r="H233" i="17"/>
  <c r="G233" i="17"/>
  <c r="F233" i="17"/>
  <c r="D233" i="17"/>
  <c r="C233" i="17"/>
  <c r="B233" i="17"/>
  <c r="A233" i="17"/>
  <c r="N233" i="17" s="1"/>
  <c r="H232" i="17"/>
  <c r="G232" i="17"/>
  <c r="F232" i="17"/>
  <c r="D232" i="17"/>
  <c r="C232" i="17"/>
  <c r="B232" i="17"/>
  <c r="A232" i="17"/>
  <c r="H231" i="17"/>
  <c r="G231" i="17"/>
  <c r="F231" i="17"/>
  <c r="D231" i="17"/>
  <c r="C231" i="17"/>
  <c r="B231" i="17"/>
  <c r="A231" i="17"/>
  <c r="J231" i="17" s="1"/>
  <c r="H230" i="17"/>
  <c r="G230" i="17"/>
  <c r="F230" i="17"/>
  <c r="D230" i="17"/>
  <c r="C230" i="17"/>
  <c r="B230" i="17"/>
  <c r="A230" i="17"/>
  <c r="J230" i="17" s="1"/>
  <c r="H229" i="17"/>
  <c r="G229" i="17"/>
  <c r="D229" i="17"/>
  <c r="C229" i="17"/>
  <c r="B229" i="17"/>
  <c r="A229" i="17"/>
  <c r="J229" i="17" s="1"/>
  <c r="H228" i="17"/>
  <c r="G228" i="17"/>
  <c r="D228" i="17"/>
  <c r="C228" i="17"/>
  <c r="B228" i="17"/>
  <c r="A228" i="17"/>
  <c r="H227" i="17"/>
  <c r="G227" i="17"/>
  <c r="D227" i="17"/>
  <c r="C227" i="17"/>
  <c r="B227" i="17"/>
  <c r="A227" i="17"/>
  <c r="N227" i="17" s="1"/>
  <c r="H226" i="17"/>
  <c r="G226" i="17"/>
  <c r="D226" i="17"/>
  <c r="C226" i="17"/>
  <c r="B226" i="17"/>
  <c r="A226" i="17"/>
  <c r="N226" i="17" s="1"/>
  <c r="H225" i="17"/>
  <c r="G225" i="17"/>
  <c r="D225" i="17"/>
  <c r="C225" i="17"/>
  <c r="B225" i="17"/>
  <c r="A225" i="17"/>
  <c r="N225" i="17" s="1"/>
  <c r="H224" i="17"/>
  <c r="G224" i="17"/>
  <c r="D224" i="17"/>
  <c r="C224" i="17"/>
  <c r="B224" i="17"/>
  <c r="A224" i="17"/>
  <c r="K224" i="17" s="1"/>
  <c r="H223" i="17"/>
  <c r="G223" i="17"/>
  <c r="F223" i="17"/>
  <c r="D223" i="17"/>
  <c r="C223" i="17"/>
  <c r="B223" i="17"/>
  <c r="A223" i="17"/>
  <c r="L223" i="17" s="1"/>
  <c r="O223" i="17" s="1"/>
  <c r="P223" i="17" s="1"/>
  <c r="H222" i="17"/>
  <c r="G222" i="17"/>
  <c r="F222" i="17"/>
  <c r="D222" i="17"/>
  <c r="C222" i="17"/>
  <c r="B222" i="17"/>
  <c r="A222" i="17"/>
  <c r="H221" i="17"/>
  <c r="G221" i="17"/>
  <c r="F221" i="17"/>
  <c r="D221" i="17"/>
  <c r="C221" i="17"/>
  <c r="B221" i="17"/>
  <c r="A221" i="17"/>
  <c r="N221" i="17" s="1"/>
  <c r="H220" i="17"/>
  <c r="G220" i="17"/>
  <c r="F220" i="17"/>
  <c r="D220" i="17"/>
  <c r="C220" i="17"/>
  <c r="B220" i="17"/>
  <c r="A220" i="17"/>
  <c r="N220" i="17" s="1"/>
  <c r="H219" i="17"/>
  <c r="G219" i="17"/>
  <c r="F219" i="17"/>
  <c r="D219" i="17"/>
  <c r="C219" i="17"/>
  <c r="B219" i="17"/>
  <c r="A219" i="17"/>
  <c r="H218" i="17"/>
  <c r="G218" i="17"/>
  <c r="D218" i="17"/>
  <c r="C218" i="17"/>
  <c r="B218" i="17"/>
  <c r="A218" i="17"/>
  <c r="N218" i="17" s="1"/>
  <c r="H217" i="17"/>
  <c r="G217" i="17"/>
  <c r="D217" i="17"/>
  <c r="C217" i="17"/>
  <c r="B217" i="17"/>
  <c r="A217" i="17"/>
  <c r="N217" i="17" s="1"/>
  <c r="H216" i="17"/>
  <c r="G216" i="17"/>
  <c r="D216" i="17"/>
  <c r="C216" i="17"/>
  <c r="B216" i="17"/>
  <c r="A216" i="17"/>
  <c r="N216" i="17" s="1"/>
  <c r="H215" i="17"/>
  <c r="G215" i="17"/>
  <c r="F215" i="17"/>
  <c r="D215" i="17"/>
  <c r="C215" i="17"/>
  <c r="B215" i="17"/>
  <c r="A215" i="17"/>
  <c r="M215" i="17" s="1"/>
  <c r="H214" i="17"/>
  <c r="G214" i="17"/>
  <c r="F214" i="17"/>
  <c r="D214" i="17"/>
  <c r="C214" i="17"/>
  <c r="B214" i="17"/>
  <c r="A214" i="17"/>
  <c r="N214" i="17" s="1"/>
  <c r="H213" i="17"/>
  <c r="G213" i="17"/>
  <c r="D213" i="17"/>
  <c r="C213" i="17"/>
  <c r="B213" i="17"/>
  <c r="A213" i="17"/>
  <c r="N213" i="17" s="1"/>
  <c r="H212" i="17"/>
  <c r="G212" i="17"/>
  <c r="D212" i="17"/>
  <c r="C212" i="17"/>
  <c r="B212" i="17"/>
  <c r="A212" i="17"/>
  <c r="H211" i="17"/>
  <c r="G211" i="17"/>
  <c r="D211" i="17"/>
  <c r="C211" i="17"/>
  <c r="B211" i="17"/>
  <c r="A211" i="17"/>
  <c r="M211" i="17" s="1"/>
  <c r="H210" i="17"/>
  <c r="G210" i="17"/>
  <c r="D210" i="17"/>
  <c r="C210" i="17"/>
  <c r="B210" i="17"/>
  <c r="A210" i="17"/>
  <c r="J210" i="17" s="1"/>
  <c r="H209" i="17"/>
  <c r="G209" i="17"/>
  <c r="D209" i="17"/>
  <c r="C209" i="17"/>
  <c r="B209" i="17"/>
  <c r="A209" i="17"/>
  <c r="J209" i="17" s="1"/>
  <c r="H208" i="17"/>
  <c r="G208" i="17"/>
  <c r="D208" i="17"/>
  <c r="C208" i="17"/>
  <c r="B208" i="17"/>
  <c r="A208" i="17"/>
  <c r="N208" i="17" s="1"/>
  <c r="H207" i="17"/>
  <c r="G207" i="17"/>
  <c r="F207" i="17"/>
  <c r="D207" i="17"/>
  <c r="C207" i="17"/>
  <c r="B207" i="17"/>
  <c r="A207" i="17"/>
  <c r="L207" i="17" s="1"/>
  <c r="O207" i="17" s="1"/>
  <c r="P207" i="17" s="1"/>
  <c r="H206" i="17"/>
  <c r="G206" i="17"/>
  <c r="F206" i="17"/>
  <c r="D206" i="17"/>
  <c r="C206" i="17"/>
  <c r="B206" i="17"/>
  <c r="A206" i="17"/>
  <c r="L206" i="17" s="1"/>
  <c r="O206" i="17" s="1"/>
  <c r="P206" i="17" s="1"/>
  <c r="H205" i="17"/>
  <c r="G205" i="17"/>
  <c r="F205" i="17"/>
  <c r="D205" i="17"/>
  <c r="C205" i="17"/>
  <c r="B205" i="17"/>
  <c r="A205" i="17"/>
  <c r="N205" i="17" s="1"/>
  <c r="H204" i="17"/>
  <c r="G204" i="17"/>
  <c r="F204" i="17"/>
  <c r="D204" i="17"/>
  <c r="C204" i="17"/>
  <c r="B204" i="17"/>
  <c r="A204" i="17"/>
  <c r="N204" i="17" s="1"/>
  <c r="H203" i="17"/>
  <c r="G203" i="17"/>
  <c r="D203" i="17"/>
  <c r="C203" i="17"/>
  <c r="B203" i="17"/>
  <c r="A203" i="17"/>
  <c r="M203" i="17" s="1"/>
  <c r="H202" i="17"/>
  <c r="G202" i="17"/>
  <c r="D202" i="17"/>
  <c r="C202" i="17"/>
  <c r="B202" i="17"/>
  <c r="A202" i="17"/>
  <c r="N202" i="17" s="1"/>
  <c r="H201" i="17"/>
  <c r="G201" i="17"/>
  <c r="D201" i="17"/>
  <c r="C201" i="17"/>
  <c r="B201" i="17"/>
  <c r="A201" i="17"/>
  <c r="K201" i="17" s="1"/>
  <c r="H200" i="17"/>
  <c r="G200" i="17"/>
  <c r="D200" i="17"/>
  <c r="C200" i="17"/>
  <c r="B200" i="17"/>
  <c r="A200" i="17"/>
  <c r="K200" i="17" s="1"/>
  <c r="H199" i="17"/>
  <c r="G199" i="17"/>
  <c r="D199" i="17"/>
  <c r="C199" i="17"/>
  <c r="B199" i="17"/>
  <c r="A199" i="17"/>
  <c r="N199" i="17" s="1"/>
  <c r="H198" i="17"/>
  <c r="G198" i="17"/>
  <c r="D198" i="17"/>
  <c r="C198" i="17"/>
  <c r="B198" i="17"/>
  <c r="A198" i="17"/>
  <c r="N198" i="17" s="1"/>
  <c r="H197" i="17"/>
  <c r="G197" i="17"/>
  <c r="D197" i="17"/>
  <c r="C197" i="17"/>
  <c r="B197" i="17"/>
  <c r="A197" i="17"/>
  <c r="N197" i="17" s="1"/>
  <c r="H196" i="17"/>
  <c r="G196" i="17"/>
  <c r="D196" i="17"/>
  <c r="C196" i="17"/>
  <c r="B196" i="17"/>
  <c r="A196" i="17"/>
  <c r="H195" i="17"/>
  <c r="G195" i="17"/>
  <c r="F195" i="17"/>
  <c r="D195" i="17"/>
  <c r="C195" i="17"/>
  <c r="B195" i="17"/>
  <c r="A195" i="17"/>
  <c r="H194" i="17"/>
  <c r="G194" i="17"/>
  <c r="F194" i="17"/>
  <c r="D194" i="17"/>
  <c r="C194" i="17"/>
  <c r="B194" i="17"/>
  <c r="A194" i="17"/>
  <c r="N194" i="17" s="1"/>
  <c r="H193" i="17"/>
  <c r="G193" i="17"/>
  <c r="F193" i="17"/>
  <c r="D193" i="17"/>
  <c r="C193" i="17"/>
  <c r="B193" i="17"/>
  <c r="A193" i="17"/>
  <c r="H192" i="17"/>
  <c r="G192" i="17"/>
  <c r="F192" i="17"/>
  <c r="D192" i="17"/>
  <c r="C192" i="17"/>
  <c r="B192" i="17"/>
  <c r="A192" i="17"/>
  <c r="N192" i="17" s="1"/>
  <c r="H191" i="17"/>
  <c r="G191" i="17"/>
  <c r="D191" i="17"/>
  <c r="C191" i="17"/>
  <c r="B191" i="17"/>
  <c r="A191" i="17"/>
  <c r="N191" i="17" s="1"/>
  <c r="H190" i="17"/>
  <c r="G190" i="17"/>
  <c r="D190" i="17"/>
  <c r="C190" i="17"/>
  <c r="B190" i="17"/>
  <c r="A190" i="17"/>
  <c r="N190" i="17" s="1"/>
  <c r="H189" i="17"/>
  <c r="G189" i="17"/>
  <c r="D189" i="17"/>
  <c r="C189" i="17"/>
  <c r="B189" i="17"/>
  <c r="A189" i="17"/>
  <c r="H188" i="17"/>
  <c r="G188" i="17"/>
  <c r="D188" i="17"/>
  <c r="C188" i="17"/>
  <c r="B188" i="17"/>
  <c r="A188" i="17"/>
  <c r="M188" i="17" s="1"/>
  <c r="H187" i="17"/>
  <c r="G187" i="17"/>
  <c r="D187" i="17"/>
  <c r="C187" i="17"/>
  <c r="B187" i="17"/>
  <c r="A187" i="17"/>
  <c r="H186" i="17"/>
  <c r="G186" i="17"/>
  <c r="D186" i="17"/>
  <c r="C186" i="17"/>
  <c r="B186" i="17"/>
  <c r="A186" i="17"/>
  <c r="N186" i="17" s="1"/>
  <c r="H185" i="17"/>
  <c r="G185" i="17"/>
  <c r="D185" i="17"/>
  <c r="C185" i="17"/>
  <c r="B185" i="17"/>
  <c r="A185" i="17"/>
  <c r="H184" i="17"/>
  <c r="G184" i="17"/>
  <c r="D184" i="17"/>
  <c r="C184" i="17"/>
  <c r="B184" i="17"/>
  <c r="A184" i="17"/>
  <c r="H183" i="17"/>
  <c r="G183" i="17"/>
  <c r="F183" i="17"/>
  <c r="D183" i="17"/>
  <c r="C183" i="17"/>
  <c r="B183" i="17"/>
  <c r="A183" i="17"/>
  <c r="N183" i="17" s="1"/>
  <c r="H182" i="17"/>
  <c r="G182" i="17"/>
  <c r="F182" i="17"/>
  <c r="D182" i="17"/>
  <c r="C182" i="17"/>
  <c r="B182" i="17"/>
  <c r="A182" i="17"/>
  <c r="M182" i="17" s="1"/>
  <c r="H181" i="17"/>
  <c r="G181" i="17"/>
  <c r="F181" i="17"/>
  <c r="D181" i="17"/>
  <c r="C181" i="17"/>
  <c r="B181" i="17"/>
  <c r="A181" i="17"/>
  <c r="K181" i="17" s="1"/>
  <c r="H180" i="17"/>
  <c r="G180" i="17"/>
  <c r="D180" i="17"/>
  <c r="C180" i="17"/>
  <c r="B180" i="17"/>
  <c r="A180" i="17"/>
  <c r="M180" i="17" s="1"/>
  <c r="H179" i="17"/>
  <c r="G179" i="17"/>
  <c r="D179" i="17"/>
  <c r="C179" i="17"/>
  <c r="B179" i="17"/>
  <c r="A179" i="17"/>
  <c r="N179" i="17" s="1"/>
  <c r="H178" i="17"/>
  <c r="G178" i="17"/>
  <c r="D178" i="17"/>
  <c r="C178" i="17"/>
  <c r="B178" i="17"/>
  <c r="A178" i="17"/>
  <c r="M178" i="17" s="1"/>
  <c r="H177" i="17"/>
  <c r="G177" i="17"/>
  <c r="D177" i="17"/>
  <c r="C177" i="17"/>
  <c r="B177" i="17"/>
  <c r="A177" i="17"/>
  <c r="J177" i="17" s="1"/>
  <c r="H176" i="17"/>
  <c r="G176" i="17"/>
  <c r="D176" i="17"/>
  <c r="C176" i="17"/>
  <c r="B176" i="17"/>
  <c r="A176" i="17"/>
  <c r="K176" i="17" s="1"/>
  <c r="H175" i="17"/>
  <c r="G175" i="17"/>
  <c r="F175" i="17"/>
  <c r="D175" i="17"/>
  <c r="C175" i="17"/>
  <c r="B175" i="17"/>
  <c r="A175" i="17"/>
  <c r="M175" i="17" s="1"/>
  <c r="H174" i="17"/>
  <c r="G174" i="17"/>
  <c r="F174" i="17"/>
  <c r="D174" i="17"/>
  <c r="C174" i="17"/>
  <c r="B174" i="17"/>
  <c r="A174" i="17"/>
  <c r="M174" i="17" s="1"/>
  <c r="H173" i="17"/>
  <c r="G173" i="17"/>
  <c r="F173" i="17"/>
  <c r="D173" i="17"/>
  <c r="C173" i="17"/>
  <c r="B173" i="17"/>
  <c r="A173" i="17"/>
  <c r="N173" i="17" s="1"/>
  <c r="H172" i="17"/>
  <c r="G172" i="17"/>
  <c r="F172" i="17"/>
  <c r="D172" i="17"/>
  <c r="C172" i="17"/>
  <c r="B172" i="17"/>
  <c r="A172" i="17"/>
  <c r="M172" i="17" s="1"/>
  <c r="H171" i="17"/>
  <c r="G171" i="17"/>
  <c r="F171" i="17"/>
  <c r="D171" i="17"/>
  <c r="C171" i="17"/>
  <c r="B171" i="17"/>
  <c r="A171" i="17"/>
  <c r="N171" i="17" s="1"/>
  <c r="H170" i="17"/>
  <c r="G170" i="17"/>
  <c r="D170" i="17"/>
  <c r="C170" i="17"/>
  <c r="B170" i="17"/>
  <c r="A170" i="17"/>
  <c r="J170" i="17" s="1"/>
  <c r="H169" i="17"/>
  <c r="G169" i="17"/>
  <c r="D169" i="17"/>
  <c r="C169" i="17"/>
  <c r="B169" i="17"/>
  <c r="A169" i="17"/>
  <c r="N169" i="17" s="1"/>
  <c r="H168" i="17"/>
  <c r="G168" i="17"/>
  <c r="F168" i="17"/>
  <c r="D168" i="17"/>
  <c r="C168" i="17"/>
  <c r="B168" i="17"/>
  <c r="A168" i="17"/>
  <c r="N168" i="17" s="1"/>
  <c r="H167" i="17"/>
  <c r="G167" i="17"/>
  <c r="F167" i="17"/>
  <c r="D167" i="17"/>
  <c r="C167" i="17"/>
  <c r="B167" i="17"/>
  <c r="A167" i="17"/>
  <c r="K167" i="17" s="1"/>
  <c r="H166" i="17"/>
  <c r="G166" i="17"/>
  <c r="F166" i="17"/>
  <c r="D166" i="17"/>
  <c r="C166" i="17"/>
  <c r="B166" i="17"/>
  <c r="A166" i="17"/>
  <c r="N166" i="17" s="1"/>
  <c r="H165" i="17"/>
  <c r="G165" i="17"/>
  <c r="F165" i="17"/>
  <c r="D165" i="17"/>
  <c r="C165" i="17"/>
  <c r="B165" i="17"/>
  <c r="A165" i="17"/>
  <c r="K165" i="17" s="1"/>
  <c r="H164" i="17"/>
  <c r="G164" i="17"/>
  <c r="D164" i="17"/>
  <c r="C164" i="17"/>
  <c r="B164" i="17"/>
  <c r="A164" i="17"/>
  <c r="N164" i="17" s="1"/>
  <c r="H163" i="17"/>
  <c r="G163" i="17"/>
  <c r="D163" i="17"/>
  <c r="C163" i="17"/>
  <c r="B163" i="17"/>
  <c r="A163" i="17"/>
  <c r="H162" i="17"/>
  <c r="G162" i="17"/>
  <c r="D162" i="17"/>
  <c r="C162" i="17"/>
  <c r="B162" i="17"/>
  <c r="A162" i="17"/>
  <c r="K162" i="17" s="1"/>
  <c r="H161" i="17"/>
  <c r="G161" i="17"/>
  <c r="F161" i="17"/>
  <c r="D161" i="17"/>
  <c r="C161" i="17"/>
  <c r="B161" i="17"/>
  <c r="A161" i="17"/>
  <c r="H160" i="17"/>
  <c r="G160" i="17"/>
  <c r="F160" i="17"/>
  <c r="D160" i="17"/>
  <c r="C160" i="17"/>
  <c r="B160" i="17"/>
  <c r="A160" i="17"/>
  <c r="K160" i="17" s="1"/>
  <c r="H159" i="17"/>
  <c r="G159" i="17"/>
  <c r="F159" i="17"/>
  <c r="D159" i="17"/>
  <c r="C159" i="17"/>
  <c r="B159" i="17"/>
  <c r="A159" i="17"/>
  <c r="H158" i="17"/>
  <c r="G158" i="17"/>
  <c r="F158" i="17"/>
  <c r="D158" i="17"/>
  <c r="C158" i="17"/>
  <c r="B158" i="17"/>
  <c r="A158" i="17"/>
  <c r="N158" i="17" s="1"/>
  <c r="H157" i="17"/>
  <c r="G157" i="17"/>
  <c r="D157" i="17"/>
  <c r="C157" i="17"/>
  <c r="B157" i="17"/>
  <c r="A157" i="17"/>
  <c r="H156" i="17"/>
  <c r="G156" i="17"/>
  <c r="D156" i="17"/>
  <c r="C156" i="17"/>
  <c r="B156" i="17"/>
  <c r="A156" i="17"/>
  <c r="H155" i="17"/>
  <c r="G155" i="17"/>
  <c r="D155" i="17"/>
  <c r="C155" i="17"/>
  <c r="B155" i="17"/>
  <c r="A155" i="17"/>
  <c r="H154" i="17"/>
  <c r="G154" i="17"/>
  <c r="D154" i="17"/>
  <c r="C154" i="17"/>
  <c r="B154" i="17"/>
  <c r="A154" i="17"/>
  <c r="H153" i="17"/>
  <c r="G153" i="17"/>
  <c r="F153" i="17"/>
  <c r="D153" i="17"/>
  <c r="C153" i="17"/>
  <c r="B153" i="17"/>
  <c r="A153" i="17"/>
  <c r="H152" i="17"/>
  <c r="G152" i="17"/>
  <c r="F152" i="17"/>
  <c r="D152" i="17"/>
  <c r="C152" i="17"/>
  <c r="B152" i="17"/>
  <c r="A152" i="17"/>
  <c r="H151" i="17"/>
  <c r="G151" i="17"/>
  <c r="F151" i="17"/>
  <c r="D151" i="17"/>
  <c r="C151" i="17"/>
  <c r="B151" i="17"/>
  <c r="A151" i="17"/>
  <c r="N151" i="17" s="1"/>
  <c r="H150" i="17"/>
  <c r="G150" i="17"/>
  <c r="F150" i="17"/>
  <c r="D150" i="17"/>
  <c r="C150" i="17"/>
  <c r="B150" i="17"/>
  <c r="A150" i="17"/>
  <c r="N150" i="17" s="1"/>
  <c r="H149" i="17"/>
  <c r="G149" i="17"/>
  <c r="D149" i="17"/>
  <c r="C149" i="17"/>
  <c r="B149" i="17"/>
  <c r="A149" i="17"/>
  <c r="N149" i="17" s="1"/>
  <c r="H148" i="17"/>
  <c r="G148" i="17"/>
  <c r="D148" i="17"/>
  <c r="C148" i="17"/>
  <c r="B148" i="17"/>
  <c r="A148" i="17"/>
  <c r="K148" i="17" s="1"/>
  <c r="H147" i="17"/>
  <c r="G147" i="17"/>
  <c r="F147" i="17"/>
  <c r="D147" i="17"/>
  <c r="C147" i="17"/>
  <c r="B147" i="17"/>
  <c r="A147" i="17"/>
  <c r="M147" i="17" s="1"/>
  <c r="H146" i="17"/>
  <c r="G146" i="17"/>
  <c r="F146" i="17"/>
  <c r="D146" i="17"/>
  <c r="C146" i="17"/>
  <c r="B146" i="17"/>
  <c r="A146" i="17"/>
  <c r="M146" i="17" s="1"/>
  <c r="H145" i="17"/>
  <c r="G145" i="17"/>
  <c r="F145" i="17"/>
  <c r="D145" i="17"/>
  <c r="C145" i="17"/>
  <c r="B145" i="17"/>
  <c r="A145" i="17"/>
  <c r="H144" i="17"/>
  <c r="G144" i="17"/>
  <c r="F144" i="17"/>
  <c r="D144" i="17"/>
  <c r="C144" i="17"/>
  <c r="B144" i="17"/>
  <c r="A144" i="17"/>
  <c r="H143" i="17"/>
  <c r="G143" i="17"/>
  <c r="D143" i="17"/>
  <c r="C143" i="17"/>
  <c r="B143" i="17"/>
  <c r="A143" i="17"/>
  <c r="M143" i="17" s="1"/>
  <c r="H142" i="17"/>
  <c r="G142" i="17"/>
  <c r="D142" i="17"/>
  <c r="C142" i="17"/>
  <c r="B142" i="17"/>
  <c r="A142" i="17"/>
  <c r="H141" i="17"/>
  <c r="G141" i="17"/>
  <c r="D141" i="17"/>
  <c r="C141" i="17"/>
  <c r="B141" i="17"/>
  <c r="A141" i="17"/>
  <c r="M141" i="17" s="1"/>
  <c r="H140" i="17"/>
  <c r="G140" i="17"/>
  <c r="D140" i="17"/>
  <c r="C140" i="17"/>
  <c r="B140" i="17"/>
  <c r="A140" i="17"/>
  <c r="H139" i="17"/>
  <c r="G139" i="17"/>
  <c r="F139" i="17"/>
  <c r="D139" i="17"/>
  <c r="C139" i="17"/>
  <c r="B139" i="17"/>
  <c r="A139" i="17"/>
  <c r="H138" i="17"/>
  <c r="G138" i="17"/>
  <c r="F138" i="17"/>
  <c r="D138" i="17"/>
  <c r="C138" i="17"/>
  <c r="B138" i="17"/>
  <c r="A138" i="17"/>
  <c r="K138" i="17" s="1"/>
  <c r="H137" i="17"/>
  <c r="G137" i="17"/>
  <c r="F137" i="17"/>
  <c r="D137" i="17"/>
  <c r="C137" i="17"/>
  <c r="B137" i="17"/>
  <c r="A137" i="17"/>
  <c r="K137" i="17" s="1"/>
  <c r="H136" i="17"/>
  <c r="G136" i="17"/>
  <c r="F136" i="17"/>
  <c r="D136" i="17"/>
  <c r="C136" i="17"/>
  <c r="B136" i="17"/>
  <c r="A136" i="17"/>
  <c r="M136" i="17" s="1"/>
  <c r="H135" i="17"/>
  <c r="G135" i="17"/>
  <c r="D135" i="17"/>
  <c r="C135" i="17"/>
  <c r="B135" i="17"/>
  <c r="A135" i="17"/>
  <c r="H134" i="17"/>
  <c r="G134" i="17"/>
  <c r="D134" i="17"/>
  <c r="C134" i="17"/>
  <c r="B134" i="17"/>
  <c r="A134" i="17"/>
  <c r="N134" i="17" s="1"/>
  <c r="H133" i="17"/>
  <c r="G133" i="17"/>
  <c r="D133" i="17"/>
  <c r="C133" i="17"/>
  <c r="B133" i="17"/>
  <c r="A133" i="17"/>
  <c r="N133" i="17" s="1"/>
  <c r="H132" i="17"/>
  <c r="G132" i="17"/>
  <c r="D132" i="17"/>
  <c r="C132" i="17"/>
  <c r="B132" i="17"/>
  <c r="A132" i="17"/>
  <c r="N132" i="17" s="1"/>
  <c r="H131" i="17"/>
  <c r="G131" i="17"/>
  <c r="F131" i="17"/>
  <c r="D131" i="17"/>
  <c r="C131" i="17"/>
  <c r="B131" i="17"/>
  <c r="A131" i="17"/>
  <c r="L131" i="17" s="1"/>
  <c r="O131" i="17" s="1"/>
  <c r="P131" i="17" s="1"/>
  <c r="H130" i="17"/>
  <c r="G130" i="17"/>
  <c r="F130" i="17"/>
  <c r="D130" i="17"/>
  <c r="C130" i="17"/>
  <c r="B130" i="17"/>
  <c r="A130" i="17"/>
  <c r="N130" i="17" s="1"/>
  <c r="H129" i="17"/>
  <c r="G129" i="17"/>
  <c r="F129" i="17"/>
  <c r="D129" i="17"/>
  <c r="C129" i="17"/>
  <c r="B129" i="17"/>
  <c r="A129" i="17"/>
  <c r="K129" i="17" s="1"/>
  <c r="H128" i="17"/>
  <c r="G128" i="17"/>
  <c r="F128" i="17"/>
  <c r="D128" i="17"/>
  <c r="C128" i="17"/>
  <c r="B128" i="17"/>
  <c r="A128" i="17"/>
  <c r="K128" i="17" s="1"/>
  <c r="H127" i="17"/>
  <c r="G127" i="17"/>
  <c r="F127" i="17"/>
  <c r="D127" i="17"/>
  <c r="C127" i="17"/>
  <c r="B127" i="17"/>
  <c r="A127" i="17"/>
  <c r="N127" i="17" s="1"/>
  <c r="H126" i="17"/>
  <c r="G126" i="17"/>
  <c r="D126" i="17"/>
  <c r="C126" i="17"/>
  <c r="B126" i="17"/>
  <c r="A126" i="17"/>
  <c r="N126" i="17" s="1"/>
  <c r="H125" i="17"/>
  <c r="G125" i="17"/>
  <c r="D125" i="17"/>
  <c r="C125" i="17"/>
  <c r="B125" i="17"/>
  <c r="A125" i="17"/>
  <c r="M125" i="17" s="1"/>
  <c r="H124" i="17"/>
  <c r="G124" i="17"/>
  <c r="D124" i="17"/>
  <c r="C124" i="17"/>
  <c r="B124" i="17"/>
  <c r="A124" i="17"/>
  <c r="H123" i="17"/>
  <c r="G123" i="17"/>
  <c r="D123" i="17"/>
  <c r="C123" i="17"/>
  <c r="B123" i="17"/>
  <c r="A123" i="17"/>
  <c r="H122" i="17"/>
  <c r="G122" i="17"/>
  <c r="F122" i="17"/>
  <c r="D122" i="17"/>
  <c r="C122" i="17"/>
  <c r="B122" i="17"/>
  <c r="A122" i="17"/>
  <c r="K122" i="17" s="1"/>
  <c r="H121" i="17"/>
  <c r="G121" i="17"/>
  <c r="F121" i="17"/>
  <c r="D121" i="17"/>
  <c r="C121" i="17"/>
  <c r="B121" i="17"/>
  <c r="A121" i="17"/>
  <c r="K121" i="17" s="1"/>
  <c r="H120" i="17"/>
  <c r="G120" i="17"/>
  <c r="F120" i="17"/>
  <c r="D120" i="17"/>
  <c r="C120" i="17"/>
  <c r="B120" i="17"/>
  <c r="A120" i="17"/>
  <c r="M120" i="17" s="1"/>
  <c r="H119" i="17"/>
  <c r="G119" i="17"/>
  <c r="F119" i="17"/>
  <c r="D119" i="17"/>
  <c r="C119" i="17"/>
  <c r="B119" i="17"/>
  <c r="A119" i="17"/>
  <c r="N119" i="17" s="1"/>
  <c r="H118" i="17"/>
  <c r="G118" i="17"/>
  <c r="F118" i="17"/>
  <c r="D118" i="17"/>
  <c r="C118" i="17"/>
  <c r="B118" i="17"/>
  <c r="A118" i="17"/>
  <c r="M118" i="17" s="1"/>
  <c r="H117" i="17"/>
  <c r="G117" i="17"/>
  <c r="D117" i="17"/>
  <c r="C117" i="17"/>
  <c r="B117" i="17"/>
  <c r="A117" i="17"/>
  <c r="K117" i="17" s="1"/>
  <c r="H116" i="17"/>
  <c r="G116" i="17"/>
  <c r="D116" i="17"/>
  <c r="C116" i="17"/>
  <c r="B116" i="17"/>
  <c r="A116" i="17"/>
  <c r="N116" i="17" s="1"/>
  <c r="H115" i="17"/>
  <c r="G115" i="17"/>
  <c r="D115" i="17"/>
  <c r="C115" i="17"/>
  <c r="B115" i="17"/>
  <c r="A115" i="17"/>
  <c r="N115" i="17" s="1"/>
  <c r="H114" i="17"/>
  <c r="G114" i="17"/>
  <c r="D114" i="17"/>
  <c r="C114" i="17"/>
  <c r="B114" i="17"/>
  <c r="A114" i="17"/>
  <c r="M114" i="17" s="1"/>
  <c r="H113" i="17"/>
  <c r="G113" i="17"/>
  <c r="F113" i="17"/>
  <c r="D113" i="17"/>
  <c r="C113" i="17"/>
  <c r="B113" i="17"/>
  <c r="A113" i="17"/>
  <c r="J113" i="17" s="1"/>
  <c r="H112" i="17"/>
  <c r="G112" i="17"/>
  <c r="F112" i="17"/>
  <c r="D112" i="17"/>
  <c r="C112" i="17"/>
  <c r="B112" i="17"/>
  <c r="A112" i="17"/>
  <c r="N112" i="17" s="1"/>
  <c r="H111" i="17"/>
  <c r="G111" i="17"/>
  <c r="F111" i="17"/>
  <c r="D111" i="17"/>
  <c r="C111" i="17"/>
  <c r="B111" i="17"/>
  <c r="A111" i="17"/>
  <c r="N111" i="17" s="1"/>
  <c r="H110" i="17"/>
  <c r="G110" i="17"/>
  <c r="F110" i="17"/>
  <c r="D110" i="17"/>
  <c r="C110" i="17"/>
  <c r="B110" i="17"/>
  <c r="A110" i="17"/>
  <c r="N110" i="17" s="1"/>
  <c r="H109" i="17"/>
  <c r="G109" i="17"/>
  <c r="F109" i="17"/>
  <c r="D109" i="17"/>
  <c r="C109" i="17"/>
  <c r="B109" i="17"/>
  <c r="A109" i="17"/>
  <c r="M109" i="17" s="1"/>
  <c r="H108" i="17"/>
  <c r="G108" i="17"/>
  <c r="D108" i="17"/>
  <c r="C108" i="17"/>
  <c r="B108" i="17"/>
  <c r="A108" i="17"/>
  <c r="N108" i="17" s="1"/>
  <c r="H107" i="17"/>
  <c r="G107" i="17"/>
  <c r="D107" i="17"/>
  <c r="C107" i="17"/>
  <c r="B107" i="17"/>
  <c r="A107" i="17"/>
  <c r="H106" i="17"/>
  <c r="G106" i="17"/>
  <c r="D106" i="17"/>
  <c r="C106" i="17"/>
  <c r="B106" i="17"/>
  <c r="A106" i="17"/>
  <c r="N106" i="17" s="1"/>
  <c r="H105" i="17"/>
  <c r="G105" i="17"/>
  <c r="F105" i="17"/>
  <c r="D105" i="17"/>
  <c r="C105" i="17"/>
  <c r="B105" i="17"/>
  <c r="A105" i="17"/>
  <c r="J105" i="17" s="1"/>
  <c r="H104" i="17"/>
  <c r="G104" i="17"/>
  <c r="F104" i="17"/>
  <c r="D104" i="17"/>
  <c r="C104" i="17"/>
  <c r="B104" i="17"/>
  <c r="A104" i="17"/>
  <c r="M104" i="17" s="1"/>
  <c r="H103" i="17"/>
  <c r="G103" i="17"/>
  <c r="F103" i="17"/>
  <c r="D103" i="17"/>
  <c r="C103" i="17"/>
  <c r="B103" i="17"/>
  <c r="A103" i="17"/>
  <c r="N103" i="17" s="1"/>
  <c r="H102" i="17"/>
  <c r="G102" i="17"/>
  <c r="F102" i="17"/>
  <c r="D102" i="17"/>
  <c r="C102" i="17"/>
  <c r="B102" i="17"/>
  <c r="A102" i="17"/>
  <c r="N102" i="17" s="1"/>
  <c r="H101" i="17"/>
  <c r="G101" i="17"/>
  <c r="F101" i="17"/>
  <c r="D101" i="17"/>
  <c r="C101" i="17"/>
  <c r="B101" i="17"/>
  <c r="A101" i="17"/>
  <c r="M101" i="17" s="1"/>
  <c r="H100" i="17"/>
  <c r="G100" i="17"/>
  <c r="D100" i="17"/>
  <c r="C100" i="17"/>
  <c r="B100" i="17"/>
  <c r="A100" i="17"/>
  <c r="M100" i="17" s="1"/>
  <c r="H99" i="17"/>
  <c r="G99" i="17"/>
  <c r="D99" i="17"/>
  <c r="C99" i="17"/>
  <c r="B99" i="17"/>
  <c r="A99" i="17"/>
  <c r="N99" i="17" s="1"/>
  <c r="H98" i="17"/>
  <c r="G98" i="17"/>
  <c r="D98" i="17"/>
  <c r="C98" i="17"/>
  <c r="B98" i="17"/>
  <c r="A98" i="17"/>
  <c r="N98" i="17" s="1"/>
  <c r="H97" i="17"/>
  <c r="G97" i="17"/>
  <c r="F97" i="17"/>
  <c r="D97" i="17"/>
  <c r="C97" i="17"/>
  <c r="B97" i="17"/>
  <c r="A97" i="17"/>
  <c r="L97" i="17" s="1"/>
  <c r="O97" i="17" s="1"/>
  <c r="P97" i="17" s="1"/>
  <c r="H96" i="17"/>
  <c r="G96" i="17"/>
  <c r="F96" i="17"/>
  <c r="D96" i="17"/>
  <c r="C96" i="17"/>
  <c r="B96" i="17"/>
  <c r="A96" i="17"/>
  <c r="M96" i="17" s="1"/>
  <c r="H95" i="17"/>
  <c r="G95" i="17"/>
  <c r="F95" i="17"/>
  <c r="D95" i="17"/>
  <c r="C95" i="17"/>
  <c r="B95" i="17"/>
  <c r="A95" i="17"/>
  <c r="H94" i="17"/>
  <c r="G94" i="17"/>
  <c r="F94" i="17"/>
  <c r="D94" i="17"/>
  <c r="C94" i="17"/>
  <c r="B94" i="17"/>
  <c r="A94" i="17"/>
  <c r="H93" i="17"/>
  <c r="G93" i="17"/>
  <c r="D93" i="17"/>
  <c r="C93" i="17"/>
  <c r="B93" i="17"/>
  <c r="A93" i="17"/>
  <c r="H92" i="17"/>
  <c r="G92" i="17"/>
  <c r="D92" i="17"/>
  <c r="C92" i="17"/>
  <c r="B92" i="17"/>
  <c r="A92" i="17"/>
  <c r="N92" i="17" s="1"/>
  <c r="H91" i="17"/>
  <c r="G91" i="17"/>
  <c r="F91" i="17"/>
  <c r="D91" i="17"/>
  <c r="C91" i="17"/>
  <c r="B91" i="17"/>
  <c r="A91" i="17"/>
  <c r="H90" i="17"/>
  <c r="G90" i="17"/>
  <c r="F90" i="17"/>
  <c r="D90" i="17"/>
  <c r="C90" i="17"/>
  <c r="B90" i="17"/>
  <c r="A90" i="17"/>
  <c r="K90" i="17" s="1"/>
  <c r="H89" i="17"/>
  <c r="G89" i="17"/>
  <c r="F89" i="17"/>
  <c r="D89" i="17"/>
  <c r="C89" i="17"/>
  <c r="B89" i="17"/>
  <c r="A89" i="17"/>
  <c r="H88" i="17"/>
  <c r="G88" i="17"/>
  <c r="F88" i="17"/>
  <c r="D88" i="17"/>
  <c r="C88" i="17"/>
  <c r="B88" i="17"/>
  <c r="A88" i="17"/>
  <c r="M88" i="17" s="1"/>
  <c r="H87" i="17"/>
  <c r="G87" i="17"/>
  <c r="D87" i="17"/>
  <c r="C87" i="17"/>
  <c r="B87" i="17"/>
  <c r="A87" i="17"/>
  <c r="N87" i="17" s="1"/>
  <c r="H86" i="17"/>
  <c r="G86" i="17"/>
  <c r="D86" i="17"/>
  <c r="C86" i="17"/>
  <c r="B86" i="17"/>
  <c r="A86" i="17"/>
  <c r="J86" i="17" s="1"/>
  <c r="H85" i="17"/>
  <c r="G85" i="17"/>
  <c r="F85" i="17"/>
  <c r="D85" i="17"/>
  <c r="C85" i="17"/>
  <c r="B85" i="17"/>
  <c r="A85" i="17"/>
  <c r="N85" i="17" s="1"/>
  <c r="H84" i="17"/>
  <c r="G84" i="17"/>
  <c r="F84" i="17"/>
  <c r="D84" i="17"/>
  <c r="C84" i="17"/>
  <c r="B84" i="17"/>
  <c r="A84" i="17"/>
  <c r="J84" i="17" s="1"/>
  <c r="H83" i="17"/>
  <c r="G83" i="17"/>
  <c r="F83" i="17"/>
  <c r="D83" i="17"/>
  <c r="C83" i="17"/>
  <c r="B83" i="17"/>
  <c r="A83" i="17"/>
  <c r="N83" i="17" s="1"/>
  <c r="H82" i="17"/>
  <c r="G82" i="17"/>
  <c r="F82" i="17"/>
  <c r="D82" i="17"/>
  <c r="C82" i="17"/>
  <c r="B82" i="17"/>
  <c r="A82" i="17"/>
  <c r="L82" i="17" s="1"/>
  <c r="O82" i="17" s="1"/>
  <c r="H81" i="17"/>
  <c r="G81" i="17"/>
  <c r="D81" i="17"/>
  <c r="C81" i="17"/>
  <c r="B81" i="17"/>
  <c r="A81" i="17"/>
  <c r="N81" i="17" s="1"/>
  <c r="H80" i="17"/>
  <c r="G80" i="17"/>
  <c r="D80" i="17"/>
  <c r="C80" i="17"/>
  <c r="B80" i="17"/>
  <c r="A80" i="17"/>
  <c r="K80" i="17" s="1"/>
  <c r="H79" i="17"/>
  <c r="G79" i="17"/>
  <c r="D79" i="17"/>
  <c r="C79" i="17"/>
  <c r="B79" i="17"/>
  <c r="A79" i="17"/>
  <c r="K79" i="17" s="1"/>
  <c r="H78" i="17"/>
  <c r="G78" i="17"/>
  <c r="D78" i="17"/>
  <c r="C78" i="17"/>
  <c r="B78" i="17"/>
  <c r="A78" i="17"/>
  <c r="N78" i="17" s="1"/>
  <c r="H77" i="17"/>
  <c r="G77" i="17"/>
  <c r="D77" i="17"/>
  <c r="C77" i="17"/>
  <c r="B77" i="17"/>
  <c r="A77" i="17"/>
  <c r="M77" i="17" s="1"/>
  <c r="H76" i="17"/>
  <c r="G76" i="17"/>
  <c r="D76" i="17"/>
  <c r="C76" i="17"/>
  <c r="B76" i="17"/>
  <c r="A76" i="17"/>
  <c r="N76" i="17" s="1"/>
  <c r="H75" i="17"/>
  <c r="G75" i="17"/>
  <c r="F75" i="17"/>
  <c r="D75" i="17"/>
  <c r="C75" i="17"/>
  <c r="B75" i="17"/>
  <c r="A75" i="17"/>
  <c r="H74" i="17"/>
  <c r="G74" i="17"/>
  <c r="F74" i="17"/>
  <c r="D74" i="17"/>
  <c r="C74" i="17"/>
  <c r="B74" i="17"/>
  <c r="A74" i="17"/>
  <c r="K74" i="17" s="1"/>
  <c r="H73" i="17"/>
  <c r="G73" i="17"/>
  <c r="F73" i="17"/>
  <c r="D73" i="17"/>
  <c r="C73" i="17"/>
  <c r="B73" i="17"/>
  <c r="A73" i="17"/>
  <c r="J73" i="17" s="1"/>
  <c r="H72" i="17"/>
  <c r="G72" i="17"/>
  <c r="F72" i="17"/>
  <c r="D72" i="17"/>
  <c r="C72" i="17"/>
  <c r="B72" i="17"/>
  <c r="A72" i="17"/>
  <c r="M72" i="17" s="1"/>
  <c r="H71" i="17"/>
  <c r="G71" i="17"/>
  <c r="F71" i="17"/>
  <c r="D71" i="17"/>
  <c r="C71" i="17"/>
  <c r="B71" i="17"/>
  <c r="A71" i="17"/>
  <c r="N71" i="17" s="1"/>
  <c r="H70" i="17"/>
  <c r="G70" i="17"/>
  <c r="D70" i="17"/>
  <c r="C70" i="17"/>
  <c r="B70" i="17"/>
  <c r="A70" i="17"/>
  <c r="L70" i="17" s="1"/>
  <c r="O70" i="17" s="1"/>
  <c r="P70" i="17" s="1"/>
  <c r="H69" i="17"/>
  <c r="G69" i="17"/>
  <c r="D69" i="17"/>
  <c r="C69" i="17"/>
  <c r="B69" i="17"/>
  <c r="A69" i="17"/>
  <c r="L69" i="17" s="1"/>
  <c r="O69" i="17" s="1"/>
  <c r="P69" i="17" s="1"/>
  <c r="H68" i="17"/>
  <c r="G68" i="17"/>
  <c r="D68" i="17"/>
  <c r="C68" i="17"/>
  <c r="B68" i="17"/>
  <c r="A68" i="17"/>
  <c r="N68" i="17" s="1"/>
  <c r="H67" i="17"/>
  <c r="G67" i="17"/>
  <c r="D67" i="17"/>
  <c r="C67" i="17"/>
  <c r="B67" i="17"/>
  <c r="A67" i="17"/>
  <c r="L67" i="17" s="1"/>
  <c r="O67" i="17" s="1"/>
  <c r="P67" i="17" s="1"/>
  <c r="H66" i="17"/>
  <c r="G66" i="17"/>
  <c r="D66" i="17"/>
  <c r="C66" i="17"/>
  <c r="B66" i="17"/>
  <c r="A66" i="17"/>
  <c r="H65" i="17"/>
  <c r="G65" i="17"/>
  <c r="D65" i="17"/>
  <c r="C65" i="17"/>
  <c r="B65" i="17"/>
  <c r="A65" i="17"/>
  <c r="K65" i="17" s="1"/>
  <c r="H64" i="17"/>
  <c r="G64" i="17"/>
  <c r="D64" i="17"/>
  <c r="C64" i="17"/>
  <c r="B64" i="17"/>
  <c r="A64" i="17"/>
  <c r="K64" i="17" s="1"/>
  <c r="H63" i="17"/>
  <c r="G63" i="17"/>
  <c r="D63" i="17"/>
  <c r="C63" i="17"/>
  <c r="B63" i="17"/>
  <c r="A63" i="17"/>
  <c r="M63" i="17" s="1"/>
  <c r="H62" i="17"/>
  <c r="G62" i="17"/>
  <c r="D62" i="17"/>
  <c r="C62" i="17"/>
  <c r="B62" i="17"/>
  <c r="A62" i="17"/>
  <c r="N62" i="17" s="1"/>
  <c r="H61" i="17"/>
  <c r="G61" i="17"/>
  <c r="D61" i="17"/>
  <c r="C61" i="17"/>
  <c r="B61" i="17"/>
  <c r="A61" i="17"/>
  <c r="M61" i="17" s="1"/>
  <c r="H60" i="17"/>
  <c r="G60" i="17"/>
  <c r="D60" i="17"/>
  <c r="C60" i="17"/>
  <c r="B60" i="17"/>
  <c r="A60" i="17"/>
  <c r="H59" i="17"/>
  <c r="G59" i="17"/>
  <c r="F59" i="17"/>
  <c r="D59" i="17"/>
  <c r="C59" i="17"/>
  <c r="B59" i="17"/>
  <c r="A59" i="17"/>
  <c r="H58" i="17"/>
  <c r="G58" i="17"/>
  <c r="F58" i="17"/>
  <c r="D58" i="17"/>
  <c r="C58" i="17"/>
  <c r="B58" i="17"/>
  <c r="A58" i="17"/>
  <c r="K58" i="17" s="1"/>
  <c r="H57" i="17"/>
  <c r="G57" i="17"/>
  <c r="F57" i="17"/>
  <c r="D57" i="17"/>
  <c r="C57" i="17"/>
  <c r="B57" i="17"/>
  <c r="A57" i="17"/>
  <c r="H56" i="17"/>
  <c r="G56" i="17"/>
  <c r="F56" i="17"/>
  <c r="D56" i="17"/>
  <c r="C56" i="17"/>
  <c r="B56" i="17"/>
  <c r="A56" i="17"/>
  <c r="M56" i="17" s="1"/>
  <c r="H55" i="17"/>
  <c r="G55" i="17"/>
  <c r="F55" i="17"/>
  <c r="D55" i="17"/>
  <c r="C55" i="17"/>
  <c r="B55" i="17"/>
  <c r="A55" i="17"/>
  <c r="N55" i="17" s="1"/>
  <c r="H54" i="17"/>
  <c r="G54" i="17"/>
  <c r="D54" i="17"/>
  <c r="C54" i="17"/>
  <c r="B54" i="17"/>
  <c r="A54" i="17"/>
  <c r="J54" i="17" s="1"/>
  <c r="H53" i="17"/>
  <c r="G53" i="17"/>
  <c r="D53" i="17"/>
  <c r="C53" i="17"/>
  <c r="B53" i="17"/>
  <c r="A53" i="17"/>
  <c r="N53" i="17" s="1"/>
  <c r="H52" i="17"/>
  <c r="G52" i="17"/>
  <c r="D52" i="17"/>
  <c r="C52" i="17"/>
  <c r="B52" i="17"/>
  <c r="A52" i="17"/>
  <c r="N52" i="17" s="1"/>
  <c r="H51" i="17"/>
  <c r="G51" i="17"/>
  <c r="D51" i="17"/>
  <c r="C51" i="17"/>
  <c r="B51" i="17"/>
  <c r="A51" i="17"/>
  <c r="N51" i="17" s="1"/>
  <c r="H50" i="17"/>
  <c r="G50" i="17"/>
  <c r="D50" i="17"/>
  <c r="C50" i="17"/>
  <c r="B50" i="17"/>
  <c r="A50" i="17"/>
  <c r="J50" i="17" s="1"/>
  <c r="H49" i="17"/>
  <c r="G49" i="17"/>
  <c r="D49" i="17"/>
  <c r="C49" i="17"/>
  <c r="B49" i="17"/>
  <c r="A49" i="17"/>
  <c r="K49" i="17" s="1"/>
  <c r="H48" i="17"/>
  <c r="G48" i="17"/>
  <c r="F48" i="17"/>
  <c r="D48" i="17"/>
  <c r="C48" i="17"/>
  <c r="B48" i="17"/>
  <c r="A48" i="17"/>
  <c r="H47" i="17"/>
  <c r="G47" i="17"/>
  <c r="F47" i="17"/>
  <c r="D47" i="17"/>
  <c r="C47" i="17"/>
  <c r="B47" i="17"/>
  <c r="A47" i="17"/>
  <c r="N47" i="17" s="1"/>
  <c r="H46" i="17"/>
  <c r="G46" i="17"/>
  <c r="F46" i="17"/>
  <c r="D46" i="17"/>
  <c r="C46" i="17"/>
  <c r="B46" i="17"/>
  <c r="A46" i="17"/>
  <c r="N46" i="17" s="1"/>
  <c r="H45" i="17"/>
  <c r="G45" i="17"/>
  <c r="F45" i="17"/>
  <c r="D45" i="17"/>
  <c r="C45" i="17"/>
  <c r="B45" i="17"/>
  <c r="A45" i="17"/>
  <c r="H44" i="17"/>
  <c r="G44" i="17"/>
  <c r="F44" i="17"/>
  <c r="D44" i="17"/>
  <c r="C44" i="17"/>
  <c r="B44" i="17"/>
  <c r="A44" i="17"/>
  <c r="H43" i="17"/>
  <c r="G43" i="17"/>
  <c r="D43" i="17"/>
  <c r="C43" i="17"/>
  <c r="B43" i="17"/>
  <c r="A43" i="17"/>
  <c r="H42" i="17"/>
  <c r="G42" i="17"/>
  <c r="D42" i="17"/>
  <c r="C42" i="17"/>
  <c r="B42" i="17"/>
  <c r="A42" i="17"/>
  <c r="K42" i="17" s="1"/>
  <c r="H41" i="17"/>
  <c r="G41" i="17"/>
  <c r="D41" i="17"/>
  <c r="C41" i="17"/>
  <c r="B41" i="17"/>
  <c r="A41" i="17"/>
  <c r="H40" i="17"/>
  <c r="G40" i="17"/>
  <c r="D40" i="17"/>
  <c r="C40" i="17"/>
  <c r="B40" i="17"/>
  <c r="A40" i="17"/>
  <c r="M40" i="17" s="1"/>
  <c r="H39" i="17"/>
  <c r="G39" i="17"/>
  <c r="D39" i="17"/>
  <c r="C39" i="17"/>
  <c r="B39" i="17"/>
  <c r="A39" i="17"/>
  <c r="N39" i="17" s="1"/>
  <c r="H38" i="17"/>
  <c r="G38" i="17"/>
  <c r="D38" i="17"/>
  <c r="C38" i="17"/>
  <c r="B38" i="17"/>
  <c r="A38" i="17"/>
  <c r="N38" i="17" s="1"/>
  <c r="H37" i="17"/>
  <c r="G37" i="17"/>
  <c r="F37" i="17"/>
  <c r="D37" i="17"/>
  <c r="C37" i="17"/>
  <c r="B37" i="17"/>
  <c r="A37" i="17"/>
  <c r="N37" i="17" s="1"/>
  <c r="H36" i="17"/>
  <c r="G36" i="17"/>
  <c r="F36" i="17"/>
  <c r="D36" i="17"/>
  <c r="C36" i="17"/>
  <c r="B36" i="17"/>
  <c r="A36" i="17"/>
  <c r="K36" i="17" s="1"/>
  <c r="H35" i="17"/>
  <c r="G35" i="17"/>
  <c r="F35" i="17"/>
  <c r="D35" i="17"/>
  <c r="C35" i="17"/>
  <c r="B35" i="17"/>
  <c r="A35" i="17"/>
  <c r="M35" i="17" s="1"/>
  <c r="H34" i="17"/>
  <c r="G34" i="17"/>
  <c r="F34" i="17"/>
  <c r="D34" i="17"/>
  <c r="C34" i="17"/>
  <c r="B34" i="17"/>
  <c r="A34" i="17"/>
  <c r="M34" i="17" s="1"/>
  <c r="H33" i="17"/>
  <c r="G33" i="17"/>
  <c r="F33" i="17"/>
  <c r="D33" i="17"/>
  <c r="C33" i="17"/>
  <c r="B33" i="17"/>
  <c r="A33" i="17"/>
  <c r="N33" i="17" s="1"/>
  <c r="H32" i="17"/>
  <c r="G32" i="17"/>
  <c r="D32" i="17"/>
  <c r="C32" i="17"/>
  <c r="B32" i="17"/>
  <c r="A32" i="17"/>
  <c r="H31" i="17"/>
  <c r="G31" i="17"/>
  <c r="D31" i="17"/>
  <c r="C31" i="17"/>
  <c r="B31" i="17"/>
  <c r="A31" i="17"/>
  <c r="H30" i="17"/>
  <c r="G30" i="17"/>
  <c r="D30" i="17"/>
  <c r="C30" i="17"/>
  <c r="B30" i="17"/>
  <c r="A30" i="17"/>
  <c r="N30" i="17" s="1"/>
  <c r="H29" i="17"/>
  <c r="G29" i="17"/>
  <c r="D29" i="17"/>
  <c r="C29" i="17"/>
  <c r="B29" i="17"/>
  <c r="A29" i="17"/>
  <c r="M29" i="17" s="1"/>
  <c r="H28" i="17"/>
  <c r="G28" i="17"/>
  <c r="D28" i="17"/>
  <c r="C28" i="17"/>
  <c r="B28" i="17"/>
  <c r="A28" i="17"/>
  <c r="N28" i="17" s="1"/>
  <c r="H27" i="17"/>
  <c r="G27" i="17"/>
  <c r="D27" i="17"/>
  <c r="C27" i="17"/>
  <c r="B27" i="17"/>
  <c r="A27" i="17"/>
  <c r="H26" i="17"/>
  <c r="G26" i="17"/>
  <c r="F26" i="17"/>
  <c r="D26" i="17"/>
  <c r="C26" i="17"/>
  <c r="B26" i="17"/>
  <c r="A26" i="17"/>
  <c r="K26" i="17" s="1"/>
  <c r="H25" i="17"/>
  <c r="G25" i="17"/>
  <c r="F25" i="17"/>
  <c r="D25" i="17"/>
  <c r="C25" i="17"/>
  <c r="B25" i="17"/>
  <c r="A25" i="17"/>
  <c r="K25" i="17" s="1"/>
  <c r="H24" i="17"/>
  <c r="G24" i="17"/>
  <c r="F24" i="17"/>
  <c r="D24" i="17"/>
  <c r="C24" i="17"/>
  <c r="B24" i="17"/>
  <c r="A24" i="17"/>
  <c r="M24" i="17" s="1"/>
  <c r="H23" i="17"/>
  <c r="G23" i="17"/>
  <c r="F23" i="17"/>
  <c r="D23" i="17"/>
  <c r="C23" i="17"/>
  <c r="B23" i="17"/>
  <c r="A23" i="17"/>
  <c r="J23" i="17" s="1"/>
  <c r="H22" i="17"/>
  <c r="G22" i="17"/>
  <c r="F22" i="17"/>
  <c r="D22" i="17"/>
  <c r="C22" i="17"/>
  <c r="B22" i="17"/>
  <c r="A22" i="17"/>
  <c r="N22" i="17" s="1"/>
  <c r="H21" i="17"/>
  <c r="G21" i="17"/>
  <c r="D21" i="17"/>
  <c r="C21" i="17"/>
  <c r="B21" i="17"/>
  <c r="A21" i="17"/>
  <c r="N21" i="17" s="1"/>
  <c r="H20" i="17"/>
  <c r="G20" i="17"/>
  <c r="D20" i="17"/>
  <c r="C20" i="17"/>
  <c r="B20" i="17"/>
  <c r="A20" i="17"/>
  <c r="L20" i="17" s="1"/>
  <c r="O20" i="17" s="1"/>
  <c r="H19" i="17"/>
  <c r="G19" i="17"/>
  <c r="D19" i="17"/>
  <c r="C19" i="17"/>
  <c r="B19" i="17"/>
  <c r="A19" i="17"/>
  <c r="K19" i="17" s="1"/>
  <c r="H18" i="17"/>
  <c r="G18" i="17"/>
  <c r="D18" i="17"/>
  <c r="C18" i="17"/>
  <c r="B18" i="17"/>
  <c r="A18" i="17"/>
  <c r="K18" i="17" s="1"/>
  <c r="H17" i="17"/>
  <c r="G17" i="17"/>
  <c r="D17" i="17"/>
  <c r="C17" i="17"/>
  <c r="B17" i="17"/>
  <c r="A17" i="17"/>
  <c r="M17" i="17" s="1"/>
  <c r="H16" i="17"/>
  <c r="G16" i="17"/>
  <c r="D16" i="17"/>
  <c r="C16" i="17"/>
  <c r="B16" i="17"/>
  <c r="A16" i="17"/>
  <c r="K16" i="17" s="1"/>
  <c r="H15" i="17"/>
  <c r="G15" i="17"/>
  <c r="F15" i="17"/>
  <c r="D15" i="17"/>
  <c r="C15" i="17"/>
  <c r="B15" i="17"/>
  <c r="A15" i="17"/>
  <c r="N15" i="17" s="1"/>
  <c r="H14" i="17"/>
  <c r="G14" i="17"/>
  <c r="F14" i="17"/>
  <c r="D14" i="17"/>
  <c r="C14" i="17"/>
  <c r="B14" i="17"/>
  <c r="A14" i="17"/>
  <c r="N14" i="17" s="1"/>
  <c r="H13" i="17"/>
  <c r="G13" i="17"/>
  <c r="F13" i="17"/>
  <c r="D13" i="17"/>
  <c r="C13" i="17"/>
  <c r="B13" i="17"/>
  <c r="A13" i="17"/>
  <c r="K13" i="17" s="1"/>
  <c r="H12" i="17"/>
  <c r="G12" i="17"/>
  <c r="F12" i="17"/>
  <c r="D12" i="17"/>
  <c r="C12" i="17"/>
  <c r="B12" i="17"/>
  <c r="A12" i="17"/>
  <c r="L12" i="17" s="1"/>
  <c r="O12" i="17" s="1"/>
  <c r="P12" i="17" s="1"/>
  <c r="H11" i="17"/>
  <c r="G11" i="17"/>
  <c r="F11" i="17"/>
  <c r="D11" i="17"/>
  <c r="C11" i="17"/>
  <c r="B11" i="17"/>
  <c r="A11" i="17"/>
  <c r="H10" i="17"/>
  <c r="G10" i="17"/>
  <c r="D10" i="17"/>
  <c r="C10" i="17"/>
  <c r="B10" i="17"/>
  <c r="A10" i="17"/>
  <c r="K10" i="17" s="1"/>
  <c r="H9" i="17"/>
  <c r="G9" i="17"/>
  <c r="D9" i="17"/>
  <c r="C9" i="17"/>
  <c r="B9" i="17"/>
  <c r="A9" i="17"/>
  <c r="K9" i="17" s="1"/>
  <c r="H8" i="17"/>
  <c r="G8" i="17"/>
  <c r="D8" i="17"/>
  <c r="C8" i="17"/>
  <c r="B8" i="17"/>
  <c r="A8" i="17"/>
  <c r="M8" i="17" s="1"/>
  <c r="H7" i="17"/>
  <c r="G7" i="17"/>
  <c r="D7" i="17"/>
  <c r="C7" i="17"/>
  <c r="B7" i="17"/>
  <c r="A7" i="17"/>
  <c r="N7" i="17" s="1"/>
  <c r="H6" i="17"/>
  <c r="G6" i="17"/>
  <c r="D6" i="17"/>
  <c r="C6" i="17"/>
  <c r="B6" i="17"/>
  <c r="A6" i="17"/>
  <c r="M6" i="17" s="1"/>
  <c r="H5" i="17"/>
  <c r="G5" i="17"/>
  <c r="D5" i="17"/>
  <c r="C5" i="17"/>
  <c r="B5" i="17"/>
  <c r="A5" i="17"/>
  <c r="N5" i="17" s="1"/>
  <c r="H4" i="17"/>
  <c r="G4" i="17"/>
  <c r="D4" i="17"/>
  <c r="C4" i="17"/>
  <c r="B4" i="17"/>
  <c r="A4" i="17"/>
  <c r="N4" i="17" s="1"/>
  <c r="H3" i="17"/>
  <c r="G3" i="17"/>
  <c r="D3" i="17"/>
  <c r="C3" i="17"/>
  <c r="B3" i="17"/>
  <c r="A3" i="17"/>
  <c r="N3" i="17" s="1"/>
  <c r="H2" i="17"/>
  <c r="G2" i="17"/>
  <c r="F2" i="17"/>
  <c r="D2" i="17"/>
  <c r="C2" i="17"/>
  <c r="B2" i="17"/>
  <c r="A2" i="17"/>
  <c r="N2" i="17" s="1"/>
  <c r="H31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H29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H27" i="15"/>
  <c r="G27" i="15"/>
  <c r="F27" i="15"/>
  <c r="E27" i="15"/>
  <c r="D27" i="15"/>
  <c r="C27" i="15"/>
  <c r="B27" i="15"/>
  <c r="A27" i="15"/>
  <c r="H3" i="15"/>
  <c r="D3" i="15"/>
  <c r="F2" i="15"/>
  <c r="D2" i="15"/>
  <c r="B2" i="15"/>
  <c r="J38" i="14"/>
  <c r="J37" i="14"/>
  <c r="H30" i="15" s="1"/>
  <c r="J36" i="14"/>
  <c r="J35" i="14"/>
  <c r="H28" i="15" s="1"/>
  <c r="J34" i="14"/>
  <c r="C6" i="14"/>
  <c r="B5" i="14"/>
  <c r="B4" i="13"/>
  <c r="F643" i="12"/>
  <c r="D643" i="12"/>
  <c r="C643" i="12"/>
  <c r="F642" i="12"/>
  <c r="D642" i="12"/>
  <c r="C642" i="12"/>
  <c r="F641" i="12"/>
  <c r="D641" i="12"/>
  <c r="C641" i="12"/>
  <c r="F640" i="12"/>
  <c r="D640" i="12"/>
  <c r="C640" i="12"/>
  <c r="F639" i="12"/>
  <c r="D639" i="12"/>
  <c r="C639" i="12"/>
  <c r="F638" i="12"/>
  <c r="D638" i="12"/>
  <c r="C638" i="12"/>
  <c r="F637" i="12"/>
  <c r="D637" i="12"/>
  <c r="C637" i="12"/>
  <c r="F636" i="12"/>
  <c r="D636" i="12"/>
  <c r="C636" i="12"/>
  <c r="F635" i="12"/>
  <c r="D635" i="12"/>
  <c r="C635" i="12"/>
  <c r="F634" i="12"/>
  <c r="D634" i="12"/>
  <c r="C634" i="12"/>
  <c r="F633" i="12"/>
  <c r="D633" i="12"/>
  <c r="C633" i="12"/>
  <c r="F632" i="12"/>
  <c r="D632" i="12"/>
  <c r="C632" i="12"/>
  <c r="F631" i="12"/>
  <c r="D631" i="12"/>
  <c r="C631" i="12"/>
  <c r="F630" i="12"/>
  <c r="D630" i="12"/>
  <c r="C630" i="12"/>
  <c r="F629" i="12"/>
  <c r="D629" i="12"/>
  <c r="C629" i="12"/>
  <c r="F628" i="12"/>
  <c r="D628" i="12"/>
  <c r="C628" i="12"/>
  <c r="F627" i="12"/>
  <c r="D627" i="12"/>
  <c r="C627" i="12"/>
  <c r="F626" i="12"/>
  <c r="D626" i="12"/>
  <c r="C626" i="12"/>
  <c r="F625" i="12"/>
  <c r="D625" i="12"/>
  <c r="C625" i="12"/>
  <c r="F624" i="12"/>
  <c r="D624" i="12"/>
  <c r="C624" i="12"/>
  <c r="D623" i="12"/>
  <c r="C623" i="12"/>
  <c r="C622" i="12"/>
  <c r="C621" i="12"/>
  <c r="C620" i="12"/>
  <c r="D619" i="12"/>
  <c r="C619" i="12"/>
  <c r="F618" i="12"/>
  <c r="D618" i="12"/>
  <c r="C618" i="12"/>
  <c r="F617" i="12"/>
  <c r="D617" i="12"/>
  <c r="C617" i="12"/>
  <c r="F616" i="12"/>
  <c r="D616" i="12"/>
  <c r="C616" i="12"/>
  <c r="F615" i="12"/>
  <c r="D615" i="12"/>
  <c r="C615" i="12"/>
  <c r="F614" i="12"/>
  <c r="D614" i="12"/>
  <c r="C614" i="12"/>
  <c r="F613" i="12"/>
  <c r="D613" i="12"/>
  <c r="C613" i="12"/>
  <c r="F612" i="12"/>
  <c r="D612" i="12"/>
  <c r="C612" i="12"/>
  <c r="F611" i="12"/>
  <c r="D611" i="12"/>
  <c r="C611" i="12"/>
  <c r="F610" i="12"/>
  <c r="D610" i="12"/>
  <c r="C610" i="12"/>
  <c r="F609" i="12"/>
  <c r="D609" i="12"/>
  <c r="C609" i="12"/>
  <c r="F608" i="12"/>
  <c r="D608" i="12"/>
  <c r="C608" i="12"/>
  <c r="F607" i="12"/>
  <c r="D607" i="12"/>
  <c r="C607" i="12"/>
  <c r="F606" i="12"/>
  <c r="D606" i="12"/>
  <c r="C606" i="12"/>
  <c r="F605" i="12"/>
  <c r="D605" i="12"/>
  <c r="C605" i="12"/>
  <c r="F604" i="12"/>
  <c r="D604" i="12"/>
  <c r="C604" i="12"/>
  <c r="F603" i="12"/>
  <c r="D603" i="12"/>
  <c r="C603" i="12"/>
  <c r="F602" i="12"/>
  <c r="D602" i="12"/>
  <c r="C602" i="12"/>
  <c r="F601" i="12"/>
  <c r="D601" i="12"/>
  <c r="C601" i="12"/>
  <c r="F600" i="12"/>
  <c r="D600" i="12"/>
  <c r="C600" i="12"/>
  <c r="F599" i="12"/>
  <c r="D599" i="12"/>
  <c r="C599" i="12"/>
  <c r="F598" i="12"/>
  <c r="D598" i="12"/>
  <c r="C598" i="12"/>
  <c r="F597" i="12"/>
  <c r="D597" i="12"/>
  <c r="C597" i="12"/>
  <c r="F596" i="12"/>
  <c r="D596" i="12"/>
  <c r="C596" i="12"/>
  <c r="F595" i="12"/>
  <c r="D595" i="12"/>
  <c r="C595" i="12"/>
  <c r="F594" i="12"/>
  <c r="D594" i="12"/>
  <c r="C594" i="12"/>
  <c r="F593" i="12"/>
  <c r="D593" i="12"/>
  <c r="C593" i="12"/>
  <c r="F592" i="12"/>
  <c r="D592" i="12"/>
  <c r="C592" i="12"/>
  <c r="F591" i="12"/>
  <c r="D591" i="12"/>
  <c r="C591" i="12"/>
  <c r="F590" i="12"/>
  <c r="D590" i="12"/>
  <c r="C590" i="12"/>
  <c r="F589" i="12"/>
  <c r="D589" i="12"/>
  <c r="C589" i="12"/>
  <c r="F588" i="12"/>
  <c r="D588" i="12"/>
  <c r="C588" i="12"/>
  <c r="F587" i="12"/>
  <c r="D587" i="12"/>
  <c r="C587" i="12"/>
  <c r="F586" i="12"/>
  <c r="D586" i="12"/>
  <c r="C586" i="12"/>
  <c r="F585" i="12"/>
  <c r="D585" i="12"/>
  <c r="C585" i="12"/>
  <c r="F584" i="12"/>
  <c r="D584" i="12"/>
  <c r="C584" i="12"/>
  <c r="F583" i="12"/>
  <c r="D583" i="12"/>
  <c r="C583" i="12"/>
  <c r="F582" i="12"/>
  <c r="D582" i="12"/>
  <c r="C582" i="12"/>
  <c r="F581" i="12"/>
  <c r="D581" i="12"/>
  <c r="C581" i="12"/>
  <c r="F580" i="12"/>
  <c r="D580" i="12"/>
  <c r="C580" i="12"/>
  <c r="F579" i="12"/>
  <c r="D579" i="12"/>
  <c r="C579" i="12"/>
  <c r="F578" i="12"/>
  <c r="D578" i="12"/>
  <c r="C578" i="12"/>
  <c r="F577" i="12"/>
  <c r="D577" i="12"/>
  <c r="C577" i="12"/>
  <c r="F576" i="12"/>
  <c r="D576" i="12"/>
  <c r="C576" i="12"/>
  <c r="F575" i="12"/>
  <c r="D575" i="12"/>
  <c r="C575" i="12"/>
  <c r="F574" i="12"/>
  <c r="D574" i="12"/>
  <c r="C574" i="12"/>
  <c r="F573" i="12"/>
  <c r="D573" i="12"/>
  <c r="C573" i="12"/>
  <c r="F572" i="12"/>
  <c r="D572" i="12"/>
  <c r="C572" i="12"/>
  <c r="F571" i="12"/>
  <c r="D571" i="12"/>
  <c r="C571" i="12"/>
  <c r="F570" i="12"/>
  <c r="D570" i="12"/>
  <c r="C570" i="12"/>
  <c r="F569" i="12"/>
  <c r="D569" i="12"/>
  <c r="C569" i="12"/>
  <c r="F568" i="12"/>
  <c r="D568" i="12"/>
  <c r="C568" i="12"/>
  <c r="F567" i="12"/>
  <c r="D567" i="12"/>
  <c r="C567" i="12"/>
  <c r="F566" i="12"/>
  <c r="D566" i="12"/>
  <c r="C566" i="12"/>
  <c r="F565" i="12"/>
  <c r="D565" i="12"/>
  <c r="C565" i="12"/>
  <c r="F564" i="12"/>
  <c r="D564" i="12"/>
  <c r="C564" i="12"/>
  <c r="F563" i="12"/>
  <c r="D563" i="12"/>
  <c r="C563" i="12"/>
  <c r="F562" i="12"/>
  <c r="D562" i="12"/>
  <c r="C562" i="12"/>
  <c r="F561" i="12"/>
  <c r="D561" i="12"/>
  <c r="C561" i="12"/>
  <c r="F560" i="12"/>
  <c r="D560" i="12"/>
  <c r="C560" i="12"/>
  <c r="F559" i="12"/>
  <c r="D559" i="12"/>
  <c r="C559" i="12"/>
  <c r="F558" i="12"/>
  <c r="D558" i="12"/>
  <c r="C558" i="12"/>
  <c r="F557" i="12"/>
  <c r="D557" i="12"/>
  <c r="C557" i="12"/>
  <c r="F556" i="12"/>
  <c r="D556" i="12"/>
  <c r="C556" i="12"/>
  <c r="F555" i="12"/>
  <c r="D555" i="12"/>
  <c r="C555" i="12"/>
  <c r="F554" i="12"/>
  <c r="D554" i="12"/>
  <c r="C554" i="12"/>
  <c r="F553" i="12"/>
  <c r="D553" i="12"/>
  <c r="C553" i="12"/>
  <c r="F552" i="12"/>
  <c r="D552" i="12"/>
  <c r="C552" i="12"/>
  <c r="F551" i="12"/>
  <c r="D551" i="12"/>
  <c r="C551" i="12"/>
  <c r="F550" i="12"/>
  <c r="D550" i="12"/>
  <c r="C550" i="12"/>
  <c r="F549" i="12"/>
  <c r="D549" i="12"/>
  <c r="C549" i="12"/>
  <c r="F548" i="12"/>
  <c r="D548" i="12"/>
  <c r="C548" i="12"/>
  <c r="F547" i="12"/>
  <c r="D547" i="12"/>
  <c r="C547" i="12"/>
  <c r="F546" i="12"/>
  <c r="D546" i="12"/>
  <c r="C546" i="12"/>
  <c r="F545" i="12"/>
  <c r="D545" i="12"/>
  <c r="C545" i="12"/>
  <c r="F544" i="12"/>
  <c r="D544" i="12"/>
  <c r="C544" i="12"/>
  <c r="F543" i="12"/>
  <c r="D543" i="12"/>
  <c r="C543" i="12"/>
  <c r="F542" i="12"/>
  <c r="D542" i="12"/>
  <c r="C542" i="12"/>
  <c r="F541" i="12"/>
  <c r="D541" i="12"/>
  <c r="C541" i="12"/>
  <c r="F540" i="12"/>
  <c r="D540" i="12"/>
  <c r="C540" i="12"/>
  <c r="F539" i="12"/>
  <c r="D539" i="12"/>
  <c r="C539" i="12"/>
  <c r="F538" i="12"/>
  <c r="D538" i="12"/>
  <c r="C538" i="12"/>
  <c r="F537" i="12"/>
  <c r="D537" i="12"/>
  <c r="C537" i="12"/>
  <c r="F536" i="12"/>
  <c r="D536" i="12"/>
  <c r="C536" i="12"/>
  <c r="F535" i="12"/>
  <c r="D535" i="12"/>
  <c r="C535" i="12"/>
  <c r="F534" i="12"/>
  <c r="D534" i="12"/>
  <c r="C534" i="12"/>
  <c r="F533" i="12"/>
  <c r="D533" i="12"/>
  <c r="C533" i="12"/>
  <c r="F532" i="12"/>
  <c r="D532" i="12"/>
  <c r="C532" i="12"/>
  <c r="F531" i="12"/>
  <c r="D531" i="12"/>
  <c r="C531" i="12"/>
  <c r="F530" i="12"/>
  <c r="D530" i="12"/>
  <c r="C530" i="12"/>
  <c r="F529" i="12"/>
  <c r="D529" i="12"/>
  <c r="C529" i="12"/>
  <c r="F528" i="12"/>
  <c r="D528" i="12"/>
  <c r="C528" i="12"/>
  <c r="F527" i="12"/>
  <c r="D527" i="12"/>
  <c r="C527" i="12"/>
  <c r="F526" i="12"/>
  <c r="D526" i="12"/>
  <c r="C526" i="12"/>
  <c r="F525" i="12"/>
  <c r="D525" i="12"/>
  <c r="C525" i="12"/>
  <c r="F524" i="12"/>
  <c r="D524" i="12"/>
  <c r="C524" i="12"/>
  <c r="F523" i="12"/>
  <c r="D523" i="12"/>
  <c r="C523" i="12"/>
  <c r="F522" i="12"/>
  <c r="D522" i="12"/>
  <c r="C522" i="12"/>
  <c r="F521" i="12"/>
  <c r="D521" i="12"/>
  <c r="C521" i="12"/>
  <c r="F520" i="12"/>
  <c r="D520" i="12"/>
  <c r="C520" i="12"/>
  <c r="F519" i="12"/>
  <c r="D519" i="12"/>
  <c r="C519" i="12"/>
  <c r="F518" i="12"/>
  <c r="D518" i="12"/>
  <c r="C518" i="12"/>
  <c r="F517" i="12"/>
  <c r="D517" i="12"/>
  <c r="C517" i="12"/>
  <c r="F516" i="12"/>
  <c r="D516" i="12"/>
  <c r="C516" i="12"/>
  <c r="F515" i="12"/>
  <c r="D515" i="12"/>
  <c r="C515" i="12"/>
  <c r="F514" i="12"/>
  <c r="D514" i="12"/>
  <c r="C514" i="12"/>
  <c r="F513" i="12"/>
  <c r="D513" i="12"/>
  <c r="C513" i="12"/>
  <c r="F512" i="12"/>
  <c r="D512" i="12"/>
  <c r="C512" i="12"/>
  <c r="D511" i="12"/>
  <c r="C511" i="12"/>
  <c r="C510" i="12"/>
  <c r="C509" i="12"/>
  <c r="C508" i="12"/>
  <c r="C507" i="12"/>
  <c r="C506" i="12"/>
  <c r="C505" i="12"/>
  <c r="D504" i="12"/>
  <c r="C504" i="12"/>
  <c r="C503" i="12"/>
  <c r="C502" i="12"/>
  <c r="J498" i="12"/>
  <c r="G498" i="12"/>
  <c r="E498" i="12"/>
  <c r="C498" i="12"/>
  <c r="J497" i="12"/>
  <c r="G497" i="12"/>
  <c r="E497" i="12"/>
  <c r="C497" i="12"/>
  <c r="J496" i="12"/>
  <c r="G496" i="12"/>
  <c r="E496" i="12"/>
  <c r="C496" i="12"/>
  <c r="J495" i="12"/>
  <c r="G495" i="12"/>
  <c r="E495" i="12"/>
  <c r="C495" i="12"/>
  <c r="J494" i="12"/>
  <c r="G494" i="12"/>
  <c r="E494" i="12"/>
  <c r="C494" i="12"/>
  <c r="J493" i="12"/>
  <c r="G493" i="12"/>
  <c r="E493" i="12"/>
  <c r="C493" i="12"/>
  <c r="J492" i="12"/>
  <c r="G492" i="12"/>
  <c r="E492" i="12"/>
  <c r="C492" i="12"/>
  <c r="J491" i="12"/>
  <c r="G491" i="12"/>
  <c r="E491" i="12"/>
  <c r="C491" i="12"/>
  <c r="J490" i="12"/>
  <c r="G490" i="12"/>
  <c r="E490" i="12"/>
  <c r="C490" i="12"/>
  <c r="J489" i="12"/>
  <c r="G489" i="12"/>
  <c r="E489" i="12"/>
  <c r="C489" i="12"/>
  <c r="J488" i="12"/>
  <c r="G488" i="12"/>
  <c r="E488" i="12"/>
  <c r="C488" i="12"/>
  <c r="J487" i="12"/>
  <c r="G487" i="12"/>
  <c r="E487" i="12"/>
  <c r="C487" i="12"/>
  <c r="J486" i="12"/>
  <c r="G486" i="12"/>
  <c r="E486" i="12"/>
  <c r="C486" i="12"/>
  <c r="J485" i="12"/>
  <c r="G485" i="12"/>
  <c r="E485" i="12"/>
  <c r="C485" i="12"/>
  <c r="J484" i="12"/>
  <c r="G484" i="12"/>
  <c r="E484" i="12"/>
  <c r="C484" i="12"/>
  <c r="J483" i="12"/>
  <c r="G483" i="12"/>
  <c r="E483" i="12"/>
  <c r="C483" i="12"/>
  <c r="J482" i="12"/>
  <c r="G482" i="12"/>
  <c r="E482" i="12"/>
  <c r="C482" i="12"/>
  <c r="J481" i="12"/>
  <c r="G481" i="12"/>
  <c r="E481" i="12"/>
  <c r="C481" i="12"/>
  <c r="J480" i="12"/>
  <c r="G480" i="12"/>
  <c r="E480" i="12"/>
  <c r="C480" i="12"/>
  <c r="J479" i="12"/>
  <c r="G479" i="12"/>
  <c r="E479" i="12"/>
  <c r="C479" i="12"/>
  <c r="J478" i="12"/>
  <c r="G478" i="12"/>
  <c r="E478" i="12"/>
  <c r="C478" i="12"/>
  <c r="J477" i="12"/>
  <c r="G477" i="12"/>
  <c r="E477" i="12"/>
  <c r="C477" i="12"/>
  <c r="J476" i="12"/>
  <c r="G476" i="12"/>
  <c r="E476" i="12"/>
  <c r="C476" i="12"/>
  <c r="J475" i="12"/>
  <c r="G475" i="12"/>
  <c r="E475" i="12"/>
  <c r="C475" i="12"/>
  <c r="J474" i="12"/>
  <c r="G474" i="12"/>
  <c r="E474" i="12"/>
  <c r="C474" i="12"/>
  <c r="J473" i="12"/>
  <c r="G473" i="12"/>
  <c r="E473" i="12"/>
  <c r="C473" i="12"/>
  <c r="J472" i="12"/>
  <c r="G472" i="12"/>
  <c r="E472" i="12"/>
  <c r="C472" i="12"/>
  <c r="J471" i="12"/>
  <c r="G471" i="12"/>
  <c r="E471" i="12"/>
  <c r="C471" i="12"/>
  <c r="J470" i="12"/>
  <c r="G470" i="12"/>
  <c r="E470" i="12"/>
  <c r="C470" i="12"/>
  <c r="J469" i="12"/>
  <c r="G469" i="12"/>
  <c r="E469" i="12"/>
  <c r="C469" i="12"/>
  <c r="J468" i="12"/>
  <c r="G468" i="12"/>
  <c r="E468" i="12"/>
  <c r="C468" i="12"/>
  <c r="J467" i="12"/>
  <c r="G467" i="12"/>
  <c r="E467" i="12"/>
  <c r="C467" i="12"/>
  <c r="J466" i="12"/>
  <c r="G466" i="12"/>
  <c r="E466" i="12"/>
  <c r="C466" i="12"/>
  <c r="J465" i="12"/>
  <c r="G465" i="12"/>
  <c r="E465" i="12"/>
  <c r="C465" i="12"/>
  <c r="J464" i="12"/>
  <c r="G464" i="12"/>
  <c r="E464" i="12"/>
  <c r="C464" i="12"/>
  <c r="J463" i="12"/>
  <c r="G463" i="12"/>
  <c r="E463" i="12"/>
  <c r="C463" i="12"/>
  <c r="J462" i="12"/>
  <c r="G462" i="12"/>
  <c r="E462" i="12"/>
  <c r="C462" i="12"/>
  <c r="J461" i="12"/>
  <c r="G461" i="12"/>
  <c r="E461" i="12"/>
  <c r="C461" i="12"/>
  <c r="J460" i="12"/>
  <c r="G460" i="12"/>
  <c r="E460" i="12"/>
  <c r="C460" i="12"/>
  <c r="J459" i="12"/>
  <c r="G459" i="12"/>
  <c r="E459" i="12"/>
  <c r="C459" i="12"/>
  <c r="J458" i="12"/>
  <c r="G458" i="12"/>
  <c r="E458" i="12"/>
  <c r="C458" i="12"/>
  <c r="J457" i="12"/>
  <c r="G457" i="12"/>
  <c r="E457" i="12"/>
  <c r="C457" i="12"/>
  <c r="J456" i="12"/>
  <c r="G456" i="12"/>
  <c r="E456" i="12"/>
  <c r="C456" i="12"/>
  <c r="J455" i="12"/>
  <c r="G455" i="12"/>
  <c r="E455" i="12"/>
  <c r="C455" i="12"/>
  <c r="J454" i="12"/>
  <c r="G454" i="12"/>
  <c r="E454" i="12"/>
  <c r="C454" i="12"/>
  <c r="J453" i="12"/>
  <c r="G453" i="12"/>
  <c r="E453" i="12"/>
  <c r="C453" i="12"/>
  <c r="J452" i="12"/>
  <c r="G452" i="12"/>
  <c r="E452" i="12"/>
  <c r="C452" i="12"/>
  <c r="J451" i="12"/>
  <c r="G451" i="12"/>
  <c r="E451" i="12"/>
  <c r="C451" i="12"/>
  <c r="J450" i="12"/>
  <c r="G450" i="12"/>
  <c r="E450" i="12"/>
  <c r="C450" i="12"/>
  <c r="J449" i="12"/>
  <c r="G449" i="12"/>
  <c r="E449" i="12"/>
  <c r="C449" i="12"/>
  <c r="J448" i="12"/>
  <c r="G448" i="12"/>
  <c r="E448" i="12"/>
  <c r="C448" i="12"/>
  <c r="J447" i="12"/>
  <c r="G447" i="12"/>
  <c r="E447" i="12"/>
  <c r="C447" i="12"/>
  <c r="J446" i="12"/>
  <c r="G446" i="12"/>
  <c r="E446" i="12"/>
  <c r="C446" i="12"/>
  <c r="J445" i="12"/>
  <c r="G445" i="12"/>
  <c r="E445" i="12"/>
  <c r="C445" i="12"/>
  <c r="J444" i="12"/>
  <c r="G444" i="12"/>
  <c r="E444" i="12"/>
  <c r="C444" i="12"/>
  <c r="J443" i="12"/>
  <c r="G443" i="12"/>
  <c r="E443" i="12"/>
  <c r="C443" i="12"/>
  <c r="J442" i="12"/>
  <c r="G442" i="12"/>
  <c r="E442" i="12"/>
  <c r="C442" i="12"/>
  <c r="J441" i="12"/>
  <c r="G441" i="12"/>
  <c r="E441" i="12"/>
  <c r="C441" i="12"/>
  <c r="J440" i="12"/>
  <c r="G440" i="12"/>
  <c r="E440" i="12"/>
  <c r="C440" i="12"/>
  <c r="J439" i="12"/>
  <c r="G439" i="12"/>
  <c r="E439" i="12"/>
  <c r="C439" i="12"/>
  <c r="J438" i="12"/>
  <c r="G438" i="12"/>
  <c r="E438" i="12"/>
  <c r="C438" i="12"/>
  <c r="J437" i="12"/>
  <c r="G437" i="12"/>
  <c r="E437" i="12"/>
  <c r="C437" i="12"/>
  <c r="J436" i="12"/>
  <c r="G436" i="12"/>
  <c r="E436" i="12"/>
  <c r="C436" i="12"/>
  <c r="J435" i="12"/>
  <c r="G435" i="12"/>
  <c r="E435" i="12"/>
  <c r="C435" i="12"/>
  <c r="J434" i="12"/>
  <c r="G434" i="12"/>
  <c r="E434" i="12"/>
  <c r="C434" i="12"/>
  <c r="J433" i="12"/>
  <c r="G433" i="12"/>
  <c r="E433" i="12"/>
  <c r="C433" i="12"/>
  <c r="J432" i="12"/>
  <c r="G432" i="12"/>
  <c r="E432" i="12"/>
  <c r="C432" i="12"/>
  <c r="G431" i="12"/>
  <c r="E431" i="12"/>
  <c r="C431" i="12"/>
  <c r="J430" i="12"/>
  <c r="G430" i="12"/>
  <c r="E430" i="12"/>
  <c r="C430" i="12"/>
  <c r="J429" i="12"/>
  <c r="G429" i="12"/>
  <c r="E429" i="12"/>
  <c r="C429" i="12"/>
  <c r="J428" i="12"/>
  <c r="G428" i="12"/>
  <c r="E428" i="12"/>
  <c r="C428" i="12"/>
  <c r="J427" i="12"/>
  <c r="G427" i="12"/>
  <c r="E427" i="12"/>
  <c r="C427" i="12"/>
  <c r="J426" i="12"/>
  <c r="G426" i="12"/>
  <c r="E426" i="12"/>
  <c r="C426" i="12"/>
  <c r="J425" i="12"/>
  <c r="G425" i="12"/>
  <c r="E425" i="12"/>
  <c r="C425" i="12"/>
  <c r="J424" i="12"/>
  <c r="G424" i="12"/>
  <c r="E424" i="12"/>
  <c r="C424" i="12"/>
  <c r="J423" i="12"/>
  <c r="G423" i="12"/>
  <c r="E423" i="12"/>
  <c r="C423" i="12"/>
  <c r="J422" i="12"/>
  <c r="G422" i="12"/>
  <c r="E422" i="12"/>
  <c r="C422" i="12"/>
  <c r="J421" i="12"/>
  <c r="G421" i="12"/>
  <c r="E421" i="12"/>
  <c r="C421" i="12"/>
  <c r="J420" i="12"/>
  <c r="G420" i="12"/>
  <c r="E420" i="12"/>
  <c r="C420" i="12"/>
  <c r="J419" i="12"/>
  <c r="G419" i="12"/>
  <c r="E419" i="12"/>
  <c r="C419" i="12"/>
  <c r="J418" i="12"/>
  <c r="G418" i="12"/>
  <c r="E418" i="12"/>
  <c r="C418" i="12"/>
  <c r="J417" i="12"/>
  <c r="G417" i="12"/>
  <c r="E417" i="12"/>
  <c r="C417" i="12"/>
  <c r="J416" i="12"/>
  <c r="G416" i="12"/>
  <c r="E416" i="12"/>
  <c r="C416" i="12"/>
  <c r="J415" i="12"/>
  <c r="G415" i="12"/>
  <c r="E415" i="12"/>
  <c r="C415" i="12"/>
  <c r="J414" i="12"/>
  <c r="G414" i="12"/>
  <c r="E414" i="12"/>
  <c r="C414" i="12"/>
  <c r="J413" i="12"/>
  <c r="G413" i="12"/>
  <c r="E413" i="12"/>
  <c r="C413" i="12"/>
  <c r="J412" i="12"/>
  <c r="G412" i="12"/>
  <c r="E412" i="12"/>
  <c r="C412" i="12"/>
  <c r="J411" i="12"/>
  <c r="G411" i="12"/>
  <c r="E411" i="12"/>
  <c r="C411" i="12"/>
  <c r="J410" i="12"/>
  <c r="G410" i="12"/>
  <c r="E410" i="12"/>
  <c r="C410" i="12"/>
  <c r="J409" i="12"/>
  <c r="G409" i="12"/>
  <c r="E409" i="12"/>
  <c r="C409" i="12"/>
  <c r="J408" i="12"/>
  <c r="G408" i="12"/>
  <c r="E408" i="12"/>
  <c r="C408" i="12"/>
  <c r="J407" i="12"/>
  <c r="G407" i="12"/>
  <c r="E407" i="12"/>
  <c r="C407" i="12"/>
  <c r="J406" i="12"/>
  <c r="G406" i="12"/>
  <c r="E406" i="12"/>
  <c r="C406" i="12"/>
  <c r="J405" i="12"/>
  <c r="G405" i="12"/>
  <c r="E405" i="12"/>
  <c r="C405" i="12"/>
  <c r="J404" i="12"/>
  <c r="G404" i="12"/>
  <c r="E404" i="12"/>
  <c r="C404" i="12"/>
  <c r="J403" i="12"/>
  <c r="G403" i="12"/>
  <c r="E403" i="12"/>
  <c r="C403" i="12"/>
  <c r="J402" i="12"/>
  <c r="G402" i="12"/>
  <c r="E402" i="12"/>
  <c r="C402" i="12"/>
  <c r="J401" i="12"/>
  <c r="G401" i="12"/>
  <c r="E401" i="12"/>
  <c r="C401" i="12"/>
  <c r="J400" i="12"/>
  <c r="G400" i="12"/>
  <c r="E400" i="12"/>
  <c r="C400" i="12"/>
  <c r="J399" i="12"/>
  <c r="G399" i="12"/>
  <c r="E399" i="12"/>
  <c r="C399" i="12"/>
  <c r="J398" i="12"/>
  <c r="G398" i="12"/>
  <c r="E398" i="12"/>
  <c r="C398" i="12"/>
  <c r="J397" i="12"/>
  <c r="G397" i="12"/>
  <c r="E397" i="12"/>
  <c r="C397" i="12"/>
  <c r="J396" i="12"/>
  <c r="G396" i="12"/>
  <c r="E396" i="12"/>
  <c r="C396" i="12"/>
  <c r="J395" i="12"/>
  <c r="G395" i="12"/>
  <c r="E395" i="12"/>
  <c r="C395" i="12"/>
  <c r="J394" i="12"/>
  <c r="G394" i="12"/>
  <c r="E394" i="12"/>
  <c r="C394" i="12"/>
  <c r="J393" i="12"/>
  <c r="G393" i="12"/>
  <c r="E393" i="12"/>
  <c r="C393" i="12"/>
  <c r="J392" i="12"/>
  <c r="G392" i="12"/>
  <c r="E392" i="12"/>
  <c r="C392" i="12"/>
  <c r="J391" i="12"/>
  <c r="G391" i="12"/>
  <c r="E391" i="12"/>
  <c r="C391" i="12"/>
  <c r="J390" i="12"/>
  <c r="G390" i="12"/>
  <c r="E390" i="12"/>
  <c r="C390" i="12"/>
  <c r="J389" i="12"/>
  <c r="G389" i="12"/>
  <c r="E389" i="12"/>
  <c r="C389" i="12"/>
  <c r="J388" i="12"/>
  <c r="G388" i="12"/>
  <c r="E388" i="12"/>
  <c r="C388" i="12"/>
  <c r="J387" i="12"/>
  <c r="G387" i="12"/>
  <c r="E387" i="12"/>
  <c r="C387" i="12"/>
  <c r="J386" i="12"/>
  <c r="G386" i="12"/>
  <c r="E386" i="12"/>
  <c r="C386" i="12"/>
  <c r="J385" i="12"/>
  <c r="G385" i="12"/>
  <c r="E385" i="12"/>
  <c r="C385" i="12"/>
  <c r="J384" i="12"/>
  <c r="G384" i="12"/>
  <c r="E384" i="12"/>
  <c r="C384" i="12"/>
  <c r="J383" i="12"/>
  <c r="G383" i="12"/>
  <c r="E383" i="12"/>
  <c r="C383" i="12"/>
  <c r="J382" i="12"/>
  <c r="G382" i="12"/>
  <c r="E382" i="12"/>
  <c r="C382" i="12"/>
  <c r="J381" i="12"/>
  <c r="G381" i="12"/>
  <c r="E381" i="12"/>
  <c r="C381" i="12"/>
  <c r="J380" i="12"/>
  <c r="G380" i="12"/>
  <c r="E380" i="12"/>
  <c r="C380" i="12"/>
  <c r="J379" i="12"/>
  <c r="G379" i="12"/>
  <c r="E379" i="12"/>
  <c r="C379" i="12"/>
  <c r="J378" i="12"/>
  <c r="G378" i="12"/>
  <c r="E378" i="12"/>
  <c r="C378" i="12"/>
  <c r="J377" i="12"/>
  <c r="G377" i="12"/>
  <c r="E377" i="12"/>
  <c r="C377" i="12"/>
  <c r="J376" i="12"/>
  <c r="G376" i="12"/>
  <c r="E376" i="12"/>
  <c r="C376" i="12"/>
  <c r="J375" i="12"/>
  <c r="G375" i="12"/>
  <c r="E375" i="12"/>
  <c r="C375" i="12"/>
  <c r="J374" i="12"/>
  <c r="G374" i="12"/>
  <c r="E374" i="12"/>
  <c r="C374" i="12"/>
  <c r="J373" i="12"/>
  <c r="G373" i="12"/>
  <c r="E373" i="12"/>
  <c r="C373" i="12"/>
  <c r="J372" i="12"/>
  <c r="G372" i="12"/>
  <c r="E372" i="12"/>
  <c r="C372" i="12"/>
  <c r="J371" i="12"/>
  <c r="G371" i="12"/>
  <c r="E371" i="12"/>
  <c r="C371" i="12"/>
  <c r="J370" i="12"/>
  <c r="G370" i="12"/>
  <c r="E370" i="12"/>
  <c r="C370" i="12"/>
  <c r="J369" i="12"/>
  <c r="G369" i="12"/>
  <c r="E369" i="12"/>
  <c r="C369" i="12"/>
  <c r="J365" i="12"/>
  <c r="H365" i="12"/>
  <c r="F365" i="12"/>
  <c r="D365" i="12"/>
  <c r="C365" i="12"/>
  <c r="J364" i="12"/>
  <c r="H364" i="12"/>
  <c r="F364" i="12"/>
  <c r="D364" i="12"/>
  <c r="C364" i="12"/>
  <c r="J363" i="12"/>
  <c r="H363" i="12"/>
  <c r="F363" i="12"/>
  <c r="D363" i="12"/>
  <c r="C363" i="12"/>
  <c r="J362" i="12"/>
  <c r="H362" i="12"/>
  <c r="F362" i="12"/>
  <c r="D362" i="12"/>
  <c r="C362" i="12"/>
  <c r="J361" i="12"/>
  <c r="H361" i="12"/>
  <c r="F361" i="12"/>
  <c r="D361" i="12"/>
  <c r="C361" i="12"/>
  <c r="J360" i="12"/>
  <c r="H360" i="12"/>
  <c r="F360" i="12"/>
  <c r="D360" i="12"/>
  <c r="C360" i="12"/>
  <c r="J359" i="12"/>
  <c r="H359" i="12"/>
  <c r="F359" i="12"/>
  <c r="D359" i="12"/>
  <c r="C359" i="12"/>
  <c r="J358" i="12"/>
  <c r="H358" i="12"/>
  <c r="F358" i="12"/>
  <c r="D358" i="12"/>
  <c r="C358" i="12"/>
  <c r="J357" i="12"/>
  <c r="H357" i="12"/>
  <c r="F357" i="12"/>
  <c r="D357" i="12"/>
  <c r="C357" i="12"/>
  <c r="J356" i="12"/>
  <c r="H356" i="12"/>
  <c r="F356" i="12"/>
  <c r="D356" i="12"/>
  <c r="C356" i="12"/>
  <c r="J355" i="12"/>
  <c r="H355" i="12"/>
  <c r="F355" i="12"/>
  <c r="D355" i="12"/>
  <c r="C355" i="12"/>
  <c r="J354" i="12"/>
  <c r="H354" i="12"/>
  <c r="F354" i="12"/>
  <c r="D354" i="12"/>
  <c r="C354" i="12"/>
  <c r="J353" i="12"/>
  <c r="H353" i="12"/>
  <c r="F353" i="12"/>
  <c r="D353" i="12"/>
  <c r="C353" i="12"/>
  <c r="J352" i="12"/>
  <c r="H352" i="12"/>
  <c r="F352" i="12"/>
  <c r="D352" i="12"/>
  <c r="C352" i="12"/>
  <c r="J351" i="12"/>
  <c r="H351" i="12"/>
  <c r="F351" i="12"/>
  <c r="D351" i="12"/>
  <c r="C351" i="12"/>
  <c r="J350" i="12"/>
  <c r="H350" i="12"/>
  <c r="F350" i="12"/>
  <c r="D350" i="12"/>
  <c r="C350" i="12"/>
  <c r="J349" i="12"/>
  <c r="H349" i="12"/>
  <c r="F349" i="12"/>
  <c r="D349" i="12"/>
  <c r="C349" i="12"/>
  <c r="J348" i="12"/>
  <c r="H348" i="12"/>
  <c r="F348" i="12"/>
  <c r="D348" i="12"/>
  <c r="C348" i="12"/>
  <c r="J347" i="12"/>
  <c r="H347" i="12"/>
  <c r="F347" i="12"/>
  <c r="D347" i="12"/>
  <c r="C347" i="12"/>
  <c r="J346" i="12"/>
  <c r="H346" i="12"/>
  <c r="F346" i="12"/>
  <c r="D346" i="12"/>
  <c r="C346" i="12"/>
  <c r="J345" i="12"/>
  <c r="H345" i="12"/>
  <c r="F345" i="12"/>
  <c r="D345" i="12"/>
  <c r="C345" i="12"/>
  <c r="J344" i="12"/>
  <c r="H344" i="12"/>
  <c r="F344" i="12"/>
  <c r="D344" i="12"/>
  <c r="C344" i="12"/>
  <c r="J343" i="12"/>
  <c r="H343" i="12"/>
  <c r="F343" i="12"/>
  <c r="D343" i="12"/>
  <c r="C343" i="12"/>
  <c r="J342" i="12"/>
  <c r="H342" i="12"/>
  <c r="F342" i="12"/>
  <c r="D342" i="12"/>
  <c r="C342" i="12"/>
  <c r="J341" i="12"/>
  <c r="H341" i="12"/>
  <c r="F341" i="12"/>
  <c r="D341" i="12"/>
  <c r="C341" i="12"/>
  <c r="J340" i="12"/>
  <c r="H340" i="12"/>
  <c r="F340" i="12"/>
  <c r="D340" i="12"/>
  <c r="C340" i="12"/>
  <c r="J339" i="12"/>
  <c r="H339" i="12"/>
  <c r="F339" i="12"/>
  <c r="D339" i="12"/>
  <c r="C339" i="12"/>
  <c r="J338" i="12"/>
  <c r="H338" i="12"/>
  <c r="F338" i="12"/>
  <c r="D338" i="12"/>
  <c r="C338" i="12"/>
  <c r="J337" i="12"/>
  <c r="H337" i="12"/>
  <c r="F337" i="12"/>
  <c r="D337" i="12"/>
  <c r="C337" i="12"/>
  <c r="J336" i="12"/>
  <c r="H336" i="12"/>
  <c r="F336" i="12"/>
  <c r="D336" i="12"/>
  <c r="C336" i="12"/>
  <c r="J335" i="12"/>
  <c r="H335" i="12"/>
  <c r="F335" i="12"/>
  <c r="D335" i="12"/>
  <c r="C335" i="12"/>
  <c r="J334" i="12"/>
  <c r="H334" i="12"/>
  <c r="F334" i="12"/>
  <c r="D334" i="12"/>
  <c r="C334" i="12"/>
  <c r="J333" i="12"/>
  <c r="H333" i="12"/>
  <c r="F333" i="12"/>
  <c r="D333" i="12"/>
  <c r="C333" i="12"/>
  <c r="J332" i="12"/>
  <c r="H332" i="12"/>
  <c r="F332" i="12"/>
  <c r="D332" i="12"/>
  <c r="C332" i="12"/>
  <c r="J331" i="12"/>
  <c r="H331" i="12"/>
  <c r="F331" i="12"/>
  <c r="D331" i="12"/>
  <c r="C331" i="12"/>
  <c r="J330" i="12"/>
  <c r="H330" i="12"/>
  <c r="F330" i="12"/>
  <c r="D330" i="12"/>
  <c r="C330" i="12"/>
  <c r="J329" i="12"/>
  <c r="H329" i="12"/>
  <c r="F329" i="12"/>
  <c r="D329" i="12"/>
  <c r="C329" i="12"/>
  <c r="J328" i="12"/>
  <c r="H328" i="12"/>
  <c r="F328" i="12"/>
  <c r="D328" i="12"/>
  <c r="C328" i="12"/>
  <c r="J327" i="12"/>
  <c r="H327" i="12"/>
  <c r="F327" i="12"/>
  <c r="D327" i="12"/>
  <c r="C327" i="12"/>
  <c r="J326" i="12"/>
  <c r="H326" i="12"/>
  <c r="F326" i="12"/>
  <c r="D326" i="12"/>
  <c r="C326" i="12"/>
  <c r="J325" i="12"/>
  <c r="H325" i="12"/>
  <c r="F325" i="12"/>
  <c r="D325" i="12"/>
  <c r="C325" i="12"/>
  <c r="J324" i="12"/>
  <c r="H324" i="12"/>
  <c r="F324" i="12"/>
  <c r="D324" i="12"/>
  <c r="C324" i="12"/>
  <c r="J323" i="12"/>
  <c r="H323" i="12"/>
  <c r="F323" i="12"/>
  <c r="D323" i="12"/>
  <c r="C323" i="12"/>
  <c r="J322" i="12"/>
  <c r="H322" i="12"/>
  <c r="F322" i="12"/>
  <c r="D322" i="12"/>
  <c r="C322" i="12"/>
  <c r="J321" i="12"/>
  <c r="H321" i="12"/>
  <c r="F321" i="12"/>
  <c r="D321" i="12"/>
  <c r="C321" i="12"/>
  <c r="J320" i="12"/>
  <c r="H320" i="12"/>
  <c r="F320" i="12"/>
  <c r="D320" i="12"/>
  <c r="C320" i="12"/>
  <c r="J319" i="12"/>
  <c r="H319" i="12"/>
  <c r="F319" i="12"/>
  <c r="D319" i="12"/>
  <c r="C319" i="12"/>
  <c r="J318" i="12"/>
  <c r="H318" i="12"/>
  <c r="F318" i="12"/>
  <c r="D318" i="12"/>
  <c r="C318" i="12"/>
  <c r="J317" i="12"/>
  <c r="H317" i="12"/>
  <c r="F317" i="12"/>
  <c r="D317" i="12"/>
  <c r="C317" i="12"/>
  <c r="J316" i="12"/>
  <c r="H316" i="12"/>
  <c r="F316" i="12"/>
  <c r="D316" i="12"/>
  <c r="C316" i="12"/>
  <c r="J315" i="12"/>
  <c r="H315" i="12"/>
  <c r="F315" i="12"/>
  <c r="D315" i="12"/>
  <c r="C315" i="12"/>
  <c r="J314" i="12"/>
  <c r="H314" i="12"/>
  <c r="F314" i="12"/>
  <c r="D314" i="12"/>
  <c r="C314" i="12"/>
  <c r="J313" i="12"/>
  <c r="H313" i="12"/>
  <c r="F313" i="12"/>
  <c r="D313" i="12"/>
  <c r="C313" i="12"/>
  <c r="J312" i="12"/>
  <c r="H312" i="12"/>
  <c r="F312" i="12"/>
  <c r="D312" i="12"/>
  <c r="C312" i="12"/>
  <c r="J311" i="12"/>
  <c r="H311" i="12"/>
  <c r="F311" i="12"/>
  <c r="D311" i="12"/>
  <c r="C311" i="12"/>
  <c r="J310" i="12"/>
  <c r="H310" i="12"/>
  <c r="F310" i="12"/>
  <c r="D310" i="12"/>
  <c r="C310" i="12"/>
  <c r="J309" i="12"/>
  <c r="H309" i="12"/>
  <c r="F309" i="12"/>
  <c r="D309" i="12"/>
  <c r="C309" i="12"/>
  <c r="J308" i="12"/>
  <c r="H308" i="12"/>
  <c r="F308" i="12"/>
  <c r="D308" i="12"/>
  <c r="C308" i="12"/>
  <c r="J307" i="12"/>
  <c r="H307" i="12"/>
  <c r="F307" i="12"/>
  <c r="D307" i="12"/>
  <c r="C307" i="12"/>
  <c r="J306" i="12"/>
  <c r="H306" i="12"/>
  <c r="F306" i="12"/>
  <c r="D306" i="12"/>
  <c r="C306" i="12"/>
  <c r="J305" i="12"/>
  <c r="H305" i="12"/>
  <c r="F305" i="12"/>
  <c r="D305" i="12"/>
  <c r="C305" i="12"/>
  <c r="J304" i="12"/>
  <c r="H304" i="12"/>
  <c r="F304" i="12"/>
  <c r="D304" i="12"/>
  <c r="C304" i="12"/>
  <c r="J303" i="12"/>
  <c r="H303" i="12"/>
  <c r="F303" i="12"/>
  <c r="D303" i="12"/>
  <c r="C303" i="12"/>
  <c r="J302" i="12"/>
  <c r="H302" i="12"/>
  <c r="F302" i="12"/>
  <c r="D302" i="12"/>
  <c r="C302" i="12"/>
  <c r="J301" i="12"/>
  <c r="H301" i="12"/>
  <c r="F301" i="12"/>
  <c r="D301" i="12"/>
  <c r="C301" i="12"/>
  <c r="J300" i="12"/>
  <c r="H300" i="12"/>
  <c r="F300" i="12"/>
  <c r="D300" i="12"/>
  <c r="C300" i="12"/>
  <c r="J299" i="12"/>
  <c r="H299" i="12"/>
  <c r="F299" i="12"/>
  <c r="D299" i="12"/>
  <c r="C299" i="12"/>
  <c r="J298" i="12"/>
  <c r="H298" i="12"/>
  <c r="F298" i="12"/>
  <c r="D298" i="12"/>
  <c r="C298" i="12"/>
  <c r="J297" i="12"/>
  <c r="H297" i="12"/>
  <c r="F297" i="12"/>
  <c r="D297" i="12"/>
  <c r="C297" i="12"/>
  <c r="J296" i="12"/>
  <c r="H296" i="12"/>
  <c r="F296" i="12"/>
  <c r="D296" i="12"/>
  <c r="C296" i="12"/>
  <c r="J295" i="12"/>
  <c r="H295" i="12"/>
  <c r="F295" i="12"/>
  <c r="D295" i="12"/>
  <c r="C295" i="12"/>
  <c r="J294" i="12"/>
  <c r="H294" i="12"/>
  <c r="F294" i="12"/>
  <c r="D294" i="12"/>
  <c r="C294" i="12"/>
  <c r="J293" i="12"/>
  <c r="H293" i="12"/>
  <c r="F293" i="12"/>
  <c r="D293" i="12"/>
  <c r="C293" i="12"/>
  <c r="J292" i="12"/>
  <c r="H292" i="12"/>
  <c r="F292" i="12"/>
  <c r="D292" i="12"/>
  <c r="C292" i="12"/>
  <c r="J291" i="12"/>
  <c r="H291" i="12"/>
  <c r="F291" i="12"/>
  <c r="D291" i="12"/>
  <c r="C291" i="12"/>
  <c r="J290" i="12"/>
  <c r="H290" i="12"/>
  <c r="F290" i="12"/>
  <c r="D290" i="12"/>
  <c r="C290" i="12"/>
  <c r="J289" i="12"/>
  <c r="H289" i="12"/>
  <c r="F289" i="12"/>
  <c r="D289" i="12"/>
  <c r="C289" i="12"/>
  <c r="J288" i="12"/>
  <c r="H288" i="12"/>
  <c r="F288" i="12"/>
  <c r="D288" i="12"/>
  <c r="C288" i="12"/>
  <c r="J287" i="12"/>
  <c r="H287" i="12"/>
  <c r="F287" i="12"/>
  <c r="D287" i="12"/>
  <c r="C287" i="12"/>
  <c r="J286" i="12"/>
  <c r="H286" i="12"/>
  <c r="F286" i="12"/>
  <c r="D286" i="12"/>
  <c r="C286" i="12"/>
  <c r="J285" i="12"/>
  <c r="H285" i="12"/>
  <c r="F285" i="12"/>
  <c r="D285" i="12"/>
  <c r="C285" i="12"/>
  <c r="J284" i="12"/>
  <c r="H284" i="12"/>
  <c r="F284" i="12"/>
  <c r="D284" i="12"/>
  <c r="C284" i="12"/>
  <c r="J283" i="12"/>
  <c r="H283" i="12"/>
  <c r="F283" i="12"/>
  <c r="D283" i="12"/>
  <c r="C283" i="12"/>
  <c r="J282" i="12"/>
  <c r="H282" i="12"/>
  <c r="F282" i="12"/>
  <c r="D282" i="12"/>
  <c r="C282" i="12"/>
  <c r="J281" i="12"/>
  <c r="H281" i="12"/>
  <c r="F281" i="12"/>
  <c r="D281" i="12"/>
  <c r="C281" i="12"/>
  <c r="J280" i="12"/>
  <c r="H280" i="12"/>
  <c r="F280" i="12"/>
  <c r="D280" i="12"/>
  <c r="C280" i="12"/>
  <c r="J279" i="12"/>
  <c r="H279" i="12"/>
  <c r="F279" i="12"/>
  <c r="D279" i="12"/>
  <c r="C279" i="12"/>
  <c r="J278" i="12"/>
  <c r="H278" i="12"/>
  <c r="F278" i="12"/>
  <c r="D278" i="12"/>
  <c r="C278" i="12"/>
  <c r="J277" i="12"/>
  <c r="H277" i="12"/>
  <c r="F277" i="12"/>
  <c r="D277" i="12"/>
  <c r="C277" i="12"/>
  <c r="J276" i="12"/>
  <c r="H276" i="12"/>
  <c r="F276" i="12"/>
  <c r="D276" i="12"/>
  <c r="C276" i="12"/>
  <c r="J275" i="12"/>
  <c r="H275" i="12"/>
  <c r="F275" i="12"/>
  <c r="D275" i="12"/>
  <c r="C275" i="12"/>
  <c r="J274" i="12"/>
  <c r="H274" i="12"/>
  <c r="F274" i="12"/>
  <c r="D274" i="12"/>
  <c r="C274" i="12"/>
  <c r="J273" i="12"/>
  <c r="H273" i="12"/>
  <c r="F273" i="12"/>
  <c r="D273" i="12"/>
  <c r="C273" i="12"/>
  <c r="J272" i="12"/>
  <c r="H272" i="12"/>
  <c r="F272" i="12"/>
  <c r="D272" i="12"/>
  <c r="C272" i="12"/>
  <c r="J271" i="12"/>
  <c r="H271" i="12"/>
  <c r="F271" i="12"/>
  <c r="D271" i="12"/>
  <c r="C271" i="12"/>
  <c r="J270" i="12"/>
  <c r="H270" i="12"/>
  <c r="F270" i="12"/>
  <c r="D270" i="12"/>
  <c r="C270" i="12"/>
  <c r="J269" i="12"/>
  <c r="H269" i="12"/>
  <c r="F269" i="12"/>
  <c r="D269" i="12"/>
  <c r="C269" i="12"/>
  <c r="J268" i="12"/>
  <c r="H268" i="12"/>
  <c r="F268" i="12"/>
  <c r="D268" i="12"/>
  <c r="C268" i="12"/>
  <c r="J267" i="12"/>
  <c r="H267" i="12"/>
  <c r="F267" i="12"/>
  <c r="D267" i="12"/>
  <c r="C267" i="12"/>
  <c r="J266" i="12"/>
  <c r="H266" i="12"/>
  <c r="F266" i="12"/>
  <c r="D266" i="12"/>
  <c r="C266" i="12"/>
  <c r="J265" i="12"/>
  <c r="H265" i="12"/>
  <c r="F265" i="12"/>
  <c r="D265" i="12"/>
  <c r="C265" i="12"/>
  <c r="J264" i="12"/>
  <c r="H264" i="12"/>
  <c r="F264" i="12"/>
  <c r="D264" i="12"/>
  <c r="C264" i="12"/>
  <c r="J263" i="12"/>
  <c r="H263" i="12"/>
  <c r="F263" i="12"/>
  <c r="D263" i="12"/>
  <c r="C263" i="12"/>
  <c r="J262" i="12"/>
  <c r="H262" i="12"/>
  <c r="F262" i="12"/>
  <c r="D262" i="12"/>
  <c r="C262" i="12"/>
  <c r="J261" i="12"/>
  <c r="H261" i="12"/>
  <c r="F261" i="12"/>
  <c r="D261" i="12"/>
  <c r="C261" i="12"/>
  <c r="J260" i="12"/>
  <c r="H260" i="12"/>
  <c r="F260" i="12"/>
  <c r="D260" i="12"/>
  <c r="C260" i="12"/>
  <c r="J259" i="12"/>
  <c r="H259" i="12"/>
  <c r="F259" i="12"/>
  <c r="D259" i="12"/>
  <c r="C259" i="12"/>
  <c r="J258" i="12"/>
  <c r="H258" i="12"/>
  <c r="F258" i="12"/>
  <c r="D258" i="12"/>
  <c r="C258" i="12"/>
  <c r="J257" i="12"/>
  <c r="H257" i="12"/>
  <c r="F257" i="12"/>
  <c r="D257" i="12"/>
  <c r="C257" i="12"/>
  <c r="J256" i="12"/>
  <c r="H256" i="12"/>
  <c r="F256" i="12"/>
  <c r="D256" i="12"/>
  <c r="C256" i="12"/>
  <c r="J255" i="12"/>
  <c r="H255" i="12"/>
  <c r="F255" i="12"/>
  <c r="D255" i="12"/>
  <c r="C255" i="12"/>
  <c r="J254" i="12"/>
  <c r="H254" i="12"/>
  <c r="F254" i="12"/>
  <c r="D254" i="12"/>
  <c r="C254" i="12"/>
  <c r="J253" i="12"/>
  <c r="H253" i="12"/>
  <c r="F253" i="12"/>
  <c r="D253" i="12"/>
  <c r="C253" i="12"/>
  <c r="J252" i="12"/>
  <c r="H252" i="12"/>
  <c r="F252" i="12"/>
  <c r="D252" i="12"/>
  <c r="C252" i="12"/>
  <c r="J251" i="12"/>
  <c r="H251" i="12"/>
  <c r="F251" i="12"/>
  <c r="D251" i="12"/>
  <c r="C251" i="12"/>
  <c r="J250" i="12"/>
  <c r="H250" i="12"/>
  <c r="F250" i="12"/>
  <c r="D250" i="12"/>
  <c r="C250" i="12"/>
  <c r="J249" i="12"/>
  <c r="H249" i="12"/>
  <c r="F249" i="12"/>
  <c r="D249" i="12"/>
  <c r="C249" i="12"/>
  <c r="J248" i="12"/>
  <c r="H248" i="12"/>
  <c r="F248" i="12"/>
  <c r="D248" i="12"/>
  <c r="C248" i="12"/>
  <c r="J247" i="12"/>
  <c r="H247" i="12"/>
  <c r="F247" i="12"/>
  <c r="D247" i="12"/>
  <c r="C247" i="12"/>
  <c r="J246" i="12"/>
  <c r="H246" i="12"/>
  <c r="F246" i="12"/>
  <c r="D246" i="12"/>
  <c r="C246" i="12"/>
  <c r="J245" i="12"/>
  <c r="H245" i="12"/>
  <c r="F245" i="12"/>
  <c r="D245" i="12"/>
  <c r="C245" i="12"/>
  <c r="J244" i="12"/>
  <c r="H244" i="12"/>
  <c r="F244" i="12"/>
  <c r="D244" i="12"/>
  <c r="C244" i="12"/>
  <c r="J243" i="12"/>
  <c r="H243" i="12"/>
  <c r="F243" i="12"/>
  <c r="D243" i="12"/>
  <c r="C243" i="12"/>
  <c r="J242" i="12"/>
  <c r="H242" i="12"/>
  <c r="F242" i="12"/>
  <c r="D242" i="12"/>
  <c r="C242" i="12"/>
  <c r="J241" i="12"/>
  <c r="H241" i="12"/>
  <c r="F241" i="12"/>
  <c r="D241" i="12"/>
  <c r="C241" i="12"/>
  <c r="J240" i="12"/>
  <c r="H240" i="12"/>
  <c r="F240" i="12"/>
  <c r="D240" i="12"/>
  <c r="C240" i="12"/>
  <c r="J239" i="12"/>
  <c r="H239" i="12"/>
  <c r="F239" i="12"/>
  <c r="D239" i="12"/>
  <c r="C239" i="12"/>
  <c r="J238" i="12"/>
  <c r="H238" i="12"/>
  <c r="F238" i="12"/>
  <c r="D238" i="12"/>
  <c r="C238" i="12"/>
  <c r="J237" i="12"/>
  <c r="H237" i="12"/>
  <c r="F237" i="12"/>
  <c r="D237" i="12"/>
  <c r="C237" i="12"/>
  <c r="J236" i="12"/>
  <c r="H236" i="12"/>
  <c r="F236" i="12"/>
  <c r="D236" i="12"/>
  <c r="C236" i="12"/>
  <c r="J235" i="12"/>
  <c r="H235" i="12"/>
  <c r="F235" i="12"/>
  <c r="D235" i="12"/>
  <c r="C235" i="12"/>
  <c r="J234" i="12"/>
  <c r="H234" i="12"/>
  <c r="F234" i="12"/>
  <c r="D234" i="12"/>
  <c r="C234" i="12"/>
  <c r="J233" i="12"/>
  <c r="H233" i="12"/>
  <c r="F233" i="12"/>
  <c r="D233" i="12"/>
  <c r="C233" i="12"/>
  <c r="J232" i="12"/>
  <c r="H232" i="12"/>
  <c r="F232" i="12"/>
  <c r="D232" i="12"/>
  <c r="C232" i="12"/>
  <c r="J231" i="12"/>
  <c r="H231" i="12"/>
  <c r="F231" i="12"/>
  <c r="D231" i="12"/>
  <c r="C231" i="12"/>
  <c r="J230" i="12"/>
  <c r="H230" i="12"/>
  <c r="F230" i="12"/>
  <c r="D230" i="12"/>
  <c r="C230" i="12"/>
  <c r="J229" i="12"/>
  <c r="H229" i="12"/>
  <c r="F229" i="12"/>
  <c r="D229" i="12"/>
  <c r="C229" i="12"/>
  <c r="J228" i="12"/>
  <c r="H228" i="12"/>
  <c r="F228" i="12"/>
  <c r="D228" i="12"/>
  <c r="C228" i="12"/>
  <c r="J227" i="12"/>
  <c r="H227" i="12"/>
  <c r="F227" i="12"/>
  <c r="D227" i="12"/>
  <c r="C227" i="12"/>
  <c r="J226" i="12"/>
  <c r="H226" i="12"/>
  <c r="F226" i="12"/>
  <c r="D226" i="12"/>
  <c r="C226" i="12"/>
  <c r="J225" i="12"/>
  <c r="H225" i="12"/>
  <c r="F225" i="12"/>
  <c r="D225" i="12"/>
  <c r="C225" i="12"/>
  <c r="J224" i="12"/>
  <c r="H224" i="12"/>
  <c r="F224" i="12"/>
  <c r="D224" i="12"/>
  <c r="C224" i="12"/>
  <c r="J223" i="12"/>
  <c r="H223" i="12"/>
  <c r="F223" i="12"/>
  <c r="D223" i="12"/>
  <c r="C223" i="12"/>
  <c r="J222" i="12"/>
  <c r="H222" i="12"/>
  <c r="F222" i="12"/>
  <c r="D222" i="12"/>
  <c r="C222" i="12"/>
  <c r="J221" i="12"/>
  <c r="H221" i="12"/>
  <c r="F221" i="12"/>
  <c r="D221" i="12"/>
  <c r="C221" i="12"/>
  <c r="J220" i="12"/>
  <c r="H220" i="12"/>
  <c r="F220" i="12"/>
  <c r="D220" i="12"/>
  <c r="C220" i="12"/>
  <c r="J219" i="12"/>
  <c r="H219" i="12"/>
  <c r="F219" i="12"/>
  <c r="D219" i="12"/>
  <c r="C219" i="12"/>
  <c r="J218" i="12"/>
  <c r="H218" i="12"/>
  <c r="F218" i="12"/>
  <c r="D218" i="12"/>
  <c r="C218" i="12"/>
  <c r="J217" i="12"/>
  <c r="H217" i="12"/>
  <c r="F217" i="12"/>
  <c r="D217" i="12"/>
  <c r="C217" i="12"/>
  <c r="J216" i="12"/>
  <c r="H216" i="12"/>
  <c r="F216" i="12"/>
  <c r="D216" i="12"/>
  <c r="C216" i="12"/>
  <c r="J215" i="12"/>
  <c r="H215" i="12"/>
  <c r="F215" i="12"/>
  <c r="D215" i="12"/>
  <c r="C215" i="12"/>
  <c r="J214" i="12"/>
  <c r="H214" i="12"/>
  <c r="F214" i="12"/>
  <c r="D214" i="12"/>
  <c r="C214" i="12"/>
  <c r="J213" i="12"/>
  <c r="H213" i="12"/>
  <c r="F213" i="12"/>
  <c r="D213" i="12"/>
  <c r="C213" i="12"/>
  <c r="J212" i="12"/>
  <c r="H212" i="12"/>
  <c r="F212" i="12"/>
  <c r="D212" i="12"/>
  <c r="C212" i="12"/>
  <c r="J211" i="12"/>
  <c r="H211" i="12"/>
  <c r="F211" i="12"/>
  <c r="D211" i="12"/>
  <c r="C211" i="12"/>
  <c r="J210" i="12"/>
  <c r="H210" i="12"/>
  <c r="F210" i="12"/>
  <c r="D210" i="12"/>
  <c r="C210" i="12"/>
  <c r="J209" i="12"/>
  <c r="H209" i="12"/>
  <c r="F209" i="12"/>
  <c r="D209" i="12"/>
  <c r="C209" i="12"/>
  <c r="J208" i="12"/>
  <c r="H208" i="12"/>
  <c r="F208" i="12"/>
  <c r="D208" i="12"/>
  <c r="C208" i="12"/>
  <c r="J207" i="12"/>
  <c r="H207" i="12"/>
  <c r="F207" i="12"/>
  <c r="D207" i="12"/>
  <c r="C207" i="12"/>
  <c r="J206" i="12"/>
  <c r="H206" i="12"/>
  <c r="F206" i="12"/>
  <c r="D206" i="12"/>
  <c r="C206" i="12"/>
  <c r="J205" i="12"/>
  <c r="H205" i="12"/>
  <c r="F205" i="12"/>
  <c r="D205" i="12"/>
  <c r="C205" i="12"/>
  <c r="J204" i="12"/>
  <c r="H204" i="12"/>
  <c r="F204" i="12"/>
  <c r="D204" i="12"/>
  <c r="C204" i="12"/>
  <c r="J203" i="12"/>
  <c r="H203" i="12"/>
  <c r="F203" i="12"/>
  <c r="D203" i="12"/>
  <c r="C203" i="12"/>
  <c r="J202" i="12"/>
  <c r="H202" i="12"/>
  <c r="F202" i="12"/>
  <c r="D202" i="12"/>
  <c r="C202" i="12"/>
  <c r="J201" i="12"/>
  <c r="H201" i="12"/>
  <c r="F201" i="12"/>
  <c r="D201" i="12"/>
  <c r="C201" i="12"/>
  <c r="J200" i="12"/>
  <c r="H200" i="12"/>
  <c r="F200" i="12"/>
  <c r="D200" i="12"/>
  <c r="C200" i="12"/>
  <c r="J199" i="12"/>
  <c r="H199" i="12"/>
  <c r="F199" i="12"/>
  <c r="D199" i="12"/>
  <c r="C199" i="12"/>
  <c r="J198" i="12"/>
  <c r="H198" i="12"/>
  <c r="F198" i="12"/>
  <c r="D198" i="12"/>
  <c r="C198" i="12"/>
  <c r="J197" i="12"/>
  <c r="H197" i="12"/>
  <c r="F197" i="12"/>
  <c r="D197" i="12"/>
  <c r="C197" i="12"/>
  <c r="J196" i="12"/>
  <c r="H196" i="12"/>
  <c r="F196" i="12"/>
  <c r="D196" i="12"/>
  <c r="C196" i="12"/>
  <c r="J195" i="12"/>
  <c r="H195" i="12"/>
  <c r="F195" i="12"/>
  <c r="D195" i="12"/>
  <c r="C195" i="12"/>
  <c r="J194" i="12"/>
  <c r="H194" i="12"/>
  <c r="F194" i="12"/>
  <c r="D194" i="12"/>
  <c r="C194" i="12"/>
  <c r="J193" i="12"/>
  <c r="H193" i="12"/>
  <c r="F193" i="12"/>
  <c r="D193" i="12"/>
  <c r="C193" i="12"/>
  <c r="J192" i="12"/>
  <c r="H192" i="12"/>
  <c r="F192" i="12"/>
  <c r="D192" i="12"/>
  <c r="C192" i="12"/>
  <c r="J191" i="12"/>
  <c r="H191" i="12"/>
  <c r="F191" i="12"/>
  <c r="D191" i="12"/>
  <c r="C191" i="12"/>
  <c r="J190" i="12"/>
  <c r="H190" i="12"/>
  <c r="F190" i="12"/>
  <c r="D190" i="12"/>
  <c r="C190" i="12"/>
  <c r="J189" i="12"/>
  <c r="H189" i="12"/>
  <c r="F189" i="12"/>
  <c r="D189" i="12"/>
  <c r="C189" i="12"/>
  <c r="J188" i="12"/>
  <c r="H188" i="12"/>
  <c r="F188" i="12"/>
  <c r="D188" i="12"/>
  <c r="C188" i="12"/>
  <c r="J187" i="12"/>
  <c r="H187" i="12"/>
  <c r="F187" i="12"/>
  <c r="D187" i="12"/>
  <c r="C187" i="12"/>
  <c r="J186" i="12"/>
  <c r="H186" i="12"/>
  <c r="F186" i="12"/>
  <c r="D186" i="12"/>
  <c r="C186" i="12"/>
  <c r="J185" i="12"/>
  <c r="H185" i="12"/>
  <c r="F185" i="12"/>
  <c r="D185" i="12"/>
  <c r="C185" i="12"/>
  <c r="J184" i="12"/>
  <c r="H184" i="12"/>
  <c r="F184" i="12"/>
  <c r="D184" i="12"/>
  <c r="C184" i="12"/>
  <c r="J183" i="12"/>
  <c r="H183" i="12"/>
  <c r="F183" i="12"/>
  <c r="D183" i="12"/>
  <c r="C183" i="12"/>
  <c r="J182" i="12"/>
  <c r="H182" i="12"/>
  <c r="F182" i="12"/>
  <c r="D182" i="12"/>
  <c r="C182" i="12"/>
  <c r="J181" i="12"/>
  <c r="H181" i="12"/>
  <c r="F181" i="12"/>
  <c r="D181" i="12"/>
  <c r="C181" i="12"/>
  <c r="J180" i="12"/>
  <c r="H180" i="12"/>
  <c r="F180" i="12"/>
  <c r="D180" i="12"/>
  <c r="C180" i="12"/>
  <c r="J179" i="12"/>
  <c r="H179" i="12"/>
  <c r="F179" i="12"/>
  <c r="D179" i="12"/>
  <c r="C179" i="12"/>
  <c r="J178" i="12"/>
  <c r="H178" i="12"/>
  <c r="F178" i="12"/>
  <c r="D178" i="12"/>
  <c r="C178" i="12"/>
  <c r="J177" i="12"/>
  <c r="H177" i="12"/>
  <c r="F177" i="12"/>
  <c r="D177" i="12"/>
  <c r="C177" i="12"/>
  <c r="J176" i="12"/>
  <c r="H176" i="12"/>
  <c r="F176" i="12"/>
  <c r="D176" i="12"/>
  <c r="C176" i="12"/>
  <c r="J175" i="12"/>
  <c r="H175" i="12"/>
  <c r="F175" i="12"/>
  <c r="D175" i="12"/>
  <c r="C175" i="12"/>
  <c r="J174" i="12"/>
  <c r="H174" i="12"/>
  <c r="F174" i="12"/>
  <c r="D174" i="12"/>
  <c r="C174" i="12"/>
  <c r="J173" i="12"/>
  <c r="H173" i="12"/>
  <c r="F173" i="12"/>
  <c r="D173" i="12"/>
  <c r="C173" i="12"/>
  <c r="J172" i="12"/>
  <c r="H172" i="12"/>
  <c r="F172" i="12"/>
  <c r="D172" i="12"/>
  <c r="C172" i="12"/>
  <c r="J171" i="12"/>
  <c r="H171" i="12"/>
  <c r="F171" i="12"/>
  <c r="D171" i="12"/>
  <c r="C171" i="12"/>
  <c r="J170" i="12"/>
  <c r="H170" i="12"/>
  <c r="F170" i="12"/>
  <c r="D170" i="12"/>
  <c r="C170" i="12"/>
  <c r="J169" i="12"/>
  <c r="H169" i="12"/>
  <c r="F169" i="12"/>
  <c r="D169" i="12"/>
  <c r="C169" i="12"/>
  <c r="J168" i="12"/>
  <c r="H168" i="12"/>
  <c r="F168" i="12"/>
  <c r="D168" i="12"/>
  <c r="C168" i="12"/>
  <c r="J167" i="12"/>
  <c r="H167" i="12"/>
  <c r="F167" i="12"/>
  <c r="D167" i="12"/>
  <c r="C167" i="12"/>
  <c r="J166" i="12"/>
  <c r="H166" i="12"/>
  <c r="F166" i="12"/>
  <c r="D166" i="12"/>
  <c r="C166" i="12"/>
  <c r="J165" i="12"/>
  <c r="H165" i="12"/>
  <c r="F165" i="12"/>
  <c r="D165" i="12"/>
  <c r="C165" i="12"/>
  <c r="J164" i="12"/>
  <c r="H164" i="12"/>
  <c r="F164" i="12"/>
  <c r="D164" i="12"/>
  <c r="C164" i="12"/>
  <c r="J163" i="12"/>
  <c r="H163" i="12"/>
  <c r="F163" i="12"/>
  <c r="D163" i="12"/>
  <c r="C163" i="12"/>
  <c r="J162" i="12"/>
  <c r="H162" i="12"/>
  <c r="F162" i="12"/>
  <c r="D162" i="12"/>
  <c r="C162" i="12"/>
  <c r="J161" i="12"/>
  <c r="H161" i="12"/>
  <c r="F161" i="12"/>
  <c r="D161" i="12"/>
  <c r="C161" i="12"/>
  <c r="J160" i="12"/>
  <c r="H160" i="12"/>
  <c r="F160" i="12"/>
  <c r="D160" i="12"/>
  <c r="C160" i="12"/>
  <c r="J159" i="12"/>
  <c r="H159" i="12"/>
  <c r="F159" i="12"/>
  <c r="D159" i="12"/>
  <c r="C159" i="12"/>
  <c r="J158" i="12"/>
  <c r="H158" i="12"/>
  <c r="F158" i="12"/>
  <c r="D158" i="12"/>
  <c r="C158" i="12"/>
  <c r="J157" i="12"/>
  <c r="H157" i="12"/>
  <c r="F157" i="12"/>
  <c r="D157" i="12"/>
  <c r="C157" i="12"/>
  <c r="J156" i="12"/>
  <c r="H156" i="12"/>
  <c r="F156" i="12"/>
  <c r="D156" i="12"/>
  <c r="C156" i="12"/>
  <c r="J155" i="12"/>
  <c r="H155" i="12"/>
  <c r="F155" i="12"/>
  <c r="D155" i="12"/>
  <c r="C155" i="12"/>
  <c r="J154" i="12"/>
  <c r="H154" i="12"/>
  <c r="F154" i="12"/>
  <c r="D154" i="12"/>
  <c r="C154" i="12"/>
  <c r="J153" i="12"/>
  <c r="H153" i="12"/>
  <c r="F153" i="12"/>
  <c r="D153" i="12"/>
  <c r="C153" i="12"/>
  <c r="J152" i="12"/>
  <c r="H152" i="12"/>
  <c r="F152" i="12"/>
  <c r="D152" i="12"/>
  <c r="C152" i="12"/>
  <c r="J151" i="12"/>
  <c r="H151" i="12"/>
  <c r="F151" i="12"/>
  <c r="D151" i="12"/>
  <c r="C151" i="12"/>
  <c r="J150" i="12"/>
  <c r="H150" i="12"/>
  <c r="F150" i="12"/>
  <c r="D150" i="12"/>
  <c r="C150" i="12"/>
  <c r="J149" i="12"/>
  <c r="H149" i="12"/>
  <c r="F149" i="12"/>
  <c r="D149" i="12"/>
  <c r="C149" i="12"/>
  <c r="J148" i="12"/>
  <c r="H148" i="12"/>
  <c r="F148" i="12"/>
  <c r="D148" i="12"/>
  <c r="C148" i="12"/>
  <c r="J147" i="12"/>
  <c r="H147" i="12"/>
  <c r="F147" i="12"/>
  <c r="D147" i="12"/>
  <c r="C147" i="12"/>
  <c r="J146" i="12"/>
  <c r="H146" i="12"/>
  <c r="F146" i="12"/>
  <c r="D146" i="12"/>
  <c r="C146" i="12"/>
  <c r="J145" i="12"/>
  <c r="H145" i="12"/>
  <c r="F145" i="12"/>
  <c r="D145" i="12"/>
  <c r="C145" i="12"/>
  <c r="J144" i="12"/>
  <c r="H144" i="12"/>
  <c r="F144" i="12"/>
  <c r="D144" i="12"/>
  <c r="C144" i="12"/>
  <c r="J143" i="12"/>
  <c r="H143" i="12"/>
  <c r="F143" i="12"/>
  <c r="D143" i="12"/>
  <c r="C143" i="12"/>
  <c r="J142" i="12"/>
  <c r="H142" i="12"/>
  <c r="F142" i="12"/>
  <c r="D142" i="12"/>
  <c r="C142" i="12"/>
  <c r="J141" i="12"/>
  <c r="H141" i="12"/>
  <c r="F141" i="12"/>
  <c r="D141" i="12"/>
  <c r="C141" i="12"/>
  <c r="J140" i="12"/>
  <c r="H140" i="12"/>
  <c r="F140" i="12"/>
  <c r="D140" i="12"/>
  <c r="C140" i="12"/>
  <c r="J139" i="12"/>
  <c r="H139" i="12"/>
  <c r="F139" i="12"/>
  <c r="D139" i="12"/>
  <c r="C139" i="12"/>
  <c r="J138" i="12"/>
  <c r="H138" i="12"/>
  <c r="F138" i="12"/>
  <c r="D138" i="12"/>
  <c r="C138" i="12"/>
  <c r="J137" i="12"/>
  <c r="H137" i="12"/>
  <c r="F137" i="12"/>
  <c r="D137" i="12"/>
  <c r="C137" i="12"/>
  <c r="J136" i="12"/>
  <c r="H136" i="12"/>
  <c r="F136" i="12"/>
  <c r="D136" i="12"/>
  <c r="C136" i="12"/>
  <c r="J135" i="12"/>
  <c r="H135" i="12"/>
  <c r="F135" i="12"/>
  <c r="D135" i="12"/>
  <c r="C135" i="12"/>
  <c r="J134" i="12"/>
  <c r="H134" i="12"/>
  <c r="F134" i="12"/>
  <c r="D134" i="12"/>
  <c r="C134" i="12"/>
  <c r="J133" i="12"/>
  <c r="H133" i="12"/>
  <c r="F133" i="12"/>
  <c r="D133" i="12"/>
  <c r="C133" i="12"/>
  <c r="J132" i="12"/>
  <c r="H132" i="12"/>
  <c r="F132" i="12"/>
  <c r="D132" i="12"/>
  <c r="C132" i="12"/>
  <c r="J131" i="12"/>
  <c r="H131" i="12"/>
  <c r="F131" i="12"/>
  <c r="D131" i="12"/>
  <c r="C131" i="12"/>
  <c r="J130" i="12"/>
  <c r="H130" i="12"/>
  <c r="F130" i="12"/>
  <c r="D130" i="12"/>
  <c r="C130" i="12"/>
  <c r="J129" i="12"/>
  <c r="H129" i="12"/>
  <c r="F129" i="12"/>
  <c r="D129" i="12"/>
  <c r="C129" i="12"/>
  <c r="J128" i="12"/>
  <c r="H128" i="12"/>
  <c r="F128" i="12"/>
  <c r="D128" i="12"/>
  <c r="C128" i="12"/>
  <c r="J127" i="12"/>
  <c r="H127" i="12"/>
  <c r="F127" i="12"/>
  <c r="D127" i="12"/>
  <c r="C127" i="12"/>
  <c r="J126" i="12"/>
  <c r="H126" i="12"/>
  <c r="F126" i="12"/>
  <c r="D126" i="12"/>
  <c r="C126" i="12"/>
  <c r="J125" i="12"/>
  <c r="H125" i="12"/>
  <c r="F125" i="12"/>
  <c r="D125" i="12"/>
  <c r="C125" i="12"/>
  <c r="J124" i="12"/>
  <c r="H124" i="12"/>
  <c r="F124" i="12"/>
  <c r="D124" i="12"/>
  <c r="C124" i="12"/>
  <c r="J123" i="12"/>
  <c r="H123" i="12"/>
  <c r="F123" i="12"/>
  <c r="D123" i="12"/>
  <c r="C123" i="12"/>
  <c r="J122" i="12"/>
  <c r="H122" i="12"/>
  <c r="F122" i="12"/>
  <c r="D122" i="12"/>
  <c r="C122" i="12"/>
  <c r="J121" i="12"/>
  <c r="H121" i="12"/>
  <c r="F121" i="12"/>
  <c r="D121" i="12"/>
  <c r="C121" i="12"/>
  <c r="J120" i="12"/>
  <c r="H120" i="12"/>
  <c r="F120" i="12"/>
  <c r="D120" i="12"/>
  <c r="C120" i="12"/>
  <c r="J119" i="12"/>
  <c r="H119" i="12"/>
  <c r="F119" i="12"/>
  <c r="D119" i="12"/>
  <c r="C119" i="12"/>
  <c r="J118" i="12"/>
  <c r="H118" i="12"/>
  <c r="F118" i="12"/>
  <c r="D118" i="12"/>
  <c r="C118" i="12"/>
  <c r="J117" i="12"/>
  <c r="H117" i="12"/>
  <c r="F117" i="12"/>
  <c r="D117" i="12"/>
  <c r="C117" i="12"/>
  <c r="J116" i="12"/>
  <c r="H116" i="12"/>
  <c r="F116" i="12"/>
  <c r="D116" i="12"/>
  <c r="C116" i="12"/>
  <c r="J115" i="12"/>
  <c r="H115" i="12"/>
  <c r="F115" i="12"/>
  <c r="D115" i="12"/>
  <c r="C115" i="12"/>
  <c r="J114" i="12"/>
  <c r="H114" i="12"/>
  <c r="F114" i="12"/>
  <c r="D114" i="12"/>
  <c r="C114" i="12"/>
  <c r="J113" i="12"/>
  <c r="H113" i="12"/>
  <c r="F113" i="12"/>
  <c r="D113" i="12"/>
  <c r="C113" i="12"/>
  <c r="J112" i="12"/>
  <c r="H112" i="12"/>
  <c r="F112" i="12"/>
  <c r="D112" i="12"/>
  <c r="C112" i="12"/>
  <c r="J111" i="12"/>
  <c r="H111" i="12"/>
  <c r="F111" i="12"/>
  <c r="D111" i="12"/>
  <c r="C111" i="12"/>
  <c r="J110" i="12"/>
  <c r="H110" i="12"/>
  <c r="F110" i="12"/>
  <c r="D110" i="12"/>
  <c r="C110" i="12"/>
  <c r="J109" i="12"/>
  <c r="H109" i="12"/>
  <c r="F109" i="12"/>
  <c r="D109" i="12"/>
  <c r="C109" i="12"/>
  <c r="J108" i="12"/>
  <c r="H108" i="12"/>
  <c r="F108" i="12"/>
  <c r="D108" i="12"/>
  <c r="C108" i="12"/>
  <c r="J107" i="12"/>
  <c r="H107" i="12"/>
  <c r="F107" i="12"/>
  <c r="D107" i="12"/>
  <c r="C107" i="12"/>
  <c r="J106" i="12"/>
  <c r="H106" i="12"/>
  <c r="F106" i="12"/>
  <c r="D106" i="12"/>
  <c r="C106" i="12"/>
  <c r="J105" i="12"/>
  <c r="H105" i="12"/>
  <c r="F105" i="12"/>
  <c r="D105" i="12"/>
  <c r="C105" i="12"/>
  <c r="J104" i="12"/>
  <c r="H104" i="12"/>
  <c r="F104" i="12"/>
  <c r="D104" i="12"/>
  <c r="C104" i="12"/>
  <c r="J103" i="12"/>
  <c r="H103" i="12"/>
  <c r="F103" i="12"/>
  <c r="D103" i="12"/>
  <c r="C103" i="12"/>
  <c r="J102" i="12"/>
  <c r="H102" i="12"/>
  <c r="F102" i="12"/>
  <c r="D102" i="12"/>
  <c r="C102" i="12"/>
  <c r="J101" i="12"/>
  <c r="H101" i="12"/>
  <c r="F101" i="12"/>
  <c r="D101" i="12"/>
  <c r="C101" i="12"/>
  <c r="J100" i="12"/>
  <c r="H100" i="12"/>
  <c r="F100" i="12"/>
  <c r="D100" i="12"/>
  <c r="C100" i="12"/>
  <c r="J99" i="12"/>
  <c r="H99" i="12"/>
  <c r="F99" i="12"/>
  <c r="D99" i="12"/>
  <c r="C99" i="12"/>
  <c r="J98" i="12"/>
  <c r="H98" i="12"/>
  <c r="F98" i="12"/>
  <c r="D98" i="12"/>
  <c r="C98" i="12"/>
  <c r="J97" i="12"/>
  <c r="H97" i="12"/>
  <c r="F97" i="12"/>
  <c r="D97" i="12"/>
  <c r="C97" i="12"/>
  <c r="J96" i="12"/>
  <c r="H96" i="12"/>
  <c r="F96" i="12"/>
  <c r="D96" i="12"/>
  <c r="C96" i="12"/>
  <c r="J95" i="12"/>
  <c r="H95" i="12"/>
  <c r="F95" i="12"/>
  <c r="D95" i="12"/>
  <c r="C95" i="12"/>
  <c r="J94" i="12"/>
  <c r="H94" i="12"/>
  <c r="F94" i="12"/>
  <c r="D94" i="12"/>
  <c r="C94" i="12"/>
  <c r="J93" i="12"/>
  <c r="H93" i="12"/>
  <c r="F93" i="12"/>
  <c r="D93" i="12"/>
  <c r="C93" i="12"/>
  <c r="J92" i="12"/>
  <c r="H92" i="12"/>
  <c r="F92" i="12"/>
  <c r="D92" i="12"/>
  <c r="C92" i="12"/>
  <c r="J91" i="12"/>
  <c r="H91" i="12"/>
  <c r="F91" i="12"/>
  <c r="D91" i="12"/>
  <c r="C91" i="12"/>
  <c r="J90" i="12"/>
  <c r="H90" i="12"/>
  <c r="F90" i="12"/>
  <c r="D90" i="12"/>
  <c r="C90" i="12"/>
  <c r="J89" i="12"/>
  <c r="H89" i="12"/>
  <c r="F89" i="12"/>
  <c r="D89" i="12"/>
  <c r="C89" i="12"/>
  <c r="J88" i="12"/>
  <c r="H88" i="12"/>
  <c r="F88" i="12"/>
  <c r="D88" i="12"/>
  <c r="C88" i="12"/>
  <c r="J87" i="12"/>
  <c r="H87" i="12"/>
  <c r="F87" i="12"/>
  <c r="D87" i="12"/>
  <c r="C87" i="12"/>
  <c r="J86" i="12"/>
  <c r="H86" i="12"/>
  <c r="F86" i="12"/>
  <c r="D86" i="12"/>
  <c r="C86" i="12"/>
  <c r="J85" i="12"/>
  <c r="H85" i="12"/>
  <c r="F85" i="12"/>
  <c r="D85" i="12"/>
  <c r="C85" i="12"/>
  <c r="J84" i="12"/>
  <c r="H84" i="12"/>
  <c r="F84" i="12"/>
  <c r="D84" i="12"/>
  <c r="C84" i="12"/>
  <c r="J83" i="12"/>
  <c r="H83" i="12"/>
  <c r="F83" i="12"/>
  <c r="D83" i="12"/>
  <c r="C83" i="12"/>
  <c r="J82" i="12"/>
  <c r="H82" i="12"/>
  <c r="F82" i="12"/>
  <c r="D82" i="12"/>
  <c r="C82" i="12"/>
  <c r="J81" i="12"/>
  <c r="H81" i="12"/>
  <c r="F81" i="12"/>
  <c r="D81" i="12"/>
  <c r="C81" i="12"/>
  <c r="J80" i="12"/>
  <c r="H80" i="12"/>
  <c r="F80" i="12"/>
  <c r="D80" i="12"/>
  <c r="C80" i="12"/>
  <c r="J79" i="12"/>
  <c r="H79" i="12"/>
  <c r="F79" i="12"/>
  <c r="D79" i="12"/>
  <c r="C79" i="12"/>
  <c r="J78" i="12"/>
  <c r="H78" i="12"/>
  <c r="F78" i="12"/>
  <c r="D78" i="12"/>
  <c r="C78" i="12"/>
  <c r="J77" i="12"/>
  <c r="H77" i="12"/>
  <c r="F77" i="12"/>
  <c r="D77" i="12"/>
  <c r="C77" i="12"/>
  <c r="J76" i="12"/>
  <c r="H76" i="12"/>
  <c r="F76" i="12"/>
  <c r="D76" i="12"/>
  <c r="C76" i="12"/>
  <c r="J75" i="12"/>
  <c r="H75" i="12"/>
  <c r="F75" i="12"/>
  <c r="D75" i="12"/>
  <c r="C75" i="12"/>
  <c r="J74" i="12"/>
  <c r="H74" i="12"/>
  <c r="F74" i="12"/>
  <c r="D74" i="12"/>
  <c r="C74" i="12"/>
  <c r="J73" i="12"/>
  <c r="H73" i="12"/>
  <c r="F73" i="12"/>
  <c r="D73" i="12"/>
  <c r="C73" i="12"/>
  <c r="J72" i="12"/>
  <c r="H72" i="12"/>
  <c r="F72" i="12"/>
  <c r="D72" i="12"/>
  <c r="C72" i="12"/>
  <c r="J71" i="12"/>
  <c r="H71" i="12"/>
  <c r="F71" i="12"/>
  <c r="D71" i="12"/>
  <c r="C71" i="12"/>
  <c r="J70" i="12"/>
  <c r="H70" i="12"/>
  <c r="F70" i="12"/>
  <c r="D70" i="12"/>
  <c r="C70" i="12"/>
  <c r="J69" i="12"/>
  <c r="H69" i="12"/>
  <c r="F69" i="12"/>
  <c r="D69" i="12"/>
  <c r="C69" i="12"/>
  <c r="J68" i="12"/>
  <c r="H68" i="12"/>
  <c r="F68" i="12"/>
  <c r="D68" i="12"/>
  <c r="C68" i="12"/>
  <c r="J67" i="12"/>
  <c r="H67" i="12"/>
  <c r="F67" i="12"/>
  <c r="D67" i="12"/>
  <c r="C67" i="12"/>
  <c r="J66" i="12"/>
  <c r="H66" i="12"/>
  <c r="F66" i="12"/>
  <c r="D66" i="12"/>
  <c r="C66" i="12"/>
  <c r="J65" i="12"/>
  <c r="H65" i="12"/>
  <c r="F65" i="12"/>
  <c r="D65" i="12"/>
  <c r="C65" i="12"/>
  <c r="J64" i="12"/>
  <c r="H64" i="12"/>
  <c r="F64" i="12"/>
  <c r="D64" i="12"/>
  <c r="C64" i="12"/>
  <c r="J63" i="12"/>
  <c r="H63" i="12"/>
  <c r="F63" i="12"/>
  <c r="D63" i="12"/>
  <c r="C63" i="12"/>
  <c r="J62" i="12"/>
  <c r="H62" i="12"/>
  <c r="F62" i="12"/>
  <c r="D62" i="12"/>
  <c r="C62" i="12"/>
  <c r="J61" i="12"/>
  <c r="H61" i="12"/>
  <c r="F61" i="12"/>
  <c r="D61" i="12"/>
  <c r="C61" i="12"/>
  <c r="J60" i="12"/>
  <c r="H60" i="12"/>
  <c r="F60" i="12"/>
  <c r="D60" i="12"/>
  <c r="C60" i="12"/>
  <c r="J59" i="12"/>
  <c r="H59" i="12"/>
  <c r="F59" i="12"/>
  <c r="D59" i="12"/>
  <c r="C59" i="12"/>
  <c r="J58" i="12"/>
  <c r="H58" i="12"/>
  <c r="F58" i="12"/>
  <c r="D58" i="12"/>
  <c r="C58" i="12"/>
  <c r="J57" i="12"/>
  <c r="H57" i="12"/>
  <c r="F57" i="12"/>
  <c r="D57" i="12"/>
  <c r="C57" i="12"/>
  <c r="J56" i="12"/>
  <c r="H56" i="12"/>
  <c r="F56" i="12"/>
  <c r="D56" i="12"/>
  <c r="C56" i="12"/>
  <c r="J55" i="12"/>
  <c r="H55" i="12"/>
  <c r="F55" i="12"/>
  <c r="D55" i="12"/>
  <c r="C55" i="12"/>
  <c r="J54" i="12"/>
  <c r="H54" i="12"/>
  <c r="F54" i="12"/>
  <c r="D54" i="12"/>
  <c r="C54" i="12"/>
  <c r="J53" i="12"/>
  <c r="H53" i="12"/>
  <c r="F53" i="12"/>
  <c r="D53" i="12"/>
  <c r="C53" i="12"/>
  <c r="J52" i="12"/>
  <c r="H52" i="12"/>
  <c r="F52" i="12"/>
  <c r="D52" i="12"/>
  <c r="C52" i="12"/>
  <c r="J51" i="12"/>
  <c r="H51" i="12"/>
  <c r="F51" i="12"/>
  <c r="D51" i="12"/>
  <c r="C51" i="12"/>
  <c r="J50" i="12"/>
  <c r="H50" i="12"/>
  <c r="F50" i="12"/>
  <c r="D50" i="12"/>
  <c r="C50" i="12"/>
  <c r="J49" i="12"/>
  <c r="H49" i="12"/>
  <c r="F49" i="12"/>
  <c r="D49" i="12"/>
  <c r="C49" i="12"/>
  <c r="J48" i="12"/>
  <c r="H48" i="12"/>
  <c r="F48" i="12"/>
  <c r="D48" i="12"/>
  <c r="C48" i="12"/>
  <c r="J47" i="12"/>
  <c r="H47" i="12"/>
  <c r="F47" i="12"/>
  <c r="D47" i="12"/>
  <c r="C47" i="12"/>
  <c r="J46" i="12"/>
  <c r="H46" i="12"/>
  <c r="F46" i="12"/>
  <c r="D46" i="12"/>
  <c r="C46" i="12"/>
  <c r="J45" i="12"/>
  <c r="H45" i="12"/>
  <c r="F45" i="12"/>
  <c r="D45" i="12"/>
  <c r="C45" i="12"/>
  <c r="J44" i="12"/>
  <c r="H44" i="12"/>
  <c r="F44" i="12"/>
  <c r="D44" i="12"/>
  <c r="C44" i="12"/>
  <c r="J43" i="12"/>
  <c r="H43" i="12"/>
  <c r="F43" i="12"/>
  <c r="D43" i="12"/>
  <c r="C43" i="12"/>
  <c r="J42" i="12"/>
  <c r="H42" i="12"/>
  <c r="F42" i="12"/>
  <c r="D42" i="12"/>
  <c r="C42" i="12"/>
  <c r="J41" i="12"/>
  <c r="H41" i="12"/>
  <c r="F41" i="12"/>
  <c r="D41" i="12"/>
  <c r="C41" i="12"/>
  <c r="J40" i="12"/>
  <c r="H40" i="12"/>
  <c r="F40" i="12"/>
  <c r="D40" i="12"/>
  <c r="C40" i="12"/>
  <c r="J39" i="12"/>
  <c r="H39" i="12"/>
  <c r="F39" i="12"/>
  <c r="D39" i="12"/>
  <c r="C39" i="12"/>
  <c r="J38" i="12"/>
  <c r="H38" i="12"/>
  <c r="F38" i="12"/>
  <c r="D38" i="12"/>
  <c r="C38" i="12"/>
  <c r="J37" i="12"/>
  <c r="H37" i="12"/>
  <c r="F37" i="12"/>
  <c r="D37" i="12"/>
  <c r="C37" i="12"/>
  <c r="J36" i="12"/>
  <c r="H36" i="12"/>
  <c r="F36" i="12"/>
  <c r="D36" i="12"/>
  <c r="C36" i="12"/>
  <c r="J35" i="12"/>
  <c r="H35" i="12"/>
  <c r="F35" i="12"/>
  <c r="D35" i="12"/>
  <c r="C35" i="12"/>
  <c r="J34" i="12"/>
  <c r="H34" i="12"/>
  <c r="F34" i="12"/>
  <c r="D34" i="12"/>
  <c r="C34" i="12"/>
  <c r="J33" i="12"/>
  <c r="H33" i="12"/>
  <c r="F33" i="12"/>
  <c r="D33" i="12"/>
  <c r="C33" i="12"/>
  <c r="J32" i="12"/>
  <c r="H32" i="12"/>
  <c r="F32" i="12"/>
  <c r="D32" i="12"/>
  <c r="C32" i="12"/>
  <c r="J31" i="12"/>
  <c r="H31" i="12"/>
  <c r="F31" i="12"/>
  <c r="D31" i="12"/>
  <c r="C31" i="12"/>
  <c r="J30" i="12"/>
  <c r="H30" i="12"/>
  <c r="F30" i="12"/>
  <c r="D30" i="12"/>
  <c r="C30" i="12"/>
  <c r="J29" i="12"/>
  <c r="H29" i="12"/>
  <c r="F29" i="12"/>
  <c r="D29" i="12"/>
  <c r="C29" i="12"/>
  <c r="J28" i="12"/>
  <c r="H28" i="12"/>
  <c r="F28" i="12"/>
  <c r="D28" i="12"/>
  <c r="C28" i="12"/>
  <c r="J27" i="12"/>
  <c r="H27" i="12"/>
  <c r="F27" i="12"/>
  <c r="D27" i="12"/>
  <c r="C27" i="12"/>
  <c r="J26" i="12"/>
  <c r="H26" i="12"/>
  <c r="F26" i="12"/>
  <c r="D26" i="12"/>
  <c r="C26" i="12"/>
  <c r="J25" i="12"/>
  <c r="H25" i="12"/>
  <c r="F25" i="12"/>
  <c r="D25" i="12"/>
  <c r="C25" i="12"/>
  <c r="J24" i="12"/>
  <c r="H24" i="12"/>
  <c r="F24" i="12"/>
  <c r="D24" i="12"/>
  <c r="C24" i="12"/>
  <c r="J23" i="12"/>
  <c r="H23" i="12"/>
  <c r="F23" i="12"/>
  <c r="D23" i="12"/>
  <c r="C23" i="12"/>
  <c r="J22" i="12"/>
  <c r="H22" i="12"/>
  <c r="F22" i="12"/>
  <c r="D22" i="12"/>
  <c r="C22" i="12"/>
  <c r="J21" i="12"/>
  <c r="H21" i="12"/>
  <c r="F21" i="12"/>
  <c r="D21" i="12"/>
  <c r="C21" i="12"/>
  <c r="J20" i="12"/>
  <c r="H20" i="12"/>
  <c r="F20" i="12"/>
  <c r="D20" i="12"/>
  <c r="C20" i="12"/>
  <c r="J19" i="12"/>
  <c r="H19" i="12"/>
  <c r="F19" i="12"/>
  <c r="D19" i="12"/>
  <c r="C19" i="12"/>
  <c r="J18" i="12"/>
  <c r="H18" i="12"/>
  <c r="F18" i="12"/>
  <c r="D18" i="12"/>
  <c r="C18" i="12"/>
  <c r="J17" i="12"/>
  <c r="H17" i="12"/>
  <c r="F17" i="12"/>
  <c r="D17" i="12"/>
  <c r="C17" i="12"/>
  <c r="J16" i="12"/>
  <c r="H16" i="12"/>
  <c r="F16" i="12"/>
  <c r="D16" i="12"/>
  <c r="C16" i="12"/>
  <c r="I5" i="12"/>
  <c r="B4" i="11"/>
  <c r="E33" i="11" s="1"/>
  <c r="K1879" i="9"/>
  <c r="I1879" i="9"/>
  <c r="E1879" i="9"/>
  <c r="E1879" i="17" s="1"/>
  <c r="K1878" i="9"/>
  <c r="I1878" i="9"/>
  <c r="I1878" i="17" s="1"/>
  <c r="E1878" i="9"/>
  <c r="E1878" i="17" s="1"/>
  <c r="K1877" i="9"/>
  <c r="I1877" i="9"/>
  <c r="F1877" i="9"/>
  <c r="F1877" i="17" s="1"/>
  <c r="E1877" i="9"/>
  <c r="E1877" i="17" s="1"/>
  <c r="K1876" i="9"/>
  <c r="I1876" i="9"/>
  <c r="F1876" i="9"/>
  <c r="F1876" i="17" s="1"/>
  <c r="E1876" i="9"/>
  <c r="E1876" i="17" s="1"/>
  <c r="K1875" i="9"/>
  <c r="I1875" i="9"/>
  <c r="F1875" i="9"/>
  <c r="F1875" i="17" s="1"/>
  <c r="E1875" i="9"/>
  <c r="E1875" i="17" s="1"/>
  <c r="K1874" i="9"/>
  <c r="E1874" i="9"/>
  <c r="E1874" i="17" s="1"/>
  <c r="K1873" i="9"/>
  <c r="E1873" i="9"/>
  <c r="E1873" i="17" s="1"/>
  <c r="K1872" i="9"/>
  <c r="E1872" i="9"/>
  <c r="E1872" i="17" s="1"/>
  <c r="K1871" i="9"/>
  <c r="I1871" i="9"/>
  <c r="E1871" i="9"/>
  <c r="E1871" i="17" s="1"/>
  <c r="K1870" i="9"/>
  <c r="I1870" i="9"/>
  <c r="E1870" i="9"/>
  <c r="E1870" i="17" s="1"/>
  <c r="K1869" i="9"/>
  <c r="I1869" i="9"/>
  <c r="F1869" i="9"/>
  <c r="F1869" i="17" s="1"/>
  <c r="E1869" i="9"/>
  <c r="E1869" i="17" s="1"/>
  <c r="K1868" i="9"/>
  <c r="I1868" i="9"/>
  <c r="F1868" i="9"/>
  <c r="F1868" i="17" s="1"/>
  <c r="E1868" i="9"/>
  <c r="E1868" i="17" s="1"/>
  <c r="K1867" i="9"/>
  <c r="I1867" i="9"/>
  <c r="I1867" i="17" s="1"/>
  <c r="F1867" i="9"/>
  <c r="F1867" i="17" s="1"/>
  <c r="E1867" i="9"/>
  <c r="E1867" i="17" s="1"/>
  <c r="K1866" i="9"/>
  <c r="E1866" i="9"/>
  <c r="E1866" i="17" s="1"/>
  <c r="K1865" i="9"/>
  <c r="E1865" i="9"/>
  <c r="E1865" i="17" s="1"/>
  <c r="K1864" i="9"/>
  <c r="E1864" i="9"/>
  <c r="E1864" i="17" s="1"/>
  <c r="K1863" i="9"/>
  <c r="I1863" i="9"/>
  <c r="E1863" i="9"/>
  <c r="E1863" i="17" s="1"/>
  <c r="K1862" i="9"/>
  <c r="I1862" i="9"/>
  <c r="I1862" i="17" s="1"/>
  <c r="E1862" i="9"/>
  <c r="E1862" i="17" s="1"/>
  <c r="K1861" i="9"/>
  <c r="I1861" i="9"/>
  <c r="I1861" i="17" s="1"/>
  <c r="E1861" i="9"/>
  <c r="E1861" i="17" s="1"/>
  <c r="K1860" i="9"/>
  <c r="I1860" i="9"/>
  <c r="I1860" i="17" s="1"/>
  <c r="F1860" i="9"/>
  <c r="F1860" i="17" s="1"/>
  <c r="E1860" i="9"/>
  <c r="E1860" i="17" s="1"/>
  <c r="K1859" i="9"/>
  <c r="I1859" i="9"/>
  <c r="I1859" i="17" s="1"/>
  <c r="F1859" i="9"/>
  <c r="F1859" i="17" s="1"/>
  <c r="E1859" i="9"/>
  <c r="E1859" i="17" s="1"/>
  <c r="K1858" i="9"/>
  <c r="E1858" i="9"/>
  <c r="E1858" i="17" s="1"/>
  <c r="K1857" i="9"/>
  <c r="E1857" i="9"/>
  <c r="E1857" i="17" s="1"/>
  <c r="K1856" i="9"/>
  <c r="E1856" i="9"/>
  <c r="E1856" i="17" s="1"/>
  <c r="K1855" i="9"/>
  <c r="I1855" i="9"/>
  <c r="I1855" i="17" s="1"/>
  <c r="E1855" i="9"/>
  <c r="E1855" i="17" s="1"/>
  <c r="K1854" i="9"/>
  <c r="I1854" i="9"/>
  <c r="E1854" i="9"/>
  <c r="E1854" i="17" s="1"/>
  <c r="K1853" i="9"/>
  <c r="I1853" i="9"/>
  <c r="I1853" i="17" s="1"/>
  <c r="E1853" i="9"/>
  <c r="E1853" i="17" s="1"/>
  <c r="K1852" i="9"/>
  <c r="I1852" i="9"/>
  <c r="I1852" i="17" s="1"/>
  <c r="F1852" i="9"/>
  <c r="F1852" i="17" s="1"/>
  <c r="E1852" i="9"/>
  <c r="E1852" i="17" s="1"/>
  <c r="K1851" i="9"/>
  <c r="I1851" i="9"/>
  <c r="I1851" i="17" s="1"/>
  <c r="E1851" i="9"/>
  <c r="E1851" i="17" s="1"/>
  <c r="K1850" i="9"/>
  <c r="I1850" i="9"/>
  <c r="I1850" i="17" s="1"/>
  <c r="E1850" i="9"/>
  <c r="E1850" i="17" s="1"/>
  <c r="K1849" i="9"/>
  <c r="I1849" i="9"/>
  <c r="I1849" i="17" s="1"/>
  <c r="F1849" i="9"/>
  <c r="F1849" i="17" s="1"/>
  <c r="E1849" i="9"/>
  <c r="E1849" i="17" s="1"/>
  <c r="K1848" i="9"/>
  <c r="I1848" i="9"/>
  <c r="E1848" i="9"/>
  <c r="E1848" i="17" s="1"/>
  <c r="K1847" i="9"/>
  <c r="I1847" i="9"/>
  <c r="I1847" i="17" s="1"/>
  <c r="E1847" i="9"/>
  <c r="E1847" i="17" s="1"/>
  <c r="K1846" i="9"/>
  <c r="I1846" i="9"/>
  <c r="I1846" i="17" s="1"/>
  <c r="F1846" i="9"/>
  <c r="F1846" i="17" s="1"/>
  <c r="E1846" i="9"/>
  <c r="E1846" i="17" s="1"/>
  <c r="K1845" i="9"/>
  <c r="I1845" i="9"/>
  <c r="E1845" i="9"/>
  <c r="E1845" i="17" s="1"/>
  <c r="K1844" i="9"/>
  <c r="I1844" i="9"/>
  <c r="E1844" i="9"/>
  <c r="E1844" i="17" s="1"/>
  <c r="K1843" i="9"/>
  <c r="I1843" i="9"/>
  <c r="E1843" i="9"/>
  <c r="E1843" i="17" s="1"/>
  <c r="K1842" i="9"/>
  <c r="I1842" i="9"/>
  <c r="F1842" i="9"/>
  <c r="F1842" i="17" s="1"/>
  <c r="E1842" i="9"/>
  <c r="E1842" i="17" s="1"/>
  <c r="K1841" i="9"/>
  <c r="I1841" i="9"/>
  <c r="E1841" i="9"/>
  <c r="E1841" i="17" s="1"/>
  <c r="K1840" i="9"/>
  <c r="I1840" i="9"/>
  <c r="I1840" i="17" s="1"/>
  <c r="E1840" i="9"/>
  <c r="E1840" i="17" s="1"/>
  <c r="K1839" i="9"/>
  <c r="I1839" i="9"/>
  <c r="I1839" i="17" s="1"/>
  <c r="E1839" i="9"/>
  <c r="E1839" i="17" s="1"/>
  <c r="K1838" i="9"/>
  <c r="I1838" i="9"/>
  <c r="I1838" i="17" s="1"/>
  <c r="E1838" i="9"/>
  <c r="E1838" i="17" s="1"/>
  <c r="K1837" i="9"/>
  <c r="I1837" i="9"/>
  <c r="I1837" i="17" s="1"/>
  <c r="F1837" i="9"/>
  <c r="F1837" i="17" s="1"/>
  <c r="E1837" i="9"/>
  <c r="E1837" i="17" s="1"/>
  <c r="K1836" i="9"/>
  <c r="I1836" i="9"/>
  <c r="I1836" i="17" s="1"/>
  <c r="F1836" i="9"/>
  <c r="F1836" i="17" s="1"/>
  <c r="E1836" i="9"/>
  <c r="E1836" i="17" s="1"/>
  <c r="K1835" i="9"/>
  <c r="I1835" i="9"/>
  <c r="I1835" i="17" s="1"/>
  <c r="F1835" i="9"/>
  <c r="F1835" i="17" s="1"/>
  <c r="E1835" i="9"/>
  <c r="E1835" i="17" s="1"/>
  <c r="K1834" i="9"/>
  <c r="I1834" i="9"/>
  <c r="I1834" i="17" s="1"/>
  <c r="E1834" i="9"/>
  <c r="E1834" i="17" s="1"/>
  <c r="K1833" i="9"/>
  <c r="I1833" i="9"/>
  <c r="E1833" i="9"/>
  <c r="E1833" i="17" s="1"/>
  <c r="K1832" i="9"/>
  <c r="I1832" i="9"/>
  <c r="I1832" i="17" s="1"/>
  <c r="E1832" i="9"/>
  <c r="E1832" i="17" s="1"/>
  <c r="K1831" i="9"/>
  <c r="I1831" i="9"/>
  <c r="E1831" i="9"/>
  <c r="E1831" i="17" s="1"/>
  <c r="K1830" i="9"/>
  <c r="I1830" i="9"/>
  <c r="E1830" i="9"/>
  <c r="E1830" i="17" s="1"/>
  <c r="K1829" i="9"/>
  <c r="I1829" i="9"/>
  <c r="E1829" i="9"/>
  <c r="E1829" i="17" s="1"/>
  <c r="K1828" i="9"/>
  <c r="I1828" i="9"/>
  <c r="I1828" i="17" s="1"/>
  <c r="E1828" i="9"/>
  <c r="E1828" i="17" s="1"/>
  <c r="K1827" i="9"/>
  <c r="I1827" i="9"/>
  <c r="F1827" i="9"/>
  <c r="F1827" i="17" s="1"/>
  <c r="E1827" i="9"/>
  <c r="E1827" i="17" s="1"/>
  <c r="K1826" i="9"/>
  <c r="I1826" i="9"/>
  <c r="F1826" i="9"/>
  <c r="F1826" i="17" s="1"/>
  <c r="E1826" i="9"/>
  <c r="E1826" i="17" s="1"/>
  <c r="K1825" i="9"/>
  <c r="I1825" i="9"/>
  <c r="F1825" i="9"/>
  <c r="F1825" i="17" s="1"/>
  <c r="E1825" i="9"/>
  <c r="E1825" i="17" s="1"/>
  <c r="K1824" i="9"/>
  <c r="I1824" i="9"/>
  <c r="I1824" i="17" s="1"/>
  <c r="F1824" i="9"/>
  <c r="F1824" i="17" s="1"/>
  <c r="E1824" i="9"/>
  <c r="E1824" i="17" s="1"/>
  <c r="K1823" i="9"/>
  <c r="I1823" i="9"/>
  <c r="F1823" i="9"/>
  <c r="F1823" i="17" s="1"/>
  <c r="E1823" i="9"/>
  <c r="E1823" i="17" s="1"/>
  <c r="K1822" i="9"/>
  <c r="I1822" i="9"/>
  <c r="I1822" i="17" s="1"/>
  <c r="F1822" i="9"/>
  <c r="F1822" i="17" s="1"/>
  <c r="E1822" i="9"/>
  <c r="E1822" i="17" s="1"/>
  <c r="K1821" i="9"/>
  <c r="I1821" i="9"/>
  <c r="I1821" i="17" s="1"/>
  <c r="F1821" i="9"/>
  <c r="F1821" i="17" s="1"/>
  <c r="E1821" i="9"/>
  <c r="E1821" i="17" s="1"/>
  <c r="K1820" i="9"/>
  <c r="I1820" i="9"/>
  <c r="I1820" i="17" s="1"/>
  <c r="F1820" i="9"/>
  <c r="F1820" i="17" s="1"/>
  <c r="E1820" i="9"/>
  <c r="E1820" i="17" s="1"/>
  <c r="K1819" i="9"/>
  <c r="I1819" i="9"/>
  <c r="I1819" i="17" s="1"/>
  <c r="F1819" i="9"/>
  <c r="F1819" i="17" s="1"/>
  <c r="E1819" i="9"/>
  <c r="E1819" i="17" s="1"/>
  <c r="K1818" i="9"/>
  <c r="E1818" i="9"/>
  <c r="E1818" i="17" s="1"/>
  <c r="K1817" i="9"/>
  <c r="I1817" i="9"/>
  <c r="E1817" i="9"/>
  <c r="E1817" i="17" s="1"/>
  <c r="K1816" i="9"/>
  <c r="I1816" i="9"/>
  <c r="I1816" i="17" s="1"/>
  <c r="E1816" i="9"/>
  <c r="E1816" i="17" s="1"/>
  <c r="K1815" i="9"/>
  <c r="I1815" i="9"/>
  <c r="I1815" i="17" s="1"/>
  <c r="E1815" i="9"/>
  <c r="E1815" i="17" s="1"/>
  <c r="K1814" i="9"/>
  <c r="I1814" i="9"/>
  <c r="I1814" i="17" s="1"/>
  <c r="F1814" i="9"/>
  <c r="F1814" i="17" s="1"/>
  <c r="E1814" i="9"/>
  <c r="E1814" i="17" s="1"/>
  <c r="K1813" i="9"/>
  <c r="I1813" i="9"/>
  <c r="I1813" i="17" s="1"/>
  <c r="F1813" i="9"/>
  <c r="F1813" i="17" s="1"/>
  <c r="E1813" i="9"/>
  <c r="E1813" i="17" s="1"/>
  <c r="K1812" i="9"/>
  <c r="I1812" i="9"/>
  <c r="E1812" i="9"/>
  <c r="E1812" i="17" s="1"/>
  <c r="K1811" i="9"/>
  <c r="I1811" i="9"/>
  <c r="I1811" i="17" s="1"/>
  <c r="E1811" i="9"/>
  <c r="E1811" i="17" s="1"/>
  <c r="K1810" i="9"/>
  <c r="I1810" i="9"/>
  <c r="E1810" i="9"/>
  <c r="E1810" i="17" s="1"/>
  <c r="K1809" i="9"/>
  <c r="I1809" i="9"/>
  <c r="F1809" i="9"/>
  <c r="F1809" i="17" s="1"/>
  <c r="E1809" i="9"/>
  <c r="E1809" i="17" s="1"/>
  <c r="K1808" i="9"/>
  <c r="I1808" i="9"/>
  <c r="E1808" i="9"/>
  <c r="E1808" i="17" s="1"/>
  <c r="K1807" i="9"/>
  <c r="I1807" i="9"/>
  <c r="I1807" i="17" s="1"/>
  <c r="E1807" i="9"/>
  <c r="E1807" i="17" s="1"/>
  <c r="K1806" i="9"/>
  <c r="I1806" i="9"/>
  <c r="I1806" i="17" s="1"/>
  <c r="E1806" i="9"/>
  <c r="E1806" i="17" s="1"/>
  <c r="K1805" i="9"/>
  <c r="I1805" i="9"/>
  <c r="I1805" i="17" s="1"/>
  <c r="F1805" i="9"/>
  <c r="F1805" i="17" s="1"/>
  <c r="E1805" i="9"/>
  <c r="E1805" i="17" s="1"/>
  <c r="K1804" i="9"/>
  <c r="I1804" i="9"/>
  <c r="I1804" i="17" s="1"/>
  <c r="F1804" i="9"/>
  <c r="F1804" i="17" s="1"/>
  <c r="E1804" i="9"/>
  <c r="E1804" i="17" s="1"/>
  <c r="K1803" i="9"/>
  <c r="I1803" i="9"/>
  <c r="I1803" i="17" s="1"/>
  <c r="F1803" i="9"/>
  <c r="F1803" i="17" s="1"/>
  <c r="E1803" i="9"/>
  <c r="E1803" i="17" s="1"/>
  <c r="K1802" i="9"/>
  <c r="I1802" i="9"/>
  <c r="I1802" i="17" s="1"/>
  <c r="F1802" i="9"/>
  <c r="F1802" i="17" s="1"/>
  <c r="E1802" i="9"/>
  <c r="E1802" i="17" s="1"/>
  <c r="K1801" i="9"/>
  <c r="I1801" i="9"/>
  <c r="F1801" i="9"/>
  <c r="F1801" i="17" s="1"/>
  <c r="E1801" i="9"/>
  <c r="E1801" i="17" s="1"/>
  <c r="K1800" i="9"/>
  <c r="I1800" i="9"/>
  <c r="I1800" i="17" s="1"/>
  <c r="F1800" i="9"/>
  <c r="F1800" i="17" s="1"/>
  <c r="E1800" i="9"/>
  <c r="E1800" i="17" s="1"/>
  <c r="K1799" i="9"/>
  <c r="I1799" i="9"/>
  <c r="I1799" i="17" s="1"/>
  <c r="E1799" i="9"/>
  <c r="E1799" i="17" s="1"/>
  <c r="K1798" i="9"/>
  <c r="I1798" i="9"/>
  <c r="E1798" i="9"/>
  <c r="E1798" i="17" s="1"/>
  <c r="K1797" i="9"/>
  <c r="I1797" i="9"/>
  <c r="I1797" i="17" s="1"/>
  <c r="E1797" i="9"/>
  <c r="E1797" i="17" s="1"/>
  <c r="K1796" i="9"/>
  <c r="I1796" i="9"/>
  <c r="E1796" i="9"/>
  <c r="E1796" i="17" s="1"/>
  <c r="K1795" i="9"/>
  <c r="I1795" i="9"/>
  <c r="I1795" i="17" s="1"/>
  <c r="E1795" i="9"/>
  <c r="E1795" i="17" s="1"/>
  <c r="K1794" i="9"/>
  <c r="I1794" i="9"/>
  <c r="F1794" i="9"/>
  <c r="F1794" i="17" s="1"/>
  <c r="E1794" i="9"/>
  <c r="E1794" i="17" s="1"/>
  <c r="K1793" i="9"/>
  <c r="I1793" i="9"/>
  <c r="E1793" i="9"/>
  <c r="E1793" i="17" s="1"/>
  <c r="K1792" i="9"/>
  <c r="I1792" i="9"/>
  <c r="I1792" i="17" s="1"/>
  <c r="F1792" i="9"/>
  <c r="F1792" i="17" s="1"/>
  <c r="E1792" i="9"/>
  <c r="E1792" i="17" s="1"/>
  <c r="K1791" i="9"/>
  <c r="I1791" i="9"/>
  <c r="F1791" i="9"/>
  <c r="F1791" i="17" s="1"/>
  <c r="E1791" i="9"/>
  <c r="E1791" i="17" s="1"/>
  <c r="K1790" i="9"/>
  <c r="I1790" i="9"/>
  <c r="F1790" i="9"/>
  <c r="F1790" i="17" s="1"/>
  <c r="E1790" i="9"/>
  <c r="E1790" i="17" s="1"/>
  <c r="K1789" i="9"/>
  <c r="I1789" i="9"/>
  <c r="F1789" i="9"/>
  <c r="F1789" i="17" s="1"/>
  <c r="E1789" i="9"/>
  <c r="E1789" i="17" s="1"/>
  <c r="K1788" i="9"/>
  <c r="I1788" i="9"/>
  <c r="I1788" i="17" s="1"/>
  <c r="F1788" i="9"/>
  <c r="F1788" i="17" s="1"/>
  <c r="E1788" i="9"/>
  <c r="E1788" i="17" s="1"/>
  <c r="K1787" i="9"/>
  <c r="I1787" i="9"/>
  <c r="F1787" i="9"/>
  <c r="F1787" i="17" s="1"/>
  <c r="E1787" i="9"/>
  <c r="E1787" i="17" s="1"/>
  <c r="K1786" i="9"/>
  <c r="I1786" i="9"/>
  <c r="I1786" i="17" s="1"/>
  <c r="F1786" i="9"/>
  <c r="F1786" i="17" s="1"/>
  <c r="E1786" i="9"/>
  <c r="E1786" i="17" s="1"/>
  <c r="K1785" i="9"/>
  <c r="I1785" i="9"/>
  <c r="F1785" i="9"/>
  <c r="F1785" i="17" s="1"/>
  <c r="E1785" i="9"/>
  <c r="E1785" i="17" s="1"/>
  <c r="K1784" i="9"/>
  <c r="I1784" i="9"/>
  <c r="F1784" i="9"/>
  <c r="F1784" i="17" s="1"/>
  <c r="E1784" i="9"/>
  <c r="E1784" i="17" s="1"/>
  <c r="K1783" i="9"/>
  <c r="I1783" i="9"/>
  <c r="F1783" i="9"/>
  <c r="F1783" i="17" s="1"/>
  <c r="E1783" i="9"/>
  <c r="E1783" i="17" s="1"/>
  <c r="K1782" i="9"/>
  <c r="I1782" i="9"/>
  <c r="I1782" i="17" s="1"/>
  <c r="F1782" i="9"/>
  <c r="F1782" i="17" s="1"/>
  <c r="E1782" i="9"/>
  <c r="E1782" i="17" s="1"/>
  <c r="K1781" i="9"/>
  <c r="I1781" i="9"/>
  <c r="F1781" i="9"/>
  <c r="F1781" i="17" s="1"/>
  <c r="E1781" i="9"/>
  <c r="E1781" i="17" s="1"/>
  <c r="K1780" i="9"/>
  <c r="I1780" i="9"/>
  <c r="I1780" i="17" s="1"/>
  <c r="F1780" i="9"/>
  <c r="F1780" i="17" s="1"/>
  <c r="E1780" i="9"/>
  <c r="E1780" i="17" s="1"/>
  <c r="K1779" i="9"/>
  <c r="I1779" i="9"/>
  <c r="I1779" i="17" s="1"/>
  <c r="F1779" i="9"/>
  <c r="F1779" i="17" s="1"/>
  <c r="E1779" i="9"/>
  <c r="E1779" i="17" s="1"/>
  <c r="K1778" i="9"/>
  <c r="I1778" i="9"/>
  <c r="I1778" i="17" s="1"/>
  <c r="F1778" i="9"/>
  <c r="F1778" i="17" s="1"/>
  <c r="E1778" i="9"/>
  <c r="E1778" i="17" s="1"/>
  <c r="K1777" i="9"/>
  <c r="I1777" i="9"/>
  <c r="F1777" i="9"/>
  <c r="F1777" i="17" s="1"/>
  <c r="E1777" i="9"/>
  <c r="E1777" i="17" s="1"/>
  <c r="K1776" i="9"/>
  <c r="I1776" i="9"/>
  <c r="F1776" i="9"/>
  <c r="F1776" i="17" s="1"/>
  <c r="E1776" i="9"/>
  <c r="E1776" i="17" s="1"/>
  <c r="K1775" i="9"/>
  <c r="I1775" i="9"/>
  <c r="F1775" i="9"/>
  <c r="F1775" i="17" s="1"/>
  <c r="E1775" i="9"/>
  <c r="E1775" i="17" s="1"/>
  <c r="K1774" i="9"/>
  <c r="I1774" i="9"/>
  <c r="F1774" i="9"/>
  <c r="F1774" i="17" s="1"/>
  <c r="E1774" i="9"/>
  <c r="E1774" i="17" s="1"/>
  <c r="K1773" i="9"/>
  <c r="I1773" i="9"/>
  <c r="I1773" i="17" s="1"/>
  <c r="F1773" i="9"/>
  <c r="F1773" i="17" s="1"/>
  <c r="E1773" i="9"/>
  <c r="E1773" i="17" s="1"/>
  <c r="K1772" i="9"/>
  <c r="I1772" i="9"/>
  <c r="I1772" i="17" s="1"/>
  <c r="F1772" i="9"/>
  <c r="F1772" i="17" s="1"/>
  <c r="E1772" i="9"/>
  <c r="E1772" i="17" s="1"/>
  <c r="K1771" i="9"/>
  <c r="I1771" i="9"/>
  <c r="I1771" i="17" s="1"/>
  <c r="E1771" i="9"/>
  <c r="E1771" i="17" s="1"/>
  <c r="K1770" i="9"/>
  <c r="I1770" i="9"/>
  <c r="F1770" i="9"/>
  <c r="F1770" i="17" s="1"/>
  <c r="E1770" i="9"/>
  <c r="E1770" i="17" s="1"/>
  <c r="K1769" i="9"/>
  <c r="I1769" i="9"/>
  <c r="F1769" i="9"/>
  <c r="F1769" i="17" s="1"/>
  <c r="E1769" i="9"/>
  <c r="E1769" i="17" s="1"/>
  <c r="K1768" i="9"/>
  <c r="I1768" i="9"/>
  <c r="F1768" i="9"/>
  <c r="F1768" i="17" s="1"/>
  <c r="E1768" i="9"/>
  <c r="E1768" i="17" s="1"/>
  <c r="K1767" i="9"/>
  <c r="I1767" i="9"/>
  <c r="I1767" i="17" s="1"/>
  <c r="F1767" i="9"/>
  <c r="F1767" i="17" s="1"/>
  <c r="E1767" i="9"/>
  <c r="E1767" i="17" s="1"/>
  <c r="K1766" i="9"/>
  <c r="I1766" i="9"/>
  <c r="I1766" i="17" s="1"/>
  <c r="F1766" i="9"/>
  <c r="F1766" i="17" s="1"/>
  <c r="E1766" i="9"/>
  <c r="E1766" i="17" s="1"/>
  <c r="K1765" i="9"/>
  <c r="I1765" i="9"/>
  <c r="F1765" i="9"/>
  <c r="F1765" i="17" s="1"/>
  <c r="E1765" i="9"/>
  <c r="E1765" i="17" s="1"/>
  <c r="K1764" i="9"/>
  <c r="I1764" i="9"/>
  <c r="F1764" i="9"/>
  <c r="F1764" i="17" s="1"/>
  <c r="E1764" i="9"/>
  <c r="E1764" i="17" s="1"/>
  <c r="K1763" i="9"/>
  <c r="I1763" i="9"/>
  <c r="F1763" i="9"/>
  <c r="F1763" i="17" s="1"/>
  <c r="E1763" i="9"/>
  <c r="E1763" i="17" s="1"/>
  <c r="K1762" i="9"/>
  <c r="I1762" i="9"/>
  <c r="I1762" i="17" s="1"/>
  <c r="F1762" i="9"/>
  <c r="F1762" i="17" s="1"/>
  <c r="E1762" i="9"/>
  <c r="E1762" i="17" s="1"/>
  <c r="K1761" i="9"/>
  <c r="I1761" i="9"/>
  <c r="I1761" i="17" s="1"/>
  <c r="E1761" i="9"/>
  <c r="E1761" i="17" s="1"/>
  <c r="K1760" i="9"/>
  <c r="I1760" i="9"/>
  <c r="I1760" i="17" s="1"/>
  <c r="E1760" i="9"/>
  <c r="E1760" i="17" s="1"/>
  <c r="K1759" i="9"/>
  <c r="I1759" i="9"/>
  <c r="E1759" i="9"/>
  <c r="E1759" i="17" s="1"/>
  <c r="K1758" i="9"/>
  <c r="I1758" i="9"/>
  <c r="F1758" i="9"/>
  <c r="F1758" i="17" s="1"/>
  <c r="E1758" i="9"/>
  <c r="E1758" i="17" s="1"/>
  <c r="K1757" i="9"/>
  <c r="I1757" i="9"/>
  <c r="E1757" i="9"/>
  <c r="E1757" i="17" s="1"/>
  <c r="K1756" i="9"/>
  <c r="I1756" i="9"/>
  <c r="E1756" i="9"/>
  <c r="E1756" i="17" s="1"/>
  <c r="K1755" i="9"/>
  <c r="I1755" i="9"/>
  <c r="F1755" i="9"/>
  <c r="F1755" i="17" s="1"/>
  <c r="E1755" i="9"/>
  <c r="E1755" i="17" s="1"/>
  <c r="K1754" i="9"/>
  <c r="I1754" i="9"/>
  <c r="I1754" i="17" s="1"/>
  <c r="F1754" i="9"/>
  <c r="F1754" i="17" s="1"/>
  <c r="E1754" i="9"/>
  <c r="E1754" i="17" s="1"/>
  <c r="K1753" i="9"/>
  <c r="I1753" i="9"/>
  <c r="I1753" i="17" s="1"/>
  <c r="F1753" i="9"/>
  <c r="F1753" i="17" s="1"/>
  <c r="E1753" i="9"/>
  <c r="E1753" i="17" s="1"/>
  <c r="K1752" i="9"/>
  <c r="I1752" i="9"/>
  <c r="I1752" i="17" s="1"/>
  <c r="F1752" i="9"/>
  <c r="F1752" i="17" s="1"/>
  <c r="E1752" i="9"/>
  <c r="E1752" i="17" s="1"/>
  <c r="K1751" i="9"/>
  <c r="I1751" i="9"/>
  <c r="I1751" i="17" s="1"/>
  <c r="F1751" i="9"/>
  <c r="F1751" i="17" s="1"/>
  <c r="E1751" i="9"/>
  <c r="E1751" i="17" s="1"/>
  <c r="K1750" i="9"/>
  <c r="I1750" i="9"/>
  <c r="I1750" i="17" s="1"/>
  <c r="F1750" i="9"/>
  <c r="F1750" i="17" s="1"/>
  <c r="E1750" i="9"/>
  <c r="E1750" i="17" s="1"/>
  <c r="K1749" i="9"/>
  <c r="I1749" i="9"/>
  <c r="F1749" i="9"/>
  <c r="F1749" i="17" s="1"/>
  <c r="E1749" i="9"/>
  <c r="E1749" i="17" s="1"/>
  <c r="K1748" i="9"/>
  <c r="I1748" i="9"/>
  <c r="I1748" i="17" s="1"/>
  <c r="F1748" i="9"/>
  <c r="F1748" i="17" s="1"/>
  <c r="E1748" i="9"/>
  <c r="E1748" i="17" s="1"/>
  <c r="K1747" i="9"/>
  <c r="I1747" i="9"/>
  <c r="I1747" i="17" s="1"/>
  <c r="F1747" i="9"/>
  <c r="F1747" i="17" s="1"/>
  <c r="E1747" i="9"/>
  <c r="E1747" i="17" s="1"/>
  <c r="K1746" i="9"/>
  <c r="I1746" i="9"/>
  <c r="F1746" i="9"/>
  <c r="F1746" i="17" s="1"/>
  <c r="E1746" i="9"/>
  <c r="E1746" i="17" s="1"/>
  <c r="K1745" i="9"/>
  <c r="I1745" i="9"/>
  <c r="I1745" i="17" s="1"/>
  <c r="F1745" i="9"/>
  <c r="F1745" i="17" s="1"/>
  <c r="E1745" i="9"/>
  <c r="E1745" i="17" s="1"/>
  <c r="K1744" i="9"/>
  <c r="I1744" i="9"/>
  <c r="I1744" i="17" s="1"/>
  <c r="E1744" i="9"/>
  <c r="E1744" i="17" s="1"/>
  <c r="K1743" i="9"/>
  <c r="I1743" i="9"/>
  <c r="E1743" i="9"/>
  <c r="E1743" i="17" s="1"/>
  <c r="K1742" i="9"/>
  <c r="I1742" i="9"/>
  <c r="F1742" i="9"/>
  <c r="F1742" i="17" s="1"/>
  <c r="E1742" i="9"/>
  <c r="E1742" i="17" s="1"/>
  <c r="K1741" i="9"/>
  <c r="I1741" i="9"/>
  <c r="I1741" i="17" s="1"/>
  <c r="E1741" i="9"/>
  <c r="E1741" i="17" s="1"/>
  <c r="K1740" i="9"/>
  <c r="I1740" i="9"/>
  <c r="I1740" i="17" s="1"/>
  <c r="E1740" i="9"/>
  <c r="E1740" i="17" s="1"/>
  <c r="K1739" i="9"/>
  <c r="I1739" i="9"/>
  <c r="I1739" i="17" s="1"/>
  <c r="F1739" i="9"/>
  <c r="F1739" i="17" s="1"/>
  <c r="E1739" i="9"/>
  <c r="E1739" i="17" s="1"/>
  <c r="K1738" i="9"/>
  <c r="I1738" i="9"/>
  <c r="I1738" i="17" s="1"/>
  <c r="E1738" i="9"/>
  <c r="E1738" i="17" s="1"/>
  <c r="K1737" i="9"/>
  <c r="I1737" i="9"/>
  <c r="I1737" i="17" s="1"/>
  <c r="E1737" i="9"/>
  <c r="E1737" i="17" s="1"/>
  <c r="K1736" i="9"/>
  <c r="I1736" i="9"/>
  <c r="I1736" i="17" s="1"/>
  <c r="F1736" i="9"/>
  <c r="F1736" i="17" s="1"/>
  <c r="E1736" i="9"/>
  <c r="E1736" i="17" s="1"/>
  <c r="K1735" i="9"/>
  <c r="I1735" i="9"/>
  <c r="E1735" i="9"/>
  <c r="E1735" i="17" s="1"/>
  <c r="K1734" i="9"/>
  <c r="I1734" i="9"/>
  <c r="I1734" i="17" s="1"/>
  <c r="E1734" i="9"/>
  <c r="E1734" i="17" s="1"/>
  <c r="K1733" i="9"/>
  <c r="I1733" i="9"/>
  <c r="I1733" i="17" s="1"/>
  <c r="F1733" i="9"/>
  <c r="F1733" i="17" s="1"/>
  <c r="E1733" i="9"/>
  <c r="E1733" i="17" s="1"/>
  <c r="K1732" i="9"/>
  <c r="I1732" i="9"/>
  <c r="I1732" i="17" s="1"/>
  <c r="E1732" i="9"/>
  <c r="E1732" i="17" s="1"/>
  <c r="K1731" i="9"/>
  <c r="I1731" i="9"/>
  <c r="I1731" i="17" s="1"/>
  <c r="E1731" i="9"/>
  <c r="E1731" i="17" s="1"/>
  <c r="K1730" i="9"/>
  <c r="I1730" i="9"/>
  <c r="F1730" i="9"/>
  <c r="F1730" i="17" s="1"/>
  <c r="E1730" i="9"/>
  <c r="E1730" i="17" s="1"/>
  <c r="K1729" i="9"/>
  <c r="I1729" i="9"/>
  <c r="E1729" i="9"/>
  <c r="E1729" i="17" s="1"/>
  <c r="K1728" i="9"/>
  <c r="I1728" i="9"/>
  <c r="I1728" i="17" s="1"/>
  <c r="E1728" i="9"/>
  <c r="E1728" i="17" s="1"/>
  <c r="K1727" i="9"/>
  <c r="I1727" i="9"/>
  <c r="I1727" i="17" s="1"/>
  <c r="F1727" i="9"/>
  <c r="F1727" i="17" s="1"/>
  <c r="E1727" i="9"/>
  <c r="E1727" i="17" s="1"/>
  <c r="K1726" i="9"/>
  <c r="I1726" i="9"/>
  <c r="E1726" i="9"/>
  <c r="E1726" i="17" s="1"/>
  <c r="K1725" i="9"/>
  <c r="I1725" i="9"/>
  <c r="I1725" i="17" s="1"/>
  <c r="E1725" i="9"/>
  <c r="E1725" i="17" s="1"/>
  <c r="K1724" i="9"/>
  <c r="I1724" i="9"/>
  <c r="I1724" i="17" s="1"/>
  <c r="F1724" i="9"/>
  <c r="F1724" i="17" s="1"/>
  <c r="E1724" i="9"/>
  <c r="E1724" i="17" s="1"/>
  <c r="K1723" i="9"/>
  <c r="I1723" i="9"/>
  <c r="E1723" i="9"/>
  <c r="E1723" i="17" s="1"/>
  <c r="K1722" i="9"/>
  <c r="I1722" i="9"/>
  <c r="I1722" i="17" s="1"/>
  <c r="E1722" i="9"/>
  <c r="E1722" i="17" s="1"/>
  <c r="K1721" i="9"/>
  <c r="I1721" i="9"/>
  <c r="I1721" i="17" s="1"/>
  <c r="F1721" i="9"/>
  <c r="F1721" i="17" s="1"/>
  <c r="E1721" i="9"/>
  <c r="E1721" i="17" s="1"/>
  <c r="K1720" i="9"/>
  <c r="I1720" i="9"/>
  <c r="I1720" i="17" s="1"/>
  <c r="E1720" i="9"/>
  <c r="E1720" i="17" s="1"/>
  <c r="K1719" i="9"/>
  <c r="I1719" i="9"/>
  <c r="I1719" i="17" s="1"/>
  <c r="E1719" i="9"/>
  <c r="E1719" i="17" s="1"/>
  <c r="K1718" i="9"/>
  <c r="I1718" i="9"/>
  <c r="F1718" i="9"/>
  <c r="F1718" i="17" s="1"/>
  <c r="E1718" i="9"/>
  <c r="E1718" i="17" s="1"/>
  <c r="K1717" i="9"/>
  <c r="I1717" i="9"/>
  <c r="I1717" i="17" s="1"/>
  <c r="E1717" i="9"/>
  <c r="E1717" i="17" s="1"/>
  <c r="K1716" i="9"/>
  <c r="I1716" i="9"/>
  <c r="I1716" i="17" s="1"/>
  <c r="E1716" i="9"/>
  <c r="E1716" i="17" s="1"/>
  <c r="K1715" i="9"/>
  <c r="I1715" i="9"/>
  <c r="F1715" i="9"/>
  <c r="F1715" i="17" s="1"/>
  <c r="E1715" i="9"/>
  <c r="E1715" i="17" s="1"/>
  <c r="K1714" i="9"/>
  <c r="I1714" i="9"/>
  <c r="E1714" i="9"/>
  <c r="E1714" i="17" s="1"/>
  <c r="K1713" i="9"/>
  <c r="I1713" i="9"/>
  <c r="E1713" i="9"/>
  <c r="E1713" i="17" s="1"/>
  <c r="K1712" i="9"/>
  <c r="I1712" i="9"/>
  <c r="I1712" i="17" s="1"/>
  <c r="F1712" i="9"/>
  <c r="F1712" i="17" s="1"/>
  <c r="E1712" i="9"/>
  <c r="E1712" i="17" s="1"/>
  <c r="K1711" i="9"/>
  <c r="I1711" i="9"/>
  <c r="I1711" i="17" s="1"/>
  <c r="E1711" i="9"/>
  <c r="E1711" i="17" s="1"/>
  <c r="K1710" i="9"/>
  <c r="I1710" i="9"/>
  <c r="E1710" i="9"/>
  <c r="E1710" i="17" s="1"/>
  <c r="K1709" i="9"/>
  <c r="I1709" i="9"/>
  <c r="F1709" i="9"/>
  <c r="F1709" i="17" s="1"/>
  <c r="E1709" i="9"/>
  <c r="E1709" i="17" s="1"/>
  <c r="K1708" i="9"/>
  <c r="I1708" i="9"/>
  <c r="I1708" i="17" s="1"/>
  <c r="E1708" i="9"/>
  <c r="E1708" i="17" s="1"/>
  <c r="K1707" i="9"/>
  <c r="I1707" i="9"/>
  <c r="E1707" i="9"/>
  <c r="E1707" i="17" s="1"/>
  <c r="K1706" i="9"/>
  <c r="I1706" i="9"/>
  <c r="I1706" i="17" s="1"/>
  <c r="E1706" i="9"/>
  <c r="E1706" i="17" s="1"/>
  <c r="K1705" i="9"/>
  <c r="I1705" i="9"/>
  <c r="F1705" i="9"/>
  <c r="F1705" i="17" s="1"/>
  <c r="E1705" i="9"/>
  <c r="E1705" i="17" s="1"/>
  <c r="K1704" i="9"/>
  <c r="I1704" i="9"/>
  <c r="F1704" i="9"/>
  <c r="F1704" i="17" s="1"/>
  <c r="E1704" i="9"/>
  <c r="E1704" i="17" s="1"/>
  <c r="K1703" i="9"/>
  <c r="I1703" i="9"/>
  <c r="I1703" i="17" s="1"/>
  <c r="F1703" i="9"/>
  <c r="F1703" i="17" s="1"/>
  <c r="E1703" i="9"/>
  <c r="E1703" i="17" s="1"/>
  <c r="K1702" i="9"/>
  <c r="I1702" i="9"/>
  <c r="I1702" i="17" s="1"/>
  <c r="F1702" i="9"/>
  <c r="F1702" i="17" s="1"/>
  <c r="E1702" i="9"/>
  <c r="E1702" i="17" s="1"/>
  <c r="K1701" i="9"/>
  <c r="I1701" i="9"/>
  <c r="E1701" i="9"/>
  <c r="E1701" i="17" s="1"/>
  <c r="K1700" i="9"/>
  <c r="I1700" i="9"/>
  <c r="I1700" i="17" s="1"/>
  <c r="E1700" i="9"/>
  <c r="E1700" i="17" s="1"/>
  <c r="K1699" i="9"/>
  <c r="I1699" i="9"/>
  <c r="E1699" i="9"/>
  <c r="E1699" i="17" s="1"/>
  <c r="K1698" i="9"/>
  <c r="I1698" i="9"/>
  <c r="I1698" i="17" s="1"/>
  <c r="E1698" i="9"/>
  <c r="E1698" i="17" s="1"/>
  <c r="K1697" i="9"/>
  <c r="I1697" i="9"/>
  <c r="I1697" i="17" s="1"/>
  <c r="E1697" i="9"/>
  <c r="E1697" i="17" s="1"/>
  <c r="K1696" i="9"/>
  <c r="I1696" i="9"/>
  <c r="I1696" i="17" s="1"/>
  <c r="F1696" i="9"/>
  <c r="F1696" i="17" s="1"/>
  <c r="E1696" i="9"/>
  <c r="E1696" i="17" s="1"/>
  <c r="K1695" i="9"/>
  <c r="I1695" i="9"/>
  <c r="F1695" i="9"/>
  <c r="F1695" i="17" s="1"/>
  <c r="E1695" i="9"/>
  <c r="E1695" i="17" s="1"/>
  <c r="K1694" i="9"/>
  <c r="I1694" i="9"/>
  <c r="I1694" i="17" s="1"/>
  <c r="F1694" i="9"/>
  <c r="F1694" i="17" s="1"/>
  <c r="E1694" i="9"/>
  <c r="E1694" i="17" s="1"/>
  <c r="K1693" i="9"/>
  <c r="I1693" i="9"/>
  <c r="I1693" i="17" s="1"/>
  <c r="F1693" i="9"/>
  <c r="F1693" i="17" s="1"/>
  <c r="E1693" i="9"/>
  <c r="E1693" i="17" s="1"/>
  <c r="K1692" i="9"/>
  <c r="I1692" i="9"/>
  <c r="I1692" i="17" s="1"/>
  <c r="F1692" i="9"/>
  <c r="F1692" i="17" s="1"/>
  <c r="E1692" i="9"/>
  <c r="E1692" i="17" s="1"/>
  <c r="K1691" i="9"/>
  <c r="I1691" i="9"/>
  <c r="I1691" i="17" s="1"/>
  <c r="F1691" i="9"/>
  <c r="F1691" i="17" s="1"/>
  <c r="E1691" i="9"/>
  <c r="E1691" i="17" s="1"/>
  <c r="K1690" i="9"/>
  <c r="I1690" i="9"/>
  <c r="F1690" i="9"/>
  <c r="F1690" i="17" s="1"/>
  <c r="E1690" i="9"/>
  <c r="E1690" i="17" s="1"/>
  <c r="K1689" i="9"/>
  <c r="I1689" i="9"/>
  <c r="E1689" i="9"/>
  <c r="E1689" i="17" s="1"/>
  <c r="K1688" i="9"/>
  <c r="I1688" i="9"/>
  <c r="I1688" i="17" s="1"/>
  <c r="E1688" i="9"/>
  <c r="E1688" i="17" s="1"/>
  <c r="K1687" i="9"/>
  <c r="I1687" i="9"/>
  <c r="E1687" i="9"/>
  <c r="E1687" i="17" s="1"/>
  <c r="K1686" i="9"/>
  <c r="I1686" i="9"/>
  <c r="E1686" i="9"/>
  <c r="E1686" i="17" s="1"/>
  <c r="K1685" i="9"/>
  <c r="I1685" i="9"/>
  <c r="I1685" i="17" s="1"/>
  <c r="E1685" i="9"/>
  <c r="E1685" i="17" s="1"/>
  <c r="K1684" i="9"/>
  <c r="I1684" i="9"/>
  <c r="E1684" i="9"/>
  <c r="E1684" i="17" s="1"/>
  <c r="K1683" i="9"/>
  <c r="I1683" i="9"/>
  <c r="E1683" i="9"/>
  <c r="E1683" i="17" s="1"/>
  <c r="K1682" i="9"/>
  <c r="I1682" i="9"/>
  <c r="E1682" i="9"/>
  <c r="E1682" i="17" s="1"/>
  <c r="K1681" i="9"/>
  <c r="I1681" i="9"/>
  <c r="I1681" i="17" s="1"/>
  <c r="E1681" i="9"/>
  <c r="E1681" i="17" s="1"/>
  <c r="K1680" i="9"/>
  <c r="I1680" i="9"/>
  <c r="I1680" i="17" s="1"/>
  <c r="E1680" i="9"/>
  <c r="E1680" i="17" s="1"/>
  <c r="K1679" i="9"/>
  <c r="I1679" i="9"/>
  <c r="E1679" i="9"/>
  <c r="E1679" i="17" s="1"/>
  <c r="K1678" i="9"/>
  <c r="I1678" i="9"/>
  <c r="I1678" i="17" s="1"/>
  <c r="E1678" i="9"/>
  <c r="E1678" i="17" s="1"/>
  <c r="K1677" i="9"/>
  <c r="I1677" i="9"/>
  <c r="E1677" i="9"/>
  <c r="E1677" i="17" s="1"/>
  <c r="K1676" i="9"/>
  <c r="I1676" i="9"/>
  <c r="I1676" i="17" s="1"/>
  <c r="E1676" i="9"/>
  <c r="E1676" i="17" s="1"/>
  <c r="K1675" i="9"/>
  <c r="I1675" i="9"/>
  <c r="E1675" i="9"/>
  <c r="E1675" i="17" s="1"/>
  <c r="K1674" i="9"/>
  <c r="I1674" i="9"/>
  <c r="E1674" i="9"/>
  <c r="E1674" i="17" s="1"/>
  <c r="K1673" i="9"/>
  <c r="I1673" i="9"/>
  <c r="E1673" i="9"/>
  <c r="E1673" i="17" s="1"/>
  <c r="K1672" i="9"/>
  <c r="I1672" i="9"/>
  <c r="I1672" i="17" s="1"/>
  <c r="E1672" i="9"/>
  <c r="E1672" i="17" s="1"/>
  <c r="K1671" i="9"/>
  <c r="I1671" i="9"/>
  <c r="E1671" i="9"/>
  <c r="E1671" i="17" s="1"/>
  <c r="K1670" i="9"/>
  <c r="I1670" i="9"/>
  <c r="F1670" i="9"/>
  <c r="F1670" i="17" s="1"/>
  <c r="E1670" i="9"/>
  <c r="E1670" i="17" s="1"/>
  <c r="K1669" i="9"/>
  <c r="I1669" i="9"/>
  <c r="I1669" i="17" s="1"/>
  <c r="F1669" i="9"/>
  <c r="F1669" i="17" s="1"/>
  <c r="E1669" i="9"/>
  <c r="E1669" i="17" s="1"/>
  <c r="K1668" i="9"/>
  <c r="I1668" i="9"/>
  <c r="I1668" i="17" s="1"/>
  <c r="F1668" i="9"/>
  <c r="F1668" i="17" s="1"/>
  <c r="E1668" i="9"/>
  <c r="E1668" i="17" s="1"/>
  <c r="K1667" i="9"/>
  <c r="I1667" i="9"/>
  <c r="I1667" i="17" s="1"/>
  <c r="F1667" i="9"/>
  <c r="F1667" i="17" s="1"/>
  <c r="E1667" i="9"/>
  <c r="E1667" i="17" s="1"/>
  <c r="K1666" i="9"/>
  <c r="I1666" i="9"/>
  <c r="F1666" i="9"/>
  <c r="F1666" i="17" s="1"/>
  <c r="E1666" i="9"/>
  <c r="E1666" i="17" s="1"/>
  <c r="K1665" i="9"/>
  <c r="I1665" i="9"/>
  <c r="F1665" i="9"/>
  <c r="F1665" i="17" s="1"/>
  <c r="E1665" i="9"/>
  <c r="E1665" i="17" s="1"/>
  <c r="K1664" i="9"/>
  <c r="I1664" i="9"/>
  <c r="F1664" i="9"/>
  <c r="F1664" i="17" s="1"/>
  <c r="E1664" i="9"/>
  <c r="E1664" i="17" s="1"/>
  <c r="K1663" i="9"/>
  <c r="I1663" i="9"/>
  <c r="F1663" i="9"/>
  <c r="F1663" i="17" s="1"/>
  <c r="E1663" i="9"/>
  <c r="E1663" i="17" s="1"/>
  <c r="K1662" i="9"/>
  <c r="I1662" i="9"/>
  <c r="F1662" i="9"/>
  <c r="F1662" i="17" s="1"/>
  <c r="E1662" i="9"/>
  <c r="E1662" i="17" s="1"/>
  <c r="K1661" i="9"/>
  <c r="I1661" i="9"/>
  <c r="E1661" i="9"/>
  <c r="E1661" i="17" s="1"/>
  <c r="K1660" i="9"/>
  <c r="I1660" i="9"/>
  <c r="E1660" i="9"/>
  <c r="E1660" i="17" s="1"/>
  <c r="K1659" i="9"/>
  <c r="I1659" i="9"/>
  <c r="E1659" i="9"/>
  <c r="E1659" i="17" s="1"/>
  <c r="K1658" i="9"/>
  <c r="I1658" i="9"/>
  <c r="F1658" i="9"/>
  <c r="F1658" i="17" s="1"/>
  <c r="E1658" i="9"/>
  <c r="E1658" i="17" s="1"/>
  <c r="K1657" i="9"/>
  <c r="I1657" i="9"/>
  <c r="I1657" i="17" s="1"/>
  <c r="F1657" i="9"/>
  <c r="F1657" i="17" s="1"/>
  <c r="E1657" i="9"/>
  <c r="E1657" i="17" s="1"/>
  <c r="K1656" i="9"/>
  <c r="I1656" i="9"/>
  <c r="I1656" i="17" s="1"/>
  <c r="F1656" i="9"/>
  <c r="F1656" i="17" s="1"/>
  <c r="E1656" i="9"/>
  <c r="E1656" i="17" s="1"/>
  <c r="K1655" i="9"/>
  <c r="I1655" i="9"/>
  <c r="F1655" i="9"/>
  <c r="F1655" i="17" s="1"/>
  <c r="E1655" i="9"/>
  <c r="E1655" i="17" s="1"/>
  <c r="K1654" i="9"/>
  <c r="I1654" i="9"/>
  <c r="I1654" i="17" s="1"/>
  <c r="F1654" i="9"/>
  <c r="F1654" i="17" s="1"/>
  <c r="E1654" i="9"/>
  <c r="E1654" i="17" s="1"/>
  <c r="K1653" i="9"/>
  <c r="I1653" i="9"/>
  <c r="I1653" i="17" s="1"/>
  <c r="F1653" i="9"/>
  <c r="F1653" i="17" s="1"/>
  <c r="E1653" i="9"/>
  <c r="E1653" i="17" s="1"/>
  <c r="K1652" i="9"/>
  <c r="I1652" i="9"/>
  <c r="F1652" i="9"/>
  <c r="F1652" i="17" s="1"/>
  <c r="E1652" i="9"/>
  <c r="E1652" i="17" s="1"/>
  <c r="K1651" i="9"/>
  <c r="I1651" i="9"/>
  <c r="F1651" i="9"/>
  <c r="F1651" i="17" s="1"/>
  <c r="E1651" i="9"/>
  <c r="E1651" i="17" s="1"/>
  <c r="K1650" i="9"/>
  <c r="I1650" i="9"/>
  <c r="I1650" i="17" s="1"/>
  <c r="F1650" i="9"/>
  <c r="F1650" i="17" s="1"/>
  <c r="E1650" i="9"/>
  <c r="E1650" i="17" s="1"/>
  <c r="K1649" i="9"/>
  <c r="I1649" i="9"/>
  <c r="I1649" i="17" s="1"/>
  <c r="E1649" i="9"/>
  <c r="E1649" i="17" s="1"/>
  <c r="K1648" i="9"/>
  <c r="I1648" i="9"/>
  <c r="E1648" i="9"/>
  <c r="E1648" i="17" s="1"/>
  <c r="K1647" i="9"/>
  <c r="I1647" i="9"/>
  <c r="E1647" i="9"/>
  <c r="E1647" i="17" s="1"/>
  <c r="K1646" i="9"/>
  <c r="I1646" i="9"/>
  <c r="I1646" i="17" s="1"/>
  <c r="F1646" i="9"/>
  <c r="F1646" i="17" s="1"/>
  <c r="E1646" i="9"/>
  <c r="E1646" i="17" s="1"/>
  <c r="K1645" i="9"/>
  <c r="I1645" i="9"/>
  <c r="I1645" i="17" s="1"/>
  <c r="F1645" i="9"/>
  <c r="F1645" i="17" s="1"/>
  <c r="E1645" i="9"/>
  <c r="E1645" i="17" s="1"/>
  <c r="K1644" i="9"/>
  <c r="I1644" i="9"/>
  <c r="I1644" i="17" s="1"/>
  <c r="F1644" i="9"/>
  <c r="F1644" i="17" s="1"/>
  <c r="E1644" i="9"/>
  <c r="E1644" i="17" s="1"/>
  <c r="K1643" i="9"/>
  <c r="I1643" i="9"/>
  <c r="I1643" i="17" s="1"/>
  <c r="F1643" i="9"/>
  <c r="F1643" i="17" s="1"/>
  <c r="E1643" i="9"/>
  <c r="E1643" i="17" s="1"/>
  <c r="K1642" i="9"/>
  <c r="I1642" i="9"/>
  <c r="F1642" i="9"/>
  <c r="F1642" i="17" s="1"/>
  <c r="E1642" i="9"/>
  <c r="E1642" i="17" s="1"/>
  <c r="K1641" i="9"/>
  <c r="I1641" i="9"/>
  <c r="F1641" i="9"/>
  <c r="F1641" i="17" s="1"/>
  <c r="E1641" i="9"/>
  <c r="E1641" i="17" s="1"/>
  <c r="K1640" i="9"/>
  <c r="I1640" i="9"/>
  <c r="I1640" i="17" s="1"/>
  <c r="F1640" i="9"/>
  <c r="F1640" i="17" s="1"/>
  <c r="E1640" i="9"/>
  <c r="E1640" i="17" s="1"/>
  <c r="K1639" i="9"/>
  <c r="I1639" i="9"/>
  <c r="I1639" i="17" s="1"/>
  <c r="F1639" i="9"/>
  <c r="F1639" i="17" s="1"/>
  <c r="E1639" i="9"/>
  <c r="E1639" i="17" s="1"/>
  <c r="K1638" i="9"/>
  <c r="I1638" i="9"/>
  <c r="F1638" i="9"/>
  <c r="F1638" i="17" s="1"/>
  <c r="E1638" i="9"/>
  <c r="E1638" i="17" s="1"/>
  <c r="K1637" i="9"/>
  <c r="I1637" i="9"/>
  <c r="I1637" i="17" s="1"/>
  <c r="F1637" i="9"/>
  <c r="F1637" i="17" s="1"/>
  <c r="E1637" i="9"/>
  <c r="E1637" i="17" s="1"/>
  <c r="K1636" i="9"/>
  <c r="I1636" i="9"/>
  <c r="I1636" i="17" s="1"/>
  <c r="F1636" i="9"/>
  <c r="F1636" i="17" s="1"/>
  <c r="E1636" i="9"/>
  <c r="E1636" i="17" s="1"/>
  <c r="K1635" i="9"/>
  <c r="I1635" i="9"/>
  <c r="F1635" i="9"/>
  <c r="F1635" i="17" s="1"/>
  <c r="E1635" i="9"/>
  <c r="E1635" i="17" s="1"/>
  <c r="K1634" i="9"/>
  <c r="I1634" i="9"/>
  <c r="E1634" i="9"/>
  <c r="E1634" i="17" s="1"/>
  <c r="K1633" i="9"/>
  <c r="I1633" i="9"/>
  <c r="E1633" i="9"/>
  <c r="E1633" i="17" s="1"/>
  <c r="K1632" i="9"/>
  <c r="I1632" i="9"/>
  <c r="F1632" i="9"/>
  <c r="F1632" i="17" s="1"/>
  <c r="E1632" i="9"/>
  <c r="E1632" i="17" s="1"/>
  <c r="K1631" i="9"/>
  <c r="I1631" i="9"/>
  <c r="I1631" i="17" s="1"/>
  <c r="F1631" i="9"/>
  <c r="F1631" i="17" s="1"/>
  <c r="E1631" i="9"/>
  <c r="E1631" i="17" s="1"/>
  <c r="K1630" i="9"/>
  <c r="I1630" i="9"/>
  <c r="I1630" i="17" s="1"/>
  <c r="F1630" i="9"/>
  <c r="F1630" i="17" s="1"/>
  <c r="E1630" i="9"/>
  <c r="E1630" i="17" s="1"/>
  <c r="K1629" i="9"/>
  <c r="I1629" i="9"/>
  <c r="I1629" i="17" s="1"/>
  <c r="F1629" i="9"/>
  <c r="F1629" i="17" s="1"/>
  <c r="E1629" i="9"/>
  <c r="E1629" i="17" s="1"/>
  <c r="K1628" i="9"/>
  <c r="I1628" i="9"/>
  <c r="I1628" i="17" s="1"/>
  <c r="F1628" i="9"/>
  <c r="F1628" i="17" s="1"/>
  <c r="E1628" i="9"/>
  <c r="E1628" i="17" s="1"/>
  <c r="K1627" i="9"/>
  <c r="I1627" i="9"/>
  <c r="I1627" i="17" s="1"/>
  <c r="F1627" i="9"/>
  <c r="F1627" i="17" s="1"/>
  <c r="E1627" i="9"/>
  <c r="E1627" i="17" s="1"/>
  <c r="K1626" i="9"/>
  <c r="I1626" i="9"/>
  <c r="I1626" i="17" s="1"/>
  <c r="F1626" i="9"/>
  <c r="F1626" i="17" s="1"/>
  <c r="E1626" i="9"/>
  <c r="E1626" i="17" s="1"/>
  <c r="K1625" i="9"/>
  <c r="I1625" i="9"/>
  <c r="I1625" i="17" s="1"/>
  <c r="F1625" i="9"/>
  <c r="F1625" i="17" s="1"/>
  <c r="E1625" i="9"/>
  <c r="E1625" i="17" s="1"/>
  <c r="K1624" i="9"/>
  <c r="I1624" i="9"/>
  <c r="E1624" i="9"/>
  <c r="E1624" i="17" s="1"/>
  <c r="K1623" i="9"/>
  <c r="I1623" i="9"/>
  <c r="I1623" i="17" s="1"/>
  <c r="E1623" i="9"/>
  <c r="E1623" i="17" s="1"/>
  <c r="K1622" i="9"/>
  <c r="I1622" i="9"/>
  <c r="F1622" i="9"/>
  <c r="F1622" i="17" s="1"/>
  <c r="E1622" i="9"/>
  <c r="E1622" i="17" s="1"/>
  <c r="K1621" i="9"/>
  <c r="I1621" i="9"/>
  <c r="I1621" i="17" s="1"/>
  <c r="F1621" i="9"/>
  <c r="F1621" i="17" s="1"/>
  <c r="E1621" i="9"/>
  <c r="E1621" i="17" s="1"/>
  <c r="K1620" i="9"/>
  <c r="I1620" i="9"/>
  <c r="I1620" i="17" s="1"/>
  <c r="F1620" i="9"/>
  <c r="F1620" i="17" s="1"/>
  <c r="E1620" i="9"/>
  <c r="E1620" i="17" s="1"/>
  <c r="K1619" i="9"/>
  <c r="I1619" i="9"/>
  <c r="I1619" i="17" s="1"/>
  <c r="F1619" i="9"/>
  <c r="F1619" i="17" s="1"/>
  <c r="E1619" i="9"/>
  <c r="E1619" i="17" s="1"/>
  <c r="K1618" i="9"/>
  <c r="I1618" i="9"/>
  <c r="F1618" i="9"/>
  <c r="F1618" i="17" s="1"/>
  <c r="E1618" i="9"/>
  <c r="E1618" i="17" s="1"/>
  <c r="K1617" i="9"/>
  <c r="I1617" i="9"/>
  <c r="I1617" i="17" s="1"/>
  <c r="F1617" i="9"/>
  <c r="F1617" i="17" s="1"/>
  <c r="E1617" i="9"/>
  <c r="E1617" i="17" s="1"/>
  <c r="K1616" i="9"/>
  <c r="I1616" i="9"/>
  <c r="I1616" i="17" s="1"/>
  <c r="F1616" i="9"/>
  <c r="F1616" i="17" s="1"/>
  <c r="E1616" i="9"/>
  <c r="E1616" i="17" s="1"/>
  <c r="K1615" i="9"/>
  <c r="I1615" i="9"/>
  <c r="I1615" i="17" s="1"/>
  <c r="E1615" i="9"/>
  <c r="E1615" i="17" s="1"/>
  <c r="K1614" i="9"/>
  <c r="I1614" i="9"/>
  <c r="E1614" i="9"/>
  <c r="E1614" i="17" s="1"/>
  <c r="K1613" i="9"/>
  <c r="I1613" i="9"/>
  <c r="F1613" i="9"/>
  <c r="F1613" i="17" s="1"/>
  <c r="E1613" i="9"/>
  <c r="E1613" i="17" s="1"/>
  <c r="K1612" i="9"/>
  <c r="I1612" i="9"/>
  <c r="F1612" i="9"/>
  <c r="F1612" i="17" s="1"/>
  <c r="E1612" i="9"/>
  <c r="E1612" i="17" s="1"/>
  <c r="K1611" i="9"/>
  <c r="I1611" i="9"/>
  <c r="F1611" i="9"/>
  <c r="F1611" i="17" s="1"/>
  <c r="E1611" i="9"/>
  <c r="E1611" i="17" s="1"/>
  <c r="K1610" i="9"/>
  <c r="I1610" i="9"/>
  <c r="F1610" i="9"/>
  <c r="F1610" i="17" s="1"/>
  <c r="E1610" i="9"/>
  <c r="E1610" i="17" s="1"/>
  <c r="K1609" i="9"/>
  <c r="I1609" i="9"/>
  <c r="F1609" i="9"/>
  <c r="F1609" i="17" s="1"/>
  <c r="E1609" i="9"/>
  <c r="E1609" i="17" s="1"/>
  <c r="K1608" i="9"/>
  <c r="I1608" i="9"/>
  <c r="I1608" i="17" s="1"/>
  <c r="F1608" i="9"/>
  <c r="F1608" i="17" s="1"/>
  <c r="E1608" i="9"/>
  <c r="E1608" i="17" s="1"/>
  <c r="K1607" i="9"/>
  <c r="I1607" i="9"/>
  <c r="I1607" i="17" s="1"/>
  <c r="F1607" i="9"/>
  <c r="F1607" i="17" s="1"/>
  <c r="E1607" i="9"/>
  <c r="E1607" i="17" s="1"/>
  <c r="K1606" i="9"/>
  <c r="I1606" i="9"/>
  <c r="I1606" i="17" s="1"/>
  <c r="F1606" i="9"/>
  <c r="F1606" i="17" s="1"/>
  <c r="E1606" i="9"/>
  <c r="E1606" i="17" s="1"/>
  <c r="K1605" i="9"/>
  <c r="I1605" i="9"/>
  <c r="F1605" i="9"/>
  <c r="F1605" i="17" s="1"/>
  <c r="E1605" i="9"/>
  <c r="E1605" i="17" s="1"/>
  <c r="K1604" i="9"/>
  <c r="I1604" i="9"/>
  <c r="F1604" i="9"/>
  <c r="F1604" i="17" s="1"/>
  <c r="E1604" i="9"/>
  <c r="E1604" i="17" s="1"/>
  <c r="K1603" i="9"/>
  <c r="I1603" i="9"/>
  <c r="I1603" i="17" s="1"/>
  <c r="E1603" i="9"/>
  <c r="E1603" i="17" s="1"/>
  <c r="K1602" i="9"/>
  <c r="I1602" i="9"/>
  <c r="E1602" i="9"/>
  <c r="E1602" i="17" s="1"/>
  <c r="K1601" i="9"/>
  <c r="I1601" i="9"/>
  <c r="F1601" i="9"/>
  <c r="F1601" i="17" s="1"/>
  <c r="E1601" i="9"/>
  <c r="E1601" i="17" s="1"/>
  <c r="K1600" i="9"/>
  <c r="I1600" i="9"/>
  <c r="I1600" i="17" s="1"/>
  <c r="F1600" i="9"/>
  <c r="F1600" i="17" s="1"/>
  <c r="E1600" i="9"/>
  <c r="E1600" i="17" s="1"/>
  <c r="K1599" i="9"/>
  <c r="I1599" i="9"/>
  <c r="I1599" i="17" s="1"/>
  <c r="F1599" i="9"/>
  <c r="F1599" i="17" s="1"/>
  <c r="E1599" i="9"/>
  <c r="E1599" i="17" s="1"/>
  <c r="K1598" i="9"/>
  <c r="I1598" i="9"/>
  <c r="F1598" i="9"/>
  <c r="F1598" i="17" s="1"/>
  <c r="E1598" i="9"/>
  <c r="E1598" i="17" s="1"/>
  <c r="K1597" i="9"/>
  <c r="I1597" i="9"/>
  <c r="I1597" i="17" s="1"/>
  <c r="F1597" i="9"/>
  <c r="F1597" i="17" s="1"/>
  <c r="E1597" i="9"/>
  <c r="E1597" i="17" s="1"/>
  <c r="K1596" i="9"/>
  <c r="I1596" i="9"/>
  <c r="I1596" i="17" s="1"/>
  <c r="F1596" i="9"/>
  <c r="F1596" i="17" s="1"/>
  <c r="E1596" i="9"/>
  <c r="E1596" i="17" s="1"/>
  <c r="K1595" i="9"/>
  <c r="I1595" i="9"/>
  <c r="F1595" i="9"/>
  <c r="F1595" i="17" s="1"/>
  <c r="E1595" i="9"/>
  <c r="E1595" i="17" s="1"/>
  <c r="K1594" i="9"/>
  <c r="I1594" i="9"/>
  <c r="I1594" i="17" s="1"/>
  <c r="F1594" i="9"/>
  <c r="F1594" i="17" s="1"/>
  <c r="E1594" i="9"/>
  <c r="E1594" i="17" s="1"/>
  <c r="K1593" i="9"/>
  <c r="I1593" i="9"/>
  <c r="F1593" i="9"/>
  <c r="F1593" i="17" s="1"/>
  <c r="E1593" i="9"/>
  <c r="E1593" i="17" s="1"/>
  <c r="K1592" i="9"/>
  <c r="I1592" i="9"/>
  <c r="I1592" i="17" s="1"/>
  <c r="F1592" i="9"/>
  <c r="F1592" i="17" s="1"/>
  <c r="E1592" i="9"/>
  <c r="E1592" i="17" s="1"/>
  <c r="K1591" i="9"/>
  <c r="I1591" i="9"/>
  <c r="F1591" i="9"/>
  <c r="F1591" i="17" s="1"/>
  <c r="E1591" i="9"/>
  <c r="E1591" i="17" s="1"/>
  <c r="K1590" i="9"/>
  <c r="I1590" i="9"/>
  <c r="F1590" i="9"/>
  <c r="F1590" i="17" s="1"/>
  <c r="E1590" i="9"/>
  <c r="E1590" i="17" s="1"/>
  <c r="K1589" i="9"/>
  <c r="I1589" i="9"/>
  <c r="I1589" i="17" s="1"/>
  <c r="F1589" i="9"/>
  <c r="F1589" i="17" s="1"/>
  <c r="E1589" i="9"/>
  <c r="E1589" i="17" s="1"/>
  <c r="K1588" i="9"/>
  <c r="I1588" i="9"/>
  <c r="I1588" i="17" s="1"/>
  <c r="F1588" i="9"/>
  <c r="F1588" i="17" s="1"/>
  <c r="E1588" i="9"/>
  <c r="E1588" i="17" s="1"/>
  <c r="K1587" i="9"/>
  <c r="I1587" i="9"/>
  <c r="I1587" i="17" s="1"/>
  <c r="E1587" i="9"/>
  <c r="E1587" i="17" s="1"/>
  <c r="K1586" i="9"/>
  <c r="I1586" i="9"/>
  <c r="F1586" i="9"/>
  <c r="F1586" i="17" s="1"/>
  <c r="E1586" i="9"/>
  <c r="E1586" i="17" s="1"/>
  <c r="K1585" i="9"/>
  <c r="I1585" i="9"/>
  <c r="F1585" i="9"/>
  <c r="F1585" i="17" s="1"/>
  <c r="E1585" i="9"/>
  <c r="E1585" i="17" s="1"/>
  <c r="K1584" i="9"/>
  <c r="I1584" i="9"/>
  <c r="I1584" i="17" s="1"/>
  <c r="F1584" i="9"/>
  <c r="F1584" i="17" s="1"/>
  <c r="E1584" i="9"/>
  <c r="E1584" i="17" s="1"/>
  <c r="K1583" i="9"/>
  <c r="I1583" i="9"/>
  <c r="I1583" i="17" s="1"/>
  <c r="F1583" i="9"/>
  <c r="F1583" i="17" s="1"/>
  <c r="E1583" i="9"/>
  <c r="E1583" i="17" s="1"/>
  <c r="K1582" i="9"/>
  <c r="I1582" i="9"/>
  <c r="I1582" i="17" s="1"/>
  <c r="F1582" i="9"/>
  <c r="F1582" i="17" s="1"/>
  <c r="E1582" i="9"/>
  <c r="E1582" i="17" s="1"/>
  <c r="K1581" i="9"/>
  <c r="E1581" i="9"/>
  <c r="E1581" i="17" s="1"/>
  <c r="K1580" i="9"/>
  <c r="E1580" i="9"/>
  <c r="E1580" i="17" s="1"/>
  <c r="K1579" i="9"/>
  <c r="E1579" i="9"/>
  <c r="E1579" i="17" s="1"/>
  <c r="K1578" i="9"/>
  <c r="I1578" i="9"/>
  <c r="F1578" i="9"/>
  <c r="F1578" i="17" s="1"/>
  <c r="E1578" i="9"/>
  <c r="E1578" i="17" s="1"/>
  <c r="K1577" i="9"/>
  <c r="I1577" i="9"/>
  <c r="I1577" i="17" s="1"/>
  <c r="F1577" i="9"/>
  <c r="F1577" i="17" s="1"/>
  <c r="E1577" i="9"/>
  <c r="E1577" i="17" s="1"/>
  <c r="K1576" i="9"/>
  <c r="I1576" i="9"/>
  <c r="I1576" i="17" s="1"/>
  <c r="F1576" i="9"/>
  <c r="F1576" i="17" s="1"/>
  <c r="E1576" i="9"/>
  <c r="E1576" i="17" s="1"/>
  <c r="K1575" i="9"/>
  <c r="I1575" i="9"/>
  <c r="F1575" i="9"/>
  <c r="F1575" i="17" s="1"/>
  <c r="E1575" i="9"/>
  <c r="E1575" i="17" s="1"/>
  <c r="K1574" i="9"/>
  <c r="I1574" i="9"/>
  <c r="F1574" i="9"/>
  <c r="F1574" i="17" s="1"/>
  <c r="E1574" i="9"/>
  <c r="E1574" i="17" s="1"/>
  <c r="K1573" i="9"/>
  <c r="E1573" i="9"/>
  <c r="E1573" i="17" s="1"/>
  <c r="K1572" i="9"/>
  <c r="E1572" i="9"/>
  <c r="E1572" i="17" s="1"/>
  <c r="K1571" i="9"/>
  <c r="E1571" i="9"/>
  <c r="E1571" i="17" s="1"/>
  <c r="K1570" i="9"/>
  <c r="I1570" i="9"/>
  <c r="F1570" i="9"/>
  <c r="F1570" i="17" s="1"/>
  <c r="E1570" i="9"/>
  <c r="E1570" i="17" s="1"/>
  <c r="K1569" i="9"/>
  <c r="I1569" i="9"/>
  <c r="I1569" i="17" s="1"/>
  <c r="F1569" i="9"/>
  <c r="F1569" i="17" s="1"/>
  <c r="E1569" i="9"/>
  <c r="E1569" i="17" s="1"/>
  <c r="K1568" i="9"/>
  <c r="I1568" i="9"/>
  <c r="I1568" i="17" s="1"/>
  <c r="F1568" i="9"/>
  <c r="F1568" i="17" s="1"/>
  <c r="E1568" i="9"/>
  <c r="E1568" i="17" s="1"/>
  <c r="K1567" i="9"/>
  <c r="I1567" i="9"/>
  <c r="I1567" i="17" s="1"/>
  <c r="F1567" i="9"/>
  <c r="F1567" i="17" s="1"/>
  <c r="E1567" i="9"/>
  <c r="E1567" i="17" s="1"/>
  <c r="K1566" i="9"/>
  <c r="I1566" i="9"/>
  <c r="F1566" i="9"/>
  <c r="F1566" i="17" s="1"/>
  <c r="E1566" i="9"/>
  <c r="E1566" i="17" s="1"/>
  <c r="K1565" i="9"/>
  <c r="E1565" i="9"/>
  <c r="E1565" i="17" s="1"/>
  <c r="K1564" i="9"/>
  <c r="E1564" i="9"/>
  <c r="E1564" i="17" s="1"/>
  <c r="K1563" i="9"/>
  <c r="E1563" i="9"/>
  <c r="E1563" i="17" s="1"/>
  <c r="K1562" i="9"/>
  <c r="I1562" i="9"/>
  <c r="I1562" i="17" s="1"/>
  <c r="F1562" i="9"/>
  <c r="F1562" i="17" s="1"/>
  <c r="E1562" i="9"/>
  <c r="E1562" i="17" s="1"/>
  <c r="K1561" i="9"/>
  <c r="I1561" i="9"/>
  <c r="I1561" i="17" s="1"/>
  <c r="F1561" i="9"/>
  <c r="F1561" i="17" s="1"/>
  <c r="E1561" i="9"/>
  <c r="E1561" i="17" s="1"/>
  <c r="K1560" i="9"/>
  <c r="I1560" i="9"/>
  <c r="F1560" i="9"/>
  <c r="F1560" i="17" s="1"/>
  <c r="E1560" i="9"/>
  <c r="E1560" i="17" s="1"/>
  <c r="K1559" i="9"/>
  <c r="I1559" i="9"/>
  <c r="I1559" i="17" s="1"/>
  <c r="F1559" i="9"/>
  <c r="F1559" i="17" s="1"/>
  <c r="E1559" i="9"/>
  <c r="E1559" i="17" s="1"/>
  <c r="K1558" i="9"/>
  <c r="I1558" i="9"/>
  <c r="F1558" i="9"/>
  <c r="F1558" i="17" s="1"/>
  <c r="E1558" i="9"/>
  <c r="E1558" i="17" s="1"/>
  <c r="K1557" i="9"/>
  <c r="E1557" i="9"/>
  <c r="E1557" i="17" s="1"/>
  <c r="K1556" i="9"/>
  <c r="E1556" i="9"/>
  <c r="E1556" i="17" s="1"/>
  <c r="K1555" i="9"/>
  <c r="E1555" i="9"/>
  <c r="E1555" i="17" s="1"/>
  <c r="K1554" i="9"/>
  <c r="I1554" i="9"/>
  <c r="I1554" i="17" s="1"/>
  <c r="F1554" i="9"/>
  <c r="F1554" i="17" s="1"/>
  <c r="E1554" i="9"/>
  <c r="E1554" i="17" s="1"/>
  <c r="K1553" i="9"/>
  <c r="I1553" i="9"/>
  <c r="F1553" i="9"/>
  <c r="F1553" i="17" s="1"/>
  <c r="E1553" i="9"/>
  <c r="E1553" i="17" s="1"/>
  <c r="K1552" i="9"/>
  <c r="I1552" i="9"/>
  <c r="F1552" i="9"/>
  <c r="F1552" i="17" s="1"/>
  <c r="E1552" i="9"/>
  <c r="E1552" i="17" s="1"/>
  <c r="K1551" i="9"/>
  <c r="I1551" i="9"/>
  <c r="F1551" i="9"/>
  <c r="F1551" i="17" s="1"/>
  <c r="E1551" i="9"/>
  <c r="E1551" i="17" s="1"/>
  <c r="K1550" i="9"/>
  <c r="I1550" i="9"/>
  <c r="F1550" i="9"/>
  <c r="F1550" i="17" s="1"/>
  <c r="E1550" i="9"/>
  <c r="E1550" i="17" s="1"/>
  <c r="K1549" i="9"/>
  <c r="I1549" i="9"/>
  <c r="I1549" i="17" s="1"/>
  <c r="F1549" i="9"/>
  <c r="F1549" i="17" s="1"/>
  <c r="E1549" i="9"/>
  <c r="E1549" i="17" s="1"/>
  <c r="K1548" i="9"/>
  <c r="E1548" i="9"/>
  <c r="E1548" i="17" s="1"/>
  <c r="K1547" i="9"/>
  <c r="E1547" i="9"/>
  <c r="E1547" i="17" s="1"/>
  <c r="K1546" i="9"/>
  <c r="E1546" i="9"/>
  <c r="E1546" i="17" s="1"/>
  <c r="K1545" i="9"/>
  <c r="I1545" i="9"/>
  <c r="I1545" i="17" s="1"/>
  <c r="F1545" i="9"/>
  <c r="F1545" i="17" s="1"/>
  <c r="E1545" i="9"/>
  <c r="E1545" i="17" s="1"/>
  <c r="K1544" i="9"/>
  <c r="I1544" i="9"/>
  <c r="F1544" i="9"/>
  <c r="F1544" i="17" s="1"/>
  <c r="E1544" i="9"/>
  <c r="E1544" i="17" s="1"/>
  <c r="K1543" i="9"/>
  <c r="I1543" i="9"/>
  <c r="F1543" i="9"/>
  <c r="F1543" i="17" s="1"/>
  <c r="E1543" i="9"/>
  <c r="E1543" i="17" s="1"/>
  <c r="K1542" i="9"/>
  <c r="I1542" i="9"/>
  <c r="F1542" i="9"/>
  <c r="F1542" i="17" s="1"/>
  <c r="E1542" i="9"/>
  <c r="E1542" i="17" s="1"/>
  <c r="K1541" i="9"/>
  <c r="I1541" i="9"/>
  <c r="I1541" i="17" s="1"/>
  <c r="F1541" i="9"/>
  <c r="F1541" i="17" s="1"/>
  <c r="E1541" i="9"/>
  <c r="E1541" i="17" s="1"/>
  <c r="K1540" i="9"/>
  <c r="I1540" i="9"/>
  <c r="F1540" i="9"/>
  <c r="F1540" i="17" s="1"/>
  <c r="E1540" i="9"/>
  <c r="E1540" i="17" s="1"/>
  <c r="K1539" i="9"/>
  <c r="E1539" i="9"/>
  <c r="E1539" i="17" s="1"/>
  <c r="K1538" i="9"/>
  <c r="E1538" i="9"/>
  <c r="E1538" i="17" s="1"/>
  <c r="K1537" i="9"/>
  <c r="E1537" i="9"/>
  <c r="E1537" i="17" s="1"/>
  <c r="K1536" i="9"/>
  <c r="I1536" i="9"/>
  <c r="I1536" i="17" s="1"/>
  <c r="F1536" i="9"/>
  <c r="F1536" i="17" s="1"/>
  <c r="E1536" i="9"/>
  <c r="E1536" i="17" s="1"/>
  <c r="K1535" i="9"/>
  <c r="I1535" i="9"/>
  <c r="I1535" i="17" s="1"/>
  <c r="F1535" i="9"/>
  <c r="F1535" i="17" s="1"/>
  <c r="E1535" i="9"/>
  <c r="E1535" i="17" s="1"/>
  <c r="K1534" i="9"/>
  <c r="I1534" i="9"/>
  <c r="I1534" i="17" s="1"/>
  <c r="F1534" i="9"/>
  <c r="F1534" i="17" s="1"/>
  <c r="E1534" i="9"/>
  <c r="E1534" i="17" s="1"/>
  <c r="K1533" i="9"/>
  <c r="I1533" i="9"/>
  <c r="F1533" i="9"/>
  <c r="F1533" i="17" s="1"/>
  <c r="E1533" i="9"/>
  <c r="E1533" i="17" s="1"/>
  <c r="K1532" i="9"/>
  <c r="I1532" i="9"/>
  <c r="F1532" i="9"/>
  <c r="F1532" i="17" s="1"/>
  <c r="E1532" i="9"/>
  <c r="E1532" i="17" s="1"/>
  <c r="K1531" i="9"/>
  <c r="I1531" i="9"/>
  <c r="I1531" i="17" s="1"/>
  <c r="F1531" i="9"/>
  <c r="F1531" i="17" s="1"/>
  <c r="E1531" i="9"/>
  <c r="E1531" i="17" s="1"/>
  <c r="K1530" i="9"/>
  <c r="E1530" i="9"/>
  <c r="E1530" i="17" s="1"/>
  <c r="K1529" i="9"/>
  <c r="E1529" i="9"/>
  <c r="E1529" i="17" s="1"/>
  <c r="K1528" i="9"/>
  <c r="E1528" i="9"/>
  <c r="E1528" i="17" s="1"/>
  <c r="K1527" i="9"/>
  <c r="I1527" i="9"/>
  <c r="I1527" i="17" s="1"/>
  <c r="E1527" i="9"/>
  <c r="E1527" i="17" s="1"/>
  <c r="K1526" i="9"/>
  <c r="I1526" i="9"/>
  <c r="I1526" i="17" s="1"/>
  <c r="F1526" i="9"/>
  <c r="F1526" i="17" s="1"/>
  <c r="E1526" i="9"/>
  <c r="E1526" i="17" s="1"/>
  <c r="K1525" i="9"/>
  <c r="I1525" i="9"/>
  <c r="F1525" i="9"/>
  <c r="F1525" i="17" s="1"/>
  <c r="E1525" i="9"/>
  <c r="E1525" i="17" s="1"/>
  <c r="K1524" i="9"/>
  <c r="I1524" i="9"/>
  <c r="F1524" i="9"/>
  <c r="F1524" i="17" s="1"/>
  <c r="E1524" i="9"/>
  <c r="E1524" i="17" s="1"/>
  <c r="K1523" i="9"/>
  <c r="I1523" i="9"/>
  <c r="I1523" i="17" s="1"/>
  <c r="F1523" i="9"/>
  <c r="F1523" i="17" s="1"/>
  <c r="E1523" i="9"/>
  <c r="E1523" i="17" s="1"/>
  <c r="K1522" i="9"/>
  <c r="I1522" i="9"/>
  <c r="I1522" i="17" s="1"/>
  <c r="F1522" i="9"/>
  <c r="F1522" i="17" s="1"/>
  <c r="E1522" i="9"/>
  <c r="E1522" i="17" s="1"/>
  <c r="K1521" i="9"/>
  <c r="I1521" i="9"/>
  <c r="F1521" i="9"/>
  <c r="F1521" i="17" s="1"/>
  <c r="E1521" i="9"/>
  <c r="E1521" i="17" s="1"/>
  <c r="K1520" i="9"/>
  <c r="E1520" i="9"/>
  <c r="E1520" i="17" s="1"/>
  <c r="K1519" i="9"/>
  <c r="E1519" i="9"/>
  <c r="E1519" i="17" s="1"/>
  <c r="K1518" i="9"/>
  <c r="E1518" i="9"/>
  <c r="E1518" i="17" s="1"/>
  <c r="K1517" i="9"/>
  <c r="I1517" i="9"/>
  <c r="I1517" i="17" s="1"/>
  <c r="E1517" i="9"/>
  <c r="E1517" i="17" s="1"/>
  <c r="K1516" i="9"/>
  <c r="I1516" i="9"/>
  <c r="I1516" i="17" s="1"/>
  <c r="E1516" i="9"/>
  <c r="E1516" i="17" s="1"/>
  <c r="K1515" i="9"/>
  <c r="I1515" i="9"/>
  <c r="I1515" i="17" s="1"/>
  <c r="F1515" i="9"/>
  <c r="F1515" i="17" s="1"/>
  <c r="E1515" i="9"/>
  <c r="E1515" i="17" s="1"/>
  <c r="K1514" i="9"/>
  <c r="I1514" i="9"/>
  <c r="I1514" i="17" s="1"/>
  <c r="F1514" i="9"/>
  <c r="F1514" i="17" s="1"/>
  <c r="E1514" i="9"/>
  <c r="E1514" i="17" s="1"/>
  <c r="K1513" i="9"/>
  <c r="I1513" i="9"/>
  <c r="F1513" i="9"/>
  <c r="F1513" i="17" s="1"/>
  <c r="E1513" i="9"/>
  <c r="E1513" i="17" s="1"/>
  <c r="K1512" i="9"/>
  <c r="I1512" i="9"/>
  <c r="F1512" i="9"/>
  <c r="F1512" i="17" s="1"/>
  <c r="E1512" i="9"/>
  <c r="E1512" i="17" s="1"/>
  <c r="K1511" i="9"/>
  <c r="I1511" i="9"/>
  <c r="F1511" i="9"/>
  <c r="F1511" i="17" s="1"/>
  <c r="E1511" i="9"/>
  <c r="E1511" i="17" s="1"/>
  <c r="K1510" i="9"/>
  <c r="I1510" i="9"/>
  <c r="F1510" i="9"/>
  <c r="F1510" i="17" s="1"/>
  <c r="E1510" i="9"/>
  <c r="E1510" i="17" s="1"/>
  <c r="K1509" i="9"/>
  <c r="I1509" i="9"/>
  <c r="I1509" i="17" s="1"/>
  <c r="F1509" i="9"/>
  <c r="F1509" i="17" s="1"/>
  <c r="E1509" i="9"/>
  <c r="E1509" i="17" s="1"/>
  <c r="K1508" i="9"/>
  <c r="E1508" i="9"/>
  <c r="E1508" i="17" s="1"/>
  <c r="K1507" i="9"/>
  <c r="E1507" i="9"/>
  <c r="E1507" i="17" s="1"/>
  <c r="K1506" i="9"/>
  <c r="E1506" i="9"/>
  <c r="E1506" i="17" s="1"/>
  <c r="K1505" i="9"/>
  <c r="I1505" i="9"/>
  <c r="I1505" i="17" s="1"/>
  <c r="E1505" i="9"/>
  <c r="E1505" i="17" s="1"/>
  <c r="K1504" i="9"/>
  <c r="I1504" i="9"/>
  <c r="I1504" i="17" s="1"/>
  <c r="E1504" i="9"/>
  <c r="E1504" i="17" s="1"/>
  <c r="K1503" i="9"/>
  <c r="I1503" i="9"/>
  <c r="F1503" i="9"/>
  <c r="F1503" i="17" s="1"/>
  <c r="E1503" i="9"/>
  <c r="E1503" i="17" s="1"/>
  <c r="K1502" i="9"/>
  <c r="I1502" i="9"/>
  <c r="I1502" i="17" s="1"/>
  <c r="F1502" i="9"/>
  <c r="F1502" i="17" s="1"/>
  <c r="E1502" i="9"/>
  <c r="E1502" i="17" s="1"/>
  <c r="K1501" i="9"/>
  <c r="I1501" i="9"/>
  <c r="F1501" i="9"/>
  <c r="F1501" i="17" s="1"/>
  <c r="E1501" i="9"/>
  <c r="E1501" i="17" s="1"/>
  <c r="K1500" i="9"/>
  <c r="I1500" i="9"/>
  <c r="I1500" i="17" s="1"/>
  <c r="F1500" i="9"/>
  <c r="F1500" i="17" s="1"/>
  <c r="E1500" i="9"/>
  <c r="E1500" i="17" s="1"/>
  <c r="K1499" i="9"/>
  <c r="I1499" i="9"/>
  <c r="I1499" i="17" s="1"/>
  <c r="F1499" i="9"/>
  <c r="F1499" i="17" s="1"/>
  <c r="E1499" i="9"/>
  <c r="E1499" i="17" s="1"/>
  <c r="K1498" i="9"/>
  <c r="I1498" i="9"/>
  <c r="I1498" i="17" s="1"/>
  <c r="F1498" i="9"/>
  <c r="F1498" i="17" s="1"/>
  <c r="E1498" i="9"/>
  <c r="E1498" i="17" s="1"/>
  <c r="K1497" i="9"/>
  <c r="I1497" i="9"/>
  <c r="I1497" i="17" s="1"/>
  <c r="F1497" i="9"/>
  <c r="F1497" i="17" s="1"/>
  <c r="E1497" i="9"/>
  <c r="E1497" i="17" s="1"/>
  <c r="K1496" i="9"/>
  <c r="I1496" i="9"/>
  <c r="I1496" i="17" s="1"/>
  <c r="F1496" i="9"/>
  <c r="F1496" i="17" s="1"/>
  <c r="E1496" i="9"/>
  <c r="E1496" i="17" s="1"/>
  <c r="K1495" i="9"/>
  <c r="E1495" i="9"/>
  <c r="E1495" i="17" s="1"/>
  <c r="K1494" i="9"/>
  <c r="E1494" i="9"/>
  <c r="E1494" i="17" s="1"/>
  <c r="K1493" i="9"/>
  <c r="E1493" i="9"/>
  <c r="E1493" i="17" s="1"/>
  <c r="K1492" i="9"/>
  <c r="I1492" i="9"/>
  <c r="I1492" i="17" s="1"/>
  <c r="E1492" i="9"/>
  <c r="E1492" i="17" s="1"/>
  <c r="K1491" i="9"/>
  <c r="I1491" i="9"/>
  <c r="E1491" i="9"/>
  <c r="E1491" i="17" s="1"/>
  <c r="K1490" i="9"/>
  <c r="I1490" i="9"/>
  <c r="I1490" i="17" s="1"/>
  <c r="F1490" i="9"/>
  <c r="F1490" i="17" s="1"/>
  <c r="E1490" i="9"/>
  <c r="E1490" i="17" s="1"/>
  <c r="K1489" i="9"/>
  <c r="I1489" i="9"/>
  <c r="F1489" i="9"/>
  <c r="F1489" i="17" s="1"/>
  <c r="E1489" i="9"/>
  <c r="E1489" i="17" s="1"/>
  <c r="K1488" i="9"/>
  <c r="I1488" i="9"/>
  <c r="I1488" i="17" s="1"/>
  <c r="F1488" i="9"/>
  <c r="F1488" i="17" s="1"/>
  <c r="E1488" i="9"/>
  <c r="E1488" i="17" s="1"/>
  <c r="K1487" i="9"/>
  <c r="I1487" i="9"/>
  <c r="I1487" i="17" s="1"/>
  <c r="F1487" i="9"/>
  <c r="F1487" i="17" s="1"/>
  <c r="E1487" i="9"/>
  <c r="E1487" i="17" s="1"/>
  <c r="K1486" i="9"/>
  <c r="I1486" i="9"/>
  <c r="I1486" i="17" s="1"/>
  <c r="F1486" i="9"/>
  <c r="F1486" i="17" s="1"/>
  <c r="E1486" i="9"/>
  <c r="E1486" i="17" s="1"/>
  <c r="K1485" i="9"/>
  <c r="I1485" i="9"/>
  <c r="I1485" i="17" s="1"/>
  <c r="F1485" i="9"/>
  <c r="F1485" i="17" s="1"/>
  <c r="E1485" i="9"/>
  <c r="E1485" i="17" s="1"/>
  <c r="K1484" i="9"/>
  <c r="I1484" i="9"/>
  <c r="I1484" i="17" s="1"/>
  <c r="F1484" i="9"/>
  <c r="F1484" i="17" s="1"/>
  <c r="E1484" i="9"/>
  <c r="E1484" i="17" s="1"/>
  <c r="K1483" i="9"/>
  <c r="I1483" i="9"/>
  <c r="F1483" i="9"/>
  <c r="F1483" i="17" s="1"/>
  <c r="E1483" i="9"/>
  <c r="E1483" i="17" s="1"/>
  <c r="K1482" i="9"/>
  <c r="E1482" i="9"/>
  <c r="E1482" i="17" s="1"/>
  <c r="K1481" i="9"/>
  <c r="E1481" i="9"/>
  <c r="E1481" i="17" s="1"/>
  <c r="K1480" i="9"/>
  <c r="E1480" i="9"/>
  <c r="E1480" i="17" s="1"/>
  <c r="K1479" i="9"/>
  <c r="I1479" i="9"/>
  <c r="I1479" i="17" s="1"/>
  <c r="E1479" i="9"/>
  <c r="E1479" i="17" s="1"/>
  <c r="K1478" i="9"/>
  <c r="I1478" i="9"/>
  <c r="E1478" i="9"/>
  <c r="E1478" i="17" s="1"/>
  <c r="K1477" i="9"/>
  <c r="I1477" i="9"/>
  <c r="I1477" i="17" s="1"/>
  <c r="F1477" i="9"/>
  <c r="F1477" i="17" s="1"/>
  <c r="E1477" i="9"/>
  <c r="E1477" i="17" s="1"/>
  <c r="K1476" i="9"/>
  <c r="I1476" i="9"/>
  <c r="F1476" i="9"/>
  <c r="F1476" i="17" s="1"/>
  <c r="E1476" i="9"/>
  <c r="E1476" i="17" s="1"/>
  <c r="K1475" i="9"/>
  <c r="I1475" i="9"/>
  <c r="F1475" i="9"/>
  <c r="F1475" i="17" s="1"/>
  <c r="E1475" i="9"/>
  <c r="E1475" i="17" s="1"/>
  <c r="K1474" i="9"/>
  <c r="I1474" i="9"/>
  <c r="I1474" i="17" s="1"/>
  <c r="F1474" i="9"/>
  <c r="F1474" i="17" s="1"/>
  <c r="E1474" i="9"/>
  <c r="E1474" i="17" s="1"/>
  <c r="K1473" i="9"/>
  <c r="I1473" i="9"/>
  <c r="I1473" i="17" s="1"/>
  <c r="F1473" i="9"/>
  <c r="F1473" i="17" s="1"/>
  <c r="E1473" i="9"/>
  <c r="E1473" i="17" s="1"/>
  <c r="K1472" i="9"/>
  <c r="I1472" i="9"/>
  <c r="F1472" i="9"/>
  <c r="F1472" i="17" s="1"/>
  <c r="E1472" i="9"/>
  <c r="E1472" i="17" s="1"/>
  <c r="K1471" i="9"/>
  <c r="I1471" i="9"/>
  <c r="F1471" i="9"/>
  <c r="F1471" i="17" s="1"/>
  <c r="E1471" i="9"/>
  <c r="E1471" i="17" s="1"/>
  <c r="K1470" i="9"/>
  <c r="I1470" i="9"/>
  <c r="F1470" i="9"/>
  <c r="F1470" i="17" s="1"/>
  <c r="E1470" i="9"/>
  <c r="E1470" i="17" s="1"/>
  <c r="K1469" i="9"/>
  <c r="E1469" i="9"/>
  <c r="E1469" i="17" s="1"/>
  <c r="K1468" i="9"/>
  <c r="E1468" i="9"/>
  <c r="E1468" i="17" s="1"/>
  <c r="K1467" i="9"/>
  <c r="E1467" i="9"/>
  <c r="E1467" i="17" s="1"/>
  <c r="K1466" i="9"/>
  <c r="I1466" i="9"/>
  <c r="E1466" i="9"/>
  <c r="E1466" i="17" s="1"/>
  <c r="K1465" i="9"/>
  <c r="I1465" i="9"/>
  <c r="I1465" i="17" s="1"/>
  <c r="E1465" i="9"/>
  <c r="E1465" i="17" s="1"/>
  <c r="K1464" i="9"/>
  <c r="I1464" i="9"/>
  <c r="F1464" i="9"/>
  <c r="F1464" i="17" s="1"/>
  <c r="E1464" i="9"/>
  <c r="E1464" i="17" s="1"/>
  <c r="K1463" i="9"/>
  <c r="I1463" i="9"/>
  <c r="I1463" i="17" s="1"/>
  <c r="F1463" i="9"/>
  <c r="F1463" i="17" s="1"/>
  <c r="E1463" i="9"/>
  <c r="E1463" i="17" s="1"/>
  <c r="K1462" i="9"/>
  <c r="I1462" i="9"/>
  <c r="F1462" i="9"/>
  <c r="F1462" i="17" s="1"/>
  <c r="E1462" i="9"/>
  <c r="E1462" i="17" s="1"/>
  <c r="K1461" i="9"/>
  <c r="I1461" i="9"/>
  <c r="I1461" i="17" s="1"/>
  <c r="F1461" i="9"/>
  <c r="F1461" i="17" s="1"/>
  <c r="E1461" i="9"/>
  <c r="E1461" i="17" s="1"/>
  <c r="K1460" i="9"/>
  <c r="I1460" i="9"/>
  <c r="F1460" i="9"/>
  <c r="F1460" i="17" s="1"/>
  <c r="E1460" i="9"/>
  <c r="E1460" i="17" s="1"/>
  <c r="K1459" i="9"/>
  <c r="I1459" i="9"/>
  <c r="F1459" i="9"/>
  <c r="F1459" i="17" s="1"/>
  <c r="E1459" i="9"/>
  <c r="E1459" i="17" s="1"/>
  <c r="K1458" i="9"/>
  <c r="I1458" i="9"/>
  <c r="F1458" i="9"/>
  <c r="F1458" i="17" s="1"/>
  <c r="E1458" i="9"/>
  <c r="E1458" i="17" s="1"/>
  <c r="K1457" i="9"/>
  <c r="I1457" i="9"/>
  <c r="I1457" i="17" s="1"/>
  <c r="F1457" i="9"/>
  <c r="F1457" i="17" s="1"/>
  <c r="E1457" i="9"/>
  <c r="E1457" i="17" s="1"/>
  <c r="K1456" i="9"/>
  <c r="E1456" i="9"/>
  <c r="E1456" i="17" s="1"/>
  <c r="K1455" i="9"/>
  <c r="E1455" i="9"/>
  <c r="E1455" i="17" s="1"/>
  <c r="K1454" i="9"/>
  <c r="E1454" i="9"/>
  <c r="E1454" i="17" s="1"/>
  <c r="K1453" i="9"/>
  <c r="I1453" i="9"/>
  <c r="E1453" i="9"/>
  <c r="E1453" i="17" s="1"/>
  <c r="K1452" i="9"/>
  <c r="I1452" i="9"/>
  <c r="E1452" i="9"/>
  <c r="E1452" i="17" s="1"/>
  <c r="K1451" i="9"/>
  <c r="I1451" i="9"/>
  <c r="I1451" i="17" s="1"/>
  <c r="F1451" i="9"/>
  <c r="F1451" i="17" s="1"/>
  <c r="E1451" i="9"/>
  <c r="E1451" i="17" s="1"/>
  <c r="K1450" i="9"/>
  <c r="I1450" i="9"/>
  <c r="I1450" i="17" s="1"/>
  <c r="F1450" i="9"/>
  <c r="F1450" i="17" s="1"/>
  <c r="E1450" i="9"/>
  <c r="E1450" i="17" s="1"/>
  <c r="K1449" i="9"/>
  <c r="I1449" i="9"/>
  <c r="I1449" i="17" s="1"/>
  <c r="F1449" i="9"/>
  <c r="F1449" i="17" s="1"/>
  <c r="E1449" i="9"/>
  <c r="E1449" i="17" s="1"/>
  <c r="K1448" i="9"/>
  <c r="I1448" i="9"/>
  <c r="F1448" i="9"/>
  <c r="F1448" i="17" s="1"/>
  <c r="E1448" i="9"/>
  <c r="E1448" i="17" s="1"/>
  <c r="K1447" i="9"/>
  <c r="I1447" i="9"/>
  <c r="I1447" i="17" s="1"/>
  <c r="F1447" i="9"/>
  <c r="F1447" i="17" s="1"/>
  <c r="E1447" i="9"/>
  <c r="E1447" i="17" s="1"/>
  <c r="K1446" i="9"/>
  <c r="I1446" i="9"/>
  <c r="I1446" i="17" s="1"/>
  <c r="F1446" i="9"/>
  <c r="F1446" i="17" s="1"/>
  <c r="E1446" i="9"/>
  <c r="E1446" i="17" s="1"/>
  <c r="K1445" i="9"/>
  <c r="I1445" i="9"/>
  <c r="F1445" i="9"/>
  <c r="F1445" i="17" s="1"/>
  <c r="E1445" i="9"/>
  <c r="E1445" i="17" s="1"/>
  <c r="K1444" i="9"/>
  <c r="I1444" i="9"/>
  <c r="I1444" i="17" s="1"/>
  <c r="F1444" i="9"/>
  <c r="F1444" i="17" s="1"/>
  <c r="E1444" i="9"/>
  <c r="E1444" i="17" s="1"/>
  <c r="K1443" i="9"/>
  <c r="I1443" i="9"/>
  <c r="I1443" i="17" s="1"/>
  <c r="F1443" i="9"/>
  <c r="F1443" i="17" s="1"/>
  <c r="E1443" i="9"/>
  <c r="E1443" i="17" s="1"/>
  <c r="K1442" i="9"/>
  <c r="E1442" i="9"/>
  <c r="E1442" i="17" s="1"/>
  <c r="K1441" i="9"/>
  <c r="E1441" i="9"/>
  <c r="E1441" i="17" s="1"/>
  <c r="K1440" i="9"/>
  <c r="E1440" i="9"/>
  <c r="E1440" i="17" s="1"/>
  <c r="K1439" i="9"/>
  <c r="I1439" i="9"/>
  <c r="I1439" i="17" s="1"/>
  <c r="E1439" i="9"/>
  <c r="E1439" i="17" s="1"/>
  <c r="K1438" i="9"/>
  <c r="I1438" i="9"/>
  <c r="E1438" i="9"/>
  <c r="E1438" i="17" s="1"/>
  <c r="K1437" i="9"/>
  <c r="I1437" i="9"/>
  <c r="F1437" i="9"/>
  <c r="F1437" i="17" s="1"/>
  <c r="E1437" i="9"/>
  <c r="E1437" i="17" s="1"/>
  <c r="K1436" i="9"/>
  <c r="I1436" i="9"/>
  <c r="F1436" i="9"/>
  <c r="F1436" i="17" s="1"/>
  <c r="E1436" i="9"/>
  <c r="E1436" i="17" s="1"/>
  <c r="K1435" i="9"/>
  <c r="I1435" i="9"/>
  <c r="I1435" i="17" s="1"/>
  <c r="F1435" i="9"/>
  <c r="F1435" i="17" s="1"/>
  <c r="E1435" i="9"/>
  <c r="E1435" i="17" s="1"/>
  <c r="K1434" i="9"/>
  <c r="I1434" i="9"/>
  <c r="F1434" i="9"/>
  <c r="F1434" i="17" s="1"/>
  <c r="E1434" i="9"/>
  <c r="E1434" i="17" s="1"/>
  <c r="K1433" i="9"/>
  <c r="I1433" i="9"/>
  <c r="F1433" i="9"/>
  <c r="F1433" i="17" s="1"/>
  <c r="E1433" i="9"/>
  <c r="E1433" i="17" s="1"/>
  <c r="K1432" i="9"/>
  <c r="I1432" i="9"/>
  <c r="I1432" i="17" s="1"/>
  <c r="F1432" i="9"/>
  <c r="F1432" i="17" s="1"/>
  <c r="E1432" i="9"/>
  <c r="E1432" i="17" s="1"/>
  <c r="K1431" i="9"/>
  <c r="I1431" i="9"/>
  <c r="F1431" i="9"/>
  <c r="F1431" i="17" s="1"/>
  <c r="E1431" i="9"/>
  <c r="E1431" i="17" s="1"/>
  <c r="K1430" i="9"/>
  <c r="I1430" i="9"/>
  <c r="I1430" i="17" s="1"/>
  <c r="F1430" i="9"/>
  <c r="F1430" i="17" s="1"/>
  <c r="E1430" i="9"/>
  <c r="E1430" i="17" s="1"/>
  <c r="K1429" i="9"/>
  <c r="I1429" i="9"/>
  <c r="I1429" i="17" s="1"/>
  <c r="F1429" i="9"/>
  <c r="F1429" i="17" s="1"/>
  <c r="E1429" i="9"/>
  <c r="E1429" i="17" s="1"/>
  <c r="K1428" i="9"/>
  <c r="E1428" i="9"/>
  <c r="E1428" i="17" s="1"/>
  <c r="K1427" i="9"/>
  <c r="E1427" i="9"/>
  <c r="E1427" i="17" s="1"/>
  <c r="K1426" i="9"/>
  <c r="E1426" i="9"/>
  <c r="E1426" i="17" s="1"/>
  <c r="K1425" i="9"/>
  <c r="I1425" i="9"/>
  <c r="E1425" i="9"/>
  <c r="E1425" i="17" s="1"/>
  <c r="K1424" i="9"/>
  <c r="I1424" i="9"/>
  <c r="E1424" i="9"/>
  <c r="E1424" i="17" s="1"/>
  <c r="K1423" i="9"/>
  <c r="I1423" i="9"/>
  <c r="I1423" i="17" s="1"/>
  <c r="E1423" i="9"/>
  <c r="E1423" i="17" s="1"/>
  <c r="K1422" i="9"/>
  <c r="I1422" i="9"/>
  <c r="F1422" i="9"/>
  <c r="F1422" i="17" s="1"/>
  <c r="E1422" i="9"/>
  <c r="E1422" i="17" s="1"/>
  <c r="K1421" i="9"/>
  <c r="I1421" i="9"/>
  <c r="F1421" i="9"/>
  <c r="F1421" i="17" s="1"/>
  <c r="E1421" i="9"/>
  <c r="E1421" i="17" s="1"/>
  <c r="K1420" i="9"/>
  <c r="E1420" i="9"/>
  <c r="E1420" i="17" s="1"/>
  <c r="K1419" i="9"/>
  <c r="E1419" i="9"/>
  <c r="E1419" i="17" s="1"/>
  <c r="K1418" i="9"/>
  <c r="I1418" i="9"/>
  <c r="I1418" i="17" s="1"/>
  <c r="E1418" i="9"/>
  <c r="E1418" i="17" s="1"/>
  <c r="K1417" i="9"/>
  <c r="I1417" i="9"/>
  <c r="I1417" i="17" s="1"/>
  <c r="E1417" i="9"/>
  <c r="E1417" i="17" s="1"/>
  <c r="K1416" i="9"/>
  <c r="I1416" i="9"/>
  <c r="I1416" i="17" s="1"/>
  <c r="F1416" i="9"/>
  <c r="F1416" i="17" s="1"/>
  <c r="E1416" i="9"/>
  <c r="E1416" i="17" s="1"/>
  <c r="K1415" i="9"/>
  <c r="I1415" i="9"/>
  <c r="I1415" i="17" s="1"/>
  <c r="F1415" i="9"/>
  <c r="F1415" i="17" s="1"/>
  <c r="E1415" i="9"/>
  <c r="E1415" i="17" s="1"/>
  <c r="K1414" i="9"/>
  <c r="E1414" i="9"/>
  <c r="E1414" i="17" s="1"/>
  <c r="K1413" i="9"/>
  <c r="E1413" i="9"/>
  <c r="E1413" i="17" s="1"/>
  <c r="K1412" i="9"/>
  <c r="I1412" i="9"/>
  <c r="I1412" i="17" s="1"/>
  <c r="E1412" i="9"/>
  <c r="E1412" i="17" s="1"/>
  <c r="K1411" i="9"/>
  <c r="I1411" i="9"/>
  <c r="I1411" i="17" s="1"/>
  <c r="E1411" i="9"/>
  <c r="E1411" i="17" s="1"/>
  <c r="K1410" i="9"/>
  <c r="I1410" i="9"/>
  <c r="I1410" i="17" s="1"/>
  <c r="F1410" i="9"/>
  <c r="F1410" i="17" s="1"/>
  <c r="E1410" i="9"/>
  <c r="E1410" i="17" s="1"/>
  <c r="K1409" i="9"/>
  <c r="I1409" i="9"/>
  <c r="I1409" i="17" s="1"/>
  <c r="F1409" i="9"/>
  <c r="F1409" i="17" s="1"/>
  <c r="E1409" i="9"/>
  <c r="E1409" i="17" s="1"/>
  <c r="K1408" i="9"/>
  <c r="E1408" i="9"/>
  <c r="E1408" i="17" s="1"/>
  <c r="K1407" i="9"/>
  <c r="E1407" i="9"/>
  <c r="E1407" i="17" s="1"/>
  <c r="K1406" i="9"/>
  <c r="I1406" i="9"/>
  <c r="I1406" i="17" s="1"/>
  <c r="E1406" i="9"/>
  <c r="E1406" i="17" s="1"/>
  <c r="K1405" i="9"/>
  <c r="I1405" i="9"/>
  <c r="E1405" i="9"/>
  <c r="E1405" i="17" s="1"/>
  <c r="K1404" i="9"/>
  <c r="I1404" i="9"/>
  <c r="F1404" i="9"/>
  <c r="F1404" i="17" s="1"/>
  <c r="E1404" i="9"/>
  <c r="E1404" i="17" s="1"/>
  <c r="K1403" i="9"/>
  <c r="I1403" i="9"/>
  <c r="I1403" i="17" s="1"/>
  <c r="F1403" i="9"/>
  <c r="F1403" i="17" s="1"/>
  <c r="E1403" i="9"/>
  <c r="E1403" i="17" s="1"/>
  <c r="K1402" i="9"/>
  <c r="E1402" i="9"/>
  <c r="E1402" i="17" s="1"/>
  <c r="K1401" i="9"/>
  <c r="E1401" i="9"/>
  <c r="E1401" i="17" s="1"/>
  <c r="K1400" i="9"/>
  <c r="I1400" i="9"/>
  <c r="E1400" i="9"/>
  <c r="E1400" i="17" s="1"/>
  <c r="K1399" i="9"/>
  <c r="I1399" i="9"/>
  <c r="F1399" i="9"/>
  <c r="F1399" i="17" s="1"/>
  <c r="E1399" i="9"/>
  <c r="E1399" i="17" s="1"/>
  <c r="K1398" i="9"/>
  <c r="I1398" i="9"/>
  <c r="F1398" i="9"/>
  <c r="F1398" i="17" s="1"/>
  <c r="E1398" i="9"/>
  <c r="E1398" i="17" s="1"/>
  <c r="K1397" i="9"/>
  <c r="I1397" i="9"/>
  <c r="F1397" i="9"/>
  <c r="F1397" i="17" s="1"/>
  <c r="E1397" i="9"/>
  <c r="E1397" i="17" s="1"/>
  <c r="K1396" i="9"/>
  <c r="I1396" i="9"/>
  <c r="I1396" i="17" s="1"/>
  <c r="F1396" i="9"/>
  <c r="F1396" i="17" s="1"/>
  <c r="E1396" i="9"/>
  <c r="E1396" i="17" s="1"/>
  <c r="K1395" i="9"/>
  <c r="I1395" i="9"/>
  <c r="I1395" i="17" s="1"/>
  <c r="F1395" i="9"/>
  <c r="F1395" i="17" s="1"/>
  <c r="E1395" i="9"/>
  <c r="E1395" i="17" s="1"/>
  <c r="K1394" i="9"/>
  <c r="I1394" i="9"/>
  <c r="I1394" i="17" s="1"/>
  <c r="F1394" i="9"/>
  <c r="F1394" i="17" s="1"/>
  <c r="E1394" i="9"/>
  <c r="E1394" i="17" s="1"/>
  <c r="K1393" i="9"/>
  <c r="I1393" i="9"/>
  <c r="F1393" i="9"/>
  <c r="F1393" i="17" s="1"/>
  <c r="E1393" i="9"/>
  <c r="E1393" i="17" s="1"/>
  <c r="K1392" i="9"/>
  <c r="I1392" i="9"/>
  <c r="I1392" i="17" s="1"/>
  <c r="F1392" i="9"/>
  <c r="F1392" i="17" s="1"/>
  <c r="E1392" i="9"/>
  <c r="E1392" i="17" s="1"/>
  <c r="K1391" i="9"/>
  <c r="I1391" i="9"/>
  <c r="I1391" i="17" s="1"/>
  <c r="E1391" i="9"/>
  <c r="E1391" i="17" s="1"/>
  <c r="K1390" i="9"/>
  <c r="I1390" i="9"/>
  <c r="I1390" i="17" s="1"/>
  <c r="E1390" i="9"/>
  <c r="E1390" i="17" s="1"/>
  <c r="K1389" i="9"/>
  <c r="I1389" i="9"/>
  <c r="I1389" i="17" s="1"/>
  <c r="E1389" i="9"/>
  <c r="E1389" i="17" s="1"/>
  <c r="K1388" i="9"/>
  <c r="I1388" i="9"/>
  <c r="F1388" i="9"/>
  <c r="F1388" i="17" s="1"/>
  <c r="E1388" i="9"/>
  <c r="E1388" i="17" s="1"/>
  <c r="K1387" i="9"/>
  <c r="I1387" i="9"/>
  <c r="F1387" i="9"/>
  <c r="F1387" i="17" s="1"/>
  <c r="E1387" i="9"/>
  <c r="E1387" i="17" s="1"/>
  <c r="K1386" i="9"/>
  <c r="I1386" i="9"/>
  <c r="I1386" i="17" s="1"/>
  <c r="F1386" i="9"/>
  <c r="F1386" i="17" s="1"/>
  <c r="E1386" i="9"/>
  <c r="E1386" i="17" s="1"/>
  <c r="K1385" i="9"/>
  <c r="I1385" i="9"/>
  <c r="I1385" i="17" s="1"/>
  <c r="F1385" i="9"/>
  <c r="F1385" i="17" s="1"/>
  <c r="E1385" i="9"/>
  <c r="E1385" i="17" s="1"/>
  <c r="K1384" i="9"/>
  <c r="I1384" i="9"/>
  <c r="F1384" i="9"/>
  <c r="F1384" i="17" s="1"/>
  <c r="E1384" i="9"/>
  <c r="E1384" i="17" s="1"/>
  <c r="K1383" i="9"/>
  <c r="I1383" i="9"/>
  <c r="F1383" i="9"/>
  <c r="F1383" i="17" s="1"/>
  <c r="E1383" i="9"/>
  <c r="E1383" i="17" s="1"/>
  <c r="K1382" i="9"/>
  <c r="I1382" i="9"/>
  <c r="F1382" i="9"/>
  <c r="F1382" i="17" s="1"/>
  <c r="E1382" i="9"/>
  <c r="E1382" i="17" s="1"/>
  <c r="K1381" i="9"/>
  <c r="I1381" i="9"/>
  <c r="I1381" i="17" s="1"/>
  <c r="F1381" i="9"/>
  <c r="F1381" i="17" s="1"/>
  <c r="E1381" i="9"/>
  <c r="E1381" i="17" s="1"/>
  <c r="K1380" i="9"/>
  <c r="I1380" i="9"/>
  <c r="E1380" i="9"/>
  <c r="E1380" i="17" s="1"/>
  <c r="K1379" i="9"/>
  <c r="I1379" i="9"/>
  <c r="E1379" i="9"/>
  <c r="E1379" i="17" s="1"/>
  <c r="K1378" i="9"/>
  <c r="I1378" i="9"/>
  <c r="I1378" i="17" s="1"/>
  <c r="F1378" i="9"/>
  <c r="F1378" i="17" s="1"/>
  <c r="E1378" i="9"/>
  <c r="E1378" i="17" s="1"/>
  <c r="K1377" i="9"/>
  <c r="I1377" i="9"/>
  <c r="I1377" i="17" s="1"/>
  <c r="F1377" i="9"/>
  <c r="F1377" i="17" s="1"/>
  <c r="E1377" i="9"/>
  <c r="E1377" i="17" s="1"/>
  <c r="K1376" i="9"/>
  <c r="I1376" i="9"/>
  <c r="I1376" i="17" s="1"/>
  <c r="E1376" i="9"/>
  <c r="E1376" i="17" s="1"/>
  <c r="K1375" i="9"/>
  <c r="I1375" i="9"/>
  <c r="I1375" i="17" s="1"/>
  <c r="E1375" i="9"/>
  <c r="E1375" i="17" s="1"/>
  <c r="K1374" i="9"/>
  <c r="I1374" i="9"/>
  <c r="I1374" i="17" s="1"/>
  <c r="F1374" i="9"/>
  <c r="F1374" i="17" s="1"/>
  <c r="E1374" i="9"/>
  <c r="E1374" i="17" s="1"/>
  <c r="K1373" i="9"/>
  <c r="I1373" i="9"/>
  <c r="I1373" i="17" s="1"/>
  <c r="E1373" i="9"/>
  <c r="E1373" i="17" s="1"/>
  <c r="K1372" i="9"/>
  <c r="I1372" i="9"/>
  <c r="I1372" i="17" s="1"/>
  <c r="E1372" i="9"/>
  <c r="E1372" i="17" s="1"/>
  <c r="K1371" i="9"/>
  <c r="I1371" i="9"/>
  <c r="F1371" i="9"/>
  <c r="F1371" i="17" s="1"/>
  <c r="E1371" i="9"/>
  <c r="E1371" i="17" s="1"/>
  <c r="K1370" i="9"/>
  <c r="I1370" i="9"/>
  <c r="I1370" i="17" s="1"/>
  <c r="E1370" i="9"/>
  <c r="E1370" i="17" s="1"/>
  <c r="K1369" i="9"/>
  <c r="I1369" i="9"/>
  <c r="I1369" i="17" s="1"/>
  <c r="E1369" i="9"/>
  <c r="E1369" i="17" s="1"/>
  <c r="K1368" i="9"/>
  <c r="I1368" i="9"/>
  <c r="I1368" i="17" s="1"/>
  <c r="E1368" i="9"/>
  <c r="E1368" i="17" s="1"/>
  <c r="K1367" i="9"/>
  <c r="I1367" i="9"/>
  <c r="I1367" i="17" s="1"/>
  <c r="F1367" i="9"/>
  <c r="F1367" i="17" s="1"/>
  <c r="E1367" i="9"/>
  <c r="E1367" i="17" s="1"/>
  <c r="K1366" i="9"/>
  <c r="I1366" i="9"/>
  <c r="I1366" i="17" s="1"/>
  <c r="E1366" i="9"/>
  <c r="E1366" i="17" s="1"/>
  <c r="K1365" i="9"/>
  <c r="I1365" i="9"/>
  <c r="E1365" i="9"/>
  <c r="E1365" i="17" s="1"/>
  <c r="K1364" i="9"/>
  <c r="I1364" i="9"/>
  <c r="I1364" i="17" s="1"/>
  <c r="E1364" i="9"/>
  <c r="E1364" i="17" s="1"/>
  <c r="K1363" i="9"/>
  <c r="I1363" i="9"/>
  <c r="I1363" i="17" s="1"/>
  <c r="F1363" i="9"/>
  <c r="F1363" i="17" s="1"/>
  <c r="E1363" i="9"/>
  <c r="E1363" i="17" s="1"/>
  <c r="K1362" i="9"/>
  <c r="I1362" i="9"/>
  <c r="I1362" i="17" s="1"/>
  <c r="F1362" i="9"/>
  <c r="F1362" i="17" s="1"/>
  <c r="E1362" i="9"/>
  <c r="E1362" i="17" s="1"/>
  <c r="K1361" i="9"/>
  <c r="I1361" i="9"/>
  <c r="F1361" i="9"/>
  <c r="F1361" i="17" s="1"/>
  <c r="E1361" i="9"/>
  <c r="E1361" i="17" s="1"/>
  <c r="K1360" i="9"/>
  <c r="I1360" i="9"/>
  <c r="I1360" i="17" s="1"/>
  <c r="F1360" i="9"/>
  <c r="F1360" i="17" s="1"/>
  <c r="E1360" i="9"/>
  <c r="E1360" i="17" s="1"/>
  <c r="K1359" i="9"/>
  <c r="I1359" i="9"/>
  <c r="I1359" i="17" s="1"/>
  <c r="F1359" i="9"/>
  <c r="F1359" i="17" s="1"/>
  <c r="E1359" i="9"/>
  <c r="E1359" i="17" s="1"/>
  <c r="K1358" i="9"/>
  <c r="I1358" i="9"/>
  <c r="F1358" i="9"/>
  <c r="F1358" i="17" s="1"/>
  <c r="E1358" i="9"/>
  <c r="E1358" i="17" s="1"/>
  <c r="K1357" i="9"/>
  <c r="I1357" i="9"/>
  <c r="I1357" i="17" s="1"/>
  <c r="F1357" i="9"/>
  <c r="F1357" i="17" s="1"/>
  <c r="E1357" i="9"/>
  <c r="E1357" i="17" s="1"/>
  <c r="K1356" i="9"/>
  <c r="I1356" i="9"/>
  <c r="F1356" i="9"/>
  <c r="F1356" i="17" s="1"/>
  <c r="E1356" i="9"/>
  <c r="E1356" i="17" s="1"/>
  <c r="K1355" i="9"/>
  <c r="I1355" i="9"/>
  <c r="F1355" i="9"/>
  <c r="F1355" i="17" s="1"/>
  <c r="E1355" i="9"/>
  <c r="E1355" i="17" s="1"/>
  <c r="K1354" i="9"/>
  <c r="I1354" i="9"/>
  <c r="F1354" i="9"/>
  <c r="F1354" i="17" s="1"/>
  <c r="E1354" i="9"/>
  <c r="E1354" i="17" s="1"/>
  <c r="K1353" i="9"/>
  <c r="I1353" i="9"/>
  <c r="I1353" i="17" s="1"/>
  <c r="E1353" i="9"/>
  <c r="E1353" i="17" s="1"/>
  <c r="K1352" i="9"/>
  <c r="E1352" i="9"/>
  <c r="E1352" i="17" s="1"/>
  <c r="K1351" i="9"/>
  <c r="E1351" i="9"/>
  <c r="E1351" i="17" s="1"/>
  <c r="K1350" i="9"/>
  <c r="I1350" i="9"/>
  <c r="E1350" i="9"/>
  <c r="E1350" i="17" s="1"/>
  <c r="K1349" i="9"/>
  <c r="I1349" i="9"/>
  <c r="F1349" i="9"/>
  <c r="F1349" i="17" s="1"/>
  <c r="E1349" i="9"/>
  <c r="E1349" i="17" s="1"/>
  <c r="K1348" i="9"/>
  <c r="I1348" i="9"/>
  <c r="F1348" i="9"/>
  <c r="F1348" i="17" s="1"/>
  <c r="E1348" i="9"/>
  <c r="E1348" i="17" s="1"/>
  <c r="K1347" i="9"/>
  <c r="I1347" i="9"/>
  <c r="I1347" i="17" s="1"/>
  <c r="F1347" i="9"/>
  <c r="F1347" i="17" s="1"/>
  <c r="E1347" i="9"/>
  <c r="E1347" i="17" s="1"/>
  <c r="K1346" i="9"/>
  <c r="I1346" i="9"/>
  <c r="F1346" i="9"/>
  <c r="F1346" i="17" s="1"/>
  <c r="E1346" i="9"/>
  <c r="E1346" i="17" s="1"/>
  <c r="K1345" i="9"/>
  <c r="I1345" i="9"/>
  <c r="I1345" i="17" s="1"/>
  <c r="F1345" i="9"/>
  <c r="F1345" i="17" s="1"/>
  <c r="E1345" i="9"/>
  <c r="E1345" i="17" s="1"/>
  <c r="K1344" i="9"/>
  <c r="I1344" i="9"/>
  <c r="I1344" i="17" s="1"/>
  <c r="F1344" i="9"/>
  <c r="F1344" i="17" s="1"/>
  <c r="E1344" i="9"/>
  <c r="E1344" i="17" s="1"/>
  <c r="K1343" i="9"/>
  <c r="I1343" i="9"/>
  <c r="I1343" i="17" s="1"/>
  <c r="F1343" i="9"/>
  <c r="F1343" i="17" s="1"/>
  <c r="E1343" i="9"/>
  <c r="E1343" i="17" s="1"/>
  <c r="K1342" i="9"/>
  <c r="I1342" i="9"/>
  <c r="F1342" i="9"/>
  <c r="F1342" i="17" s="1"/>
  <c r="E1342" i="9"/>
  <c r="E1342" i="17" s="1"/>
  <c r="K1341" i="9"/>
  <c r="I1341" i="9"/>
  <c r="I1341" i="17" s="1"/>
  <c r="F1341" i="9"/>
  <c r="F1341" i="17" s="1"/>
  <c r="E1341" i="9"/>
  <c r="E1341" i="17" s="1"/>
  <c r="K1340" i="9"/>
  <c r="I1340" i="9"/>
  <c r="F1340" i="9"/>
  <c r="F1340" i="17" s="1"/>
  <c r="E1340" i="9"/>
  <c r="E1340" i="17" s="1"/>
  <c r="K1339" i="9"/>
  <c r="I1339" i="9"/>
  <c r="E1339" i="9"/>
  <c r="E1339" i="17" s="1"/>
  <c r="K1338" i="9"/>
  <c r="E1338" i="9"/>
  <c r="E1338" i="17" s="1"/>
  <c r="K1337" i="9"/>
  <c r="I1337" i="9"/>
  <c r="I1337" i="17" s="1"/>
  <c r="E1337" i="9"/>
  <c r="E1337" i="17" s="1"/>
  <c r="K1336" i="9"/>
  <c r="I1336" i="9"/>
  <c r="I1336" i="17" s="1"/>
  <c r="F1336" i="9"/>
  <c r="F1336" i="17" s="1"/>
  <c r="E1336" i="9"/>
  <c r="E1336" i="17" s="1"/>
  <c r="K1335" i="9"/>
  <c r="I1335" i="9"/>
  <c r="F1335" i="9"/>
  <c r="F1335" i="17" s="1"/>
  <c r="E1335" i="9"/>
  <c r="E1335" i="17" s="1"/>
  <c r="K1334" i="9"/>
  <c r="I1334" i="9"/>
  <c r="I1334" i="17" s="1"/>
  <c r="F1334" i="9"/>
  <c r="F1334" i="17" s="1"/>
  <c r="E1334" i="9"/>
  <c r="E1334" i="17" s="1"/>
  <c r="K1333" i="9"/>
  <c r="I1333" i="9"/>
  <c r="I1333" i="17" s="1"/>
  <c r="F1333" i="9"/>
  <c r="F1333" i="17" s="1"/>
  <c r="E1333" i="9"/>
  <c r="E1333" i="17" s="1"/>
  <c r="K1332" i="9"/>
  <c r="I1332" i="9"/>
  <c r="I1332" i="17" s="1"/>
  <c r="F1332" i="9"/>
  <c r="F1332" i="17" s="1"/>
  <c r="E1332" i="9"/>
  <c r="E1332" i="17" s="1"/>
  <c r="K1331" i="9"/>
  <c r="I1331" i="9"/>
  <c r="I1331" i="17" s="1"/>
  <c r="F1331" i="9"/>
  <c r="F1331" i="17" s="1"/>
  <c r="E1331" i="9"/>
  <c r="E1331" i="17" s="1"/>
  <c r="K1330" i="9"/>
  <c r="I1330" i="9"/>
  <c r="I1330" i="17" s="1"/>
  <c r="F1330" i="9"/>
  <c r="F1330" i="17" s="1"/>
  <c r="E1330" i="9"/>
  <c r="E1330" i="17" s="1"/>
  <c r="K1329" i="9"/>
  <c r="I1329" i="9"/>
  <c r="F1329" i="9"/>
  <c r="F1329" i="17" s="1"/>
  <c r="E1329" i="9"/>
  <c r="E1329" i="17" s="1"/>
  <c r="K1328" i="9"/>
  <c r="I1328" i="9"/>
  <c r="I1328" i="17" s="1"/>
  <c r="E1328" i="9"/>
  <c r="E1328" i="17" s="1"/>
  <c r="K1327" i="9"/>
  <c r="E1327" i="9"/>
  <c r="E1327" i="17" s="1"/>
  <c r="K1326" i="9"/>
  <c r="I1326" i="9"/>
  <c r="I1326" i="17" s="1"/>
  <c r="E1326" i="9"/>
  <c r="E1326" i="17" s="1"/>
  <c r="K1325" i="9"/>
  <c r="I1325" i="9"/>
  <c r="E1325" i="9"/>
  <c r="E1325" i="17" s="1"/>
  <c r="K1324" i="9"/>
  <c r="I1324" i="9"/>
  <c r="F1324" i="9"/>
  <c r="F1324" i="17" s="1"/>
  <c r="E1324" i="9"/>
  <c r="E1324" i="17" s="1"/>
  <c r="K1323" i="9"/>
  <c r="I1323" i="9"/>
  <c r="I1323" i="17" s="1"/>
  <c r="F1323" i="9"/>
  <c r="F1323" i="17" s="1"/>
  <c r="E1323" i="9"/>
  <c r="E1323" i="17" s="1"/>
  <c r="K1322" i="9"/>
  <c r="I1322" i="9"/>
  <c r="I1322" i="17" s="1"/>
  <c r="F1322" i="9"/>
  <c r="F1322" i="17" s="1"/>
  <c r="E1322" i="9"/>
  <c r="E1322" i="17" s="1"/>
  <c r="K1321" i="9"/>
  <c r="I1321" i="9"/>
  <c r="F1321" i="9"/>
  <c r="F1321" i="17" s="1"/>
  <c r="E1321" i="9"/>
  <c r="E1321" i="17" s="1"/>
  <c r="K1320" i="9"/>
  <c r="I1320" i="9"/>
  <c r="I1320" i="17" s="1"/>
  <c r="F1320" i="9"/>
  <c r="F1320" i="17" s="1"/>
  <c r="E1320" i="9"/>
  <c r="E1320" i="17" s="1"/>
  <c r="K1319" i="9"/>
  <c r="I1319" i="9"/>
  <c r="I1319" i="17" s="1"/>
  <c r="F1319" i="9"/>
  <c r="F1319" i="17" s="1"/>
  <c r="E1319" i="9"/>
  <c r="E1319" i="17" s="1"/>
  <c r="K1318" i="9"/>
  <c r="I1318" i="9"/>
  <c r="I1318" i="17" s="1"/>
  <c r="F1318" i="9"/>
  <c r="F1318" i="17" s="1"/>
  <c r="E1318" i="9"/>
  <c r="E1318" i="17" s="1"/>
  <c r="K1317" i="9"/>
  <c r="I1317" i="9"/>
  <c r="F1317" i="9"/>
  <c r="F1317" i="17" s="1"/>
  <c r="E1317" i="9"/>
  <c r="E1317" i="17" s="1"/>
  <c r="K1316" i="9"/>
  <c r="I1316" i="9"/>
  <c r="I1316" i="17" s="1"/>
  <c r="F1316" i="9"/>
  <c r="F1316" i="17" s="1"/>
  <c r="E1316" i="9"/>
  <c r="E1316" i="17" s="1"/>
  <c r="K1315" i="9"/>
  <c r="I1315" i="9"/>
  <c r="F1315" i="9"/>
  <c r="F1315" i="17" s="1"/>
  <c r="E1315" i="9"/>
  <c r="E1315" i="17" s="1"/>
  <c r="K1314" i="9"/>
  <c r="I1314" i="9"/>
  <c r="I1314" i="17" s="1"/>
  <c r="E1314" i="9"/>
  <c r="E1314" i="17" s="1"/>
  <c r="K1313" i="9"/>
  <c r="E1313" i="9"/>
  <c r="E1313" i="17" s="1"/>
  <c r="K1312" i="9"/>
  <c r="I1312" i="9"/>
  <c r="E1312" i="9"/>
  <c r="E1312" i="17" s="1"/>
  <c r="K1311" i="9"/>
  <c r="I1311" i="9"/>
  <c r="I1311" i="17" s="1"/>
  <c r="F1311" i="9"/>
  <c r="F1311" i="17" s="1"/>
  <c r="E1311" i="9"/>
  <c r="E1311" i="17" s="1"/>
  <c r="K1310" i="9"/>
  <c r="I1310" i="9"/>
  <c r="I1310" i="17" s="1"/>
  <c r="F1310" i="9"/>
  <c r="F1310" i="17" s="1"/>
  <c r="E1310" i="9"/>
  <c r="E1310" i="17" s="1"/>
  <c r="K1309" i="9"/>
  <c r="I1309" i="9"/>
  <c r="I1309" i="17" s="1"/>
  <c r="F1309" i="9"/>
  <c r="F1309" i="17" s="1"/>
  <c r="E1309" i="9"/>
  <c r="E1309" i="17" s="1"/>
  <c r="K1308" i="9"/>
  <c r="I1308" i="9"/>
  <c r="F1308" i="9"/>
  <c r="F1308" i="17" s="1"/>
  <c r="E1308" i="9"/>
  <c r="E1308" i="17" s="1"/>
  <c r="K1307" i="9"/>
  <c r="I1307" i="9"/>
  <c r="F1307" i="9"/>
  <c r="F1307" i="17" s="1"/>
  <c r="E1307" i="9"/>
  <c r="E1307" i="17" s="1"/>
  <c r="K1306" i="9"/>
  <c r="I1306" i="9"/>
  <c r="I1306" i="17" s="1"/>
  <c r="F1306" i="9"/>
  <c r="F1306" i="17" s="1"/>
  <c r="E1306" i="9"/>
  <c r="E1306" i="17" s="1"/>
  <c r="K1305" i="9"/>
  <c r="I1305" i="9"/>
  <c r="F1305" i="9"/>
  <c r="F1305" i="17" s="1"/>
  <c r="E1305" i="9"/>
  <c r="E1305" i="17" s="1"/>
  <c r="K1304" i="9"/>
  <c r="I1304" i="9"/>
  <c r="I1304" i="17" s="1"/>
  <c r="F1304" i="9"/>
  <c r="F1304" i="17" s="1"/>
  <c r="E1304" i="9"/>
  <c r="E1304" i="17" s="1"/>
  <c r="K1303" i="9"/>
  <c r="I1303" i="9"/>
  <c r="F1303" i="9"/>
  <c r="F1303" i="17" s="1"/>
  <c r="E1303" i="9"/>
  <c r="E1303" i="17" s="1"/>
  <c r="K1302" i="9"/>
  <c r="I1302" i="9"/>
  <c r="F1302" i="9"/>
  <c r="F1302" i="17" s="1"/>
  <c r="E1302" i="9"/>
  <c r="E1302" i="17" s="1"/>
  <c r="K1301" i="9"/>
  <c r="I1301" i="9"/>
  <c r="I1301" i="17" s="1"/>
  <c r="E1301" i="9"/>
  <c r="E1301" i="17" s="1"/>
  <c r="K1300" i="9"/>
  <c r="E1300" i="9"/>
  <c r="E1300" i="17" s="1"/>
  <c r="K1299" i="9"/>
  <c r="I1299" i="9"/>
  <c r="I1299" i="17" s="1"/>
  <c r="E1299" i="9"/>
  <c r="E1299" i="17" s="1"/>
  <c r="K1298" i="9"/>
  <c r="I1298" i="9"/>
  <c r="I1298" i="17" s="1"/>
  <c r="F1298" i="9"/>
  <c r="F1298" i="17" s="1"/>
  <c r="E1298" i="9"/>
  <c r="E1298" i="17" s="1"/>
  <c r="K1297" i="9"/>
  <c r="I1297" i="9"/>
  <c r="E1297" i="9"/>
  <c r="E1297" i="17" s="1"/>
  <c r="K1296" i="9"/>
  <c r="I1296" i="9"/>
  <c r="E1296" i="9"/>
  <c r="E1296" i="17" s="1"/>
  <c r="K1295" i="9"/>
  <c r="I1295" i="9"/>
  <c r="I1295" i="17" s="1"/>
  <c r="E1295" i="9"/>
  <c r="E1295" i="17" s="1"/>
  <c r="K1294" i="9"/>
  <c r="I1294" i="9"/>
  <c r="F1294" i="9"/>
  <c r="F1294" i="17" s="1"/>
  <c r="E1294" i="9"/>
  <c r="E1294" i="17" s="1"/>
  <c r="K1293" i="9"/>
  <c r="I1293" i="9"/>
  <c r="I1293" i="17" s="1"/>
  <c r="F1293" i="9"/>
  <c r="F1293" i="17" s="1"/>
  <c r="E1293" i="9"/>
  <c r="E1293" i="17" s="1"/>
  <c r="K1292" i="9"/>
  <c r="I1292" i="9"/>
  <c r="I1292" i="17" s="1"/>
  <c r="E1292" i="9"/>
  <c r="E1292" i="17" s="1"/>
  <c r="K1291" i="9"/>
  <c r="I1291" i="9"/>
  <c r="E1291" i="9"/>
  <c r="E1291" i="17" s="1"/>
  <c r="K1290" i="9"/>
  <c r="I1290" i="9"/>
  <c r="I1290" i="17" s="1"/>
  <c r="E1290" i="9"/>
  <c r="E1290" i="17" s="1"/>
  <c r="K1289" i="9"/>
  <c r="I1289" i="9"/>
  <c r="F1289" i="9"/>
  <c r="F1289" i="17" s="1"/>
  <c r="E1289" i="9"/>
  <c r="E1289" i="17" s="1"/>
  <c r="K1288" i="9"/>
  <c r="I1288" i="9"/>
  <c r="F1288" i="9"/>
  <c r="F1288" i="17" s="1"/>
  <c r="E1288" i="9"/>
  <c r="E1288" i="17" s="1"/>
  <c r="K1287" i="9"/>
  <c r="I1287" i="9"/>
  <c r="E1287" i="9"/>
  <c r="E1287" i="17" s="1"/>
  <c r="K1286" i="9"/>
  <c r="E1286" i="9"/>
  <c r="E1286" i="17" s="1"/>
  <c r="K1285" i="9"/>
  <c r="I1285" i="9"/>
  <c r="E1285" i="9"/>
  <c r="E1285" i="17" s="1"/>
  <c r="K1284" i="9"/>
  <c r="I1284" i="9"/>
  <c r="E1284" i="9"/>
  <c r="E1284" i="17" s="1"/>
  <c r="K1283" i="9"/>
  <c r="I1283" i="9"/>
  <c r="F1283" i="9"/>
  <c r="F1283" i="17" s="1"/>
  <c r="E1283" i="9"/>
  <c r="E1283" i="17" s="1"/>
  <c r="K1282" i="9"/>
  <c r="I1282" i="9"/>
  <c r="I1282" i="17" s="1"/>
  <c r="F1282" i="9"/>
  <c r="F1282" i="17" s="1"/>
  <c r="E1282" i="9"/>
  <c r="E1282" i="17" s="1"/>
  <c r="K1281" i="9"/>
  <c r="I1281" i="9"/>
  <c r="F1281" i="9"/>
  <c r="F1281" i="17" s="1"/>
  <c r="E1281" i="9"/>
  <c r="E1281" i="17" s="1"/>
  <c r="K1280" i="9"/>
  <c r="I1280" i="9"/>
  <c r="I1280" i="17" s="1"/>
  <c r="F1280" i="9"/>
  <c r="F1280" i="17" s="1"/>
  <c r="E1280" i="9"/>
  <c r="E1280" i="17" s="1"/>
  <c r="K1279" i="9"/>
  <c r="I1279" i="9"/>
  <c r="F1279" i="9"/>
  <c r="F1279" i="17" s="1"/>
  <c r="E1279" i="9"/>
  <c r="E1279" i="17" s="1"/>
  <c r="K1278" i="9"/>
  <c r="I1278" i="9"/>
  <c r="I1278" i="17" s="1"/>
  <c r="F1278" i="9"/>
  <c r="F1278" i="17" s="1"/>
  <c r="E1278" i="9"/>
  <c r="E1278" i="17" s="1"/>
  <c r="K1277" i="9"/>
  <c r="I1277" i="9"/>
  <c r="I1277" i="17" s="1"/>
  <c r="F1277" i="9"/>
  <c r="F1277" i="17" s="1"/>
  <c r="E1277" i="9"/>
  <c r="E1277" i="17" s="1"/>
  <c r="K1276" i="9"/>
  <c r="I1276" i="9"/>
  <c r="I1276" i="17" s="1"/>
  <c r="F1276" i="9"/>
  <c r="F1276" i="17" s="1"/>
  <c r="E1276" i="9"/>
  <c r="E1276" i="17" s="1"/>
  <c r="K1275" i="9"/>
  <c r="I1275" i="9"/>
  <c r="I1275" i="17" s="1"/>
  <c r="E1275" i="9"/>
  <c r="E1275" i="17" s="1"/>
  <c r="K1274" i="9"/>
  <c r="E1274" i="9"/>
  <c r="E1274" i="17" s="1"/>
  <c r="K1273" i="9"/>
  <c r="I1273" i="9"/>
  <c r="I1273" i="17" s="1"/>
  <c r="E1273" i="9"/>
  <c r="E1273" i="17" s="1"/>
  <c r="K1272" i="9"/>
  <c r="I1272" i="9"/>
  <c r="I1272" i="17" s="1"/>
  <c r="E1272" i="9"/>
  <c r="E1272" i="17" s="1"/>
  <c r="K1271" i="9"/>
  <c r="I1271" i="9"/>
  <c r="I1271" i="17" s="1"/>
  <c r="F1271" i="9"/>
  <c r="F1271" i="17" s="1"/>
  <c r="E1271" i="9"/>
  <c r="E1271" i="17" s="1"/>
  <c r="K1270" i="9"/>
  <c r="I1270" i="9"/>
  <c r="I1270" i="17" s="1"/>
  <c r="F1270" i="9"/>
  <c r="F1270" i="17" s="1"/>
  <c r="E1270" i="9"/>
  <c r="E1270" i="17" s="1"/>
  <c r="K1269" i="9"/>
  <c r="I1269" i="9"/>
  <c r="F1269" i="9"/>
  <c r="F1269" i="17" s="1"/>
  <c r="E1269" i="9"/>
  <c r="E1269" i="17" s="1"/>
  <c r="K1268" i="9"/>
  <c r="I1268" i="9"/>
  <c r="I1268" i="17" s="1"/>
  <c r="F1268" i="9"/>
  <c r="F1268" i="17" s="1"/>
  <c r="E1268" i="9"/>
  <c r="E1268" i="17" s="1"/>
  <c r="K1267" i="9"/>
  <c r="I1267" i="9"/>
  <c r="I1267" i="17" s="1"/>
  <c r="F1267" i="9"/>
  <c r="F1267" i="17" s="1"/>
  <c r="E1267" i="9"/>
  <c r="E1267" i="17" s="1"/>
  <c r="K1266" i="9"/>
  <c r="I1266" i="9"/>
  <c r="F1266" i="9"/>
  <c r="F1266" i="17" s="1"/>
  <c r="E1266" i="9"/>
  <c r="E1266" i="17" s="1"/>
  <c r="K1265" i="9"/>
  <c r="I1265" i="9"/>
  <c r="I1265" i="17" s="1"/>
  <c r="F1265" i="9"/>
  <c r="F1265" i="17" s="1"/>
  <c r="E1265" i="9"/>
  <c r="E1265" i="17" s="1"/>
  <c r="K1264" i="9"/>
  <c r="I1264" i="9"/>
  <c r="F1264" i="9"/>
  <c r="F1264" i="17" s="1"/>
  <c r="E1264" i="9"/>
  <c r="E1264" i="17" s="1"/>
  <c r="K1263" i="9"/>
  <c r="I1263" i="9"/>
  <c r="I1263" i="17" s="1"/>
  <c r="E1263" i="9"/>
  <c r="E1263" i="17" s="1"/>
  <c r="K1262" i="9"/>
  <c r="E1262" i="9"/>
  <c r="E1262" i="17" s="1"/>
  <c r="K1261" i="9"/>
  <c r="I1261" i="9"/>
  <c r="E1261" i="9"/>
  <c r="E1261" i="17" s="1"/>
  <c r="K1260" i="9"/>
  <c r="I1260" i="9"/>
  <c r="I1260" i="17" s="1"/>
  <c r="E1260" i="9"/>
  <c r="E1260" i="17" s="1"/>
  <c r="K1259" i="9"/>
  <c r="I1259" i="9"/>
  <c r="I1259" i="17" s="1"/>
  <c r="F1259" i="9"/>
  <c r="F1259" i="17" s="1"/>
  <c r="E1259" i="9"/>
  <c r="E1259" i="17" s="1"/>
  <c r="K1258" i="9"/>
  <c r="I1258" i="9"/>
  <c r="F1258" i="9"/>
  <c r="F1258" i="17" s="1"/>
  <c r="E1258" i="9"/>
  <c r="E1258" i="17" s="1"/>
  <c r="K1257" i="9"/>
  <c r="I1257" i="9"/>
  <c r="E1257" i="9"/>
  <c r="E1257" i="17" s="1"/>
  <c r="K1256" i="9"/>
  <c r="I1256" i="9"/>
  <c r="I1256" i="17" s="1"/>
  <c r="E1256" i="9"/>
  <c r="E1256" i="17" s="1"/>
  <c r="K1255" i="9"/>
  <c r="I1255" i="9"/>
  <c r="I1255" i="17" s="1"/>
  <c r="E1255" i="9"/>
  <c r="E1255" i="17" s="1"/>
  <c r="K1254" i="9"/>
  <c r="I1254" i="9"/>
  <c r="I1254" i="17" s="1"/>
  <c r="F1254" i="9"/>
  <c r="F1254" i="17" s="1"/>
  <c r="E1254" i="9"/>
  <c r="E1254" i="17" s="1"/>
  <c r="K1253" i="9"/>
  <c r="I1253" i="9"/>
  <c r="F1253" i="9"/>
  <c r="F1253" i="17" s="1"/>
  <c r="E1253" i="9"/>
  <c r="E1253" i="17" s="1"/>
  <c r="K1252" i="9"/>
  <c r="I1252" i="9"/>
  <c r="E1252" i="9"/>
  <c r="E1252" i="17" s="1"/>
  <c r="K1251" i="9"/>
  <c r="I1251" i="9"/>
  <c r="I1251" i="17" s="1"/>
  <c r="E1251" i="9"/>
  <c r="E1251" i="17" s="1"/>
  <c r="K1250" i="9"/>
  <c r="I1250" i="9"/>
  <c r="I1250" i="17" s="1"/>
  <c r="E1250" i="9"/>
  <c r="E1250" i="17" s="1"/>
  <c r="K1249" i="9"/>
  <c r="I1249" i="9"/>
  <c r="F1249" i="9"/>
  <c r="F1249" i="17" s="1"/>
  <c r="E1249" i="9"/>
  <c r="E1249" i="17" s="1"/>
  <c r="K1248" i="9"/>
  <c r="I1248" i="9"/>
  <c r="I1248" i="17" s="1"/>
  <c r="F1248" i="9"/>
  <c r="F1248" i="17" s="1"/>
  <c r="E1248" i="9"/>
  <c r="E1248" i="17" s="1"/>
  <c r="K1247" i="9"/>
  <c r="I1247" i="9"/>
  <c r="F1247" i="9"/>
  <c r="F1247" i="17" s="1"/>
  <c r="E1247" i="9"/>
  <c r="E1247" i="17" s="1"/>
  <c r="K1246" i="9"/>
  <c r="I1246" i="9"/>
  <c r="I1246" i="17" s="1"/>
  <c r="F1246" i="9"/>
  <c r="F1246" i="17" s="1"/>
  <c r="E1246" i="9"/>
  <c r="E1246" i="17" s="1"/>
  <c r="K1245" i="9"/>
  <c r="E1245" i="9"/>
  <c r="E1245" i="17" s="1"/>
  <c r="K1244" i="9"/>
  <c r="E1244" i="9"/>
  <c r="E1244" i="17" s="1"/>
  <c r="K1243" i="9"/>
  <c r="I1243" i="9"/>
  <c r="I1243" i="17" s="1"/>
  <c r="E1243" i="9"/>
  <c r="E1243" i="17" s="1"/>
  <c r="K1242" i="9"/>
  <c r="I1242" i="9"/>
  <c r="E1242" i="9"/>
  <c r="E1242" i="17" s="1"/>
  <c r="K1241" i="9"/>
  <c r="I1241" i="9"/>
  <c r="F1241" i="9"/>
  <c r="F1241" i="17" s="1"/>
  <c r="E1241" i="9"/>
  <c r="E1241" i="17" s="1"/>
  <c r="K1240" i="9"/>
  <c r="I1240" i="9"/>
  <c r="F1240" i="9"/>
  <c r="F1240" i="17" s="1"/>
  <c r="E1240" i="9"/>
  <c r="E1240" i="17" s="1"/>
  <c r="K1239" i="9"/>
  <c r="I1239" i="9"/>
  <c r="F1239" i="9"/>
  <c r="F1239" i="17" s="1"/>
  <c r="E1239" i="9"/>
  <c r="E1239" i="17" s="1"/>
  <c r="K1238" i="9"/>
  <c r="I1238" i="9"/>
  <c r="I1238" i="17" s="1"/>
  <c r="F1238" i="9"/>
  <c r="F1238" i="17" s="1"/>
  <c r="E1238" i="9"/>
  <c r="E1238" i="17" s="1"/>
  <c r="K1237" i="9"/>
  <c r="E1237" i="9"/>
  <c r="E1237" i="17" s="1"/>
  <c r="K1236" i="9"/>
  <c r="E1236" i="9"/>
  <c r="E1236" i="17" s="1"/>
  <c r="K1235" i="9"/>
  <c r="I1235" i="9"/>
  <c r="E1235" i="9"/>
  <c r="E1235" i="17" s="1"/>
  <c r="K1234" i="9"/>
  <c r="I1234" i="9"/>
  <c r="I1234" i="17" s="1"/>
  <c r="E1234" i="9"/>
  <c r="E1234" i="17" s="1"/>
  <c r="K1233" i="9"/>
  <c r="I1233" i="9"/>
  <c r="I1233" i="17" s="1"/>
  <c r="F1233" i="9"/>
  <c r="F1233" i="17" s="1"/>
  <c r="E1233" i="9"/>
  <c r="E1233" i="17" s="1"/>
  <c r="K1232" i="9"/>
  <c r="I1232" i="9"/>
  <c r="I1232" i="17" s="1"/>
  <c r="F1232" i="9"/>
  <c r="F1232" i="17" s="1"/>
  <c r="E1232" i="9"/>
  <c r="E1232" i="17" s="1"/>
  <c r="K1231" i="9"/>
  <c r="I1231" i="9"/>
  <c r="F1231" i="9"/>
  <c r="F1231" i="17" s="1"/>
  <c r="E1231" i="9"/>
  <c r="E1231" i="17" s="1"/>
  <c r="K1230" i="9"/>
  <c r="E1230" i="9"/>
  <c r="E1230" i="17" s="1"/>
  <c r="K1229" i="9"/>
  <c r="E1229" i="9"/>
  <c r="E1229" i="17" s="1"/>
  <c r="K1228" i="9"/>
  <c r="I1228" i="9"/>
  <c r="I1228" i="17" s="1"/>
  <c r="E1228" i="9"/>
  <c r="E1228" i="17" s="1"/>
  <c r="K1227" i="9"/>
  <c r="I1227" i="9"/>
  <c r="I1227" i="17" s="1"/>
  <c r="F1227" i="9"/>
  <c r="F1227" i="17" s="1"/>
  <c r="E1227" i="9"/>
  <c r="E1227" i="17" s="1"/>
  <c r="K1226" i="9"/>
  <c r="I1226" i="9"/>
  <c r="F1226" i="9"/>
  <c r="F1226" i="17" s="1"/>
  <c r="E1226" i="9"/>
  <c r="E1226" i="17" s="1"/>
  <c r="K1225" i="9"/>
  <c r="I1225" i="9"/>
  <c r="I1225" i="17" s="1"/>
  <c r="E1225" i="9"/>
  <c r="E1225" i="17" s="1"/>
  <c r="K1224" i="9"/>
  <c r="I1224" i="9"/>
  <c r="I1224" i="17" s="1"/>
  <c r="E1224" i="9"/>
  <c r="E1224" i="17" s="1"/>
  <c r="K1223" i="9"/>
  <c r="I1223" i="9"/>
  <c r="I1223" i="17" s="1"/>
  <c r="E1223" i="9"/>
  <c r="E1223" i="17" s="1"/>
  <c r="K1222" i="9"/>
  <c r="I1222" i="9"/>
  <c r="I1222" i="17" s="1"/>
  <c r="F1222" i="9"/>
  <c r="F1222" i="17" s="1"/>
  <c r="E1222" i="9"/>
  <c r="E1222" i="17" s="1"/>
  <c r="K1221" i="9"/>
  <c r="I1221" i="9"/>
  <c r="I1221" i="17" s="1"/>
  <c r="F1221" i="9"/>
  <c r="F1221" i="17" s="1"/>
  <c r="E1221" i="9"/>
  <c r="E1221" i="17" s="1"/>
  <c r="K1220" i="9"/>
  <c r="I1220" i="9"/>
  <c r="F1220" i="9"/>
  <c r="F1220" i="17" s="1"/>
  <c r="E1220" i="9"/>
  <c r="E1220" i="17" s="1"/>
  <c r="K1219" i="9"/>
  <c r="E1219" i="9"/>
  <c r="E1219" i="17" s="1"/>
  <c r="K1218" i="9"/>
  <c r="E1218" i="9"/>
  <c r="E1218" i="17" s="1"/>
  <c r="K1217" i="9"/>
  <c r="E1217" i="9"/>
  <c r="E1217" i="17" s="1"/>
  <c r="K1216" i="9"/>
  <c r="I1216" i="9"/>
  <c r="E1216" i="9"/>
  <c r="E1216" i="17" s="1"/>
  <c r="K1215" i="9"/>
  <c r="I1215" i="9"/>
  <c r="I1215" i="17" s="1"/>
  <c r="E1215" i="9"/>
  <c r="E1215" i="17" s="1"/>
  <c r="K1214" i="9"/>
  <c r="I1214" i="9"/>
  <c r="F1214" i="9"/>
  <c r="F1214" i="17" s="1"/>
  <c r="E1214" i="9"/>
  <c r="E1214" i="17" s="1"/>
  <c r="K1213" i="9"/>
  <c r="I1213" i="9"/>
  <c r="F1213" i="9"/>
  <c r="F1213" i="17" s="1"/>
  <c r="E1213" i="9"/>
  <c r="E1213" i="17" s="1"/>
  <c r="K1212" i="9"/>
  <c r="I1212" i="9"/>
  <c r="I1212" i="17" s="1"/>
  <c r="F1212" i="9"/>
  <c r="F1212" i="17" s="1"/>
  <c r="E1212" i="9"/>
  <c r="E1212" i="17" s="1"/>
  <c r="K1211" i="9"/>
  <c r="I1211" i="9"/>
  <c r="F1211" i="9"/>
  <c r="F1211" i="17" s="1"/>
  <c r="E1211" i="9"/>
  <c r="E1211" i="17" s="1"/>
  <c r="K1210" i="9"/>
  <c r="E1210" i="9"/>
  <c r="E1210" i="17" s="1"/>
  <c r="K1209" i="9"/>
  <c r="E1209" i="9"/>
  <c r="E1209" i="17" s="1"/>
  <c r="K1208" i="9"/>
  <c r="I1208" i="9"/>
  <c r="I1208" i="17" s="1"/>
  <c r="E1208" i="9"/>
  <c r="E1208" i="17" s="1"/>
  <c r="K1207" i="9"/>
  <c r="I1207" i="9"/>
  <c r="I1207" i="17" s="1"/>
  <c r="E1207" i="9"/>
  <c r="E1207" i="17" s="1"/>
  <c r="K1206" i="9"/>
  <c r="I1206" i="9"/>
  <c r="F1206" i="9"/>
  <c r="F1206" i="17" s="1"/>
  <c r="E1206" i="9"/>
  <c r="E1206" i="17" s="1"/>
  <c r="K1205" i="9"/>
  <c r="I1205" i="9"/>
  <c r="I1205" i="17" s="1"/>
  <c r="F1205" i="9"/>
  <c r="F1205" i="17" s="1"/>
  <c r="E1205" i="9"/>
  <c r="E1205" i="17" s="1"/>
  <c r="K1204" i="9"/>
  <c r="I1204" i="9"/>
  <c r="I1204" i="17" s="1"/>
  <c r="F1204" i="9"/>
  <c r="F1204" i="17" s="1"/>
  <c r="E1204" i="9"/>
  <c r="E1204" i="17" s="1"/>
  <c r="K1203" i="9"/>
  <c r="I1203" i="9"/>
  <c r="I1203" i="17" s="1"/>
  <c r="F1203" i="9"/>
  <c r="F1203" i="17" s="1"/>
  <c r="E1203" i="9"/>
  <c r="E1203" i="17" s="1"/>
  <c r="K1202" i="9"/>
  <c r="E1202" i="9"/>
  <c r="E1202" i="17" s="1"/>
  <c r="K1201" i="9"/>
  <c r="E1201" i="9"/>
  <c r="E1201" i="17" s="1"/>
  <c r="K1200" i="9"/>
  <c r="I1200" i="9"/>
  <c r="E1200" i="9"/>
  <c r="E1200" i="17" s="1"/>
  <c r="K1199" i="9"/>
  <c r="I1199" i="9"/>
  <c r="I1199" i="17" s="1"/>
  <c r="E1199" i="9"/>
  <c r="E1199" i="17" s="1"/>
  <c r="K1198" i="9"/>
  <c r="I1198" i="9"/>
  <c r="I1198" i="17" s="1"/>
  <c r="F1198" i="9"/>
  <c r="F1198" i="17" s="1"/>
  <c r="E1198" i="9"/>
  <c r="E1198" i="17" s="1"/>
  <c r="K1197" i="9"/>
  <c r="I1197" i="9"/>
  <c r="I1197" i="17" s="1"/>
  <c r="F1197" i="9"/>
  <c r="F1197" i="17" s="1"/>
  <c r="E1197" i="9"/>
  <c r="E1197" i="17" s="1"/>
  <c r="K1196" i="9"/>
  <c r="I1196" i="9"/>
  <c r="I1196" i="17" s="1"/>
  <c r="F1196" i="9"/>
  <c r="F1196" i="17" s="1"/>
  <c r="E1196" i="9"/>
  <c r="E1196" i="17" s="1"/>
  <c r="K1195" i="9"/>
  <c r="I1195" i="9"/>
  <c r="F1195" i="9"/>
  <c r="F1195" i="17" s="1"/>
  <c r="E1195" i="9"/>
  <c r="E1195" i="17" s="1"/>
  <c r="K1194" i="9"/>
  <c r="E1194" i="9"/>
  <c r="E1194" i="17" s="1"/>
  <c r="K1193" i="9"/>
  <c r="E1193" i="9"/>
  <c r="E1193" i="17" s="1"/>
  <c r="K1192" i="9"/>
  <c r="I1192" i="9"/>
  <c r="I1192" i="17" s="1"/>
  <c r="E1192" i="9"/>
  <c r="E1192" i="17" s="1"/>
  <c r="K1191" i="9"/>
  <c r="I1191" i="9"/>
  <c r="E1191" i="9"/>
  <c r="E1191" i="17" s="1"/>
  <c r="K1190" i="9"/>
  <c r="I1190" i="9"/>
  <c r="F1190" i="9"/>
  <c r="F1190" i="17" s="1"/>
  <c r="E1190" i="9"/>
  <c r="E1190" i="17" s="1"/>
  <c r="K1189" i="9"/>
  <c r="I1189" i="9"/>
  <c r="F1189" i="9"/>
  <c r="F1189" i="17" s="1"/>
  <c r="E1189" i="9"/>
  <c r="E1189" i="17" s="1"/>
  <c r="K1188" i="9"/>
  <c r="I1188" i="9"/>
  <c r="F1188" i="9"/>
  <c r="F1188" i="17" s="1"/>
  <c r="E1188" i="9"/>
  <c r="E1188" i="17" s="1"/>
  <c r="K1187" i="9"/>
  <c r="I1187" i="9"/>
  <c r="I1187" i="17" s="1"/>
  <c r="F1187" i="9"/>
  <c r="F1187" i="17" s="1"/>
  <c r="E1187" i="9"/>
  <c r="E1187" i="17" s="1"/>
  <c r="K1186" i="9"/>
  <c r="E1186" i="9"/>
  <c r="E1186" i="17" s="1"/>
  <c r="K1185" i="9"/>
  <c r="E1185" i="9"/>
  <c r="E1185" i="17" s="1"/>
  <c r="K1184" i="9"/>
  <c r="I1184" i="9"/>
  <c r="I1184" i="17" s="1"/>
  <c r="E1184" i="9"/>
  <c r="E1184" i="17" s="1"/>
  <c r="K1183" i="9"/>
  <c r="I1183" i="9"/>
  <c r="I1183" i="17" s="1"/>
  <c r="E1183" i="9"/>
  <c r="E1183" i="17" s="1"/>
  <c r="K1182" i="9"/>
  <c r="I1182" i="9"/>
  <c r="I1182" i="17" s="1"/>
  <c r="F1182" i="9"/>
  <c r="F1182" i="17" s="1"/>
  <c r="E1182" i="9"/>
  <c r="E1182" i="17" s="1"/>
  <c r="K1181" i="9"/>
  <c r="I1181" i="9"/>
  <c r="I1181" i="17" s="1"/>
  <c r="F1181" i="9"/>
  <c r="F1181" i="17" s="1"/>
  <c r="E1181" i="9"/>
  <c r="E1181" i="17" s="1"/>
  <c r="K1180" i="9"/>
  <c r="I1180" i="9"/>
  <c r="F1180" i="9"/>
  <c r="F1180" i="17" s="1"/>
  <c r="E1180" i="9"/>
  <c r="E1180" i="17" s="1"/>
  <c r="K1179" i="9"/>
  <c r="I1179" i="9"/>
  <c r="F1179" i="9"/>
  <c r="F1179" i="17" s="1"/>
  <c r="E1179" i="9"/>
  <c r="E1179" i="17" s="1"/>
  <c r="K1178" i="9"/>
  <c r="I1178" i="9"/>
  <c r="F1178" i="9"/>
  <c r="F1178" i="17" s="1"/>
  <c r="E1178" i="9"/>
  <c r="E1178" i="17" s="1"/>
  <c r="K1177" i="9"/>
  <c r="I1177" i="9"/>
  <c r="E1177" i="9"/>
  <c r="E1177" i="17" s="1"/>
  <c r="K1176" i="9"/>
  <c r="I1176" i="9"/>
  <c r="E1176" i="9"/>
  <c r="E1176" i="17" s="1"/>
  <c r="K1175" i="9"/>
  <c r="I1175" i="9"/>
  <c r="I1175" i="17" s="1"/>
  <c r="F1175" i="9"/>
  <c r="F1175" i="17" s="1"/>
  <c r="E1175" i="9"/>
  <c r="E1175" i="17" s="1"/>
  <c r="K1174" i="9"/>
  <c r="I1174" i="9"/>
  <c r="E1174" i="9"/>
  <c r="E1174" i="17" s="1"/>
  <c r="K1173" i="9"/>
  <c r="I1173" i="9"/>
  <c r="E1173" i="9"/>
  <c r="E1173" i="17" s="1"/>
  <c r="K1172" i="9"/>
  <c r="I1172" i="9"/>
  <c r="I1172" i="17" s="1"/>
  <c r="E1172" i="9"/>
  <c r="E1172" i="17" s="1"/>
  <c r="K1171" i="9"/>
  <c r="I1171" i="9"/>
  <c r="I1171" i="17" s="1"/>
  <c r="E1171" i="9"/>
  <c r="E1171" i="17" s="1"/>
  <c r="K1170" i="9"/>
  <c r="I1170" i="9"/>
  <c r="I1170" i="17" s="1"/>
  <c r="E1170" i="9"/>
  <c r="E1170" i="17" s="1"/>
  <c r="K1169" i="9"/>
  <c r="I1169" i="9"/>
  <c r="I1169" i="17" s="1"/>
  <c r="E1169" i="9"/>
  <c r="E1169" i="17" s="1"/>
  <c r="K1168" i="9"/>
  <c r="I1168" i="9"/>
  <c r="F1168" i="9"/>
  <c r="F1168" i="17" s="1"/>
  <c r="E1168" i="9"/>
  <c r="E1168" i="17" s="1"/>
  <c r="K1167" i="9"/>
  <c r="I1167" i="9"/>
  <c r="E1167" i="9"/>
  <c r="E1167" i="17" s="1"/>
  <c r="K1166" i="9"/>
  <c r="I1166" i="9"/>
  <c r="I1166" i="17" s="1"/>
  <c r="E1166" i="9"/>
  <c r="E1166" i="17" s="1"/>
  <c r="K1165" i="9"/>
  <c r="I1165" i="9"/>
  <c r="I1165" i="17" s="1"/>
  <c r="E1165" i="9"/>
  <c r="E1165" i="17" s="1"/>
  <c r="K1164" i="9"/>
  <c r="I1164" i="9"/>
  <c r="I1164" i="17" s="1"/>
  <c r="E1164" i="9"/>
  <c r="E1164" i="17" s="1"/>
  <c r="K1163" i="9"/>
  <c r="I1163" i="9"/>
  <c r="E1163" i="9"/>
  <c r="E1163" i="17" s="1"/>
  <c r="K1162" i="9"/>
  <c r="I1162" i="9"/>
  <c r="I1162" i="17" s="1"/>
  <c r="E1162" i="9"/>
  <c r="E1162" i="17" s="1"/>
  <c r="K1161" i="9"/>
  <c r="I1161" i="9"/>
  <c r="I1161" i="17" s="1"/>
  <c r="F1161" i="9"/>
  <c r="F1161" i="17" s="1"/>
  <c r="E1161" i="9"/>
  <c r="E1161" i="17" s="1"/>
  <c r="K1160" i="9"/>
  <c r="I1160" i="9"/>
  <c r="E1160" i="9"/>
  <c r="E1160" i="17" s="1"/>
  <c r="K1159" i="9"/>
  <c r="I1159" i="9"/>
  <c r="E1159" i="9"/>
  <c r="E1159" i="17" s="1"/>
  <c r="K1158" i="9"/>
  <c r="I1158" i="9"/>
  <c r="E1158" i="9"/>
  <c r="E1158" i="17" s="1"/>
  <c r="K1157" i="9"/>
  <c r="I1157" i="9"/>
  <c r="I1157" i="17" s="1"/>
  <c r="F1157" i="9"/>
  <c r="F1157" i="17" s="1"/>
  <c r="E1157" i="9"/>
  <c r="E1157" i="17" s="1"/>
  <c r="K1156" i="9"/>
  <c r="I1156" i="9"/>
  <c r="F1156" i="9"/>
  <c r="F1156" i="17" s="1"/>
  <c r="E1156" i="9"/>
  <c r="E1156" i="17" s="1"/>
  <c r="K1155" i="9"/>
  <c r="I1155" i="9"/>
  <c r="F1155" i="9"/>
  <c r="F1155" i="17" s="1"/>
  <c r="E1155" i="9"/>
  <c r="E1155" i="17" s="1"/>
  <c r="K1154" i="9"/>
  <c r="I1154" i="9"/>
  <c r="I1154" i="17" s="1"/>
  <c r="F1154" i="9"/>
  <c r="F1154" i="17" s="1"/>
  <c r="E1154" i="9"/>
  <c r="E1154" i="17" s="1"/>
  <c r="K1153" i="9"/>
  <c r="E1153" i="9"/>
  <c r="E1153" i="17" s="1"/>
  <c r="K1152" i="9"/>
  <c r="E1152" i="9"/>
  <c r="E1152" i="17" s="1"/>
  <c r="K1151" i="9"/>
  <c r="I1151" i="9"/>
  <c r="I1151" i="17" s="1"/>
  <c r="E1151" i="9"/>
  <c r="E1151" i="17" s="1"/>
  <c r="K1150" i="9"/>
  <c r="I1150" i="9"/>
  <c r="E1150" i="9"/>
  <c r="E1150" i="17" s="1"/>
  <c r="K1149" i="9"/>
  <c r="I1149" i="9"/>
  <c r="F1149" i="9"/>
  <c r="F1149" i="17" s="1"/>
  <c r="E1149" i="9"/>
  <c r="E1149" i="17" s="1"/>
  <c r="K1148" i="9"/>
  <c r="I1148" i="9"/>
  <c r="I1148" i="17" s="1"/>
  <c r="F1148" i="9"/>
  <c r="F1148" i="17" s="1"/>
  <c r="E1148" i="9"/>
  <c r="E1148" i="17" s="1"/>
  <c r="K1147" i="9"/>
  <c r="E1147" i="9"/>
  <c r="E1147" i="17" s="1"/>
  <c r="K1146" i="9"/>
  <c r="E1146" i="9"/>
  <c r="E1146" i="17" s="1"/>
  <c r="K1145" i="9"/>
  <c r="I1145" i="9"/>
  <c r="E1145" i="9"/>
  <c r="E1145" i="17" s="1"/>
  <c r="K1144" i="9"/>
  <c r="I1144" i="9"/>
  <c r="I1144" i="17" s="1"/>
  <c r="E1144" i="9"/>
  <c r="E1144" i="17" s="1"/>
  <c r="K1143" i="9"/>
  <c r="I1143" i="9"/>
  <c r="I1143" i="17" s="1"/>
  <c r="F1143" i="9"/>
  <c r="F1143" i="17" s="1"/>
  <c r="E1143" i="9"/>
  <c r="E1143" i="17" s="1"/>
  <c r="K1142" i="9"/>
  <c r="I1142" i="9"/>
  <c r="E1142" i="9"/>
  <c r="E1142" i="17" s="1"/>
  <c r="K1141" i="9"/>
  <c r="I1141" i="9"/>
  <c r="E1141" i="9"/>
  <c r="E1141" i="17" s="1"/>
  <c r="K1140" i="9"/>
  <c r="I1140" i="9"/>
  <c r="I1140" i="17" s="1"/>
  <c r="E1140" i="9"/>
  <c r="E1140" i="17" s="1"/>
  <c r="K1139" i="9"/>
  <c r="I1139" i="9"/>
  <c r="F1139" i="9"/>
  <c r="F1139" i="17" s="1"/>
  <c r="E1139" i="9"/>
  <c r="E1139" i="17" s="1"/>
  <c r="K1138" i="9"/>
  <c r="I1138" i="9"/>
  <c r="I1138" i="17" s="1"/>
  <c r="E1138" i="9"/>
  <c r="E1138" i="17" s="1"/>
  <c r="K1137" i="9"/>
  <c r="I1137" i="9"/>
  <c r="E1137" i="9"/>
  <c r="E1137" i="17" s="1"/>
  <c r="K1136" i="9"/>
  <c r="I1136" i="9"/>
  <c r="E1136" i="9"/>
  <c r="E1136" i="17" s="1"/>
  <c r="K1135" i="9"/>
  <c r="I1135" i="9"/>
  <c r="I1135" i="17" s="1"/>
  <c r="F1135" i="9"/>
  <c r="F1135" i="17" s="1"/>
  <c r="E1135" i="9"/>
  <c r="E1135" i="17" s="1"/>
  <c r="K1134" i="9"/>
  <c r="I1134" i="9"/>
  <c r="I1134" i="17" s="1"/>
  <c r="E1134" i="9"/>
  <c r="E1134" i="17" s="1"/>
  <c r="K1133" i="9"/>
  <c r="I1133" i="9"/>
  <c r="I1133" i="17" s="1"/>
  <c r="E1133" i="9"/>
  <c r="E1133" i="17" s="1"/>
  <c r="K1132" i="9"/>
  <c r="I1132" i="9"/>
  <c r="I1132" i="17" s="1"/>
  <c r="E1132" i="9"/>
  <c r="E1132" i="17" s="1"/>
  <c r="K1131" i="9"/>
  <c r="I1131" i="9"/>
  <c r="I1131" i="17" s="1"/>
  <c r="F1131" i="9"/>
  <c r="F1131" i="17" s="1"/>
  <c r="E1131" i="9"/>
  <c r="E1131" i="17" s="1"/>
  <c r="K1130" i="9"/>
  <c r="I1130" i="9"/>
  <c r="I1130" i="17" s="1"/>
  <c r="E1130" i="9"/>
  <c r="E1130" i="17" s="1"/>
  <c r="K1129" i="9"/>
  <c r="I1129" i="9"/>
  <c r="E1129" i="9"/>
  <c r="E1129" i="17" s="1"/>
  <c r="K1128" i="9"/>
  <c r="I1128" i="9"/>
  <c r="E1128" i="9"/>
  <c r="E1128" i="17" s="1"/>
  <c r="K1127" i="9"/>
  <c r="I1127" i="9"/>
  <c r="F1127" i="9"/>
  <c r="F1127" i="17" s="1"/>
  <c r="E1127" i="9"/>
  <c r="E1127" i="17" s="1"/>
  <c r="K1126" i="9"/>
  <c r="I1126" i="9"/>
  <c r="E1126" i="9"/>
  <c r="E1126" i="17" s="1"/>
  <c r="K1125" i="9"/>
  <c r="I1125" i="9"/>
  <c r="E1125" i="9"/>
  <c r="E1125" i="17" s="1"/>
  <c r="K1124" i="9"/>
  <c r="I1124" i="9"/>
  <c r="I1124" i="17" s="1"/>
  <c r="E1124" i="9"/>
  <c r="E1124" i="17" s="1"/>
  <c r="K1123" i="9"/>
  <c r="I1123" i="9"/>
  <c r="I1123" i="17" s="1"/>
  <c r="F1123" i="9"/>
  <c r="F1123" i="17" s="1"/>
  <c r="E1123" i="9"/>
  <c r="E1123" i="17" s="1"/>
  <c r="K1122" i="9"/>
  <c r="I1122" i="9"/>
  <c r="F1122" i="9"/>
  <c r="F1122" i="17" s="1"/>
  <c r="E1122" i="9"/>
  <c r="E1122" i="17" s="1"/>
  <c r="K1121" i="9"/>
  <c r="I1121" i="9"/>
  <c r="F1121" i="9"/>
  <c r="F1121" i="17" s="1"/>
  <c r="E1121" i="9"/>
  <c r="E1121" i="17" s="1"/>
  <c r="K1120" i="9"/>
  <c r="I1120" i="9"/>
  <c r="E1120" i="9"/>
  <c r="E1120" i="17" s="1"/>
  <c r="K1119" i="9"/>
  <c r="I1119" i="9"/>
  <c r="E1119" i="9"/>
  <c r="E1119" i="17" s="1"/>
  <c r="K1118" i="9"/>
  <c r="I1118" i="9"/>
  <c r="I1118" i="17" s="1"/>
  <c r="E1118" i="9"/>
  <c r="E1118" i="17" s="1"/>
  <c r="K1117" i="9"/>
  <c r="I1117" i="9"/>
  <c r="F1117" i="9"/>
  <c r="F1117" i="17" s="1"/>
  <c r="E1117" i="9"/>
  <c r="E1117" i="17" s="1"/>
  <c r="K1116" i="9"/>
  <c r="I1116" i="9"/>
  <c r="I1116" i="17" s="1"/>
  <c r="E1116" i="9"/>
  <c r="E1116" i="17" s="1"/>
  <c r="K1115" i="9"/>
  <c r="I1115" i="9"/>
  <c r="I1115" i="17" s="1"/>
  <c r="E1115" i="9"/>
  <c r="E1115" i="17" s="1"/>
  <c r="K1114" i="9"/>
  <c r="I1114" i="9"/>
  <c r="E1114" i="9"/>
  <c r="E1114" i="17" s="1"/>
  <c r="K1113" i="9"/>
  <c r="I1113" i="9"/>
  <c r="F1113" i="9"/>
  <c r="F1113" i="17" s="1"/>
  <c r="E1113" i="9"/>
  <c r="E1113" i="17" s="1"/>
  <c r="K1112" i="9"/>
  <c r="I1112" i="9"/>
  <c r="F1112" i="9"/>
  <c r="F1112" i="17" s="1"/>
  <c r="E1112" i="9"/>
  <c r="E1112" i="17" s="1"/>
  <c r="K1111" i="9"/>
  <c r="I1111" i="9"/>
  <c r="I1111" i="17" s="1"/>
  <c r="F1111" i="9"/>
  <c r="F1111" i="17" s="1"/>
  <c r="E1111" i="9"/>
  <c r="E1111" i="17" s="1"/>
  <c r="K1110" i="9"/>
  <c r="E1110" i="9"/>
  <c r="E1110" i="17" s="1"/>
  <c r="K1109" i="9"/>
  <c r="E1109" i="9"/>
  <c r="E1109" i="17" s="1"/>
  <c r="K1108" i="9"/>
  <c r="I1108" i="9"/>
  <c r="E1108" i="9"/>
  <c r="E1108" i="17" s="1"/>
  <c r="K1107" i="9"/>
  <c r="I1107" i="9"/>
  <c r="E1107" i="9"/>
  <c r="E1107" i="17" s="1"/>
  <c r="K1106" i="9"/>
  <c r="I1106" i="9"/>
  <c r="F1106" i="9"/>
  <c r="F1106" i="17" s="1"/>
  <c r="E1106" i="9"/>
  <c r="E1106" i="17" s="1"/>
  <c r="K1105" i="9"/>
  <c r="I1105" i="9"/>
  <c r="F1105" i="9"/>
  <c r="F1105" i="17" s="1"/>
  <c r="E1105" i="9"/>
  <c r="E1105" i="17" s="1"/>
  <c r="K1104" i="9"/>
  <c r="I1104" i="9"/>
  <c r="I1104" i="17" s="1"/>
  <c r="F1104" i="9"/>
  <c r="F1104" i="17" s="1"/>
  <c r="E1104" i="9"/>
  <c r="E1104" i="17" s="1"/>
  <c r="K1103" i="9"/>
  <c r="E1103" i="9"/>
  <c r="E1103" i="17" s="1"/>
  <c r="K1102" i="9"/>
  <c r="E1102" i="9"/>
  <c r="E1102" i="17" s="1"/>
  <c r="K1101" i="9"/>
  <c r="I1101" i="9"/>
  <c r="E1101" i="9"/>
  <c r="E1101" i="17" s="1"/>
  <c r="K1100" i="9"/>
  <c r="I1100" i="9"/>
  <c r="I1100" i="17" s="1"/>
  <c r="E1100" i="9"/>
  <c r="E1100" i="17" s="1"/>
  <c r="K1099" i="9"/>
  <c r="I1099" i="9"/>
  <c r="I1099" i="17" s="1"/>
  <c r="F1099" i="9"/>
  <c r="F1099" i="17" s="1"/>
  <c r="E1099" i="9"/>
  <c r="E1099" i="17" s="1"/>
  <c r="K1098" i="9"/>
  <c r="I1098" i="9"/>
  <c r="I1098" i="17" s="1"/>
  <c r="F1098" i="9"/>
  <c r="F1098" i="17" s="1"/>
  <c r="E1098" i="9"/>
  <c r="E1098" i="17" s="1"/>
  <c r="K1097" i="9"/>
  <c r="I1097" i="9"/>
  <c r="F1097" i="9"/>
  <c r="F1097" i="17" s="1"/>
  <c r="E1097" i="9"/>
  <c r="E1097" i="17" s="1"/>
  <c r="K1096" i="9"/>
  <c r="I1096" i="9"/>
  <c r="I1096" i="17" s="1"/>
  <c r="E1096" i="9"/>
  <c r="E1096" i="17" s="1"/>
  <c r="K1095" i="9"/>
  <c r="I1095" i="9"/>
  <c r="E1095" i="9"/>
  <c r="E1095" i="17" s="1"/>
  <c r="K1094" i="9"/>
  <c r="I1094" i="9"/>
  <c r="I1094" i="17" s="1"/>
  <c r="E1094" i="9"/>
  <c r="E1094" i="17" s="1"/>
  <c r="K1093" i="9"/>
  <c r="I1093" i="9"/>
  <c r="F1093" i="9"/>
  <c r="F1093" i="17" s="1"/>
  <c r="E1093" i="9"/>
  <c r="E1093" i="17" s="1"/>
  <c r="K1092" i="9"/>
  <c r="I1092" i="9"/>
  <c r="I1092" i="17" s="1"/>
  <c r="F1092" i="9"/>
  <c r="F1092" i="17" s="1"/>
  <c r="E1092" i="9"/>
  <c r="E1092" i="17" s="1"/>
  <c r="K1091" i="9"/>
  <c r="I1091" i="9"/>
  <c r="I1091" i="17" s="1"/>
  <c r="F1091" i="9"/>
  <c r="F1091" i="17" s="1"/>
  <c r="E1091" i="9"/>
  <c r="E1091" i="17" s="1"/>
  <c r="K1090" i="9"/>
  <c r="I1090" i="9"/>
  <c r="I1090" i="17" s="1"/>
  <c r="E1090" i="9"/>
  <c r="E1090" i="17" s="1"/>
  <c r="K1089" i="9"/>
  <c r="I1089" i="9"/>
  <c r="E1089" i="9"/>
  <c r="E1089" i="17" s="1"/>
  <c r="K1088" i="9"/>
  <c r="I1088" i="9"/>
  <c r="I1088" i="17" s="1"/>
  <c r="E1088" i="9"/>
  <c r="E1088" i="17" s="1"/>
  <c r="K1087" i="9"/>
  <c r="I1087" i="9"/>
  <c r="E1087" i="9"/>
  <c r="E1087" i="17" s="1"/>
  <c r="K1086" i="9"/>
  <c r="I1086" i="9"/>
  <c r="I1086" i="17" s="1"/>
  <c r="E1086" i="9"/>
  <c r="E1086" i="17" s="1"/>
  <c r="K1085" i="9"/>
  <c r="I1085" i="9"/>
  <c r="F1085" i="9"/>
  <c r="F1085" i="17" s="1"/>
  <c r="E1085" i="9"/>
  <c r="E1085" i="17" s="1"/>
  <c r="K1084" i="9"/>
  <c r="I1084" i="9"/>
  <c r="I1084" i="17" s="1"/>
  <c r="F1084" i="9"/>
  <c r="F1084" i="17" s="1"/>
  <c r="E1084" i="9"/>
  <c r="E1084" i="17" s="1"/>
  <c r="K1083" i="9"/>
  <c r="I1083" i="9"/>
  <c r="I1083" i="17" s="1"/>
  <c r="F1083" i="9"/>
  <c r="F1083" i="17" s="1"/>
  <c r="E1083" i="9"/>
  <c r="E1083" i="17" s="1"/>
  <c r="K1082" i="9"/>
  <c r="I1082" i="9"/>
  <c r="I1082" i="17" s="1"/>
  <c r="F1082" i="9"/>
  <c r="F1082" i="17" s="1"/>
  <c r="E1082" i="9"/>
  <c r="E1082" i="17" s="1"/>
  <c r="K1081" i="9"/>
  <c r="I1081" i="9"/>
  <c r="I1081" i="17" s="1"/>
  <c r="E1081" i="9"/>
  <c r="E1081" i="17" s="1"/>
  <c r="K1080" i="9"/>
  <c r="I1080" i="9"/>
  <c r="I1080" i="17" s="1"/>
  <c r="E1080" i="9"/>
  <c r="E1080" i="17" s="1"/>
  <c r="K1079" i="9"/>
  <c r="I1079" i="9"/>
  <c r="I1079" i="17" s="1"/>
  <c r="E1079" i="9"/>
  <c r="E1079" i="17" s="1"/>
  <c r="K1078" i="9"/>
  <c r="I1078" i="9"/>
  <c r="I1078" i="17" s="1"/>
  <c r="F1078" i="9"/>
  <c r="F1078" i="17" s="1"/>
  <c r="E1078" i="9"/>
  <c r="E1078" i="17" s="1"/>
  <c r="K1077" i="9"/>
  <c r="I1077" i="9"/>
  <c r="F1077" i="9"/>
  <c r="F1077" i="17" s="1"/>
  <c r="E1077" i="9"/>
  <c r="E1077" i="17" s="1"/>
  <c r="K1076" i="9"/>
  <c r="I1076" i="9"/>
  <c r="I1076" i="17" s="1"/>
  <c r="F1076" i="9"/>
  <c r="F1076" i="17" s="1"/>
  <c r="E1076" i="9"/>
  <c r="E1076" i="17" s="1"/>
  <c r="K1075" i="9"/>
  <c r="I1075" i="9"/>
  <c r="F1075" i="9"/>
  <c r="F1075" i="17" s="1"/>
  <c r="E1075" i="9"/>
  <c r="E1075" i="17" s="1"/>
  <c r="K1074" i="9"/>
  <c r="E1074" i="9"/>
  <c r="E1074" i="17" s="1"/>
  <c r="K1073" i="9"/>
  <c r="E1073" i="9"/>
  <c r="E1073" i="17" s="1"/>
  <c r="K1072" i="9"/>
  <c r="I1072" i="9"/>
  <c r="E1072" i="9"/>
  <c r="E1072" i="17" s="1"/>
  <c r="K1071" i="9"/>
  <c r="I1071" i="9"/>
  <c r="I1071" i="17" s="1"/>
  <c r="E1071" i="9"/>
  <c r="E1071" i="17" s="1"/>
  <c r="K1070" i="9"/>
  <c r="I1070" i="9"/>
  <c r="I1070" i="17" s="1"/>
  <c r="E1070" i="9"/>
  <c r="E1070" i="17" s="1"/>
  <c r="K1069" i="9"/>
  <c r="I1069" i="9"/>
  <c r="I1069" i="17" s="1"/>
  <c r="E1069" i="9"/>
  <c r="E1069" i="17" s="1"/>
  <c r="K1068" i="9"/>
  <c r="I1068" i="9"/>
  <c r="I1068" i="17" s="1"/>
  <c r="E1068" i="9"/>
  <c r="E1068" i="17" s="1"/>
  <c r="K1067" i="9"/>
  <c r="I1067" i="9"/>
  <c r="I1067" i="17" s="1"/>
  <c r="F1067" i="9"/>
  <c r="F1067" i="17" s="1"/>
  <c r="E1067" i="9"/>
  <c r="E1067" i="17" s="1"/>
  <c r="K1066" i="9"/>
  <c r="I1066" i="9"/>
  <c r="F1066" i="9"/>
  <c r="F1066" i="17" s="1"/>
  <c r="E1066" i="9"/>
  <c r="E1066" i="17" s="1"/>
  <c r="K1065" i="9"/>
  <c r="I1065" i="9"/>
  <c r="I1065" i="17" s="1"/>
  <c r="F1065" i="9"/>
  <c r="F1065" i="17" s="1"/>
  <c r="E1065" i="9"/>
  <c r="E1065" i="17" s="1"/>
  <c r="K1064" i="9"/>
  <c r="I1064" i="9"/>
  <c r="I1064" i="17" s="1"/>
  <c r="F1064" i="9"/>
  <c r="F1064" i="17" s="1"/>
  <c r="E1064" i="9"/>
  <c r="E1064" i="17" s="1"/>
  <c r="K1063" i="9"/>
  <c r="I1063" i="9"/>
  <c r="I1063" i="17" s="1"/>
  <c r="F1063" i="9"/>
  <c r="F1063" i="17" s="1"/>
  <c r="E1063" i="9"/>
  <c r="E1063" i="17" s="1"/>
  <c r="K1062" i="9"/>
  <c r="I1062" i="9"/>
  <c r="I1062" i="17" s="1"/>
  <c r="F1062" i="9"/>
  <c r="F1062" i="17" s="1"/>
  <c r="E1062" i="9"/>
  <c r="E1062" i="17" s="1"/>
  <c r="K1061" i="9"/>
  <c r="I1061" i="9"/>
  <c r="I1061" i="17" s="1"/>
  <c r="E1061" i="9"/>
  <c r="E1061" i="17" s="1"/>
  <c r="K1060" i="9"/>
  <c r="I1060" i="9"/>
  <c r="I1060" i="17" s="1"/>
  <c r="E1060" i="9"/>
  <c r="E1060" i="17" s="1"/>
  <c r="K1059" i="9"/>
  <c r="I1059" i="9"/>
  <c r="I1059" i="17" s="1"/>
  <c r="E1059" i="9"/>
  <c r="E1059" i="17" s="1"/>
  <c r="K1058" i="9"/>
  <c r="I1058" i="9"/>
  <c r="I1058" i="17" s="1"/>
  <c r="E1058" i="9"/>
  <c r="E1058" i="17" s="1"/>
  <c r="K1057" i="9"/>
  <c r="I1057" i="9"/>
  <c r="I1057" i="17" s="1"/>
  <c r="F1057" i="9"/>
  <c r="F1057" i="17" s="1"/>
  <c r="E1057" i="9"/>
  <c r="E1057" i="17" s="1"/>
  <c r="K1056" i="9"/>
  <c r="I1056" i="9"/>
  <c r="F1056" i="9"/>
  <c r="F1056" i="17" s="1"/>
  <c r="E1056" i="9"/>
  <c r="E1056" i="17" s="1"/>
  <c r="K1055" i="9"/>
  <c r="I1055" i="9"/>
  <c r="F1055" i="9"/>
  <c r="F1055" i="17" s="1"/>
  <c r="E1055" i="9"/>
  <c r="E1055" i="17" s="1"/>
  <c r="K1054" i="9"/>
  <c r="I1054" i="9"/>
  <c r="I1054" i="17" s="1"/>
  <c r="G1054" i="9"/>
  <c r="O1054" i="9" s="1"/>
  <c r="Q1054" i="9" s="1"/>
  <c r="F1054" i="9"/>
  <c r="F1054" i="17" s="1"/>
  <c r="E1054" i="9"/>
  <c r="E1054" i="17" s="1"/>
  <c r="K1053" i="9"/>
  <c r="I1053" i="9"/>
  <c r="E1053" i="9"/>
  <c r="E1053" i="17" s="1"/>
  <c r="K1052" i="9"/>
  <c r="I1052" i="9"/>
  <c r="I1052" i="17" s="1"/>
  <c r="E1052" i="9"/>
  <c r="E1052" i="17" s="1"/>
  <c r="K1051" i="9"/>
  <c r="I1051" i="9"/>
  <c r="E1051" i="9"/>
  <c r="E1051" i="17" s="1"/>
  <c r="K1050" i="9"/>
  <c r="I1050" i="9"/>
  <c r="I1050" i="17" s="1"/>
  <c r="F1050" i="9"/>
  <c r="F1050" i="17" s="1"/>
  <c r="E1050" i="9"/>
  <c r="E1050" i="17" s="1"/>
  <c r="K1049" i="9"/>
  <c r="I1049" i="9"/>
  <c r="I1049" i="17" s="1"/>
  <c r="F1049" i="9"/>
  <c r="F1049" i="17" s="1"/>
  <c r="E1049" i="9"/>
  <c r="E1049" i="17" s="1"/>
  <c r="K1048" i="9"/>
  <c r="I1048" i="9"/>
  <c r="F1048" i="9"/>
  <c r="F1048" i="17" s="1"/>
  <c r="E1048" i="9"/>
  <c r="E1048" i="17" s="1"/>
  <c r="K1047" i="9"/>
  <c r="I1047" i="9"/>
  <c r="F1047" i="9"/>
  <c r="F1047" i="17" s="1"/>
  <c r="E1047" i="9"/>
  <c r="E1047" i="17" s="1"/>
  <c r="K1046" i="9"/>
  <c r="E1046" i="9"/>
  <c r="E1046" i="17" s="1"/>
  <c r="K1045" i="9"/>
  <c r="E1045" i="9"/>
  <c r="E1045" i="17" s="1"/>
  <c r="K1044" i="9"/>
  <c r="E1044" i="9"/>
  <c r="E1044" i="17" s="1"/>
  <c r="K1043" i="9"/>
  <c r="I1043" i="9"/>
  <c r="E1043" i="9"/>
  <c r="E1043" i="17" s="1"/>
  <c r="K1042" i="9"/>
  <c r="I1042" i="9"/>
  <c r="I1042" i="17" s="1"/>
  <c r="F1042" i="9"/>
  <c r="F1042" i="17" s="1"/>
  <c r="E1042" i="9"/>
  <c r="E1042" i="17" s="1"/>
  <c r="K1041" i="9"/>
  <c r="I1041" i="9"/>
  <c r="I1041" i="17" s="1"/>
  <c r="E1041" i="9"/>
  <c r="E1041" i="17" s="1"/>
  <c r="K1040" i="9"/>
  <c r="I1040" i="9"/>
  <c r="E1040" i="9"/>
  <c r="E1040" i="17" s="1"/>
  <c r="K1039" i="9"/>
  <c r="I1039" i="9"/>
  <c r="I1039" i="17" s="1"/>
  <c r="E1039" i="9"/>
  <c r="E1039" i="17" s="1"/>
  <c r="K1038" i="9"/>
  <c r="I1038" i="9"/>
  <c r="I1038" i="17" s="1"/>
  <c r="E1038" i="9"/>
  <c r="E1038" i="17" s="1"/>
  <c r="K1037" i="9"/>
  <c r="I1037" i="9"/>
  <c r="I1037" i="17" s="1"/>
  <c r="F1037" i="9"/>
  <c r="F1037" i="17" s="1"/>
  <c r="E1037" i="9"/>
  <c r="E1037" i="17" s="1"/>
  <c r="K1036" i="9"/>
  <c r="I1036" i="9"/>
  <c r="I1036" i="17" s="1"/>
  <c r="F1036" i="9"/>
  <c r="F1036" i="17" s="1"/>
  <c r="E1036" i="9"/>
  <c r="E1036" i="17" s="1"/>
  <c r="K1035" i="9"/>
  <c r="I1035" i="9"/>
  <c r="I1035" i="17" s="1"/>
  <c r="F1035" i="9"/>
  <c r="F1035" i="17" s="1"/>
  <c r="E1035" i="9"/>
  <c r="E1035" i="17" s="1"/>
  <c r="K1034" i="9"/>
  <c r="I1034" i="9"/>
  <c r="I1034" i="17" s="1"/>
  <c r="E1034" i="9"/>
  <c r="E1034" i="17" s="1"/>
  <c r="K1033" i="9"/>
  <c r="I1033" i="9"/>
  <c r="E1033" i="9"/>
  <c r="E1033" i="17" s="1"/>
  <c r="K1032" i="9"/>
  <c r="I1032" i="9"/>
  <c r="E1032" i="9"/>
  <c r="E1032" i="17" s="1"/>
  <c r="K1031" i="9"/>
  <c r="I1031" i="9"/>
  <c r="F1031" i="9"/>
  <c r="F1031" i="17" s="1"/>
  <c r="E1031" i="9"/>
  <c r="E1031" i="17" s="1"/>
  <c r="K1030" i="9"/>
  <c r="I1030" i="9"/>
  <c r="F1030" i="9"/>
  <c r="F1030" i="17" s="1"/>
  <c r="E1030" i="9"/>
  <c r="E1030" i="17" s="1"/>
  <c r="K1029" i="9"/>
  <c r="I1029" i="9"/>
  <c r="I1029" i="17" s="1"/>
  <c r="F1029" i="9"/>
  <c r="F1029" i="17" s="1"/>
  <c r="E1029" i="9"/>
  <c r="E1029" i="17" s="1"/>
  <c r="K1028" i="9"/>
  <c r="I1028" i="9"/>
  <c r="I1028" i="17" s="1"/>
  <c r="F1028" i="9"/>
  <c r="F1028" i="17" s="1"/>
  <c r="E1028" i="9"/>
  <c r="E1028" i="17" s="1"/>
  <c r="K1027" i="9"/>
  <c r="E1027" i="9"/>
  <c r="E1027" i="17" s="1"/>
  <c r="K1026" i="9"/>
  <c r="E1026" i="9"/>
  <c r="E1026" i="17" s="1"/>
  <c r="K1025" i="9"/>
  <c r="E1025" i="9"/>
  <c r="E1025" i="17" s="1"/>
  <c r="K1024" i="9"/>
  <c r="I1024" i="9"/>
  <c r="I1024" i="17" s="1"/>
  <c r="E1024" i="9"/>
  <c r="E1024" i="17" s="1"/>
  <c r="K1023" i="9"/>
  <c r="I1023" i="9"/>
  <c r="E1023" i="9"/>
  <c r="E1023" i="17" s="1"/>
  <c r="K1022" i="9"/>
  <c r="I1022" i="9"/>
  <c r="I1022" i="17" s="1"/>
  <c r="F1022" i="9"/>
  <c r="F1022" i="17" s="1"/>
  <c r="E1022" i="9"/>
  <c r="E1022" i="17" s="1"/>
  <c r="K1021" i="9"/>
  <c r="I1021" i="9"/>
  <c r="I1021" i="17" s="1"/>
  <c r="F1021" i="9"/>
  <c r="F1021" i="17" s="1"/>
  <c r="E1021" i="9"/>
  <c r="E1021" i="17" s="1"/>
  <c r="K1020" i="9"/>
  <c r="I1020" i="9"/>
  <c r="F1020" i="9"/>
  <c r="F1020" i="17" s="1"/>
  <c r="E1020" i="9"/>
  <c r="E1020" i="17" s="1"/>
  <c r="K1019" i="9"/>
  <c r="I1019" i="9"/>
  <c r="I1019" i="17" s="1"/>
  <c r="F1019" i="9"/>
  <c r="F1019" i="17" s="1"/>
  <c r="E1019" i="9"/>
  <c r="E1019" i="17" s="1"/>
  <c r="K1018" i="9"/>
  <c r="E1018" i="9"/>
  <c r="E1018" i="17" s="1"/>
  <c r="K1017" i="9"/>
  <c r="E1017" i="9"/>
  <c r="E1017" i="17" s="1"/>
  <c r="K1016" i="9"/>
  <c r="E1016" i="9"/>
  <c r="E1016" i="17" s="1"/>
  <c r="K1015" i="9"/>
  <c r="I1015" i="9"/>
  <c r="E1015" i="9"/>
  <c r="E1015" i="17" s="1"/>
  <c r="K1014" i="9"/>
  <c r="I1014" i="9"/>
  <c r="I1014" i="17" s="1"/>
  <c r="E1014" i="9"/>
  <c r="E1014" i="17" s="1"/>
  <c r="K1013" i="9"/>
  <c r="I1013" i="9"/>
  <c r="F1013" i="9"/>
  <c r="F1013" i="17" s="1"/>
  <c r="E1013" i="9"/>
  <c r="E1013" i="17" s="1"/>
  <c r="K1012" i="9"/>
  <c r="I1012" i="9"/>
  <c r="I1012" i="17" s="1"/>
  <c r="F1012" i="9"/>
  <c r="F1012" i="17" s="1"/>
  <c r="E1012" i="9"/>
  <c r="E1012" i="17" s="1"/>
  <c r="K1011" i="9"/>
  <c r="I1011" i="9"/>
  <c r="F1011" i="9"/>
  <c r="F1011" i="17" s="1"/>
  <c r="E1011" i="9"/>
  <c r="E1011" i="17" s="1"/>
  <c r="K1010" i="9"/>
  <c r="I1010" i="9"/>
  <c r="I1010" i="17" s="1"/>
  <c r="E1010" i="9"/>
  <c r="E1010" i="17" s="1"/>
  <c r="K1009" i="9"/>
  <c r="I1009" i="9"/>
  <c r="I1009" i="17" s="1"/>
  <c r="E1009" i="9"/>
  <c r="E1009" i="17" s="1"/>
  <c r="K1008" i="9"/>
  <c r="I1008" i="9"/>
  <c r="I1008" i="17" s="1"/>
  <c r="E1008" i="9"/>
  <c r="E1008" i="17" s="1"/>
  <c r="K1007" i="9"/>
  <c r="I1007" i="9"/>
  <c r="I1007" i="17" s="1"/>
  <c r="E1007" i="9"/>
  <c r="E1007" i="17" s="1"/>
  <c r="K1006" i="9"/>
  <c r="I1006" i="9"/>
  <c r="I1006" i="17" s="1"/>
  <c r="E1006" i="9"/>
  <c r="E1006" i="17" s="1"/>
  <c r="K1005" i="9"/>
  <c r="I1005" i="9"/>
  <c r="I1005" i="17" s="1"/>
  <c r="F1005" i="9"/>
  <c r="F1005" i="17" s="1"/>
  <c r="E1005" i="9"/>
  <c r="E1005" i="17" s="1"/>
  <c r="K1004" i="9"/>
  <c r="I1004" i="9"/>
  <c r="I1004" i="17" s="1"/>
  <c r="F1004" i="9"/>
  <c r="F1004" i="17" s="1"/>
  <c r="E1004" i="9"/>
  <c r="E1004" i="17" s="1"/>
  <c r="K1003" i="9"/>
  <c r="I1003" i="9"/>
  <c r="F1003" i="9"/>
  <c r="F1003" i="17" s="1"/>
  <c r="E1003" i="9"/>
  <c r="E1003" i="17" s="1"/>
  <c r="K1002" i="9"/>
  <c r="I1002" i="9"/>
  <c r="I1002" i="17" s="1"/>
  <c r="F1002" i="9"/>
  <c r="F1002" i="17" s="1"/>
  <c r="E1002" i="9"/>
  <c r="E1002" i="17" s="1"/>
  <c r="K1001" i="9"/>
  <c r="I1001" i="9"/>
  <c r="I1001" i="17" s="1"/>
  <c r="F1001" i="9"/>
  <c r="F1001" i="17" s="1"/>
  <c r="E1001" i="9"/>
  <c r="E1001" i="17" s="1"/>
  <c r="K1000" i="9"/>
  <c r="I1000" i="9"/>
  <c r="I1000" i="17" s="1"/>
  <c r="F1000" i="9"/>
  <c r="F1000" i="17" s="1"/>
  <c r="E1000" i="9"/>
  <c r="E1000" i="17" s="1"/>
  <c r="K999" i="9"/>
  <c r="I999" i="9"/>
  <c r="F999" i="9"/>
  <c r="F999" i="17" s="1"/>
  <c r="E999" i="9"/>
  <c r="E999" i="17" s="1"/>
  <c r="K998" i="9"/>
  <c r="I998" i="9"/>
  <c r="F998" i="9"/>
  <c r="F998" i="17" s="1"/>
  <c r="E998" i="9"/>
  <c r="E998" i="17" s="1"/>
  <c r="K997" i="9"/>
  <c r="I997" i="9"/>
  <c r="F997" i="9"/>
  <c r="F997" i="17" s="1"/>
  <c r="E997" i="9"/>
  <c r="E997" i="17" s="1"/>
  <c r="K996" i="9"/>
  <c r="E996" i="9"/>
  <c r="E996" i="17" s="1"/>
  <c r="K995" i="9"/>
  <c r="I995" i="9"/>
  <c r="I995" i="17" s="1"/>
  <c r="E995" i="9"/>
  <c r="E995" i="17" s="1"/>
  <c r="K994" i="9"/>
  <c r="I994" i="9"/>
  <c r="E994" i="9"/>
  <c r="E994" i="17" s="1"/>
  <c r="K993" i="9"/>
  <c r="I993" i="9"/>
  <c r="I993" i="17" s="1"/>
  <c r="F993" i="9"/>
  <c r="F993" i="17" s="1"/>
  <c r="E993" i="9"/>
  <c r="E993" i="17" s="1"/>
  <c r="K992" i="9"/>
  <c r="I992" i="9"/>
  <c r="F992" i="9"/>
  <c r="F992" i="17" s="1"/>
  <c r="E992" i="9"/>
  <c r="E992" i="17" s="1"/>
  <c r="K991" i="9"/>
  <c r="I991" i="9"/>
  <c r="F991" i="9"/>
  <c r="F991" i="17" s="1"/>
  <c r="E991" i="9"/>
  <c r="E991" i="17" s="1"/>
  <c r="K990" i="9"/>
  <c r="I990" i="9"/>
  <c r="I990" i="17" s="1"/>
  <c r="F990" i="9"/>
  <c r="F990" i="17" s="1"/>
  <c r="E990" i="9"/>
  <c r="E990" i="17" s="1"/>
  <c r="K989" i="9"/>
  <c r="I989" i="9"/>
  <c r="F989" i="9"/>
  <c r="F989" i="17" s="1"/>
  <c r="E989" i="9"/>
  <c r="E989" i="17" s="1"/>
  <c r="K988" i="9"/>
  <c r="E988" i="9"/>
  <c r="E988" i="17" s="1"/>
  <c r="K987" i="9"/>
  <c r="I987" i="9"/>
  <c r="F987" i="9"/>
  <c r="F987" i="17" s="1"/>
  <c r="E987" i="9"/>
  <c r="E987" i="17" s="1"/>
  <c r="K986" i="9"/>
  <c r="I986" i="9"/>
  <c r="I986" i="17" s="1"/>
  <c r="E986" i="9"/>
  <c r="E986" i="17" s="1"/>
  <c r="K985" i="9"/>
  <c r="I985" i="9"/>
  <c r="I985" i="17" s="1"/>
  <c r="E985" i="9"/>
  <c r="E985" i="17" s="1"/>
  <c r="K984" i="9"/>
  <c r="I984" i="9"/>
  <c r="F984" i="9"/>
  <c r="F984" i="17" s="1"/>
  <c r="E984" i="9"/>
  <c r="E984" i="17" s="1"/>
  <c r="K983" i="9"/>
  <c r="I983" i="9"/>
  <c r="F983" i="9"/>
  <c r="F983" i="17" s="1"/>
  <c r="E983" i="9"/>
  <c r="E983" i="17" s="1"/>
  <c r="K982" i="9"/>
  <c r="I982" i="9"/>
  <c r="F982" i="9"/>
  <c r="F982" i="17" s="1"/>
  <c r="E982" i="9"/>
  <c r="E982" i="17" s="1"/>
  <c r="K981" i="9"/>
  <c r="E981" i="9"/>
  <c r="E981" i="17" s="1"/>
  <c r="K980" i="9"/>
  <c r="E980" i="9"/>
  <c r="E980" i="17" s="1"/>
  <c r="K979" i="9"/>
  <c r="E979" i="9"/>
  <c r="E979" i="17" s="1"/>
  <c r="K978" i="9"/>
  <c r="I978" i="9"/>
  <c r="E978" i="9"/>
  <c r="E978" i="17" s="1"/>
  <c r="K977" i="9"/>
  <c r="I977" i="9"/>
  <c r="I977" i="17" s="1"/>
  <c r="E977" i="9"/>
  <c r="E977" i="17" s="1"/>
  <c r="K976" i="9"/>
  <c r="I976" i="9"/>
  <c r="E976" i="9"/>
  <c r="E976" i="17" s="1"/>
  <c r="K975" i="9"/>
  <c r="I975" i="9"/>
  <c r="I975" i="17" s="1"/>
  <c r="F975" i="9"/>
  <c r="F975" i="17" s="1"/>
  <c r="E975" i="9"/>
  <c r="E975" i="17" s="1"/>
  <c r="K974" i="9"/>
  <c r="I974" i="9"/>
  <c r="F974" i="9"/>
  <c r="F974" i="17" s="1"/>
  <c r="E974" i="9"/>
  <c r="E974" i="17" s="1"/>
  <c r="K973" i="9"/>
  <c r="I973" i="9"/>
  <c r="I973" i="17" s="1"/>
  <c r="F973" i="9"/>
  <c r="F973" i="17" s="1"/>
  <c r="E973" i="9"/>
  <c r="E973" i="17" s="1"/>
  <c r="K972" i="9"/>
  <c r="I972" i="9"/>
  <c r="F972" i="9"/>
  <c r="F972" i="17" s="1"/>
  <c r="E972" i="9"/>
  <c r="E972" i="17" s="1"/>
  <c r="K971" i="9"/>
  <c r="I971" i="9"/>
  <c r="F971" i="9"/>
  <c r="F971" i="17" s="1"/>
  <c r="E971" i="9"/>
  <c r="E971" i="17" s="1"/>
  <c r="K970" i="9"/>
  <c r="I970" i="9"/>
  <c r="I970" i="17" s="1"/>
  <c r="F970" i="9"/>
  <c r="F970" i="17" s="1"/>
  <c r="E970" i="9"/>
  <c r="E970" i="17" s="1"/>
  <c r="K969" i="9"/>
  <c r="I969" i="9"/>
  <c r="I969" i="17" s="1"/>
  <c r="F969" i="9"/>
  <c r="F969" i="17" s="1"/>
  <c r="E969" i="9"/>
  <c r="E969" i="17" s="1"/>
  <c r="K968" i="9"/>
  <c r="I968" i="9"/>
  <c r="I968" i="17" s="1"/>
  <c r="F968" i="9"/>
  <c r="F968" i="17" s="1"/>
  <c r="E968" i="9"/>
  <c r="E968" i="17" s="1"/>
  <c r="K967" i="9"/>
  <c r="I967" i="9"/>
  <c r="F967" i="9"/>
  <c r="F967" i="17" s="1"/>
  <c r="E967" i="9"/>
  <c r="E967" i="17" s="1"/>
  <c r="K966" i="9"/>
  <c r="E966" i="9"/>
  <c r="E966" i="17" s="1"/>
  <c r="K965" i="9"/>
  <c r="I965" i="9"/>
  <c r="I965" i="17" s="1"/>
  <c r="E965" i="9"/>
  <c r="E965" i="17" s="1"/>
  <c r="K964" i="9"/>
  <c r="I964" i="9"/>
  <c r="E964" i="9"/>
  <c r="E964" i="17" s="1"/>
  <c r="K963" i="9"/>
  <c r="I963" i="9"/>
  <c r="F963" i="9"/>
  <c r="F963" i="17" s="1"/>
  <c r="E963" i="9"/>
  <c r="E963" i="17" s="1"/>
  <c r="K962" i="9"/>
  <c r="I962" i="9"/>
  <c r="I962" i="17" s="1"/>
  <c r="F962" i="9"/>
  <c r="F962" i="17" s="1"/>
  <c r="E962" i="9"/>
  <c r="E962" i="17" s="1"/>
  <c r="K961" i="9"/>
  <c r="I961" i="9"/>
  <c r="F961" i="9"/>
  <c r="F961" i="17" s="1"/>
  <c r="E961" i="9"/>
  <c r="E961" i="17" s="1"/>
  <c r="K960" i="9"/>
  <c r="E960" i="9"/>
  <c r="E960" i="17" s="1"/>
  <c r="K959" i="9"/>
  <c r="E959" i="9"/>
  <c r="E959" i="17" s="1"/>
  <c r="K958" i="9"/>
  <c r="E958" i="9"/>
  <c r="E958" i="17" s="1"/>
  <c r="K957" i="9"/>
  <c r="I957" i="9"/>
  <c r="I957" i="17" s="1"/>
  <c r="E957" i="9"/>
  <c r="E957" i="17" s="1"/>
  <c r="K956" i="9"/>
  <c r="I956" i="9"/>
  <c r="I956" i="17" s="1"/>
  <c r="E956" i="9"/>
  <c r="E956" i="17" s="1"/>
  <c r="K955" i="9"/>
  <c r="I955" i="9"/>
  <c r="F955" i="9"/>
  <c r="F955" i="17" s="1"/>
  <c r="E955" i="9"/>
  <c r="E955" i="17" s="1"/>
  <c r="K954" i="9"/>
  <c r="I954" i="9"/>
  <c r="I954" i="17" s="1"/>
  <c r="F954" i="9"/>
  <c r="F954" i="17" s="1"/>
  <c r="E954" i="9"/>
  <c r="E954" i="17" s="1"/>
  <c r="K953" i="9"/>
  <c r="I953" i="9"/>
  <c r="F953" i="9"/>
  <c r="F953" i="17" s="1"/>
  <c r="E953" i="9"/>
  <c r="E953" i="17" s="1"/>
  <c r="K952" i="9"/>
  <c r="I952" i="9"/>
  <c r="I952" i="17" s="1"/>
  <c r="F952" i="9"/>
  <c r="F952" i="17" s="1"/>
  <c r="E952" i="9"/>
  <c r="E952" i="17" s="1"/>
  <c r="K951" i="9"/>
  <c r="I951" i="9"/>
  <c r="I951" i="17" s="1"/>
  <c r="E951" i="9"/>
  <c r="E951" i="17" s="1"/>
  <c r="K950" i="9"/>
  <c r="I950" i="9"/>
  <c r="I950" i="17" s="1"/>
  <c r="E950" i="9"/>
  <c r="E950" i="17" s="1"/>
  <c r="K949" i="9"/>
  <c r="I949" i="9"/>
  <c r="I949" i="17" s="1"/>
  <c r="E949" i="9"/>
  <c r="E949" i="17" s="1"/>
  <c r="K948" i="9"/>
  <c r="I948" i="9"/>
  <c r="I948" i="17" s="1"/>
  <c r="E948" i="9"/>
  <c r="E948" i="17" s="1"/>
  <c r="K947" i="9"/>
  <c r="I947" i="9"/>
  <c r="I947" i="17" s="1"/>
  <c r="F947" i="9"/>
  <c r="F947" i="17" s="1"/>
  <c r="E947" i="9"/>
  <c r="E947" i="17" s="1"/>
  <c r="K946" i="9"/>
  <c r="I946" i="9"/>
  <c r="F946" i="9"/>
  <c r="F946" i="17" s="1"/>
  <c r="E946" i="9"/>
  <c r="E946" i="17" s="1"/>
  <c r="K945" i="9"/>
  <c r="I945" i="9"/>
  <c r="I945" i="17" s="1"/>
  <c r="F945" i="9"/>
  <c r="F945" i="17" s="1"/>
  <c r="E945" i="9"/>
  <c r="E945" i="17" s="1"/>
  <c r="K944" i="9"/>
  <c r="I944" i="9"/>
  <c r="F944" i="9"/>
  <c r="F944" i="17" s="1"/>
  <c r="E944" i="9"/>
  <c r="E944" i="17" s="1"/>
  <c r="K943" i="9"/>
  <c r="I943" i="9"/>
  <c r="I943" i="17" s="1"/>
  <c r="E943" i="9"/>
  <c r="E943" i="17" s="1"/>
  <c r="K942" i="9"/>
  <c r="I942" i="9"/>
  <c r="E942" i="9"/>
  <c r="E942" i="17" s="1"/>
  <c r="K941" i="9"/>
  <c r="I941" i="9"/>
  <c r="E941" i="9"/>
  <c r="E941" i="17" s="1"/>
  <c r="K940" i="9"/>
  <c r="I940" i="9"/>
  <c r="I940" i="17" s="1"/>
  <c r="F940" i="9"/>
  <c r="F940" i="17" s="1"/>
  <c r="E940" i="9"/>
  <c r="E940" i="17" s="1"/>
  <c r="K939" i="9"/>
  <c r="I939" i="9"/>
  <c r="I939" i="17" s="1"/>
  <c r="E939" i="9"/>
  <c r="E939" i="17" s="1"/>
  <c r="K938" i="9"/>
  <c r="I938" i="9"/>
  <c r="I938" i="17" s="1"/>
  <c r="E938" i="9"/>
  <c r="E938" i="17" s="1"/>
  <c r="K937" i="9"/>
  <c r="I937" i="9"/>
  <c r="E937" i="9"/>
  <c r="E937" i="17" s="1"/>
  <c r="K936" i="9"/>
  <c r="I936" i="9"/>
  <c r="F936" i="9"/>
  <c r="F936" i="17" s="1"/>
  <c r="E936" i="9"/>
  <c r="E936" i="17" s="1"/>
  <c r="K935" i="9"/>
  <c r="I935" i="9"/>
  <c r="I935" i="17" s="1"/>
  <c r="F935" i="9"/>
  <c r="F935" i="17" s="1"/>
  <c r="E935" i="9"/>
  <c r="E935" i="17" s="1"/>
  <c r="K934" i="9"/>
  <c r="I934" i="9"/>
  <c r="I934" i="17" s="1"/>
  <c r="E934" i="9"/>
  <c r="E934" i="17" s="1"/>
  <c r="K933" i="9"/>
  <c r="I933" i="9"/>
  <c r="I933" i="17" s="1"/>
  <c r="E933" i="9"/>
  <c r="E933" i="17" s="1"/>
  <c r="K932" i="9"/>
  <c r="I932" i="9"/>
  <c r="I932" i="17" s="1"/>
  <c r="E932" i="9"/>
  <c r="E932" i="17" s="1"/>
  <c r="K931" i="9"/>
  <c r="I931" i="9"/>
  <c r="F931" i="9"/>
  <c r="F931" i="17" s="1"/>
  <c r="E931" i="9"/>
  <c r="E931" i="17" s="1"/>
  <c r="K930" i="9"/>
  <c r="I930" i="9"/>
  <c r="I930" i="17" s="1"/>
  <c r="F930" i="9"/>
  <c r="F930" i="17" s="1"/>
  <c r="E930" i="9"/>
  <c r="E930" i="17" s="1"/>
  <c r="K929" i="9"/>
  <c r="I929" i="9"/>
  <c r="F929" i="9"/>
  <c r="F929" i="17" s="1"/>
  <c r="E929" i="9"/>
  <c r="E929" i="17" s="1"/>
  <c r="K928" i="9"/>
  <c r="I928" i="9"/>
  <c r="I928" i="17" s="1"/>
  <c r="E928" i="9"/>
  <c r="E928" i="17" s="1"/>
  <c r="K927" i="9"/>
  <c r="I927" i="9"/>
  <c r="I927" i="17" s="1"/>
  <c r="E927" i="9"/>
  <c r="E927" i="17" s="1"/>
  <c r="K926" i="9"/>
  <c r="I926" i="9"/>
  <c r="I926" i="17" s="1"/>
  <c r="E926" i="9"/>
  <c r="E926" i="17" s="1"/>
  <c r="K925" i="9"/>
  <c r="I925" i="9"/>
  <c r="I925" i="17" s="1"/>
  <c r="F925" i="9"/>
  <c r="F925" i="17" s="1"/>
  <c r="E925" i="9"/>
  <c r="E925" i="17" s="1"/>
  <c r="K924" i="9"/>
  <c r="I924" i="9"/>
  <c r="I924" i="17" s="1"/>
  <c r="F924" i="9"/>
  <c r="F924" i="17" s="1"/>
  <c r="E924" i="9"/>
  <c r="E924" i="17" s="1"/>
  <c r="K923" i="9"/>
  <c r="I923" i="9"/>
  <c r="I923" i="17" s="1"/>
  <c r="F923" i="9"/>
  <c r="F923" i="17" s="1"/>
  <c r="E923" i="9"/>
  <c r="E923" i="17" s="1"/>
  <c r="K922" i="9"/>
  <c r="I922" i="9"/>
  <c r="I922" i="17" s="1"/>
  <c r="E922" i="9"/>
  <c r="E922" i="17" s="1"/>
  <c r="K921" i="9"/>
  <c r="I921" i="9"/>
  <c r="E921" i="9"/>
  <c r="E921" i="17" s="1"/>
  <c r="K920" i="9"/>
  <c r="I920" i="9"/>
  <c r="E920" i="9"/>
  <c r="E920" i="17" s="1"/>
  <c r="K919" i="9"/>
  <c r="I919" i="9"/>
  <c r="I919" i="17" s="1"/>
  <c r="F919" i="9"/>
  <c r="F919" i="17" s="1"/>
  <c r="E919" i="9"/>
  <c r="E919" i="17" s="1"/>
  <c r="K918" i="9"/>
  <c r="I918" i="9"/>
  <c r="F918" i="9"/>
  <c r="F918" i="17" s="1"/>
  <c r="E918" i="9"/>
  <c r="E918" i="17" s="1"/>
  <c r="K917" i="9"/>
  <c r="I917" i="9"/>
  <c r="I917" i="17" s="1"/>
  <c r="F917" i="9"/>
  <c r="F917" i="17" s="1"/>
  <c r="E917" i="9"/>
  <c r="E917" i="17" s="1"/>
  <c r="K916" i="9"/>
  <c r="I916" i="9"/>
  <c r="F916" i="9"/>
  <c r="F916" i="17" s="1"/>
  <c r="E916" i="9"/>
  <c r="E916" i="17" s="1"/>
  <c r="K915" i="9"/>
  <c r="I915" i="9"/>
  <c r="I915" i="17" s="1"/>
  <c r="E915" i="9"/>
  <c r="E915" i="17" s="1"/>
  <c r="K914" i="9"/>
  <c r="I914" i="9"/>
  <c r="I914" i="17" s="1"/>
  <c r="E914" i="9"/>
  <c r="E914" i="17" s="1"/>
  <c r="K913" i="9"/>
  <c r="I913" i="9"/>
  <c r="E913" i="9"/>
  <c r="E913" i="17" s="1"/>
  <c r="K912" i="9"/>
  <c r="I912" i="9"/>
  <c r="F912" i="9"/>
  <c r="F912" i="17" s="1"/>
  <c r="E912" i="9"/>
  <c r="E912" i="17" s="1"/>
  <c r="K911" i="9"/>
  <c r="I911" i="9"/>
  <c r="I911" i="17" s="1"/>
  <c r="F911" i="9"/>
  <c r="F911" i="17" s="1"/>
  <c r="E911" i="9"/>
  <c r="E911" i="17" s="1"/>
  <c r="K910" i="9"/>
  <c r="I910" i="9"/>
  <c r="I910" i="17" s="1"/>
  <c r="F910" i="9"/>
  <c r="F910" i="17" s="1"/>
  <c r="E910" i="9"/>
  <c r="E910" i="17" s="1"/>
  <c r="K909" i="9"/>
  <c r="I909" i="9"/>
  <c r="F909" i="9"/>
  <c r="F909" i="17" s="1"/>
  <c r="E909" i="9"/>
  <c r="E909" i="17" s="1"/>
  <c r="K908" i="9"/>
  <c r="I908" i="9"/>
  <c r="F908" i="9"/>
  <c r="F908" i="17" s="1"/>
  <c r="E908" i="9"/>
  <c r="E908" i="17" s="1"/>
  <c r="K907" i="9"/>
  <c r="I907" i="9"/>
  <c r="F907" i="9"/>
  <c r="F907" i="17" s="1"/>
  <c r="E907" i="9"/>
  <c r="E907" i="17" s="1"/>
  <c r="K906" i="9"/>
  <c r="E906" i="9"/>
  <c r="E906" i="17" s="1"/>
  <c r="K905" i="9"/>
  <c r="E905" i="9"/>
  <c r="E905" i="17" s="1"/>
  <c r="K904" i="9"/>
  <c r="E904" i="9"/>
  <c r="E904" i="17" s="1"/>
  <c r="K903" i="9"/>
  <c r="I903" i="9"/>
  <c r="E903" i="9"/>
  <c r="E903" i="17" s="1"/>
  <c r="K902" i="9"/>
  <c r="I902" i="9"/>
  <c r="I902" i="17" s="1"/>
  <c r="E902" i="9"/>
  <c r="E902" i="17" s="1"/>
  <c r="K901" i="9"/>
  <c r="I901" i="9"/>
  <c r="F901" i="9"/>
  <c r="F901" i="17" s="1"/>
  <c r="E901" i="9"/>
  <c r="E901" i="17" s="1"/>
  <c r="K900" i="9"/>
  <c r="I900" i="9"/>
  <c r="F900" i="9"/>
  <c r="F900" i="17" s="1"/>
  <c r="E900" i="9"/>
  <c r="E900" i="17" s="1"/>
  <c r="K899" i="9"/>
  <c r="I899" i="9"/>
  <c r="I899" i="17" s="1"/>
  <c r="F899" i="9"/>
  <c r="F899" i="17" s="1"/>
  <c r="E899" i="9"/>
  <c r="E899" i="17" s="1"/>
  <c r="K898" i="9"/>
  <c r="I898" i="9"/>
  <c r="F898" i="9"/>
  <c r="F898" i="17" s="1"/>
  <c r="E898" i="9"/>
  <c r="E898" i="17" s="1"/>
  <c r="K897" i="9"/>
  <c r="I897" i="9"/>
  <c r="I897" i="17" s="1"/>
  <c r="F897" i="9"/>
  <c r="F897" i="17" s="1"/>
  <c r="E897" i="9"/>
  <c r="E897" i="17" s="1"/>
  <c r="K896" i="9"/>
  <c r="E896" i="9"/>
  <c r="E896" i="17" s="1"/>
  <c r="K895" i="9"/>
  <c r="E895" i="9"/>
  <c r="E895" i="17" s="1"/>
  <c r="K894" i="9"/>
  <c r="E894" i="9"/>
  <c r="E894" i="17" s="1"/>
  <c r="K893" i="9"/>
  <c r="I893" i="9"/>
  <c r="E893" i="9"/>
  <c r="E893" i="17" s="1"/>
  <c r="K892" i="9"/>
  <c r="I892" i="9"/>
  <c r="E892" i="9"/>
  <c r="E892" i="17" s="1"/>
  <c r="K891" i="9"/>
  <c r="I891" i="9"/>
  <c r="F891" i="9"/>
  <c r="F891" i="17" s="1"/>
  <c r="E891" i="9"/>
  <c r="E891" i="17" s="1"/>
  <c r="K890" i="9"/>
  <c r="I890" i="9"/>
  <c r="I890" i="17" s="1"/>
  <c r="F890" i="9"/>
  <c r="F890" i="17" s="1"/>
  <c r="E890" i="9"/>
  <c r="E890" i="17" s="1"/>
  <c r="K889" i="9"/>
  <c r="I889" i="9"/>
  <c r="F889" i="9"/>
  <c r="F889" i="17" s="1"/>
  <c r="E889" i="9"/>
  <c r="E889" i="17" s="1"/>
  <c r="K888" i="9"/>
  <c r="I888" i="9"/>
  <c r="F888" i="9"/>
  <c r="F888" i="17" s="1"/>
  <c r="E888" i="9"/>
  <c r="E888" i="17" s="1"/>
  <c r="K887" i="9"/>
  <c r="I887" i="9"/>
  <c r="I887" i="17" s="1"/>
  <c r="E887" i="9"/>
  <c r="E887" i="17" s="1"/>
  <c r="K886" i="9"/>
  <c r="I886" i="9"/>
  <c r="I886" i="17" s="1"/>
  <c r="E886" i="9"/>
  <c r="E886" i="17" s="1"/>
  <c r="K885" i="9"/>
  <c r="I885" i="9"/>
  <c r="E885" i="9"/>
  <c r="E885" i="17" s="1"/>
  <c r="K884" i="9"/>
  <c r="I884" i="9"/>
  <c r="F884" i="9"/>
  <c r="F884" i="17" s="1"/>
  <c r="E884" i="9"/>
  <c r="E884" i="17" s="1"/>
  <c r="K883" i="9"/>
  <c r="I883" i="9"/>
  <c r="I883" i="17" s="1"/>
  <c r="F883" i="9"/>
  <c r="F883" i="17" s="1"/>
  <c r="E883" i="9"/>
  <c r="E883" i="17" s="1"/>
  <c r="K882" i="9"/>
  <c r="I882" i="9"/>
  <c r="I882" i="17" s="1"/>
  <c r="F882" i="9"/>
  <c r="F882" i="17" s="1"/>
  <c r="E882" i="9"/>
  <c r="E882" i="17" s="1"/>
  <c r="K881" i="9"/>
  <c r="I881" i="9"/>
  <c r="F881" i="9"/>
  <c r="F881" i="17" s="1"/>
  <c r="E881" i="9"/>
  <c r="E881" i="17" s="1"/>
  <c r="K880" i="9"/>
  <c r="I880" i="9"/>
  <c r="I880" i="17" s="1"/>
  <c r="F880" i="9"/>
  <c r="F880" i="17" s="1"/>
  <c r="E880" i="9"/>
  <c r="E880" i="17" s="1"/>
  <c r="K879" i="9"/>
  <c r="E879" i="9"/>
  <c r="E879" i="17" s="1"/>
  <c r="K878" i="9"/>
  <c r="E878" i="9"/>
  <c r="E878" i="17" s="1"/>
  <c r="K877" i="9"/>
  <c r="E877" i="9"/>
  <c r="E877" i="17" s="1"/>
  <c r="K876" i="9"/>
  <c r="I876" i="9"/>
  <c r="E876" i="9"/>
  <c r="E876" i="17" s="1"/>
  <c r="K875" i="9"/>
  <c r="I875" i="9"/>
  <c r="I875" i="17" s="1"/>
  <c r="E875" i="9"/>
  <c r="E875" i="17" s="1"/>
  <c r="K874" i="9"/>
  <c r="I874" i="9"/>
  <c r="I874" i="17" s="1"/>
  <c r="F874" i="9"/>
  <c r="F874" i="17" s="1"/>
  <c r="E874" i="9"/>
  <c r="E874" i="17" s="1"/>
  <c r="K873" i="9"/>
  <c r="I873" i="9"/>
  <c r="F873" i="9"/>
  <c r="F873" i="17" s="1"/>
  <c r="E873" i="9"/>
  <c r="E873" i="17" s="1"/>
  <c r="K872" i="9"/>
  <c r="I872" i="9"/>
  <c r="I872" i="17" s="1"/>
  <c r="F872" i="9"/>
  <c r="F872" i="17" s="1"/>
  <c r="E872" i="9"/>
  <c r="E872" i="17" s="1"/>
  <c r="K871" i="9"/>
  <c r="I871" i="9"/>
  <c r="F871" i="9"/>
  <c r="F871" i="17" s="1"/>
  <c r="E871" i="9"/>
  <c r="E871" i="17" s="1"/>
  <c r="K870" i="9"/>
  <c r="I870" i="9"/>
  <c r="F870" i="9"/>
  <c r="F870" i="17" s="1"/>
  <c r="E870" i="9"/>
  <c r="E870" i="17" s="1"/>
  <c r="K869" i="9"/>
  <c r="I869" i="9"/>
  <c r="I869" i="17" s="1"/>
  <c r="F869" i="9"/>
  <c r="F869" i="17" s="1"/>
  <c r="E869" i="9"/>
  <c r="E869" i="17" s="1"/>
  <c r="K868" i="9"/>
  <c r="E868" i="9"/>
  <c r="E868" i="17" s="1"/>
  <c r="K867" i="9"/>
  <c r="E867" i="9"/>
  <c r="E867" i="17" s="1"/>
  <c r="K866" i="9"/>
  <c r="E866" i="9"/>
  <c r="E866" i="17" s="1"/>
  <c r="K865" i="9"/>
  <c r="I865" i="9"/>
  <c r="I865" i="17" s="1"/>
  <c r="E865" i="9"/>
  <c r="E865" i="17" s="1"/>
  <c r="K864" i="9"/>
  <c r="I864" i="9"/>
  <c r="E864" i="9"/>
  <c r="E864" i="17" s="1"/>
  <c r="K863" i="9"/>
  <c r="I863" i="9"/>
  <c r="F863" i="9"/>
  <c r="F863" i="17" s="1"/>
  <c r="E863" i="9"/>
  <c r="E863" i="17" s="1"/>
  <c r="K862" i="9"/>
  <c r="I862" i="9"/>
  <c r="I862" i="17" s="1"/>
  <c r="F862" i="9"/>
  <c r="F862" i="17" s="1"/>
  <c r="E862" i="9"/>
  <c r="E862" i="17" s="1"/>
  <c r="K861" i="9"/>
  <c r="I861" i="9"/>
  <c r="I861" i="17" s="1"/>
  <c r="F861" i="9"/>
  <c r="F861" i="17" s="1"/>
  <c r="E861" i="9"/>
  <c r="E861" i="17" s="1"/>
  <c r="K860" i="9"/>
  <c r="I860" i="9"/>
  <c r="I860" i="17" s="1"/>
  <c r="F860" i="9"/>
  <c r="F860" i="17" s="1"/>
  <c r="E860" i="9"/>
  <c r="E860" i="17" s="1"/>
  <c r="K859" i="9"/>
  <c r="I859" i="9"/>
  <c r="F859" i="9"/>
  <c r="F859" i="17" s="1"/>
  <c r="E859" i="9"/>
  <c r="E859" i="17" s="1"/>
  <c r="K858" i="9"/>
  <c r="E858" i="9"/>
  <c r="E858" i="17" s="1"/>
  <c r="K857" i="9"/>
  <c r="E857" i="9"/>
  <c r="E857" i="17" s="1"/>
  <c r="K856" i="9"/>
  <c r="E856" i="9"/>
  <c r="E856" i="17" s="1"/>
  <c r="K855" i="9"/>
  <c r="I855" i="9"/>
  <c r="I855" i="17" s="1"/>
  <c r="E855" i="9"/>
  <c r="E855" i="17" s="1"/>
  <c r="K854" i="9"/>
  <c r="I854" i="9"/>
  <c r="I854" i="17" s="1"/>
  <c r="E854" i="9"/>
  <c r="E854" i="17" s="1"/>
  <c r="K853" i="9"/>
  <c r="I853" i="9"/>
  <c r="F853" i="9"/>
  <c r="F853" i="17" s="1"/>
  <c r="E853" i="9"/>
  <c r="E853" i="17" s="1"/>
  <c r="K852" i="9"/>
  <c r="I852" i="9"/>
  <c r="I852" i="17" s="1"/>
  <c r="F852" i="9"/>
  <c r="F852" i="17" s="1"/>
  <c r="E852" i="9"/>
  <c r="E852" i="17" s="1"/>
  <c r="K851" i="9"/>
  <c r="I851" i="9"/>
  <c r="F851" i="9"/>
  <c r="F851" i="17" s="1"/>
  <c r="E851" i="9"/>
  <c r="E851" i="17" s="1"/>
  <c r="K850" i="9"/>
  <c r="I850" i="9"/>
  <c r="I850" i="17" s="1"/>
  <c r="F850" i="9"/>
  <c r="F850" i="17" s="1"/>
  <c r="E850" i="9"/>
  <c r="E850" i="17" s="1"/>
  <c r="K849" i="9"/>
  <c r="I849" i="9"/>
  <c r="F849" i="9"/>
  <c r="F849" i="17" s="1"/>
  <c r="E849" i="9"/>
  <c r="E849" i="17" s="1"/>
  <c r="K848" i="9"/>
  <c r="E848" i="9"/>
  <c r="E848" i="17" s="1"/>
  <c r="K847" i="9"/>
  <c r="E847" i="9"/>
  <c r="E847" i="17" s="1"/>
  <c r="K846" i="9"/>
  <c r="E846" i="9"/>
  <c r="E846" i="17" s="1"/>
  <c r="K845" i="9"/>
  <c r="I845" i="9"/>
  <c r="I845" i="17" s="1"/>
  <c r="E845" i="9"/>
  <c r="E845" i="17" s="1"/>
  <c r="K844" i="9"/>
  <c r="I844" i="9"/>
  <c r="E844" i="9"/>
  <c r="E844" i="17" s="1"/>
  <c r="K843" i="9"/>
  <c r="I843" i="9"/>
  <c r="I843" i="17" s="1"/>
  <c r="F843" i="9"/>
  <c r="F843" i="17" s="1"/>
  <c r="E843" i="9"/>
  <c r="E843" i="17" s="1"/>
  <c r="K842" i="9"/>
  <c r="I842" i="9"/>
  <c r="F842" i="9"/>
  <c r="F842" i="17" s="1"/>
  <c r="E842" i="9"/>
  <c r="E842" i="17" s="1"/>
  <c r="K841" i="9"/>
  <c r="I841" i="9"/>
  <c r="I841" i="17" s="1"/>
  <c r="E841" i="9"/>
  <c r="E841" i="17" s="1"/>
  <c r="K840" i="9"/>
  <c r="I840" i="9"/>
  <c r="I840" i="17" s="1"/>
  <c r="F840" i="9"/>
  <c r="F840" i="17" s="1"/>
  <c r="E840" i="9"/>
  <c r="E840" i="17" s="1"/>
  <c r="K839" i="9"/>
  <c r="I839" i="9"/>
  <c r="I839" i="17" s="1"/>
  <c r="E839" i="9"/>
  <c r="E839" i="17" s="1"/>
  <c r="K838" i="9"/>
  <c r="I838" i="9"/>
  <c r="I838" i="17" s="1"/>
  <c r="E838" i="9"/>
  <c r="E838" i="17" s="1"/>
  <c r="K837" i="9"/>
  <c r="I837" i="9"/>
  <c r="I837" i="17" s="1"/>
  <c r="E837" i="9"/>
  <c r="E837" i="17" s="1"/>
  <c r="K836" i="9"/>
  <c r="I836" i="9"/>
  <c r="I836" i="17" s="1"/>
  <c r="F836" i="9"/>
  <c r="F836" i="17" s="1"/>
  <c r="E836" i="9"/>
  <c r="E836" i="17" s="1"/>
  <c r="K835" i="9"/>
  <c r="I835" i="9"/>
  <c r="E835" i="9"/>
  <c r="E835" i="17" s="1"/>
  <c r="K834" i="9"/>
  <c r="I834" i="9"/>
  <c r="E834" i="9"/>
  <c r="E834" i="17" s="1"/>
  <c r="K833" i="9"/>
  <c r="I833" i="9"/>
  <c r="F833" i="9"/>
  <c r="F833" i="17" s="1"/>
  <c r="E833" i="9"/>
  <c r="E833" i="17" s="1"/>
  <c r="K832" i="9"/>
  <c r="I832" i="9"/>
  <c r="I832" i="17" s="1"/>
  <c r="E832" i="9"/>
  <c r="E832" i="17" s="1"/>
  <c r="K831" i="9"/>
  <c r="I831" i="9"/>
  <c r="I831" i="17" s="1"/>
  <c r="E831" i="9"/>
  <c r="E831" i="17" s="1"/>
  <c r="K830" i="9"/>
  <c r="I830" i="9"/>
  <c r="F830" i="9"/>
  <c r="F830" i="17" s="1"/>
  <c r="E830" i="9"/>
  <c r="E830" i="17" s="1"/>
  <c r="K829" i="9"/>
  <c r="I829" i="9"/>
  <c r="E829" i="9"/>
  <c r="E829" i="17" s="1"/>
  <c r="K828" i="9"/>
  <c r="I828" i="9"/>
  <c r="F828" i="9"/>
  <c r="F828" i="17" s="1"/>
  <c r="E828" i="9"/>
  <c r="E828" i="17" s="1"/>
  <c r="K827" i="9"/>
  <c r="I827" i="9"/>
  <c r="I827" i="17" s="1"/>
  <c r="E827" i="9"/>
  <c r="E827" i="17" s="1"/>
  <c r="K826" i="9"/>
  <c r="I826" i="9"/>
  <c r="I826" i="17" s="1"/>
  <c r="E826" i="9"/>
  <c r="E826" i="17" s="1"/>
  <c r="K825" i="9"/>
  <c r="I825" i="9"/>
  <c r="I825" i="17" s="1"/>
  <c r="F825" i="9"/>
  <c r="F825" i="17" s="1"/>
  <c r="E825" i="9"/>
  <c r="E825" i="17" s="1"/>
  <c r="K824" i="9"/>
  <c r="I824" i="9"/>
  <c r="E824" i="9"/>
  <c r="E824" i="17" s="1"/>
  <c r="K823" i="9"/>
  <c r="I823" i="9"/>
  <c r="I823" i="17" s="1"/>
  <c r="E823" i="9"/>
  <c r="E823" i="17" s="1"/>
  <c r="K822" i="9"/>
  <c r="I822" i="9"/>
  <c r="I822" i="17" s="1"/>
  <c r="F822" i="9"/>
  <c r="F822" i="17" s="1"/>
  <c r="E822" i="9"/>
  <c r="E822" i="17" s="1"/>
  <c r="K821" i="9"/>
  <c r="I821" i="9"/>
  <c r="E821" i="9"/>
  <c r="E821" i="17" s="1"/>
  <c r="K820" i="9"/>
  <c r="I820" i="9"/>
  <c r="I820" i="17" s="1"/>
  <c r="E820" i="9"/>
  <c r="E820" i="17" s="1"/>
  <c r="K819" i="9"/>
  <c r="I819" i="9"/>
  <c r="I819" i="17" s="1"/>
  <c r="F819" i="9"/>
  <c r="F819" i="17" s="1"/>
  <c r="E819" i="9"/>
  <c r="E819" i="17" s="1"/>
  <c r="K818" i="9"/>
  <c r="I818" i="9"/>
  <c r="E818" i="9"/>
  <c r="E818" i="17" s="1"/>
  <c r="K817" i="9"/>
  <c r="I817" i="9"/>
  <c r="I817" i="17" s="1"/>
  <c r="E817" i="9"/>
  <c r="E817" i="17" s="1"/>
  <c r="K816" i="9"/>
  <c r="I816" i="9"/>
  <c r="F816" i="9"/>
  <c r="F816" i="17" s="1"/>
  <c r="E816" i="9"/>
  <c r="E816" i="17" s="1"/>
  <c r="K815" i="9"/>
  <c r="I815" i="9"/>
  <c r="I815" i="17" s="1"/>
  <c r="E815" i="9"/>
  <c r="E815" i="17" s="1"/>
  <c r="K814" i="9"/>
  <c r="I814" i="9"/>
  <c r="I814" i="17" s="1"/>
  <c r="E814" i="9"/>
  <c r="E814" i="17" s="1"/>
  <c r="K813" i="9"/>
  <c r="I813" i="9"/>
  <c r="F813" i="9"/>
  <c r="F813" i="17" s="1"/>
  <c r="E813" i="9"/>
  <c r="E813" i="17" s="1"/>
  <c r="K812" i="9"/>
  <c r="I812" i="9"/>
  <c r="E812" i="9"/>
  <c r="E812" i="17" s="1"/>
  <c r="K811" i="9"/>
  <c r="I811" i="9"/>
  <c r="E811" i="9"/>
  <c r="E811" i="17" s="1"/>
  <c r="K810" i="9"/>
  <c r="I810" i="9"/>
  <c r="I810" i="17" s="1"/>
  <c r="F810" i="9"/>
  <c r="F810" i="17" s="1"/>
  <c r="E810" i="9"/>
  <c r="E810" i="17" s="1"/>
  <c r="K809" i="9"/>
  <c r="I809" i="9"/>
  <c r="I809" i="17" s="1"/>
  <c r="E809" i="9"/>
  <c r="E809" i="17" s="1"/>
  <c r="K808" i="9"/>
  <c r="I808" i="9"/>
  <c r="E808" i="9"/>
  <c r="E808" i="17" s="1"/>
  <c r="K807" i="9"/>
  <c r="I807" i="9"/>
  <c r="I807" i="17" s="1"/>
  <c r="F807" i="9"/>
  <c r="F807" i="17" s="1"/>
  <c r="E807" i="9"/>
  <c r="E807" i="17" s="1"/>
  <c r="K806" i="9"/>
  <c r="I806" i="9"/>
  <c r="I806" i="17" s="1"/>
  <c r="E806" i="9"/>
  <c r="E806" i="17" s="1"/>
  <c r="K805" i="9"/>
  <c r="I805" i="9"/>
  <c r="I805" i="17" s="1"/>
  <c r="E805" i="9"/>
  <c r="E805" i="17" s="1"/>
  <c r="K804" i="9"/>
  <c r="I804" i="9"/>
  <c r="I804" i="17" s="1"/>
  <c r="F804" i="9"/>
  <c r="F804" i="17" s="1"/>
  <c r="E804" i="9"/>
  <c r="E804" i="17" s="1"/>
  <c r="K803" i="9"/>
  <c r="I803" i="9"/>
  <c r="I803" i="17" s="1"/>
  <c r="E803" i="9"/>
  <c r="E803" i="17" s="1"/>
  <c r="K802" i="9"/>
  <c r="I802" i="9"/>
  <c r="I802" i="17" s="1"/>
  <c r="E802" i="9"/>
  <c r="E802" i="17" s="1"/>
  <c r="K801" i="9"/>
  <c r="I801" i="9"/>
  <c r="F801" i="9"/>
  <c r="F801" i="17" s="1"/>
  <c r="E801" i="9"/>
  <c r="E801" i="17" s="1"/>
  <c r="K800" i="9"/>
  <c r="I800" i="9"/>
  <c r="I800" i="17" s="1"/>
  <c r="E800" i="9"/>
  <c r="E800" i="17" s="1"/>
  <c r="K799" i="9"/>
  <c r="I799" i="9"/>
  <c r="I799" i="17" s="1"/>
  <c r="E799" i="9"/>
  <c r="E799" i="17" s="1"/>
  <c r="K798" i="9"/>
  <c r="I798" i="9"/>
  <c r="I798" i="17" s="1"/>
  <c r="F798" i="9"/>
  <c r="F798" i="17" s="1"/>
  <c r="E798" i="9"/>
  <c r="E798" i="17" s="1"/>
  <c r="K797" i="9"/>
  <c r="I797" i="9"/>
  <c r="I797" i="17" s="1"/>
  <c r="E797" i="9"/>
  <c r="E797" i="17" s="1"/>
  <c r="K796" i="9"/>
  <c r="I796" i="9"/>
  <c r="I796" i="17" s="1"/>
  <c r="E796" i="9"/>
  <c r="E796" i="17" s="1"/>
  <c r="K795" i="9"/>
  <c r="I795" i="9"/>
  <c r="F795" i="9"/>
  <c r="F795" i="17" s="1"/>
  <c r="E795" i="9"/>
  <c r="E795" i="17" s="1"/>
  <c r="K794" i="9"/>
  <c r="I794" i="9"/>
  <c r="I794" i="17" s="1"/>
  <c r="E794" i="9"/>
  <c r="E794" i="17" s="1"/>
  <c r="K793" i="9"/>
  <c r="I793" i="9"/>
  <c r="I793" i="17" s="1"/>
  <c r="E793" i="9"/>
  <c r="E793" i="17" s="1"/>
  <c r="K792" i="9"/>
  <c r="I792" i="9"/>
  <c r="F792" i="9"/>
  <c r="F792" i="17" s="1"/>
  <c r="E792" i="9"/>
  <c r="E792" i="17" s="1"/>
  <c r="K791" i="9"/>
  <c r="I791" i="9"/>
  <c r="I791" i="17" s="1"/>
  <c r="F791" i="9"/>
  <c r="F791" i="17" s="1"/>
  <c r="E791" i="9"/>
  <c r="E791" i="17" s="1"/>
  <c r="K790" i="9"/>
  <c r="I790" i="9"/>
  <c r="F790" i="9"/>
  <c r="F790" i="17" s="1"/>
  <c r="E790" i="9"/>
  <c r="E790" i="17" s="1"/>
  <c r="K789" i="9"/>
  <c r="I789" i="9"/>
  <c r="I789" i="17" s="1"/>
  <c r="E789" i="9"/>
  <c r="E789" i="17" s="1"/>
  <c r="K788" i="9"/>
  <c r="I788" i="9"/>
  <c r="I788" i="17" s="1"/>
  <c r="E788" i="9"/>
  <c r="E788" i="17" s="1"/>
  <c r="K787" i="9"/>
  <c r="I787" i="9"/>
  <c r="E787" i="9"/>
  <c r="E787" i="17" s="1"/>
  <c r="K786" i="9"/>
  <c r="I786" i="9"/>
  <c r="E786" i="9"/>
  <c r="E786" i="17" s="1"/>
  <c r="K785" i="9"/>
  <c r="I785" i="9"/>
  <c r="I785" i="17" s="1"/>
  <c r="F785" i="9"/>
  <c r="F785" i="17" s="1"/>
  <c r="E785" i="9"/>
  <c r="E785" i="17" s="1"/>
  <c r="K784" i="9"/>
  <c r="I784" i="9"/>
  <c r="F784" i="9"/>
  <c r="F784" i="17" s="1"/>
  <c r="E784" i="9"/>
  <c r="E784" i="17" s="1"/>
  <c r="K783" i="9"/>
  <c r="I783" i="9"/>
  <c r="I783" i="17" s="1"/>
  <c r="F783" i="9"/>
  <c r="F783" i="17" s="1"/>
  <c r="E783" i="9"/>
  <c r="E783" i="17" s="1"/>
  <c r="K782" i="9"/>
  <c r="I782" i="9"/>
  <c r="I782" i="17" s="1"/>
  <c r="E782" i="9"/>
  <c r="E782" i="17" s="1"/>
  <c r="K781" i="9"/>
  <c r="I781" i="9"/>
  <c r="I781" i="17" s="1"/>
  <c r="E781" i="9"/>
  <c r="E781" i="17" s="1"/>
  <c r="K780" i="9"/>
  <c r="I780" i="9"/>
  <c r="I780" i="17" s="1"/>
  <c r="F780" i="9"/>
  <c r="F780" i="17" s="1"/>
  <c r="E780" i="9"/>
  <c r="E780" i="17" s="1"/>
  <c r="K779" i="9"/>
  <c r="I779" i="9"/>
  <c r="I779" i="17" s="1"/>
  <c r="E779" i="9"/>
  <c r="E779" i="17" s="1"/>
  <c r="K778" i="9"/>
  <c r="I778" i="9"/>
  <c r="I778" i="17" s="1"/>
  <c r="E778" i="9"/>
  <c r="E778" i="17" s="1"/>
  <c r="K777" i="9"/>
  <c r="I777" i="9"/>
  <c r="I777" i="17" s="1"/>
  <c r="E777" i="9"/>
  <c r="E777" i="17" s="1"/>
  <c r="K776" i="9"/>
  <c r="I776" i="9"/>
  <c r="I776" i="17" s="1"/>
  <c r="F776" i="9"/>
  <c r="F776" i="17" s="1"/>
  <c r="E776" i="9"/>
  <c r="E776" i="17" s="1"/>
  <c r="K775" i="9"/>
  <c r="I775" i="9"/>
  <c r="I775" i="17" s="1"/>
  <c r="E775" i="9"/>
  <c r="E775" i="17" s="1"/>
  <c r="K774" i="9"/>
  <c r="I774" i="9"/>
  <c r="I774" i="17" s="1"/>
  <c r="E774" i="9"/>
  <c r="E774" i="17" s="1"/>
  <c r="K773" i="9"/>
  <c r="I773" i="9"/>
  <c r="E773" i="9"/>
  <c r="E773" i="17" s="1"/>
  <c r="K772" i="9"/>
  <c r="I772" i="9"/>
  <c r="E772" i="9"/>
  <c r="E772" i="17" s="1"/>
  <c r="K771" i="9"/>
  <c r="I771" i="9"/>
  <c r="E771" i="9"/>
  <c r="E771" i="17" s="1"/>
  <c r="K770" i="9"/>
  <c r="I770" i="9"/>
  <c r="E770" i="9"/>
  <c r="E770" i="17" s="1"/>
  <c r="K769" i="9"/>
  <c r="I769" i="9"/>
  <c r="I769" i="17" s="1"/>
  <c r="E769" i="9"/>
  <c r="E769" i="17" s="1"/>
  <c r="K768" i="9"/>
  <c r="I768" i="9"/>
  <c r="E768" i="9"/>
  <c r="E768" i="17" s="1"/>
  <c r="K767" i="9"/>
  <c r="I767" i="9"/>
  <c r="I767" i="17" s="1"/>
  <c r="E767" i="9"/>
  <c r="E767" i="17" s="1"/>
  <c r="K766" i="9"/>
  <c r="I766" i="9"/>
  <c r="I766" i="17" s="1"/>
  <c r="F766" i="9"/>
  <c r="F766" i="17" s="1"/>
  <c r="E766" i="9"/>
  <c r="E766" i="17" s="1"/>
  <c r="K765" i="9"/>
  <c r="I765" i="9"/>
  <c r="I765" i="17" s="1"/>
  <c r="F765" i="9"/>
  <c r="F765" i="17" s="1"/>
  <c r="E765" i="9"/>
  <c r="E765" i="17" s="1"/>
  <c r="K764" i="9"/>
  <c r="I764" i="9"/>
  <c r="I764" i="17" s="1"/>
  <c r="F764" i="9"/>
  <c r="F764" i="17" s="1"/>
  <c r="E764" i="9"/>
  <c r="E764" i="17" s="1"/>
  <c r="K763" i="9"/>
  <c r="I763" i="9"/>
  <c r="F763" i="9"/>
  <c r="F763" i="17" s="1"/>
  <c r="E763" i="9"/>
  <c r="E763" i="17" s="1"/>
  <c r="K762" i="9"/>
  <c r="I762" i="9"/>
  <c r="F762" i="9"/>
  <c r="F762" i="17" s="1"/>
  <c r="E762" i="9"/>
  <c r="E762" i="17" s="1"/>
  <c r="K761" i="9"/>
  <c r="I761" i="9"/>
  <c r="I761" i="17" s="1"/>
  <c r="F761" i="9"/>
  <c r="F761" i="17" s="1"/>
  <c r="E761" i="9"/>
  <c r="E761" i="17" s="1"/>
  <c r="K760" i="9"/>
  <c r="I760" i="9"/>
  <c r="F760" i="9"/>
  <c r="F760" i="17" s="1"/>
  <c r="E760" i="9"/>
  <c r="E760" i="17" s="1"/>
  <c r="K759" i="9"/>
  <c r="I759" i="9"/>
  <c r="I759" i="17" s="1"/>
  <c r="F759" i="9"/>
  <c r="F759" i="17" s="1"/>
  <c r="E759" i="9"/>
  <c r="E759" i="17" s="1"/>
  <c r="K758" i="9"/>
  <c r="I758" i="9"/>
  <c r="I758" i="17" s="1"/>
  <c r="E758" i="9"/>
  <c r="E758" i="17" s="1"/>
  <c r="K757" i="9"/>
  <c r="I757" i="9"/>
  <c r="I757" i="17" s="1"/>
  <c r="E757" i="9"/>
  <c r="E757" i="17" s="1"/>
  <c r="K756" i="9"/>
  <c r="I756" i="9"/>
  <c r="I756" i="17" s="1"/>
  <c r="E756" i="9"/>
  <c r="E756" i="17" s="1"/>
  <c r="K755" i="9"/>
  <c r="I755" i="9"/>
  <c r="I755" i="17" s="1"/>
  <c r="E755" i="9"/>
  <c r="E755" i="17" s="1"/>
  <c r="K754" i="9"/>
  <c r="I754" i="9"/>
  <c r="I754" i="17" s="1"/>
  <c r="F754" i="9"/>
  <c r="F754" i="17" s="1"/>
  <c r="E754" i="9"/>
  <c r="E754" i="17" s="1"/>
  <c r="K753" i="9"/>
  <c r="I753" i="9"/>
  <c r="F753" i="9"/>
  <c r="F753" i="17" s="1"/>
  <c r="E753" i="9"/>
  <c r="E753" i="17" s="1"/>
  <c r="K752" i="9"/>
  <c r="I752" i="9"/>
  <c r="I752" i="17" s="1"/>
  <c r="F752" i="9"/>
  <c r="F752" i="17" s="1"/>
  <c r="E752" i="9"/>
  <c r="E752" i="17" s="1"/>
  <c r="K751" i="9"/>
  <c r="I751" i="9"/>
  <c r="F751" i="9"/>
  <c r="F751" i="17" s="1"/>
  <c r="E751" i="9"/>
  <c r="E751" i="17" s="1"/>
  <c r="K750" i="9"/>
  <c r="I750" i="9"/>
  <c r="I750" i="17" s="1"/>
  <c r="F750" i="9"/>
  <c r="F750" i="17" s="1"/>
  <c r="E750" i="9"/>
  <c r="E750" i="17" s="1"/>
  <c r="K749" i="9"/>
  <c r="I749" i="9"/>
  <c r="E749" i="9"/>
  <c r="E749" i="17" s="1"/>
  <c r="K748" i="9"/>
  <c r="I748" i="9"/>
  <c r="I748" i="17" s="1"/>
  <c r="E748" i="9"/>
  <c r="E748" i="17" s="1"/>
  <c r="K747" i="9"/>
  <c r="I747" i="9"/>
  <c r="I747" i="17" s="1"/>
  <c r="E747" i="9"/>
  <c r="E747" i="17" s="1"/>
  <c r="K746" i="9"/>
  <c r="I746" i="9"/>
  <c r="I746" i="17" s="1"/>
  <c r="E746" i="9"/>
  <c r="E746" i="17" s="1"/>
  <c r="K745" i="9"/>
  <c r="I745" i="9"/>
  <c r="I745" i="17" s="1"/>
  <c r="E745" i="9"/>
  <c r="E745" i="17" s="1"/>
  <c r="K744" i="9"/>
  <c r="I744" i="9"/>
  <c r="I744" i="17" s="1"/>
  <c r="E744" i="9"/>
  <c r="E744" i="17" s="1"/>
  <c r="K743" i="9"/>
  <c r="I743" i="9"/>
  <c r="E743" i="9"/>
  <c r="E743" i="17" s="1"/>
  <c r="K742" i="9"/>
  <c r="I742" i="9"/>
  <c r="I742" i="17" s="1"/>
  <c r="E742" i="9"/>
  <c r="E742" i="17" s="1"/>
  <c r="K741" i="9"/>
  <c r="I741" i="9"/>
  <c r="I741" i="17" s="1"/>
  <c r="E741" i="9"/>
  <c r="E741" i="17" s="1"/>
  <c r="K740" i="9"/>
  <c r="I740" i="9"/>
  <c r="I740" i="17" s="1"/>
  <c r="F740" i="9"/>
  <c r="F740" i="17" s="1"/>
  <c r="E740" i="9"/>
  <c r="E740" i="17" s="1"/>
  <c r="K739" i="9"/>
  <c r="I739" i="9"/>
  <c r="I739" i="17" s="1"/>
  <c r="F739" i="9"/>
  <c r="F739" i="17" s="1"/>
  <c r="E739" i="9"/>
  <c r="E739" i="17" s="1"/>
  <c r="K738" i="9"/>
  <c r="I738" i="9"/>
  <c r="F738" i="9"/>
  <c r="F738" i="17" s="1"/>
  <c r="E738" i="9"/>
  <c r="E738" i="17" s="1"/>
  <c r="K737" i="9"/>
  <c r="I737" i="9"/>
  <c r="I737" i="17" s="1"/>
  <c r="F737" i="9"/>
  <c r="F737" i="17" s="1"/>
  <c r="E737" i="9"/>
  <c r="E737" i="17" s="1"/>
  <c r="K736" i="9"/>
  <c r="I736" i="9"/>
  <c r="I736" i="17" s="1"/>
  <c r="F736" i="9"/>
  <c r="F736" i="17" s="1"/>
  <c r="E736" i="9"/>
  <c r="E736" i="17" s="1"/>
  <c r="K735" i="9"/>
  <c r="I735" i="9"/>
  <c r="F735" i="9"/>
  <c r="F735" i="17" s="1"/>
  <c r="E735" i="9"/>
  <c r="E735" i="17" s="1"/>
  <c r="K734" i="9"/>
  <c r="I734" i="9"/>
  <c r="F734" i="9"/>
  <c r="F734" i="17" s="1"/>
  <c r="E734" i="9"/>
  <c r="E734" i="17" s="1"/>
  <c r="K733" i="9"/>
  <c r="I733" i="9"/>
  <c r="I733" i="17" s="1"/>
  <c r="F733" i="9"/>
  <c r="F733" i="17" s="1"/>
  <c r="E733" i="9"/>
  <c r="E733" i="17" s="1"/>
  <c r="K732" i="9"/>
  <c r="I732" i="9"/>
  <c r="F732" i="9"/>
  <c r="F732" i="17" s="1"/>
  <c r="E732" i="9"/>
  <c r="E732" i="17" s="1"/>
  <c r="K731" i="9"/>
  <c r="I731" i="9"/>
  <c r="I731" i="17" s="1"/>
  <c r="F731" i="9"/>
  <c r="F731" i="17" s="1"/>
  <c r="E731" i="9"/>
  <c r="E731" i="17" s="1"/>
  <c r="K730" i="9"/>
  <c r="I730" i="9"/>
  <c r="I730" i="17" s="1"/>
  <c r="F730" i="9"/>
  <c r="F730" i="17" s="1"/>
  <c r="E730" i="9"/>
  <c r="E730" i="17" s="1"/>
  <c r="K729" i="9"/>
  <c r="I729" i="9"/>
  <c r="I729" i="17" s="1"/>
  <c r="F729" i="9"/>
  <c r="F729" i="17" s="1"/>
  <c r="E729" i="9"/>
  <c r="E729" i="17" s="1"/>
  <c r="K728" i="9"/>
  <c r="I728" i="9"/>
  <c r="I728" i="17" s="1"/>
  <c r="F728" i="9"/>
  <c r="F728" i="17" s="1"/>
  <c r="E728" i="9"/>
  <c r="E728" i="17" s="1"/>
  <c r="K727" i="9"/>
  <c r="I727" i="9"/>
  <c r="I727" i="17" s="1"/>
  <c r="F727" i="9"/>
  <c r="F727" i="17" s="1"/>
  <c r="E727" i="9"/>
  <c r="E727" i="17" s="1"/>
  <c r="K726" i="9"/>
  <c r="I726" i="9"/>
  <c r="I726" i="17" s="1"/>
  <c r="F726" i="9"/>
  <c r="F726" i="17" s="1"/>
  <c r="E726" i="9"/>
  <c r="E726" i="17" s="1"/>
  <c r="K725" i="9"/>
  <c r="I725" i="9"/>
  <c r="F725" i="9"/>
  <c r="F725" i="17" s="1"/>
  <c r="E725" i="9"/>
  <c r="E725" i="17" s="1"/>
  <c r="K724" i="9"/>
  <c r="I724" i="9"/>
  <c r="E724" i="9"/>
  <c r="E724" i="17" s="1"/>
  <c r="K723" i="9"/>
  <c r="I723" i="9"/>
  <c r="I723" i="17" s="1"/>
  <c r="E723" i="9"/>
  <c r="E723" i="17" s="1"/>
  <c r="K722" i="9"/>
  <c r="I722" i="9"/>
  <c r="I722" i="17" s="1"/>
  <c r="E722" i="9"/>
  <c r="E722" i="17" s="1"/>
  <c r="K721" i="9"/>
  <c r="I721" i="9"/>
  <c r="E721" i="9"/>
  <c r="E721" i="17" s="1"/>
  <c r="K720" i="9"/>
  <c r="I720" i="9"/>
  <c r="I720" i="17" s="1"/>
  <c r="F720" i="9"/>
  <c r="F720" i="17" s="1"/>
  <c r="E720" i="9"/>
  <c r="E720" i="17" s="1"/>
  <c r="K719" i="9"/>
  <c r="I719" i="9"/>
  <c r="F719" i="9"/>
  <c r="F719" i="17" s="1"/>
  <c r="E719" i="9"/>
  <c r="E719" i="17" s="1"/>
  <c r="K718" i="9"/>
  <c r="I718" i="9"/>
  <c r="I718" i="17" s="1"/>
  <c r="F718" i="9"/>
  <c r="F718" i="17" s="1"/>
  <c r="E718" i="9"/>
  <c r="E718" i="17" s="1"/>
  <c r="K717" i="9"/>
  <c r="I717" i="9"/>
  <c r="I717" i="17" s="1"/>
  <c r="F717" i="9"/>
  <c r="F717" i="17" s="1"/>
  <c r="E717" i="9"/>
  <c r="E717" i="17" s="1"/>
  <c r="K716" i="9"/>
  <c r="I716" i="9"/>
  <c r="I716" i="17" s="1"/>
  <c r="F716" i="9"/>
  <c r="F716" i="17" s="1"/>
  <c r="E716" i="9"/>
  <c r="E716" i="17" s="1"/>
  <c r="K715" i="9"/>
  <c r="I715" i="9"/>
  <c r="F715" i="9"/>
  <c r="F715" i="17" s="1"/>
  <c r="E715" i="9"/>
  <c r="E715" i="17" s="1"/>
  <c r="K714" i="9"/>
  <c r="I714" i="9"/>
  <c r="F714" i="9"/>
  <c r="F714" i="17" s="1"/>
  <c r="E714" i="9"/>
  <c r="E714" i="17" s="1"/>
  <c r="K713" i="9"/>
  <c r="I713" i="9"/>
  <c r="F713" i="9"/>
  <c r="F713" i="17" s="1"/>
  <c r="E713" i="9"/>
  <c r="E713" i="17" s="1"/>
  <c r="K712" i="9"/>
  <c r="I712" i="9"/>
  <c r="I712" i="17" s="1"/>
  <c r="E712" i="9"/>
  <c r="E712" i="17" s="1"/>
  <c r="K711" i="9"/>
  <c r="I711" i="9"/>
  <c r="E711" i="9"/>
  <c r="E711" i="17" s="1"/>
  <c r="K710" i="9"/>
  <c r="I710" i="9"/>
  <c r="I710" i="17" s="1"/>
  <c r="E710" i="9"/>
  <c r="E710" i="17" s="1"/>
  <c r="K709" i="9"/>
  <c r="I709" i="9"/>
  <c r="I709" i="17" s="1"/>
  <c r="F709" i="9"/>
  <c r="F709" i="17" s="1"/>
  <c r="E709" i="9"/>
  <c r="E709" i="17" s="1"/>
  <c r="K708" i="9"/>
  <c r="I708" i="9"/>
  <c r="E708" i="9"/>
  <c r="E708" i="17" s="1"/>
  <c r="K707" i="9"/>
  <c r="I707" i="9"/>
  <c r="I707" i="17" s="1"/>
  <c r="E707" i="9"/>
  <c r="E707" i="17" s="1"/>
  <c r="K706" i="9"/>
  <c r="I706" i="9"/>
  <c r="I706" i="17" s="1"/>
  <c r="E706" i="9"/>
  <c r="E706" i="17" s="1"/>
  <c r="K705" i="9"/>
  <c r="I705" i="9"/>
  <c r="I705" i="17" s="1"/>
  <c r="F705" i="9"/>
  <c r="F705" i="17" s="1"/>
  <c r="E705" i="9"/>
  <c r="E705" i="17" s="1"/>
  <c r="K704" i="9"/>
  <c r="E704" i="9"/>
  <c r="E704" i="17" s="1"/>
  <c r="K703" i="9"/>
  <c r="E703" i="9"/>
  <c r="E703" i="17" s="1"/>
  <c r="K702" i="9"/>
  <c r="E702" i="9"/>
  <c r="E702" i="17" s="1"/>
  <c r="K701" i="9"/>
  <c r="I701" i="9"/>
  <c r="I701" i="17" s="1"/>
  <c r="E701" i="9"/>
  <c r="E701" i="17" s="1"/>
  <c r="K700" i="9"/>
  <c r="I700" i="9"/>
  <c r="I700" i="17" s="1"/>
  <c r="E700" i="9"/>
  <c r="E700" i="17" s="1"/>
  <c r="K699" i="9"/>
  <c r="I699" i="9"/>
  <c r="E699" i="9"/>
  <c r="E699" i="17" s="1"/>
  <c r="K698" i="9"/>
  <c r="I698" i="9"/>
  <c r="F698" i="9"/>
  <c r="F698" i="17" s="1"/>
  <c r="E698" i="9"/>
  <c r="E698" i="17" s="1"/>
  <c r="K697" i="9"/>
  <c r="I697" i="9"/>
  <c r="I697" i="17" s="1"/>
  <c r="F697" i="9"/>
  <c r="F697" i="17" s="1"/>
  <c r="E697" i="9"/>
  <c r="E697" i="17" s="1"/>
  <c r="K696" i="9"/>
  <c r="I696" i="9"/>
  <c r="I696" i="17" s="1"/>
  <c r="F696" i="9"/>
  <c r="F696" i="17" s="1"/>
  <c r="E696" i="9"/>
  <c r="E696" i="17" s="1"/>
  <c r="K695" i="9"/>
  <c r="I695" i="9"/>
  <c r="F695" i="9"/>
  <c r="F695" i="17" s="1"/>
  <c r="E695" i="9"/>
  <c r="E695" i="17" s="1"/>
  <c r="K694" i="9"/>
  <c r="I694" i="9"/>
  <c r="I694" i="17" s="1"/>
  <c r="F694" i="9"/>
  <c r="F694" i="17" s="1"/>
  <c r="E694" i="9"/>
  <c r="E694" i="17" s="1"/>
  <c r="K693" i="9"/>
  <c r="I693" i="9"/>
  <c r="F693" i="9"/>
  <c r="F693" i="17" s="1"/>
  <c r="E693" i="9"/>
  <c r="E693" i="17" s="1"/>
  <c r="K692" i="9"/>
  <c r="I692" i="9"/>
  <c r="I692" i="17" s="1"/>
  <c r="F692" i="9"/>
  <c r="F692" i="17" s="1"/>
  <c r="E692" i="9"/>
  <c r="E692" i="17" s="1"/>
  <c r="K691" i="9"/>
  <c r="I691" i="9"/>
  <c r="I691" i="17" s="1"/>
  <c r="F691" i="9"/>
  <c r="F691" i="17" s="1"/>
  <c r="E691" i="9"/>
  <c r="E691" i="17" s="1"/>
  <c r="K690" i="9"/>
  <c r="E690" i="9"/>
  <c r="E690" i="17" s="1"/>
  <c r="K689" i="9"/>
  <c r="I689" i="9"/>
  <c r="I689" i="17" s="1"/>
  <c r="E689" i="9"/>
  <c r="E689" i="17" s="1"/>
  <c r="K688" i="9"/>
  <c r="E688" i="9"/>
  <c r="E688" i="17" s="1"/>
  <c r="K687" i="9"/>
  <c r="E687" i="9"/>
  <c r="E687" i="17" s="1"/>
  <c r="K686" i="9"/>
  <c r="I686" i="9"/>
  <c r="I686" i="17" s="1"/>
  <c r="E686" i="9"/>
  <c r="E686" i="17" s="1"/>
  <c r="K685" i="9"/>
  <c r="I685" i="9"/>
  <c r="F685" i="9"/>
  <c r="F685" i="17" s="1"/>
  <c r="E685" i="9"/>
  <c r="E685" i="17" s="1"/>
  <c r="K684" i="9"/>
  <c r="I684" i="9"/>
  <c r="F684" i="9"/>
  <c r="F684" i="17" s="1"/>
  <c r="E684" i="9"/>
  <c r="E684" i="17" s="1"/>
  <c r="K683" i="9"/>
  <c r="I683" i="9"/>
  <c r="I683" i="17" s="1"/>
  <c r="F683" i="9"/>
  <c r="F683" i="17" s="1"/>
  <c r="E683" i="9"/>
  <c r="E683" i="17" s="1"/>
  <c r="K682" i="9"/>
  <c r="I682" i="9"/>
  <c r="F682" i="9"/>
  <c r="F682" i="17" s="1"/>
  <c r="E682" i="9"/>
  <c r="E682" i="17" s="1"/>
  <c r="K681" i="9"/>
  <c r="I681" i="9"/>
  <c r="I681" i="17" s="1"/>
  <c r="F681" i="9"/>
  <c r="F681" i="17" s="1"/>
  <c r="E681" i="9"/>
  <c r="E681" i="17" s="1"/>
  <c r="K680" i="9"/>
  <c r="I680" i="9"/>
  <c r="I680" i="17" s="1"/>
  <c r="F680" i="9"/>
  <c r="F680" i="17" s="1"/>
  <c r="E680" i="9"/>
  <c r="E680" i="17" s="1"/>
  <c r="K679" i="9"/>
  <c r="I679" i="9"/>
  <c r="I679" i="17" s="1"/>
  <c r="F679" i="9"/>
  <c r="F679" i="17" s="1"/>
  <c r="E679" i="9"/>
  <c r="E679" i="17" s="1"/>
  <c r="K678" i="9"/>
  <c r="I678" i="9"/>
  <c r="I678" i="17" s="1"/>
  <c r="F678" i="9"/>
  <c r="F678" i="17" s="1"/>
  <c r="E678" i="9"/>
  <c r="E678" i="17" s="1"/>
  <c r="K677" i="9"/>
  <c r="I677" i="9"/>
  <c r="I677" i="17" s="1"/>
  <c r="E677" i="9"/>
  <c r="E677" i="17" s="1"/>
  <c r="K676" i="9"/>
  <c r="E676" i="9"/>
  <c r="E676" i="17" s="1"/>
  <c r="K675" i="9"/>
  <c r="I675" i="9"/>
  <c r="I675" i="17" s="1"/>
  <c r="E675" i="9"/>
  <c r="E675" i="17" s="1"/>
  <c r="K674" i="9"/>
  <c r="I674" i="9"/>
  <c r="I674" i="17" s="1"/>
  <c r="F674" i="9"/>
  <c r="F674" i="17" s="1"/>
  <c r="E674" i="9"/>
  <c r="E674" i="17" s="1"/>
  <c r="K673" i="9"/>
  <c r="I673" i="9"/>
  <c r="I673" i="17" s="1"/>
  <c r="F673" i="9"/>
  <c r="F673" i="17" s="1"/>
  <c r="E673" i="9"/>
  <c r="E673" i="17" s="1"/>
  <c r="K672" i="9"/>
  <c r="I672" i="9"/>
  <c r="I672" i="17" s="1"/>
  <c r="F672" i="9"/>
  <c r="F672" i="17" s="1"/>
  <c r="E672" i="9"/>
  <c r="E672" i="17" s="1"/>
  <c r="K671" i="9"/>
  <c r="I671" i="9"/>
  <c r="F671" i="9"/>
  <c r="F671" i="17" s="1"/>
  <c r="E671" i="9"/>
  <c r="E671" i="17" s="1"/>
  <c r="K670" i="9"/>
  <c r="I670" i="9"/>
  <c r="I670" i="17" s="1"/>
  <c r="F670" i="9"/>
  <c r="F670" i="17" s="1"/>
  <c r="E670" i="9"/>
  <c r="E670" i="17" s="1"/>
  <c r="K669" i="9"/>
  <c r="I669" i="9"/>
  <c r="F669" i="9"/>
  <c r="F669" i="17" s="1"/>
  <c r="E669" i="9"/>
  <c r="E669" i="17" s="1"/>
  <c r="K668" i="9"/>
  <c r="I668" i="9"/>
  <c r="I668" i="17" s="1"/>
  <c r="F668" i="9"/>
  <c r="F668" i="17" s="1"/>
  <c r="E668" i="9"/>
  <c r="E668" i="17" s="1"/>
  <c r="K667" i="9"/>
  <c r="I667" i="9"/>
  <c r="I667" i="17" s="1"/>
  <c r="F667" i="9"/>
  <c r="F667" i="17" s="1"/>
  <c r="E667" i="9"/>
  <c r="E667" i="17" s="1"/>
  <c r="K666" i="9"/>
  <c r="I666" i="9"/>
  <c r="F666" i="9"/>
  <c r="F666" i="17" s="1"/>
  <c r="E666" i="9"/>
  <c r="E666" i="17" s="1"/>
  <c r="K665" i="9"/>
  <c r="I665" i="9"/>
  <c r="F665" i="9"/>
  <c r="F665" i="17" s="1"/>
  <c r="E665" i="9"/>
  <c r="E665" i="17" s="1"/>
  <c r="K664" i="9"/>
  <c r="I664" i="9"/>
  <c r="I664" i="17" s="1"/>
  <c r="E664" i="9"/>
  <c r="E664" i="17" s="1"/>
  <c r="K663" i="9"/>
  <c r="E663" i="9"/>
  <c r="E663" i="17" s="1"/>
  <c r="K662" i="9"/>
  <c r="I662" i="9"/>
  <c r="I662" i="17" s="1"/>
  <c r="E662" i="9"/>
  <c r="E662" i="17" s="1"/>
  <c r="K661" i="9"/>
  <c r="I661" i="9"/>
  <c r="I661" i="17" s="1"/>
  <c r="E661" i="9"/>
  <c r="E661" i="17" s="1"/>
  <c r="K660" i="9"/>
  <c r="I660" i="9"/>
  <c r="I660" i="17" s="1"/>
  <c r="F660" i="9"/>
  <c r="F660" i="17" s="1"/>
  <c r="E660" i="9"/>
  <c r="E660" i="17" s="1"/>
  <c r="K659" i="9"/>
  <c r="I659" i="9"/>
  <c r="F659" i="9"/>
  <c r="F659" i="17" s="1"/>
  <c r="E659" i="9"/>
  <c r="E659" i="17" s="1"/>
  <c r="K658" i="9"/>
  <c r="I658" i="9"/>
  <c r="F658" i="9"/>
  <c r="F658" i="17" s="1"/>
  <c r="E658" i="9"/>
  <c r="E658" i="17" s="1"/>
  <c r="K657" i="9"/>
  <c r="I657" i="9"/>
  <c r="F657" i="9"/>
  <c r="F657" i="17" s="1"/>
  <c r="E657" i="9"/>
  <c r="E657" i="17" s="1"/>
  <c r="K656" i="9"/>
  <c r="I656" i="9"/>
  <c r="I656" i="17" s="1"/>
  <c r="F656" i="9"/>
  <c r="F656" i="17" s="1"/>
  <c r="E656" i="9"/>
  <c r="E656" i="17" s="1"/>
  <c r="K655" i="9"/>
  <c r="E655" i="9"/>
  <c r="E655" i="17" s="1"/>
  <c r="K654" i="9"/>
  <c r="I654" i="9"/>
  <c r="E654" i="9"/>
  <c r="E654" i="17" s="1"/>
  <c r="K653" i="9"/>
  <c r="I653" i="9"/>
  <c r="I653" i="17" s="1"/>
  <c r="F653" i="9"/>
  <c r="F653" i="17" s="1"/>
  <c r="E653" i="9"/>
  <c r="E653" i="17" s="1"/>
  <c r="K652" i="9"/>
  <c r="I652" i="9"/>
  <c r="F652" i="9"/>
  <c r="F652" i="17" s="1"/>
  <c r="E652" i="9"/>
  <c r="E652" i="17" s="1"/>
  <c r="K651" i="9"/>
  <c r="I651" i="9"/>
  <c r="I651" i="17" s="1"/>
  <c r="F651" i="9"/>
  <c r="F651" i="17" s="1"/>
  <c r="E651" i="9"/>
  <c r="E651" i="17" s="1"/>
  <c r="K650" i="9"/>
  <c r="I650" i="9"/>
  <c r="I650" i="17" s="1"/>
  <c r="F650" i="9"/>
  <c r="F650" i="17" s="1"/>
  <c r="E650" i="9"/>
  <c r="E650" i="17" s="1"/>
  <c r="K649" i="9"/>
  <c r="I649" i="9"/>
  <c r="F649" i="9"/>
  <c r="F649" i="17" s="1"/>
  <c r="E649" i="9"/>
  <c r="E649" i="17" s="1"/>
  <c r="K648" i="9"/>
  <c r="I648" i="9"/>
  <c r="F648" i="9"/>
  <c r="F648" i="17" s="1"/>
  <c r="E648" i="9"/>
  <c r="E648" i="17" s="1"/>
  <c r="K647" i="9"/>
  <c r="I647" i="9"/>
  <c r="F647" i="9"/>
  <c r="F647" i="17" s="1"/>
  <c r="E647" i="9"/>
  <c r="E647" i="17" s="1"/>
  <c r="K646" i="9"/>
  <c r="I646" i="9"/>
  <c r="I646" i="17" s="1"/>
  <c r="E646" i="9"/>
  <c r="E646" i="17" s="1"/>
  <c r="K645" i="9"/>
  <c r="E645" i="9"/>
  <c r="E645" i="17" s="1"/>
  <c r="K644" i="9"/>
  <c r="I644" i="9"/>
  <c r="I644" i="17" s="1"/>
  <c r="E644" i="9"/>
  <c r="E644" i="17" s="1"/>
  <c r="K643" i="9"/>
  <c r="I643" i="9"/>
  <c r="I643" i="17" s="1"/>
  <c r="E643" i="9"/>
  <c r="E643" i="17" s="1"/>
  <c r="K642" i="9"/>
  <c r="I642" i="9"/>
  <c r="F642" i="9"/>
  <c r="F642" i="17" s="1"/>
  <c r="E642" i="9"/>
  <c r="E642" i="17" s="1"/>
  <c r="K641" i="9"/>
  <c r="I641" i="9"/>
  <c r="I641" i="17" s="1"/>
  <c r="F641" i="9"/>
  <c r="F641" i="17" s="1"/>
  <c r="E641" i="9"/>
  <c r="E641" i="17" s="1"/>
  <c r="K640" i="9"/>
  <c r="I640" i="9"/>
  <c r="I640" i="17" s="1"/>
  <c r="F640" i="9"/>
  <c r="F640" i="17" s="1"/>
  <c r="E640" i="9"/>
  <c r="E640" i="17" s="1"/>
  <c r="K639" i="9"/>
  <c r="I639" i="9"/>
  <c r="I639" i="17" s="1"/>
  <c r="F639" i="9"/>
  <c r="F639" i="17" s="1"/>
  <c r="E639" i="9"/>
  <c r="E639" i="17" s="1"/>
  <c r="K638" i="9"/>
  <c r="I638" i="9"/>
  <c r="I638" i="17" s="1"/>
  <c r="F638" i="9"/>
  <c r="F638" i="17" s="1"/>
  <c r="E638" i="9"/>
  <c r="E638" i="17" s="1"/>
  <c r="K637" i="9"/>
  <c r="E637" i="9"/>
  <c r="E637" i="17" s="1"/>
  <c r="K636" i="9"/>
  <c r="E636" i="9"/>
  <c r="E636" i="17" s="1"/>
  <c r="K635" i="9"/>
  <c r="I635" i="9"/>
  <c r="I635" i="17" s="1"/>
  <c r="E635" i="9"/>
  <c r="E635" i="17" s="1"/>
  <c r="K634" i="9"/>
  <c r="I634" i="9"/>
  <c r="E634" i="9"/>
  <c r="E634" i="17" s="1"/>
  <c r="K633" i="9"/>
  <c r="I633" i="9"/>
  <c r="I633" i="17" s="1"/>
  <c r="F633" i="9"/>
  <c r="F633" i="17" s="1"/>
  <c r="E633" i="9"/>
  <c r="E633" i="17" s="1"/>
  <c r="K632" i="9"/>
  <c r="I632" i="9"/>
  <c r="I632" i="17" s="1"/>
  <c r="F632" i="9"/>
  <c r="F632" i="17" s="1"/>
  <c r="E632" i="9"/>
  <c r="E632" i="17" s="1"/>
  <c r="K631" i="9"/>
  <c r="I631" i="9"/>
  <c r="I631" i="17" s="1"/>
  <c r="F631" i="9"/>
  <c r="F631" i="17" s="1"/>
  <c r="E631" i="9"/>
  <c r="E631" i="17" s="1"/>
  <c r="K630" i="9"/>
  <c r="I630" i="9"/>
  <c r="I630" i="17" s="1"/>
  <c r="F630" i="9"/>
  <c r="F630" i="17" s="1"/>
  <c r="E630" i="9"/>
  <c r="E630" i="17" s="1"/>
  <c r="K629" i="9"/>
  <c r="I629" i="9"/>
  <c r="I629" i="17" s="1"/>
  <c r="F629" i="9"/>
  <c r="F629" i="17" s="1"/>
  <c r="E629" i="9"/>
  <c r="E629" i="17" s="1"/>
  <c r="K628" i="9"/>
  <c r="I628" i="9"/>
  <c r="F628" i="9"/>
  <c r="F628" i="17" s="1"/>
  <c r="E628" i="9"/>
  <c r="E628" i="17" s="1"/>
  <c r="K627" i="9"/>
  <c r="I627" i="9"/>
  <c r="F627" i="9"/>
  <c r="F627" i="17" s="1"/>
  <c r="E627" i="9"/>
  <c r="E627" i="17" s="1"/>
  <c r="K626" i="9"/>
  <c r="I626" i="9"/>
  <c r="I626" i="17" s="1"/>
  <c r="F626" i="9"/>
  <c r="F626" i="17" s="1"/>
  <c r="E626" i="9"/>
  <c r="E626" i="17" s="1"/>
  <c r="K625" i="9"/>
  <c r="I625" i="9"/>
  <c r="I625" i="17" s="1"/>
  <c r="F625" i="9"/>
  <c r="F625" i="17" s="1"/>
  <c r="E625" i="9"/>
  <c r="E625" i="17" s="1"/>
  <c r="K624" i="9"/>
  <c r="I624" i="9"/>
  <c r="I624" i="17" s="1"/>
  <c r="E624" i="9"/>
  <c r="E624" i="17" s="1"/>
  <c r="K623" i="9"/>
  <c r="E623" i="9"/>
  <c r="E623" i="17" s="1"/>
  <c r="K622" i="9"/>
  <c r="I622" i="9"/>
  <c r="I622" i="17" s="1"/>
  <c r="E622" i="9"/>
  <c r="E622" i="17" s="1"/>
  <c r="K621" i="9"/>
  <c r="I621" i="9"/>
  <c r="I621" i="17" s="1"/>
  <c r="E621" i="9"/>
  <c r="E621" i="17" s="1"/>
  <c r="K620" i="9"/>
  <c r="I620" i="9"/>
  <c r="F620" i="9"/>
  <c r="F620" i="17" s="1"/>
  <c r="E620" i="9"/>
  <c r="E620" i="17" s="1"/>
  <c r="K619" i="9"/>
  <c r="I619" i="9"/>
  <c r="F619" i="9"/>
  <c r="F619" i="17" s="1"/>
  <c r="E619" i="9"/>
  <c r="E619" i="17" s="1"/>
  <c r="K618" i="9"/>
  <c r="I618" i="9"/>
  <c r="I618" i="17" s="1"/>
  <c r="F618" i="9"/>
  <c r="F618" i="17" s="1"/>
  <c r="E618" i="9"/>
  <c r="E618" i="17" s="1"/>
  <c r="K617" i="9"/>
  <c r="I617" i="9"/>
  <c r="I617" i="17" s="1"/>
  <c r="F617" i="9"/>
  <c r="F617" i="17" s="1"/>
  <c r="E617" i="9"/>
  <c r="E617" i="17" s="1"/>
  <c r="K616" i="9"/>
  <c r="I616" i="9"/>
  <c r="I616" i="17" s="1"/>
  <c r="F616" i="9"/>
  <c r="F616" i="17" s="1"/>
  <c r="E616" i="9"/>
  <c r="E616" i="17" s="1"/>
  <c r="K615" i="9"/>
  <c r="I615" i="9"/>
  <c r="I615" i="17" s="1"/>
  <c r="F615" i="9"/>
  <c r="F615" i="17" s="1"/>
  <c r="E615" i="9"/>
  <c r="E615" i="17" s="1"/>
  <c r="K614" i="9"/>
  <c r="I614" i="9"/>
  <c r="I614" i="17" s="1"/>
  <c r="F614" i="9"/>
  <c r="F614" i="17" s="1"/>
  <c r="E614" i="9"/>
  <c r="E614" i="17" s="1"/>
  <c r="K613" i="9"/>
  <c r="I613" i="9"/>
  <c r="F613" i="9"/>
  <c r="F613" i="17" s="1"/>
  <c r="E613" i="9"/>
  <c r="E613" i="17" s="1"/>
  <c r="K612" i="9"/>
  <c r="I612" i="9"/>
  <c r="I612" i="17" s="1"/>
  <c r="F612" i="9"/>
  <c r="F612" i="17" s="1"/>
  <c r="E612" i="9"/>
  <c r="E612" i="17" s="1"/>
  <c r="K611" i="9"/>
  <c r="I611" i="9"/>
  <c r="F611" i="9"/>
  <c r="F611" i="17" s="1"/>
  <c r="E611" i="9"/>
  <c r="E611" i="17" s="1"/>
  <c r="K610" i="9"/>
  <c r="I610" i="9"/>
  <c r="E610" i="9"/>
  <c r="E610" i="17" s="1"/>
  <c r="K609" i="9"/>
  <c r="E609" i="9"/>
  <c r="E609" i="17" s="1"/>
  <c r="K608" i="9"/>
  <c r="I608" i="9"/>
  <c r="I608" i="17" s="1"/>
  <c r="E608" i="9"/>
  <c r="E608" i="17" s="1"/>
  <c r="K607" i="9"/>
  <c r="I607" i="9"/>
  <c r="I607" i="17" s="1"/>
  <c r="E607" i="9"/>
  <c r="E607" i="17" s="1"/>
  <c r="K606" i="9"/>
  <c r="I606" i="9"/>
  <c r="I606" i="17" s="1"/>
  <c r="E606" i="9"/>
  <c r="E606" i="17" s="1"/>
  <c r="K605" i="9"/>
  <c r="I605" i="9"/>
  <c r="F605" i="9"/>
  <c r="F605" i="17" s="1"/>
  <c r="E605" i="9"/>
  <c r="E605" i="17" s="1"/>
  <c r="K604" i="9"/>
  <c r="I604" i="9"/>
  <c r="F604" i="9"/>
  <c r="F604" i="17" s="1"/>
  <c r="E604" i="9"/>
  <c r="E604" i="17" s="1"/>
  <c r="K603" i="9"/>
  <c r="I603" i="9"/>
  <c r="I603" i="17" s="1"/>
  <c r="F603" i="9"/>
  <c r="F603" i="17" s="1"/>
  <c r="E603" i="9"/>
  <c r="E603" i="17" s="1"/>
  <c r="K602" i="9"/>
  <c r="I602" i="9"/>
  <c r="F602" i="9"/>
  <c r="F602" i="17" s="1"/>
  <c r="E602" i="9"/>
  <c r="E602" i="17" s="1"/>
  <c r="K601" i="9"/>
  <c r="I601" i="9"/>
  <c r="I601" i="17" s="1"/>
  <c r="F601" i="9"/>
  <c r="F601" i="17" s="1"/>
  <c r="E601" i="9"/>
  <c r="E601" i="17" s="1"/>
  <c r="K600" i="9"/>
  <c r="I600" i="9"/>
  <c r="I600" i="17" s="1"/>
  <c r="F600" i="9"/>
  <c r="F600" i="17" s="1"/>
  <c r="E600" i="9"/>
  <c r="E600" i="17" s="1"/>
  <c r="K599" i="9"/>
  <c r="E599" i="9"/>
  <c r="E599" i="17" s="1"/>
  <c r="K598" i="9"/>
  <c r="I598" i="9"/>
  <c r="I598" i="17" s="1"/>
  <c r="E598" i="9"/>
  <c r="E598" i="17" s="1"/>
  <c r="K597" i="9"/>
  <c r="E597" i="9"/>
  <c r="E597" i="17" s="1"/>
  <c r="K596" i="9"/>
  <c r="E596" i="9"/>
  <c r="E596" i="17" s="1"/>
  <c r="K595" i="9"/>
  <c r="I595" i="9"/>
  <c r="I595" i="17" s="1"/>
  <c r="E595" i="9"/>
  <c r="E595" i="17" s="1"/>
  <c r="K594" i="9"/>
  <c r="I594" i="9"/>
  <c r="I594" i="17" s="1"/>
  <c r="F594" i="9"/>
  <c r="F594" i="17" s="1"/>
  <c r="E594" i="9"/>
  <c r="E594" i="17" s="1"/>
  <c r="K593" i="9"/>
  <c r="I593" i="9"/>
  <c r="F593" i="9"/>
  <c r="F593" i="17" s="1"/>
  <c r="E593" i="9"/>
  <c r="E593" i="17" s="1"/>
  <c r="K592" i="9"/>
  <c r="I592" i="9"/>
  <c r="I592" i="17" s="1"/>
  <c r="F592" i="9"/>
  <c r="F592" i="17" s="1"/>
  <c r="E592" i="9"/>
  <c r="E592" i="17" s="1"/>
  <c r="K591" i="9"/>
  <c r="I591" i="9"/>
  <c r="I591" i="17" s="1"/>
  <c r="F591" i="9"/>
  <c r="F591" i="17" s="1"/>
  <c r="E591" i="9"/>
  <c r="E591" i="17" s="1"/>
  <c r="K590" i="9"/>
  <c r="I590" i="9"/>
  <c r="I590" i="17" s="1"/>
  <c r="F590" i="9"/>
  <c r="F590" i="17" s="1"/>
  <c r="E590" i="9"/>
  <c r="E590" i="17" s="1"/>
  <c r="K589" i="9"/>
  <c r="I589" i="9"/>
  <c r="I589" i="17" s="1"/>
  <c r="F589" i="9"/>
  <c r="F589" i="17" s="1"/>
  <c r="E589" i="9"/>
  <c r="E589" i="17" s="1"/>
  <c r="K588" i="9"/>
  <c r="I588" i="9"/>
  <c r="I588" i="17" s="1"/>
  <c r="F588" i="9"/>
  <c r="F588" i="17" s="1"/>
  <c r="E588" i="9"/>
  <c r="E588" i="17" s="1"/>
  <c r="K587" i="9"/>
  <c r="I587" i="9"/>
  <c r="I587" i="17" s="1"/>
  <c r="F587" i="9"/>
  <c r="F587" i="17" s="1"/>
  <c r="E587" i="9"/>
  <c r="E587" i="17" s="1"/>
  <c r="K586" i="9"/>
  <c r="I586" i="9"/>
  <c r="E586" i="9"/>
  <c r="E586" i="17" s="1"/>
  <c r="K585" i="9"/>
  <c r="E585" i="9"/>
  <c r="E585" i="17" s="1"/>
  <c r="K584" i="9"/>
  <c r="I584" i="9"/>
  <c r="I584" i="17" s="1"/>
  <c r="E584" i="9"/>
  <c r="E584" i="17" s="1"/>
  <c r="K583" i="9"/>
  <c r="I583" i="9"/>
  <c r="F583" i="9"/>
  <c r="F583" i="17" s="1"/>
  <c r="E583" i="9"/>
  <c r="E583" i="17" s="1"/>
  <c r="K582" i="9"/>
  <c r="I582" i="9"/>
  <c r="I582" i="17" s="1"/>
  <c r="F582" i="9"/>
  <c r="F582" i="17" s="1"/>
  <c r="E582" i="9"/>
  <c r="E582" i="17" s="1"/>
  <c r="K581" i="9"/>
  <c r="I581" i="9"/>
  <c r="F581" i="9"/>
  <c r="F581" i="17" s="1"/>
  <c r="E581" i="9"/>
  <c r="E581" i="17" s="1"/>
  <c r="K580" i="9"/>
  <c r="I580" i="9"/>
  <c r="F580" i="9"/>
  <c r="F580" i="17" s="1"/>
  <c r="E580" i="9"/>
  <c r="E580" i="17" s="1"/>
  <c r="K579" i="9"/>
  <c r="I579" i="9"/>
  <c r="F579" i="9"/>
  <c r="F579" i="17" s="1"/>
  <c r="E579" i="9"/>
  <c r="E579" i="17" s="1"/>
  <c r="K578" i="9"/>
  <c r="I578" i="9"/>
  <c r="F578" i="9"/>
  <c r="F578" i="17" s="1"/>
  <c r="E578" i="9"/>
  <c r="E578" i="17" s="1"/>
  <c r="K577" i="9"/>
  <c r="I577" i="9"/>
  <c r="I577" i="17" s="1"/>
  <c r="F577" i="9"/>
  <c r="F577" i="17" s="1"/>
  <c r="E577" i="9"/>
  <c r="E577" i="17" s="1"/>
  <c r="K576" i="9"/>
  <c r="I576" i="9"/>
  <c r="F576" i="9"/>
  <c r="F576" i="17" s="1"/>
  <c r="E576" i="9"/>
  <c r="E576" i="17" s="1"/>
  <c r="K575" i="9"/>
  <c r="I575" i="9"/>
  <c r="I575" i="17" s="1"/>
  <c r="E575" i="9"/>
  <c r="E575" i="17" s="1"/>
  <c r="K574" i="9"/>
  <c r="E574" i="9"/>
  <c r="E574" i="17" s="1"/>
  <c r="K573" i="9"/>
  <c r="I573" i="9"/>
  <c r="I573" i="17" s="1"/>
  <c r="E573" i="9"/>
  <c r="E573" i="17" s="1"/>
  <c r="K572" i="9"/>
  <c r="I572" i="9"/>
  <c r="I572" i="17" s="1"/>
  <c r="E572" i="9"/>
  <c r="E572" i="17" s="1"/>
  <c r="K571" i="9"/>
  <c r="I571" i="9"/>
  <c r="I571" i="17" s="1"/>
  <c r="F571" i="9"/>
  <c r="F571" i="17" s="1"/>
  <c r="E571" i="9"/>
  <c r="E571" i="17" s="1"/>
  <c r="K570" i="9"/>
  <c r="I570" i="9"/>
  <c r="F570" i="9"/>
  <c r="F570" i="17" s="1"/>
  <c r="E570" i="9"/>
  <c r="E570" i="17" s="1"/>
  <c r="K569" i="9"/>
  <c r="I569" i="9"/>
  <c r="F569" i="9"/>
  <c r="F569" i="17" s="1"/>
  <c r="E569" i="9"/>
  <c r="E569" i="17" s="1"/>
  <c r="K568" i="9"/>
  <c r="I568" i="9"/>
  <c r="F568" i="9"/>
  <c r="F568" i="17" s="1"/>
  <c r="E568" i="9"/>
  <c r="E568" i="17" s="1"/>
  <c r="K567" i="9"/>
  <c r="I567" i="9"/>
  <c r="I567" i="17" s="1"/>
  <c r="F567" i="9"/>
  <c r="F567" i="17" s="1"/>
  <c r="E567" i="9"/>
  <c r="E567" i="17" s="1"/>
  <c r="K566" i="9"/>
  <c r="I566" i="9"/>
  <c r="I566" i="17" s="1"/>
  <c r="F566" i="9"/>
  <c r="F566" i="17" s="1"/>
  <c r="E566" i="9"/>
  <c r="E566" i="17" s="1"/>
  <c r="K565" i="9"/>
  <c r="I565" i="9"/>
  <c r="I565" i="17" s="1"/>
  <c r="F565" i="9"/>
  <c r="F565" i="17" s="1"/>
  <c r="E565" i="9"/>
  <c r="E565" i="17" s="1"/>
  <c r="K564" i="9"/>
  <c r="I564" i="9"/>
  <c r="F564" i="9"/>
  <c r="F564" i="17" s="1"/>
  <c r="E564" i="9"/>
  <c r="E564" i="17" s="1"/>
  <c r="K563" i="9"/>
  <c r="I563" i="9"/>
  <c r="I563" i="17" s="1"/>
  <c r="F563" i="9"/>
  <c r="F563" i="17" s="1"/>
  <c r="E563" i="9"/>
  <c r="E563" i="17" s="1"/>
  <c r="K562" i="9"/>
  <c r="I562" i="9"/>
  <c r="I562" i="17" s="1"/>
  <c r="F562" i="9"/>
  <c r="F562" i="17" s="1"/>
  <c r="E562" i="9"/>
  <c r="E562" i="17" s="1"/>
  <c r="K561" i="9"/>
  <c r="I561" i="9"/>
  <c r="E561" i="9"/>
  <c r="E561" i="17" s="1"/>
  <c r="K560" i="9"/>
  <c r="E560" i="9"/>
  <c r="E560" i="17" s="1"/>
  <c r="K559" i="9"/>
  <c r="E559" i="9"/>
  <c r="E559" i="17" s="1"/>
  <c r="K558" i="9"/>
  <c r="I558" i="9"/>
  <c r="E558" i="9"/>
  <c r="E558" i="17" s="1"/>
  <c r="K557" i="9"/>
  <c r="I557" i="9"/>
  <c r="I557" i="17" s="1"/>
  <c r="E557" i="9"/>
  <c r="E557" i="17" s="1"/>
  <c r="K556" i="9"/>
  <c r="I556" i="9"/>
  <c r="I556" i="17" s="1"/>
  <c r="F556" i="9"/>
  <c r="F556" i="17" s="1"/>
  <c r="E556" i="9"/>
  <c r="E556" i="17" s="1"/>
  <c r="K555" i="9"/>
  <c r="I555" i="9"/>
  <c r="I555" i="17" s="1"/>
  <c r="F555" i="9"/>
  <c r="F555" i="17" s="1"/>
  <c r="E555" i="9"/>
  <c r="E555" i="17" s="1"/>
  <c r="K554" i="9"/>
  <c r="I554" i="9"/>
  <c r="I554" i="17" s="1"/>
  <c r="F554" i="9"/>
  <c r="F554" i="17" s="1"/>
  <c r="E554" i="9"/>
  <c r="E554" i="17" s="1"/>
  <c r="K553" i="9"/>
  <c r="I553" i="9"/>
  <c r="F553" i="9"/>
  <c r="F553" i="17" s="1"/>
  <c r="E553" i="9"/>
  <c r="E553" i="17" s="1"/>
  <c r="K552" i="9"/>
  <c r="I552" i="9"/>
  <c r="I552" i="17" s="1"/>
  <c r="F552" i="9"/>
  <c r="F552" i="17" s="1"/>
  <c r="E552" i="9"/>
  <c r="E552" i="17" s="1"/>
  <c r="K551" i="9"/>
  <c r="I551" i="9"/>
  <c r="F551" i="9"/>
  <c r="F551" i="17" s="1"/>
  <c r="E551" i="9"/>
  <c r="E551" i="17" s="1"/>
  <c r="K550" i="9"/>
  <c r="I550" i="9"/>
  <c r="I550" i="17" s="1"/>
  <c r="F550" i="9"/>
  <c r="F550" i="17" s="1"/>
  <c r="E550" i="9"/>
  <c r="E550" i="17" s="1"/>
  <c r="K549" i="9"/>
  <c r="I549" i="9"/>
  <c r="F549" i="9"/>
  <c r="F549" i="17" s="1"/>
  <c r="E549" i="9"/>
  <c r="E549" i="17" s="1"/>
  <c r="K548" i="9"/>
  <c r="I548" i="9"/>
  <c r="F548" i="9"/>
  <c r="F548" i="17" s="1"/>
  <c r="E548" i="9"/>
  <c r="E548" i="17" s="1"/>
  <c r="K547" i="9"/>
  <c r="I547" i="9"/>
  <c r="I547" i="17" s="1"/>
  <c r="F547" i="9"/>
  <c r="F547" i="17" s="1"/>
  <c r="E547" i="9"/>
  <c r="E547" i="17" s="1"/>
  <c r="K546" i="9"/>
  <c r="I546" i="9"/>
  <c r="I546" i="17" s="1"/>
  <c r="E546" i="9"/>
  <c r="E546" i="17" s="1"/>
  <c r="K545" i="9"/>
  <c r="E545" i="9"/>
  <c r="E545" i="17" s="1"/>
  <c r="K544" i="9"/>
  <c r="I544" i="9"/>
  <c r="I544" i="17" s="1"/>
  <c r="E544" i="9"/>
  <c r="E544" i="17" s="1"/>
  <c r="K543" i="9"/>
  <c r="I543" i="9"/>
  <c r="I543" i="17" s="1"/>
  <c r="F543" i="9"/>
  <c r="F543" i="17" s="1"/>
  <c r="E543" i="9"/>
  <c r="E543" i="17" s="1"/>
  <c r="K542" i="9"/>
  <c r="I542" i="9"/>
  <c r="I542" i="17" s="1"/>
  <c r="F542" i="9"/>
  <c r="F542" i="17" s="1"/>
  <c r="E542" i="9"/>
  <c r="E542" i="17" s="1"/>
  <c r="K541" i="9"/>
  <c r="I541" i="9"/>
  <c r="F541" i="9"/>
  <c r="F541" i="17" s="1"/>
  <c r="E541" i="9"/>
  <c r="E541" i="17" s="1"/>
  <c r="K540" i="9"/>
  <c r="I540" i="9"/>
  <c r="F540" i="9"/>
  <c r="F540" i="17" s="1"/>
  <c r="E540" i="9"/>
  <c r="E540" i="17" s="1"/>
  <c r="K539" i="9"/>
  <c r="I539" i="9"/>
  <c r="F539" i="9"/>
  <c r="F539" i="17" s="1"/>
  <c r="E539" i="9"/>
  <c r="E539" i="17" s="1"/>
  <c r="K538" i="9"/>
  <c r="I538" i="9"/>
  <c r="F538" i="9"/>
  <c r="F538" i="17" s="1"/>
  <c r="E538" i="9"/>
  <c r="E538" i="17" s="1"/>
  <c r="K537" i="9"/>
  <c r="I537" i="9"/>
  <c r="I537" i="17" s="1"/>
  <c r="F537" i="9"/>
  <c r="F537" i="17" s="1"/>
  <c r="E537" i="9"/>
  <c r="E537" i="17" s="1"/>
  <c r="K536" i="9"/>
  <c r="I536" i="9"/>
  <c r="I536" i="17" s="1"/>
  <c r="F536" i="9"/>
  <c r="F536" i="17" s="1"/>
  <c r="E536" i="9"/>
  <c r="E536" i="17" s="1"/>
  <c r="K535" i="9"/>
  <c r="I535" i="9"/>
  <c r="I535" i="17" s="1"/>
  <c r="F535" i="9"/>
  <c r="F535" i="17" s="1"/>
  <c r="E535" i="9"/>
  <c r="E535" i="17" s="1"/>
  <c r="K534" i="9"/>
  <c r="I534" i="9"/>
  <c r="F534" i="9"/>
  <c r="F534" i="17" s="1"/>
  <c r="E534" i="9"/>
  <c r="E534" i="17" s="1"/>
  <c r="K533" i="9"/>
  <c r="I533" i="9"/>
  <c r="I533" i="17" s="1"/>
  <c r="E533" i="9"/>
  <c r="E533" i="17" s="1"/>
  <c r="K532" i="9"/>
  <c r="E532" i="9"/>
  <c r="E532" i="17" s="1"/>
  <c r="K531" i="9"/>
  <c r="I531" i="9"/>
  <c r="I531" i="17" s="1"/>
  <c r="E531" i="9"/>
  <c r="E531" i="17" s="1"/>
  <c r="K530" i="9"/>
  <c r="I530" i="9"/>
  <c r="I530" i="17" s="1"/>
  <c r="E530" i="9"/>
  <c r="E530" i="17" s="1"/>
  <c r="K529" i="9"/>
  <c r="I529" i="9"/>
  <c r="F529" i="9"/>
  <c r="F529" i="17" s="1"/>
  <c r="E529" i="9"/>
  <c r="E529" i="17" s="1"/>
  <c r="K528" i="9"/>
  <c r="I528" i="9"/>
  <c r="I528" i="17" s="1"/>
  <c r="F528" i="9"/>
  <c r="F528" i="17" s="1"/>
  <c r="E528" i="9"/>
  <c r="E528" i="17" s="1"/>
  <c r="K527" i="9"/>
  <c r="I527" i="9"/>
  <c r="I527" i="17" s="1"/>
  <c r="F527" i="9"/>
  <c r="F527" i="17" s="1"/>
  <c r="E527" i="9"/>
  <c r="E527" i="17" s="1"/>
  <c r="K526" i="9"/>
  <c r="I526" i="9"/>
  <c r="F526" i="9"/>
  <c r="F526" i="17" s="1"/>
  <c r="E526" i="9"/>
  <c r="E526" i="17" s="1"/>
  <c r="K525" i="9"/>
  <c r="I525" i="9"/>
  <c r="I525" i="17" s="1"/>
  <c r="F525" i="9"/>
  <c r="F525" i="17" s="1"/>
  <c r="E525" i="9"/>
  <c r="E525" i="17" s="1"/>
  <c r="K524" i="9"/>
  <c r="I524" i="9"/>
  <c r="I524" i="17" s="1"/>
  <c r="F524" i="9"/>
  <c r="F524" i="17" s="1"/>
  <c r="E524" i="9"/>
  <c r="E524" i="17" s="1"/>
  <c r="K523" i="9"/>
  <c r="I523" i="9"/>
  <c r="I523" i="17" s="1"/>
  <c r="E523" i="9"/>
  <c r="E523" i="17" s="1"/>
  <c r="K522" i="9"/>
  <c r="I522" i="9"/>
  <c r="I522" i="17" s="1"/>
  <c r="E522" i="9"/>
  <c r="E522" i="17" s="1"/>
  <c r="K521" i="9"/>
  <c r="I521" i="9"/>
  <c r="F521" i="9"/>
  <c r="F521" i="17" s="1"/>
  <c r="E521" i="9"/>
  <c r="E521" i="17" s="1"/>
  <c r="K520" i="9"/>
  <c r="I520" i="9"/>
  <c r="I520" i="17" s="1"/>
  <c r="F520" i="9"/>
  <c r="F520" i="17" s="1"/>
  <c r="E520" i="9"/>
  <c r="E520" i="17" s="1"/>
  <c r="K519" i="9"/>
  <c r="I519" i="9"/>
  <c r="I519" i="17" s="1"/>
  <c r="F519" i="9"/>
  <c r="F519" i="17" s="1"/>
  <c r="E519" i="9"/>
  <c r="E519" i="17" s="1"/>
  <c r="K518" i="9"/>
  <c r="I518" i="9"/>
  <c r="F518" i="9"/>
  <c r="F518" i="17" s="1"/>
  <c r="E518" i="9"/>
  <c r="E518" i="17" s="1"/>
  <c r="K517" i="9"/>
  <c r="I517" i="9"/>
  <c r="I517" i="17" s="1"/>
  <c r="F517" i="9"/>
  <c r="F517" i="17" s="1"/>
  <c r="E517" i="9"/>
  <c r="E517" i="17" s="1"/>
  <c r="K516" i="9"/>
  <c r="I516" i="9"/>
  <c r="E516" i="9"/>
  <c r="E516" i="17" s="1"/>
  <c r="K515" i="9"/>
  <c r="I515" i="9"/>
  <c r="I515" i="17" s="1"/>
  <c r="E515" i="9"/>
  <c r="E515" i="17" s="1"/>
  <c r="K514" i="9"/>
  <c r="I514" i="9"/>
  <c r="I514" i="17" s="1"/>
  <c r="E514" i="9"/>
  <c r="E514" i="17" s="1"/>
  <c r="K513" i="9"/>
  <c r="I513" i="9"/>
  <c r="E513" i="9"/>
  <c r="E513" i="17" s="1"/>
  <c r="K512" i="9"/>
  <c r="I512" i="9"/>
  <c r="I512" i="17" s="1"/>
  <c r="E512" i="9"/>
  <c r="E512" i="17" s="1"/>
  <c r="K511" i="9"/>
  <c r="I511" i="9"/>
  <c r="I511" i="17" s="1"/>
  <c r="E511" i="9"/>
  <c r="E511" i="17" s="1"/>
  <c r="K510" i="9"/>
  <c r="I510" i="9"/>
  <c r="E510" i="9"/>
  <c r="E510" i="17" s="1"/>
  <c r="K509" i="9"/>
  <c r="I509" i="9"/>
  <c r="I509" i="17" s="1"/>
  <c r="F509" i="9"/>
  <c r="F509" i="17" s="1"/>
  <c r="E509" i="9"/>
  <c r="E509" i="17" s="1"/>
  <c r="K508" i="9"/>
  <c r="I508" i="9"/>
  <c r="I508" i="17" s="1"/>
  <c r="F508" i="9"/>
  <c r="F508" i="17" s="1"/>
  <c r="E508" i="9"/>
  <c r="E508" i="17" s="1"/>
  <c r="K507" i="9"/>
  <c r="I507" i="9"/>
  <c r="F507" i="9"/>
  <c r="F507" i="17" s="1"/>
  <c r="E507" i="9"/>
  <c r="E507" i="17" s="1"/>
  <c r="K506" i="9"/>
  <c r="I506" i="9"/>
  <c r="I506" i="17" s="1"/>
  <c r="F506" i="9"/>
  <c r="F506" i="17" s="1"/>
  <c r="E506" i="9"/>
  <c r="E506" i="17" s="1"/>
  <c r="K505" i="9"/>
  <c r="I505" i="9"/>
  <c r="I505" i="17" s="1"/>
  <c r="F505" i="9"/>
  <c r="F505" i="17" s="1"/>
  <c r="E505" i="9"/>
  <c r="E505" i="17" s="1"/>
  <c r="K504" i="9"/>
  <c r="I504" i="9"/>
  <c r="F504" i="9"/>
  <c r="F504" i="17" s="1"/>
  <c r="E504" i="9"/>
  <c r="E504" i="17" s="1"/>
  <c r="K503" i="9"/>
  <c r="I503" i="9"/>
  <c r="E503" i="9"/>
  <c r="E503" i="17" s="1"/>
  <c r="K502" i="9"/>
  <c r="I502" i="9"/>
  <c r="E502" i="9"/>
  <c r="E502" i="17" s="1"/>
  <c r="K501" i="9"/>
  <c r="I501" i="9"/>
  <c r="I501" i="17" s="1"/>
  <c r="E501" i="9"/>
  <c r="E501" i="17" s="1"/>
  <c r="K500" i="9"/>
  <c r="I500" i="9"/>
  <c r="F500" i="9"/>
  <c r="F500" i="17" s="1"/>
  <c r="E500" i="9"/>
  <c r="E500" i="17" s="1"/>
  <c r="K499" i="9"/>
  <c r="I499" i="9"/>
  <c r="F499" i="9"/>
  <c r="F499" i="17" s="1"/>
  <c r="E499" i="9"/>
  <c r="E499" i="17" s="1"/>
  <c r="K498" i="9"/>
  <c r="I498" i="9"/>
  <c r="I498" i="17" s="1"/>
  <c r="F498" i="9"/>
  <c r="F498" i="17" s="1"/>
  <c r="E498" i="9"/>
  <c r="E498" i="17" s="1"/>
  <c r="K497" i="9"/>
  <c r="I497" i="9"/>
  <c r="I497" i="17" s="1"/>
  <c r="F497" i="9"/>
  <c r="F497" i="17" s="1"/>
  <c r="E497" i="9"/>
  <c r="E497" i="17" s="1"/>
  <c r="K496" i="9"/>
  <c r="I496" i="9"/>
  <c r="F496" i="9"/>
  <c r="F496" i="17" s="1"/>
  <c r="E496" i="9"/>
  <c r="E496" i="17" s="1"/>
  <c r="K495" i="9"/>
  <c r="I495" i="9"/>
  <c r="I495" i="17" s="1"/>
  <c r="F495" i="9"/>
  <c r="F495" i="17" s="1"/>
  <c r="E495" i="9"/>
  <c r="E495" i="17" s="1"/>
  <c r="K494" i="9"/>
  <c r="I494" i="9"/>
  <c r="E494" i="9"/>
  <c r="E494" i="17" s="1"/>
  <c r="K493" i="9"/>
  <c r="I493" i="9"/>
  <c r="I493" i="17" s="1"/>
  <c r="E493" i="9"/>
  <c r="E493" i="17" s="1"/>
  <c r="K492" i="9"/>
  <c r="I492" i="9"/>
  <c r="I492" i="17" s="1"/>
  <c r="E492" i="9"/>
  <c r="E492" i="17" s="1"/>
  <c r="K491" i="9"/>
  <c r="I491" i="9"/>
  <c r="F491" i="9"/>
  <c r="F491" i="17" s="1"/>
  <c r="E491" i="9"/>
  <c r="E491" i="17" s="1"/>
  <c r="K490" i="9"/>
  <c r="I490" i="9"/>
  <c r="F490" i="9"/>
  <c r="F490" i="17" s="1"/>
  <c r="E490" i="9"/>
  <c r="E490" i="17" s="1"/>
  <c r="K489" i="9"/>
  <c r="I489" i="9"/>
  <c r="I489" i="17" s="1"/>
  <c r="F489" i="9"/>
  <c r="F489" i="17" s="1"/>
  <c r="E489" i="9"/>
  <c r="E489" i="17" s="1"/>
  <c r="K488" i="9"/>
  <c r="I488" i="9"/>
  <c r="I488" i="17" s="1"/>
  <c r="F488" i="9"/>
  <c r="F488" i="17" s="1"/>
  <c r="E488" i="9"/>
  <c r="E488" i="17" s="1"/>
  <c r="K487" i="9"/>
  <c r="I487" i="9"/>
  <c r="I487" i="17" s="1"/>
  <c r="F487" i="9"/>
  <c r="F487" i="17" s="1"/>
  <c r="E487" i="9"/>
  <c r="E487" i="17" s="1"/>
  <c r="K486" i="9"/>
  <c r="I486" i="9"/>
  <c r="F486" i="9"/>
  <c r="F486" i="17" s="1"/>
  <c r="E486" i="9"/>
  <c r="E486" i="17" s="1"/>
  <c r="K485" i="9"/>
  <c r="I485" i="9"/>
  <c r="I485" i="17" s="1"/>
  <c r="E485" i="9"/>
  <c r="E485" i="17" s="1"/>
  <c r="K484" i="9"/>
  <c r="I484" i="9"/>
  <c r="E484" i="9"/>
  <c r="E484" i="17" s="1"/>
  <c r="K483" i="9"/>
  <c r="I483" i="9"/>
  <c r="I483" i="17" s="1"/>
  <c r="F483" i="9"/>
  <c r="F483" i="17" s="1"/>
  <c r="E483" i="9"/>
  <c r="E483" i="17" s="1"/>
  <c r="K482" i="9"/>
  <c r="I482" i="9"/>
  <c r="F482" i="9"/>
  <c r="F482" i="17" s="1"/>
  <c r="E482" i="9"/>
  <c r="E482" i="17" s="1"/>
  <c r="K481" i="9"/>
  <c r="I481" i="9"/>
  <c r="F481" i="9"/>
  <c r="F481" i="17" s="1"/>
  <c r="E481" i="9"/>
  <c r="E481" i="17" s="1"/>
  <c r="K480" i="9"/>
  <c r="I480" i="9"/>
  <c r="F480" i="9"/>
  <c r="F480" i="17" s="1"/>
  <c r="E480" i="9"/>
  <c r="E480" i="17" s="1"/>
  <c r="K479" i="9"/>
  <c r="I479" i="9"/>
  <c r="I479" i="17" s="1"/>
  <c r="E479" i="9"/>
  <c r="E479" i="17" s="1"/>
  <c r="K478" i="9"/>
  <c r="I478" i="9"/>
  <c r="I478" i="17" s="1"/>
  <c r="E478" i="9"/>
  <c r="E478" i="17" s="1"/>
  <c r="K477" i="9"/>
  <c r="I477" i="9"/>
  <c r="I477" i="17" s="1"/>
  <c r="F477" i="9"/>
  <c r="F477" i="17" s="1"/>
  <c r="E477" i="9"/>
  <c r="E477" i="17" s="1"/>
  <c r="K476" i="9"/>
  <c r="I476" i="9"/>
  <c r="F476" i="9"/>
  <c r="F476" i="17" s="1"/>
  <c r="E476" i="9"/>
  <c r="E476" i="17" s="1"/>
  <c r="K475" i="9"/>
  <c r="I475" i="9"/>
  <c r="I475" i="17" s="1"/>
  <c r="F475" i="9"/>
  <c r="F475" i="17" s="1"/>
  <c r="E475" i="9"/>
  <c r="E475" i="17" s="1"/>
  <c r="K474" i="9"/>
  <c r="I474" i="9"/>
  <c r="F474" i="9"/>
  <c r="F474" i="17" s="1"/>
  <c r="E474" i="9"/>
  <c r="E474" i="17" s="1"/>
  <c r="K473" i="9"/>
  <c r="I473" i="9"/>
  <c r="I473" i="17" s="1"/>
  <c r="F473" i="9"/>
  <c r="F473" i="17" s="1"/>
  <c r="E473" i="9"/>
  <c r="E473" i="17" s="1"/>
  <c r="K472" i="9"/>
  <c r="I472" i="9"/>
  <c r="F472" i="9"/>
  <c r="F472" i="17" s="1"/>
  <c r="E472" i="9"/>
  <c r="E472" i="17" s="1"/>
  <c r="K471" i="9"/>
  <c r="E471" i="9"/>
  <c r="E471" i="17" s="1"/>
  <c r="K470" i="9"/>
  <c r="E470" i="9"/>
  <c r="E470" i="17" s="1"/>
  <c r="K469" i="9"/>
  <c r="E469" i="9"/>
  <c r="E469" i="17" s="1"/>
  <c r="K468" i="9"/>
  <c r="I468" i="9"/>
  <c r="I468" i="17" s="1"/>
  <c r="E468" i="9"/>
  <c r="E468" i="17" s="1"/>
  <c r="K467" i="9"/>
  <c r="I467" i="9"/>
  <c r="E467" i="9"/>
  <c r="E467" i="17" s="1"/>
  <c r="K466" i="9"/>
  <c r="I466" i="9"/>
  <c r="I466" i="17" s="1"/>
  <c r="F466" i="9"/>
  <c r="F466" i="17" s="1"/>
  <c r="E466" i="9"/>
  <c r="E466" i="17" s="1"/>
  <c r="K465" i="9"/>
  <c r="I465" i="9"/>
  <c r="F465" i="9"/>
  <c r="F465" i="17" s="1"/>
  <c r="E465" i="9"/>
  <c r="E465" i="17" s="1"/>
  <c r="K464" i="9"/>
  <c r="I464" i="9"/>
  <c r="I464" i="17" s="1"/>
  <c r="F464" i="9"/>
  <c r="F464" i="17" s="1"/>
  <c r="E464" i="9"/>
  <c r="E464" i="17" s="1"/>
  <c r="K463" i="9"/>
  <c r="I463" i="9"/>
  <c r="F463" i="9"/>
  <c r="F463" i="17" s="1"/>
  <c r="E463" i="9"/>
  <c r="E463" i="17" s="1"/>
  <c r="K462" i="9"/>
  <c r="I462" i="9"/>
  <c r="I462" i="17" s="1"/>
  <c r="F462" i="9"/>
  <c r="F462" i="17" s="1"/>
  <c r="E462" i="9"/>
  <c r="E462" i="17" s="1"/>
  <c r="K461" i="9"/>
  <c r="I461" i="9"/>
  <c r="F461" i="9"/>
  <c r="F461" i="17" s="1"/>
  <c r="E461" i="9"/>
  <c r="E461" i="17" s="1"/>
  <c r="K460" i="9"/>
  <c r="E460" i="9"/>
  <c r="E460" i="17" s="1"/>
  <c r="K459" i="9"/>
  <c r="E459" i="9"/>
  <c r="E459" i="17" s="1"/>
  <c r="K458" i="9"/>
  <c r="E458" i="9"/>
  <c r="E458" i="17" s="1"/>
  <c r="K457" i="9"/>
  <c r="I457" i="9"/>
  <c r="I457" i="17" s="1"/>
  <c r="E457" i="9"/>
  <c r="E457" i="17" s="1"/>
  <c r="K456" i="9"/>
  <c r="I456" i="9"/>
  <c r="I456" i="17" s="1"/>
  <c r="E456" i="9"/>
  <c r="E456" i="17" s="1"/>
  <c r="K455" i="9"/>
  <c r="I455" i="9"/>
  <c r="I455" i="17" s="1"/>
  <c r="F455" i="9"/>
  <c r="F455" i="17" s="1"/>
  <c r="E455" i="9"/>
  <c r="E455" i="17" s="1"/>
  <c r="K454" i="9"/>
  <c r="I454" i="9"/>
  <c r="F454" i="9"/>
  <c r="F454" i="17" s="1"/>
  <c r="E454" i="9"/>
  <c r="E454" i="17" s="1"/>
  <c r="K453" i="9"/>
  <c r="I453" i="9"/>
  <c r="I453" i="17" s="1"/>
  <c r="F453" i="9"/>
  <c r="F453" i="17" s="1"/>
  <c r="E453" i="9"/>
  <c r="E453" i="17" s="1"/>
  <c r="K452" i="9"/>
  <c r="I452" i="9"/>
  <c r="F452" i="9"/>
  <c r="F452" i="17" s="1"/>
  <c r="E452" i="9"/>
  <c r="E452" i="17" s="1"/>
  <c r="K451" i="9"/>
  <c r="I451" i="9"/>
  <c r="I451" i="17" s="1"/>
  <c r="F451" i="9"/>
  <c r="F451" i="17" s="1"/>
  <c r="E451" i="9"/>
  <c r="E451" i="17" s="1"/>
  <c r="K450" i="9"/>
  <c r="I450" i="9"/>
  <c r="I450" i="17" s="1"/>
  <c r="F450" i="9"/>
  <c r="F450" i="17" s="1"/>
  <c r="E450" i="9"/>
  <c r="E450" i="17" s="1"/>
  <c r="K449" i="9"/>
  <c r="I449" i="9"/>
  <c r="I449" i="17" s="1"/>
  <c r="F449" i="9"/>
  <c r="F449" i="17" s="1"/>
  <c r="E449" i="9"/>
  <c r="E449" i="17" s="1"/>
  <c r="K448" i="9"/>
  <c r="I448" i="9"/>
  <c r="F448" i="9"/>
  <c r="F448" i="17" s="1"/>
  <c r="E448" i="9"/>
  <c r="E448" i="17" s="1"/>
  <c r="K447" i="9"/>
  <c r="I447" i="9"/>
  <c r="F447" i="9"/>
  <c r="F447" i="17" s="1"/>
  <c r="E447" i="9"/>
  <c r="E447" i="17" s="1"/>
  <c r="K446" i="9"/>
  <c r="E446" i="9"/>
  <c r="E446" i="17" s="1"/>
  <c r="K445" i="9"/>
  <c r="E445" i="9"/>
  <c r="E445" i="17" s="1"/>
  <c r="K444" i="9"/>
  <c r="E444" i="9"/>
  <c r="E444" i="17" s="1"/>
  <c r="K443" i="9"/>
  <c r="I443" i="9"/>
  <c r="I443" i="17" s="1"/>
  <c r="E443" i="9"/>
  <c r="E443" i="17" s="1"/>
  <c r="K442" i="9"/>
  <c r="I442" i="9"/>
  <c r="I442" i="17" s="1"/>
  <c r="E442" i="9"/>
  <c r="E442" i="17" s="1"/>
  <c r="K441" i="9"/>
  <c r="I441" i="9"/>
  <c r="I441" i="17" s="1"/>
  <c r="F441" i="9"/>
  <c r="F441" i="17" s="1"/>
  <c r="E441" i="9"/>
  <c r="E441" i="17" s="1"/>
  <c r="K440" i="9"/>
  <c r="I440" i="9"/>
  <c r="F440" i="9"/>
  <c r="F440" i="17" s="1"/>
  <c r="E440" i="9"/>
  <c r="E440" i="17" s="1"/>
  <c r="K439" i="9"/>
  <c r="I439" i="9"/>
  <c r="I439" i="17" s="1"/>
  <c r="F439" i="9"/>
  <c r="F439" i="17" s="1"/>
  <c r="E439" i="9"/>
  <c r="E439" i="17" s="1"/>
  <c r="K438" i="9"/>
  <c r="I438" i="9"/>
  <c r="F438" i="9"/>
  <c r="F438" i="17" s="1"/>
  <c r="E438" i="9"/>
  <c r="E438" i="17" s="1"/>
  <c r="K437" i="9"/>
  <c r="I437" i="9"/>
  <c r="F437" i="9"/>
  <c r="F437" i="17" s="1"/>
  <c r="E437" i="9"/>
  <c r="E437" i="17" s="1"/>
  <c r="K436" i="9"/>
  <c r="I436" i="9"/>
  <c r="I436" i="17" s="1"/>
  <c r="F436" i="9"/>
  <c r="F436" i="17" s="1"/>
  <c r="E436" i="9"/>
  <c r="E436" i="17" s="1"/>
  <c r="K435" i="9"/>
  <c r="I435" i="9"/>
  <c r="I435" i="17" s="1"/>
  <c r="F435" i="9"/>
  <c r="F435" i="17" s="1"/>
  <c r="E435" i="9"/>
  <c r="E435" i="17" s="1"/>
  <c r="K434" i="9"/>
  <c r="I434" i="9"/>
  <c r="I434" i="17" s="1"/>
  <c r="F434" i="9"/>
  <c r="F434" i="17" s="1"/>
  <c r="E434" i="9"/>
  <c r="E434" i="17" s="1"/>
  <c r="K433" i="9"/>
  <c r="I433" i="9"/>
  <c r="F433" i="9"/>
  <c r="F433" i="17" s="1"/>
  <c r="E433" i="9"/>
  <c r="E433" i="17" s="1"/>
  <c r="K432" i="9"/>
  <c r="I432" i="9"/>
  <c r="I432" i="17" s="1"/>
  <c r="E432" i="9"/>
  <c r="E432" i="17" s="1"/>
  <c r="K431" i="9"/>
  <c r="I431" i="9"/>
  <c r="E431" i="9"/>
  <c r="E431" i="17" s="1"/>
  <c r="K430" i="9"/>
  <c r="I430" i="9"/>
  <c r="I430" i="17" s="1"/>
  <c r="F430" i="9"/>
  <c r="F430" i="17" s="1"/>
  <c r="E430" i="9"/>
  <c r="E430" i="17" s="1"/>
  <c r="K429" i="9"/>
  <c r="I429" i="9"/>
  <c r="F429" i="9"/>
  <c r="F429" i="17" s="1"/>
  <c r="E429" i="9"/>
  <c r="E429" i="17" s="1"/>
  <c r="K428" i="9"/>
  <c r="I428" i="9"/>
  <c r="I428" i="17" s="1"/>
  <c r="F428" i="9"/>
  <c r="F428" i="17" s="1"/>
  <c r="E428" i="9"/>
  <c r="E428" i="17" s="1"/>
  <c r="K427" i="9"/>
  <c r="I427" i="9"/>
  <c r="F427" i="9"/>
  <c r="F427" i="17" s="1"/>
  <c r="E427" i="9"/>
  <c r="E427" i="17" s="1"/>
  <c r="K426" i="9"/>
  <c r="I426" i="9"/>
  <c r="I426" i="17" s="1"/>
  <c r="F426" i="9"/>
  <c r="F426" i="17" s="1"/>
  <c r="E426" i="9"/>
  <c r="E426" i="17" s="1"/>
  <c r="K425" i="9"/>
  <c r="I425" i="9"/>
  <c r="F425" i="9"/>
  <c r="F425" i="17" s="1"/>
  <c r="E425" i="9"/>
  <c r="E425" i="17" s="1"/>
  <c r="K424" i="9"/>
  <c r="I424" i="9"/>
  <c r="I424" i="17" s="1"/>
  <c r="F424" i="9"/>
  <c r="F424" i="17" s="1"/>
  <c r="E424" i="9"/>
  <c r="E424" i="17" s="1"/>
  <c r="K423" i="9"/>
  <c r="E423" i="9"/>
  <c r="E423" i="17" s="1"/>
  <c r="K422" i="9"/>
  <c r="E422" i="9"/>
  <c r="E422" i="17" s="1"/>
  <c r="K421" i="9"/>
  <c r="E421" i="9"/>
  <c r="E421" i="17" s="1"/>
  <c r="K420" i="9"/>
  <c r="I420" i="9"/>
  <c r="I420" i="17" s="1"/>
  <c r="E420" i="9"/>
  <c r="E420" i="17" s="1"/>
  <c r="K419" i="9"/>
  <c r="I419" i="9"/>
  <c r="I419" i="17" s="1"/>
  <c r="E419" i="9"/>
  <c r="E419" i="17" s="1"/>
  <c r="K418" i="9"/>
  <c r="I418" i="9"/>
  <c r="F418" i="9"/>
  <c r="F418" i="17" s="1"/>
  <c r="E418" i="9"/>
  <c r="E418" i="17" s="1"/>
  <c r="K417" i="9"/>
  <c r="I417" i="9"/>
  <c r="I417" i="17" s="1"/>
  <c r="F417" i="9"/>
  <c r="F417" i="17" s="1"/>
  <c r="E417" i="9"/>
  <c r="E417" i="17" s="1"/>
  <c r="K416" i="9"/>
  <c r="I416" i="9"/>
  <c r="I416" i="17" s="1"/>
  <c r="F416" i="9"/>
  <c r="F416" i="17" s="1"/>
  <c r="E416" i="9"/>
  <c r="E416" i="17" s="1"/>
  <c r="K415" i="9"/>
  <c r="I415" i="9"/>
  <c r="I415" i="17" s="1"/>
  <c r="F415" i="9"/>
  <c r="F415" i="17" s="1"/>
  <c r="E415" i="9"/>
  <c r="E415" i="17" s="1"/>
  <c r="K414" i="9"/>
  <c r="I414" i="9"/>
  <c r="I414" i="17" s="1"/>
  <c r="F414" i="9"/>
  <c r="F414" i="17" s="1"/>
  <c r="E414" i="9"/>
  <c r="E414" i="17" s="1"/>
  <c r="K413" i="9"/>
  <c r="I413" i="9"/>
  <c r="F413" i="9"/>
  <c r="F413" i="17" s="1"/>
  <c r="E413" i="9"/>
  <c r="E413" i="17" s="1"/>
  <c r="K412" i="9"/>
  <c r="I412" i="9"/>
  <c r="F412" i="9"/>
  <c r="F412" i="17" s="1"/>
  <c r="E412" i="9"/>
  <c r="E412" i="17" s="1"/>
  <c r="K411" i="9"/>
  <c r="I411" i="9"/>
  <c r="I411" i="17" s="1"/>
  <c r="F411" i="9"/>
  <c r="F411" i="17" s="1"/>
  <c r="E411" i="9"/>
  <c r="E411" i="17" s="1"/>
  <c r="K410" i="9"/>
  <c r="I410" i="9"/>
  <c r="F410" i="9"/>
  <c r="F410" i="17" s="1"/>
  <c r="E410" i="9"/>
  <c r="E410" i="17" s="1"/>
  <c r="K409" i="9"/>
  <c r="E409" i="9"/>
  <c r="E409" i="17" s="1"/>
  <c r="K408" i="9"/>
  <c r="E408" i="9"/>
  <c r="E408" i="17" s="1"/>
  <c r="K407" i="9"/>
  <c r="E407" i="9"/>
  <c r="E407" i="17" s="1"/>
  <c r="K406" i="9"/>
  <c r="I406" i="9"/>
  <c r="I406" i="17" s="1"/>
  <c r="E406" i="9"/>
  <c r="E406" i="17" s="1"/>
  <c r="K405" i="9"/>
  <c r="I405" i="9"/>
  <c r="I405" i="17" s="1"/>
  <c r="E405" i="9"/>
  <c r="E405" i="17" s="1"/>
  <c r="K404" i="9"/>
  <c r="I404" i="9"/>
  <c r="I404" i="17" s="1"/>
  <c r="F404" i="9"/>
  <c r="F404" i="17" s="1"/>
  <c r="E404" i="9"/>
  <c r="E404" i="17" s="1"/>
  <c r="K403" i="9"/>
  <c r="I403" i="9"/>
  <c r="F403" i="9"/>
  <c r="F403" i="17" s="1"/>
  <c r="E403" i="9"/>
  <c r="E403" i="17" s="1"/>
  <c r="K402" i="9"/>
  <c r="I402" i="9"/>
  <c r="F402" i="9"/>
  <c r="F402" i="17" s="1"/>
  <c r="E402" i="9"/>
  <c r="E402" i="17" s="1"/>
  <c r="K401" i="9"/>
  <c r="I401" i="9"/>
  <c r="I401" i="17" s="1"/>
  <c r="F401" i="9"/>
  <c r="F401" i="17" s="1"/>
  <c r="E401" i="9"/>
  <c r="E401" i="17" s="1"/>
  <c r="K400" i="9"/>
  <c r="I400" i="9"/>
  <c r="I400" i="17" s="1"/>
  <c r="F400" i="9"/>
  <c r="F400" i="17" s="1"/>
  <c r="E400" i="9"/>
  <c r="E400" i="17" s="1"/>
  <c r="K399" i="9"/>
  <c r="I399" i="9"/>
  <c r="I399" i="17" s="1"/>
  <c r="F399" i="9"/>
  <c r="F399" i="17" s="1"/>
  <c r="E399" i="9"/>
  <c r="E399" i="17" s="1"/>
  <c r="K398" i="9"/>
  <c r="E398" i="9"/>
  <c r="E398" i="17" s="1"/>
  <c r="K397" i="9"/>
  <c r="I397" i="9"/>
  <c r="I397" i="17" s="1"/>
  <c r="E397" i="9"/>
  <c r="E397" i="17" s="1"/>
  <c r="K396" i="9"/>
  <c r="I396" i="9"/>
  <c r="I396" i="17" s="1"/>
  <c r="E396" i="9"/>
  <c r="E396" i="17" s="1"/>
  <c r="K395" i="9"/>
  <c r="I395" i="9"/>
  <c r="I395" i="17" s="1"/>
  <c r="E395" i="9"/>
  <c r="E395" i="17" s="1"/>
  <c r="K394" i="9"/>
  <c r="I394" i="9"/>
  <c r="I394" i="17" s="1"/>
  <c r="E394" i="9"/>
  <c r="E394" i="17" s="1"/>
  <c r="K393" i="9"/>
  <c r="I393" i="9"/>
  <c r="F393" i="9"/>
  <c r="F393" i="17" s="1"/>
  <c r="E393" i="9"/>
  <c r="E393" i="17" s="1"/>
  <c r="K392" i="9"/>
  <c r="I392" i="9"/>
  <c r="F392" i="9"/>
  <c r="F392" i="17" s="1"/>
  <c r="E392" i="9"/>
  <c r="E392" i="17" s="1"/>
  <c r="K391" i="9"/>
  <c r="I391" i="9"/>
  <c r="I391" i="17" s="1"/>
  <c r="F391" i="9"/>
  <c r="F391" i="17" s="1"/>
  <c r="E391" i="9"/>
  <c r="E391" i="17" s="1"/>
  <c r="K390" i="9"/>
  <c r="I390" i="9"/>
  <c r="I390" i="17" s="1"/>
  <c r="F390" i="9"/>
  <c r="F390" i="17" s="1"/>
  <c r="E390" i="9"/>
  <c r="E390" i="17" s="1"/>
  <c r="K389" i="9"/>
  <c r="I389" i="9"/>
  <c r="F389" i="9"/>
  <c r="F389" i="17" s="1"/>
  <c r="E389" i="9"/>
  <c r="E389" i="17" s="1"/>
  <c r="K388" i="9"/>
  <c r="I388" i="9"/>
  <c r="F388" i="9"/>
  <c r="F388" i="17" s="1"/>
  <c r="E388" i="9"/>
  <c r="E388" i="17" s="1"/>
  <c r="K387" i="9"/>
  <c r="I387" i="9"/>
  <c r="I387" i="17" s="1"/>
  <c r="E387" i="9"/>
  <c r="E387" i="17" s="1"/>
  <c r="K386" i="9"/>
  <c r="I386" i="9"/>
  <c r="I386" i="17" s="1"/>
  <c r="E386" i="9"/>
  <c r="E386" i="17" s="1"/>
  <c r="K385" i="9"/>
  <c r="I385" i="9"/>
  <c r="F385" i="9"/>
  <c r="F385" i="17" s="1"/>
  <c r="E385" i="9"/>
  <c r="E385" i="17" s="1"/>
  <c r="K384" i="9"/>
  <c r="I384" i="9"/>
  <c r="I384" i="17" s="1"/>
  <c r="F384" i="9"/>
  <c r="F384" i="17" s="1"/>
  <c r="E384" i="9"/>
  <c r="E384" i="17" s="1"/>
  <c r="K383" i="9"/>
  <c r="I383" i="9"/>
  <c r="F383" i="9"/>
  <c r="F383" i="17" s="1"/>
  <c r="E383" i="9"/>
  <c r="E383" i="17" s="1"/>
  <c r="K382" i="9"/>
  <c r="I382" i="9"/>
  <c r="I382" i="17" s="1"/>
  <c r="F382" i="9"/>
  <c r="F382" i="17" s="1"/>
  <c r="E382" i="9"/>
  <c r="E382" i="17" s="1"/>
  <c r="K381" i="9"/>
  <c r="I381" i="9"/>
  <c r="I381" i="17" s="1"/>
  <c r="F381" i="9"/>
  <c r="F381" i="17" s="1"/>
  <c r="E381" i="9"/>
  <c r="E381" i="17" s="1"/>
  <c r="K380" i="9"/>
  <c r="I380" i="9"/>
  <c r="I380" i="17" s="1"/>
  <c r="F380" i="9"/>
  <c r="F380" i="17" s="1"/>
  <c r="E380" i="9"/>
  <c r="E380" i="17" s="1"/>
  <c r="K379" i="9"/>
  <c r="I379" i="9"/>
  <c r="I379" i="17" s="1"/>
  <c r="F379" i="9"/>
  <c r="F379" i="17" s="1"/>
  <c r="E379" i="9"/>
  <c r="E379" i="17" s="1"/>
  <c r="K378" i="9"/>
  <c r="I378" i="9"/>
  <c r="F378" i="9"/>
  <c r="F378" i="17" s="1"/>
  <c r="E378" i="9"/>
  <c r="E378" i="17" s="1"/>
  <c r="K377" i="9"/>
  <c r="E377" i="9"/>
  <c r="E377" i="17" s="1"/>
  <c r="K376" i="9"/>
  <c r="I376" i="9"/>
  <c r="E376" i="9"/>
  <c r="E376" i="17" s="1"/>
  <c r="K375" i="9"/>
  <c r="I375" i="9"/>
  <c r="E375" i="9"/>
  <c r="E375" i="17" s="1"/>
  <c r="K374" i="9"/>
  <c r="I374" i="9"/>
  <c r="I374" i="17" s="1"/>
  <c r="E374" i="9"/>
  <c r="E374" i="17" s="1"/>
  <c r="K373" i="9"/>
  <c r="I373" i="9"/>
  <c r="I373" i="17" s="1"/>
  <c r="F373" i="9"/>
  <c r="F373" i="17" s="1"/>
  <c r="E373" i="9"/>
  <c r="E373" i="17" s="1"/>
  <c r="K372" i="9"/>
  <c r="I372" i="9"/>
  <c r="I372" i="17" s="1"/>
  <c r="F372" i="9"/>
  <c r="F372" i="17" s="1"/>
  <c r="E372" i="9"/>
  <c r="E372" i="17" s="1"/>
  <c r="K371" i="9"/>
  <c r="I371" i="9"/>
  <c r="I371" i="17" s="1"/>
  <c r="F371" i="9"/>
  <c r="F371" i="17" s="1"/>
  <c r="E371" i="9"/>
  <c r="E371" i="17" s="1"/>
  <c r="K370" i="9"/>
  <c r="I370" i="9"/>
  <c r="F370" i="9"/>
  <c r="F370" i="17" s="1"/>
  <c r="E370" i="9"/>
  <c r="E370" i="17" s="1"/>
  <c r="K369" i="9"/>
  <c r="I369" i="9"/>
  <c r="I369" i="17" s="1"/>
  <c r="F369" i="9"/>
  <c r="F369" i="17" s="1"/>
  <c r="E369" i="9"/>
  <c r="E369" i="17" s="1"/>
  <c r="K368" i="9"/>
  <c r="I368" i="9"/>
  <c r="I368" i="17" s="1"/>
  <c r="F368" i="9"/>
  <c r="F368" i="17" s="1"/>
  <c r="E368" i="9"/>
  <c r="E368" i="17" s="1"/>
  <c r="K367" i="9"/>
  <c r="I367" i="9"/>
  <c r="I367" i="17" s="1"/>
  <c r="F367" i="9"/>
  <c r="F367" i="17" s="1"/>
  <c r="E367" i="9"/>
  <c r="E367" i="17" s="1"/>
  <c r="K366" i="9"/>
  <c r="I366" i="9"/>
  <c r="F366" i="9"/>
  <c r="F366" i="17" s="1"/>
  <c r="E366" i="9"/>
  <c r="E366" i="17" s="1"/>
  <c r="K365" i="9"/>
  <c r="I365" i="9"/>
  <c r="I365" i="17" s="1"/>
  <c r="F365" i="9"/>
  <c r="F365" i="17" s="1"/>
  <c r="E365" i="9"/>
  <c r="E365" i="17" s="1"/>
  <c r="K364" i="9"/>
  <c r="I364" i="9"/>
  <c r="F364" i="9"/>
  <c r="F364" i="17" s="1"/>
  <c r="E364" i="9"/>
  <c r="E364" i="17" s="1"/>
  <c r="K363" i="9"/>
  <c r="E363" i="9"/>
  <c r="E363" i="17" s="1"/>
  <c r="K362" i="9"/>
  <c r="I362" i="9"/>
  <c r="I362" i="17" s="1"/>
  <c r="E362" i="9"/>
  <c r="E362" i="17" s="1"/>
  <c r="K361" i="9"/>
  <c r="I361" i="9"/>
  <c r="E361" i="9"/>
  <c r="E361" i="17" s="1"/>
  <c r="K360" i="9"/>
  <c r="I360" i="9"/>
  <c r="I360" i="17" s="1"/>
  <c r="E360" i="9"/>
  <c r="E360" i="17" s="1"/>
  <c r="K359" i="9"/>
  <c r="I359" i="9"/>
  <c r="I359" i="17" s="1"/>
  <c r="F359" i="9"/>
  <c r="F359" i="17" s="1"/>
  <c r="E359" i="9"/>
  <c r="E359" i="17" s="1"/>
  <c r="K358" i="9"/>
  <c r="I358" i="9"/>
  <c r="I358" i="17" s="1"/>
  <c r="F358" i="9"/>
  <c r="F358" i="17" s="1"/>
  <c r="E358" i="9"/>
  <c r="E358" i="17" s="1"/>
  <c r="K357" i="9"/>
  <c r="I357" i="9"/>
  <c r="I357" i="17" s="1"/>
  <c r="F357" i="9"/>
  <c r="F357" i="17" s="1"/>
  <c r="E357" i="9"/>
  <c r="E357" i="17" s="1"/>
  <c r="K356" i="9"/>
  <c r="I356" i="9"/>
  <c r="F356" i="9"/>
  <c r="F356" i="17" s="1"/>
  <c r="E356" i="9"/>
  <c r="E356" i="17" s="1"/>
  <c r="K355" i="9"/>
  <c r="I355" i="9"/>
  <c r="F355" i="9"/>
  <c r="F355" i="17" s="1"/>
  <c r="E355" i="9"/>
  <c r="E355" i="17" s="1"/>
  <c r="K354" i="9"/>
  <c r="I354" i="9"/>
  <c r="I354" i="17" s="1"/>
  <c r="F354" i="9"/>
  <c r="F354" i="17" s="1"/>
  <c r="E354" i="9"/>
  <c r="E354" i="17" s="1"/>
  <c r="K353" i="9"/>
  <c r="I353" i="9"/>
  <c r="F353" i="9"/>
  <c r="F353" i="17" s="1"/>
  <c r="E353" i="9"/>
  <c r="E353" i="17" s="1"/>
  <c r="K352" i="9"/>
  <c r="I352" i="9"/>
  <c r="I352" i="17" s="1"/>
  <c r="F352" i="9"/>
  <c r="F352" i="17" s="1"/>
  <c r="E352" i="9"/>
  <c r="E352" i="17" s="1"/>
  <c r="K351" i="9"/>
  <c r="E351" i="9"/>
  <c r="E351" i="17" s="1"/>
  <c r="K350" i="9"/>
  <c r="I350" i="9"/>
  <c r="I350" i="17" s="1"/>
  <c r="E350" i="9"/>
  <c r="E350" i="17" s="1"/>
  <c r="K349" i="9"/>
  <c r="I349" i="9"/>
  <c r="I349" i="17" s="1"/>
  <c r="E349" i="9"/>
  <c r="E349" i="17" s="1"/>
  <c r="K348" i="9"/>
  <c r="I348" i="9"/>
  <c r="I348" i="17" s="1"/>
  <c r="E348" i="9"/>
  <c r="E348" i="17" s="1"/>
  <c r="K347" i="9"/>
  <c r="I347" i="9"/>
  <c r="F347" i="9"/>
  <c r="F347" i="17" s="1"/>
  <c r="E347" i="9"/>
  <c r="E347" i="17" s="1"/>
  <c r="K346" i="9"/>
  <c r="I346" i="9"/>
  <c r="I346" i="17" s="1"/>
  <c r="F346" i="9"/>
  <c r="F346" i="17" s="1"/>
  <c r="E346" i="9"/>
  <c r="E346" i="17" s="1"/>
  <c r="K345" i="9"/>
  <c r="I345" i="9"/>
  <c r="F345" i="9"/>
  <c r="F345" i="17" s="1"/>
  <c r="E345" i="9"/>
  <c r="E345" i="17" s="1"/>
  <c r="K344" i="9"/>
  <c r="I344" i="9"/>
  <c r="F344" i="9"/>
  <c r="F344" i="17" s="1"/>
  <c r="E344" i="9"/>
  <c r="E344" i="17" s="1"/>
  <c r="K343" i="9"/>
  <c r="I343" i="9"/>
  <c r="I343" i="17" s="1"/>
  <c r="F343" i="9"/>
  <c r="F343" i="17" s="1"/>
  <c r="E343" i="9"/>
  <c r="E343" i="17" s="1"/>
  <c r="K342" i="9"/>
  <c r="I342" i="9"/>
  <c r="E342" i="9"/>
  <c r="E342" i="17" s="1"/>
  <c r="K341" i="9"/>
  <c r="E341" i="9"/>
  <c r="E341" i="17" s="1"/>
  <c r="K340" i="9"/>
  <c r="I340" i="9"/>
  <c r="E340" i="9"/>
  <c r="E340" i="17" s="1"/>
  <c r="K339" i="9"/>
  <c r="I339" i="9"/>
  <c r="I339" i="17" s="1"/>
  <c r="E339" i="9"/>
  <c r="E339" i="17" s="1"/>
  <c r="K338" i="9"/>
  <c r="I338" i="9"/>
  <c r="I338" i="17" s="1"/>
  <c r="F338" i="9"/>
  <c r="F338" i="17" s="1"/>
  <c r="E338" i="9"/>
  <c r="E338" i="17" s="1"/>
  <c r="K337" i="9"/>
  <c r="I337" i="9"/>
  <c r="F337" i="9"/>
  <c r="F337" i="17" s="1"/>
  <c r="E337" i="9"/>
  <c r="E337" i="17" s="1"/>
  <c r="K336" i="9"/>
  <c r="I336" i="9"/>
  <c r="I336" i="17" s="1"/>
  <c r="F336" i="9"/>
  <c r="F336" i="17" s="1"/>
  <c r="E336" i="9"/>
  <c r="E336" i="17" s="1"/>
  <c r="K335" i="9"/>
  <c r="I335" i="9"/>
  <c r="I335" i="17" s="1"/>
  <c r="F335" i="9"/>
  <c r="F335" i="17" s="1"/>
  <c r="E335" i="9"/>
  <c r="E335" i="17" s="1"/>
  <c r="K334" i="9"/>
  <c r="I334" i="9"/>
  <c r="F334" i="9"/>
  <c r="F334" i="17" s="1"/>
  <c r="E334" i="9"/>
  <c r="E334" i="17" s="1"/>
  <c r="K333" i="9"/>
  <c r="I333" i="9"/>
  <c r="F333" i="9"/>
  <c r="F333" i="17" s="1"/>
  <c r="E333" i="9"/>
  <c r="E333" i="17" s="1"/>
  <c r="K332" i="9"/>
  <c r="I332" i="9"/>
  <c r="F332" i="9"/>
  <c r="F332" i="17" s="1"/>
  <c r="E332" i="9"/>
  <c r="E332" i="17" s="1"/>
  <c r="K331" i="9"/>
  <c r="I331" i="9"/>
  <c r="I331" i="17" s="1"/>
  <c r="F331" i="9"/>
  <c r="F331" i="17" s="1"/>
  <c r="E331" i="9"/>
  <c r="E331" i="17" s="1"/>
  <c r="K330" i="9"/>
  <c r="E330" i="9"/>
  <c r="E330" i="17" s="1"/>
  <c r="K329" i="9"/>
  <c r="I329" i="9"/>
  <c r="I329" i="17" s="1"/>
  <c r="E329" i="9"/>
  <c r="E329" i="17" s="1"/>
  <c r="K328" i="9"/>
  <c r="I328" i="9"/>
  <c r="E328" i="9"/>
  <c r="E328" i="17" s="1"/>
  <c r="K327" i="9"/>
  <c r="I327" i="9"/>
  <c r="I327" i="17" s="1"/>
  <c r="E327" i="9"/>
  <c r="E327" i="17" s="1"/>
  <c r="K326" i="9"/>
  <c r="I326" i="9"/>
  <c r="I326" i="17" s="1"/>
  <c r="F326" i="9"/>
  <c r="F326" i="17" s="1"/>
  <c r="E326" i="9"/>
  <c r="E326" i="17" s="1"/>
  <c r="K325" i="9"/>
  <c r="I325" i="9"/>
  <c r="I325" i="17" s="1"/>
  <c r="F325" i="9"/>
  <c r="F325" i="17" s="1"/>
  <c r="E325" i="9"/>
  <c r="E325" i="17" s="1"/>
  <c r="K324" i="9"/>
  <c r="I324" i="9"/>
  <c r="F324" i="9"/>
  <c r="F324" i="17" s="1"/>
  <c r="E324" i="9"/>
  <c r="E324" i="17" s="1"/>
  <c r="K323" i="9"/>
  <c r="I323" i="9"/>
  <c r="F323" i="9"/>
  <c r="F323" i="17" s="1"/>
  <c r="E323" i="9"/>
  <c r="E323" i="17" s="1"/>
  <c r="K322" i="9"/>
  <c r="I322" i="9"/>
  <c r="F322" i="9"/>
  <c r="F322" i="17" s="1"/>
  <c r="E322" i="9"/>
  <c r="E322" i="17" s="1"/>
  <c r="K321" i="9"/>
  <c r="I321" i="9"/>
  <c r="I321" i="17" s="1"/>
  <c r="F321" i="9"/>
  <c r="F321" i="17" s="1"/>
  <c r="E321" i="9"/>
  <c r="E321" i="17" s="1"/>
  <c r="K320" i="9"/>
  <c r="I320" i="9"/>
  <c r="I320" i="17" s="1"/>
  <c r="F320" i="9"/>
  <c r="F320" i="17" s="1"/>
  <c r="E320" i="9"/>
  <c r="E320" i="17" s="1"/>
  <c r="K319" i="9"/>
  <c r="I319" i="9"/>
  <c r="I319" i="17" s="1"/>
  <c r="F319" i="9"/>
  <c r="F319" i="17" s="1"/>
  <c r="E319" i="9"/>
  <c r="E319" i="17" s="1"/>
  <c r="K318" i="9"/>
  <c r="I318" i="9"/>
  <c r="I318" i="17" s="1"/>
  <c r="E318" i="9"/>
  <c r="E318" i="17" s="1"/>
  <c r="K317" i="9"/>
  <c r="E317" i="9"/>
  <c r="E317" i="17" s="1"/>
  <c r="K316" i="9"/>
  <c r="I316" i="9"/>
  <c r="E316" i="9"/>
  <c r="E316" i="17" s="1"/>
  <c r="K315" i="9"/>
  <c r="I315" i="9"/>
  <c r="E315" i="9"/>
  <c r="E315" i="17" s="1"/>
  <c r="K314" i="9"/>
  <c r="I314" i="9"/>
  <c r="I314" i="17" s="1"/>
  <c r="F314" i="9"/>
  <c r="F314" i="17" s="1"/>
  <c r="E314" i="9"/>
  <c r="E314" i="17" s="1"/>
  <c r="K313" i="9"/>
  <c r="I313" i="9"/>
  <c r="I313" i="17" s="1"/>
  <c r="F313" i="9"/>
  <c r="F313" i="17" s="1"/>
  <c r="E313" i="9"/>
  <c r="E313" i="17" s="1"/>
  <c r="K312" i="9"/>
  <c r="I312" i="9"/>
  <c r="F312" i="9"/>
  <c r="F312" i="17" s="1"/>
  <c r="E312" i="9"/>
  <c r="E312" i="17" s="1"/>
  <c r="K311" i="9"/>
  <c r="I311" i="9"/>
  <c r="I311" i="17" s="1"/>
  <c r="F311" i="9"/>
  <c r="F311" i="17" s="1"/>
  <c r="E311" i="9"/>
  <c r="E311" i="17" s="1"/>
  <c r="K310" i="9"/>
  <c r="I310" i="9"/>
  <c r="I310" i="17" s="1"/>
  <c r="F310" i="9"/>
  <c r="F310" i="17" s="1"/>
  <c r="E310" i="9"/>
  <c r="E310" i="17" s="1"/>
  <c r="K309" i="9"/>
  <c r="I309" i="9"/>
  <c r="I309" i="17" s="1"/>
  <c r="F309" i="9"/>
  <c r="F309" i="17" s="1"/>
  <c r="E309" i="9"/>
  <c r="E309" i="17" s="1"/>
  <c r="K308" i="9"/>
  <c r="I308" i="9"/>
  <c r="I308" i="17" s="1"/>
  <c r="F308" i="9"/>
  <c r="F308" i="17" s="1"/>
  <c r="E308" i="9"/>
  <c r="E308" i="17" s="1"/>
  <c r="K307" i="9"/>
  <c r="I307" i="9"/>
  <c r="F307" i="9"/>
  <c r="F307" i="17" s="1"/>
  <c r="E307" i="9"/>
  <c r="E307" i="17" s="1"/>
  <c r="K306" i="9"/>
  <c r="I306" i="9"/>
  <c r="I306" i="17" s="1"/>
  <c r="E306" i="9"/>
  <c r="E306" i="17" s="1"/>
  <c r="K305" i="9"/>
  <c r="E305" i="9"/>
  <c r="E305" i="17" s="1"/>
  <c r="K304" i="9"/>
  <c r="I304" i="9"/>
  <c r="E304" i="9"/>
  <c r="E304" i="17" s="1"/>
  <c r="K303" i="9"/>
  <c r="I303" i="9"/>
  <c r="I303" i="17" s="1"/>
  <c r="E303" i="9"/>
  <c r="E303" i="17" s="1"/>
  <c r="K302" i="9"/>
  <c r="I302" i="9"/>
  <c r="I302" i="17" s="1"/>
  <c r="E302" i="9"/>
  <c r="E302" i="17" s="1"/>
  <c r="K301" i="9"/>
  <c r="I301" i="9"/>
  <c r="F301" i="9"/>
  <c r="F301" i="17" s="1"/>
  <c r="E301" i="9"/>
  <c r="E301" i="17" s="1"/>
  <c r="K300" i="9"/>
  <c r="I300" i="9"/>
  <c r="F300" i="9"/>
  <c r="F300" i="17" s="1"/>
  <c r="E300" i="9"/>
  <c r="E300" i="17" s="1"/>
  <c r="K299" i="9"/>
  <c r="I299" i="9"/>
  <c r="E299" i="9"/>
  <c r="E299" i="17" s="1"/>
  <c r="K298" i="9"/>
  <c r="I298" i="9"/>
  <c r="E298" i="9"/>
  <c r="E298" i="17" s="1"/>
  <c r="K297" i="9"/>
  <c r="I297" i="9"/>
  <c r="I297" i="17" s="1"/>
  <c r="F297" i="9"/>
  <c r="F297" i="17" s="1"/>
  <c r="E297" i="9"/>
  <c r="E297" i="17" s="1"/>
  <c r="K296" i="9"/>
  <c r="I296" i="9"/>
  <c r="I296" i="17" s="1"/>
  <c r="F296" i="9"/>
  <c r="F296" i="17" s="1"/>
  <c r="E296" i="9"/>
  <c r="E296" i="17" s="1"/>
  <c r="K295" i="9"/>
  <c r="I295" i="9"/>
  <c r="I295" i="17" s="1"/>
  <c r="E295" i="9"/>
  <c r="E295" i="17" s="1"/>
  <c r="K294" i="9"/>
  <c r="I294" i="9"/>
  <c r="E294" i="9"/>
  <c r="E294" i="17" s="1"/>
  <c r="K293" i="9"/>
  <c r="I293" i="9"/>
  <c r="I293" i="17" s="1"/>
  <c r="E293" i="9"/>
  <c r="E293" i="17" s="1"/>
  <c r="K292" i="9"/>
  <c r="I292" i="9"/>
  <c r="F292" i="9"/>
  <c r="F292" i="17" s="1"/>
  <c r="E292" i="9"/>
  <c r="E292" i="17" s="1"/>
  <c r="K291" i="9"/>
  <c r="I291" i="9"/>
  <c r="I291" i="17" s="1"/>
  <c r="F291" i="9"/>
  <c r="F291" i="17" s="1"/>
  <c r="E291" i="9"/>
  <c r="E291" i="17" s="1"/>
  <c r="K290" i="9"/>
  <c r="I290" i="9"/>
  <c r="I290" i="17" s="1"/>
  <c r="E290" i="9"/>
  <c r="E290" i="17" s="1"/>
  <c r="K289" i="9"/>
  <c r="I289" i="9"/>
  <c r="E289" i="9"/>
  <c r="E289" i="17" s="1"/>
  <c r="K288" i="9"/>
  <c r="I288" i="9"/>
  <c r="I288" i="17" s="1"/>
  <c r="E288" i="9"/>
  <c r="E288" i="17" s="1"/>
  <c r="K287" i="9"/>
  <c r="I287" i="9"/>
  <c r="I287" i="17" s="1"/>
  <c r="F287" i="9"/>
  <c r="F287" i="17" s="1"/>
  <c r="E287" i="9"/>
  <c r="E287" i="17" s="1"/>
  <c r="K286" i="9"/>
  <c r="I286" i="9"/>
  <c r="F286" i="9"/>
  <c r="F286" i="17" s="1"/>
  <c r="E286" i="9"/>
  <c r="E286" i="17" s="1"/>
  <c r="K285" i="9"/>
  <c r="I285" i="9"/>
  <c r="I285" i="17" s="1"/>
  <c r="E285" i="9"/>
  <c r="E285" i="17" s="1"/>
  <c r="K284" i="9"/>
  <c r="I284" i="9"/>
  <c r="E284" i="9"/>
  <c r="E284" i="17" s="1"/>
  <c r="K283" i="9"/>
  <c r="I283" i="9"/>
  <c r="I283" i="17" s="1"/>
  <c r="E283" i="9"/>
  <c r="E283" i="17" s="1"/>
  <c r="K282" i="9"/>
  <c r="I282" i="9"/>
  <c r="I282" i="17" s="1"/>
  <c r="F282" i="9"/>
  <c r="F282" i="17" s="1"/>
  <c r="E282" i="9"/>
  <c r="E282" i="17" s="1"/>
  <c r="K281" i="9"/>
  <c r="I281" i="9"/>
  <c r="I281" i="17" s="1"/>
  <c r="F281" i="9"/>
  <c r="F281" i="17" s="1"/>
  <c r="E281" i="9"/>
  <c r="E281" i="17" s="1"/>
  <c r="K280" i="9"/>
  <c r="I280" i="9"/>
  <c r="E280" i="9"/>
  <c r="E280" i="17" s="1"/>
  <c r="K279" i="9"/>
  <c r="I279" i="9"/>
  <c r="E279" i="9"/>
  <c r="E279" i="17" s="1"/>
  <c r="K278" i="9"/>
  <c r="I278" i="9"/>
  <c r="I278" i="17" s="1"/>
  <c r="E278" i="9"/>
  <c r="E278" i="17" s="1"/>
  <c r="K277" i="9"/>
  <c r="I277" i="9"/>
  <c r="I277" i="17" s="1"/>
  <c r="F277" i="9"/>
  <c r="F277" i="17" s="1"/>
  <c r="E277" i="9"/>
  <c r="E277" i="17" s="1"/>
  <c r="K276" i="9"/>
  <c r="I276" i="9"/>
  <c r="F276" i="9"/>
  <c r="F276" i="17" s="1"/>
  <c r="E276" i="9"/>
  <c r="E276" i="17" s="1"/>
  <c r="K275" i="9"/>
  <c r="I275" i="9"/>
  <c r="I275" i="17" s="1"/>
  <c r="E275" i="9"/>
  <c r="E275" i="17" s="1"/>
  <c r="K274" i="9"/>
  <c r="I274" i="9"/>
  <c r="E274" i="9"/>
  <c r="E274" i="17" s="1"/>
  <c r="K273" i="9"/>
  <c r="I273" i="9"/>
  <c r="F273" i="9"/>
  <c r="F273" i="17" s="1"/>
  <c r="E273" i="9"/>
  <c r="E273" i="17" s="1"/>
  <c r="K272" i="9"/>
  <c r="I272" i="9"/>
  <c r="F272" i="9"/>
  <c r="F272" i="17" s="1"/>
  <c r="E272" i="9"/>
  <c r="E272" i="17" s="1"/>
  <c r="K271" i="9"/>
  <c r="I271" i="9"/>
  <c r="F271" i="9"/>
  <c r="F271" i="17" s="1"/>
  <c r="E271" i="9"/>
  <c r="E271" i="17" s="1"/>
  <c r="K270" i="9"/>
  <c r="I270" i="9"/>
  <c r="I270" i="17" s="1"/>
  <c r="F270" i="9"/>
  <c r="F270" i="17" s="1"/>
  <c r="E270" i="9"/>
  <c r="E270" i="17" s="1"/>
  <c r="K269" i="9"/>
  <c r="E269" i="9"/>
  <c r="E269" i="17" s="1"/>
  <c r="K268" i="9"/>
  <c r="E268" i="9"/>
  <c r="E268" i="17" s="1"/>
  <c r="K267" i="9"/>
  <c r="I267" i="9"/>
  <c r="E267" i="9"/>
  <c r="E267" i="17" s="1"/>
  <c r="K266" i="9"/>
  <c r="I266" i="9"/>
  <c r="I266" i="17" s="1"/>
  <c r="E266" i="9"/>
  <c r="E266" i="17" s="1"/>
  <c r="K265" i="9"/>
  <c r="I265" i="9"/>
  <c r="F265" i="9"/>
  <c r="F265" i="17" s="1"/>
  <c r="E265" i="9"/>
  <c r="E265" i="17" s="1"/>
  <c r="K264" i="9"/>
  <c r="I264" i="9"/>
  <c r="I264" i="17" s="1"/>
  <c r="F264" i="9"/>
  <c r="F264" i="17" s="1"/>
  <c r="E264" i="9"/>
  <c r="E264" i="17" s="1"/>
  <c r="K263" i="9"/>
  <c r="I263" i="9"/>
  <c r="F263" i="9"/>
  <c r="F263" i="17" s="1"/>
  <c r="E263" i="9"/>
  <c r="E263" i="17" s="1"/>
  <c r="K262" i="9"/>
  <c r="I262" i="9"/>
  <c r="I262" i="17" s="1"/>
  <c r="F262" i="9"/>
  <c r="F262" i="17" s="1"/>
  <c r="E262" i="9"/>
  <c r="E262" i="17" s="1"/>
  <c r="K261" i="9"/>
  <c r="I261" i="9"/>
  <c r="I261" i="17" s="1"/>
  <c r="F261" i="9"/>
  <c r="F261" i="17" s="1"/>
  <c r="E261" i="9"/>
  <c r="E261" i="17" s="1"/>
  <c r="K260" i="9"/>
  <c r="E260" i="9"/>
  <c r="E260" i="17" s="1"/>
  <c r="K259" i="9"/>
  <c r="E259" i="9"/>
  <c r="E259" i="17" s="1"/>
  <c r="K258" i="9"/>
  <c r="I258" i="9"/>
  <c r="E258" i="9"/>
  <c r="E258" i="17" s="1"/>
  <c r="K257" i="9"/>
  <c r="I257" i="9"/>
  <c r="I257" i="17" s="1"/>
  <c r="E257" i="9"/>
  <c r="E257" i="17" s="1"/>
  <c r="K256" i="9"/>
  <c r="I256" i="9"/>
  <c r="I256" i="17" s="1"/>
  <c r="F256" i="9"/>
  <c r="F256" i="17" s="1"/>
  <c r="E256" i="9"/>
  <c r="E256" i="17" s="1"/>
  <c r="K255" i="9"/>
  <c r="I255" i="9"/>
  <c r="I255" i="17" s="1"/>
  <c r="F255" i="9"/>
  <c r="F255" i="17" s="1"/>
  <c r="E255" i="9"/>
  <c r="E255" i="17" s="1"/>
  <c r="K254" i="9"/>
  <c r="I254" i="9"/>
  <c r="I254" i="17" s="1"/>
  <c r="F254" i="9"/>
  <c r="F254" i="17" s="1"/>
  <c r="E254" i="9"/>
  <c r="E254" i="17" s="1"/>
  <c r="K253" i="9"/>
  <c r="I253" i="9"/>
  <c r="F253" i="9"/>
  <c r="F253" i="17" s="1"/>
  <c r="E253" i="9"/>
  <c r="E253" i="17" s="1"/>
  <c r="K252" i="9"/>
  <c r="I252" i="9"/>
  <c r="F252" i="9"/>
  <c r="F252" i="17" s="1"/>
  <c r="E252" i="9"/>
  <c r="E252" i="17" s="1"/>
  <c r="K251" i="9"/>
  <c r="E251" i="9"/>
  <c r="E251" i="17" s="1"/>
  <c r="K250" i="9"/>
  <c r="E250" i="9"/>
  <c r="E250" i="17" s="1"/>
  <c r="K249" i="9"/>
  <c r="I249" i="9"/>
  <c r="I249" i="17" s="1"/>
  <c r="E249" i="9"/>
  <c r="E249" i="17" s="1"/>
  <c r="K248" i="9"/>
  <c r="I248" i="9"/>
  <c r="E248" i="9"/>
  <c r="E248" i="17" s="1"/>
  <c r="K247" i="9"/>
  <c r="I247" i="9"/>
  <c r="F247" i="9"/>
  <c r="F247" i="17" s="1"/>
  <c r="E247" i="9"/>
  <c r="E247" i="17" s="1"/>
  <c r="K246" i="9"/>
  <c r="I246" i="9"/>
  <c r="I246" i="17" s="1"/>
  <c r="F246" i="9"/>
  <c r="F246" i="17" s="1"/>
  <c r="E246" i="9"/>
  <c r="E246" i="17" s="1"/>
  <c r="K245" i="9"/>
  <c r="I245" i="9"/>
  <c r="F245" i="9"/>
  <c r="F245" i="17" s="1"/>
  <c r="E245" i="9"/>
  <c r="E245" i="17" s="1"/>
  <c r="K244" i="9"/>
  <c r="E244" i="9"/>
  <c r="E244" i="17" s="1"/>
  <c r="K243" i="9"/>
  <c r="E243" i="9"/>
  <c r="E243" i="17" s="1"/>
  <c r="K242" i="9"/>
  <c r="I242" i="9"/>
  <c r="E242" i="9"/>
  <c r="E242" i="17" s="1"/>
  <c r="K241" i="9"/>
  <c r="I241" i="9"/>
  <c r="I241" i="17" s="1"/>
  <c r="E241" i="9"/>
  <c r="E241" i="17" s="1"/>
  <c r="K240" i="9"/>
  <c r="I240" i="9"/>
  <c r="F240" i="9"/>
  <c r="F240" i="17" s="1"/>
  <c r="E240" i="9"/>
  <c r="E240" i="17" s="1"/>
  <c r="K239" i="9"/>
  <c r="I239" i="9"/>
  <c r="F239" i="9"/>
  <c r="F239" i="17" s="1"/>
  <c r="E239" i="9"/>
  <c r="E239" i="17" s="1"/>
  <c r="K238" i="9"/>
  <c r="I238" i="9"/>
  <c r="F238" i="9"/>
  <c r="F238" i="17" s="1"/>
  <c r="E238" i="9"/>
  <c r="E238" i="17" s="1"/>
  <c r="K237" i="9"/>
  <c r="I237" i="9"/>
  <c r="F237" i="9"/>
  <c r="F237" i="17" s="1"/>
  <c r="E237" i="9"/>
  <c r="E237" i="17" s="1"/>
  <c r="K236" i="9"/>
  <c r="I236" i="9"/>
  <c r="F236" i="9"/>
  <c r="F236" i="17" s="1"/>
  <c r="E236" i="9"/>
  <c r="E236" i="17" s="1"/>
  <c r="K235" i="9"/>
  <c r="I235" i="9"/>
  <c r="I235" i="17" s="1"/>
  <c r="F235" i="9"/>
  <c r="F235" i="17" s="1"/>
  <c r="E235" i="9"/>
  <c r="E235" i="17" s="1"/>
  <c r="K234" i="9"/>
  <c r="E234" i="9"/>
  <c r="E234" i="17" s="1"/>
  <c r="K233" i="9"/>
  <c r="E233" i="9"/>
  <c r="E233" i="17" s="1"/>
  <c r="K232" i="9"/>
  <c r="E232" i="9"/>
  <c r="E232" i="17" s="1"/>
  <c r="K231" i="9"/>
  <c r="I231" i="9"/>
  <c r="E231" i="9"/>
  <c r="E231" i="17" s="1"/>
  <c r="K230" i="9"/>
  <c r="I230" i="9"/>
  <c r="I230" i="17" s="1"/>
  <c r="E230" i="9"/>
  <c r="E230" i="17" s="1"/>
  <c r="K229" i="9"/>
  <c r="I229" i="9"/>
  <c r="I229" i="17" s="1"/>
  <c r="F229" i="9"/>
  <c r="F229" i="17" s="1"/>
  <c r="E229" i="9"/>
  <c r="E229" i="17" s="1"/>
  <c r="K228" i="9"/>
  <c r="I228" i="9"/>
  <c r="F228" i="9"/>
  <c r="F228" i="17" s="1"/>
  <c r="E228" i="9"/>
  <c r="E228" i="17" s="1"/>
  <c r="K227" i="9"/>
  <c r="I227" i="9"/>
  <c r="F227" i="9"/>
  <c r="F227" i="17" s="1"/>
  <c r="E227" i="9"/>
  <c r="E227" i="17" s="1"/>
  <c r="K226" i="9"/>
  <c r="I226" i="9"/>
  <c r="I226" i="17" s="1"/>
  <c r="F226" i="9"/>
  <c r="F226" i="17" s="1"/>
  <c r="E226" i="9"/>
  <c r="E226" i="17" s="1"/>
  <c r="K225" i="9"/>
  <c r="I225" i="9"/>
  <c r="F225" i="9"/>
  <c r="F225" i="17" s="1"/>
  <c r="E225" i="9"/>
  <c r="E225" i="17" s="1"/>
  <c r="K224" i="9"/>
  <c r="I224" i="9"/>
  <c r="I224" i="17" s="1"/>
  <c r="F224" i="9"/>
  <c r="F224" i="17" s="1"/>
  <c r="E224" i="9"/>
  <c r="E224" i="17" s="1"/>
  <c r="K223" i="9"/>
  <c r="E223" i="9"/>
  <c r="E223" i="17" s="1"/>
  <c r="K222" i="9"/>
  <c r="E222" i="9"/>
  <c r="E222" i="17" s="1"/>
  <c r="K221" i="9"/>
  <c r="E221" i="9"/>
  <c r="E221" i="17" s="1"/>
  <c r="K220" i="9"/>
  <c r="I220" i="9"/>
  <c r="E220" i="9"/>
  <c r="E220" i="17" s="1"/>
  <c r="K219" i="9"/>
  <c r="I219" i="9"/>
  <c r="I219" i="17" s="1"/>
  <c r="E219" i="9"/>
  <c r="E219" i="17" s="1"/>
  <c r="K218" i="9"/>
  <c r="I218" i="9"/>
  <c r="I218" i="17" s="1"/>
  <c r="F218" i="9"/>
  <c r="F218" i="17" s="1"/>
  <c r="E218" i="9"/>
  <c r="E218" i="17" s="1"/>
  <c r="K217" i="9"/>
  <c r="I217" i="9"/>
  <c r="F217" i="9"/>
  <c r="F217" i="17" s="1"/>
  <c r="E217" i="9"/>
  <c r="E217" i="17" s="1"/>
  <c r="K216" i="9"/>
  <c r="I216" i="9"/>
  <c r="I216" i="17" s="1"/>
  <c r="F216" i="9"/>
  <c r="F216" i="17" s="1"/>
  <c r="E216" i="9"/>
  <c r="E216" i="17" s="1"/>
  <c r="K215" i="9"/>
  <c r="I215" i="9"/>
  <c r="I215" i="17" s="1"/>
  <c r="E215" i="9"/>
  <c r="E215" i="17" s="1"/>
  <c r="K214" i="9"/>
  <c r="I214" i="9"/>
  <c r="I214" i="17" s="1"/>
  <c r="E214" i="9"/>
  <c r="E214" i="17" s="1"/>
  <c r="K213" i="9"/>
  <c r="I213" i="9"/>
  <c r="I213" i="17" s="1"/>
  <c r="F213" i="9"/>
  <c r="F213" i="17" s="1"/>
  <c r="E213" i="9"/>
  <c r="E213" i="17" s="1"/>
  <c r="K212" i="9"/>
  <c r="I212" i="9"/>
  <c r="I212" i="17" s="1"/>
  <c r="F212" i="9"/>
  <c r="F212" i="17" s="1"/>
  <c r="E212" i="9"/>
  <c r="E212" i="17" s="1"/>
  <c r="K211" i="9"/>
  <c r="I211" i="9"/>
  <c r="I211" i="17" s="1"/>
  <c r="F211" i="9"/>
  <c r="F211" i="17" s="1"/>
  <c r="E211" i="9"/>
  <c r="E211" i="17" s="1"/>
  <c r="K210" i="9"/>
  <c r="I210" i="9"/>
  <c r="I210" i="17" s="1"/>
  <c r="F210" i="9"/>
  <c r="F210" i="17" s="1"/>
  <c r="E210" i="9"/>
  <c r="E210" i="17" s="1"/>
  <c r="K209" i="9"/>
  <c r="I209" i="9"/>
  <c r="F209" i="9"/>
  <c r="F209" i="17" s="1"/>
  <c r="E209" i="9"/>
  <c r="E209" i="17" s="1"/>
  <c r="K208" i="9"/>
  <c r="I208" i="9"/>
  <c r="I208" i="17" s="1"/>
  <c r="F208" i="9"/>
  <c r="F208" i="17" s="1"/>
  <c r="E208" i="9"/>
  <c r="E208" i="17" s="1"/>
  <c r="K207" i="9"/>
  <c r="E207" i="9"/>
  <c r="E207" i="17" s="1"/>
  <c r="K206" i="9"/>
  <c r="E206" i="9"/>
  <c r="E206" i="17" s="1"/>
  <c r="K205" i="9"/>
  <c r="E205" i="9"/>
  <c r="E205" i="17" s="1"/>
  <c r="K204" i="9"/>
  <c r="I204" i="9"/>
  <c r="I204" i="17" s="1"/>
  <c r="E204" i="9"/>
  <c r="E204" i="17" s="1"/>
  <c r="K203" i="9"/>
  <c r="I203" i="9"/>
  <c r="I203" i="17" s="1"/>
  <c r="F203" i="9"/>
  <c r="F203" i="17" s="1"/>
  <c r="E203" i="9"/>
  <c r="E203" i="17" s="1"/>
  <c r="K202" i="9"/>
  <c r="I202" i="9"/>
  <c r="I202" i="17" s="1"/>
  <c r="F202" i="9"/>
  <c r="F202" i="17" s="1"/>
  <c r="E202" i="9"/>
  <c r="E202" i="17" s="1"/>
  <c r="K201" i="9"/>
  <c r="I201" i="9"/>
  <c r="I201" i="17" s="1"/>
  <c r="F201" i="9"/>
  <c r="F201" i="17" s="1"/>
  <c r="E201" i="9"/>
  <c r="E201" i="17" s="1"/>
  <c r="K200" i="9"/>
  <c r="I200" i="9"/>
  <c r="I200" i="17" s="1"/>
  <c r="F200" i="9"/>
  <c r="F200" i="17" s="1"/>
  <c r="E200" i="9"/>
  <c r="E200" i="17" s="1"/>
  <c r="K199" i="9"/>
  <c r="I199" i="9"/>
  <c r="I199" i="17" s="1"/>
  <c r="F199" i="9"/>
  <c r="F199" i="17" s="1"/>
  <c r="E199" i="9"/>
  <c r="E199" i="17" s="1"/>
  <c r="K198" i="9"/>
  <c r="I198" i="9"/>
  <c r="I198" i="17" s="1"/>
  <c r="F198" i="9"/>
  <c r="F198" i="17" s="1"/>
  <c r="E198" i="9"/>
  <c r="E198" i="17" s="1"/>
  <c r="K197" i="9"/>
  <c r="I197" i="9"/>
  <c r="I197" i="17" s="1"/>
  <c r="F197" i="9"/>
  <c r="F197" i="17" s="1"/>
  <c r="E197" i="9"/>
  <c r="E197" i="17" s="1"/>
  <c r="K196" i="9"/>
  <c r="I196" i="9"/>
  <c r="I196" i="17" s="1"/>
  <c r="F196" i="9"/>
  <c r="F196" i="17" s="1"/>
  <c r="E196" i="9"/>
  <c r="E196" i="17" s="1"/>
  <c r="K195" i="9"/>
  <c r="I195" i="9"/>
  <c r="I195" i="17" s="1"/>
  <c r="E195" i="9"/>
  <c r="E195" i="17" s="1"/>
  <c r="K194" i="9"/>
  <c r="E194" i="9"/>
  <c r="E194" i="17" s="1"/>
  <c r="K193" i="9"/>
  <c r="I193" i="9"/>
  <c r="I193" i="17" s="1"/>
  <c r="E193" i="9"/>
  <c r="E193" i="17" s="1"/>
  <c r="K192" i="9"/>
  <c r="I192" i="9"/>
  <c r="I192" i="17" s="1"/>
  <c r="E192" i="9"/>
  <c r="E192" i="17" s="1"/>
  <c r="K191" i="9"/>
  <c r="I191" i="9"/>
  <c r="I191" i="17" s="1"/>
  <c r="F191" i="9"/>
  <c r="F191" i="17" s="1"/>
  <c r="E191" i="9"/>
  <c r="E191" i="17" s="1"/>
  <c r="K190" i="9"/>
  <c r="I190" i="9"/>
  <c r="I190" i="17" s="1"/>
  <c r="F190" i="9"/>
  <c r="F190" i="17" s="1"/>
  <c r="E190" i="9"/>
  <c r="E190" i="17" s="1"/>
  <c r="K189" i="9"/>
  <c r="I189" i="9"/>
  <c r="F189" i="9"/>
  <c r="F189" i="17" s="1"/>
  <c r="E189" i="9"/>
  <c r="E189" i="17" s="1"/>
  <c r="K188" i="9"/>
  <c r="I188" i="9"/>
  <c r="I188" i="17" s="1"/>
  <c r="F188" i="9"/>
  <c r="F188" i="17" s="1"/>
  <c r="E188" i="9"/>
  <c r="E188" i="17" s="1"/>
  <c r="K187" i="9"/>
  <c r="I187" i="9"/>
  <c r="I187" i="17" s="1"/>
  <c r="F187" i="9"/>
  <c r="F187" i="17" s="1"/>
  <c r="E187" i="9"/>
  <c r="E187" i="17" s="1"/>
  <c r="K186" i="9"/>
  <c r="I186" i="9"/>
  <c r="I186" i="17" s="1"/>
  <c r="F186" i="9"/>
  <c r="F186" i="17" s="1"/>
  <c r="E186" i="9"/>
  <c r="E186" i="17" s="1"/>
  <c r="K185" i="9"/>
  <c r="I185" i="9"/>
  <c r="I185" i="17" s="1"/>
  <c r="F185" i="9"/>
  <c r="F185" i="17" s="1"/>
  <c r="E185" i="9"/>
  <c r="E185" i="17" s="1"/>
  <c r="K184" i="9"/>
  <c r="I184" i="9"/>
  <c r="F184" i="9"/>
  <c r="F184" i="17" s="1"/>
  <c r="E184" i="9"/>
  <c r="E184" i="17" s="1"/>
  <c r="K183" i="9"/>
  <c r="E183" i="9"/>
  <c r="E183" i="17" s="1"/>
  <c r="K182" i="9"/>
  <c r="I182" i="9"/>
  <c r="E182" i="9"/>
  <c r="E182" i="17" s="1"/>
  <c r="K181" i="9"/>
  <c r="I181" i="9"/>
  <c r="I181" i="17" s="1"/>
  <c r="E181" i="9"/>
  <c r="E181" i="17" s="1"/>
  <c r="K180" i="9"/>
  <c r="I180" i="9"/>
  <c r="I180" i="17" s="1"/>
  <c r="F180" i="9"/>
  <c r="F180" i="17" s="1"/>
  <c r="E180" i="9"/>
  <c r="E180" i="17" s="1"/>
  <c r="K179" i="9"/>
  <c r="I179" i="9"/>
  <c r="I179" i="17" s="1"/>
  <c r="F179" i="9"/>
  <c r="F179" i="17" s="1"/>
  <c r="E179" i="9"/>
  <c r="E179" i="17" s="1"/>
  <c r="K178" i="9"/>
  <c r="I178" i="9"/>
  <c r="I178" i="17" s="1"/>
  <c r="F178" i="9"/>
  <c r="F178" i="17" s="1"/>
  <c r="E178" i="9"/>
  <c r="E178" i="17" s="1"/>
  <c r="K177" i="9"/>
  <c r="I177" i="9"/>
  <c r="F177" i="9"/>
  <c r="F177" i="17" s="1"/>
  <c r="E177" i="9"/>
  <c r="E177" i="17" s="1"/>
  <c r="K176" i="9"/>
  <c r="I176" i="9"/>
  <c r="I176" i="17" s="1"/>
  <c r="F176" i="9"/>
  <c r="F176" i="17" s="1"/>
  <c r="E176" i="9"/>
  <c r="E176" i="17" s="1"/>
  <c r="K175" i="9"/>
  <c r="E175" i="9"/>
  <c r="E175" i="17" s="1"/>
  <c r="K174" i="9"/>
  <c r="E174" i="9"/>
  <c r="E174" i="17" s="1"/>
  <c r="K173" i="9"/>
  <c r="E173" i="9"/>
  <c r="E173" i="17" s="1"/>
  <c r="K172" i="9"/>
  <c r="I172" i="9"/>
  <c r="I172" i="17" s="1"/>
  <c r="E172" i="9"/>
  <c r="E172" i="17" s="1"/>
  <c r="K171" i="9"/>
  <c r="I171" i="9"/>
  <c r="I171" i="17" s="1"/>
  <c r="E171" i="9"/>
  <c r="E171" i="17" s="1"/>
  <c r="K170" i="9"/>
  <c r="I170" i="9"/>
  <c r="I170" i="17" s="1"/>
  <c r="F170" i="9"/>
  <c r="F170" i="17" s="1"/>
  <c r="E170" i="9"/>
  <c r="E170" i="17" s="1"/>
  <c r="K169" i="9"/>
  <c r="I169" i="9"/>
  <c r="I169" i="17" s="1"/>
  <c r="F169" i="9"/>
  <c r="F169" i="17" s="1"/>
  <c r="E169" i="9"/>
  <c r="E169" i="17" s="1"/>
  <c r="K168" i="9"/>
  <c r="E168" i="9"/>
  <c r="E168" i="17" s="1"/>
  <c r="K167" i="9"/>
  <c r="E167" i="9"/>
  <c r="E167" i="17" s="1"/>
  <c r="K166" i="9"/>
  <c r="I166" i="9"/>
  <c r="I166" i="17" s="1"/>
  <c r="E166" i="9"/>
  <c r="E166" i="17" s="1"/>
  <c r="K165" i="9"/>
  <c r="I165" i="9"/>
  <c r="I165" i="17" s="1"/>
  <c r="E165" i="9"/>
  <c r="E165" i="17" s="1"/>
  <c r="K164" i="9"/>
  <c r="I164" i="9"/>
  <c r="F164" i="9"/>
  <c r="F164" i="17" s="1"/>
  <c r="E164" i="9"/>
  <c r="E164" i="17" s="1"/>
  <c r="K163" i="9"/>
  <c r="I163" i="9"/>
  <c r="I163" i="17" s="1"/>
  <c r="F163" i="9"/>
  <c r="F163" i="17" s="1"/>
  <c r="E163" i="9"/>
  <c r="E163" i="17" s="1"/>
  <c r="K162" i="9"/>
  <c r="I162" i="9"/>
  <c r="I162" i="17" s="1"/>
  <c r="F162" i="9"/>
  <c r="F162" i="17" s="1"/>
  <c r="E162" i="9"/>
  <c r="E162" i="17" s="1"/>
  <c r="K161" i="9"/>
  <c r="E161" i="9"/>
  <c r="E161" i="17" s="1"/>
  <c r="K160" i="9"/>
  <c r="E160" i="9"/>
  <c r="E160" i="17" s="1"/>
  <c r="K159" i="9"/>
  <c r="I159" i="9"/>
  <c r="I159" i="17" s="1"/>
  <c r="E159" i="9"/>
  <c r="E159" i="17" s="1"/>
  <c r="K158" i="9"/>
  <c r="I158" i="9"/>
  <c r="I158" i="17" s="1"/>
  <c r="E158" i="9"/>
  <c r="E158" i="17" s="1"/>
  <c r="K157" i="9"/>
  <c r="I157" i="9"/>
  <c r="F157" i="9"/>
  <c r="F157" i="17" s="1"/>
  <c r="E157" i="9"/>
  <c r="E157" i="17" s="1"/>
  <c r="K156" i="9"/>
  <c r="I156" i="9"/>
  <c r="I156" i="17" s="1"/>
  <c r="F156" i="9"/>
  <c r="F156" i="17" s="1"/>
  <c r="E156" i="9"/>
  <c r="E156" i="17" s="1"/>
  <c r="K155" i="9"/>
  <c r="I155" i="9"/>
  <c r="I155" i="17" s="1"/>
  <c r="F155" i="9"/>
  <c r="F155" i="17" s="1"/>
  <c r="E155" i="9"/>
  <c r="E155" i="17" s="1"/>
  <c r="K154" i="9"/>
  <c r="I154" i="9"/>
  <c r="I154" i="17" s="1"/>
  <c r="F154" i="9"/>
  <c r="F154" i="17" s="1"/>
  <c r="E154" i="9"/>
  <c r="E154" i="17" s="1"/>
  <c r="K153" i="9"/>
  <c r="E153" i="9"/>
  <c r="E153" i="17" s="1"/>
  <c r="K152" i="9"/>
  <c r="E152" i="9"/>
  <c r="E152" i="17" s="1"/>
  <c r="K151" i="9"/>
  <c r="I151" i="9"/>
  <c r="I151" i="17" s="1"/>
  <c r="E151" i="9"/>
  <c r="E151" i="17" s="1"/>
  <c r="K150" i="9"/>
  <c r="I150" i="9"/>
  <c r="I150" i="17" s="1"/>
  <c r="E150" i="9"/>
  <c r="E150" i="17" s="1"/>
  <c r="K149" i="9"/>
  <c r="I149" i="9"/>
  <c r="I149" i="17" s="1"/>
  <c r="F149" i="9"/>
  <c r="F149" i="17" s="1"/>
  <c r="E149" i="9"/>
  <c r="E149" i="17" s="1"/>
  <c r="K148" i="9"/>
  <c r="I148" i="9"/>
  <c r="I148" i="17" s="1"/>
  <c r="F148" i="9"/>
  <c r="F148" i="17" s="1"/>
  <c r="E148" i="9"/>
  <c r="E148" i="17" s="1"/>
  <c r="K147" i="9"/>
  <c r="E147" i="9"/>
  <c r="E147" i="17" s="1"/>
  <c r="K146" i="9"/>
  <c r="E146" i="9"/>
  <c r="E146" i="17" s="1"/>
  <c r="K145" i="9"/>
  <c r="I145" i="9"/>
  <c r="I145" i="17" s="1"/>
  <c r="E145" i="9"/>
  <c r="E145" i="17" s="1"/>
  <c r="K144" i="9"/>
  <c r="I144" i="9"/>
  <c r="I144" i="17" s="1"/>
  <c r="E144" i="9"/>
  <c r="E144" i="17" s="1"/>
  <c r="K143" i="9"/>
  <c r="I143" i="9"/>
  <c r="I143" i="17" s="1"/>
  <c r="F143" i="9"/>
  <c r="F143" i="17" s="1"/>
  <c r="E143" i="9"/>
  <c r="E143" i="17" s="1"/>
  <c r="K142" i="9"/>
  <c r="I142" i="9"/>
  <c r="F142" i="9"/>
  <c r="F142" i="17" s="1"/>
  <c r="E142" i="9"/>
  <c r="E142" i="17" s="1"/>
  <c r="K141" i="9"/>
  <c r="I141" i="9"/>
  <c r="I141" i="17" s="1"/>
  <c r="F141" i="9"/>
  <c r="F141" i="17" s="1"/>
  <c r="E141" i="9"/>
  <c r="E141" i="17" s="1"/>
  <c r="K140" i="9"/>
  <c r="I140" i="9"/>
  <c r="I140" i="17" s="1"/>
  <c r="F140" i="9"/>
  <c r="F140" i="17" s="1"/>
  <c r="E140" i="9"/>
  <c r="E140" i="17" s="1"/>
  <c r="K139" i="9"/>
  <c r="E139" i="9"/>
  <c r="E139" i="17" s="1"/>
  <c r="K138" i="9"/>
  <c r="E138" i="9"/>
  <c r="E138" i="17" s="1"/>
  <c r="K137" i="9"/>
  <c r="I137" i="9"/>
  <c r="I137" i="17" s="1"/>
  <c r="E137" i="9"/>
  <c r="E137" i="17" s="1"/>
  <c r="K136" i="9"/>
  <c r="I136" i="9"/>
  <c r="I136" i="17" s="1"/>
  <c r="E136" i="9"/>
  <c r="E136" i="17" s="1"/>
  <c r="K135" i="9"/>
  <c r="I135" i="9"/>
  <c r="F135" i="9"/>
  <c r="F135" i="17" s="1"/>
  <c r="E135" i="9"/>
  <c r="E135" i="17" s="1"/>
  <c r="K134" i="9"/>
  <c r="I134" i="9"/>
  <c r="I134" i="17" s="1"/>
  <c r="F134" i="9"/>
  <c r="F134" i="17" s="1"/>
  <c r="E134" i="9"/>
  <c r="E134" i="17" s="1"/>
  <c r="K133" i="9"/>
  <c r="I133" i="9"/>
  <c r="I133" i="17" s="1"/>
  <c r="F133" i="9"/>
  <c r="F133" i="17" s="1"/>
  <c r="E133" i="9"/>
  <c r="E133" i="17" s="1"/>
  <c r="K132" i="9"/>
  <c r="I132" i="9"/>
  <c r="I132" i="17" s="1"/>
  <c r="F132" i="9"/>
  <c r="F132" i="17" s="1"/>
  <c r="E132" i="9"/>
  <c r="E132" i="17" s="1"/>
  <c r="K131" i="9"/>
  <c r="E131" i="9"/>
  <c r="E131" i="17" s="1"/>
  <c r="K130" i="9"/>
  <c r="E130" i="9"/>
  <c r="E130" i="17" s="1"/>
  <c r="K129" i="9"/>
  <c r="E129" i="9"/>
  <c r="E129" i="17" s="1"/>
  <c r="K128" i="9"/>
  <c r="I128" i="9"/>
  <c r="I128" i="17" s="1"/>
  <c r="E128" i="9"/>
  <c r="E128" i="17" s="1"/>
  <c r="K127" i="9"/>
  <c r="I127" i="9"/>
  <c r="I127" i="17" s="1"/>
  <c r="E127" i="9"/>
  <c r="E127" i="17" s="1"/>
  <c r="K126" i="9"/>
  <c r="I126" i="9"/>
  <c r="I126" i="17" s="1"/>
  <c r="F126" i="9"/>
  <c r="F126" i="17" s="1"/>
  <c r="E126" i="9"/>
  <c r="E126" i="17" s="1"/>
  <c r="K125" i="9"/>
  <c r="I125" i="9"/>
  <c r="I125" i="17" s="1"/>
  <c r="F125" i="9"/>
  <c r="F125" i="17" s="1"/>
  <c r="E125" i="9"/>
  <c r="E125" i="17" s="1"/>
  <c r="K124" i="9"/>
  <c r="I124" i="9"/>
  <c r="I124" i="17" s="1"/>
  <c r="F124" i="9"/>
  <c r="F124" i="17" s="1"/>
  <c r="E124" i="9"/>
  <c r="E124" i="17" s="1"/>
  <c r="K123" i="9"/>
  <c r="I123" i="9"/>
  <c r="F123" i="9"/>
  <c r="F123" i="17" s="1"/>
  <c r="E123" i="9"/>
  <c r="E123" i="17" s="1"/>
  <c r="K122" i="9"/>
  <c r="E122" i="9"/>
  <c r="E122" i="17" s="1"/>
  <c r="K121" i="9"/>
  <c r="E121" i="9"/>
  <c r="E121" i="17" s="1"/>
  <c r="K120" i="9"/>
  <c r="E120" i="9"/>
  <c r="E120" i="17" s="1"/>
  <c r="K119" i="9"/>
  <c r="I119" i="9"/>
  <c r="I119" i="17" s="1"/>
  <c r="E119" i="9"/>
  <c r="E119" i="17" s="1"/>
  <c r="K118" i="9"/>
  <c r="I118" i="9"/>
  <c r="I118" i="17" s="1"/>
  <c r="E118" i="9"/>
  <c r="E118" i="17" s="1"/>
  <c r="K117" i="9"/>
  <c r="I117" i="9"/>
  <c r="I117" i="17" s="1"/>
  <c r="F117" i="9"/>
  <c r="F117" i="17" s="1"/>
  <c r="E117" i="9"/>
  <c r="E117" i="17" s="1"/>
  <c r="K116" i="9"/>
  <c r="I116" i="9"/>
  <c r="I116" i="17" s="1"/>
  <c r="F116" i="9"/>
  <c r="F116" i="17" s="1"/>
  <c r="E116" i="9"/>
  <c r="E116" i="17" s="1"/>
  <c r="K115" i="9"/>
  <c r="I115" i="9"/>
  <c r="F115" i="9"/>
  <c r="F115" i="17" s="1"/>
  <c r="E115" i="9"/>
  <c r="E115" i="17" s="1"/>
  <c r="K114" i="9"/>
  <c r="I114" i="9"/>
  <c r="I114" i="17" s="1"/>
  <c r="F114" i="9"/>
  <c r="F114" i="17" s="1"/>
  <c r="E114" i="9"/>
  <c r="E114" i="17" s="1"/>
  <c r="K113" i="9"/>
  <c r="E113" i="9"/>
  <c r="E113" i="17" s="1"/>
  <c r="K112" i="9"/>
  <c r="E112" i="9"/>
  <c r="E112" i="17" s="1"/>
  <c r="K111" i="9"/>
  <c r="E111" i="9"/>
  <c r="E111" i="17" s="1"/>
  <c r="K110" i="9"/>
  <c r="I110" i="9"/>
  <c r="E110" i="9"/>
  <c r="E110" i="17" s="1"/>
  <c r="K109" i="9"/>
  <c r="I109" i="9"/>
  <c r="I109" i="17" s="1"/>
  <c r="E109" i="9"/>
  <c r="E109" i="17" s="1"/>
  <c r="K108" i="9"/>
  <c r="I108" i="9"/>
  <c r="I108" i="17" s="1"/>
  <c r="F108" i="9"/>
  <c r="F108" i="17" s="1"/>
  <c r="E108" i="9"/>
  <c r="E108" i="17" s="1"/>
  <c r="K107" i="9"/>
  <c r="I107" i="9"/>
  <c r="I107" i="17" s="1"/>
  <c r="F107" i="9"/>
  <c r="F107" i="17" s="1"/>
  <c r="E107" i="9"/>
  <c r="E107" i="17" s="1"/>
  <c r="K106" i="9"/>
  <c r="I106" i="9"/>
  <c r="I106" i="17" s="1"/>
  <c r="F106" i="9"/>
  <c r="F106" i="17" s="1"/>
  <c r="E106" i="9"/>
  <c r="E106" i="17" s="1"/>
  <c r="K105" i="9"/>
  <c r="E105" i="9"/>
  <c r="E105" i="17" s="1"/>
  <c r="K104" i="9"/>
  <c r="E104" i="9"/>
  <c r="E104" i="17" s="1"/>
  <c r="K103" i="9"/>
  <c r="E103" i="9"/>
  <c r="E103" i="17" s="1"/>
  <c r="K102" i="9"/>
  <c r="I102" i="9"/>
  <c r="I102" i="17" s="1"/>
  <c r="E102" i="9"/>
  <c r="E102" i="17" s="1"/>
  <c r="K101" i="9"/>
  <c r="I101" i="9"/>
  <c r="I101" i="17" s="1"/>
  <c r="E101" i="9"/>
  <c r="E101" i="17" s="1"/>
  <c r="K100" i="9"/>
  <c r="I100" i="9"/>
  <c r="I100" i="17" s="1"/>
  <c r="F100" i="9"/>
  <c r="F100" i="17" s="1"/>
  <c r="E100" i="9"/>
  <c r="E100" i="17" s="1"/>
  <c r="K99" i="9"/>
  <c r="I99" i="9"/>
  <c r="I99" i="17" s="1"/>
  <c r="F99" i="9"/>
  <c r="F99" i="17" s="1"/>
  <c r="E99" i="9"/>
  <c r="E99" i="17" s="1"/>
  <c r="K98" i="9"/>
  <c r="I98" i="9"/>
  <c r="I98" i="17" s="1"/>
  <c r="F98" i="9"/>
  <c r="F98" i="17" s="1"/>
  <c r="E98" i="9"/>
  <c r="E98" i="17" s="1"/>
  <c r="K97" i="9"/>
  <c r="E97" i="9"/>
  <c r="E97" i="17" s="1"/>
  <c r="K96" i="9"/>
  <c r="E96" i="9"/>
  <c r="E96" i="17" s="1"/>
  <c r="K95" i="9"/>
  <c r="I95" i="9"/>
  <c r="E95" i="9"/>
  <c r="E95" i="17" s="1"/>
  <c r="K94" i="9"/>
  <c r="I94" i="9"/>
  <c r="I94" i="17" s="1"/>
  <c r="E94" i="9"/>
  <c r="E94" i="17" s="1"/>
  <c r="K93" i="9"/>
  <c r="I93" i="9"/>
  <c r="I93" i="17" s="1"/>
  <c r="F93" i="9"/>
  <c r="F93" i="17" s="1"/>
  <c r="E93" i="9"/>
  <c r="E93" i="17" s="1"/>
  <c r="K92" i="9"/>
  <c r="I92" i="9"/>
  <c r="I92" i="17" s="1"/>
  <c r="F92" i="9"/>
  <c r="F92" i="17" s="1"/>
  <c r="E92" i="9"/>
  <c r="E92" i="17" s="1"/>
  <c r="K91" i="9"/>
  <c r="E91" i="9"/>
  <c r="E91" i="17" s="1"/>
  <c r="K90" i="9"/>
  <c r="E90" i="9"/>
  <c r="E90" i="17" s="1"/>
  <c r="K89" i="9"/>
  <c r="I89" i="9"/>
  <c r="I89" i="17" s="1"/>
  <c r="E89" i="9"/>
  <c r="E89" i="17" s="1"/>
  <c r="K88" i="9"/>
  <c r="I88" i="9"/>
  <c r="I88" i="17" s="1"/>
  <c r="E88" i="9"/>
  <c r="E88" i="17" s="1"/>
  <c r="K87" i="9"/>
  <c r="I87" i="9"/>
  <c r="F87" i="9"/>
  <c r="F87" i="17" s="1"/>
  <c r="E87" i="9"/>
  <c r="E87" i="17" s="1"/>
  <c r="K86" i="9"/>
  <c r="I86" i="9"/>
  <c r="I86" i="17" s="1"/>
  <c r="F86" i="9"/>
  <c r="F86" i="17" s="1"/>
  <c r="E86" i="9"/>
  <c r="E86" i="17" s="1"/>
  <c r="K85" i="9"/>
  <c r="E85" i="9"/>
  <c r="E85" i="17" s="1"/>
  <c r="K84" i="9"/>
  <c r="E84" i="9"/>
  <c r="E84" i="17" s="1"/>
  <c r="K83" i="9"/>
  <c r="I83" i="9"/>
  <c r="I83" i="17" s="1"/>
  <c r="E83" i="9"/>
  <c r="E83" i="17" s="1"/>
  <c r="K82" i="9"/>
  <c r="I82" i="9"/>
  <c r="I82" i="17" s="1"/>
  <c r="E82" i="9"/>
  <c r="E82" i="17" s="1"/>
  <c r="K81" i="9"/>
  <c r="I81" i="9"/>
  <c r="I81" i="17" s="1"/>
  <c r="F81" i="9"/>
  <c r="F81" i="17" s="1"/>
  <c r="E81" i="9"/>
  <c r="E81" i="17" s="1"/>
  <c r="K80" i="9"/>
  <c r="I80" i="9"/>
  <c r="I80" i="17" s="1"/>
  <c r="F80" i="9"/>
  <c r="F80" i="17" s="1"/>
  <c r="E80" i="9"/>
  <c r="E80" i="17" s="1"/>
  <c r="K79" i="9"/>
  <c r="I79" i="9"/>
  <c r="I79" i="17" s="1"/>
  <c r="F79" i="9"/>
  <c r="F79" i="17" s="1"/>
  <c r="E79" i="9"/>
  <c r="E79" i="17" s="1"/>
  <c r="K78" i="9"/>
  <c r="I78" i="9"/>
  <c r="I78" i="17" s="1"/>
  <c r="F78" i="9"/>
  <c r="F78" i="17" s="1"/>
  <c r="E78" i="9"/>
  <c r="E78" i="17" s="1"/>
  <c r="K77" i="9"/>
  <c r="I77" i="9"/>
  <c r="I77" i="17" s="1"/>
  <c r="F77" i="9"/>
  <c r="F77" i="17" s="1"/>
  <c r="E77" i="9"/>
  <c r="E77" i="17" s="1"/>
  <c r="K76" i="9"/>
  <c r="I76" i="9"/>
  <c r="I76" i="17" s="1"/>
  <c r="F76" i="9"/>
  <c r="F76" i="17" s="1"/>
  <c r="E76" i="9"/>
  <c r="E76" i="17" s="1"/>
  <c r="K75" i="9"/>
  <c r="E75" i="9"/>
  <c r="E75" i="17" s="1"/>
  <c r="K74" i="9"/>
  <c r="E74" i="9"/>
  <c r="E74" i="17" s="1"/>
  <c r="K73" i="9"/>
  <c r="E73" i="9"/>
  <c r="E73" i="17" s="1"/>
  <c r="K72" i="9"/>
  <c r="I72" i="9"/>
  <c r="I72" i="17" s="1"/>
  <c r="E72" i="9"/>
  <c r="E72" i="17" s="1"/>
  <c r="K71" i="9"/>
  <c r="I71" i="9"/>
  <c r="I71" i="17" s="1"/>
  <c r="E71" i="9"/>
  <c r="E71" i="17" s="1"/>
  <c r="K70" i="9"/>
  <c r="I70" i="9"/>
  <c r="F70" i="9"/>
  <c r="F70" i="17" s="1"/>
  <c r="E70" i="9"/>
  <c r="E70" i="17" s="1"/>
  <c r="K69" i="9"/>
  <c r="I69" i="9"/>
  <c r="F69" i="9"/>
  <c r="F69" i="17" s="1"/>
  <c r="E69" i="9"/>
  <c r="E69" i="17" s="1"/>
  <c r="K68" i="9"/>
  <c r="I68" i="9"/>
  <c r="I68" i="17" s="1"/>
  <c r="F68" i="9"/>
  <c r="F68" i="17" s="1"/>
  <c r="E68" i="9"/>
  <c r="E68" i="17" s="1"/>
  <c r="K67" i="9"/>
  <c r="I67" i="9"/>
  <c r="I67" i="17" s="1"/>
  <c r="F67" i="9"/>
  <c r="F67" i="17" s="1"/>
  <c r="E67" i="9"/>
  <c r="E67" i="17" s="1"/>
  <c r="K66" i="9"/>
  <c r="I66" i="9"/>
  <c r="I66" i="17" s="1"/>
  <c r="F66" i="9"/>
  <c r="F66" i="17" s="1"/>
  <c r="E66" i="9"/>
  <c r="E66" i="17" s="1"/>
  <c r="K65" i="9"/>
  <c r="I65" i="9"/>
  <c r="I65" i="17" s="1"/>
  <c r="F65" i="9"/>
  <c r="F65" i="17" s="1"/>
  <c r="E65" i="9"/>
  <c r="E65" i="17" s="1"/>
  <c r="K64" i="9"/>
  <c r="I64" i="9"/>
  <c r="I64" i="17" s="1"/>
  <c r="F64" i="9"/>
  <c r="F64" i="17" s="1"/>
  <c r="E64" i="9"/>
  <c r="E64" i="17" s="1"/>
  <c r="K63" i="9"/>
  <c r="I63" i="9"/>
  <c r="I63" i="17" s="1"/>
  <c r="F63" i="9"/>
  <c r="F63" i="17" s="1"/>
  <c r="E63" i="9"/>
  <c r="E63" i="17" s="1"/>
  <c r="K62" i="9"/>
  <c r="I62" i="9"/>
  <c r="I62" i="17" s="1"/>
  <c r="F62" i="9"/>
  <c r="F62" i="17" s="1"/>
  <c r="E62" i="9"/>
  <c r="E62" i="17" s="1"/>
  <c r="K61" i="9"/>
  <c r="I61" i="9"/>
  <c r="I61" i="17" s="1"/>
  <c r="F61" i="9"/>
  <c r="F61" i="17" s="1"/>
  <c r="E61" i="9"/>
  <c r="E61" i="17" s="1"/>
  <c r="K60" i="9"/>
  <c r="I60" i="9"/>
  <c r="I60" i="17" s="1"/>
  <c r="F60" i="9"/>
  <c r="F60" i="17" s="1"/>
  <c r="E60" i="9"/>
  <c r="E60" i="17" s="1"/>
  <c r="K59" i="9"/>
  <c r="E59" i="9"/>
  <c r="E59" i="17" s="1"/>
  <c r="K58" i="9"/>
  <c r="E58" i="9"/>
  <c r="E58" i="17" s="1"/>
  <c r="K57" i="9"/>
  <c r="E57" i="9"/>
  <c r="E57" i="17" s="1"/>
  <c r="K56" i="9"/>
  <c r="I56" i="9"/>
  <c r="I56" i="17" s="1"/>
  <c r="E56" i="9"/>
  <c r="E56" i="17" s="1"/>
  <c r="K55" i="9"/>
  <c r="I55" i="9"/>
  <c r="I55" i="17" s="1"/>
  <c r="E55" i="9"/>
  <c r="E55" i="17" s="1"/>
  <c r="K54" i="9"/>
  <c r="I54" i="9"/>
  <c r="I54" i="17" s="1"/>
  <c r="F54" i="9"/>
  <c r="F54" i="17" s="1"/>
  <c r="E54" i="9"/>
  <c r="E54" i="17" s="1"/>
  <c r="K53" i="9"/>
  <c r="I53" i="9"/>
  <c r="I53" i="17" s="1"/>
  <c r="F53" i="9"/>
  <c r="F53" i="17" s="1"/>
  <c r="E53" i="9"/>
  <c r="E53" i="17" s="1"/>
  <c r="K52" i="9"/>
  <c r="I52" i="9"/>
  <c r="I52" i="17" s="1"/>
  <c r="F52" i="9"/>
  <c r="F52" i="17" s="1"/>
  <c r="E52" i="9"/>
  <c r="E52" i="17" s="1"/>
  <c r="K51" i="9"/>
  <c r="I51" i="9"/>
  <c r="F51" i="9"/>
  <c r="F51" i="17" s="1"/>
  <c r="E51" i="9"/>
  <c r="E51" i="17" s="1"/>
  <c r="K50" i="9"/>
  <c r="I50" i="9"/>
  <c r="I50" i="17" s="1"/>
  <c r="F50" i="9"/>
  <c r="F50" i="17" s="1"/>
  <c r="E50" i="9"/>
  <c r="E50" i="17" s="1"/>
  <c r="K49" i="9"/>
  <c r="I49" i="9"/>
  <c r="F49" i="9"/>
  <c r="F49" i="17" s="1"/>
  <c r="E49" i="9"/>
  <c r="E49" i="17" s="1"/>
  <c r="K48" i="9"/>
  <c r="E48" i="9"/>
  <c r="E48" i="17" s="1"/>
  <c r="K47" i="9"/>
  <c r="E47" i="9"/>
  <c r="E47" i="17" s="1"/>
  <c r="K46" i="9"/>
  <c r="E46" i="9"/>
  <c r="E46" i="17" s="1"/>
  <c r="K45" i="9"/>
  <c r="I45" i="9"/>
  <c r="I45" i="17" s="1"/>
  <c r="E45" i="9"/>
  <c r="E45" i="17" s="1"/>
  <c r="K44" i="9"/>
  <c r="I44" i="9"/>
  <c r="I44" i="17" s="1"/>
  <c r="E44" i="9"/>
  <c r="E44" i="17" s="1"/>
  <c r="K43" i="9"/>
  <c r="I43" i="9"/>
  <c r="I43" i="17" s="1"/>
  <c r="F43" i="9"/>
  <c r="F43" i="17" s="1"/>
  <c r="E43" i="9"/>
  <c r="E43" i="17" s="1"/>
  <c r="K42" i="9"/>
  <c r="I42" i="9"/>
  <c r="F42" i="9"/>
  <c r="F42" i="17" s="1"/>
  <c r="E42" i="9"/>
  <c r="E42" i="17" s="1"/>
  <c r="K41" i="9"/>
  <c r="I41" i="9"/>
  <c r="I41" i="17" s="1"/>
  <c r="F41" i="9"/>
  <c r="F41" i="17" s="1"/>
  <c r="E41" i="9"/>
  <c r="E41" i="17" s="1"/>
  <c r="K40" i="9"/>
  <c r="I40" i="9"/>
  <c r="I40" i="17" s="1"/>
  <c r="F40" i="9"/>
  <c r="F40" i="17" s="1"/>
  <c r="E40" i="9"/>
  <c r="E40" i="17" s="1"/>
  <c r="K39" i="9"/>
  <c r="I39" i="9"/>
  <c r="I39" i="17" s="1"/>
  <c r="F39" i="9"/>
  <c r="F39" i="17" s="1"/>
  <c r="E39" i="9"/>
  <c r="E39" i="17" s="1"/>
  <c r="K38" i="9"/>
  <c r="I38" i="9"/>
  <c r="I38" i="17" s="1"/>
  <c r="F38" i="9"/>
  <c r="F38" i="17" s="1"/>
  <c r="E38" i="9"/>
  <c r="E38" i="17" s="1"/>
  <c r="K37" i="9"/>
  <c r="E37" i="9"/>
  <c r="E37" i="17" s="1"/>
  <c r="K36" i="9"/>
  <c r="E36" i="9"/>
  <c r="E36" i="17" s="1"/>
  <c r="K35" i="9"/>
  <c r="E35" i="9"/>
  <c r="E35" i="17" s="1"/>
  <c r="K34" i="9"/>
  <c r="I34" i="9"/>
  <c r="I34" i="17" s="1"/>
  <c r="E34" i="9"/>
  <c r="E34" i="17" s="1"/>
  <c r="K33" i="9"/>
  <c r="I33" i="9"/>
  <c r="I33" i="17" s="1"/>
  <c r="E33" i="9"/>
  <c r="E33" i="17" s="1"/>
  <c r="K32" i="9"/>
  <c r="I32" i="9"/>
  <c r="I32" i="17" s="1"/>
  <c r="F32" i="9"/>
  <c r="F32" i="17" s="1"/>
  <c r="E32" i="9"/>
  <c r="E32" i="17" s="1"/>
  <c r="K31" i="9"/>
  <c r="I31" i="9"/>
  <c r="I31" i="17" s="1"/>
  <c r="F31" i="9"/>
  <c r="F31" i="17" s="1"/>
  <c r="E31" i="9"/>
  <c r="E31" i="17" s="1"/>
  <c r="K30" i="9"/>
  <c r="I30" i="9"/>
  <c r="I30" i="17" s="1"/>
  <c r="F30" i="9"/>
  <c r="F30" i="17" s="1"/>
  <c r="E30" i="9"/>
  <c r="E30" i="17" s="1"/>
  <c r="K29" i="9"/>
  <c r="I29" i="9"/>
  <c r="F29" i="9"/>
  <c r="F29" i="17" s="1"/>
  <c r="E29" i="9"/>
  <c r="E29" i="17" s="1"/>
  <c r="K28" i="9"/>
  <c r="I28" i="9"/>
  <c r="I28" i="17" s="1"/>
  <c r="F28" i="9"/>
  <c r="F28" i="17" s="1"/>
  <c r="E28" i="9"/>
  <c r="E28" i="17" s="1"/>
  <c r="K27" i="9"/>
  <c r="I27" i="9"/>
  <c r="I27" i="17" s="1"/>
  <c r="F27" i="9"/>
  <c r="F27" i="17" s="1"/>
  <c r="E27" i="9"/>
  <c r="E27" i="17" s="1"/>
  <c r="K26" i="9"/>
  <c r="E26" i="9"/>
  <c r="E26" i="17" s="1"/>
  <c r="K25" i="9"/>
  <c r="E25" i="9"/>
  <c r="E25" i="17" s="1"/>
  <c r="K24" i="9"/>
  <c r="E24" i="9"/>
  <c r="E24" i="17" s="1"/>
  <c r="K23" i="9"/>
  <c r="I23" i="9"/>
  <c r="I23" i="17" s="1"/>
  <c r="E23" i="9"/>
  <c r="E23" i="17" s="1"/>
  <c r="K22" i="9"/>
  <c r="I22" i="9"/>
  <c r="I22" i="17" s="1"/>
  <c r="E22" i="9"/>
  <c r="E22" i="17" s="1"/>
  <c r="K21" i="9"/>
  <c r="I21" i="9"/>
  <c r="F21" i="9"/>
  <c r="F21" i="17" s="1"/>
  <c r="E21" i="9"/>
  <c r="E21" i="17" s="1"/>
  <c r="K20" i="9"/>
  <c r="I20" i="9"/>
  <c r="I20" i="17" s="1"/>
  <c r="F20" i="9"/>
  <c r="F20" i="17" s="1"/>
  <c r="E20" i="9"/>
  <c r="E20" i="17" s="1"/>
  <c r="K19" i="9"/>
  <c r="I19" i="9"/>
  <c r="I19" i="17" s="1"/>
  <c r="F19" i="9"/>
  <c r="F19" i="17" s="1"/>
  <c r="E19" i="9"/>
  <c r="E19" i="17" s="1"/>
  <c r="K18" i="9"/>
  <c r="I18" i="9"/>
  <c r="I18" i="17" s="1"/>
  <c r="F18" i="9"/>
  <c r="F18" i="17" s="1"/>
  <c r="E18" i="9"/>
  <c r="E18" i="17" s="1"/>
  <c r="K17" i="9"/>
  <c r="I17" i="9"/>
  <c r="I17" i="17" s="1"/>
  <c r="F17" i="9"/>
  <c r="F17" i="17" s="1"/>
  <c r="E17" i="9"/>
  <c r="E17" i="17" s="1"/>
  <c r="K16" i="9"/>
  <c r="I16" i="9"/>
  <c r="I16" i="17" s="1"/>
  <c r="F16" i="9"/>
  <c r="F16" i="17" s="1"/>
  <c r="E16" i="9"/>
  <c r="E16" i="17" s="1"/>
  <c r="K15" i="9"/>
  <c r="E15" i="9"/>
  <c r="E15" i="17" s="1"/>
  <c r="K14" i="9"/>
  <c r="E14" i="9"/>
  <c r="E14" i="17" s="1"/>
  <c r="K13" i="9"/>
  <c r="E13" i="9"/>
  <c r="E13" i="17" s="1"/>
  <c r="K12" i="9"/>
  <c r="I12" i="9"/>
  <c r="I12" i="17" s="1"/>
  <c r="E12" i="9"/>
  <c r="E12" i="17" s="1"/>
  <c r="K11" i="9"/>
  <c r="I11" i="9"/>
  <c r="I11" i="17" s="1"/>
  <c r="E11" i="9"/>
  <c r="E11" i="17" s="1"/>
  <c r="K10" i="9"/>
  <c r="I10" i="9"/>
  <c r="I10" i="17" s="1"/>
  <c r="F10" i="9"/>
  <c r="F10" i="17" s="1"/>
  <c r="E10" i="9"/>
  <c r="E10" i="17" s="1"/>
  <c r="K9" i="9"/>
  <c r="I9" i="9"/>
  <c r="I9" i="17" s="1"/>
  <c r="F9" i="9"/>
  <c r="F9" i="17" s="1"/>
  <c r="E9" i="9"/>
  <c r="E9" i="17" s="1"/>
  <c r="K8" i="9"/>
  <c r="I8" i="9"/>
  <c r="I8" i="17" s="1"/>
  <c r="F8" i="9"/>
  <c r="F8" i="17" s="1"/>
  <c r="E8" i="9"/>
  <c r="E8" i="17" s="1"/>
  <c r="K7" i="9"/>
  <c r="I7" i="9"/>
  <c r="F7" i="9"/>
  <c r="F7" i="17" s="1"/>
  <c r="E7" i="9"/>
  <c r="E7" i="17" s="1"/>
  <c r="K6" i="9"/>
  <c r="I6" i="9"/>
  <c r="I6" i="17" s="1"/>
  <c r="F6" i="9"/>
  <c r="F6" i="17" s="1"/>
  <c r="E6" i="9"/>
  <c r="E6" i="17" s="1"/>
  <c r="K5" i="9"/>
  <c r="I5" i="9"/>
  <c r="I5" i="17" s="1"/>
  <c r="F5" i="9"/>
  <c r="F5" i="17" s="1"/>
  <c r="E5" i="9"/>
  <c r="E5" i="17" s="1"/>
  <c r="K4" i="9"/>
  <c r="I4" i="9"/>
  <c r="I4" i="17" s="1"/>
  <c r="F4" i="9"/>
  <c r="F4" i="17" s="1"/>
  <c r="E4" i="9"/>
  <c r="E4" i="17" s="1"/>
  <c r="K3" i="9"/>
  <c r="I3" i="9"/>
  <c r="I3" i="17" s="1"/>
  <c r="F3" i="9"/>
  <c r="F3" i="17" s="1"/>
  <c r="E3" i="9"/>
  <c r="E3" i="17" s="1"/>
  <c r="K2" i="9"/>
  <c r="E2" i="9"/>
  <c r="E2" i="17" s="1"/>
  <c r="Q269" i="8"/>
  <c r="L269" i="8"/>
  <c r="O269" i="8" s="1"/>
  <c r="H215" i="10" s="1"/>
  <c r="L215" i="10" s="1"/>
  <c r="J269" i="8"/>
  <c r="M269" i="8" s="1"/>
  <c r="F215" i="10" s="1"/>
  <c r="Q268" i="8"/>
  <c r="L268" i="8"/>
  <c r="O268" i="8" s="1"/>
  <c r="H214" i="10" s="1"/>
  <c r="L214" i="10" s="1"/>
  <c r="J268" i="8"/>
  <c r="M268" i="8" s="1"/>
  <c r="F214" i="10" s="1"/>
  <c r="Q267" i="8"/>
  <c r="L267" i="8"/>
  <c r="O267" i="8" s="1"/>
  <c r="H212" i="10" s="1"/>
  <c r="L212" i="10" s="1"/>
  <c r="Q266" i="8"/>
  <c r="L266" i="8"/>
  <c r="O266" i="8" s="1"/>
  <c r="H211" i="10" s="1"/>
  <c r="L211" i="10" s="1"/>
  <c r="J266" i="8"/>
  <c r="M266" i="8" s="1"/>
  <c r="Q265" i="8"/>
  <c r="Q264" i="8"/>
  <c r="Q263" i="8"/>
  <c r="Q262" i="8"/>
  <c r="Q261" i="8"/>
  <c r="L261" i="8"/>
  <c r="O261" i="8" s="1"/>
  <c r="H206" i="10" s="1"/>
  <c r="L206" i="10" s="1"/>
  <c r="J261" i="8"/>
  <c r="M261" i="8" s="1"/>
  <c r="F206" i="10" s="1"/>
  <c r="J206" i="10" s="1"/>
  <c r="Q260" i="8"/>
  <c r="L260" i="8"/>
  <c r="O260" i="8" s="1"/>
  <c r="H205" i="10" s="1"/>
  <c r="L205" i="10" s="1"/>
  <c r="J260" i="8"/>
  <c r="M260" i="8" s="1"/>
  <c r="F205" i="10" s="1"/>
  <c r="J205" i="10" s="1"/>
  <c r="Q259" i="8"/>
  <c r="L259" i="8"/>
  <c r="O259" i="8" s="1"/>
  <c r="H204" i="10" s="1"/>
  <c r="L204" i="10" s="1"/>
  <c r="J259" i="8"/>
  <c r="M259" i="8" s="1"/>
  <c r="Q258" i="8"/>
  <c r="Q257" i="8"/>
  <c r="Q256" i="8"/>
  <c r="Q255" i="8"/>
  <c r="Q254" i="8"/>
  <c r="L254" i="8"/>
  <c r="O254" i="8" s="1"/>
  <c r="H197" i="10" s="1"/>
  <c r="L197" i="10" s="1"/>
  <c r="J254" i="8"/>
  <c r="M254" i="8" s="1"/>
  <c r="Q253" i="8"/>
  <c r="L253" i="8"/>
  <c r="O253" i="8" s="1"/>
  <c r="H196" i="10" s="1"/>
  <c r="L196" i="10" s="1"/>
  <c r="J253" i="8"/>
  <c r="M253" i="8" s="1"/>
  <c r="Q252" i="8"/>
  <c r="L252" i="8"/>
  <c r="O252" i="8" s="1"/>
  <c r="H194" i="10" s="1"/>
  <c r="L194" i="10" s="1"/>
  <c r="K252" i="8"/>
  <c r="N252" i="8" s="1"/>
  <c r="G194" i="10" s="1"/>
  <c r="K194" i="10" s="1"/>
  <c r="J252" i="8"/>
  <c r="M252" i="8" s="1"/>
  <c r="Q251" i="8"/>
  <c r="L251" i="8"/>
  <c r="O251" i="8" s="1"/>
  <c r="H192" i="10" s="1"/>
  <c r="L192" i="10" s="1"/>
  <c r="K251" i="8"/>
  <c r="N251" i="8" s="1"/>
  <c r="G192" i="10" s="1"/>
  <c r="K192" i="10" s="1"/>
  <c r="J251" i="8"/>
  <c r="M251" i="8" s="1"/>
  <c r="Q250" i="8"/>
  <c r="L250" i="8"/>
  <c r="O250" i="8" s="1"/>
  <c r="H191" i="10" s="1"/>
  <c r="L191" i="10" s="1"/>
  <c r="K250" i="8"/>
  <c r="N250" i="8" s="1"/>
  <c r="G191" i="10" s="1"/>
  <c r="K191" i="10" s="1"/>
  <c r="J250" i="8"/>
  <c r="M250" i="8" s="1"/>
  <c r="F191" i="10" s="1"/>
  <c r="Q249" i="8"/>
  <c r="L249" i="8"/>
  <c r="O249" i="8" s="1"/>
  <c r="H189" i="10" s="1"/>
  <c r="L189" i="10" s="1"/>
  <c r="J249" i="8"/>
  <c r="M249" i="8" s="1"/>
  <c r="Q248" i="8"/>
  <c r="L248" i="8"/>
  <c r="O248" i="8" s="1"/>
  <c r="H188" i="10" s="1"/>
  <c r="L188" i="10" s="1"/>
  <c r="Q247" i="8"/>
  <c r="L247" i="8"/>
  <c r="O247" i="8" s="1"/>
  <c r="H187" i="10" s="1"/>
  <c r="L187" i="10" s="1"/>
  <c r="Q246" i="8"/>
  <c r="L246" i="8"/>
  <c r="O246" i="8" s="1"/>
  <c r="H186" i="10" s="1"/>
  <c r="L186" i="10" s="1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L230" i="8"/>
  <c r="O230" i="8" s="1"/>
  <c r="H169" i="10" s="1"/>
  <c r="L169" i="10" s="1"/>
  <c r="J230" i="8"/>
  <c r="M230" i="8" s="1"/>
  <c r="F169" i="10" s="1"/>
  <c r="J169" i="10" s="1"/>
  <c r="Q229" i="8"/>
  <c r="Q228" i="8"/>
  <c r="Q227" i="8"/>
  <c r="J227" i="8"/>
  <c r="M227" i="8" s="1"/>
  <c r="Q226" i="8"/>
  <c r="J226" i="8"/>
  <c r="M226" i="8" s="1"/>
  <c r="Q225" i="8"/>
  <c r="J225" i="8"/>
  <c r="M225" i="8" s="1"/>
  <c r="F164" i="10" s="1"/>
  <c r="Q224" i="8"/>
  <c r="J224" i="8"/>
  <c r="M224" i="8" s="1"/>
  <c r="F163" i="10" s="1"/>
  <c r="Q223" i="8"/>
  <c r="J223" i="8"/>
  <c r="M223" i="8" s="1"/>
  <c r="Q222" i="8"/>
  <c r="J222" i="8"/>
  <c r="M222" i="8" s="1"/>
  <c r="F161" i="10" s="1"/>
  <c r="J161" i="10" s="1"/>
  <c r="Q221" i="8"/>
  <c r="J221" i="8"/>
  <c r="M221" i="8" s="1"/>
  <c r="F160" i="10" s="1"/>
  <c r="J160" i="10" s="1"/>
  <c r="Q220" i="8"/>
  <c r="J220" i="8"/>
  <c r="M220" i="8" s="1"/>
  <c r="F159" i="10" s="1"/>
  <c r="J159" i="10" s="1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K180" i="8"/>
  <c r="N180" i="8" s="1"/>
  <c r="J180" i="8"/>
  <c r="M180" i="8" s="1"/>
  <c r="Q179" i="8"/>
  <c r="Q178" i="8"/>
  <c r="Q177" i="8"/>
  <c r="Q176" i="8"/>
  <c r="L176" i="8"/>
  <c r="O176" i="8" s="1"/>
  <c r="H111" i="10" s="1"/>
  <c r="L111" i="10" s="1"/>
  <c r="J176" i="8"/>
  <c r="M176" i="8" s="1"/>
  <c r="Q175" i="8"/>
  <c r="Q174" i="8"/>
  <c r="L174" i="8"/>
  <c r="O174" i="8" s="1"/>
  <c r="H108" i="10" s="1"/>
  <c r="L108" i="10" s="1"/>
  <c r="K174" i="8"/>
  <c r="N174" i="8" s="1"/>
  <c r="G108" i="10" s="1"/>
  <c r="K108" i="10" s="1"/>
  <c r="J174" i="8"/>
  <c r="M174" i="8" s="1"/>
  <c r="F108" i="10" s="1"/>
  <c r="J108" i="10" s="1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L157" i="8"/>
  <c r="O157" i="8" s="1"/>
  <c r="H89" i="10" s="1"/>
  <c r="K157" i="8"/>
  <c r="N157" i="8" s="1"/>
  <c r="G89" i="10" s="1"/>
  <c r="K89" i="10" s="1"/>
  <c r="J157" i="8"/>
  <c r="M157" i="8" s="1"/>
  <c r="F89" i="10" s="1"/>
  <c r="J89" i="10" s="1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J139" i="8"/>
  <c r="M139" i="8" s="1"/>
  <c r="F67" i="10" s="1"/>
  <c r="J67" i="10" s="1"/>
  <c r="Q138" i="8"/>
  <c r="Q137" i="8"/>
  <c r="Q136" i="8"/>
  <c r="Q135" i="8"/>
  <c r="Q134" i="8"/>
  <c r="L134" i="8"/>
  <c r="O134" i="8" s="1"/>
  <c r="H60" i="10" s="1"/>
  <c r="L60" i="10" s="1"/>
  <c r="J134" i="8"/>
  <c r="M134" i="8" s="1"/>
  <c r="F60" i="10" s="1"/>
  <c r="Q133" i="8"/>
  <c r="Q132" i="8"/>
  <c r="Q131" i="8"/>
  <c r="L131" i="8"/>
  <c r="O131" i="8" s="1"/>
  <c r="H57" i="10" s="1"/>
  <c r="L57" i="10" s="1"/>
  <c r="K131" i="8"/>
  <c r="N131" i="8" s="1"/>
  <c r="G57" i="10" s="1"/>
  <c r="K57" i="10" s="1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L112" i="8"/>
  <c r="O112" i="8" s="1"/>
  <c r="H36" i="10" s="1"/>
  <c r="L36" i="10" s="1"/>
  <c r="K112" i="8"/>
  <c r="N112" i="8" s="1"/>
  <c r="G36" i="10" s="1"/>
  <c r="K36" i="10" s="1"/>
  <c r="Q111" i="8"/>
  <c r="L111" i="8"/>
  <c r="O111" i="8" s="1"/>
  <c r="H35" i="10" s="1"/>
  <c r="L35" i="10" s="1"/>
  <c r="J111" i="8"/>
  <c r="M111" i="8" s="1"/>
  <c r="F35" i="10" s="1"/>
  <c r="J35" i="10" s="1"/>
  <c r="Q110" i="8"/>
  <c r="K110" i="8"/>
  <c r="N110" i="8" s="1"/>
  <c r="G34" i="10" s="1"/>
  <c r="K34" i="10" s="1"/>
  <c r="J110" i="8"/>
  <c r="M110" i="8" s="1"/>
  <c r="Q109" i="8"/>
  <c r="Q108" i="8"/>
  <c r="Q107" i="8"/>
  <c r="L107" i="8"/>
  <c r="O107" i="8" s="1"/>
  <c r="H31" i="10" s="1"/>
  <c r="L31" i="10" s="1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L92" i="8"/>
  <c r="O92" i="8" s="1"/>
  <c r="K92" i="8"/>
  <c r="N92" i="8" s="1"/>
  <c r="J92" i="8"/>
  <c r="M92" i="8" s="1"/>
  <c r="Q91" i="8"/>
  <c r="L91" i="8"/>
  <c r="O91" i="8" s="1"/>
  <c r="K91" i="8"/>
  <c r="N91" i="8" s="1"/>
  <c r="J91" i="8"/>
  <c r="M91" i="8" s="1"/>
  <c r="Q90" i="8"/>
  <c r="Q89" i="8"/>
  <c r="Q88" i="8"/>
  <c r="J88" i="8"/>
  <c r="M88" i="8" s="1"/>
  <c r="F13" i="10" s="1"/>
  <c r="J13" i="10" s="1"/>
  <c r="Q87" i="8"/>
  <c r="L87" i="8"/>
  <c r="O87" i="8" s="1"/>
  <c r="H11" i="10" s="1"/>
  <c r="L11" i="10" s="1"/>
  <c r="J87" i="8"/>
  <c r="M87" i="8" s="1"/>
  <c r="F11" i="10" s="1"/>
  <c r="J11" i="10" s="1"/>
  <c r="Q86" i="8"/>
  <c r="Q85" i="8"/>
  <c r="Q84" i="8"/>
  <c r="L84" i="8"/>
  <c r="O84" i="8" s="1"/>
  <c r="H8" i="10" s="1"/>
  <c r="L8" i="10" s="1"/>
  <c r="J84" i="8"/>
  <c r="M84" i="8" s="1"/>
  <c r="F8" i="10" s="1"/>
  <c r="J8" i="10" s="1"/>
  <c r="Q83" i="8"/>
  <c r="Q82" i="8"/>
  <c r="Q81" i="8"/>
  <c r="L81" i="8"/>
  <c r="O81" i="8" s="1"/>
  <c r="K81" i="8"/>
  <c r="N81" i="8" s="1"/>
  <c r="J81" i="8"/>
  <c r="M81" i="8" s="1"/>
  <c r="Q80" i="8"/>
  <c r="Q79" i="8"/>
  <c r="L79" i="8"/>
  <c r="O79" i="8" s="1"/>
  <c r="K79" i="8"/>
  <c r="N79" i="8" s="1"/>
  <c r="J79" i="8"/>
  <c r="M79" i="8" s="1"/>
  <c r="Q78" i="8"/>
  <c r="Q77" i="8"/>
  <c r="Q76" i="8"/>
  <c r="Q75" i="8"/>
  <c r="Q74" i="8"/>
  <c r="Q73" i="8"/>
  <c r="Q72" i="8"/>
  <c r="L72" i="8"/>
  <c r="O72" i="8" s="1"/>
  <c r="Q71" i="8"/>
  <c r="L71" i="8"/>
  <c r="O71" i="8" s="1"/>
  <c r="Q70" i="8"/>
  <c r="L70" i="8"/>
  <c r="O70" i="8" s="1"/>
  <c r="Q69" i="8"/>
  <c r="Q68" i="8"/>
  <c r="Q67" i="8"/>
  <c r="Q66" i="8"/>
  <c r="Q65" i="8"/>
  <c r="Q64" i="8"/>
  <c r="Q63" i="8"/>
  <c r="Q62" i="8"/>
  <c r="Q61" i="8"/>
  <c r="L61" i="8"/>
  <c r="O61" i="8" s="1"/>
  <c r="Q60" i="8"/>
  <c r="Q59" i="8"/>
  <c r="Q58" i="8"/>
  <c r="L58" i="8"/>
  <c r="O58" i="8" s="1"/>
  <c r="J58" i="8"/>
  <c r="M58" i="8" s="1"/>
  <c r="Q57" i="8"/>
  <c r="L57" i="8"/>
  <c r="O57" i="8" s="1"/>
  <c r="J57" i="8"/>
  <c r="M57" i="8" s="1"/>
  <c r="Q56" i="8"/>
  <c r="L56" i="8"/>
  <c r="O56" i="8" s="1"/>
  <c r="Q55" i="8"/>
  <c r="L55" i="8"/>
  <c r="O55" i="8" s="1"/>
  <c r="Q54" i="8"/>
  <c r="L54" i="8"/>
  <c r="O54" i="8" s="1"/>
  <c r="Q53" i="8"/>
  <c r="L53" i="8"/>
  <c r="O53" i="8" s="1"/>
  <c r="Q52" i="8"/>
  <c r="L52" i="8"/>
  <c r="O52" i="8" s="1"/>
  <c r="Q51" i="8"/>
  <c r="L51" i="8"/>
  <c r="O51" i="8" s="1"/>
  <c r="Q50" i="8"/>
  <c r="L50" i="8"/>
  <c r="O50" i="8" s="1"/>
  <c r="Q49" i="8"/>
  <c r="L49" i="8"/>
  <c r="O49" i="8" s="1"/>
  <c r="Q48" i="8"/>
  <c r="L48" i="8"/>
  <c r="O48" i="8" s="1"/>
  <c r="Q47" i="8"/>
  <c r="L47" i="8"/>
  <c r="O47" i="8" s="1"/>
  <c r="Q46" i="8"/>
  <c r="L46" i="8"/>
  <c r="O46" i="8" s="1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E18" i="5"/>
  <c r="F18" i="5" s="1"/>
  <c r="E17" i="5"/>
  <c r="F17" i="5" s="1"/>
  <c r="E16" i="5"/>
  <c r="F16" i="5" s="1"/>
  <c r="E15" i="5"/>
  <c r="F15" i="5" s="1"/>
  <c r="E14" i="5"/>
  <c r="D503" i="12" s="1"/>
  <c r="E13" i="5"/>
  <c r="E12" i="5"/>
  <c r="E11" i="5"/>
  <c r="E10" i="5"/>
  <c r="D621" i="12" s="1"/>
  <c r="E9" i="5"/>
  <c r="D622" i="12" s="1"/>
  <c r="E8" i="5"/>
  <c r="F8" i="5" s="1"/>
  <c r="E7" i="5"/>
  <c r="F7" i="5" s="1"/>
  <c r="E6" i="5"/>
  <c r="D509" i="12" s="1"/>
  <c r="E5" i="5"/>
  <c r="E4" i="5"/>
  <c r="D507" i="12" s="1"/>
  <c r="E3" i="5"/>
  <c r="D506" i="12" s="1"/>
  <c r="E2" i="5"/>
  <c r="D502" i="12" s="1"/>
  <c r="D4" i="4"/>
  <c r="E4" i="4" s="1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33" i="2" a="1"/>
  <c r="B33" i="2" s="1"/>
  <c r="C33" i="2" s="1"/>
  <c r="B32" i="2" a="1"/>
  <c r="B32" i="2" s="1"/>
  <c r="C32" i="2" s="1"/>
  <c r="B31" i="2" a="1"/>
  <c r="B31" i="2" s="1"/>
  <c r="C31" i="2" s="1"/>
  <c r="B28" i="2"/>
  <c r="C28" i="2" s="1"/>
  <c r="B27" i="2"/>
  <c r="C27" i="2" s="1"/>
  <c r="B26" i="2"/>
  <c r="C26" i="2" s="1"/>
  <c r="B25" i="2"/>
  <c r="C25" i="2" s="1"/>
  <c r="C22" i="2"/>
  <c r="D3" i="4" s="1"/>
  <c r="E3" i="4" s="1"/>
  <c r="Z213" i="10"/>
  <c r="Z203" i="10"/>
  <c r="Z198" i="10"/>
  <c r="Z195" i="10"/>
  <c r="P195" i="10"/>
  <c r="Z193" i="10"/>
  <c r="Z190" i="10"/>
  <c r="Z170" i="10"/>
  <c r="Z136" i="10"/>
  <c r="Z131" i="10"/>
  <c r="Z130" i="10"/>
  <c r="Z117" i="10"/>
  <c r="Z109" i="10"/>
  <c r="Z104" i="10"/>
  <c r="Z100" i="10"/>
  <c r="Z88" i="10"/>
  <c r="Z83" i="10"/>
  <c r="Z79" i="10"/>
  <c r="Z70" i="10"/>
  <c r="Z63" i="10"/>
  <c r="Z61" i="10"/>
  <c r="Z53" i="10"/>
  <c r="Z38" i="10"/>
  <c r="Z16" i="10"/>
  <c r="Z12" i="10"/>
  <c r="H2" i="10"/>
  <c r="K1815" i="17" l="1"/>
  <c r="L1493" i="17"/>
  <c r="O1493" i="17" s="1"/>
  <c r="P1493" i="17" s="1"/>
  <c r="K882" i="17"/>
  <c r="M882" i="17"/>
  <c r="J172" i="17"/>
  <c r="N451" i="17"/>
  <c r="L1878" i="17"/>
  <c r="O1878" i="17" s="1"/>
  <c r="P1878" i="17" s="1"/>
  <c r="N1786" i="17"/>
  <c r="L1866" i="17"/>
  <c r="O1866" i="17" s="1"/>
  <c r="P1866" i="17" s="1"/>
  <c r="J1650" i="17"/>
  <c r="N1225" i="17"/>
  <c r="J1878" i="17"/>
  <c r="L1029" i="17"/>
  <c r="O1029" i="17" s="1"/>
  <c r="N1493" i="17"/>
  <c r="M13" i="17"/>
  <c r="N723" i="17"/>
  <c r="J1675" i="17"/>
  <c r="L225" i="17"/>
  <c r="O225" i="17" s="1"/>
  <c r="P225" i="17" s="1"/>
  <c r="K1794" i="17"/>
  <c r="J1804" i="9"/>
  <c r="J367" i="17"/>
  <c r="J880" i="17"/>
  <c r="J147" i="17"/>
  <c r="N1370" i="17"/>
  <c r="J683" i="17"/>
  <c r="J1048" i="17"/>
  <c r="L461" i="17"/>
  <c r="O461" i="17" s="1"/>
  <c r="P461" i="17" s="1"/>
  <c r="M466" i="17"/>
  <c r="J863" i="17"/>
  <c r="N924" i="17"/>
  <c r="J1000" i="17"/>
  <c r="J1024" i="9"/>
  <c r="K225" i="17"/>
  <c r="L1081" i="17"/>
  <c r="O1081" i="17" s="1"/>
  <c r="P1081" i="17" s="1"/>
  <c r="E557" i="12" s="1"/>
  <c r="L1134" i="17"/>
  <c r="O1134" i="17" s="1"/>
  <c r="M1081" i="17"/>
  <c r="K633" i="17"/>
  <c r="N1081" i="17"/>
  <c r="M1265" i="17"/>
  <c r="M603" i="17"/>
  <c r="M947" i="17"/>
  <c r="J1799" i="17"/>
  <c r="N603" i="17"/>
  <c r="N947" i="17"/>
  <c r="K1681" i="17"/>
  <c r="L1685" i="17"/>
  <c r="O1685" i="17" s="1"/>
  <c r="K270" i="17"/>
  <c r="N1420" i="17"/>
  <c r="L1681" i="17"/>
  <c r="O1681" i="17" s="1"/>
  <c r="P1681" i="17" s="1"/>
  <c r="E585" i="12" s="1"/>
  <c r="L723" i="17"/>
  <c r="O723" i="17" s="1"/>
  <c r="P723" i="17" s="1"/>
  <c r="Q723" i="17" s="1"/>
  <c r="M1060" i="17"/>
  <c r="M1681" i="17"/>
  <c r="N1681" i="17"/>
  <c r="M470" i="17"/>
  <c r="M938" i="17"/>
  <c r="L1394" i="17"/>
  <c r="O1394" i="17" s="1"/>
  <c r="K1203" i="17"/>
  <c r="K1493" i="17"/>
  <c r="G351" i="12"/>
  <c r="A351" i="12" s="1"/>
  <c r="N84" i="17"/>
  <c r="K103" i="17"/>
  <c r="M227" i="17"/>
  <c r="P696" i="17"/>
  <c r="Q696" i="17" s="1"/>
  <c r="J601" i="9"/>
  <c r="L221" i="17"/>
  <c r="O221" i="17" s="1"/>
  <c r="P221" i="17" s="1"/>
  <c r="N466" i="17"/>
  <c r="N1000" i="17"/>
  <c r="L1675" i="17"/>
  <c r="O1675" i="17" s="1"/>
  <c r="J389" i="17"/>
  <c r="K449" i="17"/>
  <c r="J563" i="17"/>
  <c r="M791" i="17"/>
  <c r="N379" i="17"/>
  <c r="N414" i="17"/>
  <c r="J108" i="9"/>
  <c r="K172" i="17"/>
  <c r="K554" i="17"/>
  <c r="K825" i="17"/>
  <c r="K1401" i="17"/>
  <c r="L1544" i="17"/>
  <c r="O1544" i="17" s="1"/>
  <c r="P1544" i="17" s="1"/>
  <c r="J1499" i="9"/>
  <c r="N554" i="17"/>
  <c r="M1401" i="17"/>
  <c r="L1564" i="17"/>
  <c r="O1564" i="17" s="1"/>
  <c r="P1564" i="17" s="1"/>
  <c r="L1713" i="17"/>
  <c r="O1713" i="17" s="1"/>
  <c r="J1368" i="9"/>
  <c r="M1564" i="17"/>
  <c r="M1713" i="17"/>
  <c r="K1734" i="17"/>
  <c r="M54" i="17"/>
  <c r="L1189" i="17"/>
  <c r="O1189" i="17" s="1"/>
  <c r="P1189" i="17" s="1"/>
  <c r="N1564" i="17"/>
  <c r="N1713" i="17"/>
  <c r="N1734" i="17"/>
  <c r="K1249" i="17"/>
  <c r="L22" i="17"/>
  <c r="O22" i="17" s="1"/>
  <c r="P22" i="17" s="1"/>
  <c r="G337" i="12"/>
  <c r="A337" i="12" s="1"/>
  <c r="K711" i="17"/>
  <c r="J1172" i="17"/>
  <c r="N1189" i="17"/>
  <c r="J1365" i="17"/>
  <c r="L1732" i="17"/>
  <c r="O1732" i="17" s="1"/>
  <c r="J64" i="17"/>
  <c r="K227" i="17"/>
  <c r="K261" i="17"/>
  <c r="K266" i="17"/>
  <c r="J482" i="17"/>
  <c r="M685" i="17"/>
  <c r="L711" i="17"/>
  <c r="O711" i="17" s="1"/>
  <c r="L1372" i="17"/>
  <c r="O1372" i="17" s="1"/>
  <c r="L1730" i="17"/>
  <c r="O1730" i="17" s="1"/>
  <c r="P1730" i="17" s="1"/>
  <c r="E220" i="12" s="1"/>
  <c r="N20" i="17"/>
  <c r="M84" i="17"/>
  <c r="J103" i="17"/>
  <c r="K218" i="17"/>
  <c r="L227" i="17"/>
  <c r="O227" i="17" s="1"/>
  <c r="P227" i="17" s="1"/>
  <c r="K482" i="17"/>
  <c r="N685" i="17"/>
  <c r="N1062" i="17"/>
  <c r="J1692" i="17"/>
  <c r="P1704" i="17"/>
  <c r="E282" i="12" s="1"/>
  <c r="E335" i="12"/>
  <c r="G349" i="12"/>
  <c r="A349" i="12" s="1"/>
  <c r="E361" i="12"/>
  <c r="J435" i="9"/>
  <c r="J1022" i="9"/>
  <c r="J1069" i="9"/>
  <c r="J1562" i="9"/>
  <c r="E182" i="12"/>
  <c r="J117" i="17"/>
  <c r="M179" i="17"/>
  <c r="K199" i="17"/>
  <c r="K390" i="17"/>
  <c r="J564" i="17"/>
  <c r="K671" i="17"/>
  <c r="L785" i="17"/>
  <c r="O785" i="17" s="1"/>
  <c r="L1323" i="17"/>
  <c r="O1323" i="17" s="1"/>
  <c r="P1323" i="17" s="1"/>
  <c r="Q1323" i="17" s="1"/>
  <c r="M1695" i="17"/>
  <c r="G338" i="12"/>
  <c r="A338" i="12" s="1"/>
  <c r="E347" i="12"/>
  <c r="H489" i="12"/>
  <c r="A489" i="12" s="1"/>
  <c r="L117" i="17"/>
  <c r="O117" i="17" s="1"/>
  <c r="G32" i="12" s="1"/>
  <c r="A32" i="12" s="1"/>
  <c r="J322" i="17"/>
  <c r="K324" i="17"/>
  <c r="L390" i="17"/>
  <c r="O390" i="17" s="1"/>
  <c r="P390" i="17" s="1"/>
  <c r="Q390" i="17" s="1"/>
  <c r="J537" i="17"/>
  <c r="M564" i="17"/>
  <c r="M830" i="17"/>
  <c r="M976" i="17"/>
  <c r="K998" i="17"/>
  <c r="M1323" i="17"/>
  <c r="K1435" i="17"/>
  <c r="N1491" i="17"/>
  <c r="K1495" i="17"/>
  <c r="E364" i="12"/>
  <c r="J1205" i="9"/>
  <c r="G344" i="12"/>
  <c r="A344" i="12" s="1"/>
  <c r="E356" i="12"/>
  <c r="L103" i="17"/>
  <c r="O103" i="17" s="1"/>
  <c r="P103" i="17" s="1"/>
  <c r="K105" i="17"/>
  <c r="K322" i="17"/>
  <c r="L324" i="17"/>
  <c r="O324" i="17" s="1"/>
  <c r="P324" i="17" s="1"/>
  <c r="M390" i="17"/>
  <c r="J476" i="17"/>
  <c r="M676" i="17"/>
  <c r="J755" i="17"/>
  <c r="L842" i="17"/>
  <c r="O842" i="17" s="1"/>
  <c r="J1600" i="17"/>
  <c r="N1675" i="17"/>
  <c r="M103" i="17"/>
  <c r="L322" i="17"/>
  <c r="O322" i="17" s="1"/>
  <c r="P322" i="17" s="1"/>
  <c r="M324" i="17"/>
  <c r="K359" i="17"/>
  <c r="K535" i="17"/>
  <c r="L674" i="17"/>
  <c r="O674" i="17" s="1"/>
  <c r="P674" i="17" s="1"/>
  <c r="Q674" i="17" s="1"/>
  <c r="M753" i="17"/>
  <c r="K755" i="17"/>
  <c r="J781" i="17"/>
  <c r="N783" i="17"/>
  <c r="L955" i="17"/>
  <c r="O955" i="17" s="1"/>
  <c r="P955" i="17" s="1"/>
  <c r="J957" i="17"/>
  <c r="L1192" i="17"/>
  <c r="O1192" i="17" s="1"/>
  <c r="P1192" i="17" s="1"/>
  <c r="M1600" i="17"/>
  <c r="M1693" i="17"/>
  <c r="J1829" i="17"/>
  <c r="M151" i="17"/>
  <c r="J274" i="17"/>
  <c r="K276" i="17"/>
  <c r="M322" i="17"/>
  <c r="M359" i="17"/>
  <c r="J361" i="17"/>
  <c r="L474" i="17"/>
  <c r="O474" i="17" s="1"/>
  <c r="P474" i="17" s="1"/>
  <c r="L523" i="17"/>
  <c r="O523" i="17" s="1"/>
  <c r="P523" i="17" s="1"/>
  <c r="Q523" i="17" s="1"/>
  <c r="J740" i="17"/>
  <c r="N753" i="17"/>
  <c r="L755" i="17"/>
  <c r="O755" i="17" s="1"/>
  <c r="L781" i="17"/>
  <c r="O781" i="17" s="1"/>
  <c r="M1049" i="17"/>
  <c r="N1433" i="17"/>
  <c r="K1462" i="17"/>
  <c r="M1656" i="17"/>
  <c r="J1755" i="17"/>
  <c r="N1775" i="17"/>
  <c r="K1827" i="17"/>
  <c r="E349" i="12"/>
  <c r="E342" i="12"/>
  <c r="J265" i="17"/>
  <c r="L274" i="17"/>
  <c r="O274" i="17" s="1"/>
  <c r="M276" i="17"/>
  <c r="N359" i="17"/>
  <c r="K361" i="17"/>
  <c r="N474" i="17"/>
  <c r="M523" i="17"/>
  <c r="M662" i="17"/>
  <c r="L664" i="17"/>
  <c r="O664" i="17" s="1"/>
  <c r="K740" i="17"/>
  <c r="L744" i="17"/>
  <c r="O744" i="17" s="1"/>
  <c r="M755" i="17"/>
  <c r="P755" i="17" s="1"/>
  <c r="Q755" i="17" s="1"/>
  <c r="M772" i="17"/>
  <c r="M781" i="17"/>
  <c r="N814" i="17"/>
  <c r="M944" i="17"/>
  <c r="K1152" i="17"/>
  <c r="J1173" i="17"/>
  <c r="L1450" i="17"/>
  <c r="O1450" i="17" s="1"/>
  <c r="P1450" i="17" s="1"/>
  <c r="Q1450" i="17" s="1"/>
  <c r="N1462" i="17"/>
  <c r="J1575" i="17"/>
  <c r="N1656" i="17"/>
  <c r="J68" i="17"/>
  <c r="M265" i="17"/>
  <c r="N274" i="17"/>
  <c r="L361" i="17"/>
  <c r="O361" i="17" s="1"/>
  <c r="P361" i="17" s="1"/>
  <c r="N662" i="17"/>
  <c r="L740" i="17"/>
  <c r="O740" i="17" s="1"/>
  <c r="P740" i="17" s="1"/>
  <c r="E134" i="12" s="1"/>
  <c r="N962" i="17"/>
  <c r="M1257" i="17"/>
  <c r="N1289" i="17"/>
  <c r="J1306" i="17"/>
  <c r="K1419" i="17"/>
  <c r="M1438" i="17"/>
  <c r="K1445" i="17"/>
  <c r="N1508" i="17"/>
  <c r="L1575" i="17"/>
  <c r="O1575" i="17" s="1"/>
  <c r="P1575" i="17" s="1"/>
  <c r="L1608" i="17"/>
  <c r="O1608" i="17" s="1"/>
  <c r="K1783" i="17"/>
  <c r="J93" i="9"/>
  <c r="G342" i="12"/>
  <c r="A342" i="12" s="1"/>
  <c r="F481" i="12"/>
  <c r="M51" i="17"/>
  <c r="K68" i="17"/>
  <c r="N175" i="17"/>
  <c r="K263" i="17"/>
  <c r="M740" i="17"/>
  <c r="M1226" i="17"/>
  <c r="L1487" i="17"/>
  <c r="O1487" i="17" s="1"/>
  <c r="P1487" i="17" s="1"/>
  <c r="Q1487" i="17" s="1"/>
  <c r="J1753" i="17"/>
  <c r="N1783" i="17"/>
  <c r="H397" i="12"/>
  <c r="A397" i="12" s="1"/>
  <c r="J22" i="17"/>
  <c r="N263" i="17"/>
  <c r="J470" i="17"/>
  <c r="J484" i="17"/>
  <c r="J603" i="17"/>
  <c r="M951" i="17"/>
  <c r="M1016" i="17"/>
  <c r="J1081" i="17"/>
  <c r="M1224" i="17"/>
  <c r="L1238" i="17"/>
  <c r="O1238" i="17" s="1"/>
  <c r="P1238" i="17" s="1"/>
  <c r="Q1238" i="17" s="1"/>
  <c r="N1708" i="17"/>
  <c r="J1729" i="17"/>
  <c r="E337" i="12"/>
  <c r="K22" i="17"/>
  <c r="K470" i="17"/>
  <c r="N951" i="17"/>
  <c r="M1217" i="17"/>
  <c r="M1231" i="17"/>
  <c r="L1287" i="17"/>
  <c r="O1287" i="17" s="1"/>
  <c r="G357" i="12"/>
  <c r="A357" i="12" s="1"/>
  <c r="G362" i="12"/>
  <c r="A362" i="12" s="1"/>
  <c r="N90" i="17"/>
  <c r="K97" i="17"/>
  <c r="L203" i="17"/>
  <c r="O203" i="17" s="1"/>
  <c r="P203" i="17" s="1"/>
  <c r="Q203" i="17" s="1"/>
  <c r="K362" i="17"/>
  <c r="L539" i="17"/>
  <c r="O539" i="17" s="1"/>
  <c r="P539" i="17" s="1"/>
  <c r="L609" i="17"/>
  <c r="O609" i="17" s="1"/>
  <c r="P609" i="17" s="1"/>
  <c r="J614" i="17"/>
  <c r="M616" i="17"/>
  <c r="L691" i="17"/>
  <c r="O691" i="17" s="1"/>
  <c r="P691" i="17" s="1"/>
  <c r="Q691" i="17" s="1"/>
  <c r="K920" i="17"/>
  <c r="J961" i="17"/>
  <c r="M963" i="17"/>
  <c r="N994" i="17"/>
  <c r="K1342" i="17"/>
  <c r="N1362" i="17"/>
  <c r="L1416" i="17"/>
  <c r="O1416" i="17" s="1"/>
  <c r="P1416" i="17" s="1"/>
  <c r="Q1416" i="17" s="1"/>
  <c r="K1812" i="17"/>
  <c r="J1819" i="17"/>
  <c r="J1852" i="17"/>
  <c r="E336" i="12"/>
  <c r="G343" i="12"/>
  <c r="A343" i="12" s="1"/>
  <c r="E348" i="12"/>
  <c r="G350" i="12"/>
  <c r="A350" i="12" s="1"/>
  <c r="E355" i="12"/>
  <c r="E365" i="12"/>
  <c r="H486" i="12"/>
  <c r="A486" i="12" s="1"/>
  <c r="F493" i="12"/>
  <c r="L72" i="17"/>
  <c r="O72" i="17" s="1"/>
  <c r="P72" i="17" s="1"/>
  <c r="J74" i="17"/>
  <c r="K170" i="17"/>
  <c r="L201" i="17"/>
  <c r="O201" i="17" s="1"/>
  <c r="P201" i="17" s="1"/>
  <c r="Q201" i="17" s="1"/>
  <c r="N203" i="17"/>
  <c r="L362" i="17"/>
  <c r="O362" i="17" s="1"/>
  <c r="P362" i="17" s="1"/>
  <c r="Q362" i="17" s="1"/>
  <c r="M539" i="17"/>
  <c r="K546" i="17"/>
  <c r="K614" i="17"/>
  <c r="M961" i="17"/>
  <c r="N963" i="17"/>
  <c r="K1325" i="17"/>
  <c r="K1546" i="17"/>
  <c r="L1764" i="17"/>
  <c r="O1764" i="17" s="1"/>
  <c r="P1764" i="17" s="1"/>
  <c r="E296" i="12" s="1"/>
  <c r="L1796" i="17"/>
  <c r="O1796" i="17" s="1"/>
  <c r="J1803" i="17"/>
  <c r="K1819" i="17"/>
  <c r="E341" i="12"/>
  <c r="E360" i="12"/>
  <c r="N72" i="17"/>
  <c r="L74" i="17"/>
  <c r="O74" i="17" s="1"/>
  <c r="L170" i="17"/>
  <c r="O170" i="17" s="1"/>
  <c r="P170" i="17" s="1"/>
  <c r="Q170" i="17" s="1"/>
  <c r="N201" i="17"/>
  <c r="N362" i="17"/>
  <c r="J544" i="17"/>
  <c r="M546" i="17"/>
  <c r="L687" i="17"/>
  <c r="O687" i="17" s="1"/>
  <c r="L1163" i="17"/>
  <c r="O1163" i="17" s="1"/>
  <c r="P1265" i="17"/>
  <c r="Q1265" i="17" s="1"/>
  <c r="M1325" i="17"/>
  <c r="K1412" i="17"/>
  <c r="J1414" i="17"/>
  <c r="J1740" i="17"/>
  <c r="N1796" i="17"/>
  <c r="K1803" i="17"/>
  <c r="K1843" i="17"/>
  <c r="M1850" i="17"/>
  <c r="L1873" i="17"/>
  <c r="O1873" i="17" s="1"/>
  <c r="P1873" i="17" s="1"/>
  <c r="E334" i="12"/>
  <c r="G336" i="12"/>
  <c r="A336" i="12" s="1"/>
  <c r="E346" i="12"/>
  <c r="G348" i="12"/>
  <c r="A348" i="12" s="1"/>
  <c r="G355" i="12"/>
  <c r="A355" i="12" s="1"/>
  <c r="M74" i="17"/>
  <c r="M170" i="17"/>
  <c r="M687" i="17"/>
  <c r="M1163" i="17"/>
  <c r="K1740" i="17"/>
  <c r="J555" i="9"/>
  <c r="J691" i="9"/>
  <c r="J791" i="9"/>
  <c r="J968" i="9"/>
  <c r="G341" i="12"/>
  <c r="A341" i="12" s="1"/>
  <c r="E353" i="12"/>
  <c r="G360" i="12"/>
  <c r="A360" i="12" s="1"/>
  <c r="H490" i="12"/>
  <c r="A490" i="12" s="1"/>
  <c r="N170" i="17"/>
  <c r="J224" i="9"/>
  <c r="J354" i="9"/>
  <c r="J371" i="9"/>
  <c r="J766" i="9"/>
  <c r="J163" i="9"/>
  <c r="J1451" i="9"/>
  <c r="G334" i="12"/>
  <c r="A334" i="12" s="1"/>
  <c r="E339" i="12"/>
  <c r="G346" i="12"/>
  <c r="A346" i="12" s="1"/>
  <c r="E358" i="12"/>
  <c r="F480" i="12"/>
  <c r="F487" i="12"/>
  <c r="E344" i="12"/>
  <c r="E351" i="12"/>
  <c r="G353" i="12"/>
  <c r="A353" i="12" s="1"/>
  <c r="G363" i="12"/>
  <c r="A363" i="12" s="1"/>
  <c r="G339" i="12"/>
  <c r="A339" i="12" s="1"/>
  <c r="G358" i="12"/>
  <c r="A358" i="12" s="1"/>
  <c r="F397" i="12"/>
  <c r="F484" i="12"/>
  <c r="N261" i="17"/>
  <c r="L272" i="17"/>
  <c r="O272" i="17" s="1"/>
  <c r="P272" i="17" s="1"/>
  <c r="J566" i="17"/>
  <c r="L601" i="17"/>
  <c r="O601" i="17" s="1"/>
  <c r="P601" i="17" s="1"/>
  <c r="Q601" i="17" s="1"/>
  <c r="L666" i="17"/>
  <c r="O666" i="17" s="1"/>
  <c r="P666" i="17" s="1"/>
  <c r="M880" i="17"/>
  <c r="M1316" i="17"/>
  <c r="L1571" i="17"/>
  <c r="O1571" i="17" s="1"/>
  <c r="P1571" i="17" s="1"/>
  <c r="K1677" i="17"/>
  <c r="J1734" i="17"/>
  <c r="K1753" i="17"/>
  <c r="H498" i="12"/>
  <c r="A498" i="12" s="1"/>
  <c r="P1388" i="17"/>
  <c r="P1362" i="17"/>
  <c r="Q1362" i="17" s="1"/>
  <c r="J945" i="9"/>
  <c r="J1625" i="9"/>
  <c r="J270" i="9"/>
  <c r="J404" i="9"/>
  <c r="J428" i="9"/>
  <c r="J38" i="9"/>
  <c r="E333" i="12"/>
  <c r="G335" i="12"/>
  <c r="A335" i="12" s="1"/>
  <c r="E340" i="12"/>
  <c r="G347" i="12"/>
  <c r="A347" i="12" s="1"/>
  <c r="G354" i="12"/>
  <c r="A354" i="12" s="1"/>
  <c r="F478" i="12"/>
  <c r="N64" i="17"/>
  <c r="J134" i="17"/>
  <c r="K136" i="17"/>
  <c r="J226" i="17"/>
  <c r="L266" i="17"/>
  <c r="O266" i="17" s="1"/>
  <c r="K268" i="17"/>
  <c r="N390" i="17"/>
  <c r="N449" i="17"/>
  <c r="J507" i="17"/>
  <c r="L633" i="17"/>
  <c r="O633" i="17" s="1"/>
  <c r="P633" i="17" s="1"/>
  <c r="J850" i="17"/>
  <c r="J874" i="17"/>
  <c r="K907" i="17"/>
  <c r="K984" i="17"/>
  <c r="L986" i="17"/>
  <c r="O986" i="17" s="1"/>
  <c r="N998" i="17"/>
  <c r="M1034" i="17"/>
  <c r="N1108" i="17"/>
  <c r="M1134" i="17"/>
  <c r="P1134" i="17" s="1"/>
  <c r="M1192" i="17"/>
  <c r="N1693" i="17"/>
  <c r="N1781" i="17"/>
  <c r="K1826" i="17"/>
  <c r="J99" i="9"/>
  <c r="J373" i="9"/>
  <c r="J1526" i="9"/>
  <c r="E345" i="12"/>
  <c r="E352" i="12"/>
  <c r="G359" i="12"/>
  <c r="A359" i="12" s="1"/>
  <c r="H492" i="12"/>
  <c r="A492" i="12" s="1"/>
  <c r="K33" i="17"/>
  <c r="K35" i="17"/>
  <c r="L134" i="17"/>
  <c r="O134" i="17" s="1"/>
  <c r="P134" i="17" s="1"/>
  <c r="Q134" i="17" s="1"/>
  <c r="L136" i="17"/>
  <c r="O136" i="17" s="1"/>
  <c r="P136" i="17" s="1"/>
  <c r="Q136" i="17" s="1"/>
  <c r="L224" i="17"/>
  <c r="O224" i="17" s="1"/>
  <c r="P224" i="17" s="1"/>
  <c r="Q224" i="17" s="1"/>
  <c r="M266" i="17"/>
  <c r="M407" i="17"/>
  <c r="L640" i="17"/>
  <c r="O640" i="17" s="1"/>
  <c r="P640" i="17" s="1"/>
  <c r="Q640" i="17" s="1"/>
  <c r="J698" i="17"/>
  <c r="M850" i="17"/>
  <c r="L857" i="17"/>
  <c r="O857" i="17" s="1"/>
  <c r="P857" i="17" s="1"/>
  <c r="L907" i="17"/>
  <c r="O907" i="17" s="1"/>
  <c r="P907" i="17" s="1"/>
  <c r="N984" i="17"/>
  <c r="N1160" i="17"/>
  <c r="J1169" i="17"/>
  <c r="K1183" i="17"/>
  <c r="L1209" i="17"/>
  <c r="O1209" i="17" s="1"/>
  <c r="P1209" i="17" s="1"/>
  <c r="J1278" i="17"/>
  <c r="M1429" i="17"/>
  <c r="J1550" i="17"/>
  <c r="K1581" i="17"/>
  <c r="M1691" i="17"/>
  <c r="K1705" i="17"/>
  <c r="J1786" i="17"/>
  <c r="L1826" i="17"/>
  <c r="O1826" i="17" s="1"/>
  <c r="P1826" i="17" s="1"/>
  <c r="J535" i="9"/>
  <c r="J1487" i="9"/>
  <c r="J79" i="9"/>
  <c r="J1531" i="9"/>
  <c r="J1083" i="9"/>
  <c r="G333" i="12"/>
  <c r="A333" i="12" s="1"/>
  <c r="E357" i="12"/>
  <c r="H491" i="12"/>
  <c r="A491" i="12" s="1"/>
  <c r="L33" i="17"/>
  <c r="O33" i="17" s="1"/>
  <c r="J83" i="17"/>
  <c r="M134" i="17"/>
  <c r="N136" i="17"/>
  <c r="N250" i="17"/>
  <c r="K376" i="17"/>
  <c r="J395" i="17"/>
  <c r="N407" i="17"/>
  <c r="J616" i="17"/>
  <c r="N850" i="17"/>
  <c r="N1153" i="17"/>
  <c r="N1278" i="17"/>
  <c r="N1373" i="17"/>
  <c r="L1420" i="17"/>
  <c r="O1420" i="17" s="1"/>
  <c r="L1536" i="17"/>
  <c r="O1536" i="17" s="1"/>
  <c r="P1536" i="17" s="1"/>
  <c r="Q1536" i="17" s="1"/>
  <c r="N1550" i="17"/>
  <c r="L1579" i="17"/>
  <c r="O1579" i="17" s="1"/>
  <c r="P1579" i="17" s="1"/>
  <c r="M1581" i="17"/>
  <c r="M1586" i="17"/>
  <c r="M1637" i="17"/>
  <c r="M1766" i="17"/>
  <c r="K1786" i="17"/>
  <c r="J1320" i="9"/>
  <c r="J216" i="9"/>
  <c r="E350" i="12"/>
  <c r="G352" i="12"/>
  <c r="A352" i="12" s="1"/>
  <c r="K81" i="17"/>
  <c r="N120" i="17"/>
  <c r="J203" i="17"/>
  <c r="J362" i="17"/>
  <c r="M374" i="17"/>
  <c r="J393" i="17"/>
  <c r="N432" i="17"/>
  <c r="L616" i="17"/>
  <c r="O616" i="17" s="1"/>
  <c r="P616" i="17" s="1"/>
  <c r="Q616" i="17" s="1"/>
  <c r="J691" i="17"/>
  <c r="J841" i="17"/>
  <c r="J963" i="17"/>
  <c r="J1044" i="17"/>
  <c r="L1099" i="17"/>
  <c r="O1099" i="17" s="1"/>
  <c r="P1099" i="17" s="1"/>
  <c r="E200" i="12" s="1"/>
  <c r="J1393" i="17"/>
  <c r="M1420" i="17"/>
  <c r="N1499" i="17"/>
  <c r="K1531" i="17"/>
  <c r="N1581" i="17"/>
  <c r="J1703" i="17"/>
  <c r="M1786" i="17"/>
  <c r="M1861" i="17"/>
  <c r="P1721" i="17"/>
  <c r="E217" i="12" s="1"/>
  <c r="E362" i="12"/>
  <c r="G364" i="12"/>
  <c r="A364" i="12" s="1"/>
  <c r="F496" i="12"/>
  <c r="G631" i="12"/>
  <c r="A631" i="12" s="1"/>
  <c r="M20" i="17"/>
  <c r="N49" i="17"/>
  <c r="J56" i="17"/>
  <c r="M81" i="17"/>
  <c r="N101" i="17"/>
  <c r="K134" i="17"/>
  <c r="J136" i="17"/>
  <c r="K203" i="17"/>
  <c r="L276" i="17"/>
  <c r="O276" i="17" s="1"/>
  <c r="P276" i="17" s="1"/>
  <c r="J359" i="17"/>
  <c r="J384" i="17"/>
  <c r="J466" i="17"/>
  <c r="K603" i="17"/>
  <c r="K640" i="17"/>
  <c r="N728" i="17"/>
  <c r="J772" i="17"/>
  <c r="L947" i="17"/>
  <c r="O947" i="17" s="1"/>
  <c r="P947" i="17" s="1"/>
  <c r="Q947" i="17" s="1"/>
  <c r="J998" i="17"/>
  <c r="K1000" i="17"/>
  <c r="J1016" i="17"/>
  <c r="M1095" i="17"/>
  <c r="N1200" i="17"/>
  <c r="K1209" i="17"/>
  <c r="K1285" i="17"/>
  <c r="N1478" i="17"/>
  <c r="L1491" i="17"/>
  <c r="O1491" i="17" s="1"/>
  <c r="P1491" i="17" s="1"/>
  <c r="J1493" i="17"/>
  <c r="K1529" i="17"/>
  <c r="J1571" i="17"/>
  <c r="J1594" i="17"/>
  <c r="J1596" i="17"/>
  <c r="K1615" i="17"/>
  <c r="J1635" i="17"/>
  <c r="K1762" i="17"/>
  <c r="K1785" i="17"/>
  <c r="P1804" i="17"/>
  <c r="Q1804" i="17" s="1"/>
  <c r="J170" i="9"/>
  <c r="J473" i="9"/>
  <c r="J1118" i="9"/>
  <c r="J1132" i="9"/>
  <c r="J1589" i="9"/>
  <c r="M1596" i="17"/>
  <c r="K1635" i="17"/>
  <c r="K1720" i="17"/>
  <c r="J1737" i="17"/>
  <c r="M1762" i="17"/>
  <c r="N1785" i="17"/>
  <c r="L1569" i="17"/>
  <c r="O1569" i="17" s="1"/>
  <c r="P1569" i="17" s="1"/>
  <c r="M1720" i="17"/>
  <c r="N1737" i="17"/>
  <c r="L1783" i="17"/>
  <c r="O1783" i="17" s="1"/>
  <c r="P1783" i="17" s="1"/>
  <c r="K1831" i="17"/>
  <c r="J1643" i="9"/>
  <c r="J1693" i="9"/>
  <c r="N1720" i="17"/>
  <c r="H484" i="12"/>
  <c r="A484" i="12" s="1"/>
  <c r="N6" i="17"/>
  <c r="L36" i="17"/>
  <c r="O36" i="17" s="1"/>
  <c r="J38" i="17"/>
  <c r="L68" i="17"/>
  <c r="O68" i="17" s="1"/>
  <c r="P68" i="17" s="1"/>
  <c r="Q68" i="17" s="1"/>
  <c r="M117" i="17"/>
  <c r="J119" i="17"/>
  <c r="J150" i="17"/>
  <c r="N266" i="17"/>
  <c r="L268" i="17"/>
  <c r="O268" i="17" s="1"/>
  <c r="J319" i="17"/>
  <c r="M321" i="17"/>
  <c r="K355" i="17"/>
  <c r="M395" i="17"/>
  <c r="K413" i="17"/>
  <c r="N415" i="17"/>
  <c r="K501" i="17"/>
  <c r="N533" i="17"/>
  <c r="K568" i="17"/>
  <c r="J610" i="17"/>
  <c r="J692" i="17"/>
  <c r="N781" i="17"/>
  <c r="P781" i="17" s="1"/>
  <c r="Q781" i="17" s="1"/>
  <c r="L874" i="17"/>
  <c r="O874" i="17" s="1"/>
  <c r="P874" i="17" s="1"/>
  <c r="Q874" i="17" s="1"/>
  <c r="J885" i="17"/>
  <c r="N983" i="17"/>
  <c r="J1100" i="17"/>
  <c r="N1170" i="17"/>
  <c r="L1172" i="17"/>
  <c r="O1172" i="17" s="1"/>
  <c r="P1172" i="17" s="1"/>
  <c r="Q1172" i="17" s="1"/>
  <c r="J1190" i="17"/>
  <c r="J1205" i="17"/>
  <c r="L1214" i="17"/>
  <c r="O1214" i="17" s="1"/>
  <c r="P1214" i="17" s="1"/>
  <c r="J1218" i="17"/>
  <c r="N1226" i="17"/>
  <c r="J1340" i="17"/>
  <c r="L1354" i="17"/>
  <c r="O1354" i="17" s="1"/>
  <c r="P1354" i="17" s="1"/>
  <c r="J1417" i="17"/>
  <c r="J1460" i="17"/>
  <c r="J1469" i="17"/>
  <c r="K1846" i="17"/>
  <c r="H478" i="12"/>
  <c r="A478" i="12" s="1"/>
  <c r="H481" i="12"/>
  <c r="A481" i="12" s="1"/>
  <c r="F497" i="12"/>
  <c r="M36" i="17"/>
  <c r="K38" i="17"/>
  <c r="M68" i="17"/>
  <c r="N117" i="17"/>
  <c r="K119" i="17"/>
  <c r="J128" i="17"/>
  <c r="J148" i="17"/>
  <c r="K150" i="17"/>
  <c r="J215" i="17"/>
  <c r="N268" i="17"/>
  <c r="J298" i="17"/>
  <c r="J317" i="17"/>
  <c r="K319" i="17"/>
  <c r="N321" i="17"/>
  <c r="L355" i="17"/>
  <c r="O355" i="17" s="1"/>
  <c r="P355" i="17" s="1"/>
  <c r="J387" i="17"/>
  <c r="J411" i="17"/>
  <c r="L413" i="17"/>
  <c r="O413" i="17" s="1"/>
  <c r="P413" i="17" s="1"/>
  <c r="K520" i="17"/>
  <c r="J590" i="17"/>
  <c r="J597" i="17"/>
  <c r="K610" i="17"/>
  <c r="J612" i="17"/>
  <c r="J688" i="17"/>
  <c r="K692" i="17"/>
  <c r="L694" i="17"/>
  <c r="O694" i="17" s="1"/>
  <c r="P694" i="17" s="1"/>
  <c r="Q694" i="17" s="1"/>
  <c r="J872" i="17"/>
  <c r="J904" i="17"/>
  <c r="J958" i="17"/>
  <c r="K1190" i="17"/>
  <c r="K1218" i="17"/>
  <c r="M1299" i="17"/>
  <c r="K1359" i="17"/>
  <c r="N1460" i="17"/>
  <c r="J1467" i="17"/>
  <c r="J1490" i="17"/>
  <c r="K1507" i="17"/>
  <c r="J1558" i="17"/>
  <c r="L1659" i="17"/>
  <c r="O1659" i="17" s="1"/>
  <c r="K1689" i="17"/>
  <c r="K1754" i="17"/>
  <c r="M1765" i="17"/>
  <c r="M1799" i="17"/>
  <c r="P1799" i="17" s="1"/>
  <c r="K1842" i="17"/>
  <c r="J379" i="9"/>
  <c r="J487" i="9"/>
  <c r="J1779" i="9"/>
  <c r="F494" i="12"/>
  <c r="N36" i="17"/>
  <c r="L38" i="17"/>
  <c r="O38" i="17" s="1"/>
  <c r="P38" i="17" s="1"/>
  <c r="Q38" i="17" s="1"/>
  <c r="L119" i="17"/>
  <c r="O119" i="17" s="1"/>
  <c r="P119" i="17" s="1"/>
  <c r="L128" i="17"/>
  <c r="O128" i="17" s="1"/>
  <c r="N146" i="17"/>
  <c r="M148" i="17"/>
  <c r="L150" i="17"/>
  <c r="O150" i="17" s="1"/>
  <c r="P150" i="17" s="1"/>
  <c r="K215" i="17"/>
  <c r="K298" i="17"/>
  <c r="K317" i="17"/>
  <c r="M319" i="17"/>
  <c r="M355" i="17"/>
  <c r="M411" i="17"/>
  <c r="L520" i="17"/>
  <c r="O520" i="17" s="1"/>
  <c r="P520" i="17" s="1"/>
  <c r="Q520" i="17" s="1"/>
  <c r="J522" i="17"/>
  <c r="K590" i="17"/>
  <c r="K597" i="17"/>
  <c r="L610" i="17"/>
  <c r="O610" i="17" s="1"/>
  <c r="P610" i="17" s="1"/>
  <c r="M688" i="17"/>
  <c r="L692" i="17"/>
  <c r="O692" i="17" s="1"/>
  <c r="P692" i="17" s="1"/>
  <c r="Q692" i="17" s="1"/>
  <c r="M694" i="17"/>
  <c r="K799" i="17"/>
  <c r="J847" i="17"/>
  <c r="M872" i="17"/>
  <c r="K904" i="17"/>
  <c r="P930" i="17"/>
  <c r="Q930" i="17" s="1"/>
  <c r="J1010" i="17"/>
  <c r="J1026" i="17"/>
  <c r="L1190" i="17"/>
  <c r="O1190" i="17" s="1"/>
  <c r="P1190" i="17" s="1"/>
  <c r="L1218" i="17"/>
  <c r="O1218" i="17" s="1"/>
  <c r="K1297" i="17"/>
  <c r="J1345" i="17"/>
  <c r="M1359" i="17"/>
  <c r="J1481" i="17"/>
  <c r="K1490" i="17"/>
  <c r="L1519" i="17"/>
  <c r="O1519" i="17" s="1"/>
  <c r="K1558" i="17"/>
  <c r="K1563" i="17"/>
  <c r="P1599" i="17"/>
  <c r="M1659" i="17"/>
  <c r="N1689" i="17"/>
  <c r="L1714" i="17"/>
  <c r="O1714" i="17" s="1"/>
  <c r="L1754" i="17"/>
  <c r="O1754" i="17" s="1"/>
  <c r="P1754" i="17" s="1"/>
  <c r="L1840" i="17"/>
  <c r="O1840" i="17" s="1"/>
  <c r="L1842" i="17"/>
  <c r="O1842" i="17" s="1"/>
  <c r="P1842" i="17" s="1"/>
  <c r="E363" i="12"/>
  <c r="G365" i="12"/>
  <c r="A365" i="12" s="1"/>
  <c r="H493" i="12"/>
  <c r="A493" i="12" s="1"/>
  <c r="M38" i="17"/>
  <c r="L64" i="17"/>
  <c r="O64" i="17" s="1"/>
  <c r="P64" i="17" s="1"/>
  <c r="Q64" i="17" s="1"/>
  <c r="K84" i="17"/>
  <c r="K100" i="17"/>
  <c r="M119" i="17"/>
  <c r="M128" i="17"/>
  <c r="J175" i="17"/>
  <c r="M224" i="17"/>
  <c r="L259" i="17"/>
  <c r="O259" i="17" s="1"/>
  <c r="P259" i="17" s="1"/>
  <c r="L261" i="17"/>
  <c r="O261" i="17" s="1"/>
  <c r="P261" i="17" s="1"/>
  <c r="Q261" i="17" s="1"/>
  <c r="L263" i="17"/>
  <c r="O263" i="17" s="1"/>
  <c r="P263" i="17" s="1"/>
  <c r="K265" i="17"/>
  <c r="L298" i="17"/>
  <c r="O298" i="17" s="1"/>
  <c r="P298" i="17" s="1"/>
  <c r="N319" i="17"/>
  <c r="J334" i="17"/>
  <c r="M346" i="17"/>
  <c r="N353" i="17"/>
  <c r="N355" i="17"/>
  <c r="K407" i="17"/>
  <c r="L511" i="17"/>
  <c r="O511" i="17" s="1"/>
  <c r="P511" i="17" s="1"/>
  <c r="Q511" i="17" s="1"/>
  <c r="M520" i="17"/>
  <c r="K522" i="17"/>
  <c r="K564" i="17"/>
  <c r="L566" i="17"/>
  <c r="O566" i="17" s="1"/>
  <c r="P566" i="17" s="1"/>
  <c r="Q566" i="17" s="1"/>
  <c r="M590" i="17"/>
  <c r="M597" i="17"/>
  <c r="M610" i="17"/>
  <c r="M692" i="17"/>
  <c r="J729" i="17"/>
  <c r="M847" i="17"/>
  <c r="K863" i="17"/>
  <c r="N865" i="17"/>
  <c r="L904" i="17"/>
  <c r="O904" i="17" s="1"/>
  <c r="K1010" i="17"/>
  <c r="K1153" i="17"/>
  <c r="M1190" i="17"/>
  <c r="J1192" i="17"/>
  <c r="M1203" i="17"/>
  <c r="M1218" i="17"/>
  <c r="K1345" i="17"/>
  <c r="L1357" i="17"/>
  <c r="O1357" i="17" s="1"/>
  <c r="P1357" i="17" s="1"/>
  <c r="Q1357" i="17" s="1"/>
  <c r="N1359" i="17"/>
  <c r="K1370" i="17"/>
  <c r="J1372" i="17"/>
  <c r="J1409" i="17"/>
  <c r="K1481" i="17"/>
  <c r="L1490" i="17"/>
  <c r="O1490" i="17" s="1"/>
  <c r="P1490" i="17" s="1"/>
  <c r="Q1490" i="17" s="1"/>
  <c r="M1519" i="17"/>
  <c r="J1526" i="17"/>
  <c r="J1542" i="17"/>
  <c r="N1659" i="17"/>
  <c r="M1714" i="17"/>
  <c r="M1754" i="17"/>
  <c r="K1793" i="17"/>
  <c r="M1840" i="17"/>
  <c r="N1842" i="17"/>
  <c r="N1876" i="17"/>
  <c r="J411" i="9"/>
  <c r="J557" i="9"/>
  <c r="J1444" i="9"/>
  <c r="J1837" i="9"/>
  <c r="E338" i="12"/>
  <c r="G340" i="12"/>
  <c r="A340" i="12" s="1"/>
  <c r="E354" i="12"/>
  <c r="G356" i="12"/>
  <c r="A356" i="12" s="1"/>
  <c r="F485" i="12"/>
  <c r="F488" i="12"/>
  <c r="J25" i="17"/>
  <c r="L62" i="17"/>
  <c r="O62" i="17" s="1"/>
  <c r="P62" i="17" s="1"/>
  <c r="Q62" i="17" s="1"/>
  <c r="M64" i="17"/>
  <c r="L84" i="17"/>
  <c r="O84" i="17" s="1"/>
  <c r="P84" i="17" s="1"/>
  <c r="L100" i="17"/>
  <c r="O100" i="17" s="1"/>
  <c r="P100" i="17" s="1"/>
  <c r="Q100" i="17" s="1"/>
  <c r="L173" i="17"/>
  <c r="O173" i="17" s="1"/>
  <c r="P173" i="17" s="1"/>
  <c r="J250" i="17"/>
  <c r="N259" i="17"/>
  <c r="M261" i="17"/>
  <c r="M263" i="17"/>
  <c r="L265" i="17"/>
  <c r="O265" i="17" s="1"/>
  <c r="P265" i="17" s="1"/>
  <c r="N298" i="17"/>
  <c r="L332" i="17"/>
  <c r="O332" i="17" s="1"/>
  <c r="P332" i="17" s="1"/>
  <c r="K334" i="17"/>
  <c r="L407" i="17"/>
  <c r="O407" i="17" s="1"/>
  <c r="P407" i="17" s="1"/>
  <c r="M494" i="17"/>
  <c r="N511" i="17"/>
  <c r="N520" i="17"/>
  <c r="L522" i="17"/>
  <c r="O522" i="17" s="1"/>
  <c r="P522" i="17" s="1"/>
  <c r="Q522" i="17" s="1"/>
  <c r="L564" i="17"/>
  <c r="O564" i="17" s="1"/>
  <c r="P564" i="17" s="1"/>
  <c r="K641" i="17"/>
  <c r="M729" i="17"/>
  <c r="K795" i="17"/>
  <c r="K804" i="17"/>
  <c r="M904" i="17"/>
  <c r="J937" i="17"/>
  <c r="L1001" i="17"/>
  <c r="O1001" i="17" s="1"/>
  <c r="P1001" i="17" s="1"/>
  <c r="Q1001" i="17" s="1"/>
  <c r="L1031" i="17"/>
  <c r="O1031" i="17" s="1"/>
  <c r="P1031" i="17" s="1"/>
  <c r="J1096" i="17"/>
  <c r="L1112" i="17"/>
  <c r="O1112" i="17" s="1"/>
  <c r="P1112" i="17" s="1"/>
  <c r="N1144" i="17"/>
  <c r="J1160" i="17"/>
  <c r="K1192" i="17"/>
  <c r="M1279" i="17"/>
  <c r="K1293" i="17"/>
  <c r="M1370" i="17"/>
  <c r="K1372" i="17"/>
  <c r="P1387" i="17"/>
  <c r="M1409" i="17"/>
  <c r="K1426" i="17"/>
  <c r="L1481" i="17"/>
  <c r="O1481" i="17" s="1"/>
  <c r="P1481" i="17" s="1"/>
  <c r="M1488" i="17"/>
  <c r="N1490" i="17"/>
  <c r="J1503" i="17"/>
  <c r="K1524" i="17"/>
  <c r="K1526" i="17"/>
  <c r="J1595" i="17"/>
  <c r="J1597" i="17"/>
  <c r="L1629" i="17"/>
  <c r="O1629" i="17" s="1"/>
  <c r="P1629" i="17" s="1"/>
  <c r="E259" i="12" s="1"/>
  <c r="N1714" i="17"/>
  <c r="N1754" i="17"/>
  <c r="F479" i="12"/>
  <c r="J5" i="17"/>
  <c r="K111" i="17"/>
  <c r="K250" i="17"/>
  <c r="M332" i="17"/>
  <c r="N371" i="17"/>
  <c r="K403" i="17"/>
  <c r="K487" i="17"/>
  <c r="M522" i="17"/>
  <c r="L780" i="17"/>
  <c r="O780" i="17" s="1"/>
  <c r="P780" i="17" s="1"/>
  <c r="N795" i="17"/>
  <c r="L804" i="17"/>
  <c r="O804" i="17" s="1"/>
  <c r="P804" i="17" s="1"/>
  <c r="Q804" i="17" s="1"/>
  <c r="G157" i="12" s="1"/>
  <c r="A157" i="12" s="1"/>
  <c r="J861" i="17"/>
  <c r="J972" i="17"/>
  <c r="K995" i="17"/>
  <c r="M1001" i="17"/>
  <c r="N1017" i="17"/>
  <c r="M1061" i="17"/>
  <c r="M1112" i="17"/>
  <c r="K1160" i="17"/>
  <c r="K1184" i="17"/>
  <c r="K1210" i="17"/>
  <c r="K1223" i="17"/>
  <c r="J1366" i="17"/>
  <c r="L1426" i="17"/>
  <c r="O1426" i="17" s="1"/>
  <c r="P1426" i="17" s="1"/>
  <c r="J1428" i="17"/>
  <c r="J1475" i="17"/>
  <c r="N1481" i="17"/>
  <c r="K1486" i="17"/>
  <c r="J1501" i="17"/>
  <c r="J1515" i="17"/>
  <c r="L1524" i="17"/>
  <c r="O1524" i="17" s="1"/>
  <c r="P1524" i="17" s="1"/>
  <c r="M1526" i="17"/>
  <c r="J1579" i="17"/>
  <c r="J1581" i="17"/>
  <c r="N1593" i="17"/>
  <c r="M1595" i="17"/>
  <c r="K1597" i="17"/>
  <c r="K1730" i="17"/>
  <c r="J1836" i="17"/>
  <c r="H482" i="12"/>
  <c r="A482" i="12" s="1"/>
  <c r="H485" i="12"/>
  <c r="A485" i="12" s="1"/>
  <c r="G625" i="12"/>
  <c r="A625" i="12" s="1"/>
  <c r="K5" i="17"/>
  <c r="M111" i="17"/>
  <c r="J214" i="17"/>
  <c r="L250" i="17"/>
  <c r="O250" i="17" s="1"/>
  <c r="P250" i="17" s="1"/>
  <c r="J328" i="17"/>
  <c r="K394" i="17"/>
  <c r="K485" i="17"/>
  <c r="L487" i="17"/>
  <c r="O487" i="17" s="1"/>
  <c r="P487" i="17" s="1"/>
  <c r="Q487" i="17" s="1"/>
  <c r="J699" i="17"/>
  <c r="M804" i="17"/>
  <c r="L820" i="17"/>
  <c r="O820" i="17" s="1"/>
  <c r="L834" i="17"/>
  <c r="O834" i="17" s="1"/>
  <c r="L995" i="17"/>
  <c r="O995" i="17" s="1"/>
  <c r="P995" i="17" s="1"/>
  <c r="Q995" i="17" s="1"/>
  <c r="N1001" i="17"/>
  <c r="N1061" i="17"/>
  <c r="K1082" i="17"/>
  <c r="K1103" i="17"/>
  <c r="N1112" i="17"/>
  <c r="K1124" i="17"/>
  <c r="L1160" i="17"/>
  <c r="O1160" i="17" s="1"/>
  <c r="P1160" i="17" s="1"/>
  <c r="E567" i="12" s="1"/>
  <c r="M1223" i="17"/>
  <c r="J1255" i="17"/>
  <c r="L1259" i="17"/>
  <c r="O1259" i="17" s="1"/>
  <c r="P1259" i="17" s="1"/>
  <c r="E209" i="12" s="1"/>
  <c r="M1271" i="17"/>
  <c r="K1273" i="17"/>
  <c r="J1362" i="17"/>
  <c r="K1366" i="17"/>
  <c r="N1426" i="17"/>
  <c r="M1428" i="17"/>
  <c r="J1430" i="17"/>
  <c r="J1439" i="17"/>
  <c r="M1475" i="17"/>
  <c r="N1486" i="17"/>
  <c r="L1501" i="17"/>
  <c r="O1501" i="17" s="1"/>
  <c r="P1501" i="17" s="1"/>
  <c r="N1524" i="17"/>
  <c r="N1588" i="17"/>
  <c r="J1658" i="17"/>
  <c r="K1684" i="17"/>
  <c r="L1686" i="17"/>
  <c r="O1686" i="17" s="1"/>
  <c r="J1688" i="17"/>
  <c r="J1721" i="17"/>
  <c r="K1738" i="17"/>
  <c r="K1768" i="17"/>
  <c r="J1770" i="17"/>
  <c r="K1772" i="17"/>
  <c r="L1814" i="17"/>
  <c r="O1814" i="17" s="1"/>
  <c r="P1814" i="17" s="1"/>
  <c r="Q1814" i="17" s="1"/>
  <c r="J1832" i="17"/>
  <c r="J1396" i="9"/>
  <c r="E343" i="12"/>
  <c r="G345" i="12"/>
  <c r="A345" i="12" s="1"/>
  <c r="E359" i="12"/>
  <c r="G361" i="12"/>
  <c r="A361" i="12" s="1"/>
  <c r="H476" i="12"/>
  <c r="A476" i="12" s="1"/>
  <c r="F495" i="12"/>
  <c r="L5" i="17"/>
  <c r="O5" i="17" s="1"/>
  <c r="P5" i="17" s="1"/>
  <c r="Q5" i="17" s="1"/>
  <c r="K214" i="17"/>
  <c r="L218" i="17"/>
  <c r="O218" i="17" s="1"/>
  <c r="P218" i="17" s="1"/>
  <c r="Q218" i="17" s="1"/>
  <c r="K328" i="17"/>
  <c r="N394" i="17"/>
  <c r="K474" i="17"/>
  <c r="M485" i="17"/>
  <c r="M651" i="17"/>
  <c r="L791" i="17"/>
  <c r="O791" i="17" s="1"/>
  <c r="P791" i="17" s="1"/>
  <c r="Q791" i="17" s="1"/>
  <c r="N804" i="17"/>
  <c r="K963" i="17"/>
  <c r="M995" i="17"/>
  <c r="N1036" i="17"/>
  <c r="J1057" i="17"/>
  <c r="N1124" i="17"/>
  <c r="K1189" i="17"/>
  <c r="J1197" i="17"/>
  <c r="K1225" i="17"/>
  <c r="K1255" i="17"/>
  <c r="N1271" i="17"/>
  <c r="L1273" i="17"/>
  <c r="O1273" i="17" s="1"/>
  <c r="J1341" i="17"/>
  <c r="M1366" i="17"/>
  <c r="P1366" i="17" s="1"/>
  <c r="J1420" i="17"/>
  <c r="K1422" i="17"/>
  <c r="L1430" i="17"/>
  <c r="O1430" i="17" s="1"/>
  <c r="P1430" i="17" s="1"/>
  <c r="Q1430" i="17" s="1"/>
  <c r="M1501" i="17"/>
  <c r="K1622" i="17"/>
  <c r="L1658" i="17"/>
  <c r="O1658" i="17" s="1"/>
  <c r="P1658" i="17" s="1"/>
  <c r="L1672" i="17"/>
  <c r="O1672" i="17" s="1"/>
  <c r="M1686" i="17"/>
  <c r="K1688" i="17"/>
  <c r="M1730" i="17"/>
  <c r="M1732" i="17"/>
  <c r="P1732" i="17" s="1"/>
  <c r="Q1732" i="17" s="1"/>
  <c r="G597" i="12" s="1"/>
  <c r="A597" i="12" s="1"/>
  <c r="M1734" i="17"/>
  <c r="P1734" i="17" s="1"/>
  <c r="L1768" i="17"/>
  <c r="O1768" i="17" s="1"/>
  <c r="P1768" i="17" s="1"/>
  <c r="E300" i="12" s="1"/>
  <c r="L1770" i="17"/>
  <c r="O1770" i="17" s="1"/>
  <c r="P1770" i="17" s="1"/>
  <c r="N1814" i="17"/>
  <c r="L1832" i="17"/>
  <c r="O1832" i="17" s="1"/>
  <c r="M1834" i="17"/>
  <c r="M5" i="17"/>
  <c r="L214" i="17"/>
  <c r="O214" i="17" s="1"/>
  <c r="P214" i="17" s="1"/>
  <c r="Q214" i="17" s="1"/>
  <c r="L328" i="17"/>
  <c r="O328" i="17" s="1"/>
  <c r="P328" i="17" s="1"/>
  <c r="N485" i="17"/>
  <c r="N995" i="17"/>
  <c r="L1255" i="17"/>
  <c r="O1255" i="17" s="1"/>
  <c r="M1273" i="17"/>
  <c r="M1658" i="17"/>
  <c r="L1688" i="17"/>
  <c r="O1688" i="17" s="1"/>
  <c r="L1766" i="17"/>
  <c r="O1766" i="17" s="1"/>
  <c r="P1766" i="17" s="1"/>
  <c r="Q1766" i="17" s="1"/>
  <c r="G298" i="12" s="1"/>
  <c r="A298" i="12" s="1"/>
  <c r="M1768" i="17"/>
  <c r="N1770" i="17"/>
  <c r="M1832" i="17"/>
  <c r="N1834" i="17"/>
  <c r="N1865" i="17"/>
  <c r="M214" i="17"/>
  <c r="M328" i="17"/>
  <c r="M1255" i="17"/>
  <c r="N1273" i="17"/>
  <c r="N1658" i="17"/>
  <c r="M1688" i="17"/>
  <c r="N1768" i="17"/>
  <c r="K1861" i="17"/>
  <c r="J640" i="9"/>
  <c r="L1861" i="17"/>
  <c r="O1861" i="17" s="1"/>
  <c r="P1861" i="17" s="1"/>
  <c r="Q1861" i="17" s="1"/>
  <c r="J1821" i="9"/>
  <c r="F476" i="12"/>
  <c r="N381" i="17"/>
  <c r="M381" i="17"/>
  <c r="N454" i="17"/>
  <c r="M454" i="17"/>
  <c r="K693" i="17"/>
  <c r="J693" i="17"/>
  <c r="M760" i="17"/>
  <c r="L760" i="17"/>
  <c r="O760" i="17" s="1"/>
  <c r="N760" i="17"/>
  <c r="J760" i="17"/>
  <c r="J826" i="17"/>
  <c r="N826" i="17"/>
  <c r="J1107" i="17"/>
  <c r="M1107" i="17"/>
  <c r="N1251" i="17"/>
  <c r="L1251" i="17"/>
  <c r="O1251" i="17" s="1"/>
  <c r="P1251" i="17" s="1"/>
  <c r="Q1251" i="17" s="1"/>
  <c r="K1251" i="17"/>
  <c r="L1282" i="17"/>
  <c r="O1282" i="17" s="1"/>
  <c r="P1282" i="17" s="1"/>
  <c r="Q1282" i="17" s="1"/>
  <c r="M1282" i="17"/>
  <c r="J1661" i="17"/>
  <c r="N1661" i="17"/>
  <c r="L1795" i="17"/>
  <c r="O1795" i="17" s="1"/>
  <c r="P1795" i="17" s="1"/>
  <c r="F452" i="12" s="1"/>
  <c r="N1795" i="17"/>
  <c r="M1795" i="17"/>
  <c r="J1795" i="17"/>
  <c r="J107" i="9"/>
  <c r="J137" i="9"/>
  <c r="J246" i="9"/>
  <c r="J381" i="9"/>
  <c r="J933" i="9"/>
  <c r="J970" i="9"/>
  <c r="J1627" i="9"/>
  <c r="J1803" i="9"/>
  <c r="J1853" i="9"/>
  <c r="K267" i="8" s="1"/>
  <c r="N267" i="8" s="1"/>
  <c r="G212" i="10" s="1"/>
  <c r="K212" i="10" s="1"/>
  <c r="J100" i="17"/>
  <c r="J218" i="17"/>
  <c r="J224" i="17"/>
  <c r="P262" i="17"/>
  <c r="Q262" i="17" s="1"/>
  <c r="L321" i="17"/>
  <c r="O321" i="17" s="1"/>
  <c r="P321" i="17" s="1"/>
  <c r="Q321" i="17" s="1"/>
  <c r="K451" i="17"/>
  <c r="M532" i="17"/>
  <c r="K532" i="17"/>
  <c r="N534" i="17"/>
  <c r="L534" i="17"/>
  <c r="O534" i="17" s="1"/>
  <c r="P534" i="17" s="1"/>
  <c r="J640" i="17"/>
  <c r="M679" i="17"/>
  <c r="K679" i="17"/>
  <c r="N770" i="17"/>
  <c r="J770" i="17"/>
  <c r="K853" i="17"/>
  <c r="J853" i="17"/>
  <c r="M911" i="17"/>
  <c r="K911" i="17"/>
  <c r="J1125" i="17"/>
  <c r="N1125" i="17"/>
  <c r="M1125" i="17"/>
  <c r="N1567" i="17"/>
  <c r="L1567" i="17"/>
  <c r="O1567" i="17" s="1"/>
  <c r="P1567" i="17" s="1"/>
  <c r="J1567" i="17"/>
  <c r="M1567" i="17"/>
  <c r="L1725" i="17"/>
  <c r="O1725" i="17" s="1"/>
  <c r="N1725" i="17"/>
  <c r="J1725" i="17"/>
  <c r="J338" i="9"/>
  <c r="J343" i="9"/>
  <c r="J1484" i="9"/>
  <c r="J1500" i="9"/>
  <c r="M279" i="17"/>
  <c r="N279" i="17"/>
  <c r="K320" i="17"/>
  <c r="M320" i="17"/>
  <c r="M331" i="17"/>
  <c r="L331" i="17"/>
  <c r="O331" i="17" s="1"/>
  <c r="P331" i="17" s="1"/>
  <c r="Q331" i="17" s="1"/>
  <c r="M422" i="17"/>
  <c r="J422" i="17"/>
  <c r="N450" i="17"/>
  <c r="M450" i="17"/>
  <c r="K734" i="17"/>
  <c r="L734" i="17"/>
  <c r="O734" i="17" s="1"/>
  <c r="P734" i="17" s="1"/>
  <c r="E128" i="12" s="1"/>
  <c r="J749" i="17"/>
  <c r="M749" i="17"/>
  <c r="J824" i="17"/>
  <c r="N824" i="17"/>
  <c r="N956" i="17"/>
  <c r="J956" i="17"/>
  <c r="M964" i="17"/>
  <c r="K964" i="17"/>
  <c r="L964" i="17"/>
  <c r="O964" i="17" s="1"/>
  <c r="N1038" i="17"/>
  <c r="M1038" i="17"/>
  <c r="J1098" i="17"/>
  <c r="N1098" i="17"/>
  <c r="M1157" i="17"/>
  <c r="N1157" i="17"/>
  <c r="L1157" i="17"/>
  <c r="O1157" i="17" s="1"/>
  <c r="P1157" i="17" s="1"/>
  <c r="Q1157" i="17" s="1"/>
  <c r="K1157" i="17"/>
  <c r="J1157" i="17"/>
  <c r="K1216" i="17"/>
  <c r="M1216" i="17"/>
  <c r="L1216" i="17"/>
  <c r="O1216" i="17" s="1"/>
  <c r="P1216" i="17" s="1"/>
  <c r="J1216" i="17"/>
  <c r="J1222" i="17"/>
  <c r="N1222" i="17"/>
  <c r="L1222" i="17"/>
  <c r="O1222" i="17" s="1"/>
  <c r="P1222" i="17" s="1"/>
  <c r="Q1222" i="17" s="1"/>
  <c r="L1242" i="17"/>
  <c r="O1242" i="17" s="1"/>
  <c r="P1242" i="17" s="1"/>
  <c r="N1242" i="17"/>
  <c r="M1242" i="17"/>
  <c r="K1242" i="17"/>
  <c r="J1242" i="17"/>
  <c r="J1437" i="17"/>
  <c r="N1437" i="17"/>
  <c r="K1437" i="17"/>
  <c r="J98" i="9"/>
  <c r="J204" i="9"/>
  <c r="K25" i="8" s="1"/>
  <c r="N25" i="8" s="1"/>
  <c r="J485" i="9"/>
  <c r="J571" i="9"/>
  <c r="J638" i="9"/>
  <c r="J740" i="9"/>
  <c r="J750" i="9"/>
  <c r="J1050" i="9"/>
  <c r="J1446" i="9"/>
  <c r="J1559" i="9"/>
  <c r="J1568" i="9"/>
  <c r="J1835" i="9"/>
  <c r="L270" i="17"/>
  <c r="O270" i="17" s="1"/>
  <c r="P270" i="17" s="1"/>
  <c r="Q270" i="17" s="1"/>
  <c r="K393" i="17"/>
  <c r="M452" i="17"/>
  <c r="N452" i="17"/>
  <c r="L530" i="17"/>
  <c r="O530" i="17" s="1"/>
  <c r="P530" i="17" s="1"/>
  <c r="Q530" i="17" s="1"/>
  <c r="N530" i="17"/>
  <c r="J639" i="17"/>
  <c r="M639" i="17"/>
  <c r="L639" i="17"/>
  <c r="O639" i="17" s="1"/>
  <c r="M815" i="17"/>
  <c r="N815" i="17"/>
  <c r="P968" i="17"/>
  <c r="Q968" i="17" s="1"/>
  <c r="N1470" i="17"/>
  <c r="K1470" i="17"/>
  <c r="K1561" i="17"/>
  <c r="N1561" i="17"/>
  <c r="M1561" i="17"/>
  <c r="L1561" i="17"/>
  <c r="O1561" i="17" s="1"/>
  <c r="P1561" i="17" s="1"/>
  <c r="Q1561" i="17" s="1"/>
  <c r="G624" i="12"/>
  <c r="A624" i="12" s="1"/>
  <c r="M22" i="17"/>
  <c r="L35" i="17"/>
  <c r="O35" i="17" s="1"/>
  <c r="P35" i="17" s="1"/>
  <c r="N54" i="17"/>
  <c r="K56" i="17"/>
  <c r="N74" i="17"/>
  <c r="M79" i="17"/>
  <c r="K83" i="17"/>
  <c r="J87" i="17"/>
  <c r="N100" i="17"/>
  <c r="N128" i="17"/>
  <c r="K147" i="17"/>
  <c r="M150" i="17"/>
  <c r="J169" i="17"/>
  <c r="J178" i="17"/>
  <c r="L197" i="17"/>
  <c r="O197" i="17" s="1"/>
  <c r="P197" i="17" s="1"/>
  <c r="Q197" i="17" s="1"/>
  <c r="M218" i="17"/>
  <c r="N224" i="17"/>
  <c r="K226" i="17"/>
  <c r="J249" i="17"/>
  <c r="N270" i="17"/>
  <c r="K325" i="17"/>
  <c r="M361" i="17"/>
  <c r="M393" i="17"/>
  <c r="N399" i="17"/>
  <c r="J441" i="17"/>
  <c r="K507" i="17"/>
  <c r="J577" i="17"/>
  <c r="N577" i="17"/>
  <c r="M577" i="17"/>
  <c r="K577" i="17"/>
  <c r="J602" i="17"/>
  <c r="J611" i="17"/>
  <c r="N640" i="17"/>
  <c r="L688" i="17"/>
  <c r="O688" i="17" s="1"/>
  <c r="K688" i="17"/>
  <c r="J738" i="17"/>
  <c r="J793" i="17"/>
  <c r="M798" i="17"/>
  <c r="N798" i="17"/>
  <c r="K1015" i="17"/>
  <c r="K1024" i="17"/>
  <c r="N1053" i="17"/>
  <c r="L1063" i="17"/>
  <c r="O1063" i="17" s="1"/>
  <c r="P1063" i="17" s="1"/>
  <c r="Q1063" i="17" s="1"/>
  <c r="M1063" i="17"/>
  <c r="L1116" i="17"/>
  <c r="O1116" i="17" s="1"/>
  <c r="K1116" i="17"/>
  <c r="J1116" i="17"/>
  <c r="J1313" i="17"/>
  <c r="N1313" i="17"/>
  <c r="M1313" i="17"/>
  <c r="L1313" i="17"/>
  <c r="O1313" i="17" s="1"/>
  <c r="K1313" i="17"/>
  <c r="L1358" i="17"/>
  <c r="O1358" i="17" s="1"/>
  <c r="P1358" i="17" s="1"/>
  <c r="K1358" i="17"/>
  <c r="M1358" i="17"/>
  <c r="M1468" i="17"/>
  <c r="K1468" i="17"/>
  <c r="J65" i="9"/>
  <c r="J603" i="9"/>
  <c r="J869" i="9"/>
  <c r="J1198" i="9"/>
  <c r="J1636" i="9"/>
  <c r="G640" i="12"/>
  <c r="A640" i="12" s="1"/>
  <c r="N35" i="17"/>
  <c r="L56" i="17"/>
  <c r="O56" i="17" s="1"/>
  <c r="J58" i="17"/>
  <c r="N79" i="17"/>
  <c r="K87" i="17"/>
  <c r="L110" i="17"/>
  <c r="O110" i="17" s="1"/>
  <c r="P110" i="17" s="1"/>
  <c r="J114" i="17"/>
  <c r="N118" i="17"/>
  <c r="L147" i="17"/>
  <c r="O147" i="17" s="1"/>
  <c r="P147" i="17" s="1"/>
  <c r="J149" i="17"/>
  <c r="L167" i="17"/>
  <c r="O167" i="17" s="1"/>
  <c r="P167" i="17" s="1"/>
  <c r="K169" i="17"/>
  <c r="L176" i="17"/>
  <c r="O176" i="17" s="1"/>
  <c r="P176" i="17" s="1"/>
  <c r="Q176" i="17" s="1"/>
  <c r="K178" i="17"/>
  <c r="L210" i="17"/>
  <c r="O210" i="17" s="1"/>
  <c r="P210" i="17" s="1"/>
  <c r="N215" i="17"/>
  <c r="L215" i="17"/>
  <c r="O215" i="17" s="1"/>
  <c r="P215" i="17" s="1"/>
  <c r="Q215" i="17" s="1"/>
  <c r="L226" i="17"/>
  <c r="O226" i="17" s="1"/>
  <c r="P226" i="17" s="1"/>
  <c r="Q226" i="17" s="1"/>
  <c r="N249" i="17"/>
  <c r="J258" i="17"/>
  <c r="L325" i="17"/>
  <c r="O325" i="17" s="1"/>
  <c r="P325" i="17" s="1"/>
  <c r="Q325" i="17" s="1"/>
  <c r="J327" i="17"/>
  <c r="J358" i="17"/>
  <c r="J365" i="17"/>
  <c r="N393" i="17"/>
  <c r="K405" i="17"/>
  <c r="J405" i="17"/>
  <c r="K441" i="17"/>
  <c r="K458" i="17"/>
  <c r="L493" i="17"/>
  <c r="O493" i="17" s="1"/>
  <c r="P493" i="17" s="1"/>
  <c r="Q493" i="17" s="1"/>
  <c r="L507" i="17"/>
  <c r="O507" i="17" s="1"/>
  <c r="P507" i="17" s="1"/>
  <c r="K523" i="17"/>
  <c r="J523" i="17"/>
  <c r="K557" i="17"/>
  <c r="L565" i="17"/>
  <c r="O565" i="17" s="1"/>
  <c r="P565" i="17" s="1"/>
  <c r="Q565" i="17" s="1"/>
  <c r="N575" i="17"/>
  <c r="L575" i="17"/>
  <c r="O575" i="17" s="1"/>
  <c r="P575" i="17" s="1"/>
  <c r="Q575" i="17" s="1"/>
  <c r="L604" i="17"/>
  <c r="O604" i="17" s="1"/>
  <c r="P604" i="17" s="1"/>
  <c r="K611" i="17"/>
  <c r="N614" i="17"/>
  <c r="M614" i="17"/>
  <c r="N637" i="17"/>
  <c r="K637" i="17"/>
  <c r="J681" i="17"/>
  <c r="J739" i="17"/>
  <c r="K739" i="17"/>
  <c r="J745" i="17"/>
  <c r="N745" i="17"/>
  <c r="M793" i="17"/>
  <c r="J808" i="17"/>
  <c r="L810" i="17"/>
  <c r="O810" i="17" s="1"/>
  <c r="P810" i="17" s="1"/>
  <c r="Q810" i="17" s="1"/>
  <c r="G159" i="12" s="1"/>
  <c r="A159" i="12" s="1"/>
  <c r="N909" i="17"/>
  <c r="J909" i="17"/>
  <c r="K927" i="17"/>
  <c r="K937" i="17"/>
  <c r="L937" i="17"/>
  <c r="O937" i="17" s="1"/>
  <c r="L1153" i="17"/>
  <c r="O1153" i="17" s="1"/>
  <c r="P1153" i="17" s="1"/>
  <c r="J1153" i="17"/>
  <c r="N1254" i="17"/>
  <c r="L1254" i="17"/>
  <c r="O1254" i="17" s="1"/>
  <c r="P1254" i="17" s="1"/>
  <c r="Q1254" i="17" s="1"/>
  <c r="L1291" i="17"/>
  <c r="O1291" i="17" s="1"/>
  <c r="P1291" i="17" s="1"/>
  <c r="M1545" i="17"/>
  <c r="J1545" i="17"/>
  <c r="F477" i="12"/>
  <c r="H494" i="12"/>
  <c r="A494" i="12" s="1"/>
  <c r="H497" i="12"/>
  <c r="A497" i="12" s="1"/>
  <c r="G638" i="12"/>
  <c r="A638" i="12" s="1"/>
  <c r="N56" i="17"/>
  <c r="L58" i="17"/>
  <c r="O58" i="17" s="1"/>
  <c r="P58" i="17" s="1"/>
  <c r="J71" i="17"/>
  <c r="L87" i="17"/>
  <c r="O87" i="17" s="1"/>
  <c r="P87" i="17" s="1"/>
  <c r="K104" i="17"/>
  <c r="K114" i="17"/>
  <c r="N147" i="17"/>
  <c r="K149" i="17"/>
  <c r="M167" i="17"/>
  <c r="L169" i="17"/>
  <c r="O169" i="17" s="1"/>
  <c r="P169" i="17" s="1"/>
  <c r="Q169" i="17" s="1"/>
  <c r="M176" i="17"/>
  <c r="N178" i="17"/>
  <c r="L208" i="17"/>
  <c r="O208" i="17" s="1"/>
  <c r="P208" i="17" s="1"/>
  <c r="Q208" i="17" s="1"/>
  <c r="N210" i="17"/>
  <c r="M226" i="17"/>
  <c r="M258" i="17"/>
  <c r="M325" i="17"/>
  <c r="K327" i="17"/>
  <c r="K358" i="17"/>
  <c r="J386" i="17"/>
  <c r="J408" i="17"/>
  <c r="L441" i="17"/>
  <c r="O441" i="17" s="1"/>
  <c r="P441" i="17" s="1"/>
  <c r="Q441" i="17" s="1"/>
  <c r="J454" i="17"/>
  <c r="L456" i="17"/>
  <c r="O456" i="17" s="1"/>
  <c r="P456" i="17" s="1"/>
  <c r="Q456" i="17" s="1"/>
  <c r="M458" i="17"/>
  <c r="K467" i="17"/>
  <c r="J469" i="17"/>
  <c r="M493" i="17"/>
  <c r="M507" i="17"/>
  <c r="L557" i="17"/>
  <c r="O557" i="17" s="1"/>
  <c r="P557" i="17" s="1"/>
  <c r="Q557" i="17" s="1"/>
  <c r="J559" i="17"/>
  <c r="N565" i="17"/>
  <c r="M604" i="17"/>
  <c r="K606" i="17"/>
  <c r="M611" i="17"/>
  <c r="N693" i="17"/>
  <c r="N732" i="17"/>
  <c r="J732" i="17"/>
  <c r="K760" i="17"/>
  <c r="N776" i="17"/>
  <c r="L783" i="17"/>
  <c r="O783" i="17" s="1"/>
  <c r="P783" i="17" s="1"/>
  <c r="Q783" i="17" s="1"/>
  <c r="M783" i="17"/>
  <c r="J866" i="17"/>
  <c r="J868" i="17"/>
  <c r="L878" i="17"/>
  <c r="O878" i="17" s="1"/>
  <c r="P878" i="17" s="1"/>
  <c r="J878" i="17"/>
  <c r="J980" i="17"/>
  <c r="K991" i="17"/>
  <c r="M1014" i="17"/>
  <c r="N1014" i="17"/>
  <c r="K1023" i="17"/>
  <c r="L1023" i="17"/>
  <c r="O1023" i="17" s="1"/>
  <c r="P1023" i="17" s="1"/>
  <c r="N1151" i="17"/>
  <c r="M1151" i="17"/>
  <c r="L1151" i="17"/>
  <c r="O1151" i="17" s="1"/>
  <c r="L1179" i="17"/>
  <c r="O1179" i="17" s="1"/>
  <c r="P1179" i="17" s="1"/>
  <c r="J1179" i="17"/>
  <c r="N1294" i="17"/>
  <c r="J1294" i="17"/>
  <c r="M1294" i="17"/>
  <c r="K1294" i="17"/>
  <c r="J89" i="9"/>
  <c r="J295" i="9"/>
  <c r="J432" i="9"/>
  <c r="J608" i="9"/>
  <c r="J783" i="9"/>
  <c r="J854" i="9"/>
  <c r="J986" i="9"/>
  <c r="J1248" i="9"/>
  <c r="J1333" i="9"/>
  <c r="J1485" i="9"/>
  <c r="J1523" i="9"/>
  <c r="J6" i="17"/>
  <c r="K29" i="17"/>
  <c r="M58" i="17"/>
  <c r="M69" i="17"/>
  <c r="K71" i="17"/>
  <c r="M87" i="17"/>
  <c r="L104" i="17"/>
  <c r="O104" i="17" s="1"/>
  <c r="P104" i="17" s="1"/>
  <c r="J106" i="17"/>
  <c r="L149" i="17"/>
  <c r="O149" i="17" s="1"/>
  <c r="P149" i="17" s="1"/>
  <c r="Q149" i="17" s="1"/>
  <c r="M169" i="17"/>
  <c r="N176" i="17"/>
  <c r="K206" i="17"/>
  <c r="M208" i="17"/>
  <c r="L264" i="17"/>
  <c r="O264" i="17" s="1"/>
  <c r="P264" i="17" s="1"/>
  <c r="Q264" i="17" s="1"/>
  <c r="J267" i="17"/>
  <c r="N325" i="17"/>
  <c r="M327" i="17"/>
  <c r="K356" i="17"/>
  <c r="M358" i="17"/>
  <c r="K386" i="17"/>
  <c r="M403" i="17"/>
  <c r="L403" i="17"/>
  <c r="O403" i="17" s="1"/>
  <c r="P403" i="17" s="1"/>
  <c r="J403" i="17"/>
  <c r="M441" i="17"/>
  <c r="K454" i="17"/>
  <c r="N458" i="17"/>
  <c r="N557" i="17"/>
  <c r="K559" i="17"/>
  <c r="L606" i="17"/>
  <c r="O606" i="17" s="1"/>
  <c r="P606" i="17" s="1"/>
  <c r="N611" i="17"/>
  <c r="J630" i="17"/>
  <c r="N633" i="17"/>
  <c r="J633" i="17"/>
  <c r="L679" i="17"/>
  <c r="O679" i="17" s="1"/>
  <c r="P679" i="17" s="1"/>
  <c r="J727" i="17"/>
  <c r="N809" i="17"/>
  <c r="M809" i="17"/>
  <c r="L826" i="17"/>
  <c r="O826" i="17" s="1"/>
  <c r="K836" i="17"/>
  <c r="L836" i="17"/>
  <c r="O836" i="17" s="1"/>
  <c r="M853" i="17"/>
  <c r="K891" i="17"/>
  <c r="L911" i="17"/>
  <c r="O911" i="17" s="1"/>
  <c r="P911" i="17" s="1"/>
  <c r="Q911" i="17" s="1"/>
  <c r="J952" i="17"/>
  <c r="N952" i="17"/>
  <c r="L971" i="17"/>
  <c r="O971" i="17" s="1"/>
  <c r="P971" i="17" s="1"/>
  <c r="K980" i="17"/>
  <c r="N991" i="17"/>
  <c r="L1071" i="17"/>
  <c r="O1071" i="17" s="1"/>
  <c r="M1071" i="17"/>
  <c r="K1107" i="17"/>
  <c r="L1210" i="17"/>
  <c r="O1210" i="17" s="1"/>
  <c r="P1210" i="17" s="1"/>
  <c r="N1210" i="17"/>
  <c r="J1210" i="17"/>
  <c r="J1251" i="17"/>
  <c r="M1258" i="17"/>
  <c r="N1258" i="17"/>
  <c r="M1480" i="17"/>
  <c r="N1480" i="17"/>
  <c r="L1480" i="17"/>
  <c r="O1480" i="17" s="1"/>
  <c r="P1480" i="17" s="1"/>
  <c r="K1480" i="17"/>
  <c r="J1480" i="17"/>
  <c r="H477" i="12"/>
  <c r="A477" i="12" s="1"/>
  <c r="H483" i="12"/>
  <c r="A483" i="12" s="1"/>
  <c r="F486" i="12"/>
  <c r="F489" i="12"/>
  <c r="F492" i="12"/>
  <c r="K6" i="17"/>
  <c r="J8" i="17"/>
  <c r="J19" i="17"/>
  <c r="J39" i="17"/>
  <c r="J53" i="17"/>
  <c r="N58" i="17"/>
  <c r="N69" i="17"/>
  <c r="L71" i="17"/>
  <c r="O71" i="17" s="1"/>
  <c r="P71" i="17" s="1"/>
  <c r="Q71" i="17" s="1"/>
  <c r="N104" i="17"/>
  <c r="L106" i="17"/>
  <c r="O106" i="17" s="1"/>
  <c r="P106" i="17" s="1"/>
  <c r="Q106" i="17" s="1"/>
  <c r="J120" i="17"/>
  <c r="J146" i="17"/>
  <c r="M149" i="17"/>
  <c r="K164" i="17"/>
  <c r="M264" i="17"/>
  <c r="K267" i="17"/>
  <c r="J281" i="17"/>
  <c r="J320" i="17"/>
  <c r="N327" i="17"/>
  <c r="J331" i="17"/>
  <c r="N356" i="17"/>
  <c r="N358" i="17"/>
  <c r="M386" i="17"/>
  <c r="J392" i="17"/>
  <c r="J442" i="17"/>
  <c r="N442" i="17"/>
  <c r="M442" i="17"/>
  <c r="K442" i="17"/>
  <c r="J450" i="17"/>
  <c r="L454" i="17"/>
  <c r="O454" i="17" s="1"/>
  <c r="P454" i="17" s="1"/>
  <c r="J489" i="17"/>
  <c r="L517" i="17"/>
  <c r="O517" i="17" s="1"/>
  <c r="P517" i="17" s="1"/>
  <c r="Q517" i="17" s="1"/>
  <c r="M517" i="17"/>
  <c r="J517" i="17"/>
  <c r="J532" i="17"/>
  <c r="L541" i="17"/>
  <c r="O541" i="17" s="1"/>
  <c r="P541" i="17" s="1"/>
  <c r="M559" i="17"/>
  <c r="L598" i="17"/>
  <c r="O598" i="17" s="1"/>
  <c r="P598" i="17" s="1"/>
  <c r="Q598" i="17" s="1"/>
  <c r="M606" i="17"/>
  <c r="L608" i="17"/>
  <c r="O608" i="17" s="1"/>
  <c r="P608" i="17" s="1"/>
  <c r="Q608" i="17" s="1"/>
  <c r="K630" i="17"/>
  <c r="L647" i="17"/>
  <c r="O647" i="17" s="1"/>
  <c r="P647" i="17" s="1"/>
  <c r="K659" i="17"/>
  <c r="N679" i="17"/>
  <c r="L727" i="17"/>
  <c r="O727" i="17" s="1"/>
  <c r="P727" i="17" s="1"/>
  <c r="Q727" i="17" s="1"/>
  <c r="G120" i="12" s="1"/>
  <c r="A120" i="12" s="1"/>
  <c r="J734" i="17"/>
  <c r="K770" i="17"/>
  <c r="L807" i="17"/>
  <c r="O807" i="17" s="1"/>
  <c r="P807" i="17" s="1"/>
  <c r="Q807" i="17" s="1"/>
  <c r="G158" i="12" s="1"/>
  <c r="A158" i="12" s="1"/>
  <c r="K807" i="17"/>
  <c r="P842" i="17"/>
  <c r="N853" i="17"/>
  <c r="K874" i="17"/>
  <c r="N874" i="17"/>
  <c r="K885" i="17"/>
  <c r="M885" i="17"/>
  <c r="L885" i="17"/>
  <c r="O885" i="17" s="1"/>
  <c r="P885" i="17" s="1"/>
  <c r="N887" i="17"/>
  <c r="M887" i="17"/>
  <c r="L891" i="17"/>
  <c r="O891" i="17" s="1"/>
  <c r="P891" i="17" s="1"/>
  <c r="N935" i="17"/>
  <c r="J935" i="17"/>
  <c r="M980" i="17"/>
  <c r="P980" i="17" s="1"/>
  <c r="N1092" i="17"/>
  <c r="M1092" i="17"/>
  <c r="L1107" i="17"/>
  <c r="O1107" i="17" s="1"/>
  <c r="P1107" i="17" s="1"/>
  <c r="L1164" i="17"/>
  <c r="O1164" i="17" s="1"/>
  <c r="K1164" i="17"/>
  <c r="K1222" i="17"/>
  <c r="N1250" i="17"/>
  <c r="K1250" i="17"/>
  <c r="N1256" i="17"/>
  <c r="L1256" i="17"/>
  <c r="O1256" i="17" s="1"/>
  <c r="K1256" i="17"/>
  <c r="N1425" i="17"/>
  <c r="L1425" i="17"/>
  <c r="O1425" i="17" s="1"/>
  <c r="J617" i="9"/>
  <c r="J1037" i="9"/>
  <c r="J1473" i="9"/>
  <c r="J1772" i="9"/>
  <c r="J1861" i="9"/>
  <c r="L6" i="17"/>
  <c r="O6" i="17" s="1"/>
  <c r="P6" i="17" s="1"/>
  <c r="Q6" i="17" s="1"/>
  <c r="K8" i="17"/>
  <c r="K17" i="17"/>
  <c r="L19" i="17"/>
  <c r="O19" i="17" s="1"/>
  <c r="P19" i="17" s="1"/>
  <c r="Q19" i="17" s="1"/>
  <c r="K39" i="17"/>
  <c r="K53" i="17"/>
  <c r="M71" i="17"/>
  <c r="K120" i="17"/>
  <c r="K146" i="17"/>
  <c r="J162" i="17"/>
  <c r="L164" i="17"/>
  <c r="O164" i="17" s="1"/>
  <c r="P164" i="17" s="1"/>
  <c r="J166" i="17"/>
  <c r="N264" i="17"/>
  <c r="M267" i="17"/>
  <c r="L277" i="17"/>
  <c r="O277" i="17" s="1"/>
  <c r="P277" i="17" s="1"/>
  <c r="Q277" i="17" s="1"/>
  <c r="K279" i="17"/>
  <c r="N281" i="17"/>
  <c r="L320" i="17"/>
  <c r="O320" i="17" s="1"/>
  <c r="P320" i="17" s="1"/>
  <c r="Q320" i="17" s="1"/>
  <c r="N331" i="17"/>
  <c r="K377" i="17"/>
  <c r="N386" i="17"/>
  <c r="M389" i="17"/>
  <c r="N389" i="17"/>
  <c r="K389" i="17"/>
  <c r="K392" i="17"/>
  <c r="K422" i="17"/>
  <c r="K450" i="17"/>
  <c r="L452" i="17"/>
  <c r="O452" i="17" s="1"/>
  <c r="P452" i="17" s="1"/>
  <c r="K489" i="17"/>
  <c r="M515" i="17"/>
  <c r="L515" i="17"/>
  <c r="O515" i="17" s="1"/>
  <c r="P515" i="17" s="1"/>
  <c r="Q515" i="17" s="1"/>
  <c r="M541" i="17"/>
  <c r="M554" i="17"/>
  <c r="L554" i="17"/>
  <c r="O554" i="17" s="1"/>
  <c r="P554" i="17" s="1"/>
  <c r="Q554" i="17" s="1"/>
  <c r="N606" i="17"/>
  <c r="M608" i="17"/>
  <c r="L630" i="17"/>
  <c r="O630" i="17" s="1"/>
  <c r="P630" i="17" s="1"/>
  <c r="Q630" i="17" s="1"/>
  <c r="K639" i="17"/>
  <c r="K645" i="17"/>
  <c r="N647" i="17"/>
  <c r="L657" i="17"/>
  <c r="O657" i="17" s="1"/>
  <c r="P657" i="17" s="1"/>
  <c r="L659" i="17"/>
  <c r="O659" i="17" s="1"/>
  <c r="P659" i="17" s="1"/>
  <c r="J661" i="17"/>
  <c r="L702" i="17"/>
  <c r="O702" i="17" s="1"/>
  <c r="P702" i="17" s="1"/>
  <c r="M734" i="17"/>
  <c r="L770" i="17"/>
  <c r="O770" i="17" s="1"/>
  <c r="N980" i="17"/>
  <c r="L1038" i="17"/>
  <c r="O1038" i="17" s="1"/>
  <c r="N1048" i="17"/>
  <c r="M1048" i="17"/>
  <c r="K1048" i="17"/>
  <c r="J1069" i="17"/>
  <c r="K1069" i="17"/>
  <c r="M1069" i="17"/>
  <c r="N1107" i="17"/>
  <c r="K1110" i="17"/>
  <c r="J1110" i="17"/>
  <c r="N1216" i="17"/>
  <c r="M1222" i="17"/>
  <c r="M1243" i="17"/>
  <c r="J1243" i="17"/>
  <c r="M1470" i="17"/>
  <c r="J1561" i="17"/>
  <c r="J450" i="9"/>
  <c r="J1271" i="9"/>
  <c r="J211" i="9"/>
  <c r="J595" i="9"/>
  <c r="K26" i="8" s="1"/>
  <c r="N26" i="8" s="1"/>
  <c r="J1410" i="9"/>
  <c r="L8" i="17"/>
  <c r="O8" i="17" s="1"/>
  <c r="P8" i="17" s="1"/>
  <c r="Q8" i="17" s="1"/>
  <c r="L17" i="17"/>
  <c r="O17" i="17" s="1"/>
  <c r="P17" i="17" s="1"/>
  <c r="Q17" i="17" s="1"/>
  <c r="M19" i="17"/>
  <c r="L39" i="17"/>
  <c r="O39" i="17" s="1"/>
  <c r="P39" i="17" s="1"/>
  <c r="Q39" i="17" s="1"/>
  <c r="L53" i="17"/>
  <c r="O53" i="17" s="1"/>
  <c r="P53" i="17" s="1"/>
  <c r="Q53" i="17" s="1"/>
  <c r="L120" i="17"/>
  <c r="O120" i="17" s="1"/>
  <c r="P120" i="17" s="1"/>
  <c r="K131" i="17"/>
  <c r="J137" i="17"/>
  <c r="L146" i="17"/>
  <c r="O146" i="17" s="1"/>
  <c r="P146" i="17" s="1"/>
  <c r="M160" i="17"/>
  <c r="L162" i="17"/>
  <c r="O162" i="17" s="1"/>
  <c r="P162" i="17" s="1"/>
  <c r="Q162" i="17" s="1"/>
  <c r="M164" i="17"/>
  <c r="K166" i="17"/>
  <c r="J173" i="17"/>
  <c r="J183" i="17"/>
  <c r="J221" i="17"/>
  <c r="N267" i="17"/>
  <c r="L279" i="17"/>
  <c r="O279" i="17" s="1"/>
  <c r="P279" i="17" s="1"/>
  <c r="N320" i="17"/>
  <c r="L377" i="17"/>
  <c r="O377" i="17" s="1"/>
  <c r="P377" i="17" s="1"/>
  <c r="N387" i="17"/>
  <c r="M387" i="17"/>
  <c r="K387" i="17"/>
  <c r="L392" i="17"/>
  <c r="O392" i="17" s="1"/>
  <c r="P392" i="17" s="1"/>
  <c r="L422" i="17"/>
  <c r="O422" i="17" s="1"/>
  <c r="P422" i="17" s="1"/>
  <c r="M435" i="17"/>
  <c r="N435" i="17"/>
  <c r="L450" i="17"/>
  <c r="O450" i="17" s="1"/>
  <c r="P450" i="17" s="1"/>
  <c r="Q450" i="17" s="1"/>
  <c r="M489" i="17"/>
  <c r="M571" i="17"/>
  <c r="J571" i="17"/>
  <c r="M630" i="17"/>
  <c r="N639" i="17"/>
  <c r="M657" i="17"/>
  <c r="M659" i="17"/>
  <c r="K661" i="17"/>
  <c r="N676" i="17"/>
  <c r="J676" i="17"/>
  <c r="J677" i="17"/>
  <c r="J686" i="17"/>
  <c r="N702" i="17"/>
  <c r="N734" i="17"/>
  <c r="M770" i="17"/>
  <c r="L800" i="17"/>
  <c r="O800" i="17" s="1"/>
  <c r="L815" i="17"/>
  <c r="O815" i="17" s="1"/>
  <c r="N852" i="17"/>
  <c r="L852" i="17"/>
  <c r="O852" i="17" s="1"/>
  <c r="P852" i="17" s="1"/>
  <c r="Q852" i="17" s="1"/>
  <c r="J852" i="17"/>
  <c r="L944" i="17"/>
  <c r="O944" i="17" s="1"/>
  <c r="P944" i="17" s="1"/>
  <c r="K944" i="17"/>
  <c r="J944" i="17"/>
  <c r="J1055" i="17"/>
  <c r="M1055" i="17"/>
  <c r="J1064" i="17"/>
  <c r="L1064" i="17"/>
  <c r="O1064" i="17" s="1"/>
  <c r="P1064" i="17" s="1"/>
  <c r="Q1064" i="17" s="1"/>
  <c r="N1171" i="17"/>
  <c r="M1171" i="17"/>
  <c r="K1171" i="17"/>
  <c r="L1173" i="17"/>
  <c r="O1173" i="17" s="1"/>
  <c r="P1173" i="17" s="1"/>
  <c r="N1173" i="17"/>
  <c r="M1173" i="17"/>
  <c r="J1217" i="17"/>
  <c r="N1217" i="17"/>
  <c r="L1217" i="17"/>
  <c r="O1217" i="17" s="1"/>
  <c r="P1217" i="17" s="1"/>
  <c r="J1358" i="17"/>
  <c r="L15" i="9"/>
  <c r="M15" i="9" s="1"/>
  <c r="N8" i="17"/>
  <c r="N19" i="17"/>
  <c r="M39" i="17"/>
  <c r="M53" i="17"/>
  <c r="N160" i="17"/>
  <c r="N162" i="17"/>
  <c r="L166" i="17"/>
  <c r="O166" i="17" s="1"/>
  <c r="P166" i="17" s="1"/>
  <c r="Q166" i="17" s="1"/>
  <c r="K173" i="17"/>
  <c r="K221" i="17"/>
  <c r="M377" i="17"/>
  <c r="N392" i="17"/>
  <c r="N422" i="17"/>
  <c r="L484" i="17"/>
  <c r="O484" i="17" s="1"/>
  <c r="P484" i="17" s="1"/>
  <c r="N484" i="17"/>
  <c r="K484" i="17"/>
  <c r="K490" i="17"/>
  <c r="N490" i="17"/>
  <c r="N497" i="17"/>
  <c r="M497" i="17"/>
  <c r="N659" i="17"/>
  <c r="N661" i="17"/>
  <c r="M970" i="17"/>
  <c r="L970" i="17"/>
  <c r="O970" i="17" s="1"/>
  <c r="P970" i="17" s="1"/>
  <c r="Q970" i="17" s="1"/>
  <c r="K1140" i="17"/>
  <c r="M1140" i="17"/>
  <c r="N1297" i="17"/>
  <c r="M1297" i="17"/>
  <c r="J1297" i="17"/>
  <c r="N1361" i="17"/>
  <c r="J1361" i="17"/>
  <c r="L1361" i="17"/>
  <c r="O1361" i="17" s="1"/>
  <c r="P1361" i="17" s="1"/>
  <c r="K1361" i="17"/>
  <c r="J517" i="9"/>
  <c r="M166" i="17"/>
  <c r="N377" i="17"/>
  <c r="L482" i="17"/>
  <c r="O482" i="17" s="1"/>
  <c r="M482" i="17"/>
  <c r="K691" i="17"/>
  <c r="N691" i="17"/>
  <c r="M733" i="17"/>
  <c r="N733" i="17"/>
  <c r="J733" i="17"/>
  <c r="N883" i="17"/>
  <c r="J883" i="17"/>
  <c r="M920" i="17"/>
  <c r="L920" i="17"/>
  <c r="O920" i="17" s="1"/>
  <c r="J920" i="17"/>
  <c r="N922" i="17"/>
  <c r="M922" i="17"/>
  <c r="M1221" i="17"/>
  <c r="N1221" i="17"/>
  <c r="L1221" i="17"/>
  <c r="O1221" i="17" s="1"/>
  <c r="P1221" i="17" s="1"/>
  <c r="Q1221" i="17" s="1"/>
  <c r="K1221" i="17"/>
  <c r="J1221" i="17"/>
  <c r="M173" i="17"/>
  <c r="K642" i="17"/>
  <c r="N642" i="17"/>
  <c r="L642" i="17"/>
  <c r="O642" i="17" s="1"/>
  <c r="P642" i="17" s="1"/>
  <c r="P656" i="17"/>
  <c r="Q656" i="17" s="1"/>
  <c r="J968" i="17"/>
  <c r="M968" i="17"/>
  <c r="K968" i="17"/>
  <c r="L1024" i="17"/>
  <c r="O1024" i="17" s="1"/>
  <c r="P1024" i="17" s="1"/>
  <c r="Q1024" i="17" s="1"/>
  <c r="M1024" i="17"/>
  <c r="J1024" i="17"/>
  <c r="M1266" i="17"/>
  <c r="L1266" i="17"/>
  <c r="O1266" i="17" s="1"/>
  <c r="P1266" i="17" s="1"/>
  <c r="J1266" i="17"/>
  <c r="N1500" i="17"/>
  <c r="L1500" i="17"/>
  <c r="O1500" i="17" s="1"/>
  <c r="P1500" i="17" s="1"/>
  <c r="Q1500" i="17" s="1"/>
  <c r="L1603" i="17"/>
  <c r="O1603" i="17" s="1"/>
  <c r="M1603" i="17"/>
  <c r="N1603" i="17"/>
  <c r="N1613" i="17"/>
  <c r="K1613" i="17"/>
  <c r="J1613" i="17"/>
  <c r="J727" i="9"/>
  <c r="J1005" i="9"/>
  <c r="J1076" i="9"/>
  <c r="J1331" i="9"/>
  <c r="J1576" i="9"/>
  <c r="J1630" i="9"/>
  <c r="J1834" i="9"/>
  <c r="L262" i="8" s="1"/>
  <c r="O262" i="8" s="1"/>
  <c r="H207" i="10" s="1"/>
  <c r="L207" i="10" s="1"/>
  <c r="J431" i="17"/>
  <c r="M431" i="17"/>
  <c r="N717" i="17"/>
  <c r="L717" i="17"/>
  <c r="O717" i="17" s="1"/>
  <c r="P717" i="17" s="1"/>
  <c r="E115" i="12" s="1"/>
  <c r="P738" i="17"/>
  <c r="E132" i="12" s="1"/>
  <c r="J927" i="17"/>
  <c r="N927" i="17"/>
  <c r="M1219" i="17"/>
  <c r="N1219" i="17"/>
  <c r="K1219" i="17"/>
  <c r="M1291" i="17"/>
  <c r="J1291" i="17"/>
  <c r="K1291" i="17"/>
  <c r="J20" i="9"/>
  <c r="J181" i="9"/>
  <c r="J346" i="9"/>
  <c r="J505" i="9"/>
  <c r="J890" i="9"/>
  <c r="J1606" i="9"/>
  <c r="N365" i="17"/>
  <c r="K365" i="17"/>
  <c r="L408" i="17"/>
  <c r="O408" i="17" s="1"/>
  <c r="P408" i="17" s="1"/>
  <c r="K408" i="17"/>
  <c r="K426" i="17"/>
  <c r="N426" i="17"/>
  <c r="M426" i="17"/>
  <c r="J426" i="17"/>
  <c r="M467" i="17"/>
  <c r="N467" i="17"/>
  <c r="N469" i="17"/>
  <c r="M469" i="17"/>
  <c r="K469" i="17"/>
  <c r="M547" i="17"/>
  <c r="N547" i="17"/>
  <c r="N596" i="17"/>
  <c r="M596" i="17"/>
  <c r="L596" i="17"/>
  <c r="O596" i="17" s="1"/>
  <c r="P596" i="17" s="1"/>
  <c r="J596" i="17"/>
  <c r="K604" i="17"/>
  <c r="J604" i="17"/>
  <c r="N708" i="17"/>
  <c r="K708" i="17"/>
  <c r="L731" i="17"/>
  <c r="O731" i="17" s="1"/>
  <c r="K731" i="17"/>
  <c r="L819" i="17"/>
  <c r="O819" i="17" s="1"/>
  <c r="P819" i="17" s="1"/>
  <c r="Q819" i="17" s="1"/>
  <c r="G162" i="12" s="1"/>
  <c r="A162" i="12" s="1"/>
  <c r="N819" i="17"/>
  <c r="K819" i="17"/>
  <c r="N828" i="17"/>
  <c r="J828" i="17"/>
  <c r="M866" i="17"/>
  <c r="P866" i="17" s="1"/>
  <c r="N866" i="17"/>
  <c r="K866" i="17"/>
  <c r="N868" i="17"/>
  <c r="M868" i="17"/>
  <c r="P868" i="17" s="1"/>
  <c r="K868" i="17"/>
  <c r="M1127" i="17"/>
  <c r="L1127" i="17"/>
  <c r="O1127" i="17" s="1"/>
  <c r="P1127" i="17" s="1"/>
  <c r="K1127" i="17"/>
  <c r="J1498" i="17"/>
  <c r="N1498" i="17"/>
  <c r="M1498" i="17"/>
  <c r="L1498" i="17"/>
  <c r="O1498" i="17" s="1"/>
  <c r="P1498" i="17" s="1"/>
  <c r="Q1498" i="17" s="1"/>
  <c r="P715" i="17"/>
  <c r="E113" i="12" s="1"/>
  <c r="L998" i="17"/>
  <c r="O998" i="17" s="1"/>
  <c r="P998" i="17" s="1"/>
  <c r="M1000" i="17"/>
  <c r="K1172" i="17"/>
  <c r="M1189" i="17"/>
  <c r="N1203" i="17"/>
  <c r="N1209" i="17"/>
  <c r="K1384" i="17"/>
  <c r="N1384" i="17"/>
  <c r="L1384" i="17"/>
  <c r="O1384" i="17" s="1"/>
  <c r="P1384" i="17" s="1"/>
  <c r="N1435" i="17"/>
  <c r="J1435" i="17"/>
  <c r="L1427" i="17"/>
  <c r="O1427" i="17" s="1"/>
  <c r="N1427" i="17"/>
  <c r="K1427" i="17"/>
  <c r="J1427" i="17"/>
  <c r="M1634" i="17"/>
  <c r="N1634" i="17"/>
  <c r="M1680" i="17"/>
  <c r="N1680" i="17"/>
  <c r="J1680" i="17"/>
  <c r="N1802" i="17"/>
  <c r="L1802" i="17"/>
  <c r="O1802" i="17" s="1"/>
  <c r="P1802" i="17" s="1"/>
  <c r="Q1802" i="17" s="1"/>
  <c r="M696" i="17"/>
  <c r="N696" i="17"/>
  <c r="N954" i="17"/>
  <c r="J1031" i="17"/>
  <c r="P1036" i="17"/>
  <c r="E187" i="12" s="1"/>
  <c r="M1155" i="17"/>
  <c r="N1155" i="17"/>
  <c r="N1172" i="17"/>
  <c r="M1278" i="17"/>
  <c r="L1278" i="17"/>
  <c r="O1278" i="17" s="1"/>
  <c r="P1278" i="17" s="1"/>
  <c r="Q1278" i="17" s="1"/>
  <c r="N1293" i="17"/>
  <c r="L1293" i="17"/>
  <c r="O1293" i="17" s="1"/>
  <c r="P1293" i="17" s="1"/>
  <c r="Q1293" i="17" s="1"/>
  <c r="J1347" i="17"/>
  <c r="J1354" i="17"/>
  <c r="M1372" i="17"/>
  <c r="L1375" i="17"/>
  <c r="O1375" i="17" s="1"/>
  <c r="N1375" i="17"/>
  <c r="J1386" i="17"/>
  <c r="K1559" i="17"/>
  <c r="J1574" i="17"/>
  <c r="K1577" i="17"/>
  <c r="L1577" i="17"/>
  <c r="O1577" i="17" s="1"/>
  <c r="P1577" i="17" s="1"/>
  <c r="Q1577" i="17" s="1"/>
  <c r="L1602" i="17"/>
  <c r="O1602" i="17" s="1"/>
  <c r="N1602" i="17"/>
  <c r="L1636" i="17"/>
  <c r="O1636" i="17" s="1"/>
  <c r="P1636" i="17" s="1"/>
  <c r="Q1636" i="17" s="1"/>
  <c r="M1636" i="17"/>
  <c r="L1674" i="17"/>
  <c r="O1674" i="17" s="1"/>
  <c r="J1674" i="17"/>
  <c r="N1723" i="17"/>
  <c r="M1723" i="17"/>
  <c r="L1723" i="17"/>
  <c r="O1723" i="17" s="1"/>
  <c r="K1723" i="17"/>
  <c r="J1723" i="17"/>
  <c r="J1429" i="17"/>
  <c r="K1429" i="17"/>
  <c r="N1454" i="17"/>
  <c r="J1454" i="17"/>
  <c r="K1560" i="17"/>
  <c r="N1560" i="17"/>
  <c r="J1560" i="17"/>
  <c r="M1632" i="17"/>
  <c r="J1632" i="17"/>
  <c r="N1784" i="17"/>
  <c r="K1784" i="17"/>
  <c r="K662" i="17"/>
  <c r="K724" i="17"/>
  <c r="L756" i="17"/>
  <c r="O756" i="17" s="1"/>
  <c r="J837" i="17"/>
  <c r="K850" i="17"/>
  <c r="L958" i="17"/>
  <c r="O958" i="17" s="1"/>
  <c r="P958" i="17" s="1"/>
  <c r="P963" i="17"/>
  <c r="K1016" i="17"/>
  <c r="P1029" i="17"/>
  <c r="Q1029" i="17" s="1"/>
  <c r="M1044" i="17"/>
  <c r="K1046" i="17"/>
  <c r="M1057" i="17"/>
  <c r="K1061" i="17"/>
  <c r="N1079" i="17"/>
  <c r="M1099" i="17"/>
  <c r="K1169" i="17"/>
  <c r="J1200" i="17"/>
  <c r="J1224" i="17"/>
  <c r="M1354" i="17"/>
  <c r="K1409" i="17"/>
  <c r="J1416" i="17"/>
  <c r="N1416" i="17"/>
  <c r="M1416" i="17"/>
  <c r="L1417" i="17"/>
  <c r="O1417" i="17" s="1"/>
  <c r="L1419" i="17"/>
  <c r="O1419" i="17" s="1"/>
  <c r="P1419" i="17" s="1"/>
  <c r="L1460" i="17"/>
  <c r="O1460" i="17" s="1"/>
  <c r="P1460" i="17" s="1"/>
  <c r="L1462" i="17"/>
  <c r="O1462" i="17" s="1"/>
  <c r="P1462" i="17" s="1"/>
  <c r="K1591" i="17"/>
  <c r="L1591" i="17"/>
  <c r="O1591" i="17" s="1"/>
  <c r="N1682" i="17"/>
  <c r="J1682" i="17"/>
  <c r="M1867" i="17"/>
  <c r="L1867" i="17"/>
  <c r="O1867" i="17" s="1"/>
  <c r="P1867" i="17" s="1"/>
  <c r="L662" i="17"/>
  <c r="O662" i="17" s="1"/>
  <c r="P662" i="17" s="1"/>
  <c r="Q662" i="17" s="1"/>
  <c r="N756" i="17"/>
  <c r="K838" i="17"/>
  <c r="L838" i="17"/>
  <c r="O838" i="17" s="1"/>
  <c r="L859" i="17"/>
  <c r="O859" i="17" s="1"/>
  <c r="P859" i="17" s="1"/>
  <c r="K859" i="17"/>
  <c r="L1016" i="17"/>
  <c r="O1016" i="17" s="1"/>
  <c r="P1016" i="17" s="1"/>
  <c r="N1044" i="17"/>
  <c r="N1057" i="17"/>
  <c r="L1061" i="17"/>
  <c r="O1061" i="17" s="1"/>
  <c r="J1276" i="17"/>
  <c r="M1276" i="17"/>
  <c r="L1276" i="17"/>
  <c r="O1276" i="17" s="1"/>
  <c r="P1276" i="17" s="1"/>
  <c r="Q1276" i="17" s="1"/>
  <c r="N1354" i="17"/>
  <c r="L1409" i="17"/>
  <c r="O1409" i="17" s="1"/>
  <c r="P1409" i="17" s="1"/>
  <c r="Q1409" i="17" s="1"/>
  <c r="L1414" i="17"/>
  <c r="O1414" i="17" s="1"/>
  <c r="N1414" i="17"/>
  <c r="M1414" i="17"/>
  <c r="M1460" i="17"/>
  <c r="M1462" i="17"/>
  <c r="J1283" i="17"/>
  <c r="K1283" i="17"/>
  <c r="N1522" i="17"/>
  <c r="M1522" i="17"/>
  <c r="M1540" i="17"/>
  <c r="K1540" i="17"/>
  <c r="P1316" i="17"/>
  <c r="Q1316" i="17" s="1"/>
  <c r="K1341" i="17"/>
  <c r="P1396" i="17"/>
  <c r="Q1396" i="17" s="1"/>
  <c r="J1433" i="17"/>
  <c r="L1435" i="17"/>
  <c r="O1435" i="17" s="1"/>
  <c r="P1435" i="17" s="1"/>
  <c r="Q1435" i="17" s="1"/>
  <c r="N1489" i="17"/>
  <c r="K1499" i="17"/>
  <c r="K1501" i="17"/>
  <c r="L1504" i="17"/>
  <c r="O1504" i="17" s="1"/>
  <c r="J1504" i="17"/>
  <c r="N1538" i="17"/>
  <c r="J1538" i="17"/>
  <c r="M1594" i="17"/>
  <c r="L1594" i="17"/>
  <c r="O1594" i="17" s="1"/>
  <c r="P1594" i="17" s="1"/>
  <c r="Q1594" i="17" s="1"/>
  <c r="K1594" i="17"/>
  <c r="N1630" i="17"/>
  <c r="J1630" i="17"/>
  <c r="P1062" i="17"/>
  <c r="N1330" i="17"/>
  <c r="L1330" i="17"/>
  <c r="O1330" i="17" s="1"/>
  <c r="P1330" i="17" s="1"/>
  <c r="Q1330" i="17" s="1"/>
  <c r="K1330" i="17"/>
  <c r="K1365" i="17"/>
  <c r="N1406" i="17"/>
  <c r="J1406" i="17"/>
  <c r="M1427" i="17"/>
  <c r="L1433" i="17"/>
  <c r="O1433" i="17" s="1"/>
  <c r="P1433" i="17" s="1"/>
  <c r="J1577" i="17"/>
  <c r="K1610" i="17"/>
  <c r="N1610" i="17"/>
  <c r="N1625" i="17"/>
  <c r="M1625" i="17"/>
  <c r="L1634" i="17"/>
  <c r="O1634" i="17" s="1"/>
  <c r="J1324" i="17"/>
  <c r="L1324" i="17"/>
  <c r="O1324" i="17" s="1"/>
  <c r="P1324" i="17" s="1"/>
  <c r="K1393" i="17"/>
  <c r="N1393" i="17"/>
  <c r="M1393" i="17"/>
  <c r="N1430" i="17"/>
  <c r="M1430" i="17"/>
  <c r="L1454" i="17"/>
  <c r="O1454" i="17" s="1"/>
  <c r="P1454" i="17" s="1"/>
  <c r="J1543" i="17"/>
  <c r="N1543" i="17"/>
  <c r="L1543" i="17"/>
  <c r="O1543" i="17" s="1"/>
  <c r="P1543" i="17" s="1"/>
  <c r="K1543" i="17"/>
  <c r="N1707" i="17"/>
  <c r="M1707" i="17"/>
  <c r="J1707" i="17"/>
  <c r="N990" i="17"/>
  <c r="J990" i="17"/>
  <c r="L1169" i="17"/>
  <c r="O1169" i="17" s="1"/>
  <c r="P1169" i="17" s="1"/>
  <c r="Q1169" i="17" s="1"/>
  <c r="N1169" i="17"/>
  <c r="J1264" i="17"/>
  <c r="M1264" i="17"/>
  <c r="L1283" i="17"/>
  <c r="O1283" i="17" s="1"/>
  <c r="P1283" i="17" s="1"/>
  <c r="N1381" i="17"/>
  <c r="K1381" i="17"/>
  <c r="M1454" i="17"/>
  <c r="J1540" i="17"/>
  <c r="N1565" i="17"/>
  <c r="M1565" i="17"/>
  <c r="P1057" i="17"/>
  <c r="Q1057" i="17" s="1"/>
  <c r="M1117" i="17"/>
  <c r="N1139" i="17"/>
  <c r="M1170" i="17"/>
  <c r="K1200" i="17"/>
  <c r="L1200" i="17"/>
  <c r="O1200" i="17" s="1"/>
  <c r="P1200" i="17" s="1"/>
  <c r="J1203" i="17"/>
  <c r="L1207" i="17"/>
  <c r="O1207" i="17" s="1"/>
  <c r="P1207" i="17" s="1"/>
  <c r="Q1207" i="17" s="1"/>
  <c r="J1209" i="17"/>
  <c r="N1283" i="17"/>
  <c r="J1316" i="17"/>
  <c r="M1424" i="17"/>
  <c r="K1479" i="17"/>
  <c r="N1540" i="17"/>
  <c r="N1599" i="17"/>
  <c r="J1599" i="17"/>
  <c r="N1655" i="17"/>
  <c r="L1655" i="17"/>
  <c r="O1655" i="17" s="1"/>
  <c r="P1655" i="17" s="1"/>
  <c r="J1657" i="17"/>
  <c r="N1657" i="17"/>
  <c r="M1657" i="17"/>
  <c r="M1675" i="17"/>
  <c r="P1675" i="17" s="1"/>
  <c r="E582" i="12" s="1"/>
  <c r="L1679" i="17"/>
  <c r="O1679" i="17" s="1"/>
  <c r="P1679" i="17" s="1"/>
  <c r="E584" i="12" s="1"/>
  <c r="J1686" i="17"/>
  <c r="J1713" i="17"/>
  <c r="N1730" i="17"/>
  <c r="N1766" i="17"/>
  <c r="J1796" i="17"/>
  <c r="N1799" i="17"/>
  <c r="M1808" i="17"/>
  <c r="P1808" i="17" s="1"/>
  <c r="E604" i="12" s="1"/>
  <c r="N1832" i="17"/>
  <c r="L1834" i="17"/>
  <c r="O1834" i="17" s="1"/>
  <c r="M1842" i="17"/>
  <c r="L1846" i="17"/>
  <c r="O1846" i="17" s="1"/>
  <c r="P1846" i="17" s="1"/>
  <c r="Q1846" i="17" s="1"/>
  <c r="P1772" i="17"/>
  <c r="E302" i="12" s="1"/>
  <c r="K1595" i="17"/>
  <c r="J1672" i="17"/>
  <c r="J1685" i="17"/>
  <c r="L1692" i="17"/>
  <c r="O1692" i="17" s="1"/>
  <c r="P1692" i="17" s="1"/>
  <c r="Q1692" i="17" s="1"/>
  <c r="G276" i="12" s="1"/>
  <c r="A276" i="12" s="1"/>
  <c r="K1703" i="17"/>
  <c r="L1705" i="17"/>
  <c r="O1705" i="17" s="1"/>
  <c r="P1705" i="17" s="1"/>
  <c r="L1729" i="17"/>
  <c r="O1729" i="17" s="1"/>
  <c r="J1749" i="17"/>
  <c r="M1753" i="17"/>
  <c r="K1761" i="17"/>
  <c r="J1763" i="17"/>
  <c r="L1812" i="17"/>
  <c r="O1812" i="17" s="1"/>
  <c r="L1819" i="17"/>
  <c r="O1819" i="17" s="1"/>
  <c r="P1819" i="17" s="1"/>
  <c r="M1831" i="17"/>
  <c r="J1876" i="17"/>
  <c r="L1595" i="17"/>
  <c r="O1595" i="17" s="1"/>
  <c r="P1595" i="17" s="1"/>
  <c r="K1685" i="17"/>
  <c r="M1729" i="17"/>
  <c r="K1749" i="17"/>
  <c r="P1762" i="17"/>
  <c r="E294" i="12" s="1"/>
  <c r="K1763" i="17"/>
  <c r="M1812" i="17"/>
  <c r="J1816" i="17"/>
  <c r="J1828" i="17"/>
  <c r="J1863" i="17"/>
  <c r="M1865" i="17"/>
  <c r="N1729" i="17"/>
  <c r="L1763" i="17"/>
  <c r="O1763" i="17" s="1"/>
  <c r="P1780" i="17"/>
  <c r="E310" i="12" s="1"/>
  <c r="K1816" i="17"/>
  <c r="K1828" i="17"/>
  <c r="L1863" i="17"/>
  <c r="O1863" i="17" s="1"/>
  <c r="P1863" i="17" s="1"/>
  <c r="M1685" i="17"/>
  <c r="M1763" i="17"/>
  <c r="K1800" i="17"/>
  <c r="L1809" i="17"/>
  <c r="O1809" i="17" s="1"/>
  <c r="P1809" i="17" s="1"/>
  <c r="L1816" i="17"/>
  <c r="O1816" i="17" s="1"/>
  <c r="L1828" i="17"/>
  <c r="O1828" i="17" s="1"/>
  <c r="J1849" i="17"/>
  <c r="M1524" i="17"/>
  <c r="L1526" i="17"/>
  <c r="O1526" i="17" s="1"/>
  <c r="P1526" i="17" s="1"/>
  <c r="Q1526" i="17" s="1"/>
  <c r="M1558" i="17"/>
  <c r="P1596" i="17"/>
  <c r="E246" i="12" s="1"/>
  <c r="L1720" i="17"/>
  <c r="O1720" i="17" s="1"/>
  <c r="M1737" i="17"/>
  <c r="K1752" i="17"/>
  <c r="J1771" i="17"/>
  <c r="M1800" i="17"/>
  <c r="M1809" i="17"/>
  <c r="M1816" i="17"/>
  <c r="M1828" i="17"/>
  <c r="J1833" i="17"/>
  <c r="J1847" i="17"/>
  <c r="K1849" i="17"/>
  <c r="J1748" i="17"/>
  <c r="L1752" i="17"/>
  <c r="O1752" i="17" s="1"/>
  <c r="P1752" i="17" s="1"/>
  <c r="Q1752" i="17" s="1"/>
  <c r="G291" i="12" s="1"/>
  <c r="A291" i="12" s="1"/>
  <c r="K1771" i="17"/>
  <c r="N1791" i="17"/>
  <c r="N1809" i="17"/>
  <c r="K1811" i="17"/>
  <c r="L1818" i="17"/>
  <c r="O1818" i="17" s="1"/>
  <c r="K1825" i="17"/>
  <c r="L1830" i="17"/>
  <c r="O1830" i="17" s="1"/>
  <c r="J1835" i="17"/>
  <c r="L1847" i="17"/>
  <c r="O1847" i="17" s="1"/>
  <c r="L1849" i="17"/>
  <c r="O1849" i="17" s="1"/>
  <c r="P1849" i="17" s="1"/>
  <c r="Q1849" i="17" s="1"/>
  <c r="J1860" i="17"/>
  <c r="J1663" i="17"/>
  <c r="J1722" i="17"/>
  <c r="K1746" i="17"/>
  <c r="K1748" i="17"/>
  <c r="M1752" i="17"/>
  <c r="L1760" i="17"/>
  <c r="O1760" i="17" s="1"/>
  <c r="L1771" i="17"/>
  <c r="O1771" i="17" s="1"/>
  <c r="J1797" i="17"/>
  <c r="M1811" i="17"/>
  <c r="M1818" i="17"/>
  <c r="P1818" i="17" s="1"/>
  <c r="L1825" i="17"/>
  <c r="O1825" i="17" s="1"/>
  <c r="P1825" i="17" s="1"/>
  <c r="M1830" i="17"/>
  <c r="L1835" i="17"/>
  <c r="O1835" i="17" s="1"/>
  <c r="N1843" i="17"/>
  <c r="M1849" i="17"/>
  <c r="K1860" i="17"/>
  <c r="K1564" i="17"/>
  <c r="K1659" i="17"/>
  <c r="K1695" i="17"/>
  <c r="K1714" i="17"/>
  <c r="K1722" i="17"/>
  <c r="L1748" i="17"/>
  <c r="O1748" i="17" s="1"/>
  <c r="P1748" i="17" s="1"/>
  <c r="N1752" i="17"/>
  <c r="M1760" i="17"/>
  <c r="J1762" i="17"/>
  <c r="M1771" i="17"/>
  <c r="J1783" i="17"/>
  <c r="K1797" i="17"/>
  <c r="N1811" i="17"/>
  <c r="J1815" i="17"/>
  <c r="N1818" i="17"/>
  <c r="M1825" i="17"/>
  <c r="J1827" i="17"/>
  <c r="N1830" i="17"/>
  <c r="M1860" i="17"/>
  <c r="L1722" i="17"/>
  <c r="O1722" i="17" s="1"/>
  <c r="M1748" i="17"/>
  <c r="L1797" i="17"/>
  <c r="O1797" i="17" s="1"/>
  <c r="N1825" i="17"/>
  <c r="L1875" i="17"/>
  <c r="O1875" i="17" s="1"/>
  <c r="P1875" i="17" s="1"/>
  <c r="M1877" i="17"/>
  <c r="M1722" i="17"/>
  <c r="K1766" i="17"/>
  <c r="J1785" i="17"/>
  <c r="M1797" i="17"/>
  <c r="M1815" i="17"/>
  <c r="M1827" i="17"/>
  <c r="J1862" i="17"/>
  <c r="M1875" i="17"/>
  <c r="N1877" i="17"/>
  <c r="P20" i="17"/>
  <c r="Q20" i="17" s="1"/>
  <c r="J260" i="17"/>
  <c r="K260" i="17"/>
  <c r="N269" i="17"/>
  <c r="K269" i="17"/>
  <c r="J269" i="17"/>
  <c r="L314" i="17"/>
  <c r="O314" i="17" s="1"/>
  <c r="P314" i="17" s="1"/>
  <c r="Q314" i="17" s="1"/>
  <c r="N314" i="17"/>
  <c r="M314" i="17"/>
  <c r="K314" i="17"/>
  <c r="M366" i="17"/>
  <c r="N366" i="17"/>
  <c r="L366" i="17"/>
  <c r="O366" i="17" s="1"/>
  <c r="P366" i="17" s="1"/>
  <c r="K366" i="17"/>
  <c r="N388" i="17"/>
  <c r="L388" i="17"/>
  <c r="O388" i="17" s="1"/>
  <c r="P388" i="17" s="1"/>
  <c r="M388" i="17"/>
  <c r="K388" i="17"/>
  <c r="J388" i="17"/>
  <c r="N457" i="17"/>
  <c r="M457" i="17"/>
  <c r="L457" i="17"/>
  <c r="O457" i="17" s="1"/>
  <c r="P457" i="17" s="1"/>
  <c r="Q457" i="17" s="1"/>
  <c r="K457" i="17"/>
  <c r="J457" i="17"/>
  <c r="N471" i="17"/>
  <c r="M471" i="17"/>
  <c r="K680" i="17"/>
  <c r="N680" i="17"/>
  <c r="M680" i="17"/>
  <c r="L680" i="17"/>
  <c r="O680" i="17" s="1"/>
  <c r="P680" i="17" s="1"/>
  <c r="Q680" i="17" s="1"/>
  <c r="J680" i="17"/>
  <c r="N1047" i="17"/>
  <c r="M1047" i="17"/>
  <c r="L1047" i="17"/>
  <c r="O1047" i="17" s="1"/>
  <c r="P1047" i="17" s="1"/>
  <c r="J1047" i="17"/>
  <c r="K1047" i="17"/>
  <c r="K1627" i="17"/>
  <c r="N1627" i="17"/>
  <c r="M1627" i="17"/>
  <c r="J127" i="9"/>
  <c r="J201" i="9"/>
  <c r="J527" i="9"/>
  <c r="J556" i="9"/>
  <c r="J587" i="9"/>
  <c r="J718" i="9"/>
  <c r="J919" i="9"/>
  <c r="J1019" i="9"/>
  <c r="J1144" i="9"/>
  <c r="J1227" i="9"/>
  <c r="J1582" i="9"/>
  <c r="J1640" i="9"/>
  <c r="J1702" i="9"/>
  <c r="J1816" i="9"/>
  <c r="E628" i="12"/>
  <c r="E635" i="12"/>
  <c r="G643" i="12"/>
  <c r="A643" i="12" s="1"/>
  <c r="M152" i="17"/>
  <c r="N152" i="17"/>
  <c r="N364" i="17"/>
  <c r="M364" i="17"/>
  <c r="L364" i="17"/>
  <c r="O364" i="17" s="1"/>
  <c r="P364" i="17" s="1"/>
  <c r="K364" i="17"/>
  <c r="J364" i="17"/>
  <c r="N409" i="17"/>
  <c r="M409" i="17"/>
  <c r="L409" i="17"/>
  <c r="O409" i="17" s="1"/>
  <c r="P409" i="17" s="1"/>
  <c r="K409" i="17"/>
  <c r="J409" i="17"/>
  <c r="N678" i="17"/>
  <c r="M678" i="17"/>
  <c r="L678" i="17"/>
  <c r="O678" i="17" s="1"/>
  <c r="P678" i="17" s="1"/>
  <c r="Q678" i="17" s="1"/>
  <c r="J678" i="17"/>
  <c r="K678" i="17"/>
  <c r="L24" i="9"/>
  <c r="M24" i="9" s="1"/>
  <c r="L154" i="17"/>
  <c r="O154" i="17" s="1"/>
  <c r="P154" i="17" s="1"/>
  <c r="Q154" i="17" s="1"/>
  <c r="N154" i="17"/>
  <c r="N167" i="17"/>
  <c r="L232" i="17"/>
  <c r="O232" i="17" s="1"/>
  <c r="P232" i="17" s="1"/>
  <c r="N232" i="17"/>
  <c r="L271" i="17"/>
  <c r="O271" i="17" s="1"/>
  <c r="P271" i="17" s="1"/>
  <c r="J271" i="17"/>
  <c r="N278" i="17"/>
  <c r="M278" i="17"/>
  <c r="L278" i="17"/>
  <c r="O278" i="17" s="1"/>
  <c r="P278" i="17" s="1"/>
  <c r="Q278" i="17" s="1"/>
  <c r="K278" i="17"/>
  <c r="L329" i="17"/>
  <c r="O329" i="17" s="1"/>
  <c r="P329" i="17" s="1"/>
  <c r="Q329" i="17" s="1"/>
  <c r="K329" i="17"/>
  <c r="J329" i="17"/>
  <c r="L335" i="17"/>
  <c r="O335" i="17" s="1"/>
  <c r="P335" i="17" s="1"/>
  <c r="Q335" i="17" s="1"/>
  <c r="N335" i="17"/>
  <c r="M335" i="17"/>
  <c r="K335" i="17"/>
  <c r="J335" i="17"/>
  <c r="M404" i="17"/>
  <c r="J404" i="17"/>
  <c r="N404" i="17"/>
  <c r="N453" i="17"/>
  <c r="K453" i="17"/>
  <c r="M453" i="17"/>
  <c r="L453" i="17"/>
  <c r="O453" i="17" s="1"/>
  <c r="P453" i="17" s="1"/>
  <c r="Q453" i="17" s="1"/>
  <c r="J453" i="17"/>
  <c r="M500" i="17"/>
  <c r="L500" i="17"/>
  <c r="O500" i="17" s="1"/>
  <c r="P500" i="17" s="1"/>
  <c r="J500" i="17"/>
  <c r="E625" i="12"/>
  <c r="G628" i="12"/>
  <c r="A628" i="12" s="1"/>
  <c r="E632" i="12"/>
  <c r="M228" i="17"/>
  <c r="N228" i="17"/>
  <c r="J273" i="17"/>
  <c r="M273" i="17"/>
  <c r="K282" i="17"/>
  <c r="J282" i="17"/>
  <c r="N468" i="17"/>
  <c r="M468" i="17"/>
  <c r="L468" i="17"/>
  <c r="O468" i="17" s="1"/>
  <c r="P468" i="17" s="1"/>
  <c r="Q468" i="17" s="1"/>
  <c r="K468" i="17"/>
  <c r="J468" i="17"/>
  <c r="N613" i="17"/>
  <c r="L613" i="17"/>
  <c r="O613" i="17" s="1"/>
  <c r="P613" i="17" s="1"/>
  <c r="K613" i="17"/>
  <c r="M613" i="17"/>
  <c r="J613" i="17"/>
  <c r="L637" i="9"/>
  <c r="M637" i="9" s="1"/>
  <c r="J16" i="9"/>
  <c r="J43" i="9"/>
  <c r="J94" i="9"/>
  <c r="J114" i="9"/>
  <c r="J162" i="9"/>
  <c r="J399" i="9"/>
  <c r="J566" i="9"/>
  <c r="J630" i="9"/>
  <c r="J686" i="9"/>
  <c r="K78" i="8" s="1"/>
  <c r="N78" i="8" s="1"/>
  <c r="J761" i="9"/>
  <c r="J1029" i="9"/>
  <c r="J1065" i="9"/>
  <c r="J1270" i="9"/>
  <c r="J1319" i="9"/>
  <c r="J1621" i="9"/>
  <c r="J1653" i="9"/>
  <c r="N333" i="17"/>
  <c r="M333" i="17"/>
  <c r="L333" i="17"/>
  <c r="O333" i="17" s="1"/>
  <c r="P333" i="17" s="1"/>
  <c r="K333" i="17"/>
  <c r="J333" i="17"/>
  <c r="N380" i="17"/>
  <c r="L380" i="17"/>
  <c r="O380" i="17" s="1"/>
  <c r="P380" i="17" s="1"/>
  <c r="Q380" i="17" s="1"/>
  <c r="N406" i="17"/>
  <c r="M406" i="17"/>
  <c r="L406" i="17"/>
  <c r="O406" i="17" s="1"/>
  <c r="P406" i="17" s="1"/>
  <c r="Q406" i="17" s="1"/>
  <c r="K406" i="17"/>
  <c r="J406" i="17"/>
  <c r="J481" i="17"/>
  <c r="K481" i="17"/>
  <c r="M595" i="17"/>
  <c r="L595" i="17"/>
  <c r="O595" i="17" s="1"/>
  <c r="P595" i="17" s="1"/>
  <c r="Q595" i="17" s="1"/>
  <c r="N595" i="17"/>
  <c r="K595" i="17"/>
  <c r="J595" i="17"/>
  <c r="N672" i="17"/>
  <c r="M672" i="17"/>
  <c r="K672" i="17"/>
  <c r="J672" i="17"/>
  <c r="E636" i="12"/>
  <c r="L178" i="17"/>
  <c r="O178" i="17" s="1"/>
  <c r="P178" i="17" s="1"/>
  <c r="Q178" i="17" s="1"/>
  <c r="M221" i="17"/>
  <c r="J225" i="17"/>
  <c r="M225" i="17"/>
  <c r="M274" i="17"/>
  <c r="K354" i="17"/>
  <c r="M354" i="17"/>
  <c r="L354" i="17"/>
  <c r="O354" i="17" s="1"/>
  <c r="P354" i="17" s="1"/>
  <c r="Q354" i="17" s="1"/>
  <c r="J354" i="17"/>
  <c r="L443" i="17"/>
  <c r="O443" i="17" s="1"/>
  <c r="P443" i="17" s="1"/>
  <c r="Q443" i="17" s="1"/>
  <c r="K443" i="17"/>
  <c r="N443" i="17"/>
  <c r="M443" i="17"/>
  <c r="L765" i="17"/>
  <c r="O765" i="17" s="1"/>
  <c r="P765" i="17" s="1"/>
  <c r="Q765" i="17" s="1"/>
  <c r="G146" i="12" s="1"/>
  <c r="A146" i="12" s="1"/>
  <c r="N765" i="17"/>
  <c r="M765" i="17"/>
  <c r="J765" i="17"/>
  <c r="J661" i="9"/>
  <c r="J758" i="9"/>
  <c r="L86" i="8" s="1"/>
  <c r="O86" i="8" s="1"/>
  <c r="H10" i="10" s="1"/>
  <c r="L10" i="10" s="1"/>
  <c r="J1813" i="9"/>
  <c r="J1859" i="9"/>
  <c r="H479" i="12"/>
  <c r="A479" i="12" s="1"/>
  <c r="F482" i="12"/>
  <c r="H487" i="12"/>
  <c r="A487" i="12" s="1"/>
  <c r="F490" i="12"/>
  <c r="H495" i="12"/>
  <c r="A495" i="12" s="1"/>
  <c r="F498" i="12"/>
  <c r="E629" i="12"/>
  <c r="J10" i="17"/>
  <c r="K86" i="17"/>
  <c r="J99" i="17"/>
  <c r="J116" i="17"/>
  <c r="J133" i="17"/>
  <c r="N135" i="17"/>
  <c r="M135" i="17"/>
  <c r="J145" i="17"/>
  <c r="K145" i="17"/>
  <c r="J217" i="17"/>
  <c r="N219" i="17"/>
  <c r="L219" i="17"/>
  <c r="O219" i="17" s="1"/>
  <c r="P219" i="17" s="1"/>
  <c r="Q219" i="17" s="1"/>
  <c r="M222" i="17"/>
  <c r="K222" i="17"/>
  <c r="J314" i="17"/>
  <c r="N326" i="17"/>
  <c r="M326" i="17"/>
  <c r="L326" i="17"/>
  <c r="O326" i="17" s="1"/>
  <c r="K326" i="17"/>
  <c r="J326" i="17"/>
  <c r="K416" i="17"/>
  <c r="N416" i="17"/>
  <c r="M548" i="17"/>
  <c r="L548" i="17"/>
  <c r="O548" i="17" s="1"/>
  <c r="P548" i="17" s="1"/>
  <c r="J548" i="17"/>
  <c r="J441" i="9"/>
  <c r="J1323" i="9"/>
  <c r="J1545" i="9"/>
  <c r="L59" i="9"/>
  <c r="M59" i="9" s="1"/>
  <c r="J119" i="9"/>
  <c r="J143" i="9"/>
  <c r="J235" i="9"/>
  <c r="J382" i="9"/>
  <c r="J417" i="9"/>
  <c r="J430" i="9"/>
  <c r="J434" i="9"/>
  <c r="J495" i="9"/>
  <c r="J592" i="9"/>
  <c r="J618" i="9"/>
  <c r="J696" i="9"/>
  <c r="J925" i="9"/>
  <c r="J934" i="9"/>
  <c r="L124" i="8" s="1"/>
  <c r="O124" i="8" s="1"/>
  <c r="H49" i="10" s="1"/>
  <c r="L49" i="10" s="1"/>
  <c r="J1062" i="9"/>
  <c r="J1311" i="9"/>
  <c r="J1332" i="9"/>
  <c r="J1362" i="9"/>
  <c r="J1536" i="9"/>
  <c r="J1691" i="9"/>
  <c r="E633" i="12"/>
  <c r="E640" i="12"/>
  <c r="L10" i="17"/>
  <c r="O10" i="17" s="1"/>
  <c r="P10" i="17" s="1"/>
  <c r="Q10" i="17" s="1"/>
  <c r="L50" i="17"/>
  <c r="O50" i="17" s="1"/>
  <c r="P50" i="17" s="1"/>
  <c r="Q50" i="17" s="1"/>
  <c r="L86" i="17"/>
  <c r="O86" i="17" s="1"/>
  <c r="P86" i="17" s="1"/>
  <c r="Q86" i="17" s="1"/>
  <c r="K99" i="17"/>
  <c r="K116" i="17"/>
  <c r="J122" i="17"/>
  <c r="K133" i="17"/>
  <c r="J180" i="17"/>
  <c r="J205" i="17"/>
  <c r="K217" i="17"/>
  <c r="J220" i="17"/>
  <c r="J223" i="17"/>
  <c r="L260" i="17"/>
  <c r="O260" i="17" s="1"/>
  <c r="L269" i="17"/>
  <c r="O269" i="17" s="1"/>
  <c r="M275" i="17"/>
  <c r="L275" i="17"/>
  <c r="O275" i="17" s="1"/>
  <c r="K275" i="17"/>
  <c r="M378" i="17"/>
  <c r="J378" i="17"/>
  <c r="N378" i="17"/>
  <c r="L378" i="17"/>
  <c r="O378" i="17" s="1"/>
  <c r="P378" i="17" s="1"/>
  <c r="K378" i="17"/>
  <c r="K430" i="17"/>
  <c r="N430" i="17"/>
  <c r="J430" i="17"/>
  <c r="J516" i="17"/>
  <c r="L516" i="17"/>
  <c r="O516" i="17" s="1"/>
  <c r="P516" i="17" s="1"/>
  <c r="N516" i="17"/>
  <c r="M516" i="17"/>
  <c r="K516" i="17"/>
  <c r="N636" i="17"/>
  <c r="J636" i="17"/>
  <c r="L636" i="17"/>
  <c r="O636" i="17" s="1"/>
  <c r="P636" i="17" s="1"/>
  <c r="K638" i="17"/>
  <c r="N638" i="17"/>
  <c r="L638" i="17"/>
  <c r="O638" i="17" s="1"/>
  <c r="E27" i="12" s="1"/>
  <c r="J638" i="17"/>
  <c r="M638" i="17"/>
  <c r="M750" i="17"/>
  <c r="L750" i="17"/>
  <c r="O750" i="17" s="1"/>
  <c r="K750" i="17"/>
  <c r="J478" i="9"/>
  <c r="J775" i="9"/>
  <c r="L89" i="8" s="1"/>
  <c r="O89" i="8" s="1"/>
  <c r="H14" i="10" s="1"/>
  <c r="L14" i="10" s="1"/>
  <c r="J44" i="9"/>
  <c r="J199" i="9"/>
  <c r="J455" i="9"/>
  <c r="J525" i="9"/>
  <c r="J736" i="9"/>
  <c r="J917" i="9"/>
  <c r="J1002" i="9"/>
  <c r="J1417" i="9"/>
  <c r="J1432" i="9"/>
  <c r="J1457" i="9"/>
  <c r="J1515" i="9"/>
  <c r="J1599" i="9"/>
  <c r="J1603" i="9"/>
  <c r="L214" i="8" s="1"/>
  <c r="O214" i="8" s="1"/>
  <c r="H153" i="10" s="1"/>
  <c r="L153" i="10" s="1"/>
  <c r="J1615" i="9"/>
  <c r="L215" i="8" s="1"/>
  <c r="O215" i="8" s="1"/>
  <c r="H154" i="10" s="1"/>
  <c r="L154" i="10" s="1"/>
  <c r="E626" i="12"/>
  <c r="E641" i="12"/>
  <c r="M10" i="17"/>
  <c r="J21" i="17"/>
  <c r="J24" i="17"/>
  <c r="M50" i="17"/>
  <c r="J52" i="17"/>
  <c r="J70" i="17"/>
  <c r="M86" i="17"/>
  <c r="L99" i="17"/>
  <c r="O99" i="17" s="1"/>
  <c r="P99" i="17" s="1"/>
  <c r="Q99" i="17" s="1"/>
  <c r="J102" i="17"/>
  <c r="L116" i="17"/>
  <c r="O116" i="17" s="1"/>
  <c r="P116" i="17" s="1"/>
  <c r="Q116" i="17" s="1"/>
  <c r="L122" i="17"/>
  <c r="O122" i="17" s="1"/>
  <c r="J130" i="17"/>
  <c r="L133" i="17"/>
  <c r="O133" i="17" s="1"/>
  <c r="P133" i="17" s="1"/>
  <c r="Q133" i="17" s="1"/>
  <c r="J152" i="17"/>
  <c r="J154" i="17"/>
  <c r="K180" i="17"/>
  <c r="J186" i="17"/>
  <c r="M206" i="17"/>
  <c r="N206" i="17"/>
  <c r="L217" i="17"/>
  <c r="O217" i="17" s="1"/>
  <c r="P217" i="17" s="1"/>
  <c r="K220" i="17"/>
  <c r="K223" i="17"/>
  <c r="M260" i="17"/>
  <c r="M269" i="17"/>
  <c r="K271" i="17"/>
  <c r="N352" i="17"/>
  <c r="M352" i="17"/>
  <c r="L352" i="17"/>
  <c r="O352" i="17" s="1"/>
  <c r="P352" i="17" s="1"/>
  <c r="Q352" i="17" s="1"/>
  <c r="L363" i="17"/>
  <c r="O363" i="17" s="1"/>
  <c r="P363" i="17" s="1"/>
  <c r="K363" i="17"/>
  <c r="J363" i="17"/>
  <c r="K404" i="17"/>
  <c r="N410" i="17"/>
  <c r="M410" i="17"/>
  <c r="L410" i="17"/>
  <c r="O410" i="17" s="1"/>
  <c r="P410" i="17" s="1"/>
  <c r="M460" i="17"/>
  <c r="L460" i="17"/>
  <c r="O460" i="17" s="1"/>
  <c r="P460" i="17" s="1"/>
  <c r="M510" i="17"/>
  <c r="K510" i="17"/>
  <c r="K512" i="17"/>
  <c r="N512" i="17"/>
  <c r="M512" i="17"/>
  <c r="L593" i="17"/>
  <c r="O593" i="17" s="1"/>
  <c r="P593" i="17" s="1"/>
  <c r="K593" i="17"/>
  <c r="J148" i="9"/>
  <c r="G633" i="12"/>
  <c r="A633" i="12" s="1"/>
  <c r="N10" i="17"/>
  <c r="J14" i="17"/>
  <c r="J16" i="17"/>
  <c r="K21" i="17"/>
  <c r="K24" i="17"/>
  <c r="L46" i="17"/>
  <c r="O46" i="17" s="1"/>
  <c r="L51" i="17"/>
  <c r="O51" i="17" s="1"/>
  <c r="P51" i="17" s="1"/>
  <c r="J51" i="17"/>
  <c r="K52" i="17"/>
  <c r="J55" i="17"/>
  <c r="K70" i="17"/>
  <c r="K73" i="17"/>
  <c r="N86" i="17"/>
  <c r="M99" i="17"/>
  <c r="K102" i="17"/>
  <c r="M116" i="17"/>
  <c r="M122" i="17"/>
  <c r="K130" i="17"/>
  <c r="M133" i="17"/>
  <c r="K152" i="17"/>
  <c r="M154" i="17"/>
  <c r="K177" i="17"/>
  <c r="L180" i="17"/>
  <c r="O180" i="17" s="1"/>
  <c r="P180" i="17" s="1"/>
  <c r="Q180" i="17" s="1"/>
  <c r="K186" i="17"/>
  <c r="K207" i="17"/>
  <c r="J211" i="17"/>
  <c r="J213" i="17"/>
  <c r="M217" i="17"/>
  <c r="L220" i="17"/>
  <c r="O220" i="17" s="1"/>
  <c r="P220" i="17" s="1"/>
  <c r="M223" i="17"/>
  <c r="J228" i="17"/>
  <c r="J232" i="17"/>
  <c r="J234" i="17"/>
  <c r="N260" i="17"/>
  <c r="M271" i="17"/>
  <c r="K273" i="17"/>
  <c r="N277" i="17"/>
  <c r="J277" i="17"/>
  <c r="J278" i="17"/>
  <c r="L282" i="17"/>
  <c r="O282" i="17" s="1"/>
  <c r="P282" i="17" s="1"/>
  <c r="Q282" i="17" s="1"/>
  <c r="M329" i="17"/>
  <c r="N396" i="17"/>
  <c r="L396" i="17"/>
  <c r="O396" i="17" s="1"/>
  <c r="P396" i="17" s="1"/>
  <c r="Q396" i="17" s="1"/>
  <c r="J396" i="17"/>
  <c r="L404" i="17"/>
  <c r="O404" i="17" s="1"/>
  <c r="K412" i="17"/>
  <c r="N412" i="17"/>
  <c r="J412" i="17"/>
  <c r="L477" i="17"/>
  <c r="O477" i="17" s="1"/>
  <c r="P477" i="17" s="1"/>
  <c r="Q477" i="17" s="1"/>
  <c r="K477" i="17"/>
  <c r="M542" i="17"/>
  <c r="L542" i="17"/>
  <c r="O542" i="17" s="1"/>
  <c r="P542" i="17" s="1"/>
  <c r="Q542" i="17" s="1"/>
  <c r="J542" i="17"/>
  <c r="L37" i="9"/>
  <c r="M37" i="9" s="1"/>
  <c r="J50" i="9"/>
  <c r="J203" i="9"/>
  <c r="J212" i="9"/>
  <c r="J336" i="9"/>
  <c r="J589" i="9"/>
  <c r="J975" i="9"/>
  <c r="J1104" i="9"/>
  <c r="J1584" i="9"/>
  <c r="J1619" i="9"/>
  <c r="G626" i="12"/>
  <c r="A626" i="12" s="1"/>
  <c r="G641" i="12"/>
  <c r="A641" i="12" s="1"/>
  <c r="J4" i="17"/>
  <c r="L14" i="17"/>
  <c r="O14" i="17" s="1"/>
  <c r="P14" i="17" s="1"/>
  <c r="M16" i="17"/>
  <c r="L21" i="17"/>
  <c r="O21" i="17" s="1"/>
  <c r="P21" i="17" s="1"/>
  <c r="L24" i="17"/>
  <c r="O24" i="17" s="1"/>
  <c r="P24" i="17" s="1"/>
  <c r="J37" i="17"/>
  <c r="J40" i="17"/>
  <c r="J42" i="17"/>
  <c r="L52" i="17"/>
  <c r="O52" i="17" s="1"/>
  <c r="P52" i="17" s="1"/>
  <c r="Q52" i="17" s="1"/>
  <c r="K55" i="17"/>
  <c r="K67" i="17"/>
  <c r="M70" i="17"/>
  <c r="J96" i="17"/>
  <c r="L102" i="17"/>
  <c r="O102" i="17" s="1"/>
  <c r="P102" i="17" s="1"/>
  <c r="Q102" i="17" s="1"/>
  <c r="K113" i="17"/>
  <c r="N122" i="17"/>
  <c r="L130" i="17"/>
  <c r="O130" i="17" s="1"/>
  <c r="P130" i="17" s="1"/>
  <c r="J138" i="17"/>
  <c r="L152" i="17"/>
  <c r="O152" i="17" s="1"/>
  <c r="P152" i="17" s="1"/>
  <c r="J168" i="17"/>
  <c r="L177" i="17"/>
  <c r="O177" i="17" s="1"/>
  <c r="P177" i="17" s="1"/>
  <c r="N180" i="17"/>
  <c r="J182" i="17"/>
  <c r="L186" i="17"/>
  <c r="O186" i="17" s="1"/>
  <c r="P186" i="17" s="1"/>
  <c r="Q186" i="17" s="1"/>
  <c r="J202" i="17"/>
  <c r="N207" i="17"/>
  <c r="M209" i="17"/>
  <c r="K211" i="17"/>
  <c r="K213" i="17"/>
  <c r="M220" i="17"/>
  <c r="N223" i="17"/>
  <c r="K228" i="17"/>
  <c r="K230" i="17"/>
  <c r="M232" i="17"/>
  <c r="L234" i="17"/>
  <c r="O234" i="17" s="1"/>
  <c r="P234" i="17" s="1"/>
  <c r="J262" i="17"/>
  <c r="N271" i="17"/>
  <c r="L273" i="17"/>
  <c r="O273" i="17" s="1"/>
  <c r="P273" i="17" s="1"/>
  <c r="M282" i="17"/>
  <c r="N329" i="17"/>
  <c r="N350" i="17"/>
  <c r="K350" i="17"/>
  <c r="M360" i="17"/>
  <c r="N360" i="17"/>
  <c r="L360" i="17"/>
  <c r="O360" i="17" s="1"/>
  <c r="P360" i="17" s="1"/>
  <c r="Q360" i="17" s="1"/>
  <c r="K360" i="17"/>
  <c r="J360" i="17"/>
  <c r="M370" i="17"/>
  <c r="N370" i="17"/>
  <c r="N440" i="17"/>
  <c r="K440" i="17"/>
  <c r="L440" i="17"/>
  <c r="O440" i="17" s="1"/>
  <c r="J440" i="17"/>
  <c r="J465" i="17"/>
  <c r="N465" i="17"/>
  <c r="M465" i="17"/>
  <c r="L465" i="17"/>
  <c r="O465" i="17" s="1"/>
  <c r="P465" i="17" s="1"/>
  <c r="K465" i="17"/>
  <c r="J556" i="17"/>
  <c r="N556" i="17"/>
  <c r="L556" i="17"/>
  <c r="O556" i="17" s="1"/>
  <c r="P556" i="17" s="1"/>
  <c r="Q556" i="17" s="1"/>
  <c r="M558" i="17"/>
  <c r="K558" i="17"/>
  <c r="J558" i="17"/>
  <c r="N558" i="17"/>
  <c r="L558" i="17"/>
  <c r="O558" i="17" s="1"/>
  <c r="P558" i="17" s="1"/>
  <c r="J41" i="9"/>
  <c r="J64" i="9"/>
  <c r="J187" i="9"/>
  <c r="J196" i="9"/>
  <c r="J508" i="9"/>
  <c r="J542" i="9"/>
  <c r="J667" i="9"/>
  <c r="J675" i="9"/>
  <c r="K76" i="8" s="1"/>
  <c r="N76" i="8" s="1"/>
  <c r="G122" i="10" s="1"/>
  <c r="K122" i="10" s="1"/>
  <c r="J759" i="9"/>
  <c r="J785" i="9"/>
  <c r="J875" i="9"/>
  <c r="J990" i="9"/>
  <c r="J1290" i="9"/>
  <c r="K179" i="8" s="1"/>
  <c r="N179" i="8" s="1"/>
  <c r="G114" i="10" s="1"/>
  <c r="K114" i="10" s="1"/>
  <c r="J1403" i="9"/>
  <c r="J1596" i="9"/>
  <c r="J1819" i="9"/>
  <c r="G630" i="12"/>
  <c r="A630" i="12" s="1"/>
  <c r="K4" i="17"/>
  <c r="J7" i="17"/>
  <c r="E642" i="12"/>
  <c r="N16" i="17"/>
  <c r="L18" i="17"/>
  <c r="O18" i="17" s="1"/>
  <c r="P18" i="17" s="1"/>
  <c r="Q18" i="17" s="1"/>
  <c r="M21" i="17"/>
  <c r="N24" i="17"/>
  <c r="J30" i="17"/>
  <c r="L34" i="17"/>
  <c r="O34" i="17" s="1"/>
  <c r="K37" i="17"/>
  <c r="K40" i="17"/>
  <c r="L42" i="17"/>
  <c r="O42" i="17" s="1"/>
  <c r="P42" i="17" s="1"/>
  <c r="M52" i="17"/>
  <c r="L55" i="17"/>
  <c r="O55" i="17" s="1"/>
  <c r="K63" i="17"/>
  <c r="N67" i="17"/>
  <c r="N70" i="17"/>
  <c r="J85" i="17"/>
  <c r="J88" i="17"/>
  <c r="N96" i="17"/>
  <c r="J98" i="17"/>
  <c r="M102" i="17"/>
  <c r="K106" i="17"/>
  <c r="M106" i="17"/>
  <c r="L113" i="17"/>
  <c r="O113" i="17" s="1"/>
  <c r="P113" i="17" s="1"/>
  <c r="M130" i="17"/>
  <c r="L138" i="17"/>
  <c r="O138" i="17" s="1"/>
  <c r="P138" i="17" s="1"/>
  <c r="K168" i="17"/>
  <c r="J171" i="17"/>
  <c r="J174" i="17"/>
  <c r="M177" i="17"/>
  <c r="K182" i="17"/>
  <c r="M186" i="17"/>
  <c r="J201" i="17"/>
  <c r="M201" i="17"/>
  <c r="K202" i="17"/>
  <c r="K208" i="17"/>
  <c r="J208" i="17"/>
  <c r="L211" i="17"/>
  <c r="O211" i="17" s="1"/>
  <c r="P211" i="17" s="1"/>
  <c r="Q211" i="17" s="1"/>
  <c r="L213" i="17"/>
  <c r="O213" i="17" s="1"/>
  <c r="P213" i="17" s="1"/>
  <c r="Q213" i="17" s="1"/>
  <c r="L228" i="17"/>
  <c r="O228" i="17" s="1"/>
  <c r="M234" i="17"/>
  <c r="K262" i="17"/>
  <c r="K272" i="17"/>
  <c r="N272" i="17"/>
  <c r="M272" i="17"/>
  <c r="N273" i="17"/>
  <c r="N282" i="17"/>
  <c r="J297" i="17"/>
  <c r="N297" i="17"/>
  <c r="M297" i="17"/>
  <c r="N330" i="17"/>
  <c r="M330" i="17"/>
  <c r="L330" i="17"/>
  <c r="O330" i="17" s="1"/>
  <c r="P330" i="17" s="1"/>
  <c r="K330" i="17"/>
  <c r="J330" i="17"/>
  <c r="K332" i="17"/>
  <c r="J332" i="17"/>
  <c r="N354" i="17"/>
  <c r="N391" i="17"/>
  <c r="L391" i="17"/>
  <c r="O391" i="17" s="1"/>
  <c r="P391" i="17" s="1"/>
  <c r="Q391" i="17" s="1"/>
  <c r="M391" i="17"/>
  <c r="K391" i="17"/>
  <c r="J391" i="17"/>
  <c r="N506" i="17"/>
  <c r="M506" i="17"/>
  <c r="L506" i="17"/>
  <c r="O506" i="17" s="1"/>
  <c r="P506" i="17" s="1"/>
  <c r="Q506" i="17" s="1"/>
  <c r="H480" i="12"/>
  <c r="A480" i="12" s="1"/>
  <c r="F483" i="12"/>
  <c r="H488" i="12"/>
  <c r="A488" i="12" s="1"/>
  <c r="F491" i="12"/>
  <c r="H496" i="12"/>
  <c r="A496" i="12" s="1"/>
  <c r="E634" i="12"/>
  <c r="E638" i="12"/>
  <c r="L2" i="17"/>
  <c r="O2" i="17" s="1"/>
  <c r="P2" i="17" s="1"/>
  <c r="L4" i="17"/>
  <c r="O4" i="17" s="1"/>
  <c r="P4" i="17" s="1"/>
  <c r="Q4" i="17" s="1"/>
  <c r="K7" i="17"/>
  <c r="M18" i="17"/>
  <c r="J26" i="17"/>
  <c r="L28" i="17"/>
  <c r="O28" i="17" s="1"/>
  <c r="P28" i="17" s="1"/>
  <c r="Q28" i="17" s="1"/>
  <c r="L30" i="17"/>
  <c r="O30" i="17" s="1"/>
  <c r="P30" i="17" s="1"/>
  <c r="Q30" i="17" s="1"/>
  <c r="L37" i="17"/>
  <c r="O37" i="17" s="1"/>
  <c r="L40" i="17"/>
  <c r="O40" i="17" s="1"/>
  <c r="P40" i="17" s="1"/>
  <c r="Q40" i="17" s="1"/>
  <c r="M42" i="17"/>
  <c r="M55" i="17"/>
  <c r="N63" i="17"/>
  <c r="J82" i="17"/>
  <c r="K85" i="17"/>
  <c r="K88" i="17"/>
  <c r="J97" i="17"/>
  <c r="N97" i="17"/>
  <c r="K98" i="17"/>
  <c r="J101" i="17"/>
  <c r="M113" i="17"/>
  <c r="J118" i="17"/>
  <c r="K127" i="17"/>
  <c r="J132" i="17"/>
  <c r="J135" i="17"/>
  <c r="M138" i="17"/>
  <c r="L148" i="17"/>
  <c r="O148" i="17" s="1"/>
  <c r="P148" i="17" s="1"/>
  <c r="Q148" i="17" s="1"/>
  <c r="L168" i="17"/>
  <c r="O168" i="17" s="1"/>
  <c r="P168" i="17" s="1"/>
  <c r="K171" i="17"/>
  <c r="K174" i="17"/>
  <c r="N177" i="17"/>
  <c r="N182" i="17"/>
  <c r="L202" i="17"/>
  <c r="O202" i="17" s="1"/>
  <c r="P202" i="17" s="1"/>
  <c r="Q202" i="17" s="1"/>
  <c r="N211" i="17"/>
  <c r="M213" i="17"/>
  <c r="J216" i="17"/>
  <c r="N234" i="17"/>
  <c r="P253" i="17"/>
  <c r="M262" i="17"/>
  <c r="M299" i="17"/>
  <c r="L299" i="17"/>
  <c r="O299" i="17" s="1"/>
  <c r="P299" i="17" s="1"/>
  <c r="N375" i="17"/>
  <c r="L375" i="17"/>
  <c r="O375" i="17" s="1"/>
  <c r="P375" i="17" s="1"/>
  <c r="M475" i="17"/>
  <c r="N475" i="17"/>
  <c r="N519" i="17"/>
  <c r="K519" i="17"/>
  <c r="M519" i="17"/>
  <c r="L519" i="17"/>
  <c r="O519" i="17" s="1"/>
  <c r="P519" i="17" s="1"/>
  <c r="Q519" i="17" s="1"/>
  <c r="J519" i="17"/>
  <c r="L538" i="17"/>
  <c r="O538" i="17" s="1"/>
  <c r="P538" i="17" s="1"/>
  <c r="N538" i="17"/>
  <c r="M538" i="17"/>
  <c r="K538" i="17"/>
  <c r="L710" i="17"/>
  <c r="O710" i="17" s="1"/>
  <c r="M710" i="17"/>
  <c r="K710" i="17"/>
  <c r="N710" i="17"/>
  <c r="J710" i="17"/>
  <c r="J68" i="9"/>
  <c r="J155" i="9"/>
  <c r="J179" i="9"/>
  <c r="J255" i="9"/>
  <c r="J424" i="9"/>
  <c r="J439" i="9"/>
  <c r="J466" i="9"/>
  <c r="J530" i="9"/>
  <c r="J632" i="9"/>
  <c r="J650" i="9"/>
  <c r="J767" i="9"/>
  <c r="J862" i="9"/>
  <c r="J1600" i="9"/>
  <c r="J1616" i="9"/>
  <c r="J1696" i="9"/>
  <c r="M2" i="17"/>
  <c r="M4" i="17"/>
  <c r="L7" i="17"/>
  <c r="O7" i="17" s="1"/>
  <c r="P7" i="17" s="1"/>
  <c r="J20" i="17"/>
  <c r="L26" i="17"/>
  <c r="O26" i="17" s="1"/>
  <c r="M37" i="17"/>
  <c r="N40" i="17"/>
  <c r="N42" i="17"/>
  <c r="M65" i="17"/>
  <c r="J69" i="17"/>
  <c r="N82" i="17"/>
  <c r="L85" i="17"/>
  <c r="O85" i="17" s="1"/>
  <c r="P85" i="17" s="1"/>
  <c r="L88" i="17"/>
  <c r="O88" i="17" s="1"/>
  <c r="P88" i="17" s="1"/>
  <c r="Q88" i="17" s="1"/>
  <c r="J90" i="17"/>
  <c r="L98" i="17"/>
  <c r="O98" i="17" s="1"/>
  <c r="P98" i="17" s="1"/>
  <c r="Q98" i="17" s="1"/>
  <c r="K101" i="17"/>
  <c r="N113" i="17"/>
  <c r="K115" i="17"/>
  <c r="K118" i="17"/>
  <c r="M127" i="17"/>
  <c r="K132" i="17"/>
  <c r="K135" i="17"/>
  <c r="N138" i="17"/>
  <c r="M145" i="17"/>
  <c r="J151" i="17"/>
  <c r="M168" i="17"/>
  <c r="L171" i="17"/>
  <c r="O171" i="17" s="1"/>
  <c r="P171" i="17" s="1"/>
  <c r="L174" i="17"/>
  <c r="O174" i="17" s="1"/>
  <c r="P174" i="17" s="1"/>
  <c r="J179" i="17"/>
  <c r="L183" i="17"/>
  <c r="O183" i="17" s="1"/>
  <c r="P183" i="17" s="1"/>
  <c r="M183" i="17"/>
  <c r="L198" i="17"/>
  <c r="O198" i="17" s="1"/>
  <c r="P198" i="17" s="1"/>
  <c r="Q198" i="17" s="1"/>
  <c r="M202" i="17"/>
  <c r="K216" i="17"/>
  <c r="J219" i="17"/>
  <c r="J222" i="17"/>
  <c r="N262" i="17"/>
  <c r="N323" i="17"/>
  <c r="M323" i="17"/>
  <c r="L323" i="17"/>
  <c r="O323" i="17" s="1"/>
  <c r="P323" i="17" s="1"/>
  <c r="K323" i="17"/>
  <c r="J323" i="17"/>
  <c r="L346" i="17"/>
  <c r="O346" i="17" s="1"/>
  <c r="P346" i="17" s="1"/>
  <c r="Q346" i="17" s="1"/>
  <c r="K346" i="17"/>
  <c r="J346" i="17"/>
  <c r="M372" i="17"/>
  <c r="J488" i="17"/>
  <c r="N488" i="17"/>
  <c r="L488" i="17"/>
  <c r="O488" i="17" s="1"/>
  <c r="P488" i="17" s="1"/>
  <c r="Q488" i="17" s="1"/>
  <c r="J573" i="17"/>
  <c r="M573" i="17"/>
  <c r="L573" i="17"/>
  <c r="O573" i="17" s="1"/>
  <c r="P573" i="17" s="1"/>
  <c r="Q573" i="17" s="1"/>
  <c r="K573" i="17"/>
  <c r="N573" i="17"/>
  <c r="E624" i="12"/>
  <c r="G627" i="12"/>
  <c r="A627" i="12" s="1"/>
  <c r="E631" i="12"/>
  <c r="G634" i="12"/>
  <c r="A634" i="12" s="1"/>
  <c r="J9" i="17"/>
  <c r="K20" i="17"/>
  <c r="M26" i="17"/>
  <c r="J36" i="17"/>
  <c r="K54" i="17"/>
  <c r="K69" i="17"/>
  <c r="J72" i="17"/>
  <c r="M83" i="17"/>
  <c r="L83" i="17"/>
  <c r="O83" i="17" s="1"/>
  <c r="M85" i="17"/>
  <c r="N88" i="17"/>
  <c r="L90" i="17"/>
  <c r="O90" i="17" s="1"/>
  <c r="P90" i="17" s="1"/>
  <c r="M98" i="17"/>
  <c r="L101" i="17"/>
  <c r="O101" i="17" s="1"/>
  <c r="P101" i="17" s="1"/>
  <c r="Q101" i="17" s="1"/>
  <c r="L115" i="17"/>
  <c r="O115" i="17" s="1"/>
  <c r="P115" i="17" s="1"/>
  <c r="L118" i="17"/>
  <c r="O118" i="17" s="1"/>
  <c r="P118" i="17" s="1"/>
  <c r="Q118" i="17" s="1"/>
  <c r="J121" i="17"/>
  <c r="L132" i="17"/>
  <c r="O132" i="17" s="1"/>
  <c r="P132" i="17" s="1"/>
  <c r="Q132" i="17" s="1"/>
  <c r="L135" i="17"/>
  <c r="O135" i="17" s="1"/>
  <c r="P135" i="17" s="1"/>
  <c r="N143" i="17"/>
  <c r="N145" i="17"/>
  <c r="N148" i="17"/>
  <c r="K151" i="17"/>
  <c r="J167" i="17"/>
  <c r="M171" i="17"/>
  <c r="N174" i="17"/>
  <c r="K179" i="17"/>
  <c r="L216" i="17"/>
  <c r="O216" i="17" s="1"/>
  <c r="P216" i="17" s="1"/>
  <c r="Q216" i="17" s="1"/>
  <c r="K219" i="17"/>
  <c r="L222" i="17"/>
  <c r="O222" i="17" s="1"/>
  <c r="P222" i="17" s="1"/>
  <c r="M255" i="17"/>
  <c r="J264" i="17"/>
  <c r="M268" i="17"/>
  <c r="J275" i="17"/>
  <c r="M336" i="17"/>
  <c r="J410" i="17"/>
  <c r="N433" i="17"/>
  <c r="L433" i="17"/>
  <c r="O433" i="17" s="1"/>
  <c r="P433" i="17" s="1"/>
  <c r="L438" i="17"/>
  <c r="O438" i="17" s="1"/>
  <c r="G105" i="12" s="1"/>
  <c r="A105" i="12" s="1"/>
  <c r="N438" i="17"/>
  <c r="M438" i="17"/>
  <c r="K438" i="17"/>
  <c r="J438" i="17"/>
  <c r="N536" i="17"/>
  <c r="M536" i="17"/>
  <c r="K536" i="17"/>
  <c r="J536" i="17"/>
  <c r="L38" i="9"/>
  <c r="M38" i="9" s="1"/>
  <c r="J132" i="9"/>
  <c r="J302" i="9"/>
  <c r="J311" i="9"/>
  <c r="J419" i="9"/>
  <c r="J501" i="9"/>
  <c r="J625" i="9"/>
  <c r="J730" i="9"/>
  <c r="J872" i="9"/>
  <c r="J954" i="9"/>
  <c r="J1265" i="9"/>
  <c r="J1378" i="9"/>
  <c r="J1430" i="9"/>
  <c r="J1509" i="9"/>
  <c r="J1620" i="9"/>
  <c r="J1752" i="9"/>
  <c r="J1867" i="9"/>
  <c r="N26" i="17"/>
  <c r="K51" i="17"/>
  <c r="L54" i="17"/>
  <c r="O54" i="17" s="1"/>
  <c r="P54" i="17" s="1"/>
  <c r="Q54" i="17" s="1"/>
  <c r="K72" i="17"/>
  <c r="M90" i="17"/>
  <c r="J104" i="17"/>
  <c r="M132" i="17"/>
  <c r="L151" i="17"/>
  <c r="O151" i="17" s="1"/>
  <c r="P151" i="17" s="1"/>
  <c r="Q151" i="17" s="1"/>
  <c r="N172" i="17"/>
  <c r="L172" i="17"/>
  <c r="O172" i="17" s="1"/>
  <c r="P172" i="17" s="1"/>
  <c r="Q172" i="17" s="1"/>
  <c r="L175" i="17"/>
  <c r="O175" i="17" s="1"/>
  <c r="P175" i="17" s="1"/>
  <c r="K175" i="17"/>
  <c r="J176" i="17"/>
  <c r="L179" i="17"/>
  <c r="O179" i="17" s="1"/>
  <c r="P179" i="17" s="1"/>
  <c r="Q179" i="17" s="1"/>
  <c r="J206" i="17"/>
  <c r="M216" i="17"/>
  <c r="M219" i="17"/>
  <c r="N222" i="17"/>
  <c r="J227" i="17"/>
  <c r="N275" i="17"/>
  <c r="K277" i="17"/>
  <c r="N336" i="17"/>
  <c r="N357" i="17"/>
  <c r="M357" i="17"/>
  <c r="L357" i="17"/>
  <c r="O357" i="17" s="1"/>
  <c r="P357" i="17" s="1"/>
  <c r="Q357" i="17" s="1"/>
  <c r="K357" i="17"/>
  <c r="J357" i="17"/>
  <c r="M363" i="17"/>
  <c r="K410" i="17"/>
  <c r="J460" i="17"/>
  <c r="N486" i="17"/>
  <c r="M486" i="17"/>
  <c r="L486" i="17"/>
  <c r="O486" i="17" s="1"/>
  <c r="P486" i="17" s="1"/>
  <c r="K486" i="17"/>
  <c r="J486" i="17"/>
  <c r="M567" i="17"/>
  <c r="L567" i="17"/>
  <c r="O567" i="17" s="1"/>
  <c r="P567" i="17" s="1"/>
  <c r="Q567" i="17" s="1"/>
  <c r="N632" i="17"/>
  <c r="M632" i="17"/>
  <c r="L632" i="17"/>
  <c r="O632" i="17" s="1"/>
  <c r="P632" i="17" s="1"/>
  <c r="Q632" i="17" s="1"/>
  <c r="J632" i="17"/>
  <c r="J690" i="17"/>
  <c r="N690" i="17"/>
  <c r="M690" i="17"/>
  <c r="L690" i="17"/>
  <c r="O690" i="17" s="1"/>
  <c r="K768" i="17"/>
  <c r="J768" i="17"/>
  <c r="M851" i="17"/>
  <c r="N851" i="17"/>
  <c r="L851" i="17"/>
  <c r="O851" i="17" s="1"/>
  <c r="P851" i="17" s="1"/>
  <c r="K851" i="17"/>
  <c r="J851" i="17"/>
  <c r="L869" i="17"/>
  <c r="O869" i="17" s="1"/>
  <c r="P869" i="17" s="1"/>
  <c r="Q869" i="17" s="1"/>
  <c r="N869" i="17"/>
  <c r="L884" i="17"/>
  <c r="O884" i="17" s="1"/>
  <c r="P884" i="17" s="1"/>
  <c r="M884" i="17"/>
  <c r="J884" i="17"/>
  <c r="M919" i="17"/>
  <c r="N919" i="17"/>
  <c r="L919" i="17"/>
  <c r="O919" i="17" s="1"/>
  <c r="P919" i="17" s="1"/>
  <c r="Q919" i="17" s="1"/>
  <c r="G173" i="12" s="1"/>
  <c r="A173" i="12" s="1"/>
  <c r="J919" i="17"/>
  <c r="M562" i="17"/>
  <c r="L562" i="17"/>
  <c r="O562" i="17" s="1"/>
  <c r="P562" i="17" s="1"/>
  <c r="Q562" i="17" s="1"/>
  <c r="J562" i="17"/>
  <c r="N582" i="17"/>
  <c r="K582" i="17"/>
  <c r="J644" i="17"/>
  <c r="M644" i="17"/>
  <c r="L644" i="17"/>
  <c r="O644" i="17" s="1"/>
  <c r="P644" i="17" s="1"/>
  <c r="Q644" i="17" s="1"/>
  <c r="J763" i="17"/>
  <c r="M763" i="17"/>
  <c r="L763" i="17"/>
  <c r="O763" i="17" s="1"/>
  <c r="N763" i="17"/>
  <c r="K763" i="17"/>
  <c r="J270" i="17"/>
  <c r="J276" i="17"/>
  <c r="J279" i="17"/>
  <c r="L302" i="17"/>
  <c r="O302" i="17" s="1"/>
  <c r="P302" i="17" s="1"/>
  <c r="Q302" i="17" s="1"/>
  <c r="K321" i="17"/>
  <c r="J324" i="17"/>
  <c r="K331" i="17"/>
  <c r="M353" i="17"/>
  <c r="M365" i="17"/>
  <c r="N367" i="17"/>
  <c r="M384" i="17"/>
  <c r="N408" i="17"/>
  <c r="J458" i="17"/>
  <c r="K466" i="17"/>
  <c r="N470" i="17"/>
  <c r="M474" i="17"/>
  <c r="N517" i="17"/>
  <c r="J560" i="17"/>
  <c r="M560" i="17"/>
  <c r="J600" i="17"/>
  <c r="N615" i="17"/>
  <c r="M615" i="17"/>
  <c r="L615" i="17"/>
  <c r="O615" i="17" s="1"/>
  <c r="P615" i="17" s="1"/>
  <c r="Q615" i="17" s="1"/>
  <c r="K615" i="17"/>
  <c r="J615" i="17"/>
  <c r="N759" i="17"/>
  <c r="L759" i="17"/>
  <c r="O759" i="17" s="1"/>
  <c r="M759" i="17"/>
  <c r="K759" i="17"/>
  <c r="K572" i="17"/>
  <c r="N572" i="17"/>
  <c r="N646" i="17"/>
  <c r="M646" i="17"/>
  <c r="L646" i="17"/>
  <c r="O646" i="17" s="1"/>
  <c r="P646" i="17" s="1"/>
  <c r="Q646" i="17" s="1"/>
  <c r="K646" i="17"/>
  <c r="J646" i="17"/>
  <c r="J663" i="17"/>
  <c r="N663" i="17"/>
  <c r="M663" i="17"/>
  <c r="L663" i="17"/>
  <c r="O663" i="17" s="1"/>
  <c r="K663" i="17"/>
  <c r="M766" i="17"/>
  <c r="K766" i="17"/>
  <c r="J766" i="17"/>
  <c r="K818" i="17"/>
  <c r="J818" i="17"/>
  <c r="M818" i="17"/>
  <c r="L818" i="17"/>
  <c r="O818" i="17" s="1"/>
  <c r="N864" i="17"/>
  <c r="J864" i="17"/>
  <c r="L864" i="17"/>
  <c r="O864" i="17" s="1"/>
  <c r="P864" i="17" s="1"/>
  <c r="L524" i="17"/>
  <c r="O524" i="17" s="1"/>
  <c r="P524" i="17" s="1"/>
  <c r="Q524" i="17" s="1"/>
  <c r="J550" i="17"/>
  <c r="N553" i="17"/>
  <c r="J553" i="17"/>
  <c r="J567" i="17"/>
  <c r="M589" i="17"/>
  <c r="N589" i="17"/>
  <c r="K632" i="17"/>
  <c r="N675" i="17"/>
  <c r="M675" i="17"/>
  <c r="L675" i="17"/>
  <c r="O675" i="17" s="1"/>
  <c r="J675" i="17"/>
  <c r="M906" i="17"/>
  <c r="J906" i="17"/>
  <c r="N908" i="17"/>
  <c r="L908" i="17"/>
  <c r="O908" i="17" s="1"/>
  <c r="P908" i="17" s="1"/>
  <c r="K908" i="17"/>
  <c r="J1033" i="17"/>
  <c r="N1033" i="17"/>
  <c r="M1033" i="17"/>
  <c r="L1033" i="17"/>
  <c r="O1033" i="17" s="1"/>
  <c r="K1033" i="17"/>
  <c r="M524" i="17"/>
  <c r="K550" i="17"/>
  <c r="L555" i="17"/>
  <c r="O555" i="17" s="1"/>
  <c r="P555" i="17" s="1"/>
  <c r="Q555" i="17" s="1"/>
  <c r="J555" i="17"/>
  <c r="N567" i="17"/>
  <c r="M673" i="17"/>
  <c r="N673" i="17"/>
  <c r="L673" i="17"/>
  <c r="O673" i="17" s="1"/>
  <c r="P673" i="17" s="1"/>
  <c r="Q673" i="17" s="1"/>
  <c r="J673" i="17"/>
  <c r="K690" i="17"/>
  <c r="N778" i="17"/>
  <c r="L835" i="17"/>
  <c r="O835" i="17" s="1"/>
  <c r="K835" i="17"/>
  <c r="M835" i="17"/>
  <c r="M405" i="17"/>
  <c r="L405" i="17"/>
  <c r="O405" i="17" s="1"/>
  <c r="P405" i="17" s="1"/>
  <c r="Q405" i="17" s="1"/>
  <c r="M535" i="17"/>
  <c r="L535" i="17"/>
  <c r="O535" i="17" s="1"/>
  <c r="P535" i="17" s="1"/>
  <c r="Q535" i="17" s="1"/>
  <c r="L550" i="17"/>
  <c r="O550" i="17" s="1"/>
  <c r="P550" i="17" s="1"/>
  <c r="Q550" i="17" s="1"/>
  <c r="N576" i="17"/>
  <c r="M576" i="17"/>
  <c r="K576" i="17"/>
  <c r="J594" i="17"/>
  <c r="L594" i="17"/>
  <c r="O594" i="17" s="1"/>
  <c r="P594" i="17" s="1"/>
  <c r="Q594" i="17" s="1"/>
  <c r="K594" i="17"/>
  <c r="N677" i="17"/>
  <c r="M677" i="17"/>
  <c r="L677" i="17"/>
  <c r="O677" i="17" s="1"/>
  <c r="P677" i="17" s="1"/>
  <c r="Q677" i="17" s="1"/>
  <c r="K856" i="17"/>
  <c r="L856" i="17"/>
  <c r="O856" i="17" s="1"/>
  <c r="P856" i="17" s="1"/>
  <c r="K919" i="17"/>
  <c r="K949" i="17"/>
  <c r="L949" i="17"/>
  <c r="O949" i="17" s="1"/>
  <c r="J949" i="17"/>
  <c r="N949" i="17"/>
  <c r="J473" i="17"/>
  <c r="J483" i="17"/>
  <c r="J529" i="17"/>
  <c r="M550" i="17"/>
  <c r="K562" i="17"/>
  <c r="J582" i="17"/>
  <c r="J617" i="17"/>
  <c r="K622" i="17"/>
  <c r="N622" i="17"/>
  <c r="M622" i="17"/>
  <c r="J622" i="17"/>
  <c r="K653" i="17"/>
  <c r="J656" i="17"/>
  <c r="N656" i="17"/>
  <c r="K656" i="17"/>
  <c r="J658" i="17"/>
  <c r="M658" i="17"/>
  <c r="L658" i="17"/>
  <c r="O658" i="17" s="1"/>
  <c r="P658" i="17" s="1"/>
  <c r="K658" i="17"/>
  <c r="J689" i="17"/>
  <c r="N689" i="17"/>
  <c r="M689" i="17"/>
  <c r="L689" i="17"/>
  <c r="O689" i="17" s="1"/>
  <c r="K689" i="17"/>
  <c r="L709" i="17"/>
  <c r="O709" i="17" s="1"/>
  <c r="P709" i="17" s="1"/>
  <c r="E236" i="12" s="1"/>
  <c r="K709" i="17"/>
  <c r="N709" i="17"/>
  <c r="M709" i="17"/>
  <c r="J709" i="17"/>
  <c r="K777" i="17"/>
  <c r="M777" i="17"/>
  <c r="J777" i="17"/>
  <c r="N943" i="17"/>
  <c r="K943" i="17"/>
  <c r="M356" i="17"/>
  <c r="J356" i="17"/>
  <c r="L411" i="17"/>
  <c r="O411" i="17" s="1"/>
  <c r="P411" i="17" s="1"/>
  <c r="Q411" i="17" s="1"/>
  <c r="K411" i="17"/>
  <c r="K473" i="17"/>
  <c r="K483" i="17"/>
  <c r="L529" i="17"/>
  <c r="O529" i="17" s="1"/>
  <c r="P529" i="17" s="1"/>
  <c r="N537" i="17"/>
  <c r="M537" i="17"/>
  <c r="L537" i="17"/>
  <c r="O537" i="17" s="1"/>
  <c r="P537" i="17" s="1"/>
  <c r="Q537" i="17" s="1"/>
  <c r="L549" i="17"/>
  <c r="O549" i="17" s="1"/>
  <c r="P549" i="17" s="1"/>
  <c r="K549" i="17"/>
  <c r="N562" i="17"/>
  <c r="L582" i="17"/>
  <c r="O582" i="17" s="1"/>
  <c r="P582" i="17" s="1"/>
  <c r="Q582" i="17" s="1"/>
  <c r="N607" i="17"/>
  <c r="M607" i="17"/>
  <c r="K607" i="17"/>
  <c r="J607" i="17"/>
  <c r="K617" i="17"/>
  <c r="N631" i="17"/>
  <c r="M631" i="17"/>
  <c r="L631" i="17"/>
  <c r="O631" i="17" s="1"/>
  <c r="P631" i="17" s="1"/>
  <c r="Q631" i="17" s="1"/>
  <c r="K631" i="17"/>
  <c r="J631" i="17"/>
  <c r="K644" i="17"/>
  <c r="J660" i="17"/>
  <c r="M660" i="17"/>
  <c r="L660" i="17"/>
  <c r="O660" i="17" s="1"/>
  <c r="P660" i="17" s="1"/>
  <c r="Q660" i="17" s="1"/>
  <c r="N660" i="17"/>
  <c r="K660" i="17"/>
  <c r="J759" i="17"/>
  <c r="L854" i="17"/>
  <c r="O854" i="17" s="1"/>
  <c r="P854" i="17" s="1"/>
  <c r="Q854" i="17" s="1"/>
  <c r="J854" i="17"/>
  <c r="N854" i="17"/>
  <c r="M854" i="17"/>
  <c r="M473" i="17"/>
  <c r="J518" i="17"/>
  <c r="K527" i="17"/>
  <c r="M529" i="17"/>
  <c r="J539" i="17"/>
  <c r="K539" i="17"/>
  <c r="M582" i="17"/>
  <c r="N609" i="17"/>
  <c r="K609" i="17"/>
  <c r="J609" i="17"/>
  <c r="L617" i="17"/>
  <c r="O617" i="17" s="1"/>
  <c r="P617" i="17" s="1"/>
  <c r="Q617" i="17" s="1"/>
  <c r="J641" i="17"/>
  <c r="M641" i="17"/>
  <c r="L641" i="17"/>
  <c r="O641" i="17" s="1"/>
  <c r="P641" i="17" s="1"/>
  <c r="Q641" i="17" s="1"/>
  <c r="N644" i="17"/>
  <c r="N701" i="17"/>
  <c r="M701" i="17"/>
  <c r="K701" i="17"/>
  <c r="J752" i="17"/>
  <c r="L752" i="17"/>
  <c r="O752" i="17" s="1"/>
  <c r="P752" i="17" s="1"/>
  <c r="E137" i="12" s="1"/>
  <c r="L754" i="17"/>
  <c r="O754" i="17" s="1"/>
  <c r="N754" i="17"/>
  <c r="M754" i="17"/>
  <c r="K754" i="17"/>
  <c r="J754" i="17"/>
  <c r="J773" i="17"/>
  <c r="M773" i="17"/>
  <c r="L773" i="17"/>
  <c r="O773" i="17" s="1"/>
  <c r="K773" i="17"/>
  <c r="M823" i="17"/>
  <c r="J823" i="17"/>
  <c r="K823" i="17"/>
  <c r="N933" i="17"/>
  <c r="J933" i="17"/>
  <c r="L933" i="17"/>
  <c r="O933" i="17" s="1"/>
  <c r="M974" i="17"/>
  <c r="N974" i="17"/>
  <c r="J974" i="17"/>
  <c r="M334" i="17"/>
  <c r="N334" i="17"/>
  <c r="J490" i="17"/>
  <c r="K518" i="17"/>
  <c r="N529" i="17"/>
  <c r="L553" i="17"/>
  <c r="O553" i="17" s="1"/>
  <c r="P553" i="17" s="1"/>
  <c r="J572" i="17"/>
  <c r="K589" i="17"/>
  <c r="M602" i="17"/>
  <c r="L602" i="17"/>
  <c r="O602" i="17" s="1"/>
  <c r="P602" i="17" s="1"/>
  <c r="K602" i="17"/>
  <c r="M617" i="17"/>
  <c r="N643" i="17"/>
  <c r="M643" i="17"/>
  <c r="L643" i="17"/>
  <c r="O643" i="17" s="1"/>
  <c r="P643" i="17" s="1"/>
  <c r="K643" i="17"/>
  <c r="J643" i="17"/>
  <c r="L684" i="17"/>
  <c r="O684" i="17" s="1"/>
  <c r="P684" i="17" s="1"/>
  <c r="N684" i="17"/>
  <c r="J684" i="17"/>
  <c r="N697" i="17"/>
  <c r="K697" i="17"/>
  <c r="J697" i="17"/>
  <c r="K715" i="17"/>
  <c r="K723" i="17"/>
  <c r="J723" i="17"/>
  <c r="K756" i="17"/>
  <c r="J756" i="17"/>
  <c r="N818" i="17"/>
  <c r="M373" i="17"/>
  <c r="J452" i="17"/>
  <c r="L490" i="17"/>
  <c r="O490" i="17" s="1"/>
  <c r="P490" i="17" s="1"/>
  <c r="M505" i="17"/>
  <c r="L518" i="17"/>
  <c r="O518" i="17" s="1"/>
  <c r="P518" i="17" s="1"/>
  <c r="J530" i="17"/>
  <c r="K530" i="17"/>
  <c r="N531" i="17"/>
  <c r="K555" i="17"/>
  <c r="L571" i="17"/>
  <c r="O571" i="17" s="1"/>
  <c r="P571" i="17" s="1"/>
  <c r="Q571" i="17" s="1"/>
  <c r="N571" i="17"/>
  <c r="K571" i="17"/>
  <c r="L572" i="17"/>
  <c r="O572" i="17" s="1"/>
  <c r="P572" i="17" s="1"/>
  <c r="Q572" i="17" s="1"/>
  <c r="M618" i="17"/>
  <c r="N618" i="17"/>
  <c r="L618" i="17"/>
  <c r="O618" i="17" s="1"/>
  <c r="P618" i="17" s="1"/>
  <c r="Q618" i="17" s="1"/>
  <c r="K618" i="17"/>
  <c r="K673" i="17"/>
  <c r="K675" i="17"/>
  <c r="M394" i="17"/>
  <c r="J394" i="17"/>
  <c r="M432" i="17"/>
  <c r="M451" i="17"/>
  <c r="L451" i="17"/>
  <c r="O451" i="17" s="1"/>
  <c r="P451" i="17" s="1"/>
  <c r="Q451" i="17" s="1"/>
  <c r="K452" i="17"/>
  <c r="J467" i="17"/>
  <c r="J485" i="17"/>
  <c r="M490" i="17"/>
  <c r="N518" i="17"/>
  <c r="N526" i="17"/>
  <c r="K526" i="17"/>
  <c r="N532" i="17"/>
  <c r="L532" i="17"/>
  <c r="O532" i="17" s="1"/>
  <c r="P532" i="17" s="1"/>
  <c r="J535" i="17"/>
  <c r="M555" i="17"/>
  <c r="M565" i="17"/>
  <c r="J565" i="17"/>
  <c r="M572" i="17"/>
  <c r="J575" i="17"/>
  <c r="K575" i="17"/>
  <c r="J576" i="17"/>
  <c r="M594" i="17"/>
  <c r="K598" i="17"/>
  <c r="J598" i="17"/>
  <c r="N598" i="17"/>
  <c r="N674" i="17"/>
  <c r="K674" i="17"/>
  <c r="M716" i="17"/>
  <c r="L716" i="17"/>
  <c r="O716" i="17" s="1"/>
  <c r="P716" i="17" s="1"/>
  <c r="E114" i="12" s="1"/>
  <c r="M890" i="17"/>
  <c r="L890" i="17"/>
  <c r="O890" i="17" s="1"/>
  <c r="P890" i="17" s="1"/>
  <c r="Q890" i="17" s="1"/>
  <c r="K890" i="17"/>
  <c r="J890" i="17"/>
  <c r="M900" i="17"/>
  <c r="K820" i="17"/>
  <c r="K865" i="17"/>
  <c r="N892" i="17"/>
  <c r="K892" i="17"/>
  <c r="J892" i="17"/>
  <c r="N931" i="17"/>
  <c r="L931" i="17"/>
  <c r="O931" i="17" s="1"/>
  <c r="P931" i="17" s="1"/>
  <c r="K931" i="17"/>
  <c r="J931" i="17"/>
  <c r="L941" i="17"/>
  <c r="O941" i="17" s="1"/>
  <c r="K941" i="17"/>
  <c r="N941" i="17"/>
  <c r="M941" i="17"/>
  <c r="J941" i="17"/>
  <c r="N996" i="17"/>
  <c r="K996" i="17"/>
  <c r="J996" i="17"/>
  <c r="M996" i="17"/>
  <c r="M894" i="17"/>
  <c r="K894" i="17"/>
  <c r="N929" i="17"/>
  <c r="L929" i="17"/>
  <c r="O929" i="17" s="1"/>
  <c r="P929" i="17" s="1"/>
  <c r="K929" i="17"/>
  <c r="L1009" i="17"/>
  <c r="O1009" i="17" s="1"/>
  <c r="K1009" i="17"/>
  <c r="N1009" i="17"/>
  <c r="K1041" i="17"/>
  <c r="M1041" i="17"/>
  <c r="J1159" i="17"/>
  <c r="N1159" i="17"/>
  <c r="L1159" i="17"/>
  <c r="O1159" i="17" s="1"/>
  <c r="P1159" i="17" s="1"/>
  <c r="K1159" i="17"/>
  <c r="M1159" i="17"/>
  <c r="M1237" i="17"/>
  <c r="N1237" i="17"/>
  <c r="K1237" i="17"/>
  <c r="J1237" i="17"/>
  <c r="L1237" i="17"/>
  <c r="O1237" i="17" s="1"/>
  <c r="P1237" i="17" s="1"/>
  <c r="K757" i="17"/>
  <c r="N757" i="17"/>
  <c r="L761" i="17"/>
  <c r="O761" i="17" s="1"/>
  <c r="P761" i="17" s="1"/>
  <c r="N761" i="17"/>
  <c r="M761" i="17"/>
  <c r="M820" i="17"/>
  <c r="J849" i="17"/>
  <c r="N849" i="17"/>
  <c r="K858" i="17"/>
  <c r="M858" i="17"/>
  <c r="L858" i="17"/>
  <c r="O858" i="17" s="1"/>
  <c r="P858" i="17" s="1"/>
  <c r="N915" i="17"/>
  <c r="J915" i="17"/>
  <c r="M915" i="17"/>
  <c r="L939" i="17"/>
  <c r="O939" i="17" s="1"/>
  <c r="K939" i="17"/>
  <c r="K782" i="17"/>
  <c r="L782" i="17"/>
  <c r="O782" i="17" s="1"/>
  <c r="N820" i="17"/>
  <c r="N860" i="17"/>
  <c r="J860" i="17"/>
  <c r="K888" i="17"/>
  <c r="M888" i="17"/>
  <c r="L888" i="17"/>
  <c r="O888" i="17" s="1"/>
  <c r="L896" i="17"/>
  <c r="O896" i="17" s="1"/>
  <c r="P896" i="17" s="1"/>
  <c r="N896" i="17"/>
  <c r="M896" i="17"/>
  <c r="K921" i="17"/>
  <c r="J921" i="17"/>
  <c r="M921" i="17"/>
  <c r="N923" i="17"/>
  <c r="L923" i="17"/>
  <c r="O923" i="17" s="1"/>
  <c r="P923" i="17" s="1"/>
  <c r="Q923" i="17" s="1"/>
  <c r="K923" i="17"/>
  <c r="N1007" i="17"/>
  <c r="M1007" i="17"/>
  <c r="M788" i="17"/>
  <c r="L788" i="17"/>
  <c r="O788" i="17" s="1"/>
  <c r="M812" i="17"/>
  <c r="L812" i="17"/>
  <c r="O812" i="17" s="1"/>
  <c r="N886" i="17"/>
  <c r="M886" i="17"/>
  <c r="L886" i="17"/>
  <c r="O886" i="17" s="1"/>
  <c r="P886" i="17" s="1"/>
  <c r="M903" i="17"/>
  <c r="J903" i="17"/>
  <c r="N903" i="17"/>
  <c r="L903" i="17"/>
  <c r="O903" i="17" s="1"/>
  <c r="P903" i="17" s="1"/>
  <c r="N978" i="17"/>
  <c r="L978" i="17"/>
  <c r="O978" i="17" s="1"/>
  <c r="K1002" i="17"/>
  <c r="N1002" i="17"/>
  <c r="L1002" i="17"/>
  <c r="O1002" i="17" s="1"/>
  <c r="P1002" i="17" s="1"/>
  <c r="Q1002" i="17" s="1"/>
  <c r="J1002" i="17"/>
  <c r="M1002" i="17"/>
  <c r="M534" i="17"/>
  <c r="K534" i="17"/>
  <c r="J534" i="17"/>
  <c r="K616" i="17"/>
  <c r="M647" i="17"/>
  <c r="L661" i="17"/>
  <c r="O661" i="17" s="1"/>
  <c r="K676" i="17"/>
  <c r="K686" i="17"/>
  <c r="M686" i="17"/>
  <c r="L686" i="17"/>
  <c r="O686" i="17" s="1"/>
  <c r="P686" i="17" s="1"/>
  <c r="Q686" i="17" s="1"/>
  <c r="M702" i="17"/>
  <c r="L790" i="17"/>
  <c r="O790" i="17" s="1"/>
  <c r="P790" i="17" s="1"/>
  <c r="J790" i="17"/>
  <c r="K852" i="17"/>
  <c r="J648" i="17"/>
  <c r="N648" i="17"/>
  <c r="M648" i="17"/>
  <c r="N703" i="17"/>
  <c r="M703" i="17"/>
  <c r="J771" i="17"/>
  <c r="J779" i="17"/>
  <c r="N779" i="17"/>
  <c r="M779" i="17"/>
  <c r="P779" i="17" s="1"/>
  <c r="E512" i="12" s="1"/>
  <c r="L901" i="17"/>
  <c r="O901" i="17" s="1"/>
  <c r="P901" i="17" s="1"/>
  <c r="N901" i="17"/>
  <c r="J929" i="17"/>
  <c r="N932" i="17"/>
  <c r="M932" i="17"/>
  <c r="L932" i="17"/>
  <c r="O932" i="17" s="1"/>
  <c r="K932" i="17"/>
  <c r="J946" i="17"/>
  <c r="N946" i="17"/>
  <c r="M946" i="17"/>
  <c r="N950" i="17"/>
  <c r="L950" i="17"/>
  <c r="O950" i="17" s="1"/>
  <c r="L996" i="17"/>
  <c r="O996" i="17" s="1"/>
  <c r="N1186" i="17"/>
  <c r="L1186" i="17"/>
  <c r="O1186" i="17" s="1"/>
  <c r="P1186" i="17" s="1"/>
  <c r="K1186" i="17"/>
  <c r="J1186" i="17"/>
  <c r="M1186" i="17"/>
  <c r="N612" i="17"/>
  <c r="M612" i="17"/>
  <c r="L612" i="17"/>
  <c r="O612" i="17" s="1"/>
  <c r="P612" i="17" s="1"/>
  <c r="Q612" i="17" s="1"/>
  <c r="J657" i="17"/>
  <c r="K657" i="17"/>
  <c r="L728" i="17"/>
  <c r="O728" i="17" s="1"/>
  <c r="K753" i="17"/>
  <c r="J753" i="17"/>
  <c r="J761" i="17"/>
  <c r="K771" i="17"/>
  <c r="J825" i="17"/>
  <c r="N839" i="17"/>
  <c r="L839" i="17"/>
  <c r="O839" i="17" s="1"/>
  <c r="J839" i="17"/>
  <c r="K847" i="17"/>
  <c r="K849" i="17"/>
  <c r="M892" i="17"/>
  <c r="J894" i="17"/>
  <c r="N930" i="17"/>
  <c r="J930" i="17"/>
  <c r="M934" i="17"/>
  <c r="L934" i="17"/>
  <c r="O934" i="17" s="1"/>
  <c r="K936" i="17"/>
  <c r="J936" i="17"/>
  <c r="N936" i="17"/>
  <c r="M936" i="17"/>
  <c r="L948" i="17"/>
  <c r="O948" i="17" s="1"/>
  <c r="K948" i="17"/>
  <c r="N948" i="17"/>
  <c r="M948" i="17"/>
  <c r="J948" i="17"/>
  <c r="N997" i="17"/>
  <c r="L997" i="17"/>
  <c r="O997" i="17" s="1"/>
  <c r="P997" i="17" s="1"/>
  <c r="K997" i="17"/>
  <c r="J997" i="17"/>
  <c r="L771" i="17"/>
  <c r="O771" i="17" s="1"/>
  <c r="N836" i="17"/>
  <c r="M836" i="17"/>
  <c r="J879" i="17"/>
  <c r="K879" i="17"/>
  <c r="L881" i="17"/>
  <c r="O881" i="17" s="1"/>
  <c r="P881" i="17" s="1"/>
  <c r="K881" i="17"/>
  <c r="M883" i="17"/>
  <c r="L883" i="17"/>
  <c r="O883" i="17" s="1"/>
  <c r="P883" i="17" s="1"/>
  <c r="Q883" i="17" s="1"/>
  <c r="K883" i="17"/>
  <c r="N893" i="17"/>
  <c r="M893" i="17"/>
  <c r="L893" i="17"/>
  <c r="O893" i="17" s="1"/>
  <c r="K893" i="17"/>
  <c r="L894" i="17"/>
  <c r="O894" i="17" s="1"/>
  <c r="P894" i="17" s="1"/>
  <c r="K915" i="17"/>
  <c r="K918" i="17"/>
  <c r="M918" i="17"/>
  <c r="J918" i="17"/>
  <c r="L965" i="17"/>
  <c r="O965" i="17" s="1"/>
  <c r="N566" i="17"/>
  <c r="M566" i="17"/>
  <c r="M570" i="17"/>
  <c r="K570" i="17"/>
  <c r="J570" i="17"/>
  <c r="J645" i="17"/>
  <c r="N645" i="17"/>
  <c r="M645" i="17"/>
  <c r="M698" i="17"/>
  <c r="N698" i="17"/>
  <c r="L698" i="17"/>
  <c r="O698" i="17" s="1"/>
  <c r="K699" i="17"/>
  <c r="L724" i="17"/>
  <c r="O724" i="17" s="1"/>
  <c r="L729" i="17"/>
  <c r="O729" i="17" s="1"/>
  <c r="P729" i="17" s="1"/>
  <c r="N729" i="17"/>
  <c r="J731" i="17"/>
  <c r="M731" i="17"/>
  <c r="K733" i="17"/>
  <c r="L733" i="17"/>
  <c r="O733" i="17" s="1"/>
  <c r="M771" i="17"/>
  <c r="J782" i="17"/>
  <c r="L792" i="17"/>
  <c r="O792" i="17" s="1"/>
  <c r="P792" i="17" s="1"/>
  <c r="K837" i="17"/>
  <c r="K848" i="17"/>
  <c r="M848" i="17"/>
  <c r="L848" i="17"/>
  <c r="O848" i="17" s="1"/>
  <c r="P848" i="17" s="1"/>
  <c r="J848" i="17"/>
  <c r="M849" i="17"/>
  <c r="N858" i="17"/>
  <c r="J877" i="17"/>
  <c r="L877" i="17"/>
  <c r="O877" i="17" s="1"/>
  <c r="P877" i="17" s="1"/>
  <c r="K877" i="17"/>
  <c r="N894" i="17"/>
  <c r="J896" i="17"/>
  <c r="J914" i="17"/>
  <c r="K914" i="17"/>
  <c r="N914" i="17"/>
  <c r="M914" i="17"/>
  <c r="L915" i="17"/>
  <c r="O915" i="17" s="1"/>
  <c r="L921" i="17"/>
  <c r="O921" i="17" s="1"/>
  <c r="M923" i="17"/>
  <c r="J721" i="17"/>
  <c r="M724" i="17"/>
  <c r="M782" i="17"/>
  <c r="J788" i="17"/>
  <c r="N792" i="17"/>
  <c r="L809" i="17"/>
  <c r="O809" i="17" s="1"/>
  <c r="J809" i="17"/>
  <c r="J812" i="17"/>
  <c r="L837" i="17"/>
  <c r="O837" i="17" s="1"/>
  <c r="L873" i="17"/>
  <c r="O873" i="17" s="1"/>
  <c r="P873" i="17" s="1"/>
  <c r="M873" i="17"/>
  <c r="L895" i="17"/>
  <c r="O895" i="17" s="1"/>
  <c r="P895" i="17" s="1"/>
  <c r="M895" i="17"/>
  <c r="K895" i="17"/>
  <c r="J895" i="17"/>
  <c r="K903" i="17"/>
  <c r="K978" i="17"/>
  <c r="N1083" i="17"/>
  <c r="L1083" i="17"/>
  <c r="O1083" i="17" s="1"/>
  <c r="P1083" i="17" s="1"/>
  <c r="Q1083" i="17" s="1"/>
  <c r="K1083" i="17"/>
  <c r="N563" i="17"/>
  <c r="M563" i="17"/>
  <c r="N568" i="17"/>
  <c r="J568" i="17"/>
  <c r="J608" i="17"/>
  <c r="K608" i="17"/>
  <c r="K721" i="17"/>
  <c r="N724" i="17"/>
  <c r="L772" i="17"/>
  <c r="O772" i="17" s="1"/>
  <c r="K772" i="17"/>
  <c r="N782" i="17"/>
  <c r="K788" i="17"/>
  <c r="N797" i="17"/>
  <c r="J797" i="17"/>
  <c r="L799" i="17"/>
  <c r="O799" i="17" s="1"/>
  <c r="M799" i="17"/>
  <c r="M810" i="17"/>
  <c r="N812" i="17"/>
  <c r="M837" i="17"/>
  <c r="N912" i="17"/>
  <c r="J912" i="17"/>
  <c r="M912" i="17"/>
  <c r="L912" i="17"/>
  <c r="O912" i="17" s="1"/>
  <c r="P912" i="17" s="1"/>
  <c r="K912" i="17"/>
  <c r="M979" i="17"/>
  <c r="N979" i="17"/>
  <c r="J601" i="17"/>
  <c r="K648" i="17"/>
  <c r="J694" i="17"/>
  <c r="J696" i="17"/>
  <c r="J717" i="17"/>
  <c r="M735" i="17"/>
  <c r="K735" i="17"/>
  <c r="N788" i="17"/>
  <c r="K815" i="17"/>
  <c r="J815" i="17"/>
  <c r="M816" i="17"/>
  <c r="L867" i="17"/>
  <c r="O867" i="17" s="1"/>
  <c r="P867" i="17" s="1"/>
  <c r="K867" i="17"/>
  <c r="N910" i="17"/>
  <c r="L910" i="17"/>
  <c r="O910" i="17" s="1"/>
  <c r="P910" i="17" s="1"/>
  <c r="Q910" i="17" s="1"/>
  <c r="J910" i="17"/>
  <c r="K601" i="17"/>
  <c r="J605" i="17"/>
  <c r="M605" i="17"/>
  <c r="L605" i="17"/>
  <c r="O605" i="17" s="1"/>
  <c r="L648" i="17"/>
  <c r="O648" i="17" s="1"/>
  <c r="P648" i="17" s="1"/>
  <c r="J664" i="17"/>
  <c r="N664" i="17"/>
  <c r="M664" i="17"/>
  <c r="P664" i="17" s="1"/>
  <c r="Q664" i="17" s="1"/>
  <c r="J671" i="17"/>
  <c r="M671" i="17"/>
  <c r="L671" i="17"/>
  <c r="O671" i="17" s="1"/>
  <c r="P671" i="17" s="1"/>
  <c r="J687" i="17"/>
  <c r="N687" i="17"/>
  <c r="M693" i="17"/>
  <c r="L693" i="17"/>
  <c r="O693" i="17" s="1"/>
  <c r="P693" i="17" s="1"/>
  <c r="K694" i="17"/>
  <c r="K696" i="17"/>
  <c r="K703" i="17"/>
  <c r="K717" i="17"/>
  <c r="L722" i="17"/>
  <c r="O722" i="17" s="1"/>
  <c r="N722" i="17"/>
  <c r="P753" i="17"/>
  <c r="E138" i="12" s="1"/>
  <c r="K779" i="17"/>
  <c r="N801" i="17"/>
  <c r="M801" i="17"/>
  <c r="M838" i="17"/>
  <c r="J838" i="17"/>
  <c r="K930" i="17"/>
  <c r="J932" i="17"/>
  <c r="L936" i="17"/>
  <c r="O936" i="17" s="1"/>
  <c r="P936" i="17" s="1"/>
  <c r="L946" i="17"/>
  <c r="O946" i="17" s="1"/>
  <c r="P946" i="17" s="1"/>
  <c r="K950" i="17"/>
  <c r="J970" i="17"/>
  <c r="L972" i="17"/>
  <c r="O972" i="17" s="1"/>
  <c r="P972" i="17" s="1"/>
  <c r="M997" i="17"/>
  <c r="N882" i="17"/>
  <c r="L882" i="17"/>
  <c r="O882" i="17" s="1"/>
  <c r="P882" i="17" s="1"/>
  <c r="Q882" i="17" s="1"/>
  <c r="N891" i="17"/>
  <c r="J891" i="17"/>
  <c r="K945" i="17"/>
  <c r="J947" i="17"/>
  <c r="L954" i="17"/>
  <c r="O954" i="17" s="1"/>
  <c r="M1039" i="17"/>
  <c r="N1039" i="17"/>
  <c r="K1057" i="17"/>
  <c r="N1060" i="17"/>
  <c r="P1060" i="17" s="1"/>
  <c r="Q1060" i="17" s="1"/>
  <c r="L1079" i="17"/>
  <c r="O1079" i="17" s="1"/>
  <c r="L1082" i="17"/>
  <c r="O1082" i="17" s="1"/>
  <c r="J1112" i="17"/>
  <c r="K1139" i="17"/>
  <c r="M1144" i="17"/>
  <c r="L1144" i="17"/>
  <c r="O1144" i="17" s="1"/>
  <c r="K1144" i="17"/>
  <c r="M1202" i="17"/>
  <c r="L1202" i="17"/>
  <c r="O1202" i="17" s="1"/>
  <c r="P1202" i="17" s="1"/>
  <c r="K1202" i="17"/>
  <c r="J1202" i="17"/>
  <c r="J1208" i="17"/>
  <c r="N1208" i="17"/>
  <c r="M1208" i="17"/>
  <c r="L1208" i="17"/>
  <c r="O1208" i="17" s="1"/>
  <c r="P1208" i="17" s="1"/>
  <c r="Q1208" i="17" s="1"/>
  <c r="M800" i="17"/>
  <c r="K800" i="17"/>
  <c r="M899" i="17"/>
  <c r="L951" i="17"/>
  <c r="O951" i="17" s="1"/>
  <c r="K951" i="17"/>
  <c r="M984" i="17"/>
  <c r="L984" i="17"/>
  <c r="O984" i="17" s="1"/>
  <c r="P984" i="17" s="1"/>
  <c r="L985" i="17"/>
  <c r="O985" i="17" s="1"/>
  <c r="M999" i="17"/>
  <c r="J1015" i="17"/>
  <c r="N1015" i="17"/>
  <c r="L1015" i="17"/>
  <c r="O1015" i="17" s="1"/>
  <c r="L1035" i="17"/>
  <c r="O1035" i="17" s="1"/>
  <c r="P1035" i="17" s="1"/>
  <c r="Q1035" i="17" s="1"/>
  <c r="M1035" i="17"/>
  <c r="M1079" i="17"/>
  <c r="N1082" i="17"/>
  <c r="N1206" i="17"/>
  <c r="M1206" i="17"/>
  <c r="L1206" i="17"/>
  <c r="O1206" i="17" s="1"/>
  <c r="P1206" i="17" s="1"/>
  <c r="J1206" i="17"/>
  <c r="K1502" i="17"/>
  <c r="N1502" i="17"/>
  <c r="M1502" i="17"/>
  <c r="J1502" i="17"/>
  <c r="L1502" i="17"/>
  <c r="O1502" i="17" s="1"/>
  <c r="P1502" i="17" s="1"/>
  <c r="Q1502" i="17" s="1"/>
  <c r="L1204" i="17"/>
  <c r="O1204" i="17" s="1"/>
  <c r="P1204" i="17" s="1"/>
  <c r="Q1204" i="17" s="1"/>
  <c r="M1204" i="17"/>
  <c r="K1204" i="17"/>
  <c r="J1308" i="17"/>
  <c r="N1308" i="17"/>
  <c r="L1308" i="17"/>
  <c r="O1308" i="17" s="1"/>
  <c r="P1308" i="17" s="1"/>
  <c r="L1056" i="17"/>
  <c r="O1056" i="17" s="1"/>
  <c r="P1056" i="17" s="1"/>
  <c r="K1056" i="17"/>
  <c r="J1056" i="17"/>
  <c r="N1078" i="17"/>
  <c r="M1078" i="17"/>
  <c r="L1078" i="17"/>
  <c r="O1078" i="17" s="1"/>
  <c r="P1078" i="17" s="1"/>
  <c r="Q1078" i="17" s="1"/>
  <c r="M1080" i="17"/>
  <c r="L1080" i="17"/>
  <c r="O1080" i="17" s="1"/>
  <c r="J1080" i="17"/>
  <c r="K1109" i="17"/>
  <c r="N1109" i="17"/>
  <c r="L1109" i="17"/>
  <c r="O1109" i="17" s="1"/>
  <c r="P1109" i="17" s="1"/>
  <c r="J1109" i="17"/>
  <c r="K1115" i="17"/>
  <c r="L1115" i="17"/>
  <c r="O1115" i="17" s="1"/>
  <c r="P1115" i="17" s="1"/>
  <c r="Q1115" i="17" s="1"/>
  <c r="J1142" i="17"/>
  <c r="L1142" i="17"/>
  <c r="O1142" i="17" s="1"/>
  <c r="K1142" i="17"/>
  <c r="M1174" i="17"/>
  <c r="L1174" i="17"/>
  <c r="O1174" i="17" s="1"/>
  <c r="J1174" i="17"/>
  <c r="N1176" i="17"/>
  <c r="L1176" i="17"/>
  <c r="O1176" i="17" s="1"/>
  <c r="K1176" i="17"/>
  <c r="J1356" i="17"/>
  <c r="M1356" i="17"/>
  <c r="K993" i="17"/>
  <c r="L993" i="17"/>
  <c r="O993" i="17" s="1"/>
  <c r="P993" i="17" s="1"/>
  <c r="Q993" i="17" s="1"/>
  <c r="M993" i="17"/>
  <c r="J993" i="17"/>
  <c r="L1058" i="17"/>
  <c r="O1058" i="17" s="1"/>
  <c r="K1058" i="17"/>
  <c r="P1131" i="17"/>
  <c r="Q1131" i="17" s="1"/>
  <c r="N1136" i="17"/>
  <c r="L1136" i="17"/>
  <c r="O1136" i="17" s="1"/>
  <c r="M1156" i="17"/>
  <c r="L1156" i="17"/>
  <c r="O1156" i="17" s="1"/>
  <c r="P1156" i="17" s="1"/>
  <c r="K1156" i="17"/>
  <c r="J1156" i="17"/>
  <c r="L1178" i="17"/>
  <c r="O1178" i="17" s="1"/>
  <c r="P1178" i="17" s="1"/>
  <c r="N1178" i="17"/>
  <c r="M1178" i="17"/>
  <c r="J1178" i="17"/>
  <c r="K1188" i="17"/>
  <c r="N1240" i="17"/>
  <c r="M1240" i="17"/>
  <c r="L1240" i="17"/>
  <c r="O1240" i="17" s="1"/>
  <c r="P1240" i="17" s="1"/>
  <c r="J1240" i="17"/>
  <c r="N1052" i="17"/>
  <c r="K1052" i="17"/>
  <c r="K1158" i="17"/>
  <c r="L1158" i="17"/>
  <c r="O1158" i="17" s="1"/>
  <c r="P1158" i="17" s="1"/>
  <c r="J1158" i="17"/>
  <c r="N1246" i="17"/>
  <c r="J1246" i="17"/>
  <c r="N964" i="17"/>
  <c r="N968" i="17"/>
  <c r="L1011" i="17"/>
  <c r="O1011" i="17" s="1"/>
  <c r="P1011" i="17" s="1"/>
  <c r="K1011" i="17"/>
  <c r="J1011" i="17"/>
  <c r="L1030" i="17"/>
  <c r="O1030" i="17" s="1"/>
  <c r="P1030" i="17" s="1"/>
  <c r="M1030" i="17"/>
  <c r="K1030" i="17"/>
  <c r="J1030" i="17"/>
  <c r="L1032" i="17"/>
  <c r="O1032" i="17" s="1"/>
  <c r="N1032" i="17"/>
  <c r="M1032" i="17"/>
  <c r="J1032" i="17"/>
  <c r="J1034" i="17"/>
  <c r="K1034" i="17"/>
  <c r="M1050" i="17"/>
  <c r="K1050" i="17"/>
  <c r="N1050" i="17"/>
  <c r="J1106" i="17"/>
  <c r="N1106" i="17"/>
  <c r="M1106" i="17"/>
  <c r="L1106" i="17"/>
  <c r="O1106" i="17" s="1"/>
  <c r="P1106" i="17" s="1"/>
  <c r="M1126" i="17"/>
  <c r="N1126" i="17"/>
  <c r="L1126" i="17"/>
  <c r="O1126" i="17" s="1"/>
  <c r="N1128" i="17"/>
  <c r="M1128" i="17"/>
  <c r="K1128" i="17"/>
  <c r="J1185" i="17"/>
  <c r="L1185" i="17"/>
  <c r="O1185" i="17" s="1"/>
  <c r="P1185" i="17" s="1"/>
  <c r="M1185" i="17"/>
  <c r="K1185" i="17"/>
  <c r="J1187" i="17"/>
  <c r="N1187" i="17"/>
  <c r="L1187" i="17"/>
  <c r="O1187" i="17" s="1"/>
  <c r="P1187" i="17" s="1"/>
  <c r="Q1187" i="17" s="1"/>
  <c r="K1187" i="17"/>
  <c r="N1028" i="17"/>
  <c r="L1028" i="17"/>
  <c r="O1028" i="17" s="1"/>
  <c r="P1028" i="17" s="1"/>
  <c r="Q1028" i="17" s="1"/>
  <c r="M1070" i="17"/>
  <c r="J1070" i="17"/>
  <c r="J1154" i="17"/>
  <c r="M1168" i="17"/>
  <c r="L1168" i="17"/>
  <c r="O1168" i="17" s="1"/>
  <c r="P1168" i="17" s="1"/>
  <c r="K1168" i="17"/>
  <c r="J1168" i="17"/>
  <c r="J1201" i="17"/>
  <c r="N1201" i="17"/>
  <c r="L1201" i="17"/>
  <c r="O1201" i="17" s="1"/>
  <c r="P1201" i="17" s="1"/>
  <c r="K1201" i="17"/>
  <c r="K1119" i="17"/>
  <c r="L1154" i="17"/>
  <c r="O1154" i="17" s="1"/>
  <c r="P1154" i="17" s="1"/>
  <c r="Q1154" i="17" s="1"/>
  <c r="L1162" i="17"/>
  <c r="O1162" i="17" s="1"/>
  <c r="K1162" i="17"/>
  <c r="N1162" i="17"/>
  <c r="M1162" i="17"/>
  <c r="N1204" i="17"/>
  <c r="N945" i="17"/>
  <c r="J945" i="17"/>
  <c r="K954" i="17"/>
  <c r="J954" i="17"/>
  <c r="P961" i="17"/>
  <c r="N993" i="17"/>
  <c r="P1000" i="17"/>
  <c r="Q1000" i="17" s="1"/>
  <c r="K1080" i="17"/>
  <c r="L1108" i="17"/>
  <c r="O1108" i="17" s="1"/>
  <c r="P1108" i="17" s="1"/>
  <c r="K1108" i="17"/>
  <c r="J1108" i="17"/>
  <c r="M1109" i="17"/>
  <c r="J1115" i="17"/>
  <c r="L1119" i="17"/>
  <c r="O1119" i="17" s="1"/>
  <c r="J1139" i="17"/>
  <c r="L1139" i="17"/>
  <c r="O1139" i="17" s="1"/>
  <c r="P1139" i="17" s="1"/>
  <c r="K1143" i="17"/>
  <c r="M1143" i="17"/>
  <c r="M1154" i="17"/>
  <c r="N1156" i="17"/>
  <c r="K1170" i="17"/>
  <c r="J1170" i="17"/>
  <c r="K1174" i="17"/>
  <c r="J1176" i="17"/>
  <c r="K1178" i="17"/>
  <c r="J1253" i="17"/>
  <c r="N1253" i="17"/>
  <c r="K1253" i="17"/>
  <c r="M1253" i="17"/>
  <c r="L1253" i="17"/>
  <c r="O1253" i="17" s="1"/>
  <c r="K952" i="17"/>
  <c r="M952" i="17"/>
  <c r="L952" i="17"/>
  <c r="O952" i="17" s="1"/>
  <c r="P952" i="17" s="1"/>
  <c r="Q952" i="17" s="1"/>
  <c r="J994" i="17"/>
  <c r="M994" i="17"/>
  <c r="L994" i="17"/>
  <c r="O994" i="17" s="1"/>
  <c r="P994" i="17" s="1"/>
  <c r="P999" i="17"/>
  <c r="L1020" i="17"/>
  <c r="O1020" i="17" s="1"/>
  <c r="P1020" i="17" s="1"/>
  <c r="K1020" i="17"/>
  <c r="J1058" i="17"/>
  <c r="N1064" i="17"/>
  <c r="M1064" i="17"/>
  <c r="K1064" i="17"/>
  <c r="N1080" i="17"/>
  <c r="M1118" i="17"/>
  <c r="L1118" i="17"/>
  <c r="O1118" i="17" s="1"/>
  <c r="J1118" i="17"/>
  <c r="M1136" i="17"/>
  <c r="N1154" i="17"/>
  <c r="N1174" i="17"/>
  <c r="M1176" i="17"/>
  <c r="M1227" i="17"/>
  <c r="L1227" i="17"/>
  <c r="O1227" i="17" s="1"/>
  <c r="P1227" i="17" s="1"/>
  <c r="Q1227" i="17" s="1"/>
  <c r="G207" i="12" s="1"/>
  <c r="A207" i="12" s="1"/>
  <c r="J1227" i="17"/>
  <c r="K1240" i="17"/>
  <c r="L938" i="17"/>
  <c r="O938" i="17" s="1"/>
  <c r="J938" i="17"/>
  <c r="K962" i="17"/>
  <c r="L962" i="17"/>
  <c r="O962" i="17" s="1"/>
  <c r="P962" i="17" s="1"/>
  <c r="Q962" i="17" s="1"/>
  <c r="J962" i="17"/>
  <c r="M1058" i="17"/>
  <c r="J1062" i="17"/>
  <c r="M1062" i="17"/>
  <c r="K1062" i="17"/>
  <c r="M1086" i="17"/>
  <c r="K1098" i="17"/>
  <c r="M1098" i="17"/>
  <c r="L1098" i="17"/>
  <c r="O1098" i="17" s="1"/>
  <c r="J1175" i="17"/>
  <c r="N1175" i="17"/>
  <c r="M1175" i="17"/>
  <c r="L1175" i="17"/>
  <c r="O1175" i="17" s="1"/>
  <c r="P1175" i="17" s="1"/>
  <c r="Q1175" i="17" s="1"/>
  <c r="K1018" i="17"/>
  <c r="J1018" i="17"/>
  <c r="M1018" i="17"/>
  <c r="L1018" i="17"/>
  <c r="O1018" i="17" s="1"/>
  <c r="P1018" i="17" s="1"/>
  <c r="N1030" i="17"/>
  <c r="K1043" i="17"/>
  <c r="J1043" i="17"/>
  <c r="J1050" i="17"/>
  <c r="N1058" i="17"/>
  <c r="J1060" i="17"/>
  <c r="N1087" i="17"/>
  <c r="K1087" i="17"/>
  <c r="M1096" i="17"/>
  <c r="P1096" i="17" s="1"/>
  <c r="Q1096" i="17" s="1"/>
  <c r="G559" i="12" s="1"/>
  <c r="A559" i="12" s="1"/>
  <c r="N1096" i="17"/>
  <c r="K1096" i="17"/>
  <c r="K1106" i="17"/>
  <c r="L1135" i="17"/>
  <c r="O1135" i="17" s="1"/>
  <c r="P1135" i="17" s="1"/>
  <c r="Q1135" i="17" s="1"/>
  <c r="N1135" i="17"/>
  <c r="J1152" i="17"/>
  <c r="M1152" i="17"/>
  <c r="L1152" i="17"/>
  <c r="O1152" i="17" s="1"/>
  <c r="P1152" i="17" s="1"/>
  <c r="M1158" i="17"/>
  <c r="M1187" i="17"/>
  <c r="K1028" i="17"/>
  <c r="K1032" i="17"/>
  <c r="L1034" i="17"/>
  <c r="O1034" i="17" s="1"/>
  <c r="J1040" i="17"/>
  <c r="M1059" i="17"/>
  <c r="N1059" i="17"/>
  <c r="K1059" i="17"/>
  <c r="J1059" i="17"/>
  <c r="K1060" i="17"/>
  <c r="J1082" i="17"/>
  <c r="J1127" i="17"/>
  <c r="N1127" i="17"/>
  <c r="J1128" i="17"/>
  <c r="N1158" i="17"/>
  <c r="N1168" i="17"/>
  <c r="N1185" i="17"/>
  <c r="J1188" i="17"/>
  <c r="M1188" i="17"/>
  <c r="L1188" i="17"/>
  <c r="O1188" i="17" s="1"/>
  <c r="P1188" i="17" s="1"/>
  <c r="L1220" i="17"/>
  <c r="O1220" i="17" s="1"/>
  <c r="P1220" i="17" s="1"/>
  <c r="M1220" i="17"/>
  <c r="J1318" i="17"/>
  <c r="L1360" i="17"/>
  <c r="O1360" i="17" s="1"/>
  <c r="P1360" i="17" s="1"/>
  <c r="Q1360" i="17" s="1"/>
  <c r="N1360" i="17"/>
  <c r="M1360" i="17"/>
  <c r="N1364" i="17"/>
  <c r="K1364" i="17"/>
  <c r="M1400" i="17"/>
  <c r="N1400" i="17"/>
  <c r="L1431" i="17"/>
  <c r="O1431" i="17" s="1"/>
  <c r="P1431" i="17" s="1"/>
  <c r="J1431" i="17"/>
  <c r="M1431" i="17"/>
  <c r="K1431" i="17"/>
  <c r="N1457" i="17"/>
  <c r="K1457" i="17"/>
  <c r="K1477" i="17"/>
  <c r="N1477" i="17"/>
  <c r="M1477" i="17"/>
  <c r="L1477" i="17"/>
  <c r="O1477" i="17" s="1"/>
  <c r="P1477" i="17" s="1"/>
  <c r="Q1477" i="17" s="1"/>
  <c r="J1263" i="17"/>
  <c r="K1290" i="17"/>
  <c r="M1318" i="17"/>
  <c r="P1403" i="17"/>
  <c r="M1451" i="17"/>
  <c r="N1451" i="17"/>
  <c r="J1731" i="17"/>
  <c r="N1731" i="17"/>
  <c r="M1232" i="17"/>
  <c r="M1251" i="17"/>
  <c r="M1262" i="17"/>
  <c r="J1262" i="17"/>
  <c r="M1263" i="17"/>
  <c r="K1265" i="17"/>
  <c r="N1277" i="17"/>
  <c r="K1277" i="17"/>
  <c r="J1277" i="17"/>
  <c r="K1282" i="17"/>
  <c r="M1296" i="17"/>
  <c r="L1296" i="17"/>
  <c r="O1296" i="17" s="1"/>
  <c r="J1296" i="17"/>
  <c r="L1304" i="17"/>
  <c r="O1304" i="17" s="1"/>
  <c r="P1304" i="17" s="1"/>
  <c r="Q1304" i="17" s="1"/>
  <c r="K1304" i="17"/>
  <c r="L1331" i="17"/>
  <c r="O1331" i="17" s="1"/>
  <c r="P1331" i="17" s="1"/>
  <c r="Q1331" i="17" s="1"/>
  <c r="K1402" i="17"/>
  <c r="M1402" i="17"/>
  <c r="J1402" i="17"/>
  <c r="K1423" i="17"/>
  <c r="J1423" i="17"/>
  <c r="L1541" i="17"/>
  <c r="O1541" i="17" s="1"/>
  <c r="P1541" i="17" s="1"/>
  <c r="Q1541" i="17" s="1"/>
  <c r="K1541" i="17"/>
  <c r="N1541" i="17"/>
  <c r="J1541" i="17"/>
  <c r="L1549" i="17"/>
  <c r="O1549" i="17" s="1"/>
  <c r="P1549" i="17" s="1"/>
  <c r="Q1549" i="17" s="1"/>
  <c r="M1549" i="17"/>
  <c r="J1549" i="17"/>
  <c r="N1549" i="17"/>
  <c r="K1549" i="17"/>
  <c r="N1230" i="17"/>
  <c r="N1232" i="17"/>
  <c r="L1244" i="17"/>
  <c r="O1244" i="17" s="1"/>
  <c r="P1244" i="17" s="1"/>
  <c r="K1244" i="17"/>
  <c r="K1299" i="17"/>
  <c r="L1317" i="17"/>
  <c r="O1317" i="17" s="1"/>
  <c r="P1317" i="17" s="1"/>
  <c r="J1317" i="17"/>
  <c r="N1328" i="17"/>
  <c r="J1328" i="17"/>
  <c r="M1337" i="17"/>
  <c r="K1337" i="17"/>
  <c r="J1421" i="17"/>
  <c r="N1421" i="17"/>
  <c r="L1421" i="17"/>
  <c r="O1421" i="17" s="1"/>
  <c r="P1421" i="17" s="1"/>
  <c r="K1421" i="17"/>
  <c r="K1497" i="17"/>
  <c r="J1497" i="17"/>
  <c r="N1497" i="17"/>
  <c r="L1497" i="17"/>
  <c r="O1497" i="17" s="1"/>
  <c r="P1497" i="17" s="1"/>
  <c r="Q1497" i="17" s="1"/>
  <c r="N1547" i="17"/>
  <c r="J1547" i="17"/>
  <c r="L1547" i="17"/>
  <c r="O1547" i="17" s="1"/>
  <c r="L1712" i="17"/>
  <c r="O1712" i="17" s="1"/>
  <c r="M1712" i="17"/>
  <c r="N1712" i="17"/>
  <c r="J1712" i="17"/>
  <c r="K1712" i="17"/>
  <c r="L1270" i="17"/>
  <c r="O1270" i="17" s="1"/>
  <c r="P1270" i="17" s="1"/>
  <c r="Q1270" i="17" s="1"/>
  <c r="N1270" i="17"/>
  <c r="L1281" i="17"/>
  <c r="O1281" i="17" s="1"/>
  <c r="P1281" i="17" s="1"/>
  <c r="J1281" i="17"/>
  <c r="K1281" i="17"/>
  <c r="K1315" i="17"/>
  <c r="N1315" i="17"/>
  <c r="M1315" i="17"/>
  <c r="J1374" i="17"/>
  <c r="N1374" i="17"/>
  <c r="M1374" i="17"/>
  <c r="P1393" i="17"/>
  <c r="K1562" i="17"/>
  <c r="M1562" i="17"/>
  <c r="L1562" i="17"/>
  <c r="O1562" i="17" s="1"/>
  <c r="P1562" i="17" s="1"/>
  <c r="Q1562" i="17" s="1"/>
  <c r="N1562" i="17"/>
  <c r="M1177" i="17"/>
  <c r="N1177" i="17"/>
  <c r="M1241" i="17"/>
  <c r="J1241" i="17"/>
  <c r="N1268" i="17"/>
  <c r="M1268" i="17"/>
  <c r="K1376" i="17"/>
  <c r="N1376" i="17"/>
  <c r="M1376" i="17"/>
  <c r="L1376" i="17"/>
  <c r="O1376" i="17" s="1"/>
  <c r="K1418" i="17"/>
  <c r="L1418" i="17"/>
  <c r="O1418" i="17" s="1"/>
  <c r="N1418" i="17"/>
  <c r="J1418" i="17"/>
  <c r="J1272" i="17"/>
  <c r="N1272" i="17"/>
  <c r="N1344" i="17"/>
  <c r="K1344" i="17"/>
  <c r="K1346" i="17"/>
  <c r="L1346" i="17"/>
  <c r="O1346" i="17" s="1"/>
  <c r="P1346" i="17" s="1"/>
  <c r="J1346" i="17"/>
  <c r="M1385" i="17"/>
  <c r="J1385" i="17"/>
  <c r="K1385" i="17"/>
  <c r="M1434" i="17"/>
  <c r="N1434" i="17"/>
  <c r="L1434" i="17"/>
  <c r="O1434" i="17" s="1"/>
  <c r="P1434" i="17" s="1"/>
  <c r="J1434" i="17"/>
  <c r="K1205" i="17"/>
  <c r="K1220" i="17"/>
  <c r="L1257" i="17"/>
  <c r="O1257" i="17" s="1"/>
  <c r="K1257" i="17"/>
  <c r="J1258" i="17"/>
  <c r="K1275" i="17"/>
  <c r="P1294" i="17"/>
  <c r="K1306" i="17"/>
  <c r="L1309" i="17"/>
  <c r="O1309" i="17" s="1"/>
  <c r="P1309" i="17" s="1"/>
  <c r="Q1309" i="17" s="1"/>
  <c r="J1309" i="17"/>
  <c r="M1335" i="17"/>
  <c r="J1335" i="17"/>
  <c r="N1335" i="17"/>
  <c r="M1364" i="17"/>
  <c r="K1400" i="17"/>
  <c r="M1413" i="17"/>
  <c r="N1413" i="17"/>
  <c r="L1413" i="17"/>
  <c r="O1413" i="17" s="1"/>
  <c r="K1413" i="17"/>
  <c r="K1451" i="17"/>
  <c r="M1673" i="17"/>
  <c r="K1673" i="17"/>
  <c r="N1673" i="17"/>
  <c r="L1673" i="17"/>
  <c r="O1673" i="17" s="1"/>
  <c r="J1673" i="17"/>
  <c r="M1029" i="17"/>
  <c r="K1029" i="17"/>
  <c r="M1205" i="17"/>
  <c r="N1220" i="17"/>
  <c r="N1224" i="17"/>
  <c r="P1224" i="17" s="1"/>
  <c r="Q1224" i="17" s="1"/>
  <c r="K1224" i="17"/>
  <c r="K1258" i="17"/>
  <c r="L1275" i="17"/>
  <c r="O1275" i="17" s="1"/>
  <c r="L1277" i="17"/>
  <c r="O1277" i="17" s="1"/>
  <c r="P1277" i="17" s="1"/>
  <c r="Q1277" i="17" s="1"/>
  <c r="N1304" i="17"/>
  <c r="K1369" i="17"/>
  <c r="M1369" i="17"/>
  <c r="K1390" i="17"/>
  <c r="M1390" i="17"/>
  <c r="N1444" i="17"/>
  <c r="N1566" i="17"/>
  <c r="M1566" i="17"/>
  <c r="L1566" i="17"/>
  <c r="O1566" i="17" s="1"/>
  <c r="P1566" i="17" s="1"/>
  <c r="K1566" i="17"/>
  <c r="M1027" i="17"/>
  <c r="L1027" i="17"/>
  <c r="O1027" i="17" s="1"/>
  <c r="J1171" i="17"/>
  <c r="N1205" i="17"/>
  <c r="J1225" i="17"/>
  <c r="K1235" i="17"/>
  <c r="L1258" i="17"/>
  <c r="O1258" i="17" s="1"/>
  <c r="P1258" i="17" s="1"/>
  <c r="N1262" i="17"/>
  <c r="K1264" i="17"/>
  <c r="M1277" i="17"/>
  <c r="K1296" i="17"/>
  <c r="M1305" i="17"/>
  <c r="K1305" i="17"/>
  <c r="J1305" i="17"/>
  <c r="N1317" i="17"/>
  <c r="L1402" i="17"/>
  <c r="O1402" i="17" s="1"/>
  <c r="M1421" i="17"/>
  <c r="L1423" i="17"/>
  <c r="O1423" i="17" s="1"/>
  <c r="M1497" i="17"/>
  <c r="M1523" i="17"/>
  <c r="L1523" i="17"/>
  <c r="O1523" i="17" s="1"/>
  <c r="P1523" i="17" s="1"/>
  <c r="Q1523" i="17" s="1"/>
  <c r="N1523" i="17"/>
  <c r="K1523" i="17"/>
  <c r="N1557" i="17"/>
  <c r="L1557" i="17"/>
  <c r="O1557" i="17" s="1"/>
  <c r="P1557" i="17" s="1"/>
  <c r="K1557" i="17"/>
  <c r="M1557" i="17"/>
  <c r="J1557" i="17"/>
  <c r="J1290" i="17"/>
  <c r="M1290" i="17"/>
  <c r="L1290" i="17"/>
  <c r="O1290" i="17" s="1"/>
  <c r="M1295" i="17"/>
  <c r="J1295" i="17"/>
  <c r="N1295" i="17"/>
  <c r="L1295" i="17"/>
  <c r="O1295" i="17" s="1"/>
  <c r="K1415" i="17"/>
  <c r="M1415" i="17"/>
  <c r="L1415" i="17"/>
  <c r="O1415" i="17" s="1"/>
  <c r="P1415" i="17" s="1"/>
  <c r="Q1415" i="17" s="1"/>
  <c r="N1415" i="17"/>
  <c r="K1492" i="17"/>
  <c r="M1492" i="17"/>
  <c r="L1492" i="17"/>
  <c r="O1492" i="17" s="1"/>
  <c r="P1492" i="17" s="1"/>
  <c r="Q1492" i="17" s="1"/>
  <c r="J1521" i="17"/>
  <c r="N1521" i="17"/>
  <c r="L1521" i="17"/>
  <c r="O1521" i="17" s="1"/>
  <c r="P1521" i="17" s="1"/>
  <c r="K1031" i="17"/>
  <c r="M1031" i="17"/>
  <c r="J1151" i="17"/>
  <c r="K1151" i="17"/>
  <c r="N1164" i="17"/>
  <c r="L1171" i="17"/>
  <c r="O1171" i="17" s="1"/>
  <c r="P1171" i="17" s="1"/>
  <c r="Q1171" i="17" s="1"/>
  <c r="J1207" i="17"/>
  <c r="J1219" i="17"/>
  <c r="L1225" i="17"/>
  <c r="O1225" i="17" s="1"/>
  <c r="P1225" i="17" s="1"/>
  <c r="Q1225" i="17" s="1"/>
  <c r="G570" i="12" s="1"/>
  <c r="A570" i="12" s="1"/>
  <c r="K1241" i="17"/>
  <c r="L1249" i="17"/>
  <c r="O1249" i="17" s="1"/>
  <c r="P1249" i="17" s="1"/>
  <c r="J1252" i="17"/>
  <c r="M1259" i="17"/>
  <c r="J1259" i="17"/>
  <c r="J1268" i="17"/>
  <c r="K1270" i="17"/>
  <c r="L1279" i="17"/>
  <c r="O1279" i="17" s="1"/>
  <c r="P1279" i="17" s="1"/>
  <c r="N1281" i="17"/>
  <c r="N1303" i="17"/>
  <c r="J1303" i="17"/>
  <c r="M1328" i="17"/>
  <c r="M1333" i="17"/>
  <c r="J1333" i="17"/>
  <c r="K1333" i="17"/>
  <c r="M1367" i="17"/>
  <c r="N1367" i="17"/>
  <c r="L1367" i="17"/>
  <c r="O1367" i="17" s="1"/>
  <c r="J1373" i="17"/>
  <c r="M1373" i="17"/>
  <c r="L1373" i="17"/>
  <c r="O1373" i="17" s="1"/>
  <c r="L1374" i="17"/>
  <c r="O1374" i="17" s="1"/>
  <c r="P1374" i="17" s="1"/>
  <c r="Q1374" i="17" s="1"/>
  <c r="M1379" i="17"/>
  <c r="J1379" i="17"/>
  <c r="J1403" i="17"/>
  <c r="N1403" i="17"/>
  <c r="M1403" i="17"/>
  <c r="K1403" i="17"/>
  <c r="N1417" i="17"/>
  <c r="M1417" i="17"/>
  <c r="N1423" i="17"/>
  <c r="M1249" i="17"/>
  <c r="K1252" i="17"/>
  <c r="N1265" i="17"/>
  <c r="J1265" i="17"/>
  <c r="M1270" i="17"/>
  <c r="J1282" i="17"/>
  <c r="N1282" i="17"/>
  <c r="J1300" i="17"/>
  <c r="N1327" i="17"/>
  <c r="M1327" i="17"/>
  <c r="K1327" i="17"/>
  <c r="J1327" i="17"/>
  <c r="M1329" i="17"/>
  <c r="L1329" i="17"/>
  <c r="O1329" i="17" s="1"/>
  <c r="P1329" i="17" s="1"/>
  <c r="N1329" i="17"/>
  <c r="K1329" i="17"/>
  <c r="N1331" i="17"/>
  <c r="K1331" i="17"/>
  <c r="J1331" i="17"/>
  <c r="M1344" i="17"/>
  <c r="M1346" i="17"/>
  <c r="J1376" i="17"/>
  <c r="N1385" i="17"/>
  <c r="M1418" i="17"/>
  <c r="K1434" i="17"/>
  <c r="L1010" i="17"/>
  <c r="O1010" i="17" s="1"/>
  <c r="M1010" i="17"/>
  <c r="N1093" i="17"/>
  <c r="M1093" i="17"/>
  <c r="J1117" i="17"/>
  <c r="J1155" i="17"/>
  <c r="K1177" i="17"/>
  <c r="M1207" i="17"/>
  <c r="L1219" i="17"/>
  <c r="O1219" i="17" s="1"/>
  <c r="L1226" i="17"/>
  <c r="O1226" i="17" s="1"/>
  <c r="P1226" i="17" s="1"/>
  <c r="K1226" i="17"/>
  <c r="N1241" i="17"/>
  <c r="N1249" i="17"/>
  <c r="L1252" i="17"/>
  <c r="O1252" i="17" s="1"/>
  <c r="P1252" i="17" s="1"/>
  <c r="J1254" i="17"/>
  <c r="J1256" i="17"/>
  <c r="M1256" i="17"/>
  <c r="L1268" i="17"/>
  <c r="O1268" i="17" s="1"/>
  <c r="P1268" i="17" s="1"/>
  <c r="Q1268" i="17" s="1"/>
  <c r="K1271" i="17"/>
  <c r="L1271" i="17"/>
  <c r="O1271" i="17" s="1"/>
  <c r="P1271" i="17" s="1"/>
  <c r="Q1271" i="17" s="1"/>
  <c r="M1272" i="17"/>
  <c r="K1300" i="17"/>
  <c r="N1309" i="17"/>
  <c r="N1346" i="17"/>
  <c r="J1377" i="17"/>
  <c r="N1377" i="17"/>
  <c r="L1377" i="17"/>
  <c r="O1377" i="17" s="1"/>
  <c r="P1377" i="17" s="1"/>
  <c r="Q1377" i="17" s="1"/>
  <c r="K1377" i="17"/>
  <c r="P1394" i="17"/>
  <c r="Q1394" i="17" s="1"/>
  <c r="J1494" i="17"/>
  <c r="N1494" i="17"/>
  <c r="M1494" i="17"/>
  <c r="L1494" i="17"/>
  <c r="O1494" i="17" s="1"/>
  <c r="P1494" i="17" s="1"/>
  <c r="K1494" i="17"/>
  <c r="L1496" i="17"/>
  <c r="O1496" i="17" s="1"/>
  <c r="P1496" i="17" s="1"/>
  <c r="Q1496" i="17" s="1"/>
  <c r="J1496" i="17"/>
  <c r="N1496" i="17"/>
  <c r="M1496" i="17"/>
  <c r="K1496" i="17"/>
  <c r="K961" i="17"/>
  <c r="N961" i="17"/>
  <c r="J983" i="17"/>
  <c r="J1001" i="17"/>
  <c r="J1029" i="17"/>
  <c r="L1049" i="17"/>
  <c r="O1049" i="17" s="1"/>
  <c r="P1049" i="17" s="1"/>
  <c r="Q1049" i="17" s="1"/>
  <c r="K1055" i="17"/>
  <c r="J1141" i="17"/>
  <c r="N1141" i="17"/>
  <c r="K1155" i="17"/>
  <c r="J1161" i="17"/>
  <c r="L1177" i="17"/>
  <c r="O1177" i="17" s="1"/>
  <c r="N1207" i="17"/>
  <c r="J1223" i="17"/>
  <c r="L1223" i="17"/>
  <c r="O1223" i="17" s="1"/>
  <c r="N1252" i="17"/>
  <c r="K1254" i="17"/>
  <c r="J1257" i="17"/>
  <c r="K1347" i="17"/>
  <c r="L1347" i="17"/>
  <c r="O1347" i="17" s="1"/>
  <c r="P1347" i="17" s="1"/>
  <c r="Q1347" i="17" s="1"/>
  <c r="N1347" i="17"/>
  <c r="N1412" i="17"/>
  <c r="L1412" i="17"/>
  <c r="O1412" i="17" s="1"/>
  <c r="J1412" i="17"/>
  <c r="J1413" i="17"/>
  <c r="L1438" i="17"/>
  <c r="O1438" i="17" s="1"/>
  <c r="P1438" i="17" s="1"/>
  <c r="J1438" i="17"/>
  <c r="J1500" i="17"/>
  <c r="L1558" i="17"/>
  <c r="O1558" i="17" s="1"/>
  <c r="P1558" i="17" s="1"/>
  <c r="M1578" i="17"/>
  <c r="K1578" i="17"/>
  <c r="N1643" i="17"/>
  <c r="K1701" i="17"/>
  <c r="L1584" i="17"/>
  <c r="O1584" i="17" s="1"/>
  <c r="P1584" i="17" s="1"/>
  <c r="Q1584" i="17" s="1"/>
  <c r="J1584" i="17"/>
  <c r="L1631" i="17"/>
  <c r="O1631" i="17" s="1"/>
  <c r="P1631" i="17" s="1"/>
  <c r="K1631" i="17"/>
  <c r="M1631" i="17"/>
  <c r="J1633" i="17"/>
  <c r="N1633" i="17"/>
  <c r="K1633" i="17"/>
  <c r="K1639" i="17"/>
  <c r="N1639" i="17"/>
  <c r="M1702" i="17"/>
  <c r="N1702" i="17"/>
  <c r="J1702" i="17"/>
  <c r="M1735" i="17"/>
  <c r="L1735" i="17"/>
  <c r="O1735" i="17" s="1"/>
  <c r="K1735" i="17"/>
  <c r="M1362" i="17"/>
  <c r="K1362" i="17"/>
  <c r="J1424" i="17"/>
  <c r="J1479" i="17"/>
  <c r="M1479" i="17"/>
  <c r="L1479" i="17"/>
  <c r="O1479" i="17" s="1"/>
  <c r="M1489" i="17"/>
  <c r="K1489" i="17"/>
  <c r="J1528" i="17"/>
  <c r="L1546" i="17"/>
  <c r="O1546" i="17" s="1"/>
  <c r="N1614" i="17"/>
  <c r="J1676" i="17"/>
  <c r="K1676" i="17"/>
  <c r="M1676" i="17"/>
  <c r="L1676" i="17"/>
  <c r="O1676" i="17" s="1"/>
  <c r="K1682" i="17"/>
  <c r="M1704" i="17"/>
  <c r="K1704" i="17"/>
  <c r="J1704" i="17"/>
  <c r="N1704" i="17"/>
  <c r="M1706" i="17"/>
  <c r="N1706" i="17"/>
  <c r="L1706" i="17"/>
  <c r="O1706" i="17" s="1"/>
  <c r="J1706" i="17"/>
  <c r="M1326" i="17"/>
  <c r="N1326" i="17"/>
  <c r="K1326" i="17"/>
  <c r="J1326" i="17"/>
  <c r="K1424" i="17"/>
  <c r="K1487" i="17"/>
  <c r="M1487" i="17"/>
  <c r="J1487" i="17"/>
  <c r="L1527" i="17"/>
  <c r="O1527" i="17" s="1"/>
  <c r="P1527" i="17" s="1"/>
  <c r="Q1527" i="17" s="1"/>
  <c r="K1527" i="17"/>
  <c r="M1527" i="17"/>
  <c r="M1546" i="17"/>
  <c r="M1553" i="17"/>
  <c r="L1553" i="17"/>
  <c r="O1553" i="17" s="1"/>
  <c r="P1553" i="17" s="1"/>
  <c r="L1559" i="17"/>
  <c r="O1559" i="17" s="1"/>
  <c r="P1559" i="17" s="1"/>
  <c r="Q1559" i="17" s="1"/>
  <c r="N1559" i="17"/>
  <c r="J1559" i="17"/>
  <c r="M1572" i="17"/>
  <c r="L1572" i="17"/>
  <c r="O1572" i="17" s="1"/>
  <c r="P1572" i="17" s="1"/>
  <c r="K1626" i="17"/>
  <c r="L1642" i="17"/>
  <c r="O1642" i="17" s="1"/>
  <c r="P1642" i="17" s="1"/>
  <c r="J1642" i="17"/>
  <c r="N1642" i="17"/>
  <c r="M1642" i="17"/>
  <c r="N1678" i="17"/>
  <c r="M1678" i="17"/>
  <c r="J1678" i="17"/>
  <c r="J1741" i="17"/>
  <c r="K1741" i="17"/>
  <c r="N1267" i="17"/>
  <c r="K1267" i="17"/>
  <c r="J1267" i="17"/>
  <c r="N1353" i="17"/>
  <c r="M1353" i="17"/>
  <c r="J1357" i="17"/>
  <c r="M1357" i="17"/>
  <c r="K1357" i="17"/>
  <c r="K1392" i="17"/>
  <c r="M1392" i="17"/>
  <c r="K1394" i="17"/>
  <c r="M1394" i="17"/>
  <c r="J1394" i="17"/>
  <c r="J1404" i="17"/>
  <c r="N1404" i="17"/>
  <c r="L1424" i="17"/>
  <c r="O1424" i="17" s="1"/>
  <c r="N1546" i="17"/>
  <c r="K1683" i="17"/>
  <c r="L1683" i="17"/>
  <c r="O1683" i="17" s="1"/>
  <c r="N1683" i="17"/>
  <c r="M1683" i="17"/>
  <c r="L1691" i="17"/>
  <c r="O1691" i="17" s="1"/>
  <c r="J1355" i="17"/>
  <c r="N1355" i="17"/>
  <c r="P1359" i="17"/>
  <c r="Q1359" i="17" s="1"/>
  <c r="N1387" i="17"/>
  <c r="K1428" i="17"/>
  <c r="L1428" i="17"/>
  <c r="O1428" i="17" s="1"/>
  <c r="L1507" i="17"/>
  <c r="O1507" i="17" s="1"/>
  <c r="P1507" i="17" s="1"/>
  <c r="J1507" i="17"/>
  <c r="N1507" i="17"/>
  <c r="N1568" i="17"/>
  <c r="L1568" i="17"/>
  <c r="O1568" i="17" s="1"/>
  <c r="P1568" i="17" s="1"/>
  <c r="Q1568" i="17" s="1"/>
  <c r="K1568" i="17"/>
  <c r="J1568" i="17"/>
  <c r="K1669" i="17"/>
  <c r="M1669" i="17"/>
  <c r="L1669" i="17"/>
  <c r="O1669" i="17" s="1"/>
  <c r="P1669" i="17" s="1"/>
  <c r="M1724" i="17"/>
  <c r="N1724" i="17"/>
  <c r="L1724" i="17"/>
  <c r="O1724" i="17" s="1"/>
  <c r="P1724" i="17" s="1"/>
  <c r="Q1724" i="17" s="1"/>
  <c r="G218" i="12" s="1"/>
  <c r="A218" i="12" s="1"/>
  <c r="K1724" i="17"/>
  <c r="J1724" i="17"/>
  <c r="P1750" i="17"/>
  <c r="E289" i="12" s="1"/>
  <c r="L1260" i="17"/>
  <c r="O1260" i="17" s="1"/>
  <c r="N1260" i="17"/>
  <c r="M1260" i="17"/>
  <c r="N1345" i="17"/>
  <c r="M1345" i="17"/>
  <c r="J1419" i="17"/>
  <c r="N1419" i="17"/>
  <c r="N1422" i="17"/>
  <c r="M1422" i="17"/>
  <c r="L1422" i="17"/>
  <c r="O1422" i="17" s="1"/>
  <c r="P1422" i="17" s="1"/>
  <c r="J1425" i="17"/>
  <c r="M1425" i="17"/>
  <c r="K1425" i="17"/>
  <c r="J1426" i="17"/>
  <c r="L1429" i="17"/>
  <c r="O1429" i="17" s="1"/>
  <c r="P1429" i="17" s="1"/>
  <c r="Q1429" i="17" s="1"/>
  <c r="K1438" i="17"/>
  <c r="J1522" i="17"/>
  <c r="L1522" i="17"/>
  <c r="O1522" i="17" s="1"/>
  <c r="P1522" i="17" s="1"/>
  <c r="Q1522" i="17" s="1"/>
  <c r="K1522" i="17"/>
  <c r="K1542" i="17"/>
  <c r="L1542" i="17"/>
  <c r="O1542" i="17" s="1"/>
  <c r="P1542" i="17" s="1"/>
  <c r="N1542" i="17"/>
  <c r="J1563" i="17"/>
  <c r="N1563" i="17"/>
  <c r="M1563" i="17"/>
  <c r="M1584" i="17"/>
  <c r="J1631" i="17"/>
  <c r="P1640" i="17"/>
  <c r="Q1640" i="17" s="1"/>
  <c r="L1690" i="17"/>
  <c r="O1690" i="17" s="1"/>
  <c r="P1690" i="17" s="1"/>
  <c r="J1690" i="17"/>
  <c r="M1690" i="17"/>
  <c r="K1690" i="17"/>
  <c r="M1694" i="17"/>
  <c r="J1694" i="17"/>
  <c r="K1702" i="17"/>
  <c r="K1476" i="17"/>
  <c r="N1476" i="17"/>
  <c r="L1476" i="17"/>
  <c r="O1476" i="17" s="1"/>
  <c r="P1476" i="17" s="1"/>
  <c r="J1476" i="17"/>
  <c r="N1509" i="17"/>
  <c r="J1509" i="17"/>
  <c r="L1633" i="17"/>
  <c r="O1633" i="17" s="1"/>
  <c r="L1702" i="17"/>
  <c r="O1702" i="17" s="1"/>
  <c r="P1702" i="17" s="1"/>
  <c r="Q1702" i="17" s="1"/>
  <c r="J1735" i="17"/>
  <c r="L1474" i="17"/>
  <c r="O1474" i="17" s="1"/>
  <c r="P1474" i="17" s="1"/>
  <c r="Q1474" i="17" s="1"/>
  <c r="J1474" i="17"/>
  <c r="J1478" i="17"/>
  <c r="K1478" i="17"/>
  <c r="M1544" i="17"/>
  <c r="K1544" i="17"/>
  <c r="J1544" i="17"/>
  <c r="N1596" i="17"/>
  <c r="K1596" i="17"/>
  <c r="M1633" i="17"/>
  <c r="N1735" i="17"/>
  <c r="K1500" i="17"/>
  <c r="M1500" i="17"/>
  <c r="J1609" i="17"/>
  <c r="N1609" i="17"/>
  <c r="K1609" i="17"/>
  <c r="N1667" i="17"/>
  <c r="M1667" i="17"/>
  <c r="J1677" i="17"/>
  <c r="N1677" i="17"/>
  <c r="M1677" i="17"/>
  <c r="P1677" i="17" s="1"/>
  <c r="E583" i="12" s="1"/>
  <c r="K1678" i="17"/>
  <c r="M1682" i="17"/>
  <c r="L1682" i="17"/>
  <c r="O1682" i="17" s="1"/>
  <c r="K1736" i="17"/>
  <c r="M1736" i="17"/>
  <c r="N1736" i="17"/>
  <c r="L1736" i="17"/>
  <c r="O1736" i="17" s="1"/>
  <c r="P1736" i="17" s="1"/>
  <c r="J1736" i="17"/>
  <c r="L1459" i="17"/>
  <c r="O1459" i="17" s="1"/>
  <c r="P1459" i="17" s="1"/>
  <c r="K1459" i="17"/>
  <c r="J1459" i="17"/>
  <c r="N1528" i="17"/>
  <c r="M1528" i="17"/>
  <c r="L1528" i="17"/>
  <c r="O1528" i="17" s="1"/>
  <c r="P1528" i="17" s="1"/>
  <c r="M1560" i="17"/>
  <c r="L1560" i="17"/>
  <c r="O1560" i="17" s="1"/>
  <c r="P1560" i="17" s="1"/>
  <c r="K1565" i="17"/>
  <c r="L1565" i="17"/>
  <c r="O1565" i="17" s="1"/>
  <c r="P1565" i="17" s="1"/>
  <c r="L1678" i="17"/>
  <c r="O1678" i="17" s="1"/>
  <c r="J1683" i="17"/>
  <c r="M1250" i="17"/>
  <c r="L1250" i="17"/>
  <c r="O1250" i="17" s="1"/>
  <c r="P1250" i="17" s="1"/>
  <c r="Q1250" i="17" s="1"/>
  <c r="N1276" i="17"/>
  <c r="N1286" i="17"/>
  <c r="M1286" i="17"/>
  <c r="M1287" i="17"/>
  <c r="P1287" i="17" s="1"/>
  <c r="J1293" i="17"/>
  <c r="K1355" i="17"/>
  <c r="J1359" i="17"/>
  <c r="N1366" i="17"/>
  <c r="J1371" i="17"/>
  <c r="N1371" i="17"/>
  <c r="L1391" i="17"/>
  <c r="O1391" i="17" s="1"/>
  <c r="J1391" i="17"/>
  <c r="M1433" i="17"/>
  <c r="L1495" i="17"/>
  <c r="O1495" i="17" s="1"/>
  <c r="P1495" i="17" s="1"/>
  <c r="J1495" i="17"/>
  <c r="N1495" i="17"/>
  <c r="N1537" i="17"/>
  <c r="K1537" i="17"/>
  <c r="M1537" i="17"/>
  <c r="J1537" i="17"/>
  <c r="L1538" i="17"/>
  <c r="O1538" i="17" s="1"/>
  <c r="P1538" i="17" s="1"/>
  <c r="K1551" i="17"/>
  <c r="K1607" i="17"/>
  <c r="N1607" i="17"/>
  <c r="N1636" i="17"/>
  <c r="K1636" i="17"/>
  <c r="J1636" i="17"/>
  <c r="J1669" i="17"/>
  <c r="N1679" i="17"/>
  <c r="J1679" i="17"/>
  <c r="K1679" i="17"/>
  <c r="M1684" i="17"/>
  <c r="N1684" i="17"/>
  <c r="J1684" i="17"/>
  <c r="J1726" i="17"/>
  <c r="N1751" i="17"/>
  <c r="M1751" i="17"/>
  <c r="L1751" i="17"/>
  <c r="O1751" i="17" s="1"/>
  <c r="J1626" i="17"/>
  <c r="N1626" i="17"/>
  <c r="L1626" i="17"/>
  <c r="O1626" i="17" s="1"/>
  <c r="P1626" i="17" s="1"/>
  <c r="Q1626" i="17" s="1"/>
  <c r="N1644" i="17"/>
  <c r="J1656" i="17"/>
  <c r="L1656" i="17"/>
  <c r="O1656" i="17" s="1"/>
  <c r="P1656" i="17" s="1"/>
  <c r="Q1656" i="17" s="1"/>
  <c r="K1657" i="17"/>
  <c r="J1764" i="17"/>
  <c r="J1874" i="17"/>
  <c r="N1874" i="17"/>
  <c r="M1874" i="17"/>
  <c r="L1874" i="17"/>
  <c r="O1874" i="17" s="1"/>
  <c r="P1874" i="17" s="1"/>
  <c r="K1874" i="17"/>
  <c r="L1545" i="17"/>
  <c r="O1545" i="17" s="1"/>
  <c r="P1545" i="17" s="1"/>
  <c r="Q1545" i="17" s="1"/>
  <c r="N1545" i="17"/>
  <c r="K1550" i="17"/>
  <c r="L1550" i="17"/>
  <c r="O1550" i="17" s="1"/>
  <c r="P1550" i="17" s="1"/>
  <c r="N1552" i="17"/>
  <c r="M1552" i="17"/>
  <c r="P1590" i="17"/>
  <c r="K1632" i="17"/>
  <c r="N1632" i="17"/>
  <c r="L1635" i="17"/>
  <c r="O1635" i="17" s="1"/>
  <c r="P1635" i="17" s="1"/>
  <c r="N1635" i="17"/>
  <c r="L1657" i="17"/>
  <c r="O1657" i="17" s="1"/>
  <c r="P1657" i="17" s="1"/>
  <c r="Q1657" i="17" s="1"/>
  <c r="K1686" i="17"/>
  <c r="L1689" i="17"/>
  <c r="O1689" i="17" s="1"/>
  <c r="M1705" i="17"/>
  <c r="J1705" i="17"/>
  <c r="N1747" i="17"/>
  <c r="K1747" i="17"/>
  <c r="M1747" i="17"/>
  <c r="K1764" i="17"/>
  <c r="M1801" i="17"/>
  <c r="L1801" i="17"/>
  <c r="O1801" i="17" s="1"/>
  <c r="P1801" i="17" s="1"/>
  <c r="K1801" i="17"/>
  <c r="J1801" i="17"/>
  <c r="N1839" i="17"/>
  <c r="M1839" i="17"/>
  <c r="L1761" i="17"/>
  <c r="O1761" i="17" s="1"/>
  <c r="M1764" i="17"/>
  <c r="M1813" i="17"/>
  <c r="L1813" i="17"/>
  <c r="O1813" i="17" s="1"/>
  <c r="P1813" i="17" s="1"/>
  <c r="Q1813" i="17" s="1"/>
  <c r="K1813" i="17"/>
  <c r="J1813" i="17"/>
  <c r="N1845" i="17"/>
  <c r="M1845" i="17"/>
  <c r="L1845" i="17"/>
  <c r="O1845" i="17" s="1"/>
  <c r="K1845" i="17"/>
  <c r="J1845" i="17"/>
  <c r="N1687" i="17"/>
  <c r="J1687" i="17"/>
  <c r="L1687" i="17"/>
  <c r="O1687" i="17" s="1"/>
  <c r="J1750" i="17"/>
  <c r="M1761" i="17"/>
  <c r="N1798" i="17"/>
  <c r="M1798" i="17"/>
  <c r="L1798" i="17"/>
  <c r="O1798" i="17" s="1"/>
  <c r="N1810" i="17"/>
  <c r="M1810" i="17"/>
  <c r="L1820" i="17"/>
  <c r="O1820" i="17" s="1"/>
  <c r="P1820" i="17" s="1"/>
  <c r="Q1820" i="17" s="1"/>
  <c r="K1820" i="17"/>
  <c r="J1820" i="17"/>
  <c r="K1580" i="17"/>
  <c r="L1580" i="17"/>
  <c r="O1580" i="17" s="1"/>
  <c r="P1580" i="17" s="1"/>
  <c r="P1703" i="17"/>
  <c r="E281" i="12" s="1"/>
  <c r="K1732" i="17"/>
  <c r="N1739" i="17"/>
  <c r="K1739" i="17"/>
  <c r="M1739" i="17"/>
  <c r="N1761" i="17"/>
  <c r="L1767" i="17"/>
  <c r="O1767" i="17" s="1"/>
  <c r="N1767" i="17"/>
  <c r="K1796" i="17"/>
  <c r="P1827" i="17"/>
  <c r="N1801" i="17"/>
  <c r="N1721" i="17"/>
  <c r="M1721" i="17"/>
  <c r="K1725" i="17"/>
  <c r="N1732" i="17"/>
  <c r="K1737" i="17"/>
  <c r="J1746" i="17"/>
  <c r="N1746" i="17"/>
  <c r="L1747" i="17"/>
  <c r="O1747" i="17" s="1"/>
  <c r="L1793" i="17"/>
  <c r="O1793" i="17" s="1"/>
  <c r="K1802" i="17"/>
  <c r="J1802" i="17"/>
  <c r="M1864" i="17"/>
  <c r="N1864" i="17"/>
  <c r="L1864" i="17"/>
  <c r="O1864" i="17" s="1"/>
  <c r="P1864" i="17" s="1"/>
  <c r="K1864" i="17"/>
  <c r="J1864" i="17"/>
  <c r="P1608" i="17"/>
  <c r="M1725" i="17"/>
  <c r="P1753" i="17"/>
  <c r="Q1753" i="17" s="1"/>
  <c r="N1792" i="17"/>
  <c r="M1792" i="17"/>
  <c r="M1793" i="17"/>
  <c r="N1813" i="17"/>
  <c r="N1817" i="17"/>
  <c r="M1817" i="17"/>
  <c r="L1817" i="17"/>
  <c r="O1817" i="17" s="1"/>
  <c r="K1817" i="17"/>
  <c r="N1793" i="17"/>
  <c r="K1814" i="17"/>
  <c r="J1814" i="17"/>
  <c r="N1794" i="17"/>
  <c r="M1794" i="17"/>
  <c r="L1794" i="17"/>
  <c r="O1794" i="17" s="1"/>
  <c r="P1794" i="17" s="1"/>
  <c r="N1848" i="17"/>
  <c r="M1848" i="17"/>
  <c r="L1848" i="17"/>
  <c r="O1848" i="17" s="1"/>
  <c r="K1848" i="17"/>
  <c r="J1848" i="17"/>
  <c r="M1399" i="17"/>
  <c r="N1399" i="17"/>
  <c r="M1574" i="17"/>
  <c r="M1580" i="17"/>
  <c r="N1586" i="17"/>
  <c r="K1599" i="17"/>
  <c r="M1599" i="17"/>
  <c r="K1600" i="17"/>
  <c r="J1602" i="17"/>
  <c r="L1613" i="17"/>
  <c r="O1613" i="17" s="1"/>
  <c r="P1613" i="17" s="1"/>
  <c r="J1634" i="17"/>
  <c r="K1674" i="17"/>
  <c r="K1680" i="17"/>
  <c r="M1687" i="17"/>
  <c r="K1707" i="17"/>
  <c r="P1713" i="17"/>
  <c r="F438" i="12" s="1"/>
  <c r="L1739" i="17"/>
  <c r="O1739" i="17" s="1"/>
  <c r="L1749" i="17"/>
  <c r="O1749" i="17" s="1"/>
  <c r="J1769" i="17"/>
  <c r="K1777" i="17"/>
  <c r="J1784" i="17"/>
  <c r="M1784" i="17"/>
  <c r="L1784" i="17"/>
  <c r="O1784" i="17" s="1"/>
  <c r="L1785" i="17"/>
  <c r="O1785" i="17" s="1"/>
  <c r="K1798" i="17"/>
  <c r="K1810" i="17"/>
  <c r="N1844" i="17"/>
  <c r="M1844" i="17"/>
  <c r="L1844" i="17"/>
  <c r="O1844" i="17" s="1"/>
  <c r="K1844" i="17"/>
  <c r="J1844" i="17"/>
  <c r="L1597" i="17"/>
  <c r="O1597" i="17" s="1"/>
  <c r="N1597" i="17"/>
  <c r="L1600" i="17"/>
  <c r="O1600" i="17" s="1"/>
  <c r="M1602" i="17"/>
  <c r="M1613" i="17"/>
  <c r="K1634" i="17"/>
  <c r="M1674" i="17"/>
  <c r="L1680" i="17"/>
  <c r="O1680" i="17" s="1"/>
  <c r="N1703" i="17"/>
  <c r="M1703" i="17"/>
  <c r="L1707" i="17"/>
  <c r="O1707" i="17" s="1"/>
  <c r="M1749" i="17"/>
  <c r="K1769" i="17"/>
  <c r="L1777" i="17"/>
  <c r="O1777" i="17" s="1"/>
  <c r="P1777" i="17" s="1"/>
  <c r="E307" i="12" s="1"/>
  <c r="J1800" i="17"/>
  <c r="L1810" i="17"/>
  <c r="O1810" i="17" s="1"/>
  <c r="N1826" i="17"/>
  <c r="J1826" i="17"/>
  <c r="K1750" i="17"/>
  <c r="N1750" i="17"/>
  <c r="M1750" i="17"/>
  <c r="L1769" i="17"/>
  <c r="O1769" i="17" s="1"/>
  <c r="P1769" i="17" s="1"/>
  <c r="E301" i="12" s="1"/>
  <c r="M1777" i="17"/>
  <c r="J1499" i="17"/>
  <c r="L1499" i="17"/>
  <c r="O1499" i="17" s="1"/>
  <c r="P1499" i="17" s="1"/>
  <c r="Q1499" i="17" s="1"/>
  <c r="M1548" i="17"/>
  <c r="N1548" i="17"/>
  <c r="J1554" i="17"/>
  <c r="N1554" i="17"/>
  <c r="J1689" i="17"/>
  <c r="K1721" i="17"/>
  <c r="L1746" i="17"/>
  <c r="O1746" i="17" s="1"/>
  <c r="M1769" i="17"/>
  <c r="N1776" i="17"/>
  <c r="M1776" i="17"/>
  <c r="N1777" i="17"/>
  <c r="L1792" i="17"/>
  <c r="O1792" i="17" s="1"/>
  <c r="L1800" i="17"/>
  <c r="O1800" i="17" s="1"/>
  <c r="P1800" i="17" s="1"/>
  <c r="Q1800" i="17" s="1"/>
  <c r="G227" i="12" s="1"/>
  <c r="A227" i="12" s="1"/>
  <c r="M1802" i="17"/>
  <c r="J1812" i="17"/>
  <c r="N1753" i="17"/>
  <c r="N1762" i="17"/>
  <c r="M1770" i="17"/>
  <c r="K1795" i="17"/>
  <c r="K1799" i="17"/>
  <c r="N1808" i="17"/>
  <c r="L1811" i="17"/>
  <c r="O1811" i="17" s="1"/>
  <c r="N1815" i="17"/>
  <c r="J1818" i="17"/>
  <c r="N1827" i="17"/>
  <c r="J1830" i="17"/>
  <c r="N1831" i="17"/>
  <c r="J1834" i="17"/>
  <c r="L1843" i="17"/>
  <c r="O1843" i="17" s="1"/>
  <c r="M1847" i="17"/>
  <c r="J1850" i="17"/>
  <c r="N1860" i="17"/>
  <c r="J1875" i="17"/>
  <c r="M1843" i="17"/>
  <c r="J1846" i="17"/>
  <c r="N1847" i="17"/>
  <c r="L1850" i="17"/>
  <c r="O1850" i="17" s="1"/>
  <c r="P1850" i="17" s="1"/>
  <c r="Q1850" i="17" s="1"/>
  <c r="N1856" i="17"/>
  <c r="J1865" i="17"/>
  <c r="K1875" i="17"/>
  <c r="M1846" i="17"/>
  <c r="M1878" i="17"/>
  <c r="K1829" i="17"/>
  <c r="K1833" i="17"/>
  <c r="P1786" i="17"/>
  <c r="E316" i="12" s="1"/>
  <c r="L1829" i="17"/>
  <c r="O1829" i="17" s="1"/>
  <c r="L1833" i="17"/>
  <c r="O1833" i="17" s="1"/>
  <c r="J1877" i="17"/>
  <c r="K1809" i="17"/>
  <c r="M1829" i="17"/>
  <c r="M1833" i="17"/>
  <c r="K1877" i="17"/>
  <c r="J1861" i="17"/>
  <c r="K1851" i="17"/>
  <c r="L1851" i="17"/>
  <c r="O1851" i="17" s="1"/>
  <c r="J1831" i="17"/>
  <c r="K1863" i="17"/>
  <c r="M1866" i="17"/>
  <c r="K1876" i="17"/>
  <c r="K1879" i="17"/>
  <c r="L1876" i="17"/>
  <c r="O1876" i="17" s="1"/>
  <c r="P1876" i="17" s="1"/>
  <c r="L1879" i="17"/>
  <c r="O1879" i="17" s="1"/>
  <c r="P1879" i="17" s="1"/>
  <c r="M1819" i="17"/>
  <c r="M1863" i="17"/>
  <c r="M1873" i="17"/>
  <c r="P367" i="17"/>
  <c r="Q367" i="17" s="1"/>
  <c r="G50" i="12"/>
  <c r="A50" i="12" s="1"/>
  <c r="E50" i="12"/>
  <c r="P603" i="17"/>
  <c r="Q603" i="17" s="1"/>
  <c r="G95" i="12"/>
  <c r="A95" i="12" s="1"/>
  <c r="E95" i="12"/>
  <c r="P1776" i="17"/>
  <c r="E306" i="12" s="1"/>
  <c r="Q880" i="17"/>
  <c r="P1065" i="17"/>
  <c r="Q1065" i="17" s="1"/>
  <c r="P785" i="17"/>
  <c r="E151" i="12" s="1"/>
  <c r="P1619" i="17"/>
  <c r="Q1619" i="17" s="1"/>
  <c r="P1297" i="17"/>
  <c r="G530" i="12"/>
  <c r="A530" i="12" s="1"/>
  <c r="E530" i="12"/>
  <c r="P1632" i="17"/>
  <c r="E262" i="12" s="1"/>
  <c r="E329" i="12"/>
  <c r="G329" i="12"/>
  <c r="A329" i="12" s="1"/>
  <c r="J779" i="9"/>
  <c r="L90" i="8" s="1"/>
  <c r="O90" i="8" s="1"/>
  <c r="H15" i="10" s="1"/>
  <c r="L15" i="10" s="1"/>
  <c r="J825" i="9"/>
  <c r="J105" i="8" s="1"/>
  <c r="M105" i="8" s="1"/>
  <c r="F29" i="10" s="1"/>
  <c r="J29" i="10" s="1"/>
  <c r="J1275" i="9"/>
  <c r="J1649" i="9"/>
  <c r="L218" i="8" s="1"/>
  <c r="O218" i="8" s="1"/>
  <c r="H157" i="10" s="1"/>
  <c r="L157" i="10" s="1"/>
  <c r="J306" i="9"/>
  <c r="J350" i="9"/>
  <c r="J922" i="9"/>
  <c r="L122" i="8" s="1"/>
  <c r="O122" i="8" s="1"/>
  <c r="H47" i="10" s="1"/>
  <c r="L47" i="10" s="1"/>
  <c r="F6" i="5"/>
  <c r="J1852" i="9"/>
  <c r="J267" i="8" s="1"/>
  <c r="M267" i="8" s="1"/>
  <c r="F212" i="10" s="1"/>
  <c r="J1795" i="9"/>
  <c r="K248" i="8" s="1"/>
  <c r="N248" i="8" s="1"/>
  <c r="G188" i="10" s="1"/>
  <c r="K188" i="10" s="1"/>
  <c r="J1504" i="9"/>
  <c r="K208" i="8" s="1"/>
  <c r="N208" i="8" s="1"/>
  <c r="G148" i="10" s="1"/>
  <c r="K148" i="10" s="1"/>
  <c r="J1761" i="9"/>
  <c r="K245" i="8" s="1"/>
  <c r="N245" i="8" s="1"/>
  <c r="G185" i="10" s="1"/>
  <c r="K185" i="10" s="1"/>
  <c r="J789" i="9"/>
  <c r="L94" i="8" s="1"/>
  <c r="O94" i="8" s="1"/>
  <c r="H18" i="10" s="1"/>
  <c r="L18" i="10" s="1"/>
  <c r="J1081" i="9"/>
  <c r="L145" i="8" s="1"/>
  <c r="O145" i="8" s="1"/>
  <c r="H74" i="10" s="1"/>
  <c r="L74" i="10" s="1"/>
  <c r="J928" i="9"/>
  <c r="L123" i="8" s="1"/>
  <c r="O123" i="8" s="1"/>
  <c r="H48" i="10" s="1"/>
  <c r="L48" i="10" s="1"/>
  <c r="J1090" i="9"/>
  <c r="L146" i="8" s="1"/>
  <c r="O146" i="8" s="1"/>
  <c r="H75" i="10" s="1"/>
  <c r="L75" i="10" s="1"/>
  <c r="F3" i="5"/>
  <c r="J943" i="9"/>
  <c r="L126" i="8" s="1"/>
  <c r="O126" i="8" s="1"/>
  <c r="H51" i="10" s="1"/>
  <c r="L51" i="10" s="1"/>
  <c r="J1010" i="9"/>
  <c r="L135" i="8" s="1"/>
  <c r="O135" i="8" s="1"/>
  <c r="H62" i="10" s="1"/>
  <c r="L62" i="10" s="1"/>
  <c r="J1061" i="9"/>
  <c r="L143" i="8" s="1"/>
  <c r="O143" i="8" s="1"/>
  <c r="H72" i="10" s="1"/>
  <c r="L72" i="10" s="1"/>
  <c r="J1096" i="9"/>
  <c r="L147" i="8" s="1"/>
  <c r="O147" i="8" s="1"/>
  <c r="H76" i="10" s="1"/>
  <c r="L76" i="10" s="1"/>
  <c r="J1725" i="9"/>
  <c r="K236" i="8" s="1"/>
  <c r="N236" i="8" s="1"/>
  <c r="G176" i="10" s="1"/>
  <c r="K176" i="10" s="1"/>
  <c r="F4" i="5"/>
  <c r="J1034" i="9"/>
  <c r="L138" i="8" s="1"/>
  <c r="O138" i="8" s="1"/>
  <c r="H66" i="10" s="1"/>
  <c r="L66" i="10" s="1"/>
  <c r="J1389" i="9"/>
  <c r="L192" i="8" s="1"/>
  <c r="O192" i="8" s="1"/>
  <c r="H128" i="10" s="1"/>
  <c r="L128" i="10" s="1"/>
  <c r="J1587" i="9"/>
  <c r="L213" i="8" s="1"/>
  <c r="O213" i="8" s="1"/>
  <c r="H152" i="10" s="1"/>
  <c r="L152" i="10" s="1"/>
  <c r="J1680" i="9"/>
  <c r="K223" i="8" s="1"/>
  <c r="N223" i="8" s="1"/>
  <c r="G162" i="10" s="1"/>
  <c r="K162" i="10" s="1"/>
  <c r="J397" i="9"/>
  <c r="J712" i="9"/>
  <c r="L82" i="8" s="1"/>
  <c r="O82" i="8" s="1"/>
  <c r="H6" i="10" s="1"/>
  <c r="L6" i="10" s="1"/>
  <c r="F10" i="5"/>
  <c r="J840" i="9"/>
  <c r="J112" i="8" s="1"/>
  <c r="M112" i="8" s="1"/>
  <c r="F36" i="10" s="1"/>
  <c r="J36" i="10" s="1"/>
  <c r="F2" i="5"/>
  <c r="J841" i="9"/>
  <c r="L113" i="8" s="1"/>
  <c r="O113" i="8" s="1"/>
  <c r="H37" i="10" s="1"/>
  <c r="L37" i="10" s="1"/>
  <c r="J1376" i="9"/>
  <c r="L191" i="8" s="1"/>
  <c r="O191" i="8" s="1"/>
  <c r="H127" i="10" s="1"/>
  <c r="L127" i="10" s="1"/>
  <c r="J1734" i="9"/>
  <c r="K239" i="8" s="1"/>
  <c r="N239" i="8" s="1"/>
  <c r="G179" i="10" s="1"/>
  <c r="K179" i="10" s="1"/>
  <c r="J362" i="9"/>
  <c r="J546" i="9"/>
  <c r="J1301" i="9"/>
  <c r="J1373" i="9"/>
  <c r="L190" i="8" s="1"/>
  <c r="O190" i="8" s="1"/>
  <c r="H126" i="10" s="1"/>
  <c r="L126" i="10" s="1"/>
  <c r="J1717" i="9"/>
  <c r="L234" i="8" s="1"/>
  <c r="O234" i="8" s="1"/>
  <c r="H174" i="10" s="1"/>
  <c r="L174" i="10" s="1"/>
  <c r="J887" i="9"/>
  <c r="L118" i="8" s="1"/>
  <c r="O118" i="8" s="1"/>
  <c r="H43" i="10" s="1"/>
  <c r="L43" i="10" s="1"/>
  <c r="J1391" i="9"/>
  <c r="L193" i="8" s="1"/>
  <c r="O193" i="8" s="1"/>
  <c r="H129" i="10" s="1"/>
  <c r="L129" i="10" s="1"/>
  <c r="J318" i="9"/>
  <c r="J1138" i="9"/>
  <c r="L155" i="8" s="1"/>
  <c r="O155" i="8" s="1"/>
  <c r="H86" i="10" s="1"/>
  <c r="L86" i="10" s="1"/>
  <c r="F14" i="5"/>
  <c r="J677" i="9"/>
  <c r="J823" i="9"/>
  <c r="K104" i="8" s="1"/>
  <c r="N104" i="8" s="1"/>
  <c r="G28" i="10" s="1"/>
  <c r="K28" i="10" s="1"/>
  <c r="J1292" i="9"/>
  <c r="L181" i="8" s="1"/>
  <c r="O181" i="8" s="1"/>
  <c r="H116" i="10" s="1"/>
  <c r="L116" i="10" s="1"/>
  <c r="J1314" i="9"/>
  <c r="J1799" i="9"/>
  <c r="L255" i="8" s="1"/>
  <c r="O255" i="8" s="1"/>
  <c r="H199" i="10" s="1"/>
  <c r="L199" i="10" s="1"/>
  <c r="J329" i="9"/>
  <c r="J598" i="9"/>
  <c r="J689" i="9"/>
  <c r="J1225" i="9"/>
  <c r="L169" i="8" s="1"/>
  <c r="O169" i="8" s="1"/>
  <c r="H102" i="10" s="1"/>
  <c r="L102" i="10" s="1"/>
  <c r="J195" i="9"/>
  <c r="J1828" i="9"/>
  <c r="J797" i="9"/>
  <c r="L96" i="8" s="1"/>
  <c r="O96" i="8" s="1"/>
  <c r="H20" i="10" s="1"/>
  <c r="L20" i="10" s="1"/>
  <c r="J1372" i="9"/>
  <c r="K189" i="8" s="1"/>
  <c r="N189" i="8" s="1"/>
  <c r="G125" i="10" s="1"/>
  <c r="K125" i="10" s="1"/>
  <c r="J806" i="9"/>
  <c r="L99" i="8" s="1"/>
  <c r="O99" i="8" s="1"/>
  <c r="H23" i="10" s="1"/>
  <c r="L23" i="10" s="1"/>
  <c r="J820" i="9"/>
  <c r="K103" i="8" s="1"/>
  <c r="N103" i="8" s="1"/>
  <c r="G27" i="10" s="1"/>
  <c r="K27" i="10" s="1"/>
  <c r="J1039" i="9"/>
  <c r="L139" i="8" s="1"/>
  <c r="O139" i="8" s="1"/>
  <c r="H67" i="10" s="1"/>
  <c r="L67" i="10" s="1"/>
  <c r="J1720" i="9"/>
  <c r="L235" i="8" s="1"/>
  <c r="O235" i="8" s="1"/>
  <c r="H175" i="10" s="1"/>
  <c r="L175" i="10" s="1"/>
  <c r="J1716" i="9"/>
  <c r="K233" i="8" s="1"/>
  <c r="N233" i="8" s="1"/>
  <c r="G173" i="10" s="1"/>
  <c r="K173" i="10" s="1"/>
  <c r="J1738" i="9"/>
  <c r="L241" i="8" s="1"/>
  <c r="O241" i="8" s="1"/>
  <c r="H181" i="10" s="1"/>
  <c r="L181" i="10" s="1"/>
  <c r="J747" i="9"/>
  <c r="J809" i="9"/>
  <c r="L100" i="8" s="1"/>
  <c r="O100" i="8" s="1"/>
  <c r="H24" i="10" s="1"/>
  <c r="L24" i="10" s="1"/>
  <c r="J1479" i="9"/>
  <c r="K205" i="8" s="1"/>
  <c r="N205" i="8" s="1"/>
  <c r="G144" i="10" s="1"/>
  <c r="K144" i="10" s="1"/>
  <c r="J1516" i="9"/>
  <c r="K210" i="8" s="1"/>
  <c r="N210" i="8" s="1"/>
  <c r="J1739" i="9"/>
  <c r="J241" i="8" s="1"/>
  <c r="M241" i="8" s="1"/>
  <c r="F181" i="10" s="1"/>
  <c r="J814" i="9"/>
  <c r="K101" i="8" s="1"/>
  <c r="N101" i="8" s="1"/>
  <c r="G25" i="10" s="1"/>
  <c r="K25" i="10" s="1"/>
  <c r="J1623" i="9"/>
  <c r="K215" i="8" s="1"/>
  <c r="N215" i="8" s="1"/>
  <c r="G154" i="10" s="1"/>
  <c r="K154" i="10" s="1"/>
  <c r="J819" i="9"/>
  <c r="J103" i="8" s="1"/>
  <c r="M103" i="8" s="1"/>
  <c r="F27" i="10" s="1"/>
  <c r="J27" i="10" s="1"/>
  <c r="J1299" i="9"/>
  <c r="K182" i="8" s="1"/>
  <c r="N182" i="8" s="1"/>
  <c r="J1732" i="9"/>
  <c r="L239" i="8" s="1"/>
  <c r="O239" i="8" s="1"/>
  <c r="H179" i="10" s="1"/>
  <c r="L179" i="10" s="1"/>
  <c r="J1736" i="9"/>
  <c r="J240" i="8" s="1"/>
  <c r="M240" i="8" s="1"/>
  <c r="F180" i="10" s="1"/>
  <c r="J832" i="9"/>
  <c r="L108" i="8" s="1"/>
  <c r="O108" i="8" s="1"/>
  <c r="H32" i="10" s="1"/>
  <c r="L32" i="10" s="1"/>
  <c r="J803" i="9"/>
  <c r="L98" i="8" s="1"/>
  <c r="O98" i="8" s="1"/>
  <c r="H22" i="10" s="1"/>
  <c r="L22" i="10" s="1"/>
  <c r="J1505" i="9"/>
  <c r="K209" i="8" s="1"/>
  <c r="N209" i="8" s="1"/>
  <c r="J1517" i="9"/>
  <c r="K211" i="8" s="1"/>
  <c r="N211" i="8" s="1"/>
  <c r="J1708" i="9"/>
  <c r="L231" i="8" s="1"/>
  <c r="O231" i="8" s="1"/>
  <c r="H171" i="10" s="1"/>
  <c r="L171" i="10" s="1"/>
  <c r="J1721" i="9"/>
  <c r="J235" i="8" s="1"/>
  <c r="M235" i="8" s="1"/>
  <c r="F175" i="10" s="1"/>
  <c r="J175" i="10" s="1"/>
  <c r="J1008" i="9"/>
  <c r="J837" i="9"/>
  <c r="K109" i="8" s="1"/>
  <c r="N109" i="8" s="1"/>
  <c r="G33" i="10" s="1"/>
  <c r="K33" i="10" s="1"/>
  <c r="J1009" i="9"/>
  <c r="K134" i="8" s="1"/>
  <c r="N134" i="8" s="1"/>
  <c r="G60" i="10" s="1"/>
  <c r="K60" i="10" s="1"/>
  <c r="J1166" i="9"/>
  <c r="J769" i="9"/>
  <c r="J774" i="9"/>
  <c r="J1041" i="9"/>
  <c r="L140" i="8" s="1"/>
  <c r="O140" i="8" s="1"/>
  <c r="H68" i="10" s="1"/>
  <c r="L68" i="10" s="1"/>
  <c r="J1390" i="9"/>
  <c r="K192" i="8" s="1"/>
  <c r="N192" i="8" s="1"/>
  <c r="G128" i="10" s="1"/>
  <c r="K128" i="10" s="1"/>
  <c r="J1760" i="9"/>
  <c r="L245" i="8" s="1"/>
  <c r="O245" i="8" s="1"/>
  <c r="H185" i="10" s="1"/>
  <c r="L185" i="10" s="1"/>
  <c r="J836" i="9"/>
  <c r="J109" i="8" s="1"/>
  <c r="M109" i="8" s="1"/>
  <c r="F33" i="10" s="1"/>
  <c r="J33" i="10" s="1"/>
  <c r="J796" i="9"/>
  <c r="K95" i="8" s="1"/>
  <c r="N95" i="8" s="1"/>
  <c r="G19" i="10" s="1"/>
  <c r="K19" i="10" s="1"/>
  <c r="J838" i="9"/>
  <c r="L110" i="8" s="1"/>
  <c r="O110" i="8" s="1"/>
  <c r="H34" i="10" s="1"/>
  <c r="L34" i="10" s="1"/>
  <c r="J804" i="9"/>
  <c r="J98" i="8" s="1"/>
  <c r="M98" i="8" s="1"/>
  <c r="F22" i="10" s="1"/>
  <c r="J22" i="10" s="1"/>
  <c r="J817" i="9"/>
  <c r="K102" i="8" s="1"/>
  <c r="N102" i="8" s="1"/>
  <c r="G26" i="10" s="1"/>
  <c r="K26" i="10" s="1"/>
  <c r="J1697" i="9"/>
  <c r="J1797" i="9"/>
  <c r="K253" i="8" s="1"/>
  <c r="N253" i="8" s="1"/>
  <c r="G196" i="10" s="1"/>
  <c r="K196" i="10" s="1"/>
  <c r="J746" i="9"/>
  <c r="J805" i="9"/>
  <c r="K98" i="8" s="1"/>
  <c r="N98" i="8" s="1"/>
  <c r="G22" i="10" s="1"/>
  <c r="K22" i="10" s="1"/>
  <c r="J822" i="9"/>
  <c r="J104" i="8" s="1"/>
  <c r="M104" i="8" s="1"/>
  <c r="F28" i="10" s="1"/>
  <c r="J826" i="9"/>
  <c r="K105" i="8" s="1"/>
  <c r="N105" i="8" s="1"/>
  <c r="G29" i="10" s="1"/>
  <c r="K29" i="10" s="1"/>
  <c r="J1038" i="9"/>
  <c r="K138" i="8" s="1"/>
  <c r="N138" i="8" s="1"/>
  <c r="G66" i="10" s="1"/>
  <c r="K66" i="10" s="1"/>
  <c r="J1375" i="9"/>
  <c r="K190" i="8" s="1"/>
  <c r="N190" i="8" s="1"/>
  <c r="G126" i="10" s="1"/>
  <c r="K126" i="10" s="1"/>
  <c r="J1706" i="9"/>
  <c r="K229" i="8" s="1"/>
  <c r="N229" i="8" s="1"/>
  <c r="G168" i="10" s="1"/>
  <c r="K168" i="10" s="1"/>
  <c r="J1719" i="9"/>
  <c r="K234" i="8" s="1"/>
  <c r="N234" i="8" s="1"/>
  <c r="G174" i="10" s="1"/>
  <c r="K174" i="10" s="1"/>
  <c r="J793" i="9"/>
  <c r="K94" i="8" s="1"/>
  <c r="N94" i="8" s="1"/>
  <c r="G18" i="10" s="1"/>
  <c r="K18" i="10" s="1"/>
  <c r="J831" i="9"/>
  <c r="K107" i="8" s="1"/>
  <c r="N107" i="8" s="1"/>
  <c r="G31" i="10" s="1"/>
  <c r="K31" i="10" s="1"/>
  <c r="J1676" i="9"/>
  <c r="K221" i="8" s="1"/>
  <c r="N221" i="8" s="1"/>
  <c r="G160" i="10" s="1"/>
  <c r="K160" i="10" s="1"/>
  <c r="J1698" i="9"/>
  <c r="J1711" i="9"/>
  <c r="L232" i="8" s="1"/>
  <c r="O232" i="8" s="1"/>
  <c r="H172" i="10" s="1"/>
  <c r="L172" i="10" s="1"/>
  <c r="J802" i="9"/>
  <c r="K97" i="8" s="1"/>
  <c r="N97" i="8" s="1"/>
  <c r="G21" i="10" s="1"/>
  <c r="K21" i="10" s="1"/>
  <c r="J1260" i="9"/>
  <c r="K175" i="8" s="1"/>
  <c r="N175" i="8" s="1"/>
  <c r="G110" i="10" s="1"/>
  <c r="K110" i="10" s="1"/>
  <c r="J1492" i="9"/>
  <c r="K207" i="8" s="1"/>
  <c r="N207" i="8" s="1"/>
  <c r="J1681" i="9"/>
  <c r="L224" i="8" s="1"/>
  <c r="O224" i="8" s="1"/>
  <c r="H163" i="10" s="1"/>
  <c r="L163" i="10" s="1"/>
  <c r="J1737" i="9"/>
  <c r="K240" i="8" s="1"/>
  <c r="N240" i="8" s="1"/>
  <c r="G180" i="10" s="1"/>
  <c r="K180" i="10" s="1"/>
  <c r="J1741" i="9"/>
  <c r="L242" i="8" s="1"/>
  <c r="O242" i="8" s="1"/>
  <c r="H182" i="10" s="1"/>
  <c r="L182" i="10" s="1"/>
  <c r="J1851" i="9"/>
  <c r="K266" i="8" s="1"/>
  <c r="N266" i="8" s="1"/>
  <c r="G211" i="10" s="1"/>
  <c r="K211" i="10" s="1"/>
  <c r="J1855" i="9"/>
  <c r="K269" i="8" s="1"/>
  <c r="N269" i="8" s="1"/>
  <c r="G215" i="10" s="1"/>
  <c r="K215" i="10" s="1"/>
  <c r="J23" i="9"/>
  <c r="J166" i="9"/>
  <c r="J241" i="9"/>
  <c r="J927" i="9"/>
  <c r="J1811" i="9"/>
  <c r="J278" i="9"/>
  <c r="J606" i="9"/>
  <c r="J82" i="9"/>
  <c r="J171" i="9"/>
  <c r="J193" i="9"/>
  <c r="J468" i="9"/>
  <c r="J523" i="9"/>
  <c r="J643" i="9"/>
  <c r="J845" i="9"/>
  <c r="J1170" i="9"/>
  <c r="J1411" i="9"/>
  <c r="J1207" i="9"/>
  <c r="J1672" i="9"/>
  <c r="J158" i="9"/>
  <c r="J214" i="9"/>
  <c r="J287" i="9"/>
  <c r="J531" i="9"/>
  <c r="J635" i="9"/>
  <c r="J855" i="9"/>
  <c r="J948" i="9"/>
  <c r="J1058" i="9"/>
  <c r="J1070" i="9"/>
  <c r="J1079" i="9"/>
  <c r="J1100" i="9"/>
  <c r="J1184" i="9"/>
  <c r="J1369" i="9"/>
  <c r="K188" i="8" s="1"/>
  <c r="N188" i="8" s="1"/>
  <c r="G124" i="10" s="1"/>
  <c r="K124" i="10" s="1"/>
  <c r="J1807" i="9"/>
  <c r="J1850" i="9"/>
  <c r="K265" i="8" s="1"/>
  <c r="N265" i="8" s="1"/>
  <c r="G210" i="10" s="1"/>
  <c r="K210" i="10" s="1"/>
  <c r="J83" i="9"/>
  <c r="J88" i="9"/>
  <c r="J172" i="9"/>
  <c r="J573" i="9"/>
  <c r="J644" i="9"/>
  <c r="J722" i="9"/>
  <c r="J932" i="9"/>
  <c r="J1006" i="9"/>
  <c r="J1014" i="9"/>
  <c r="J1134" i="9"/>
  <c r="L154" i="8" s="1"/>
  <c r="O154" i="8" s="1"/>
  <c r="H85" i="10" s="1"/>
  <c r="L85" i="10" s="1"/>
  <c r="J1208" i="9"/>
  <c r="J1250" i="9"/>
  <c r="J150" i="9"/>
  <c r="J266" i="9"/>
  <c r="J327" i="9"/>
  <c r="J360" i="9"/>
  <c r="J700" i="9"/>
  <c r="J755" i="9"/>
  <c r="J949" i="9"/>
  <c r="J1059" i="9"/>
  <c r="J1071" i="9"/>
  <c r="J1080" i="9"/>
  <c r="J1116" i="9"/>
  <c r="L150" i="8" s="1"/>
  <c r="O150" i="8" s="1"/>
  <c r="H80" i="10" s="1"/>
  <c r="L80" i="10" s="1"/>
  <c r="J1223" i="9"/>
  <c r="J257" i="9"/>
  <c r="J293" i="9"/>
  <c r="J348" i="9"/>
  <c r="J443" i="9"/>
  <c r="J456" i="9"/>
  <c r="J479" i="9"/>
  <c r="J662" i="9"/>
  <c r="J706" i="9"/>
  <c r="J1255" i="9"/>
  <c r="J1418" i="9"/>
  <c r="J1838" i="9"/>
  <c r="J1847" i="9"/>
  <c r="K264" i="8" s="1"/>
  <c r="N264" i="8" s="1"/>
  <c r="G209" i="10" s="1"/>
  <c r="K209" i="10" s="1"/>
  <c r="J865" i="9"/>
  <c r="J1162" i="9"/>
  <c r="J1171" i="9"/>
  <c r="J145" i="9"/>
  <c r="J275" i="9"/>
  <c r="J405" i="9"/>
  <c r="J607" i="9"/>
  <c r="J102" i="9"/>
  <c r="J339" i="9"/>
  <c r="J544" i="9"/>
  <c r="K77" i="8" s="1"/>
  <c r="N77" i="8" s="1"/>
  <c r="J710" i="9"/>
  <c r="J742" i="9"/>
  <c r="J788" i="9"/>
  <c r="J1088" i="9"/>
  <c r="J71" i="9"/>
  <c r="J781" i="9"/>
  <c r="K90" i="8" s="1"/>
  <c r="N90" i="8" s="1"/>
  <c r="G15" i="10" s="1"/>
  <c r="K15" i="10" s="1"/>
  <c r="J950" i="9"/>
  <c r="J995" i="9"/>
  <c r="J1007" i="9"/>
  <c r="J1052" i="9"/>
  <c r="J1224" i="9"/>
  <c r="J1367" i="9"/>
  <c r="J188" i="8" s="1"/>
  <c r="M188" i="8" s="1"/>
  <c r="F124" i="10" s="1"/>
  <c r="J124" i="10" s="1"/>
  <c r="J22" i="9"/>
  <c r="J165" i="9"/>
  <c r="J349" i="9"/>
  <c r="J394" i="9"/>
  <c r="J492" i="9"/>
  <c r="J777" i="9"/>
  <c r="J938" i="9"/>
  <c r="J1140" i="9"/>
  <c r="J1228" i="9"/>
  <c r="K169" i="8" s="1"/>
  <c r="N169" i="8" s="1"/>
  <c r="G102" i="10" s="1"/>
  <c r="K102" i="10" s="1"/>
  <c r="J1273" i="9"/>
  <c r="J1839" i="9"/>
  <c r="J45" i="9"/>
  <c r="J281" i="9"/>
  <c r="J303" i="9"/>
  <c r="J420" i="9"/>
  <c r="J522" i="9"/>
  <c r="J621" i="9"/>
  <c r="J744" i="9"/>
  <c r="J886" i="9"/>
  <c r="J914" i="9"/>
  <c r="J926" i="9"/>
  <c r="J977" i="9"/>
  <c r="J1169" i="9"/>
  <c r="J109" i="9"/>
  <c r="J374" i="9"/>
  <c r="J584" i="9"/>
  <c r="K23" i="8" s="1"/>
  <c r="N23" i="8" s="1"/>
  <c r="J757" i="9"/>
  <c r="J1192" i="9"/>
  <c r="J1215" i="9"/>
  <c r="J1862" i="9"/>
  <c r="J387" i="9"/>
  <c r="J939" i="9"/>
  <c r="L125" i="8" s="1"/>
  <c r="O125" i="8" s="1"/>
  <c r="H50" i="10" s="1"/>
  <c r="L50" i="10" s="1"/>
  <c r="J1151" i="9"/>
  <c r="J1234" i="9"/>
  <c r="J1840" i="9"/>
  <c r="I252" i="17"/>
  <c r="J252" i="9"/>
  <c r="I1436" i="17"/>
  <c r="J1436" i="9"/>
  <c r="I89" i="10"/>
  <c r="M89" i="10" s="1"/>
  <c r="Z89" i="10" s="1"/>
  <c r="L89" i="10"/>
  <c r="J309" i="9"/>
  <c r="J1259" i="9"/>
  <c r="I1746" i="17"/>
  <c r="J1746" i="9"/>
  <c r="I481" i="17"/>
  <c r="J481" i="9"/>
  <c r="I659" i="17"/>
  <c r="J659" i="9"/>
  <c r="I1093" i="17"/>
  <c r="J1093" i="9"/>
  <c r="J1232" i="9"/>
  <c r="I1303" i="17"/>
  <c r="Q1303" i="17" s="1"/>
  <c r="J1303" i="9"/>
  <c r="J1474" i="9"/>
  <c r="J1577" i="9"/>
  <c r="I1742" i="17"/>
  <c r="J1742" i="9"/>
  <c r="J242" i="8" s="1"/>
  <c r="M242" i="8" s="1"/>
  <c r="F182" i="10" s="1"/>
  <c r="J182" i="10" s="1"/>
  <c r="J27" i="9"/>
  <c r="I164" i="17"/>
  <c r="J164" i="9"/>
  <c r="J489" i="9"/>
  <c r="J497" i="9"/>
  <c r="I732" i="17"/>
  <c r="J732" i="9"/>
  <c r="I1763" i="17"/>
  <c r="J1763" i="9"/>
  <c r="I1875" i="17"/>
  <c r="J1875" i="9"/>
  <c r="I123" i="17"/>
  <c r="J123" i="9"/>
  <c r="I647" i="17"/>
  <c r="J647" i="9"/>
  <c r="I918" i="17"/>
  <c r="J918" i="9"/>
  <c r="J1064" i="9"/>
  <c r="I1220" i="17"/>
  <c r="J1220" i="9"/>
  <c r="I1665" i="17"/>
  <c r="J1665" i="9"/>
  <c r="I108" i="10"/>
  <c r="M108" i="10" s="1"/>
  <c r="Z108" i="10" s="1"/>
  <c r="J215" i="10"/>
  <c r="I142" i="17"/>
  <c r="J142" i="9"/>
  <c r="J262" i="9"/>
  <c r="J331" i="9"/>
  <c r="I364" i="17"/>
  <c r="J364" i="9"/>
  <c r="I438" i="17"/>
  <c r="J438" i="9"/>
  <c r="I486" i="17"/>
  <c r="J486" i="9"/>
  <c r="I539" i="17"/>
  <c r="J539" i="9"/>
  <c r="J1751" i="9"/>
  <c r="P252" i="8"/>
  <c r="F194" i="10"/>
  <c r="I194" i="10" s="1"/>
  <c r="M194" i="10" s="1"/>
  <c r="O193" i="10" s="1"/>
  <c r="J5" i="9"/>
  <c r="J60" i="9"/>
  <c r="J191" i="9"/>
  <c r="I239" i="17"/>
  <c r="J239" i="9"/>
  <c r="J368" i="9"/>
  <c r="I1329" i="17"/>
  <c r="J1329" i="9"/>
  <c r="I1825" i="17"/>
  <c r="J1825" i="9"/>
  <c r="I828" i="17"/>
  <c r="J828" i="9"/>
  <c r="J106" i="8" s="1"/>
  <c r="M106" i="8" s="1"/>
  <c r="F30" i="10" s="1"/>
  <c r="J30" i="10" s="1"/>
  <c r="I1705" i="17"/>
  <c r="J1705" i="9"/>
  <c r="I579" i="17"/>
  <c r="J579" i="9"/>
  <c r="I418" i="17"/>
  <c r="J418" i="9"/>
  <c r="I184" i="17"/>
  <c r="J184" i="9"/>
  <c r="I448" i="17"/>
  <c r="J448" i="9"/>
  <c r="J577" i="9"/>
  <c r="I581" i="17"/>
  <c r="J581" i="9"/>
  <c r="I627" i="17"/>
  <c r="J627" i="9"/>
  <c r="I816" i="17"/>
  <c r="J816" i="9"/>
  <c r="J102" i="8" s="1"/>
  <c r="M102" i="8" s="1"/>
  <c r="F26" i="10" s="1"/>
  <c r="I931" i="17"/>
  <c r="J931" i="9"/>
  <c r="I1188" i="17"/>
  <c r="J1188" i="9"/>
  <c r="I42" i="17"/>
  <c r="J42" i="9"/>
  <c r="I209" i="17"/>
  <c r="J209" i="9"/>
  <c r="J226" i="9"/>
  <c r="I245" i="17"/>
  <c r="J245" i="9"/>
  <c r="I540" i="17"/>
  <c r="J540" i="9"/>
  <c r="J565" i="9"/>
  <c r="J737" i="9"/>
  <c r="I1342" i="17"/>
  <c r="J1342" i="9"/>
  <c r="I1533" i="17"/>
  <c r="J1533" i="9"/>
  <c r="I393" i="17"/>
  <c r="Q393" i="17" s="1"/>
  <c r="J393" i="9"/>
  <c r="I569" i="17"/>
  <c r="J569" i="9"/>
  <c r="I1476" i="17"/>
  <c r="J1476" i="9"/>
  <c r="J78" i="9"/>
  <c r="I217" i="17"/>
  <c r="J217" i="9"/>
  <c r="I353" i="17"/>
  <c r="Q353" i="17" s="1"/>
  <c r="J353" i="9"/>
  <c r="I491" i="17"/>
  <c r="J491" i="9"/>
  <c r="I734" i="17"/>
  <c r="J734" i="9"/>
  <c r="I870" i="17"/>
  <c r="J870" i="9"/>
  <c r="J962" i="9"/>
  <c r="I286" i="17"/>
  <c r="J286" i="9"/>
  <c r="I628" i="17"/>
  <c r="J628" i="9"/>
  <c r="I1393" i="17"/>
  <c r="J1393" i="9"/>
  <c r="I1513" i="17"/>
  <c r="J1513" i="9"/>
  <c r="I21" i="17"/>
  <c r="J21" i="9"/>
  <c r="I534" i="17"/>
  <c r="Q534" i="17" s="1"/>
  <c r="J534" i="9"/>
  <c r="I323" i="17"/>
  <c r="J323" i="9"/>
  <c r="I69" i="17"/>
  <c r="J69" i="9"/>
  <c r="I273" i="17"/>
  <c r="J273" i="9"/>
  <c r="I333" i="17"/>
  <c r="J333" i="9"/>
  <c r="I898" i="17"/>
  <c r="J898" i="9"/>
  <c r="I1283" i="17"/>
  <c r="J1283" i="9"/>
  <c r="I49" i="17"/>
  <c r="J49" i="9"/>
  <c r="I1106" i="17"/>
  <c r="J1106" i="9"/>
  <c r="I649" i="17"/>
  <c r="J649" i="9"/>
  <c r="I135" i="17"/>
  <c r="J135" i="9"/>
  <c r="I177" i="17"/>
  <c r="J177" i="9"/>
  <c r="I476" i="17"/>
  <c r="J476" i="9"/>
  <c r="I1448" i="17"/>
  <c r="J1448" i="9"/>
  <c r="I671" i="17"/>
  <c r="J671" i="9"/>
  <c r="I1315" i="17"/>
  <c r="J1315" i="9"/>
  <c r="I87" i="17"/>
  <c r="Q87" i="17" s="1"/>
  <c r="J87" i="9"/>
  <c r="I345" i="17"/>
  <c r="J345" i="9"/>
  <c r="I378" i="17"/>
  <c r="J378" i="9"/>
  <c r="J321" i="9"/>
  <c r="I500" i="17"/>
  <c r="J500" i="9"/>
  <c r="I620" i="17"/>
  <c r="J620" i="9"/>
  <c r="I763" i="17"/>
  <c r="J763" i="9"/>
  <c r="I1195" i="17"/>
  <c r="J1195" i="9"/>
  <c r="I1655" i="17"/>
  <c r="J1655" i="9"/>
  <c r="J1703" i="9"/>
  <c r="J672" i="9"/>
  <c r="J680" i="9"/>
  <c r="J764" i="9"/>
  <c r="J860" i="9"/>
  <c r="J940" i="9"/>
  <c r="J125" i="8" s="1"/>
  <c r="M125" i="8" s="1"/>
  <c r="F50" i="10" s="1"/>
  <c r="J50" i="10" s="1"/>
  <c r="J952" i="9"/>
  <c r="J1000" i="9"/>
  <c r="J1067" i="9"/>
  <c r="J1246" i="9"/>
  <c r="J1449" i="9"/>
  <c r="J1477" i="9"/>
  <c r="J1541" i="9"/>
  <c r="J1645" i="9"/>
  <c r="J1656" i="9"/>
  <c r="J1668" i="9"/>
  <c r="J1727" i="9"/>
  <c r="J237" i="8" s="1"/>
  <c r="M237" i="8" s="1"/>
  <c r="F177" i="10" s="1"/>
  <c r="J177" i="10" s="1"/>
  <c r="J1747" i="9"/>
  <c r="J1754" i="9"/>
  <c r="J1766" i="9"/>
  <c r="J1035" i="9"/>
  <c r="J1148" i="9"/>
  <c r="J1268" i="9"/>
  <c r="J1486" i="9"/>
  <c r="J1617" i="9"/>
  <c r="J1631" i="9"/>
  <c r="J9" i="9"/>
  <c r="J31" i="9"/>
  <c r="J92" i="9"/>
  <c r="J106" i="9"/>
  <c r="J124" i="9"/>
  <c r="J178" i="9"/>
  <c r="J210" i="9"/>
  <c r="J325" i="9"/>
  <c r="J365" i="9"/>
  <c r="J462" i="9"/>
  <c r="J562" i="9"/>
  <c r="J614" i="9"/>
  <c r="J629" i="9"/>
  <c r="J673" i="9"/>
  <c r="J681" i="9"/>
  <c r="J754" i="9"/>
  <c r="J765" i="9"/>
  <c r="J810" i="9"/>
  <c r="J100" i="8" s="1"/>
  <c r="M100" i="8" s="1"/>
  <c r="F24" i="10" s="1"/>
  <c r="J24" i="10" s="1"/>
  <c r="J852" i="9"/>
  <c r="J883" i="9"/>
  <c r="J1001" i="9"/>
  <c r="J1157" i="9"/>
  <c r="J1280" i="9"/>
  <c r="J1336" i="9"/>
  <c r="J1416" i="9"/>
  <c r="J1450" i="9"/>
  <c r="J1498" i="9"/>
  <c r="J1639" i="9"/>
  <c r="J1646" i="9"/>
  <c r="J1657" i="9"/>
  <c r="J1669" i="9"/>
  <c r="J1748" i="9"/>
  <c r="J1767" i="9"/>
  <c r="J1782" i="9"/>
  <c r="J1802" i="9"/>
  <c r="J53" i="9"/>
  <c r="J156" i="9"/>
  <c r="J297" i="9"/>
  <c r="J313" i="9"/>
  <c r="J357" i="9"/>
  <c r="J372" i="9"/>
  <c r="J400" i="9"/>
  <c r="J453" i="9"/>
  <c r="J475" i="9"/>
  <c r="J626" i="9"/>
  <c r="J670" i="9"/>
  <c r="J694" i="9"/>
  <c r="J716" i="9"/>
  <c r="J731" i="9"/>
  <c r="J798" i="9"/>
  <c r="J96" i="8" s="1"/>
  <c r="M96" i="8" s="1"/>
  <c r="F20" i="10" s="1"/>
  <c r="J843" i="9"/>
  <c r="J874" i="9"/>
  <c r="J897" i="9"/>
  <c r="J930" i="9"/>
  <c r="J993" i="9"/>
  <c r="J1098" i="9"/>
  <c r="J1293" i="9"/>
  <c r="J1341" i="9"/>
  <c r="J1374" i="9"/>
  <c r="J190" i="8" s="1"/>
  <c r="M190" i="8" s="1"/>
  <c r="J1569" i="9"/>
  <c r="J1628" i="9"/>
  <c r="J1654" i="9"/>
  <c r="J1712" i="9"/>
  <c r="J232" i="8" s="1"/>
  <c r="M232" i="8" s="1"/>
  <c r="F172" i="10" s="1"/>
  <c r="J1733" i="9"/>
  <c r="J239" i="8" s="1"/>
  <c r="M239" i="8" s="1"/>
  <c r="F179" i="10" s="1"/>
  <c r="J179" i="10" s="1"/>
  <c r="J1745" i="9"/>
  <c r="J1814" i="9"/>
  <c r="J1822" i="9"/>
  <c r="J1012" i="9"/>
  <c r="J1197" i="9"/>
  <c r="J1594" i="9"/>
  <c r="J1650" i="9"/>
  <c r="J1692" i="9"/>
  <c r="J6" i="9"/>
  <c r="J28" i="9"/>
  <c r="J63" i="9"/>
  <c r="J202" i="9"/>
  <c r="J310" i="9"/>
  <c r="J369" i="9"/>
  <c r="J384" i="9"/>
  <c r="J426" i="9"/>
  <c r="J506" i="9"/>
  <c r="J550" i="9"/>
  <c r="J720" i="9"/>
  <c r="J880" i="9"/>
  <c r="J911" i="9"/>
  <c r="J1078" i="9"/>
  <c r="J1135" i="9"/>
  <c r="J154" i="8" s="1"/>
  <c r="M154" i="8" s="1"/>
  <c r="F85" i="10" s="1"/>
  <c r="J1154" i="9"/>
  <c r="J1221" i="9"/>
  <c r="J1298" i="9"/>
  <c r="J182" i="8" s="1"/>
  <c r="M182" i="8" s="1"/>
  <c r="J1310" i="9"/>
  <c r="J1318" i="9"/>
  <c r="J1330" i="9"/>
  <c r="J1463" i="9"/>
  <c r="J1514" i="9"/>
  <c r="J1522" i="9"/>
  <c r="J1561" i="9"/>
  <c r="J1443" i="9"/>
  <c r="J1724" i="9"/>
  <c r="J236" i="8" s="1"/>
  <c r="M236" i="8" s="1"/>
  <c r="F176" i="10" s="1"/>
  <c r="J176" i="10" s="1"/>
  <c r="J1805" i="9"/>
  <c r="J1860" i="9"/>
  <c r="J524" i="9"/>
  <c r="J591" i="9"/>
  <c r="J600" i="9"/>
  <c r="J612" i="9"/>
  <c r="J639" i="9"/>
  <c r="J705" i="9"/>
  <c r="J2" i="8" s="1"/>
  <c r="M2" i="8" s="1"/>
  <c r="J729" i="9"/>
  <c r="J752" i="9"/>
  <c r="J850" i="9"/>
  <c r="J924" i="9"/>
  <c r="J935" i="9"/>
  <c r="J947" i="9"/>
  <c r="J969" i="9"/>
  <c r="J1204" i="9"/>
  <c r="J1278" i="9"/>
  <c r="J1334" i="9"/>
  <c r="J1363" i="9"/>
  <c r="J1395" i="9"/>
  <c r="J1409" i="9"/>
  <c r="J1496" i="9"/>
  <c r="J1535" i="9"/>
  <c r="J1549" i="9"/>
  <c r="J1567" i="9"/>
  <c r="J1626" i="9"/>
  <c r="J1637" i="9"/>
  <c r="J1780" i="9"/>
  <c r="J1800" i="9"/>
  <c r="J1820" i="9"/>
  <c r="J1836" i="9"/>
  <c r="J117" i="9"/>
  <c r="J188" i="9"/>
  <c r="J256" i="9"/>
  <c r="J261" i="9"/>
  <c r="J308" i="9"/>
  <c r="J367" i="9"/>
  <c r="J415" i="9"/>
  <c r="J464" i="9"/>
  <c r="J536" i="9"/>
  <c r="J683" i="9"/>
  <c r="J726" i="9"/>
  <c r="J776" i="9"/>
  <c r="J89" i="8" s="1"/>
  <c r="M89" i="8" s="1"/>
  <c r="F14" i="10" s="1"/>
  <c r="J14" i="10" s="1"/>
  <c r="J780" i="9"/>
  <c r="J90" i="8" s="1"/>
  <c r="M90" i="8" s="1"/>
  <c r="F15" i="10" s="1"/>
  <c r="J15" i="10" s="1"/>
  <c r="J973" i="9"/>
  <c r="J1123" i="9"/>
  <c r="J1182" i="9"/>
  <c r="J1187" i="9"/>
  <c r="J1282" i="9"/>
  <c r="J1360" i="9"/>
  <c r="J1392" i="9"/>
  <c r="J1488" i="9"/>
  <c r="J1694" i="9"/>
  <c r="J1762" i="9"/>
  <c r="J1773" i="9"/>
  <c r="J1788" i="9"/>
  <c r="F506" i="12"/>
  <c r="I1109" i="9"/>
  <c r="I1857" i="9"/>
  <c r="I1873" i="9"/>
  <c r="I1407" i="9"/>
  <c r="I847" i="9"/>
  <c r="I1413" i="9"/>
  <c r="I1218" i="9"/>
  <c r="I857" i="9"/>
  <c r="I1419" i="9"/>
  <c r="I959" i="9"/>
  <c r="I867" i="9"/>
  <c r="I1102" i="9"/>
  <c r="I980" i="9"/>
  <c r="I1865" i="9"/>
  <c r="I895" i="9"/>
  <c r="I1026" i="9"/>
  <c r="I905" i="9"/>
  <c r="I878" i="9"/>
  <c r="I1073" i="9"/>
  <c r="I233" i="9"/>
  <c r="I1017" i="9"/>
  <c r="I174" i="9"/>
  <c r="I84" i="9"/>
  <c r="I104" i="9"/>
  <c r="I146" i="9"/>
  <c r="I74" i="9"/>
  <c r="I243" i="9"/>
  <c r="I121" i="9"/>
  <c r="I96" i="9"/>
  <c r="I47" i="9"/>
  <c r="I25" i="9"/>
  <c r="I138" i="9"/>
  <c r="I160" i="9"/>
  <c r="I1045" i="9"/>
  <c r="I1146" i="9"/>
  <c r="I206" i="9"/>
  <c r="I167" i="9"/>
  <c r="I152" i="9"/>
  <c r="I58" i="9"/>
  <c r="I36" i="9"/>
  <c r="I14" i="9"/>
  <c r="I1401" i="9"/>
  <c r="I112" i="9"/>
  <c r="I90" i="9"/>
  <c r="I222" i="9"/>
  <c r="I130" i="9"/>
  <c r="P92" i="8"/>
  <c r="J60" i="10"/>
  <c r="F507" i="12"/>
  <c r="I1230" i="9"/>
  <c r="I1245" i="9"/>
  <c r="I1237" i="9"/>
  <c r="I1153" i="9"/>
  <c r="I1202" i="9"/>
  <c r="I1194" i="9"/>
  <c r="I1186" i="9"/>
  <c r="I1210" i="9"/>
  <c r="I260" i="9"/>
  <c r="I269" i="9"/>
  <c r="I251" i="9"/>
  <c r="P174" i="8"/>
  <c r="J163" i="10"/>
  <c r="F511" i="12"/>
  <c r="I703" i="9"/>
  <c r="J164" i="10"/>
  <c r="J191" i="10"/>
  <c r="I191" i="10"/>
  <c r="M191" i="10" s="1"/>
  <c r="F619" i="12"/>
  <c r="I1858" i="9"/>
  <c r="B21" i="13"/>
  <c r="D2" i="4"/>
  <c r="E2" i="4" s="1"/>
  <c r="D10" i="4"/>
  <c r="E10" i="4" s="1"/>
  <c r="D6" i="4"/>
  <c r="E6" i="4" s="1"/>
  <c r="D5" i="4"/>
  <c r="E5" i="4" s="1"/>
  <c r="D8" i="4"/>
  <c r="E8" i="4" s="1"/>
  <c r="D505" i="12"/>
  <c r="F11" i="5"/>
  <c r="F34" i="10"/>
  <c r="D9" i="4"/>
  <c r="E9" i="4" s="1"/>
  <c r="D510" i="12"/>
  <c r="F12" i="5"/>
  <c r="D620" i="12"/>
  <c r="F13" i="5"/>
  <c r="F502" i="12"/>
  <c r="I1856" i="9"/>
  <c r="I1351" i="9"/>
  <c r="I1506" i="9"/>
  <c r="I458" i="9"/>
  <c r="I1864" i="9"/>
  <c r="I1571" i="9"/>
  <c r="I1872" i="9"/>
  <c r="I1518" i="9"/>
  <c r="I1467" i="9"/>
  <c r="I1537" i="9"/>
  <c r="I1217" i="9"/>
  <c r="I1579" i="9"/>
  <c r="I1426" i="9"/>
  <c r="I1493" i="9"/>
  <c r="I894" i="9"/>
  <c r="I1546" i="9"/>
  <c r="I1044" i="9"/>
  <c r="I1555" i="9"/>
  <c r="I856" i="9"/>
  <c r="I1480" i="9"/>
  <c r="I1440" i="9"/>
  <c r="I958" i="9"/>
  <c r="I1454" i="9"/>
  <c r="I1528" i="9"/>
  <c r="I469" i="9"/>
  <c r="I866" i="9"/>
  <c r="I1563" i="9"/>
  <c r="I846" i="9"/>
  <c r="I221" i="9"/>
  <c r="I904" i="9"/>
  <c r="I407" i="9"/>
  <c r="I232" i="9"/>
  <c r="I596" i="9"/>
  <c r="I559" i="9"/>
  <c r="I444" i="9"/>
  <c r="I1016" i="9"/>
  <c r="I205" i="9"/>
  <c r="I979" i="9"/>
  <c r="I57" i="9"/>
  <c r="I35" i="9"/>
  <c r="I13" i="9"/>
  <c r="I111" i="9"/>
  <c r="I173" i="9"/>
  <c r="I877" i="9"/>
  <c r="I690" i="9"/>
  <c r="I421" i="9"/>
  <c r="I103" i="9"/>
  <c r="I73" i="9"/>
  <c r="I46" i="9"/>
  <c r="I24" i="9"/>
  <c r="I120" i="9"/>
  <c r="F503" i="12"/>
  <c r="I1025" i="9"/>
  <c r="I129" i="9"/>
  <c r="F166" i="10"/>
  <c r="F204" i="10"/>
  <c r="L53" i="9"/>
  <c r="M53" i="9" s="1"/>
  <c r="L78" i="9"/>
  <c r="M78" i="9" s="1"/>
  <c r="L91" i="9"/>
  <c r="M91" i="9" s="1"/>
  <c r="L121" i="9"/>
  <c r="M121" i="9" s="1"/>
  <c r="L160" i="9"/>
  <c r="M160" i="9" s="1"/>
  <c r="L177" i="9"/>
  <c r="M177" i="9" s="1"/>
  <c r="I271" i="17"/>
  <c r="J271" i="9"/>
  <c r="L385" i="9"/>
  <c r="M385" i="9" s="1"/>
  <c r="L417" i="9"/>
  <c r="M417" i="9" s="1"/>
  <c r="L82" i="9"/>
  <c r="M82" i="9" s="1"/>
  <c r="I95" i="17"/>
  <c r="J95" i="9"/>
  <c r="L99" i="9"/>
  <c r="M99" i="9" s="1"/>
  <c r="L139" i="9"/>
  <c r="M139" i="9" s="1"/>
  <c r="L172" i="9"/>
  <c r="M172" i="9" s="1"/>
  <c r="L196" i="9"/>
  <c r="M196" i="9" s="1"/>
  <c r="L271" i="9"/>
  <c r="M271" i="9" s="1"/>
  <c r="I301" i="17"/>
  <c r="J301" i="9"/>
  <c r="F504" i="12"/>
  <c r="I702" i="9"/>
  <c r="P157" i="8"/>
  <c r="F196" i="10"/>
  <c r="I29" i="17"/>
  <c r="J29" i="9"/>
  <c r="L75" i="9"/>
  <c r="M75" i="9" s="1"/>
  <c r="L152" i="9"/>
  <c r="M152" i="9" s="1"/>
  <c r="L164" i="9"/>
  <c r="M164" i="9" s="1"/>
  <c r="L203" i="9"/>
  <c r="M203" i="9" s="1"/>
  <c r="L309" i="9"/>
  <c r="M309" i="9" s="1"/>
  <c r="I356" i="17"/>
  <c r="Q356" i="17" s="1"/>
  <c r="J356" i="9"/>
  <c r="F211" i="10"/>
  <c r="L63" i="9"/>
  <c r="M63" i="9" s="1"/>
  <c r="I70" i="17"/>
  <c r="J70" i="9"/>
  <c r="L87" i="9"/>
  <c r="M87" i="9" s="1"/>
  <c r="L131" i="9"/>
  <c r="M131" i="9" s="1"/>
  <c r="L143" i="9"/>
  <c r="M143" i="9" s="1"/>
  <c r="L181" i="9"/>
  <c r="M181" i="9" s="1"/>
  <c r="I189" i="17"/>
  <c r="J189" i="9"/>
  <c r="F111" i="10"/>
  <c r="D508" i="12"/>
  <c r="F5" i="5"/>
  <c r="L1853" i="9"/>
  <c r="M1853" i="9" s="1"/>
  <c r="L1848" i="9"/>
  <c r="M1848" i="9" s="1"/>
  <c r="L1784" i="9"/>
  <c r="M1784" i="9" s="1"/>
  <c r="L1699" i="9"/>
  <c r="M1699" i="9" s="1"/>
  <c r="L1619" i="9"/>
  <c r="M1619" i="9" s="1"/>
  <c r="L1584" i="9"/>
  <c r="M1584" i="9" s="1"/>
  <c r="L1227" i="9"/>
  <c r="M1227" i="9" s="1"/>
  <c r="L1222" i="9"/>
  <c r="M1222" i="9" s="1"/>
  <c r="L652" i="9"/>
  <c r="M652" i="9" s="1"/>
  <c r="L645" i="9"/>
  <c r="M645" i="9" s="1"/>
  <c r="L1872" i="9"/>
  <c r="M1872" i="9" s="1"/>
  <c r="L1858" i="9"/>
  <c r="L1855" i="9"/>
  <c r="M1855" i="9" s="1"/>
  <c r="L1852" i="9"/>
  <c r="M1852" i="9" s="1"/>
  <c r="L1822" i="9"/>
  <c r="M1822" i="9" s="1"/>
  <c r="L1809" i="9"/>
  <c r="L1801" i="9"/>
  <c r="M1801" i="9" s="1"/>
  <c r="L1787" i="9"/>
  <c r="M1787" i="9" s="1"/>
  <c r="L1772" i="9"/>
  <c r="M1772" i="9" s="1"/>
  <c r="L1748" i="9"/>
  <c r="M1748" i="9" s="1"/>
  <c r="L1795" i="9"/>
  <c r="M1795" i="9" s="1"/>
  <c r="L1605" i="9"/>
  <c r="M1605" i="9" s="1"/>
  <c r="L1548" i="9"/>
  <c r="M1548" i="9" s="1"/>
  <c r="L1432" i="9"/>
  <c r="M1432" i="9" s="1"/>
  <c r="L1171" i="9"/>
  <c r="M1171" i="9" s="1"/>
  <c r="L1866" i="9"/>
  <c r="M1866" i="9" s="1"/>
  <c r="L1702" i="9"/>
  <c r="M1702" i="9" s="1"/>
  <c r="L1635" i="9"/>
  <c r="M1635" i="9" s="1"/>
  <c r="L1591" i="9"/>
  <c r="M1591" i="9" s="1"/>
  <c r="L1721" i="9"/>
  <c r="M1721" i="9" s="1"/>
  <c r="L1674" i="9"/>
  <c r="M1674" i="9" s="1"/>
  <c r="L1557" i="9"/>
  <c r="M1557" i="9" s="1"/>
  <c r="L1458" i="9"/>
  <c r="M1458" i="9" s="1"/>
  <c r="L1629" i="9"/>
  <c r="M1629" i="9" s="1"/>
  <c r="L1470" i="9"/>
  <c r="M1470" i="9" s="1"/>
  <c r="L1339" i="9"/>
  <c r="M1339" i="9" s="1"/>
  <c r="L1336" i="9"/>
  <c r="L1102" i="9"/>
  <c r="M1102" i="9" s="1"/>
  <c r="L1067" i="9"/>
  <c r="M1067" i="9" s="1"/>
  <c r="L1028" i="9"/>
  <c r="M1028" i="9" s="1"/>
  <c r="L1873" i="9"/>
  <c r="M1873" i="9" s="1"/>
  <c r="L1835" i="9"/>
  <c r="L1517" i="9"/>
  <c r="M1517" i="9" s="1"/>
  <c r="L1457" i="9"/>
  <c r="M1457" i="9" s="1"/>
  <c r="L1396" i="9"/>
  <c r="M1396" i="9" s="1"/>
  <c r="L1372" i="9"/>
  <c r="M1372" i="9" s="1"/>
  <c r="L1878" i="9"/>
  <c r="L1812" i="9"/>
  <c r="M1812" i="9" s="1"/>
  <c r="L1714" i="9"/>
  <c r="M1714" i="9" s="1"/>
  <c r="L1409" i="9"/>
  <c r="M1409" i="9" s="1"/>
  <c r="L1386" i="9"/>
  <c r="M1386" i="9" s="1"/>
  <c r="L1366" i="9"/>
  <c r="M1366" i="9" s="1"/>
  <c r="L1322" i="9"/>
  <c r="M1322" i="9" s="1"/>
  <c r="L1024" i="9"/>
  <c r="M1024" i="9" s="1"/>
  <c r="L1003" i="9"/>
  <c r="M1003" i="9" s="1"/>
  <c r="L1869" i="9"/>
  <c r="M1869" i="9" s="1"/>
  <c r="L1843" i="9"/>
  <c r="M1843" i="9" s="1"/>
  <c r="L1828" i="9"/>
  <c r="M1828" i="9" s="1"/>
  <c r="L1630" i="9"/>
  <c r="M1630" i="9" s="1"/>
  <c r="L1317" i="9"/>
  <c r="M1317" i="9" s="1"/>
  <c r="L1789" i="9"/>
  <c r="M1789" i="9" s="1"/>
  <c r="L1783" i="9"/>
  <c r="M1783" i="9" s="1"/>
  <c r="L1719" i="9"/>
  <c r="M1719" i="9" s="1"/>
  <c r="L1706" i="9"/>
  <c r="L1694" i="9"/>
  <c r="M1694" i="9" s="1"/>
  <c r="L1574" i="9"/>
  <c r="M1574" i="9" s="1"/>
  <c r="L1561" i="9"/>
  <c r="M1561" i="9" s="1"/>
  <c r="L1543" i="9"/>
  <c r="M1543" i="9" s="1"/>
  <c r="L1301" i="9"/>
  <c r="M1301" i="9" s="1"/>
  <c r="L1232" i="9"/>
  <c r="M1232" i="9" s="1"/>
  <c r="L1187" i="9"/>
  <c r="M1187" i="9" s="1"/>
  <c r="L1184" i="9"/>
  <c r="M1184" i="9" s="1"/>
  <c r="L1142" i="9"/>
  <c r="M1142" i="9" s="1"/>
  <c r="L1019" i="9"/>
  <c r="M1019" i="9" s="1"/>
  <c r="L1002" i="9"/>
  <c r="M1002" i="9" s="1"/>
  <c r="L962" i="9"/>
  <c r="M962" i="9" s="1"/>
  <c r="L1747" i="9"/>
  <c r="M1747" i="9" s="1"/>
  <c r="L1741" i="9"/>
  <c r="M1741" i="9" s="1"/>
  <c r="L1725" i="9"/>
  <c r="M1725" i="9" s="1"/>
  <c r="L1623" i="9"/>
  <c r="M1623" i="9" s="1"/>
  <c r="L1589" i="9"/>
  <c r="M1589" i="9" s="1"/>
  <c r="L1555" i="9"/>
  <c r="M1555" i="9" s="1"/>
  <c r="L1516" i="9"/>
  <c r="M1516" i="9" s="1"/>
  <c r="L1445" i="9"/>
  <c r="M1445" i="9" s="1"/>
  <c r="L1326" i="9"/>
  <c r="M1326" i="9" s="1"/>
  <c r="L1312" i="9"/>
  <c r="M1312" i="9" s="1"/>
  <c r="L1277" i="9"/>
  <c r="M1277" i="9" s="1"/>
  <c r="L1229" i="9"/>
  <c r="M1229" i="9" s="1"/>
  <c r="L1195" i="9"/>
  <c r="M1195" i="9" s="1"/>
  <c r="L1163" i="9"/>
  <c r="M1163" i="9" s="1"/>
  <c r="L1145" i="9"/>
  <c r="M1145" i="9" s="1"/>
  <c r="L983" i="9"/>
  <c r="M983" i="9" s="1"/>
  <c r="L967" i="9"/>
  <c r="M967" i="9" s="1"/>
  <c r="L1862" i="9"/>
  <c r="M1862" i="9" s="1"/>
  <c r="L1859" i="9"/>
  <c r="L1838" i="9"/>
  <c r="L1799" i="9"/>
  <c r="L1709" i="9"/>
  <c r="M1709" i="9" s="1"/>
  <c r="L1696" i="9"/>
  <c r="L1670" i="9"/>
  <c r="M1670" i="9" s="1"/>
  <c r="L1658" i="9"/>
  <c r="M1658" i="9" s="1"/>
  <c r="L1646" i="9"/>
  <c r="L1592" i="9"/>
  <c r="M1592" i="9" s="1"/>
  <c r="L1580" i="9"/>
  <c r="M1580" i="9" s="1"/>
  <c r="L1558" i="9"/>
  <c r="M1558" i="9" s="1"/>
  <c r="L1552" i="9"/>
  <c r="M1552" i="9" s="1"/>
  <c r="L1536" i="9"/>
  <c r="M1536" i="9" s="1"/>
  <c r="L1459" i="9"/>
  <c r="L1426" i="9"/>
  <c r="L1416" i="9"/>
  <c r="L1358" i="9"/>
  <c r="M1358" i="9" s="1"/>
  <c r="L1352" i="9"/>
  <c r="M1352" i="9" s="1"/>
  <c r="L1346" i="9"/>
  <c r="M1346" i="9" s="1"/>
  <c r="L1282" i="9"/>
  <c r="M1282" i="9" s="1"/>
  <c r="L1247" i="9"/>
  <c r="M1247" i="9" s="1"/>
  <c r="L1223" i="9"/>
  <c r="M1223" i="9" s="1"/>
  <c r="L1071" i="9"/>
  <c r="L1780" i="9"/>
  <c r="M1780" i="9" s="1"/>
  <c r="L1762" i="9"/>
  <c r="M1762" i="9" s="1"/>
  <c r="L1759" i="9"/>
  <c r="M1759" i="9" s="1"/>
  <c r="L1744" i="9"/>
  <c r="M1744" i="9" s="1"/>
  <c r="L1731" i="9"/>
  <c r="M1731" i="9" s="1"/>
  <c r="L1688" i="9"/>
  <c r="M1688" i="9" s="1"/>
  <c r="L1601" i="9"/>
  <c r="M1601" i="9" s="1"/>
  <c r="L1524" i="9"/>
  <c r="M1524" i="9" s="1"/>
  <c r="L1518" i="9"/>
  <c r="M1518" i="9" s="1"/>
  <c r="L1487" i="9"/>
  <c r="M1487" i="9" s="1"/>
  <c r="L1450" i="9"/>
  <c r="M1450" i="9" s="1"/>
  <c r="L1435" i="9"/>
  <c r="M1435" i="9" s="1"/>
  <c r="L1200" i="9"/>
  <c r="M1200" i="9" s="1"/>
  <c r="L1197" i="9"/>
  <c r="L1192" i="9"/>
  <c r="M1192" i="9" s="1"/>
  <c r="L1189" i="9"/>
  <c r="M1189" i="9" s="1"/>
  <c r="L1055" i="9"/>
  <c r="M1055" i="9" s="1"/>
  <c r="L795" i="9"/>
  <c r="M795" i="9" s="1"/>
  <c r="L1876" i="9"/>
  <c r="M1876" i="9" s="1"/>
  <c r="L1845" i="9"/>
  <c r="M1845" i="9" s="1"/>
  <c r="L1841" i="9"/>
  <c r="M1841" i="9" s="1"/>
  <c r="L1831" i="9"/>
  <c r="L1715" i="9"/>
  <c r="L1712" i="9"/>
  <c r="M1712" i="9" s="1"/>
  <c r="L1664" i="9"/>
  <c r="M1664" i="9" s="1"/>
  <c r="L1655" i="9"/>
  <c r="M1655" i="9" s="1"/>
  <c r="L1631" i="9"/>
  <c r="L1607" i="9"/>
  <c r="L1604" i="9"/>
  <c r="L1504" i="9"/>
  <c r="M1504" i="9" s="1"/>
  <c r="L1467" i="9"/>
  <c r="M1467" i="9" s="1"/>
  <c r="L1464" i="9"/>
  <c r="M1464" i="9" s="1"/>
  <c r="L1441" i="9"/>
  <c r="M1441" i="9" s="1"/>
  <c r="L1412" i="9"/>
  <c r="L1399" i="9"/>
  <c r="M1399" i="9" s="1"/>
  <c r="L1383" i="9"/>
  <c r="M1383" i="9" s="1"/>
  <c r="L1343" i="9"/>
  <c r="M1343" i="9" s="1"/>
  <c r="L1334" i="9"/>
  <c r="M1334" i="9" s="1"/>
  <c r="L1297" i="9"/>
  <c r="M1297" i="9" s="1"/>
  <c r="L1279" i="9"/>
  <c r="M1279" i="9" s="1"/>
  <c r="L1234" i="9"/>
  <c r="L1211" i="9"/>
  <c r="L1208" i="9"/>
  <c r="M1208" i="9" s="1"/>
  <c r="L1205" i="9"/>
  <c r="M1205" i="9" s="1"/>
  <c r="L1159" i="9"/>
  <c r="M1159" i="9" s="1"/>
  <c r="L1156" i="9"/>
  <c r="M1156" i="9" s="1"/>
  <c r="L1141" i="9"/>
  <c r="L1138" i="9"/>
  <c r="M1138" i="9" s="1"/>
  <c r="L1120" i="9"/>
  <c r="M1120" i="9" s="1"/>
  <c r="L1117" i="9"/>
  <c r="M1117" i="9" s="1"/>
  <c r="L1114" i="9"/>
  <c r="L1108" i="9"/>
  <c r="M1108" i="9" s="1"/>
  <c r="L1085" i="9"/>
  <c r="M1085" i="9" s="1"/>
  <c r="L1035" i="9"/>
  <c r="M1035" i="9" s="1"/>
  <c r="L1032" i="9"/>
  <c r="M1032" i="9" s="1"/>
  <c r="L1814" i="9"/>
  <c r="L1811" i="9"/>
  <c r="M1811" i="9" s="1"/>
  <c r="L1782" i="9"/>
  <c r="M1782" i="9" s="1"/>
  <c r="L1752" i="9"/>
  <c r="M1752" i="9" s="1"/>
  <c r="L1749" i="9"/>
  <c r="M1749" i="9" s="1"/>
  <c r="L1610" i="9"/>
  <c r="M1610" i="9" s="1"/>
  <c r="L1573" i="9"/>
  <c r="L1492" i="9"/>
  <c r="M1492" i="9" s="1"/>
  <c r="L1132" i="9"/>
  <c r="M1132" i="9" s="1"/>
  <c r="L1029" i="9"/>
  <c r="M1029" i="9" s="1"/>
  <c r="L993" i="9"/>
  <c r="M993" i="9" s="1"/>
  <c r="L898" i="9"/>
  <c r="M898" i="9" s="1"/>
  <c r="L761" i="9"/>
  <c r="M761" i="9" s="1"/>
  <c r="L1851" i="9"/>
  <c r="M1851" i="9" s="1"/>
  <c r="L1755" i="9"/>
  <c r="M1755" i="9" s="1"/>
  <c r="L1740" i="9"/>
  <c r="L1724" i="9"/>
  <c r="M1724" i="9" s="1"/>
  <c r="L1673" i="9"/>
  <c r="M1673" i="9" s="1"/>
  <c r="L1652" i="9"/>
  <c r="M1652" i="9" s="1"/>
  <c r="L1643" i="9"/>
  <c r="M1643" i="9" s="1"/>
  <c r="L1554" i="9"/>
  <c r="M1554" i="9" s="1"/>
  <c r="L1530" i="9"/>
  <c r="M1530" i="9" s="1"/>
  <c r="L1252" i="9"/>
  <c r="M1252" i="9" s="1"/>
  <c r="L1165" i="9"/>
  <c r="M1165" i="9" s="1"/>
  <c r="L1147" i="9"/>
  <c r="M1147" i="9" s="1"/>
  <c r="L1060" i="9"/>
  <c r="M1060" i="9" s="1"/>
  <c r="L1807" i="9"/>
  <c r="M1807" i="9" s="1"/>
  <c r="L1794" i="9"/>
  <c r="M1794" i="9" s="1"/>
  <c r="L1645" i="9"/>
  <c r="M1645" i="9" s="1"/>
  <c r="L1637" i="9"/>
  <c r="M1637" i="9" s="1"/>
  <c r="L1440" i="9"/>
  <c r="M1440" i="9" s="1"/>
  <c r="L1418" i="9"/>
  <c r="M1418" i="9" s="1"/>
  <c r="L1281" i="9"/>
  <c r="M1281" i="9" s="1"/>
  <c r="L1098" i="9"/>
  <c r="M1098" i="9" s="1"/>
  <c r="L1070" i="9"/>
  <c r="M1070" i="9" s="1"/>
  <c r="L1006" i="9"/>
  <c r="M1006" i="9" s="1"/>
  <c r="L979" i="9"/>
  <c r="M979" i="9" s="1"/>
  <c r="L1733" i="9"/>
  <c r="M1733" i="9" s="1"/>
  <c r="L1695" i="9"/>
  <c r="M1695" i="9" s="1"/>
  <c r="L1690" i="9"/>
  <c r="M1690" i="9" s="1"/>
  <c r="L1663" i="9"/>
  <c r="M1663" i="9" s="1"/>
  <c r="L1660" i="9"/>
  <c r="M1660" i="9" s="1"/>
  <c r="L1634" i="9"/>
  <c r="M1634" i="9" s="1"/>
  <c r="L1606" i="9"/>
  <c r="M1606" i="9" s="1"/>
  <c r="L1603" i="9"/>
  <c r="M1603" i="9" s="1"/>
  <c r="L1535" i="9"/>
  <c r="M1535" i="9" s="1"/>
  <c r="L1512" i="9"/>
  <c r="M1512" i="9" s="1"/>
  <c r="L1472" i="9"/>
  <c r="M1472" i="9" s="1"/>
  <c r="L1398" i="9"/>
  <c r="L1365" i="9"/>
  <c r="M1365" i="9" s="1"/>
  <c r="L1087" i="9"/>
  <c r="M1087" i="9" s="1"/>
  <c r="L1073" i="9"/>
  <c r="M1073" i="9" s="1"/>
  <c r="L871" i="9"/>
  <c r="M871" i="9" s="1"/>
  <c r="L1779" i="9"/>
  <c r="M1779" i="9" s="1"/>
  <c r="L1776" i="9"/>
  <c r="M1776" i="9" s="1"/>
  <c r="L1761" i="9"/>
  <c r="M1761" i="9" s="1"/>
  <c r="L1612" i="9"/>
  <c r="M1612" i="9" s="1"/>
  <c r="L1609" i="9"/>
  <c r="M1609" i="9" s="1"/>
  <c r="L1572" i="9"/>
  <c r="M1572" i="9" s="1"/>
  <c r="L1544" i="9"/>
  <c r="M1544" i="9" s="1"/>
  <c r="L1541" i="9"/>
  <c r="M1541" i="9" s="1"/>
  <c r="L1538" i="9"/>
  <c r="M1538" i="9" s="1"/>
  <c r="L1520" i="9"/>
  <c r="M1520" i="9" s="1"/>
  <c r="L1500" i="9"/>
  <c r="M1500" i="9" s="1"/>
  <c r="L1486" i="9"/>
  <c r="M1486" i="9" s="1"/>
  <c r="L1463" i="9"/>
  <c r="M1463" i="9" s="1"/>
  <c r="L1446" i="9"/>
  <c r="M1446" i="9" s="1"/>
  <c r="L1404" i="9"/>
  <c r="M1404" i="9" s="1"/>
  <c r="L1342" i="9"/>
  <c r="M1342" i="9" s="1"/>
  <c r="L1296" i="9"/>
  <c r="M1296" i="9" s="1"/>
  <c r="L1293" i="9"/>
  <c r="M1293" i="9" s="1"/>
  <c r="L1278" i="9"/>
  <c r="M1278" i="9" s="1"/>
  <c r="L1233" i="9"/>
  <c r="M1233" i="9" s="1"/>
  <c r="L1204" i="9"/>
  <c r="M1204" i="9" s="1"/>
  <c r="L1196" i="9"/>
  <c r="M1196" i="9" s="1"/>
  <c r="L1161" i="9"/>
  <c r="M1161" i="9" s="1"/>
  <c r="L1149" i="9"/>
  <c r="M1149" i="9" s="1"/>
  <c r="L1143" i="9"/>
  <c r="L1134" i="9"/>
  <c r="M1134" i="9" s="1"/>
  <c r="L1131" i="9"/>
  <c r="L1125" i="9"/>
  <c r="M1125" i="9" s="1"/>
  <c r="L1110" i="9"/>
  <c r="M1110" i="9" s="1"/>
  <c r="L1084" i="9"/>
  <c r="M1084" i="9" s="1"/>
  <c r="L1871" i="9"/>
  <c r="M1871" i="9" s="1"/>
  <c r="L1864" i="9"/>
  <c r="M1864" i="9" s="1"/>
  <c r="L1679" i="9"/>
  <c r="M1679" i="9" s="1"/>
  <c r="L1627" i="9"/>
  <c r="M1627" i="9" s="1"/>
  <c r="L1532" i="9"/>
  <c r="M1532" i="9" s="1"/>
  <c r="L1469" i="9"/>
  <c r="M1469" i="9" s="1"/>
  <c r="L1428" i="9"/>
  <c r="M1428" i="9" s="1"/>
  <c r="L1401" i="9"/>
  <c r="M1401" i="9" s="1"/>
  <c r="L1392" i="9"/>
  <c r="M1392" i="9" s="1"/>
  <c r="L1359" i="9"/>
  <c r="M1359" i="9" s="1"/>
  <c r="L1239" i="9"/>
  <c r="M1239" i="9" s="1"/>
  <c r="L1155" i="9"/>
  <c r="M1155" i="9" s="1"/>
  <c r="L1042" i="9"/>
  <c r="M1042" i="9" s="1"/>
  <c r="L947" i="9"/>
  <c r="M947" i="9" s="1"/>
  <c r="L842" i="9"/>
  <c r="M842" i="9" s="1"/>
  <c r="L837" i="9"/>
  <c r="M837" i="9" s="1"/>
  <c r="L776" i="9"/>
  <c r="M776" i="9" s="1"/>
  <c r="L1856" i="9"/>
  <c r="M1856" i="9" s="1"/>
  <c r="L1659" i="9"/>
  <c r="M1659" i="9" s="1"/>
  <c r="L1519" i="9"/>
  <c r="L1493" i="9"/>
  <c r="M1493" i="9" s="1"/>
  <c r="L1686" i="9"/>
  <c r="M1686" i="9" s="1"/>
  <c r="L1665" i="9"/>
  <c r="L1433" i="9"/>
  <c r="M1433" i="9" s="1"/>
  <c r="L1295" i="9"/>
  <c r="M1295" i="9" s="1"/>
  <c r="L1241" i="9"/>
  <c r="M1241" i="9" s="1"/>
  <c r="L1033" i="9"/>
  <c r="M1033" i="9" s="1"/>
  <c r="L977" i="9"/>
  <c r="M977" i="9" s="1"/>
  <c r="L974" i="9"/>
  <c r="M974" i="9" s="1"/>
  <c r="L961" i="9"/>
  <c r="M961" i="9" s="1"/>
  <c r="L944" i="9"/>
  <c r="M944" i="9" s="1"/>
  <c r="L891" i="9"/>
  <c r="M891" i="9" s="1"/>
  <c r="L875" i="9"/>
  <c r="M875" i="9" s="1"/>
  <c r="L850" i="9"/>
  <c r="M850" i="9" s="1"/>
  <c r="L843" i="9"/>
  <c r="M843" i="9" s="1"/>
  <c r="L809" i="9"/>
  <c r="M809" i="9" s="1"/>
  <c r="L797" i="9"/>
  <c r="M797" i="9" s="1"/>
  <c r="L785" i="9"/>
  <c r="M785" i="9" s="1"/>
  <c r="L767" i="9"/>
  <c r="M767" i="9" s="1"/>
  <c r="L731" i="9"/>
  <c r="M731" i="9" s="1"/>
  <c r="L726" i="9"/>
  <c r="M726" i="9" s="1"/>
  <c r="L677" i="9"/>
  <c r="M677" i="9" s="1"/>
  <c r="L609" i="9"/>
  <c r="M609" i="9" s="1"/>
  <c r="L1874" i="9"/>
  <c r="M1874" i="9" s="1"/>
  <c r="L1616" i="9"/>
  <c r="M1616" i="9" s="1"/>
  <c r="L1587" i="9"/>
  <c r="M1587" i="9" s="1"/>
  <c r="L1471" i="9"/>
  <c r="M1471" i="9" s="1"/>
  <c r="L1407" i="9"/>
  <c r="M1407" i="9" s="1"/>
  <c r="L1344" i="9"/>
  <c r="M1344" i="9" s="1"/>
  <c r="L1092" i="9"/>
  <c r="M1092" i="9" s="1"/>
  <c r="L1036" i="9"/>
  <c r="M1036" i="9" s="1"/>
  <c r="L1022" i="9"/>
  <c r="M1022" i="9" s="1"/>
  <c r="L957" i="9"/>
  <c r="M957" i="9" s="1"/>
  <c r="L872" i="9"/>
  <c r="M872" i="9" s="1"/>
  <c r="L869" i="9"/>
  <c r="M869" i="9" s="1"/>
  <c r="L853" i="9"/>
  <c r="M853" i="9" s="1"/>
  <c r="L794" i="9"/>
  <c r="M794" i="9" s="1"/>
  <c r="L791" i="9"/>
  <c r="M791" i="9" s="1"/>
  <c r="L770" i="9"/>
  <c r="M770" i="9" s="1"/>
  <c r="L723" i="9"/>
  <c r="M723" i="9" s="1"/>
  <c r="L717" i="9"/>
  <c r="L1767" i="9"/>
  <c r="M1767" i="9" s="1"/>
  <c r="L1668" i="9"/>
  <c r="M1668" i="9" s="1"/>
  <c r="L1590" i="9"/>
  <c r="M1590" i="9" s="1"/>
  <c r="L1560" i="9"/>
  <c r="M1560" i="9" s="1"/>
  <c r="L1488" i="9"/>
  <c r="M1488" i="9" s="1"/>
  <c r="L1474" i="9"/>
  <c r="M1474" i="9" s="1"/>
  <c r="L1451" i="9"/>
  <c r="M1451" i="9" s="1"/>
  <c r="L1202" i="9"/>
  <c r="M1202" i="9" s="1"/>
  <c r="L1198" i="9"/>
  <c r="M1198" i="9" s="1"/>
  <c r="L1115" i="9"/>
  <c r="M1115" i="9" s="1"/>
  <c r="L981" i="9"/>
  <c r="M981" i="9" s="1"/>
  <c r="L964" i="9"/>
  <c r="M964" i="9" s="1"/>
  <c r="L953" i="9"/>
  <c r="M953" i="9" s="1"/>
  <c r="L878" i="9"/>
  <c r="M878" i="9" s="1"/>
  <c r="L834" i="9"/>
  <c r="M834" i="9" s="1"/>
  <c r="L782" i="9"/>
  <c r="M782" i="9" s="1"/>
  <c r="L764" i="9"/>
  <c r="L753" i="9"/>
  <c r="M753" i="9" s="1"/>
  <c r="L741" i="9"/>
  <c r="M741" i="9" s="1"/>
  <c r="L733" i="9"/>
  <c r="M733" i="9" s="1"/>
  <c r="L679" i="9"/>
  <c r="M679" i="9" s="1"/>
  <c r="L664" i="9"/>
  <c r="L656" i="9"/>
  <c r="M656" i="9" s="1"/>
  <c r="L631" i="9"/>
  <c r="M631" i="9" s="1"/>
  <c r="L624" i="9"/>
  <c r="M624" i="9" s="1"/>
  <c r="L621" i="9"/>
  <c r="M621" i="9" s="1"/>
  <c r="L616" i="9"/>
  <c r="M616" i="9" s="1"/>
  <c r="L580" i="9"/>
  <c r="M580" i="9" s="1"/>
  <c r="L572" i="9"/>
  <c r="M572" i="9" s="1"/>
  <c r="L493" i="9"/>
  <c r="M493" i="9" s="1"/>
  <c r="L488" i="9"/>
  <c r="M488" i="9" s="1"/>
  <c r="L483" i="9"/>
  <c r="M483" i="9" s="1"/>
  <c r="L461" i="9"/>
  <c r="M461" i="9" s="1"/>
  <c r="L1693" i="9"/>
  <c r="M1693" i="9" s="1"/>
  <c r="L1556" i="9"/>
  <c r="M1556" i="9" s="1"/>
  <c r="L1502" i="9"/>
  <c r="M1502" i="9" s="1"/>
  <c r="L1410" i="9"/>
  <c r="M1410" i="9" s="1"/>
  <c r="L1373" i="9"/>
  <c r="M1373" i="9" s="1"/>
  <c r="L1209" i="9"/>
  <c r="M1209" i="9" s="1"/>
  <c r="L1103" i="9"/>
  <c r="M1103" i="9" s="1"/>
  <c r="L1014" i="9"/>
  <c r="M1014" i="9" s="1"/>
  <c r="L934" i="9"/>
  <c r="M934" i="9" s="1"/>
  <c r="L603" i="9"/>
  <c r="M603" i="9" s="1"/>
  <c r="L544" i="9"/>
  <c r="M544" i="9" s="1"/>
  <c r="L371" i="9"/>
  <c r="M371" i="9" s="1"/>
  <c r="L1781" i="9"/>
  <c r="M1781" i="9" s="1"/>
  <c r="L1650" i="9"/>
  <c r="M1650" i="9" s="1"/>
  <c r="L1505" i="9"/>
  <c r="M1505" i="9" s="1"/>
  <c r="L1495" i="9"/>
  <c r="M1495" i="9" s="1"/>
  <c r="L1454" i="9"/>
  <c r="M1454" i="9" s="1"/>
  <c r="L1286" i="9"/>
  <c r="L1046" i="9"/>
  <c r="M1046" i="9" s="1"/>
  <c r="L1007" i="9"/>
  <c r="M1007" i="9" s="1"/>
  <c r="L824" i="9"/>
  <c r="M824" i="9" s="1"/>
  <c r="L799" i="9"/>
  <c r="M799" i="9" s="1"/>
  <c r="L747" i="9"/>
  <c r="M747" i="9" s="1"/>
  <c r="L383" i="9"/>
  <c r="M383" i="9" s="1"/>
  <c r="L1491" i="9"/>
  <c r="M1491" i="9" s="1"/>
  <c r="L1394" i="9"/>
  <c r="M1394" i="9" s="1"/>
  <c r="L1224" i="9"/>
  <c r="M1224" i="9" s="1"/>
  <c r="L1038" i="9"/>
  <c r="M1038" i="9" s="1"/>
  <c r="L976" i="9"/>
  <c r="M976" i="9" s="1"/>
  <c r="L973" i="9"/>
  <c r="M973" i="9" s="1"/>
  <c r="L949" i="9"/>
  <c r="M949" i="9" s="1"/>
  <c r="L914" i="9"/>
  <c r="M914" i="9" s="1"/>
  <c r="L894" i="9"/>
  <c r="M894" i="9" s="1"/>
  <c r="L859" i="9"/>
  <c r="M859" i="9" s="1"/>
  <c r="L827" i="9"/>
  <c r="M827" i="9" s="1"/>
  <c r="L773" i="9"/>
  <c r="M773" i="9" s="1"/>
  <c r="L769" i="9"/>
  <c r="M769" i="9" s="1"/>
  <c r="L699" i="9"/>
  <c r="M699" i="9" s="1"/>
  <c r="L694" i="9"/>
  <c r="M694" i="9" s="1"/>
  <c r="L686" i="9"/>
  <c r="M686" i="9" s="1"/>
  <c r="L681" i="9"/>
  <c r="M681" i="9" s="1"/>
  <c r="L643" i="9"/>
  <c r="M643" i="9" s="1"/>
  <c r="L608" i="9"/>
  <c r="M608" i="9" s="1"/>
  <c r="L577" i="9"/>
  <c r="M577" i="9" s="1"/>
  <c r="L569" i="9"/>
  <c r="M569" i="9" s="1"/>
  <c r="L500" i="9"/>
  <c r="M500" i="9" s="1"/>
  <c r="L495" i="9"/>
  <c r="M495" i="9" s="1"/>
  <c r="L473" i="9"/>
  <c r="M473" i="9" s="1"/>
  <c r="L468" i="9"/>
  <c r="M468" i="9" s="1"/>
  <c r="L1763" i="9"/>
  <c r="M1763" i="9" s="1"/>
  <c r="L1656" i="9"/>
  <c r="L1325" i="9"/>
  <c r="M1325" i="9" s="1"/>
  <c r="L1267" i="9"/>
  <c r="M1267" i="9" s="1"/>
  <c r="L1201" i="9"/>
  <c r="M1201" i="9" s="1"/>
  <c r="L1179" i="9"/>
  <c r="M1179" i="9" s="1"/>
  <c r="L1066" i="9"/>
  <c r="M1066" i="9" s="1"/>
  <c r="L900" i="9"/>
  <c r="L877" i="9"/>
  <c r="M877" i="9" s="1"/>
  <c r="L865" i="9"/>
  <c r="M865" i="9" s="1"/>
  <c r="L849" i="9"/>
  <c r="M849" i="9" s="1"/>
  <c r="L796" i="9"/>
  <c r="M796" i="9" s="1"/>
  <c r="L676" i="9"/>
  <c r="M676" i="9" s="1"/>
  <c r="L628" i="9"/>
  <c r="M628" i="9" s="1"/>
  <c r="L1639" i="9"/>
  <c r="M1639" i="9" s="1"/>
  <c r="L1618" i="9"/>
  <c r="M1618" i="9" s="1"/>
  <c r="L1596" i="9"/>
  <c r="M1596" i="9" s="1"/>
  <c r="L1335" i="9"/>
  <c r="M1335" i="9" s="1"/>
  <c r="L1194" i="9"/>
  <c r="M1194" i="9" s="1"/>
  <c r="L1056" i="9"/>
  <c r="M1056" i="9" s="1"/>
  <c r="L1045" i="9"/>
  <c r="M1045" i="9" s="1"/>
  <c r="L1041" i="9"/>
  <c r="M1041" i="9" s="1"/>
  <c r="L987" i="9"/>
  <c r="M987" i="9" s="1"/>
  <c r="L930" i="9"/>
  <c r="M930" i="9" s="1"/>
  <c r="L917" i="9"/>
  <c r="M917" i="9" s="1"/>
  <c r="L897" i="9"/>
  <c r="M897" i="9" s="1"/>
  <c r="L817" i="9"/>
  <c r="M817" i="9" s="1"/>
  <c r="L814" i="9"/>
  <c r="M814" i="9" s="1"/>
  <c r="L758" i="9"/>
  <c r="M758" i="9" s="1"/>
  <c r="L755" i="9"/>
  <c r="M755" i="9" s="1"/>
  <c r="L730" i="9"/>
  <c r="M730" i="9" s="1"/>
  <c r="L725" i="9"/>
  <c r="M725" i="9" s="1"/>
  <c r="L683" i="9"/>
  <c r="M683" i="9" s="1"/>
  <c r="L623" i="9"/>
  <c r="M623" i="9" s="1"/>
  <c r="L574" i="9"/>
  <c r="M574" i="9" s="1"/>
  <c r="L531" i="9"/>
  <c r="M531" i="9" s="1"/>
  <c r="L1582" i="9"/>
  <c r="M1582" i="9" s="1"/>
  <c r="L1526" i="9"/>
  <c r="M1526" i="9" s="1"/>
  <c r="L1515" i="9"/>
  <c r="M1515" i="9" s="1"/>
  <c r="L1361" i="9"/>
  <c r="M1361" i="9" s="1"/>
  <c r="L1321" i="9"/>
  <c r="M1321" i="9" s="1"/>
  <c r="L1318" i="9"/>
  <c r="M1318" i="9" s="1"/>
  <c r="L1094" i="9"/>
  <c r="M1094" i="9" s="1"/>
  <c r="L893" i="9"/>
  <c r="M893" i="9" s="1"/>
  <c r="L880" i="9"/>
  <c r="M880" i="9" s="1"/>
  <c r="L752" i="9"/>
  <c r="M752" i="9" s="1"/>
  <c r="L716" i="9"/>
  <c r="M716" i="9" s="1"/>
  <c r="L640" i="9"/>
  <c r="M640" i="9" s="1"/>
  <c r="L630" i="9"/>
  <c r="M630" i="9" s="1"/>
  <c r="L400" i="9"/>
  <c r="M400" i="9" s="1"/>
  <c r="L1585" i="9"/>
  <c r="M1585" i="9" s="1"/>
  <c r="L1284" i="9"/>
  <c r="M1284" i="9" s="1"/>
  <c r="L1263" i="9"/>
  <c r="M1263" i="9" s="1"/>
  <c r="L1186" i="9"/>
  <c r="M1186" i="9" s="1"/>
  <c r="L1133" i="9"/>
  <c r="M1133" i="9" s="1"/>
  <c r="L1072" i="9"/>
  <c r="M1072" i="9" s="1"/>
  <c r="L1027" i="9"/>
  <c r="M1027" i="9" s="1"/>
  <c r="L1009" i="9"/>
  <c r="M1009" i="9" s="1"/>
  <c r="L975" i="9"/>
  <c r="M975" i="9" s="1"/>
  <c r="L942" i="9"/>
  <c r="M942" i="9" s="1"/>
  <c r="L923" i="9"/>
  <c r="M923" i="9" s="1"/>
  <c r="L889" i="9"/>
  <c r="M889" i="9" s="1"/>
  <c r="L858" i="9"/>
  <c r="M858" i="9" s="1"/>
  <c r="L829" i="9"/>
  <c r="M829" i="9" s="1"/>
  <c r="L786" i="9"/>
  <c r="M786" i="9" s="1"/>
  <c r="L775" i="9"/>
  <c r="M775" i="9" s="1"/>
  <c r="L760" i="9"/>
  <c r="M760" i="9" s="1"/>
  <c r="L737" i="9"/>
  <c r="M737" i="9" s="1"/>
  <c r="L721" i="9"/>
  <c r="M721" i="9" s="1"/>
  <c r="L698" i="9"/>
  <c r="M698" i="9" s="1"/>
  <c r="L685" i="9"/>
  <c r="M685" i="9" s="1"/>
  <c r="L642" i="9"/>
  <c r="M642" i="9" s="1"/>
  <c r="L610" i="9"/>
  <c r="M610" i="9" s="1"/>
  <c r="L602" i="9"/>
  <c r="M602" i="9" s="1"/>
  <c r="L561" i="9"/>
  <c r="M561" i="9" s="1"/>
  <c r="L553" i="9"/>
  <c r="M553" i="9" s="1"/>
  <c r="L548" i="9"/>
  <c r="M548" i="9" s="1"/>
  <c r="L538" i="9"/>
  <c r="M538" i="9" s="1"/>
  <c r="L523" i="9"/>
  <c r="M523" i="9" s="1"/>
  <c r="L507" i="9"/>
  <c r="M507" i="9" s="1"/>
  <c r="L502" i="9"/>
  <c r="M502" i="9" s="1"/>
  <c r="L1357" i="9"/>
  <c r="M1357" i="9" s="1"/>
  <c r="L1266" i="9"/>
  <c r="M1266" i="9" s="1"/>
  <c r="L1193" i="9"/>
  <c r="M1193" i="9" s="1"/>
  <c r="L1109" i="9"/>
  <c r="M1109" i="9" s="1"/>
  <c r="L1097" i="9"/>
  <c r="M1097" i="9" s="1"/>
  <c r="L1062" i="9"/>
  <c r="M1062" i="9" s="1"/>
  <c r="L1034" i="9"/>
  <c r="M1034" i="9" s="1"/>
  <c r="L1030" i="9"/>
  <c r="M1030" i="9" s="1"/>
  <c r="L876" i="9"/>
  <c r="M876" i="9" s="1"/>
  <c r="L489" i="9"/>
  <c r="M489" i="9" s="1"/>
  <c r="L311" i="9"/>
  <c r="M311" i="9" s="1"/>
  <c r="L252" i="9"/>
  <c r="M252" i="9" s="1"/>
  <c r="L1879" i="9"/>
  <c r="M1879" i="9" s="1"/>
  <c r="L1758" i="9"/>
  <c r="M1758" i="9" s="1"/>
  <c r="L1669" i="9"/>
  <c r="M1669" i="9" s="1"/>
  <c r="L1624" i="9"/>
  <c r="M1624" i="9" s="1"/>
  <c r="L1468" i="9"/>
  <c r="M1468" i="9" s="1"/>
  <c r="L1307" i="9"/>
  <c r="M1307" i="9" s="1"/>
  <c r="L1230" i="9"/>
  <c r="M1230" i="9" s="1"/>
  <c r="L1040" i="9"/>
  <c r="M1040" i="9" s="1"/>
  <c r="L844" i="9"/>
  <c r="M844" i="9" s="1"/>
  <c r="L789" i="9"/>
  <c r="M789" i="9" s="1"/>
  <c r="L754" i="9"/>
  <c r="M754" i="9" s="1"/>
  <c r="L734" i="9"/>
  <c r="M734" i="9" s="1"/>
  <c r="L494" i="9"/>
  <c r="M494" i="9" s="1"/>
  <c r="L1716" i="9"/>
  <c r="M1716" i="9" s="1"/>
  <c r="L1662" i="9"/>
  <c r="M1662" i="9" s="1"/>
  <c r="L1644" i="9"/>
  <c r="M1644" i="9" s="1"/>
  <c r="L1581" i="9"/>
  <c r="M1581" i="9" s="1"/>
  <c r="L1514" i="9"/>
  <c r="M1514" i="9" s="1"/>
  <c r="L1452" i="9"/>
  <c r="M1452" i="9" s="1"/>
  <c r="L1112" i="9"/>
  <c r="M1112" i="9" s="1"/>
  <c r="L1026" i="9"/>
  <c r="M1026" i="9" s="1"/>
  <c r="L999" i="9"/>
  <c r="M999" i="9" s="1"/>
  <c r="L989" i="9"/>
  <c r="M989" i="9" s="1"/>
  <c r="L938" i="9"/>
  <c r="M938" i="9" s="1"/>
  <c r="L912" i="9"/>
  <c r="M912" i="9" s="1"/>
  <c r="L906" i="9"/>
  <c r="M906" i="9" s="1"/>
  <c r="L835" i="9"/>
  <c r="M835" i="9" s="1"/>
  <c r="L822" i="9"/>
  <c r="M822" i="9" s="1"/>
  <c r="L803" i="9"/>
  <c r="M803" i="9" s="1"/>
  <c r="L762" i="9"/>
  <c r="M762" i="9" s="1"/>
  <c r="L748" i="9"/>
  <c r="M748" i="9" s="1"/>
  <c r="L739" i="9"/>
  <c r="M739" i="9" s="1"/>
  <c r="L709" i="9"/>
  <c r="M709" i="9" s="1"/>
  <c r="L682" i="9"/>
  <c r="M682" i="9" s="1"/>
  <c r="L654" i="9"/>
  <c r="M654" i="9" s="1"/>
  <c r="L583" i="9"/>
  <c r="M583" i="9" s="1"/>
  <c r="L504" i="9"/>
  <c r="M504" i="9" s="1"/>
  <c r="L1832" i="9"/>
  <c r="M1832" i="9" s="1"/>
  <c r="L1708" i="9"/>
  <c r="M1708" i="9" s="1"/>
  <c r="L1403" i="9"/>
  <c r="L1327" i="9"/>
  <c r="M1327" i="9" s="1"/>
  <c r="L1225" i="9"/>
  <c r="M1225" i="9" s="1"/>
  <c r="L1008" i="9"/>
  <c r="M1008" i="9" s="1"/>
  <c r="L995" i="9"/>
  <c r="M995" i="9" s="1"/>
  <c r="L968" i="9"/>
  <c r="M968" i="9" s="1"/>
  <c r="L860" i="9"/>
  <c r="M860" i="9" s="1"/>
  <c r="L828" i="9"/>
  <c r="M828" i="9" s="1"/>
  <c r="L700" i="9"/>
  <c r="M700" i="9" s="1"/>
  <c r="L672" i="9"/>
  <c r="M672" i="9" s="1"/>
  <c r="L649" i="9"/>
  <c r="M649" i="9" s="1"/>
  <c r="L644" i="9"/>
  <c r="M644" i="9" s="1"/>
  <c r="L639" i="9"/>
  <c r="M639" i="9" s="1"/>
  <c r="L629" i="9"/>
  <c r="M629" i="9" s="1"/>
  <c r="L565" i="9"/>
  <c r="M565" i="9" s="1"/>
  <c r="L535" i="9"/>
  <c r="M535" i="9" s="1"/>
  <c r="L527" i="9"/>
  <c r="M527" i="9" s="1"/>
  <c r="L517" i="9"/>
  <c r="M517" i="9" s="1"/>
  <c r="L1829" i="9"/>
  <c r="M1829" i="9" s="1"/>
  <c r="L707" i="9"/>
  <c r="M707" i="9" s="1"/>
  <c r="L467" i="9"/>
  <c r="M467" i="9" s="1"/>
  <c r="L381" i="9"/>
  <c r="M381" i="9" s="1"/>
  <c r="L349" i="9"/>
  <c r="M349" i="9" s="1"/>
  <c r="L320" i="9"/>
  <c r="M320" i="9" s="1"/>
  <c r="L249" i="9"/>
  <c r="M249" i="9" s="1"/>
  <c r="L246" i="9"/>
  <c r="M246" i="9" s="1"/>
  <c r="L215" i="9"/>
  <c r="M215" i="9" s="1"/>
  <c r="L200" i="9"/>
  <c r="M200" i="9" s="1"/>
  <c r="L176" i="9"/>
  <c r="M176" i="9" s="1"/>
  <c r="L161" i="9"/>
  <c r="M161" i="9" s="1"/>
  <c r="L151" i="9"/>
  <c r="M151" i="9" s="1"/>
  <c r="L146" i="9"/>
  <c r="M146" i="9" s="1"/>
  <c r="L141" i="9"/>
  <c r="M141" i="9" s="1"/>
  <c r="L136" i="9"/>
  <c r="M136" i="9" s="1"/>
  <c r="L126" i="9"/>
  <c r="L81" i="9"/>
  <c r="M81" i="9" s="1"/>
  <c r="L74" i="9"/>
  <c r="M74" i="9" s="1"/>
  <c r="L62" i="9"/>
  <c r="M62" i="9" s="1"/>
  <c r="L40" i="9"/>
  <c r="M40" i="9" s="1"/>
  <c r="L18" i="9"/>
  <c r="M18" i="9" s="1"/>
  <c r="L1602" i="9"/>
  <c r="M1602" i="9" s="1"/>
  <c r="L939" i="9"/>
  <c r="M939" i="9" s="1"/>
  <c r="L813" i="9"/>
  <c r="M813" i="9" s="1"/>
  <c r="L778" i="9"/>
  <c r="M778" i="9" s="1"/>
  <c r="L530" i="9"/>
  <c r="L481" i="9"/>
  <c r="M481" i="9" s="1"/>
  <c r="L456" i="9"/>
  <c r="M456" i="9" s="1"/>
  <c r="L428" i="9"/>
  <c r="M428" i="9" s="1"/>
  <c r="L422" i="9"/>
  <c r="M422" i="9" s="1"/>
  <c r="L416" i="9"/>
  <c r="M416" i="9" s="1"/>
  <c r="L378" i="9"/>
  <c r="M378" i="9" s="1"/>
  <c r="L375" i="9"/>
  <c r="M375" i="9" s="1"/>
  <c r="L369" i="9"/>
  <c r="M369" i="9" s="1"/>
  <c r="L343" i="9"/>
  <c r="M343" i="9" s="1"/>
  <c r="L340" i="9"/>
  <c r="M340" i="9" s="1"/>
  <c r="L337" i="9"/>
  <c r="M337" i="9" s="1"/>
  <c r="L190" i="9"/>
  <c r="M190" i="9" s="1"/>
  <c r="L116" i="9"/>
  <c r="M116" i="9" s="1"/>
  <c r="L101" i="9"/>
  <c r="M101" i="9" s="1"/>
  <c r="L86" i="9"/>
  <c r="M86" i="9" s="1"/>
  <c r="L57" i="9"/>
  <c r="M57" i="9" s="1"/>
  <c r="L52" i="9"/>
  <c r="M52" i="9" s="1"/>
  <c r="L35" i="9"/>
  <c r="M35" i="9" s="1"/>
  <c r="L30" i="9"/>
  <c r="M30" i="9" s="1"/>
  <c r="L13" i="9"/>
  <c r="M13" i="9" s="1"/>
  <c r="L8" i="9"/>
  <c r="M8" i="9" s="1"/>
  <c r="L1364" i="9"/>
  <c r="M1364" i="9" s="1"/>
  <c r="L437" i="9"/>
  <c r="M437" i="9" s="1"/>
  <c r="L434" i="9"/>
  <c r="M434" i="9" s="1"/>
  <c r="L431" i="9"/>
  <c r="M431" i="9" s="1"/>
  <c r="L425" i="9"/>
  <c r="M425" i="9" s="1"/>
  <c r="L410" i="9"/>
  <c r="M410" i="9" s="1"/>
  <c r="L278" i="9"/>
  <c r="M278" i="9" s="1"/>
  <c r="L257" i="9"/>
  <c r="M257" i="9" s="1"/>
  <c r="L801" i="9"/>
  <c r="M801" i="9" s="1"/>
  <c r="L665" i="9"/>
  <c r="M665" i="9" s="1"/>
  <c r="L540" i="9"/>
  <c r="M540" i="9" s="1"/>
  <c r="L537" i="9"/>
  <c r="M537" i="9" s="1"/>
  <c r="L511" i="9"/>
  <c r="M511" i="9" s="1"/>
  <c r="L487" i="9"/>
  <c r="M487" i="9" s="1"/>
  <c r="L396" i="9"/>
  <c r="M396" i="9" s="1"/>
  <c r="L284" i="9"/>
  <c r="M284" i="9" s="1"/>
  <c r="L272" i="9"/>
  <c r="M272" i="9" s="1"/>
  <c r="L882" i="9"/>
  <c r="M882" i="9" s="1"/>
  <c r="L732" i="9"/>
  <c r="M732" i="9" s="1"/>
  <c r="L588" i="9"/>
  <c r="M588" i="9" s="1"/>
  <c r="L477" i="9"/>
  <c r="M477" i="9" s="1"/>
  <c r="L322" i="9"/>
  <c r="M322" i="9" s="1"/>
  <c r="L305" i="9"/>
  <c r="M305" i="9" s="1"/>
  <c r="L302" i="9"/>
  <c r="M302" i="9" s="1"/>
  <c r="L290" i="9"/>
  <c r="M290" i="9" s="1"/>
  <c r="L254" i="9"/>
  <c r="M254" i="9" s="1"/>
  <c r="L207" i="9"/>
  <c r="M207" i="9" s="1"/>
  <c r="L197" i="9"/>
  <c r="M197" i="9" s="1"/>
  <c r="L192" i="9"/>
  <c r="M192" i="9" s="1"/>
  <c r="L185" i="9"/>
  <c r="M185" i="9" s="1"/>
  <c r="L180" i="9"/>
  <c r="M180" i="9" s="1"/>
  <c r="L153" i="9"/>
  <c r="M153" i="9" s="1"/>
  <c r="L138" i="9"/>
  <c r="M138" i="9" s="1"/>
  <c r="L133" i="9"/>
  <c r="M133" i="9" s="1"/>
  <c r="L128" i="9"/>
  <c r="M128" i="9" s="1"/>
  <c r="L118" i="9"/>
  <c r="M118" i="9" s="1"/>
  <c r="L108" i="9"/>
  <c r="L93" i="9"/>
  <c r="M93" i="9" s="1"/>
  <c r="L88" i="9"/>
  <c r="M88" i="9" s="1"/>
  <c r="L83" i="9"/>
  <c r="M83" i="9" s="1"/>
  <c r="L66" i="9"/>
  <c r="M66" i="9" s="1"/>
  <c r="L3" i="9"/>
  <c r="M3" i="9" s="1"/>
  <c r="L1682" i="9"/>
  <c r="M1682" i="9" s="1"/>
  <c r="L1121" i="9"/>
  <c r="M1121" i="9" s="1"/>
  <c r="L1058" i="9"/>
  <c r="M1058" i="9" s="1"/>
  <c r="L701" i="9"/>
  <c r="M701" i="9" s="1"/>
  <c r="L697" i="9"/>
  <c r="M697" i="9" s="1"/>
  <c r="L668" i="9"/>
  <c r="M668" i="9" s="1"/>
  <c r="L627" i="9"/>
  <c r="M627" i="9" s="1"/>
  <c r="L591" i="9"/>
  <c r="M591" i="9" s="1"/>
  <c r="L547" i="9"/>
  <c r="M547" i="9" s="1"/>
  <c r="L543" i="9"/>
  <c r="M543" i="9" s="1"/>
  <c r="L470" i="9"/>
  <c r="M470" i="9" s="1"/>
  <c r="L402" i="9"/>
  <c r="M402" i="9" s="1"/>
  <c r="L399" i="9"/>
  <c r="M399" i="9" s="1"/>
  <c r="L363" i="9"/>
  <c r="M363" i="9" s="1"/>
  <c r="L354" i="9"/>
  <c r="M354" i="9" s="1"/>
  <c r="L328" i="9"/>
  <c r="M328" i="9" s="1"/>
  <c r="L310" i="9"/>
  <c r="M310" i="9" s="1"/>
  <c r="L260" i="9"/>
  <c r="M260" i="9" s="1"/>
  <c r="L248" i="9"/>
  <c r="M248" i="9" s="1"/>
  <c r="L204" i="9"/>
  <c r="M204" i="9" s="1"/>
  <c r="L170" i="9"/>
  <c r="M170" i="9" s="1"/>
  <c r="L165" i="9"/>
  <c r="M165" i="9" s="1"/>
  <c r="L123" i="9"/>
  <c r="M123" i="9" s="1"/>
  <c r="L1417" i="9"/>
  <c r="M1417" i="9" s="1"/>
  <c r="L660" i="9"/>
  <c r="M660" i="9" s="1"/>
  <c r="L550" i="9"/>
  <c r="M550" i="9" s="1"/>
  <c r="L455" i="9"/>
  <c r="M455" i="9" s="1"/>
  <c r="L439" i="9"/>
  <c r="M439" i="9" s="1"/>
  <c r="L421" i="9"/>
  <c r="M421" i="9" s="1"/>
  <c r="L405" i="9"/>
  <c r="M405" i="9" s="1"/>
  <c r="L345" i="9"/>
  <c r="M345" i="9" s="1"/>
  <c r="L339" i="9"/>
  <c r="M339" i="9" s="1"/>
  <c r="L251" i="9"/>
  <c r="M251" i="9" s="1"/>
  <c r="L245" i="9"/>
  <c r="M245" i="9" s="1"/>
  <c r="L209" i="9"/>
  <c r="M209" i="9" s="1"/>
  <c r="L113" i="9"/>
  <c r="M113" i="9" s="1"/>
  <c r="L1546" i="9"/>
  <c r="M1546" i="9" s="1"/>
  <c r="L839" i="9"/>
  <c r="M839" i="9" s="1"/>
  <c r="L780" i="9"/>
  <c r="M780" i="9" s="1"/>
  <c r="L641" i="9"/>
  <c r="M641" i="9" s="1"/>
  <c r="L594" i="9"/>
  <c r="M594" i="9" s="1"/>
  <c r="L452" i="9"/>
  <c r="M452" i="9" s="1"/>
  <c r="L449" i="9"/>
  <c r="M449" i="9" s="1"/>
  <c r="L442" i="9"/>
  <c r="M442" i="9" s="1"/>
  <c r="L436" i="9"/>
  <c r="M436" i="9" s="1"/>
  <c r="L395" i="9"/>
  <c r="M395" i="9" s="1"/>
  <c r="L386" i="9"/>
  <c r="M386" i="9" s="1"/>
  <c r="L359" i="9"/>
  <c r="M359" i="9" s="1"/>
  <c r="L342" i="9"/>
  <c r="M342" i="9" s="1"/>
  <c r="L283" i="9"/>
  <c r="M283" i="9" s="1"/>
  <c r="L242" i="9"/>
  <c r="M242" i="9" s="1"/>
  <c r="L236" i="9"/>
  <c r="M236" i="9" s="1"/>
  <c r="L230" i="9"/>
  <c r="M230" i="9" s="1"/>
  <c r="L219" i="9"/>
  <c r="M219" i="9" s="1"/>
  <c r="L175" i="9"/>
  <c r="M175" i="9" s="1"/>
  <c r="L140" i="9"/>
  <c r="M140" i="9" s="1"/>
  <c r="L125" i="9"/>
  <c r="M125" i="9" s="1"/>
  <c r="L100" i="9"/>
  <c r="M100" i="9" s="1"/>
  <c r="L80" i="9"/>
  <c r="M80" i="9" s="1"/>
  <c r="L61" i="9"/>
  <c r="M61" i="9" s="1"/>
  <c r="L56" i="9"/>
  <c r="M56" i="9" s="1"/>
  <c r="L39" i="9"/>
  <c r="M39" i="9" s="1"/>
  <c r="L34" i="9"/>
  <c r="M34" i="9" s="1"/>
  <c r="L17" i="9"/>
  <c r="M17" i="9" s="1"/>
  <c r="L12" i="9"/>
  <c r="L807" i="9"/>
  <c r="M807" i="9" s="1"/>
  <c r="L746" i="9"/>
  <c r="M746" i="9" s="1"/>
  <c r="L678" i="9"/>
  <c r="M678" i="9" s="1"/>
  <c r="L674" i="9"/>
  <c r="M674" i="9" s="1"/>
  <c r="L525" i="9"/>
  <c r="M525" i="9" s="1"/>
  <c r="L518" i="9"/>
  <c r="M518" i="9" s="1"/>
  <c r="L496" i="9"/>
  <c r="M496" i="9" s="1"/>
  <c r="L469" i="9"/>
  <c r="M469" i="9" s="1"/>
  <c r="L392" i="9"/>
  <c r="M392" i="9" s="1"/>
  <c r="L377" i="9"/>
  <c r="M377" i="9" s="1"/>
  <c r="L356" i="9"/>
  <c r="M356" i="9" s="1"/>
  <c r="L333" i="9"/>
  <c r="M333" i="9" s="1"/>
  <c r="L307" i="9"/>
  <c r="M307" i="9" s="1"/>
  <c r="L298" i="9"/>
  <c r="M298" i="9" s="1"/>
  <c r="L292" i="9"/>
  <c r="M292" i="9" s="1"/>
  <c r="L286" i="9"/>
  <c r="L280" i="9"/>
  <c r="M280" i="9" s="1"/>
  <c r="L274" i="9"/>
  <c r="M274" i="9" s="1"/>
  <c r="L259" i="9"/>
  <c r="M259" i="9" s="1"/>
  <c r="L256" i="9"/>
  <c r="M256" i="9" s="1"/>
  <c r="L222" i="9"/>
  <c r="M222" i="9" s="1"/>
  <c r="L194" i="9"/>
  <c r="M194" i="9" s="1"/>
  <c r="L189" i="9"/>
  <c r="M189" i="9" s="1"/>
  <c r="L182" i="9"/>
  <c r="M182" i="9" s="1"/>
  <c r="L157" i="9"/>
  <c r="M157" i="9" s="1"/>
  <c r="L130" i="9"/>
  <c r="M130" i="9" s="1"/>
  <c r="L120" i="9"/>
  <c r="M120" i="9" s="1"/>
  <c r="L115" i="9"/>
  <c r="M115" i="9" s="1"/>
  <c r="L110" i="9"/>
  <c r="M110" i="9" s="1"/>
  <c r="L95" i="9"/>
  <c r="M95" i="9" s="1"/>
  <c r="L90" i="9"/>
  <c r="M90" i="9" s="1"/>
  <c r="L85" i="9"/>
  <c r="M85" i="9" s="1"/>
  <c r="L70" i="9"/>
  <c r="M70" i="9" s="1"/>
  <c r="L51" i="9"/>
  <c r="M51" i="9" s="1"/>
  <c r="L29" i="9"/>
  <c r="M29" i="9" s="1"/>
  <c r="L7" i="9"/>
  <c r="M7" i="9" s="1"/>
  <c r="L907" i="9"/>
  <c r="M907" i="9" s="1"/>
  <c r="L304" i="9"/>
  <c r="M304" i="9" s="1"/>
  <c r="L233" i="9"/>
  <c r="M233" i="9" s="1"/>
  <c r="L601" i="9"/>
  <c r="M601" i="9" s="1"/>
  <c r="L532" i="9"/>
  <c r="M532" i="9" s="1"/>
  <c r="L528" i="9"/>
  <c r="M528" i="9" s="1"/>
  <c r="L465" i="9"/>
  <c r="M465" i="9" s="1"/>
  <c r="L373" i="9"/>
  <c r="M373" i="9" s="1"/>
  <c r="L350" i="9"/>
  <c r="M350" i="9" s="1"/>
  <c r="L347" i="9"/>
  <c r="M347" i="9" s="1"/>
  <c r="L330" i="9"/>
  <c r="M330" i="9" s="1"/>
  <c r="L247" i="9"/>
  <c r="M247" i="9" s="1"/>
  <c r="L1489" i="9"/>
  <c r="L1349" i="9"/>
  <c r="M1349" i="9" s="1"/>
  <c r="L749" i="9"/>
  <c r="M749" i="9" s="1"/>
  <c r="L651" i="9"/>
  <c r="M651" i="9" s="1"/>
  <c r="L597" i="9"/>
  <c r="M597" i="9" s="1"/>
  <c r="L513" i="9"/>
  <c r="M513" i="9" s="1"/>
  <c r="L482" i="9"/>
  <c r="M482" i="9" s="1"/>
  <c r="L451" i="9"/>
  <c r="M451" i="9" s="1"/>
  <c r="L429" i="9"/>
  <c r="M429" i="9" s="1"/>
  <c r="L423" i="9"/>
  <c r="M423" i="9" s="1"/>
  <c r="L414" i="9"/>
  <c r="M414" i="9" s="1"/>
  <c r="L394" i="9"/>
  <c r="M394" i="9" s="1"/>
  <c r="L376" i="9"/>
  <c r="M376" i="9" s="1"/>
  <c r="L370" i="9"/>
  <c r="M370" i="9" s="1"/>
  <c r="L341" i="9"/>
  <c r="M341" i="9" s="1"/>
  <c r="L318" i="9"/>
  <c r="M318" i="9" s="1"/>
  <c r="L282" i="9"/>
  <c r="M282" i="9" s="1"/>
  <c r="L241" i="9"/>
  <c r="M241" i="9" s="1"/>
  <c r="L238" i="9"/>
  <c r="M238" i="9" s="1"/>
  <c r="L224" i="9"/>
  <c r="M224" i="9" s="1"/>
  <c r="L213" i="9"/>
  <c r="M213" i="9" s="1"/>
  <c r="L169" i="9"/>
  <c r="M169" i="9" s="1"/>
  <c r="L159" i="9"/>
  <c r="M159" i="9" s="1"/>
  <c r="L149" i="9"/>
  <c r="M149" i="9" s="1"/>
  <c r="L144" i="9"/>
  <c r="M144" i="9" s="1"/>
  <c r="L122" i="9"/>
  <c r="M122" i="9" s="1"/>
  <c r="L112" i="9"/>
  <c r="M112" i="9" s="1"/>
  <c r="L97" i="9"/>
  <c r="M97" i="9" s="1"/>
  <c r="L77" i="9"/>
  <c r="M77" i="9" s="1"/>
  <c r="L72" i="9"/>
  <c r="M72" i="9" s="1"/>
  <c r="L1553" i="9"/>
  <c r="M1553" i="9" s="1"/>
  <c r="L841" i="9"/>
  <c r="M841" i="9" s="1"/>
  <c r="L704" i="9"/>
  <c r="M704" i="9" s="1"/>
  <c r="L688" i="9"/>
  <c r="M688" i="9" s="1"/>
  <c r="L655" i="9"/>
  <c r="M655" i="9" s="1"/>
  <c r="L615" i="9"/>
  <c r="M615" i="9" s="1"/>
  <c r="L575" i="9"/>
  <c r="M575" i="9" s="1"/>
  <c r="L552" i="9"/>
  <c r="M552" i="9" s="1"/>
  <c r="L505" i="9"/>
  <c r="M505" i="9" s="1"/>
  <c r="L457" i="9"/>
  <c r="M457" i="9" s="1"/>
  <c r="L432" i="9"/>
  <c r="M432" i="9" s="1"/>
  <c r="L391" i="9"/>
  <c r="M391" i="9" s="1"/>
  <c r="L388" i="9"/>
  <c r="M388" i="9" s="1"/>
  <c r="L358" i="9"/>
  <c r="M358" i="9" s="1"/>
  <c r="L335" i="9"/>
  <c r="M335" i="9" s="1"/>
  <c r="L314" i="9"/>
  <c r="M314" i="9" s="1"/>
  <c r="L291" i="9"/>
  <c r="M291" i="9" s="1"/>
  <c r="L288" i="9"/>
  <c r="M288" i="9" s="1"/>
  <c r="L279" i="9"/>
  <c r="M279" i="9" s="1"/>
  <c r="L276" i="9"/>
  <c r="M276" i="9" s="1"/>
  <c r="L264" i="9"/>
  <c r="M264" i="9" s="1"/>
  <c r="L258" i="9"/>
  <c r="M258" i="9" s="1"/>
  <c r="L244" i="9"/>
  <c r="M244" i="9" s="1"/>
  <c r="L229" i="9"/>
  <c r="M229" i="9" s="1"/>
  <c r="L218" i="9"/>
  <c r="M218" i="9" s="1"/>
  <c r="L208" i="9"/>
  <c r="M208" i="9" s="1"/>
  <c r="L198" i="9"/>
  <c r="M198" i="9" s="1"/>
  <c r="L186" i="9"/>
  <c r="M186" i="9" s="1"/>
  <c r="L174" i="9"/>
  <c r="M174" i="9" s="1"/>
  <c r="L154" i="9"/>
  <c r="M154" i="9" s="1"/>
  <c r="L134" i="9"/>
  <c r="M134" i="9" s="1"/>
  <c r="L67" i="9"/>
  <c r="M67" i="9" s="1"/>
  <c r="L55" i="9"/>
  <c r="M55" i="9" s="1"/>
  <c r="L48" i="9"/>
  <c r="M48" i="9" s="1"/>
  <c r="L33" i="9"/>
  <c r="M33" i="9" s="1"/>
  <c r="L26" i="9"/>
  <c r="M26" i="9" s="1"/>
  <c r="L11" i="9"/>
  <c r="M11" i="9" s="1"/>
  <c r="L4" i="9"/>
  <c r="M4" i="9" s="1"/>
  <c r="L1786" i="9"/>
  <c r="M1786" i="9" s="1"/>
  <c r="L867" i="9"/>
  <c r="M867" i="9" s="1"/>
  <c r="L567" i="9"/>
  <c r="M567" i="9" s="1"/>
  <c r="L545" i="9"/>
  <c r="M545" i="9" s="1"/>
  <c r="L491" i="9"/>
  <c r="M491" i="9" s="1"/>
  <c r="L367" i="9"/>
  <c r="M367" i="9" s="1"/>
  <c r="L323" i="9"/>
  <c r="M323" i="9" s="1"/>
  <c r="L267" i="9"/>
  <c r="M267" i="9" s="1"/>
  <c r="L255" i="9"/>
  <c r="M255" i="9" s="1"/>
  <c r="L647" i="9"/>
  <c r="M647" i="9" s="1"/>
  <c r="L555" i="9"/>
  <c r="M555" i="9" s="1"/>
  <c r="L501" i="9"/>
  <c r="M501" i="9" s="1"/>
  <c r="L485" i="9"/>
  <c r="M485" i="9" s="1"/>
  <c r="L475" i="9"/>
  <c r="M475" i="9" s="1"/>
  <c r="L464" i="9"/>
  <c r="M464" i="9" s="1"/>
  <c r="L261" i="9"/>
  <c r="M261" i="9" s="1"/>
  <c r="L226" i="9"/>
  <c r="M226" i="9" s="1"/>
  <c r="L21" i="9"/>
  <c r="M21" i="9" s="1"/>
  <c r="L42" i="9"/>
  <c r="M42" i="9" s="1"/>
  <c r="L96" i="9"/>
  <c r="M96" i="9" s="1"/>
  <c r="L105" i="9"/>
  <c r="M105" i="9" s="1"/>
  <c r="M108" i="9"/>
  <c r="L117" i="9"/>
  <c r="M117" i="9" s="1"/>
  <c r="L193" i="9"/>
  <c r="M193" i="9" s="1"/>
  <c r="L458" i="9"/>
  <c r="M458" i="9" s="1"/>
  <c r="L479" i="9"/>
  <c r="M479" i="9" s="1"/>
  <c r="L684" i="9"/>
  <c r="M684" i="9" s="1"/>
  <c r="P250" i="8"/>
  <c r="L2" i="9"/>
  <c r="M2" i="9" s="1"/>
  <c r="L9" i="9"/>
  <c r="M9" i="9" s="1"/>
  <c r="L14" i="9"/>
  <c r="M14" i="9" s="1"/>
  <c r="L46" i="9"/>
  <c r="M46" i="9" s="1"/>
  <c r="L79" i="9"/>
  <c r="M79" i="9" s="1"/>
  <c r="M126" i="9"/>
  <c r="I157" i="17"/>
  <c r="J157" i="9"/>
  <c r="L178" i="9"/>
  <c r="M178" i="9" s="1"/>
  <c r="I182" i="17"/>
  <c r="J182" i="9"/>
  <c r="L220" i="9"/>
  <c r="M220" i="9" s="1"/>
  <c r="L441" i="9"/>
  <c r="M441" i="9" s="1"/>
  <c r="F509" i="12"/>
  <c r="I1313" i="9"/>
  <c r="I597" i="9"/>
  <c r="I585" i="9"/>
  <c r="I1327" i="9"/>
  <c r="I1300" i="9"/>
  <c r="I1338" i="9"/>
  <c r="I1352" i="9"/>
  <c r="I545" i="9"/>
  <c r="I609" i="9"/>
  <c r="I560" i="9"/>
  <c r="I532" i="9"/>
  <c r="I636" i="9"/>
  <c r="I574" i="9"/>
  <c r="I663" i="9"/>
  <c r="I688" i="9"/>
  <c r="I645" i="9"/>
  <c r="I676" i="9"/>
  <c r="I623" i="9"/>
  <c r="P81" i="8"/>
  <c r="I51" i="17"/>
  <c r="J51" i="9"/>
  <c r="L60" i="9"/>
  <c r="M60" i="9" s="1"/>
  <c r="L92" i="9"/>
  <c r="M92" i="9" s="1"/>
  <c r="I194" i="9"/>
  <c r="L225" i="9"/>
  <c r="M225" i="9" s="1"/>
  <c r="I298" i="17"/>
  <c r="J298" i="9"/>
  <c r="I307" i="17"/>
  <c r="J307" i="9"/>
  <c r="L353" i="9"/>
  <c r="M353" i="9" s="1"/>
  <c r="L84" i="9"/>
  <c r="M84" i="9" s="1"/>
  <c r="L162" i="9"/>
  <c r="M162" i="9" s="1"/>
  <c r="L201" i="9"/>
  <c r="M201" i="9" s="1"/>
  <c r="J214" i="10"/>
  <c r="P91" i="8"/>
  <c r="P251" i="8"/>
  <c r="F192" i="10"/>
  <c r="J19" i="9"/>
  <c r="L22" i="9"/>
  <c r="M22" i="9" s="1"/>
  <c r="L64" i="9"/>
  <c r="M64" i="9" s="1"/>
  <c r="L71" i="9"/>
  <c r="M71" i="9" s="1"/>
  <c r="L109" i="9"/>
  <c r="M109" i="9" s="1"/>
  <c r="L183" i="9"/>
  <c r="M183" i="9" s="1"/>
  <c r="L19" i="9"/>
  <c r="M19" i="9" s="1"/>
  <c r="L106" i="9"/>
  <c r="M106" i="9" s="1"/>
  <c r="L127" i="9"/>
  <c r="M127" i="9" s="1"/>
  <c r="L132" i="9"/>
  <c r="M132" i="9" s="1"/>
  <c r="L579" i="9"/>
  <c r="M579" i="9" s="1"/>
  <c r="L43" i="9"/>
  <c r="M43" i="9" s="1"/>
  <c r="I110" i="17"/>
  <c r="J110" i="9"/>
  <c r="I115" i="17"/>
  <c r="J115" i="9"/>
  <c r="L158" i="9"/>
  <c r="M158" i="9" s="1"/>
  <c r="L303" i="9"/>
  <c r="M303" i="9" s="1"/>
  <c r="I619" i="17"/>
  <c r="J619" i="9"/>
  <c r="L663" i="9"/>
  <c r="M663" i="9" s="1"/>
  <c r="I7" i="17"/>
  <c r="J7" i="9"/>
  <c r="L36" i="9"/>
  <c r="M36" i="9" s="1"/>
  <c r="L89" i="9"/>
  <c r="M89" i="9" s="1"/>
  <c r="L119" i="9"/>
  <c r="M119" i="9" s="1"/>
  <c r="L179" i="9"/>
  <c r="M179" i="9" s="1"/>
  <c r="L187" i="9"/>
  <c r="M187" i="9" s="1"/>
  <c r="L195" i="9"/>
  <c r="M195" i="9" s="1"/>
  <c r="L206" i="9"/>
  <c r="M206" i="9" s="1"/>
  <c r="L295" i="9"/>
  <c r="M295" i="9" s="1"/>
  <c r="I315" i="17"/>
  <c r="J315" i="9"/>
  <c r="F621" i="12"/>
  <c r="I655" i="9"/>
  <c r="I966" i="9"/>
  <c r="I988" i="9"/>
  <c r="I183" i="9"/>
  <c r="I996" i="9"/>
  <c r="I2" i="9"/>
  <c r="P79" i="8"/>
  <c r="F162" i="10"/>
  <c r="L16" i="9"/>
  <c r="M16" i="9" s="1"/>
  <c r="L31" i="9"/>
  <c r="M31" i="9" s="1"/>
  <c r="L98" i="9"/>
  <c r="M98" i="9" s="1"/>
  <c r="L163" i="9"/>
  <c r="M163" i="9" s="1"/>
  <c r="L202" i="9"/>
  <c r="M202" i="9" s="1"/>
  <c r="L253" i="9"/>
  <c r="M253" i="9" s="1"/>
  <c r="L308" i="9"/>
  <c r="M308" i="9" s="1"/>
  <c r="L315" i="9"/>
  <c r="M315" i="9" s="1"/>
  <c r="L384" i="9"/>
  <c r="M384" i="9" s="1"/>
  <c r="I568" i="17"/>
  <c r="J568" i="9"/>
  <c r="L612" i="9"/>
  <c r="M612" i="9" s="1"/>
  <c r="F165" i="10"/>
  <c r="L102" i="9"/>
  <c r="M102" i="9" s="1"/>
  <c r="L111" i="9"/>
  <c r="M111" i="9" s="1"/>
  <c r="L124" i="9"/>
  <c r="M124" i="9" s="1"/>
  <c r="L137" i="9"/>
  <c r="M137" i="9" s="1"/>
  <c r="L150" i="9"/>
  <c r="M150" i="9" s="1"/>
  <c r="L155" i="9"/>
  <c r="M155" i="9" s="1"/>
  <c r="L167" i="9"/>
  <c r="M167" i="9" s="1"/>
  <c r="L191" i="9"/>
  <c r="M191" i="9" s="1"/>
  <c r="L404" i="9"/>
  <c r="M404" i="9" s="1"/>
  <c r="L420" i="9"/>
  <c r="M420" i="9" s="1"/>
  <c r="L604" i="9"/>
  <c r="M604" i="9" s="1"/>
  <c r="F197" i="10"/>
  <c r="F189" i="10"/>
  <c r="L20" i="9"/>
  <c r="M20" i="9" s="1"/>
  <c r="L44" i="9"/>
  <c r="M44" i="9" s="1"/>
  <c r="L65" i="9"/>
  <c r="M65" i="9" s="1"/>
  <c r="L129" i="9"/>
  <c r="M129" i="9" s="1"/>
  <c r="L142" i="9"/>
  <c r="M142" i="9" s="1"/>
  <c r="L184" i="9"/>
  <c r="M184" i="9" s="1"/>
  <c r="L214" i="9"/>
  <c r="M214" i="9" s="1"/>
  <c r="I227" i="17"/>
  <c r="J227" i="9"/>
  <c r="L41" i="9"/>
  <c r="M41" i="9" s="1"/>
  <c r="L58" i="9"/>
  <c r="M58" i="9" s="1"/>
  <c r="L94" i="9"/>
  <c r="M94" i="9" s="1"/>
  <c r="L103" i="9"/>
  <c r="M103" i="9" s="1"/>
  <c r="L107" i="9"/>
  <c r="M107" i="9" s="1"/>
  <c r="L147" i="9"/>
  <c r="M147" i="9" s="1"/>
  <c r="L287" i="9"/>
  <c r="M287" i="9" s="1"/>
  <c r="I312" i="17"/>
  <c r="J312" i="9"/>
  <c r="I324" i="17"/>
  <c r="J324" i="9"/>
  <c r="L401" i="9"/>
  <c r="M401" i="9" s="1"/>
  <c r="J4" i="9"/>
  <c r="L6" i="9"/>
  <c r="M6" i="9" s="1"/>
  <c r="J11" i="9"/>
  <c r="L23" i="9"/>
  <c r="M23" i="9" s="1"/>
  <c r="L28" i="9"/>
  <c r="M28" i="9" s="1"/>
  <c r="J33" i="9"/>
  <c r="L45" i="9"/>
  <c r="M45" i="9" s="1"/>
  <c r="L50" i="9"/>
  <c r="M50" i="9" s="1"/>
  <c r="J55" i="9"/>
  <c r="J67" i="9"/>
  <c r="L69" i="9"/>
  <c r="M69" i="9" s="1"/>
  <c r="L104" i="9"/>
  <c r="M104" i="9" s="1"/>
  <c r="L114" i="9"/>
  <c r="M114" i="9" s="1"/>
  <c r="J134" i="9"/>
  <c r="J154" i="9"/>
  <c r="L156" i="9"/>
  <c r="M156" i="9" s="1"/>
  <c r="L166" i="9"/>
  <c r="M166" i="9" s="1"/>
  <c r="L171" i="9"/>
  <c r="M171" i="9" s="1"/>
  <c r="J186" i="9"/>
  <c r="L188" i="9"/>
  <c r="M188" i="9" s="1"/>
  <c r="J198" i="9"/>
  <c r="L205" i="9"/>
  <c r="M205" i="9" s="1"/>
  <c r="J208" i="9"/>
  <c r="J218" i="9"/>
  <c r="J229" i="9"/>
  <c r="I258" i="17"/>
  <c r="J258" i="9"/>
  <c r="J264" i="9"/>
  <c r="L270" i="9"/>
  <c r="M270" i="9" s="1"/>
  <c r="I276" i="17"/>
  <c r="J276" i="9"/>
  <c r="I279" i="17"/>
  <c r="J279" i="9"/>
  <c r="J285" i="9"/>
  <c r="J291" i="9"/>
  <c r="L294" i="9"/>
  <c r="M294" i="9" s="1"/>
  <c r="L300" i="9"/>
  <c r="M300" i="9" s="1"/>
  <c r="L306" i="9"/>
  <c r="M306" i="9" s="1"/>
  <c r="J314" i="9"/>
  <c r="J335" i="9"/>
  <c r="L355" i="9"/>
  <c r="M355" i="9" s="1"/>
  <c r="L361" i="9"/>
  <c r="M361" i="9" s="1"/>
  <c r="L364" i="9"/>
  <c r="M364" i="9" s="1"/>
  <c r="I388" i="17"/>
  <c r="J388" i="9"/>
  <c r="L397" i="9"/>
  <c r="M397" i="9" s="1"/>
  <c r="L472" i="9"/>
  <c r="M472" i="9" s="1"/>
  <c r="L586" i="9"/>
  <c r="M586" i="9" s="1"/>
  <c r="L589" i="9"/>
  <c r="M589" i="9" s="1"/>
  <c r="L607" i="9"/>
  <c r="M607" i="9" s="1"/>
  <c r="L680" i="9"/>
  <c r="M680" i="9" s="1"/>
  <c r="L932" i="9"/>
  <c r="M932" i="9" s="1"/>
  <c r="I955" i="17"/>
  <c r="J955" i="9"/>
  <c r="I1056" i="17"/>
  <c r="J1056" i="9"/>
  <c r="L1289" i="9"/>
  <c r="M1289" i="9" s="1"/>
  <c r="I1675" i="17"/>
  <c r="J1675" i="9"/>
  <c r="L221" i="8" s="1"/>
  <c r="O221" i="8" s="1"/>
  <c r="H160" i="10" s="1"/>
  <c r="L160" i="10" s="1"/>
  <c r="L1729" i="9"/>
  <c r="M1729" i="9" s="1"/>
  <c r="I1810" i="17"/>
  <c r="J1810" i="9"/>
  <c r="J72" i="9"/>
  <c r="J77" i="9"/>
  <c r="J144" i="9"/>
  <c r="J149" i="9"/>
  <c r="J17" i="8" s="1"/>
  <c r="M17" i="8" s="1"/>
  <c r="J159" i="9"/>
  <c r="J169" i="9"/>
  <c r="J20" i="8" s="1"/>
  <c r="M20" i="8" s="1"/>
  <c r="J213" i="9"/>
  <c r="L221" i="9"/>
  <c r="M221" i="9" s="1"/>
  <c r="L232" i="9"/>
  <c r="M232" i="9" s="1"/>
  <c r="I238" i="17"/>
  <c r="J238" i="9"/>
  <c r="J282" i="9"/>
  <c r="J47" i="8" s="1"/>
  <c r="M47" i="8" s="1"/>
  <c r="L285" i="9"/>
  <c r="M285" i="9" s="1"/>
  <c r="L297" i="9"/>
  <c r="M297" i="9" s="1"/>
  <c r="L326" i="9"/>
  <c r="M326" i="9" s="1"/>
  <c r="L332" i="9"/>
  <c r="M332" i="9" s="1"/>
  <c r="I344" i="17"/>
  <c r="J344" i="9"/>
  <c r="I370" i="17"/>
  <c r="J370" i="9"/>
  <c r="I376" i="17"/>
  <c r="J376" i="9"/>
  <c r="J414" i="9"/>
  <c r="I429" i="17"/>
  <c r="J429" i="9"/>
  <c r="L508" i="9"/>
  <c r="M508" i="9" s="1"/>
  <c r="I513" i="17"/>
  <c r="J513" i="9"/>
  <c r="L560" i="9"/>
  <c r="M560" i="9" s="1"/>
  <c r="I564" i="17"/>
  <c r="Q564" i="17" s="1"/>
  <c r="J564" i="9"/>
  <c r="L636" i="9"/>
  <c r="M636" i="9" s="1"/>
  <c r="I760" i="17"/>
  <c r="J760" i="9"/>
  <c r="L965" i="9"/>
  <c r="M965" i="9" s="1"/>
  <c r="L235" i="9"/>
  <c r="M235" i="9" s="1"/>
  <c r="L273" i="9"/>
  <c r="M273" i="9" s="1"/>
  <c r="L344" i="9"/>
  <c r="M344" i="9" s="1"/>
  <c r="L435" i="9"/>
  <c r="M435" i="9" s="1"/>
  <c r="I454" i="17"/>
  <c r="J454" i="9"/>
  <c r="I502" i="17"/>
  <c r="J502" i="9"/>
  <c r="I521" i="17"/>
  <c r="J521" i="9"/>
  <c r="L673" i="9"/>
  <c r="M673" i="9" s="1"/>
  <c r="L771" i="9"/>
  <c r="M771" i="9" s="1"/>
  <c r="I795" i="17"/>
  <c r="J795" i="9"/>
  <c r="J95" i="8" s="1"/>
  <c r="M95" i="8" s="1"/>
  <c r="I892" i="17"/>
  <c r="J892" i="9"/>
  <c r="L929" i="9"/>
  <c r="M929" i="9" s="1"/>
  <c r="L936" i="9"/>
  <c r="M936" i="9" s="1"/>
  <c r="L1257" i="9"/>
  <c r="M1257" i="9" s="1"/>
  <c r="L1269" i="9"/>
  <c r="M1269" i="9" s="1"/>
  <c r="I1438" i="17"/>
  <c r="J1438" i="9"/>
  <c r="K198" i="8" s="1"/>
  <c r="N198" i="8" s="1"/>
  <c r="G137" i="10" s="1"/>
  <c r="K137" i="10" s="1"/>
  <c r="L1860" i="9"/>
  <c r="M1860" i="9" s="1"/>
  <c r="L250" i="9"/>
  <c r="M250" i="9" s="1"/>
  <c r="I253" i="17"/>
  <c r="J253" i="9"/>
  <c r="L338" i="9"/>
  <c r="M338" i="9" s="1"/>
  <c r="I347" i="17"/>
  <c r="J347" i="9"/>
  <c r="L379" i="9"/>
  <c r="M379" i="9" s="1"/>
  <c r="I385" i="17"/>
  <c r="J385" i="9"/>
  <c r="L398" i="9"/>
  <c r="M398" i="9" s="1"/>
  <c r="L408" i="9"/>
  <c r="M408" i="9" s="1"/>
  <c r="L411" i="9"/>
  <c r="M411" i="9" s="1"/>
  <c r="L426" i="9"/>
  <c r="M426" i="9" s="1"/>
  <c r="L445" i="9"/>
  <c r="M445" i="9" s="1"/>
  <c r="L454" i="9"/>
  <c r="M454" i="9" s="1"/>
  <c r="I465" i="17"/>
  <c r="J465" i="9"/>
  <c r="I561" i="17"/>
  <c r="J561" i="9"/>
  <c r="L571" i="9"/>
  <c r="M571" i="9" s="1"/>
  <c r="L593" i="9"/>
  <c r="M593" i="9" s="1"/>
  <c r="L622" i="9"/>
  <c r="M622" i="9" s="1"/>
  <c r="L632" i="9"/>
  <c r="M632" i="9" s="1"/>
  <c r="I648" i="17"/>
  <c r="J648" i="9"/>
  <c r="L670" i="9"/>
  <c r="M670" i="9" s="1"/>
  <c r="L724" i="9"/>
  <c r="M724" i="9" s="1"/>
  <c r="L868" i="9"/>
  <c r="M868" i="9" s="1"/>
  <c r="L986" i="9"/>
  <c r="M986" i="9" s="1"/>
  <c r="L1128" i="9"/>
  <c r="M1128" i="9" s="1"/>
  <c r="L933" i="9"/>
  <c r="M933" i="9" s="1"/>
  <c r="L982" i="9"/>
  <c r="M982" i="9" s="1"/>
  <c r="L1013" i="9"/>
  <c r="M1013" i="9" s="1"/>
  <c r="L1068" i="9"/>
  <c r="M1068" i="9" s="1"/>
  <c r="L1089" i="9"/>
  <c r="M1089" i="9" s="1"/>
  <c r="I1266" i="17"/>
  <c r="J1266" i="9"/>
  <c r="L1310" i="9"/>
  <c r="M1310" i="9" s="1"/>
  <c r="I1382" i="17"/>
  <c r="J1382" i="9"/>
  <c r="L216" i="9"/>
  <c r="M216" i="9" s="1"/>
  <c r="I265" i="17"/>
  <c r="J265" i="9"/>
  <c r="I274" i="17"/>
  <c r="J274" i="9"/>
  <c r="I280" i="17"/>
  <c r="J280" i="9"/>
  <c r="I292" i="17"/>
  <c r="J292" i="9"/>
  <c r="L321" i="9"/>
  <c r="M321" i="9" s="1"/>
  <c r="L324" i="9"/>
  <c r="M324" i="9" s="1"/>
  <c r="L327" i="9"/>
  <c r="M327" i="9" s="1"/>
  <c r="L362" i="9"/>
  <c r="M362" i="9" s="1"/>
  <c r="L382" i="9"/>
  <c r="M382" i="9" s="1"/>
  <c r="I389" i="17"/>
  <c r="J389" i="9"/>
  <c r="I392" i="17"/>
  <c r="J392" i="9"/>
  <c r="I433" i="17"/>
  <c r="J433" i="9"/>
  <c r="L462" i="9"/>
  <c r="M462" i="9" s="1"/>
  <c r="L476" i="9"/>
  <c r="M476" i="9" s="1"/>
  <c r="L486" i="9"/>
  <c r="M486" i="9" s="1"/>
  <c r="L492" i="9"/>
  <c r="M492" i="9" s="1"/>
  <c r="I496" i="17"/>
  <c r="J496" i="9"/>
  <c r="L509" i="9"/>
  <c r="M509" i="9" s="1"/>
  <c r="L542" i="9"/>
  <c r="M542" i="9" s="1"/>
  <c r="I553" i="17"/>
  <c r="J553" i="9"/>
  <c r="I583" i="17"/>
  <c r="J583" i="9"/>
  <c r="L619" i="9"/>
  <c r="M619" i="9" s="1"/>
  <c r="L696" i="9"/>
  <c r="M696" i="9" s="1"/>
  <c r="L772" i="9"/>
  <c r="M772" i="9" s="1"/>
  <c r="I842" i="17"/>
  <c r="J842" i="9"/>
  <c r="I851" i="17"/>
  <c r="J851" i="9"/>
  <c r="I876" i="17"/>
  <c r="J876" i="9"/>
  <c r="K116" i="8" s="1"/>
  <c r="N116" i="8" s="1"/>
  <c r="G41" i="10" s="1"/>
  <c r="K41" i="10" s="1"/>
  <c r="I1714" i="17"/>
  <c r="J1714" i="9"/>
  <c r="L233" i="8" s="1"/>
  <c r="O233" i="8" s="1"/>
  <c r="H173" i="10" s="1"/>
  <c r="L173" i="10" s="1"/>
  <c r="I1871" i="17"/>
  <c r="J1871" i="9"/>
  <c r="J12" i="9"/>
  <c r="J17" i="9"/>
  <c r="J34" i="9"/>
  <c r="J39" i="9"/>
  <c r="J56" i="9"/>
  <c r="J61" i="9"/>
  <c r="J80" i="9"/>
  <c r="J100" i="9"/>
  <c r="J11" i="8" s="1"/>
  <c r="M11" i="8" s="1"/>
  <c r="J125" i="9"/>
  <c r="J140" i="9"/>
  <c r="L211" i="9"/>
  <c r="M211" i="9" s="1"/>
  <c r="J219" i="9"/>
  <c r="L227" i="9"/>
  <c r="M227" i="9" s="1"/>
  <c r="J230" i="9"/>
  <c r="I236" i="17"/>
  <c r="J236" i="9"/>
  <c r="I242" i="17"/>
  <c r="J242" i="9"/>
  <c r="L262" i="9"/>
  <c r="M262" i="9" s="1"/>
  <c r="L265" i="9"/>
  <c r="M265" i="9" s="1"/>
  <c r="L268" i="9"/>
  <c r="M268" i="9" s="1"/>
  <c r="J277" i="9"/>
  <c r="J283" i="9"/>
  <c r="L289" i="9"/>
  <c r="M289" i="9" s="1"/>
  <c r="L312" i="9"/>
  <c r="M312" i="9" s="1"/>
  <c r="I342" i="17"/>
  <c r="J342" i="9"/>
  <c r="J359" i="9"/>
  <c r="L365" i="9"/>
  <c r="M365" i="9" s="1"/>
  <c r="L389" i="9"/>
  <c r="M389" i="9" s="1"/>
  <c r="J395" i="9"/>
  <c r="L433" i="9"/>
  <c r="M433" i="9" s="1"/>
  <c r="J449" i="9"/>
  <c r="I452" i="17"/>
  <c r="J452" i="9"/>
  <c r="L499" i="9"/>
  <c r="M499" i="9" s="1"/>
  <c r="I503" i="17"/>
  <c r="J503" i="9"/>
  <c r="L576" i="9"/>
  <c r="M576" i="9" s="1"/>
  <c r="I652" i="17"/>
  <c r="J652" i="9"/>
  <c r="I725" i="17"/>
  <c r="J725" i="9"/>
  <c r="L847" i="9"/>
  <c r="M847" i="9" s="1"/>
  <c r="L881" i="9"/>
  <c r="M881" i="9" s="1"/>
  <c r="I889" i="17"/>
  <c r="J889" i="9"/>
  <c r="I987" i="17"/>
  <c r="J987" i="9"/>
  <c r="J131" i="8" s="1"/>
  <c r="M131" i="8" s="1"/>
  <c r="I1371" i="17"/>
  <c r="J1371" i="9"/>
  <c r="J189" i="8" s="1"/>
  <c r="M189" i="8" s="1"/>
  <c r="L1483" i="9"/>
  <c r="M1483" i="9" s="1"/>
  <c r="I1710" i="17"/>
  <c r="J1710" i="9"/>
  <c r="K231" i="8" s="1"/>
  <c r="N231" i="8" s="1"/>
  <c r="G171" i="10" s="1"/>
  <c r="K171" i="10" s="1"/>
  <c r="I225" i="17"/>
  <c r="J225" i="9"/>
  <c r="L277" i="9"/>
  <c r="M277" i="9" s="1"/>
  <c r="L368" i="9"/>
  <c r="M368" i="9" s="1"/>
  <c r="L409" i="9"/>
  <c r="M409" i="9" s="1"/>
  <c r="I412" i="17"/>
  <c r="J412" i="9"/>
  <c r="I427" i="17"/>
  <c r="Q427" i="17" s="1"/>
  <c r="J427" i="9"/>
  <c r="L446" i="9"/>
  <c r="M446" i="9" s="1"/>
  <c r="L459" i="9"/>
  <c r="M459" i="9" s="1"/>
  <c r="I480" i="17"/>
  <c r="J480" i="9"/>
  <c r="L506" i="9"/>
  <c r="M506" i="9" s="1"/>
  <c r="I510" i="17"/>
  <c r="J510" i="9"/>
  <c r="L522" i="9"/>
  <c r="M522" i="9" s="1"/>
  <c r="L536" i="9"/>
  <c r="M536" i="9" s="1"/>
  <c r="I605" i="17"/>
  <c r="J605" i="9"/>
  <c r="I613" i="17"/>
  <c r="J613" i="9"/>
  <c r="I685" i="17"/>
  <c r="J685" i="9"/>
  <c r="L693" i="9"/>
  <c r="M693" i="9" s="1"/>
  <c r="I735" i="17"/>
  <c r="J735" i="9"/>
  <c r="I768" i="17"/>
  <c r="J768" i="9"/>
  <c r="I792" i="17"/>
  <c r="J792" i="9"/>
  <c r="I864" i="17"/>
  <c r="J864" i="9"/>
  <c r="I983" i="17"/>
  <c r="J983" i="9"/>
  <c r="I1179" i="17"/>
  <c r="J1179" i="9"/>
  <c r="I248" i="17"/>
  <c r="J248" i="9"/>
  <c r="I328" i="17"/>
  <c r="J328" i="9"/>
  <c r="L336" i="9"/>
  <c r="M336" i="9" s="1"/>
  <c r="I402" i="17"/>
  <c r="J402" i="9"/>
  <c r="L412" i="9"/>
  <c r="M412" i="9" s="1"/>
  <c r="L415" i="9"/>
  <c r="M415" i="9" s="1"/>
  <c r="L424" i="9"/>
  <c r="M424" i="9" s="1"/>
  <c r="L427" i="9"/>
  <c r="M427" i="9" s="1"/>
  <c r="L430" i="9"/>
  <c r="M430" i="9" s="1"/>
  <c r="I474" i="17"/>
  <c r="J474" i="9"/>
  <c r="L480" i="9"/>
  <c r="M480" i="9" s="1"/>
  <c r="L510" i="9"/>
  <c r="M510" i="9" s="1"/>
  <c r="L533" i="9"/>
  <c r="M533" i="9" s="1"/>
  <c r="I602" i="17"/>
  <c r="J602" i="9"/>
  <c r="I610" i="17"/>
  <c r="J610" i="9"/>
  <c r="I682" i="17"/>
  <c r="J682" i="9"/>
  <c r="L742" i="9"/>
  <c r="M742" i="9" s="1"/>
  <c r="L750" i="9"/>
  <c r="M750" i="9" s="1"/>
  <c r="L823" i="9"/>
  <c r="M823" i="9" s="1"/>
  <c r="I942" i="17"/>
  <c r="J942" i="9"/>
  <c r="I1003" i="17"/>
  <c r="J1003" i="9"/>
  <c r="L1023" i="9"/>
  <c r="M1023" i="9" s="1"/>
  <c r="I1125" i="17"/>
  <c r="J1125" i="9"/>
  <c r="I1339" i="17"/>
  <c r="J1339" i="9"/>
  <c r="L1367" i="9"/>
  <c r="M1367" i="9" s="1"/>
  <c r="L1379" i="9"/>
  <c r="M1379" i="9" s="1"/>
  <c r="J3" i="9"/>
  <c r="L5" i="9"/>
  <c r="M5" i="9" s="1"/>
  <c r="L27" i="9"/>
  <c r="M27" i="9" s="1"/>
  <c r="L49" i="9"/>
  <c r="M49" i="9" s="1"/>
  <c r="J66" i="9"/>
  <c r="L68" i="9"/>
  <c r="M68" i="9" s="1"/>
  <c r="L73" i="9"/>
  <c r="M73" i="9" s="1"/>
  <c r="J118" i="9"/>
  <c r="J128" i="9"/>
  <c r="K14" i="8" s="1"/>
  <c r="N14" i="8" s="1"/>
  <c r="J133" i="9"/>
  <c r="L135" i="9"/>
  <c r="M135" i="9" s="1"/>
  <c r="L145" i="9"/>
  <c r="M145" i="9" s="1"/>
  <c r="J180" i="9"/>
  <c r="J185" i="9"/>
  <c r="J192" i="9"/>
  <c r="J197" i="9"/>
  <c r="L199" i="9"/>
  <c r="M199" i="9" s="1"/>
  <c r="L239" i="9"/>
  <c r="M239" i="9" s="1"/>
  <c r="J254" i="9"/>
  <c r="J290" i="9"/>
  <c r="I299" i="17"/>
  <c r="J299" i="9"/>
  <c r="I316" i="17"/>
  <c r="J316" i="9"/>
  <c r="L319" i="9"/>
  <c r="M319" i="9" s="1"/>
  <c r="I322" i="17"/>
  <c r="Q322" i="17" s="1"/>
  <c r="J322" i="9"/>
  <c r="L348" i="9"/>
  <c r="M348" i="9" s="1"/>
  <c r="L351" i="9"/>
  <c r="M351" i="9" s="1"/>
  <c r="I366" i="17"/>
  <c r="J366" i="9"/>
  <c r="L374" i="9"/>
  <c r="M374" i="9" s="1"/>
  <c r="L380" i="9"/>
  <c r="M380" i="9" s="1"/>
  <c r="I383" i="17"/>
  <c r="Q383" i="17" s="1"/>
  <c r="J383" i="9"/>
  <c r="I463" i="17"/>
  <c r="J463" i="9"/>
  <c r="L474" i="9"/>
  <c r="M474" i="9" s="1"/>
  <c r="L529" i="9"/>
  <c r="M529" i="9" s="1"/>
  <c r="L557" i="9"/>
  <c r="M557" i="9" s="1"/>
  <c r="I634" i="17"/>
  <c r="J634" i="9"/>
  <c r="K39" i="8" s="1"/>
  <c r="N39" i="8" s="1"/>
  <c r="L812" i="9"/>
  <c r="M812" i="9" s="1"/>
  <c r="I873" i="17"/>
  <c r="J873" i="9"/>
  <c r="L958" i="9"/>
  <c r="M958" i="9" s="1"/>
  <c r="L978" i="9"/>
  <c r="M978" i="9" s="1"/>
  <c r="I1296" i="17"/>
  <c r="J1296" i="9"/>
  <c r="J10" i="9"/>
  <c r="J32" i="9"/>
  <c r="J54" i="9"/>
  <c r="J76" i="9"/>
  <c r="I228" i="17"/>
  <c r="J228" i="9"/>
  <c r="I231" i="17"/>
  <c r="J231" i="9"/>
  <c r="I263" i="17"/>
  <c r="J263" i="9"/>
  <c r="L269" i="9"/>
  <c r="M269" i="9" s="1"/>
  <c r="I272" i="17"/>
  <c r="J272" i="9"/>
  <c r="I284" i="17"/>
  <c r="J284" i="9"/>
  <c r="L299" i="9"/>
  <c r="M299" i="9" s="1"/>
  <c r="L316" i="9"/>
  <c r="M316" i="9" s="1"/>
  <c r="I334" i="17"/>
  <c r="Q334" i="17" s="1"/>
  <c r="J334" i="9"/>
  <c r="L366" i="9"/>
  <c r="M366" i="9" s="1"/>
  <c r="L418" i="9"/>
  <c r="M418" i="9" s="1"/>
  <c r="L463" i="9"/>
  <c r="M463" i="9" s="1"/>
  <c r="L466" i="9"/>
  <c r="M466" i="9" s="1"/>
  <c r="I484" i="17"/>
  <c r="J484" i="9"/>
  <c r="I490" i="17"/>
  <c r="J490" i="9"/>
  <c r="I504" i="17"/>
  <c r="J504" i="9"/>
  <c r="I507" i="17"/>
  <c r="J507" i="9"/>
  <c r="L515" i="9"/>
  <c r="M515" i="9" s="1"/>
  <c r="I526" i="17"/>
  <c r="J526" i="9"/>
  <c r="L562" i="9"/>
  <c r="M562" i="9" s="1"/>
  <c r="L634" i="9"/>
  <c r="M634" i="9" s="1"/>
  <c r="L919" i="9"/>
  <c r="M919" i="9" s="1"/>
  <c r="L1534" i="9"/>
  <c r="M1534" i="9" s="1"/>
  <c r="L1642" i="9"/>
  <c r="M1642" i="9" s="1"/>
  <c r="I1833" i="17"/>
  <c r="J1833" i="9"/>
  <c r="K261" i="8" s="1"/>
  <c r="N261" i="8" s="1"/>
  <c r="G206" i="10" s="1"/>
  <c r="F623" i="12"/>
  <c r="I704" i="9"/>
  <c r="I220" i="17"/>
  <c r="J220" i="9"/>
  <c r="L331" i="9"/>
  <c r="M331" i="9" s="1"/>
  <c r="L334" i="9"/>
  <c r="M334" i="9" s="1"/>
  <c r="J390" i="9"/>
  <c r="I413" i="17"/>
  <c r="J413" i="9"/>
  <c r="I425" i="17"/>
  <c r="J425" i="9"/>
  <c r="I431" i="17"/>
  <c r="J431" i="9"/>
  <c r="I437" i="17"/>
  <c r="J437" i="9"/>
  <c r="I447" i="17"/>
  <c r="J447" i="9"/>
  <c r="L460" i="9"/>
  <c r="M460" i="9" s="1"/>
  <c r="L484" i="9"/>
  <c r="M484" i="9" s="1"/>
  <c r="I558" i="17"/>
  <c r="Q558" i="17" s="1"/>
  <c r="J558" i="9"/>
  <c r="L573" i="9"/>
  <c r="M573" i="9" s="1"/>
  <c r="L584" i="9"/>
  <c r="M584" i="9" s="1"/>
  <c r="I642" i="17"/>
  <c r="J642" i="9"/>
  <c r="L657" i="9"/>
  <c r="M657" i="9" s="1"/>
  <c r="L675" i="9"/>
  <c r="M675" i="9" s="1"/>
  <c r="L710" i="9"/>
  <c r="M710" i="9" s="1"/>
  <c r="L743" i="9"/>
  <c r="M743" i="9" s="1"/>
  <c r="L820" i="9"/>
  <c r="M820" i="9" s="1"/>
  <c r="L886" i="9"/>
  <c r="M886" i="9" s="1"/>
  <c r="L899" i="9"/>
  <c r="M899" i="9" s="1"/>
  <c r="L916" i="9"/>
  <c r="M916" i="9" s="1"/>
  <c r="L1000" i="9"/>
  <c r="M1000" i="9" s="1"/>
  <c r="J8" i="9"/>
  <c r="L10" i="9"/>
  <c r="M10" i="9" s="1"/>
  <c r="L25" i="9"/>
  <c r="M25" i="9" s="1"/>
  <c r="J30" i="9"/>
  <c r="L32" i="9"/>
  <c r="M32" i="9" s="1"/>
  <c r="L47" i="9"/>
  <c r="M47" i="9" s="1"/>
  <c r="J52" i="9"/>
  <c r="L54" i="9"/>
  <c r="M54" i="9" s="1"/>
  <c r="L76" i="9"/>
  <c r="M76" i="9" s="1"/>
  <c r="J86" i="9"/>
  <c r="J9" i="8" s="1"/>
  <c r="M9" i="8" s="1"/>
  <c r="J101" i="9"/>
  <c r="J116" i="9"/>
  <c r="L148" i="9"/>
  <c r="M148" i="9" s="1"/>
  <c r="L168" i="9"/>
  <c r="M168" i="9" s="1"/>
  <c r="L173" i="9"/>
  <c r="M173" i="9" s="1"/>
  <c r="J190" i="9"/>
  <c r="L212" i="9"/>
  <c r="M212" i="9" s="1"/>
  <c r="L217" i="9"/>
  <c r="M217" i="9" s="1"/>
  <c r="L228" i="9"/>
  <c r="M228" i="9" s="1"/>
  <c r="L231" i="9"/>
  <c r="M231" i="9" s="1"/>
  <c r="L234" i="9"/>
  <c r="M234" i="9" s="1"/>
  <c r="I237" i="17"/>
  <c r="J237" i="9"/>
  <c r="I240" i="17"/>
  <c r="J240" i="9"/>
  <c r="L263" i="9"/>
  <c r="M263" i="9" s="1"/>
  <c r="L266" i="9"/>
  <c r="M266" i="9" s="1"/>
  <c r="L275" i="9"/>
  <c r="M275" i="9" s="1"/>
  <c r="L293" i="9"/>
  <c r="M293" i="9" s="1"/>
  <c r="L296" i="9"/>
  <c r="M296" i="9" s="1"/>
  <c r="L313" i="9"/>
  <c r="M313" i="9" s="1"/>
  <c r="L325" i="9"/>
  <c r="M325" i="9" s="1"/>
  <c r="I337" i="17"/>
  <c r="J337" i="9"/>
  <c r="I340" i="17"/>
  <c r="Q340" i="17" s="1"/>
  <c r="J340" i="9"/>
  <c r="L357" i="9"/>
  <c r="M357" i="9" s="1"/>
  <c r="I375" i="17"/>
  <c r="J375" i="9"/>
  <c r="L387" i="9"/>
  <c r="M387" i="9" s="1"/>
  <c r="L413" i="9"/>
  <c r="M413" i="9" s="1"/>
  <c r="I440" i="17"/>
  <c r="J440" i="9"/>
  <c r="L447" i="9"/>
  <c r="M447" i="9" s="1"/>
  <c r="L471" i="9"/>
  <c r="M471" i="9" s="1"/>
  <c r="I494" i="17"/>
  <c r="J494" i="9"/>
  <c r="L497" i="9"/>
  <c r="M497" i="9" s="1"/>
  <c r="I516" i="17"/>
  <c r="J516" i="9"/>
  <c r="I551" i="17"/>
  <c r="J551" i="9"/>
  <c r="L566" i="9"/>
  <c r="M566" i="9" s="1"/>
  <c r="L606" i="9"/>
  <c r="M606" i="9" s="1"/>
  <c r="L617" i="9"/>
  <c r="M617" i="9" s="1"/>
  <c r="L765" i="9"/>
  <c r="M765" i="9" s="1"/>
  <c r="I1087" i="17"/>
  <c r="J1087" i="9"/>
  <c r="I1167" i="17"/>
  <c r="J1167" i="9"/>
  <c r="L161" i="8" s="1"/>
  <c r="O161" i="8" s="1"/>
  <c r="L1460" i="9"/>
  <c r="M1460" i="9" s="1"/>
  <c r="F9" i="5"/>
  <c r="J18" i="9"/>
  <c r="J40" i="9"/>
  <c r="J62" i="9"/>
  <c r="J81" i="9"/>
  <c r="J126" i="9"/>
  <c r="J136" i="9"/>
  <c r="K15" i="8" s="1"/>
  <c r="N15" i="8" s="1"/>
  <c r="J141" i="9"/>
  <c r="J151" i="9"/>
  <c r="J176" i="9"/>
  <c r="J200" i="9"/>
  <c r="J215" i="9"/>
  <c r="L223" i="9"/>
  <c r="M223" i="9" s="1"/>
  <c r="L240" i="9"/>
  <c r="M240" i="9" s="1"/>
  <c r="L243" i="9"/>
  <c r="M243" i="9" s="1"/>
  <c r="J249" i="9"/>
  <c r="L281" i="9"/>
  <c r="M281" i="9" s="1"/>
  <c r="L317" i="9"/>
  <c r="M317" i="9" s="1"/>
  <c r="J320" i="9"/>
  <c r="J352" i="9"/>
  <c r="L360" i="9"/>
  <c r="M360" i="9" s="1"/>
  <c r="L393" i="9"/>
  <c r="M393" i="9" s="1"/>
  <c r="I403" i="17"/>
  <c r="J403" i="9"/>
  <c r="L406" i="9"/>
  <c r="M406" i="9" s="1"/>
  <c r="L440" i="9"/>
  <c r="M440" i="9" s="1"/>
  <c r="L450" i="9"/>
  <c r="M450" i="9" s="1"/>
  <c r="I467" i="17"/>
  <c r="Q467" i="17" s="1"/>
  <c r="J467" i="9"/>
  <c r="K67" i="8" s="1"/>
  <c r="N67" i="8" s="1"/>
  <c r="M530" i="9"/>
  <c r="I548" i="17"/>
  <c r="J548" i="9"/>
  <c r="I570" i="17"/>
  <c r="J570" i="9"/>
  <c r="L585" i="9"/>
  <c r="M585" i="9" s="1"/>
  <c r="L614" i="9"/>
  <c r="M614" i="9" s="1"/>
  <c r="I654" i="17"/>
  <c r="J654" i="9"/>
  <c r="K44" i="8" s="1"/>
  <c r="N44" i="8" s="1"/>
  <c r="L661" i="9"/>
  <c r="M661" i="9" s="1"/>
  <c r="I698" i="17"/>
  <c r="J698" i="9"/>
  <c r="L920" i="9"/>
  <c r="M920" i="9" s="1"/>
  <c r="L954" i="9"/>
  <c r="M954" i="9" s="1"/>
  <c r="I997" i="17"/>
  <c r="J997" i="9"/>
  <c r="L1242" i="9"/>
  <c r="M1242" i="9" s="1"/>
  <c r="L1511" i="9"/>
  <c r="M1511" i="9" s="1"/>
  <c r="L1692" i="9"/>
  <c r="M1692" i="9" s="1"/>
  <c r="I300" i="17"/>
  <c r="J300" i="9"/>
  <c r="I355" i="17"/>
  <c r="J355" i="9"/>
  <c r="L403" i="9"/>
  <c r="M403" i="9" s="1"/>
  <c r="L453" i="9"/>
  <c r="M453" i="9" s="1"/>
  <c r="I461" i="17"/>
  <c r="J461" i="9"/>
  <c r="L563" i="9"/>
  <c r="M563" i="9" s="1"/>
  <c r="I578" i="17"/>
  <c r="J578" i="9"/>
  <c r="L581" i="9"/>
  <c r="M581" i="9" s="1"/>
  <c r="L650" i="9"/>
  <c r="M650" i="9" s="1"/>
  <c r="I658" i="17"/>
  <c r="J658" i="9"/>
  <c r="L691" i="9"/>
  <c r="M691" i="9" s="1"/>
  <c r="L960" i="9"/>
  <c r="M960" i="9" s="1"/>
  <c r="I1030" i="17"/>
  <c r="J1030" i="9"/>
  <c r="L1059" i="9"/>
  <c r="M1059" i="9" s="1"/>
  <c r="L1185" i="9"/>
  <c r="M1185" i="9" s="1"/>
  <c r="L1353" i="9"/>
  <c r="M1353" i="9" s="1"/>
  <c r="I1405" i="17"/>
  <c r="J1405" i="9"/>
  <c r="L210" i="9"/>
  <c r="M210" i="9" s="1"/>
  <c r="I267" i="17"/>
  <c r="J267" i="9"/>
  <c r="L329" i="9"/>
  <c r="M329" i="9" s="1"/>
  <c r="I332" i="17"/>
  <c r="J332" i="9"/>
  <c r="L346" i="9"/>
  <c r="M346" i="9" s="1"/>
  <c r="I361" i="17"/>
  <c r="Q361" i="17" s="1"/>
  <c r="J361" i="9"/>
  <c r="L372" i="9"/>
  <c r="M372" i="9" s="1"/>
  <c r="L444" i="9"/>
  <c r="M444" i="9" s="1"/>
  <c r="I472" i="17"/>
  <c r="J472" i="9"/>
  <c r="L478" i="9"/>
  <c r="M478" i="9" s="1"/>
  <c r="L512" i="9"/>
  <c r="M512" i="9" s="1"/>
  <c r="L520" i="9"/>
  <c r="M520" i="9" s="1"/>
  <c r="I538" i="17"/>
  <c r="J538" i="9"/>
  <c r="I541" i="17"/>
  <c r="J541" i="9"/>
  <c r="L596" i="9"/>
  <c r="M596" i="9" s="1"/>
  <c r="L600" i="9"/>
  <c r="M600" i="9" s="1"/>
  <c r="L625" i="9"/>
  <c r="M625" i="9" s="1"/>
  <c r="I666" i="17"/>
  <c r="Q666" i="17" s="1"/>
  <c r="J666" i="9"/>
  <c r="I695" i="17"/>
  <c r="J695" i="9"/>
  <c r="I786" i="17"/>
  <c r="J786" i="9"/>
  <c r="L951" i="9"/>
  <c r="M951" i="9" s="1"/>
  <c r="I1048" i="17"/>
  <c r="J1048" i="9"/>
  <c r="L1280" i="9"/>
  <c r="M1280" i="9" s="1"/>
  <c r="L570" i="9"/>
  <c r="M570" i="9" s="1"/>
  <c r="L578" i="9"/>
  <c r="M578" i="9" s="1"/>
  <c r="I604" i="17"/>
  <c r="J604" i="9"/>
  <c r="I665" i="17"/>
  <c r="J665" i="9"/>
  <c r="L687" i="9"/>
  <c r="M687" i="9" s="1"/>
  <c r="L690" i="9"/>
  <c r="M690" i="9" s="1"/>
  <c r="L695" i="9"/>
  <c r="M695" i="9" s="1"/>
  <c r="L703" i="9"/>
  <c r="M703" i="9" s="1"/>
  <c r="L706" i="9"/>
  <c r="M706" i="9" s="1"/>
  <c r="L712" i="9"/>
  <c r="M712" i="9" s="1"/>
  <c r="L715" i="9"/>
  <c r="M715" i="9" s="1"/>
  <c r="L720" i="9"/>
  <c r="M720" i="9" s="1"/>
  <c r="L745" i="9"/>
  <c r="M745" i="9" s="1"/>
  <c r="I751" i="17"/>
  <c r="J751" i="9"/>
  <c r="L777" i="9"/>
  <c r="M777" i="9" s="1"/>
  <c r="L806" i="9"/>
  <c r="M806" i="9" s="1"/>
  <c r="I813" i="17"/>
  <c r="J813" i="9"/>
  <c r="J101" i="8" s="1"/>
  <c r="M101" i="8" s="1"/>
  <c r="L838" i="9"/>
  <c r="M838" i="9" s="1"/>
  <c r="L863" i="9"/>
  <c r="M863" i="9" s="1"/>
  <c r="J902" i="9"/>
  <c r="L925" i="9"/>
  <c r="M925" i="9" s="1"/>
  <c r="I1051" i="17"/>
  <c r="Q1051" i="17" s="1"/>
  <c r="J1051" i="9"/>
  <c r="I1120" i="17"/>
  <c r="J1120" i="9"/>
  <c r="L151" i="8" s="1"/>
  <c r="O151" i="8" s="1"/>
  <c r="H81" i="10" s="1"/>
  <c r="L81" i="10" s="1"/>
  <c r="J1161" i="9"/>
  <c r="J160" i="8" s="1"/>
  <c r="M160" i="8" s="1"/>
  <c r="L1206" i="9"/>
  <c r="M1206" i="9" s="1"/>
  <c r="L1219" i="9"/>
  <c r="M1219" i="9" s="1"/>
  <c r="J1233" i="9"/>
  <c r="J1254" i="9"/>
  <c r="J1272" i="9"/>
  <c r="K177" i="8" s="1"/>
  <c r="N177" i="8" s="1"/>
  <c r="G112" i="10" s="1"/>
  <c r="K112" i="10" s="1"/>
  <c r="L1276" i="9"/>
  <c r="M1276" i="9" s="1"/>
  <c r="I1317" i="17"/>
  <c r="J1317" i="9"/>
  <c r="I1348" i="17"/>
  <c r="J1348" i="9"/>
  <c r="L1425" i="9"/>
  <c r="M1425" i="9" s="1"/>
  <c r="L1506" i="9"/>
  <c r="M1506" i="9" s="1"/>
  <c r="I1613" i="17"/>
  <c r="J1613" i="9"/>
  <c r="I1648" i="17"/>
  <c r="J1648" i="9"/>
  <c r="I1682" i="17"/>
  <c r="J1682" i="9"/>
  <c r="K224" i="8" s="1"/>
  <c r="N224" i="8" s="1"/>
  <c r="G163" i="10" s="1"/>
  <c r="K163" i="10" s="1"/>
  <c r="L1775" i="9"/>
  <c r="M1775" i="9" s="1"/>
  <c r="L1804" i="9"/>
  <c r="M1804" i="9" s="1"/>
  <c r="L419" i="9"/>
  <c r="M419" i="9" s="1"/>
  <c r="I499" i="17"/>
  <c r="J499" i="9"/>
  <c r="J509" i="9"/>
  <c r="J512" i="9"/>
  <c r="J515" i="9"/>
  <c r="J520" i="9"/>
  <c r="J533" i="9"/>
  <c r="J563" i="9"/>
  <c r="I576" i="17"/>
  <c r="Q576" i="17" s="1"/>
  <c r="J576" i="9"/>
  <c r="L599" i="9"/>
  <c r="M599" i="9" s="1"/>
  <c r="J622" i="9"/>
  <c r="I657" i="17"/>
  <c r="J657" i="9"/>
  <c r="L662" i="9"/>
  <c r="M662" i="9" s="1"/>
  <c r="I693" i="17"/>
  <c r="J693" i="9"/>
  <c r="I724" i="17"/>
  <c r="J724" i="9"/>
  <c r="L83" i="8" s="1"/>
  <c r="O83" i="8" s="1"/>
  <c r="H7" i="10" s="1"/>
  <c r="L7" i="10" s="1"/>
  <c r="L729" i="9"/>
  <c r="M729" i="9" s="1"/>
  <c r="L751" i="9"/>
  <c r="M751" i="9" s="1"/>
  <c r="L819" i="9"/>
  <c r="M819" i="9" s="1"/>
  <c r="L825" i="9"/>
  <c r="M825" i="9" s="1"/>
  <c r="I844" i="17"/>
  <c r="J844" i="9"/>
  <c r="L879" i="9"/>
  <c r="M879" i="9" s="1"/>
  <c r="L896" i="9"/>
  <c r="M896" i="9" s="1"/>
  <c r="L902" i="9"/>
  <c r="M902" i="9" s="1"/>
  <c r="I929" i="17"/>
  <c r="J929" i="9"/>
  <c r="L935" i="9"/>
  <c r="M935" i="9" s="1"/>
  <c r="I978" i="17"/>
  <c r="J978" i="9"/>
  <c r="I982" i="17"/>
  <c r="J982" i="9"/>
  <c r="L992" i="9"/>
  <c r="M992" i="9" s="1"/>
  <c r="L1005" i="9"/>
  <c r="M1005" i="9" s="1"/>
  <c r="I1040" i="17"/>
  <c r="J1040" i="9"/>
  <c r="K139" i="8" s="1"/>
  <c r="N139" i="8" s="1"/>
  <c r="G67" i="10" s="1"/>
  <c r="K67" i="10" s="1"/>
  <c r="L1043" i="9"/>
  <c r="M1043" i="9" s="1"/>
  <c r="L1051" i="9"/>
  <c r="M1051" i="9" s="1"/>
  <c r="L1136" i="9"/>
  <c r="M1136" i="9" s="1"/>
  <c r="L1153" i="9"/>
  <c r="M1153" i="9" s="1"/>
  <c r="J1196" i="9"/>
  <c r="L1214" i="9"/>
  <c r="M1214" i="9" s="1"/>
  <c r="I1242" i="17"/>
  <c r="J1242" i="9"/>
  <c r="L1283" i="9"/>
  <c r="M1283" i="9" s="1"/>
  <c r="I1288" i="17"/>
  <c r="J1288" i="9"/>
  <c r="I1307" i="17"/>
  <c r="J1307" i="9"/>
  <c r="L1337" i="9"/>
  <c r="M1337" i="9" s="1"/>
  <c r="J1353" i="9"/>
  <c r="I1460" i="17"/>
  <c r="J1460" i="9"/>
  <c r="I1472" i="17"/>
  <c r="J1472" i="9"/>
  <c r="L1475" i="9"/>
  <c r="M1475" i="9" s="1"/>
  <c r="I1483" i="17"/>
  <c r="Q1483" i="17" s="1"/>
  <c r="J1483" i="9"/>
  <c r="I247" i="17"/>
  <c r="J247" i="9"/>
  <c r="I304" i="17"/>
  <c r="Q304" i="17" s="1"/>
  <c r="J304" i="9"/>
  <c r="I410" i="17"/>
  <c r="J410" i="9"/>
  <c r="L568" i="9"/>
  <c r="M568" i="9" s="1"/>
  <c r="L718" i="9"/>
  <c r="M718" i="9" s="1"/>
  <c r="I721" i="17"/>
  <c r="J721" i="9"/>
  <c r="L783" i="9"/>
  <c r="M783" i="9" s="1"/>
  <c r="I829" i="17"/>
  <c r="J829" i="9"/>
  <c r="K106" i="8" s="1"/>
  <c r="N106" i="8" s="1"/>
  <c r="G30" i="10" s="1"/>
  <c r="K30" i="10" s="1"/>
  <c r="L832" i="9"/>
  <c r="M832" i="9" s="1"/>
  <c r="L848" i="9"/>
  <c r="M848" i="9" s="1"/>
  <c r="L851" i="9"/>
  <c r="M851" i="9" s="1"/>
  <c r="L864" i="9"/>
  <c r="M864" i="9" s="1"/>
  <c r="L892" i="9"/>
  <c r="M892" i="9" s="1"/>
  <c r="I972" i="17"/>
  <c r="J972" i="9"/>
  <c r="I1020" i="17"/>
  <c r="J1020" i="9"/>
  <c r="L1079" i="9"/>
  <c r="M1079" i="9" s="1"/>
  <c r="L1086" i="9"/>
  <c r="M1086" i="9" s="1"/>
  <c r="L1093" i="9"/>
  <c r="M1093" i="9" s="1"/>
  <c r="L1100" i="9"/>
  <c r="M1100" i="9" s="1"/>
  <c r="I1149" i="17"/>
  <c r="J1149" i="9"/>
  <c r="L1157" i="9"/>
  <c r="M1157" i="9" s="1"/>
  <c r="L1166" i="9"/>
  <c r="M1166" i="9" s="1"/>
  <c r="L1178" i="9"/>
  <c r="M1178" i="9" s="1"/>
  <c r="I1211" i="17"/>
  <c r="J1211" i="9"/>
  <c r="L1314" i="9"/>
  <c r="M1314" i="9" s="1"/>
  <c r="L1338" i="9"/>
  <c r="M1338" i="9" s="1"/>
  <c r="I1384" i="17"/>
  <c r="J1384" i="9"/>
  <c r="I1404" i="17"/>
  <c r="J1404" i="9"/>
  <c r="L1522" i="9"/>
  <c r="M1522" i="9" s="1"/>
  <c r="I1550" i="17"/>
  <c r="J1550" i="9"/>
  <c r="L1588" i="9"/>
  <c r="M1588" i="9" s="1"/>
  <c r="I1610" i="17"/>
  <c r="J1610" i="9"/>
  <c r="L1732" i="9"/>
  <c r="M1732" i="9" s="1"/>
  <c r="L1754" i="9"/>
  <c r="M1754" i="9" s="1"/>
  <c r="L1798" i="9"/>
  <c r="M1798" i="9" s="1"/>
  <c r="L1833" i="9"/>
  <c r="M1833" i="9" s="1"/>
  <c r="L237" i="9"/>
  <c r="M237" i="9" s="1"/>
  <c r="J288" i="9"/>
  <c r="J296" i="9"/>
  <c r="L301" i="9"/>
  <c r="M301" i="9" s="1"/>
  <c r="J319" i="9"/>
  <c r="J326" i="9"/>
  <c r="J358" i="9"/>
  <c r="J380" i="9"/>
  <c r="L407" i="9"/>
  <c r="M407" i="9" s="1"/>
  <c r="J442" i="9"/>
  <c r="J457" i="9"/>
  <c r="J477" i="9"/>
  <c r="I482" i="17"/>
  <c r="J482" i="9"/>
  <c r="I518" i="17"/>
  <c r="J518" i="9"/>
  <c r="J528" i="9"/>
  <c r="J543" i="9"/>
  <c r="L558" i="9"/>
  <c r="M558" i="9" s="1"/>
  <c r="J594" i="9"/>
  <c r="J615" i="9"/>
  <c r="J660" i="9"/>
  <c r="J668" i="9"/>
  <c r="J678" i="9"/>
  <c r="J701" i="9"/>
  <c r="J707" i="9"/>
  <c r="I713" i="17"/>
  <c r="J713" i="9"/>
  <c r="L727" i="9"/>
  <c r="M727" i="9" s="1"/>
  <c r="I749" i="17"/>
  <c r="J749" i="9"/>
  <c r="L85" i="8" s="1"/>
  <c r="O85" i="8" s="1"/>
  <c r="H9" i="10" s="1"/>
  <c r="L9" i="10" s="1"/>
  <c r="L768" i="9"/>
  <c r="M768" i="9" s="1"/>
  <c r="J778" i="9"/>
  <c r="L792" i="9"/>
  <c r="M792" i="9" s="1"/>
  <c r="I801" i="17"/>
  <c r="J801" i="9"/>
  <c r="J97" i="8" s="1"/>
  <c r="M97" i="8" s="1"/>
  <c r="J807" i="9"/>
  <c r="J99" i="8" s="1"/>
  <c r="M99" i="8" s="1"/>
  <c r="J839" i="9"/>
  <c r="K111" i="8" s="1"/>
  <c r="N111" i="8" s="1"/>
  <c r="G35" i="10" s="1"/>
  <c r="K35" i="10" s="1"/>
  <c r="L854" i="9"/>
  <c r="M854" i="9" s="1"/>
  <c r="L873" i="9"/>
  <c r="M873" i="9" s="1"/>
  <c r="I907" i="17"/>
  <c r="J907" i="9"/>
  <c r="J910" i="9"/>
  <c r="I913" i="17"/>
  <c r="J913" i="9"/>
  <c r="L926" i="9"/>
  <c r="M926" i="9" s="1"/>
  <c r="L948" i="9"/>
  <c r="M948" i="9" s="1"/>
  <c r="L972" i="9"/>
  <c r="M972" i="9" s="1"/>
  <c r="L1020" i="9"/>
  <c r="M1020" i="9" s="1"/>
  <c r="L1048" i="9"/>
  <c r="M1048" i="9" s="1"/>
  <c r="L1065" i="9"/>
  <c r="M1065" i="9" s="1"/>
  <c r="L1076" i="9"/>
  <c r="M1076" i="9" s="1"/>
  <c r="L1124" i="9"/>
  <c r="M1124" i="9" s="1"/>
  <c r="I1137" i="17"/>
  <c r="J1137" i="9"/>
  <c r="I1141" i="17"/>
  <c r="J1141" i="9"/>
  <c r="J1251" i="9"/>
  <c r="I1324" i="17"/>
  <c r="J1324" i="9"/>
  <c r="L1427" i="9"/>
  <c r="M1427" i="9" s="1"/>
  <c r="I1431" i="17"/>
  <c r="J1431" i="9"/>
  <c r="L1497" i="9"/>
  <c r="M1497" i="9" s="1"/>
  <c r="I1542" i="17"/>
  <c r="J1542" i="9"/>
  <c r="L1550" i="9"/>
  <c r="M1550" i="9" s="1"/>
  <c r="L1569" i="9"/>
  <c r="M1569" i="9" s="1"/>
  <c r="L1577" i="9"/>
  <c r="M1577" i="9" s="1"/>
  <c r="L1698" i="9"/>
  <c r="M1698" i="9" s="1"/>
  <c r="L1821" i="9"/>
  <c r="M1821" i="9" s="1"/>
  <c r="L713" i="9"/>
  <c r="M713" i="9" s="1"/>
  <c r="I743" i="17"/>
  <c r="J743" i="9"/>
  <c r="I772" i="17"/>
  <c r="J772" i="9"/>
  <c r="L88" i="8" s="1"/>
  <c r="O88" i="8" s="1"/>
  <c r="H13" i="10" s="1"/>
  <c r="L13" i="10" s="1"/>
  <c r="L798" i="9"/>
  <c r="M798" i="9" s="1"/>
  <c r="L861" i="9"/>
  <c r="M861" i="9" s="1"/>
  <c r="I893" i="17"/>
  <c r="J893" i="9"/>
  <c r="L903" i="9"/>
  <c r="M903" i="9" s="1"/>
  <c r="L910" i="9"/>
  <c r="M910" i="9" s="1"/>
  <c r="L913" i="9"/>
  <c r="M913" i="9" s="1"/>
  <c r="I920" i="17"/>
  <c r="J920" i="9"/>
  <c r="I936" i="17"/>
  <c r="J936" i="9"/>
  <c r="L945" i="9"/>
  <c r="M945" i="9" s="1"/>
  <c r="L959" i="9"/>
  <c r="M959" i="9" s="1"/>
  <c r="L966" i="9"/>
  <c r="M966" i="9" s="1"/>
  <c r="L969" i="9"/>
  <c r="M969" i="9" s="1"/>
  <c r="I1013" i="17"/>
  <c r="J1013" i="9"/>
  <c r="L1129" i="9"/>
  <c r="M1129" i="9" s="1"/>
  <c r="I1158" i="17"/>
  <c r="J1158" i="9"/>
  <c r="L1215" i="9"/>
  <c r="M1215" i="9" s="1"/>
  <c r="I1239" i="17"/>
  <c r="J1239" i="9"/>
  <c r="L1243" i="9"/>
  <c r="M1243" i="9" s="1"/>
  <c r="L1251" i="9"/>
  <c r="M1251" i="9" s="1"/>
  <c r="L1273" i="9"/>
  <c r="M1273" i="9" s="1"/>
  <c r="I1297" i="17"/>
  <c r="J1297" i="9"/>
  <c r="L182" i="8" s="1"/>
  <c r="O182" i="8" s="1"/>
  <c r="I1321" i="17"/>
  <c r="J1321" i="9"/>
  <c r="L1324" i="9"/>
  <c r="M1324" i="9" s="1"/>
  <c r="I1642" i="17"/>
  <c r="J1642" i="9"/>
  <c r="I1679" i="17"/>
  <c r="J1679" i="9"/>
  <c r="L223" i="8" s="1"/>
  <c r="O223" i="8" s="1"/>
  <c r="H162" i="10" s="1"/>
  <c r="L162" i="10" s="1"/>
  <c r="I1695" i="17"/>
  <c r="J1695" i="9"/>
  <c r="I1729" i="17"/>
  <c r="J1729" i="9"/>
  <c r="L238" i="8" s="1"/>
  <c r="O238" i="8" s="1"/>
  <c r="H178" i="10" s="1"/>
  <c r="L178" i="10" s="1"/>
  <c r="L1769" i="9"/>
  <c r="M1769" i="9" s="1"/>
  <c r="I1787" i="17"/>
  <c r="J1787" i="9"/>
  <c r="L1818" i="9"/>
  <c r="M1818" i="9" s="1"/>
  <c r="I1845" i="17"/>
  <c r="J1845" i="9"/>
  <c r="L264" i="8" s="1"/>
  <c r="O264" i="8" s="1"/>
  <c r="H209" i="10" s="1"/>
  <c r="L209" i="10" s="1"/>
  <c r="I294" i="17"/>
  <c r="J294" i="9"/>
  <c r="L390" i="9"/>
  <c r="M390" i="9" s="1"/>
  <c r="L546" i="9"/>
  <c r="M546" i="9" s="1"/>
  <c r="L551" i="9"/>
  <c r="M551" i="9" s="1"/>
  <c r="L587" i="9"/>
  <c r="M587" i="9" s="1"/>
  <c r="L620" i="9"/>
  <c r="M620" i="9" s="1"/>
  <c r="I719" i="17"/>
  <c r="J719" i="9"/>
  <c r="L740" i="9"/>
  <c r="M740" i="9" s="1"/>
  <c r="L763" i="9"/>
  <c r="M763" i="9" s="1"/>
  <c r="L781" i="9"/>
  <c r="M781" i="9" s="1"/>
  <c r="I784" i="17"/>
  <c r="J784" i="9"/>
  <c r="I787" i="17"/>
  <c r="J787" i="9"/>
  <c r="I790" i="17"/>
  <c r="J790" i="9"/>
  <c r="L804" i="9"/>
  <c r="M804" i="9" s="1"/>
  <c r="I811" i="17"/>
  <c r="J811" i="9"/>
  <c r="K100" i="8" s="1"/>
  <c r="N100" i="8" s="1"/>
  <c r="G24" i="10" s="1"/>
  <c r="I833" i="17"/>
  <c r="J833" i="9"/>
  <c r="J108" i="8" s="1"/>
  <c r="M108" i="8" s="1"/>
  <c r="L836" i="9"/>
  <c r="M836" i="9" s="1"/>
  <c r="I849" i="17"/>
  <c r="Q849" i="17" s="1"/>
  <c r="J849" i="9"/>
  <c r="I871" i="17"/>
  <c r="J871" i="9"/>
  <c r="I900" i="17"/>
  <c r="Q900" i="17" s="1"/>
  <c r="J900" i="9"/>
  <c r="L952" i="9"/>
  <c r="M952" i="9" s="1"/>
  <c r="L955" i="9"/>
  <c r="M955" i="9" s="1"/>
  <c r="L990" i="9"/>
  <c r="M990" i="9" s="1"/>
  <c r="L1017" i="9"/>
  <c r="M1017" i="9" s="1"/>
  <c r="I1031" i="17"/>
  <c r="J1031" i="9"/>
  <c r="I1066" i="17"/>
  <c r="J1066" i="9"/>
  <c r="L1069" i="9"/>
  <c r="M1069" i="9" s="1"/>
  <c r="L1167" i="9"/>
  <c r="M1167" i="9" s="1"/>
  <c r="L1182" i="9"/>
  <c r="M1182" i="9" s="1"/>
  <c r="I1216" i="17"/>
  <c r="J1216" i="9"/>
  <c r="K167" i="8" s="1"/>
  <c r="N167" i="8" s="1"/>
  <c r="L1231" i="9"/>
  <c r="M1231" i="9" s="1"/>
  <c r="L1368" i="9"/>
  <c r="M1368" i="9" s="1"/>
  <c r="L1422" i="9"/>
  <c r="M1422" i="9" s="1"/>
  <c r="L1461" i="9"/>
  <c r="M1461" i="9" s="1"/>
  <c r="L1675" i="9"/>
  <c r="M1675" i="9" s="1"/>
  <c r="I1684" i="17"/>
  <c r="J1684" i="9"/>
  <c r="K225" i="8" s="1"/>
  <c r="N225" i="8" s="1"/>
  <c r="G164" i="10" s="1"/>
  <c r="K164" i="10" s="1"/>
  <c r="L1810" i="9"/>
  <c r="M1810" i="9" s="1"/>
  <c r="I1841" i="17"/>
  <c r="J1841" i="9"/>
  <c r="L263" i="8" s="1"/>
  <c r="O263" i="8" s="1"/>
  <c r="H208" i="10" s="1"/>
  <c r="L208" i="10" s="1"/>
  <c r="L541" i="9"/>
  <c r="M541" i="9" s="1"/>
  <c r="L613" i="9"/>
  <c r="M613" i="9" s="1"/>
  <c r="I699" i="17"/>
  <c r="J699" i="9"/>
  <c r="I773" i="17"/>
  <c r="J773" i="9"/>
  <c r="L790" i="9"/>
  <c r="M790" i="9" s="1"/>
  <c r="L793" i="9"/>
  <c r="M793" i="9" s="1"/>
  <c r="I808" i="17"/>
  <c r="J808" i="9"/>
  <c r="K99" i="8" s="1"/>
  <c r="N99" i="8" s="1"/>
  <c r="G23" i="10" s="1"/>
  <c r="K23" i="10" s="1"/>
  <c r="L811" i="9"/>
  <c r="M811" i="9" s="1"/>
  <c r="I830" i="17"/>
  <c r="J830" i="9"/>
  <c r="J107" i="8" s="1"/>
  <c r="M107" i="8" s="1"/>
  <c r="L845" i="9"/>
  <c r="M845" i="9" s="1"/>
  <c r="L852" i="9"/>
  <c r="M852" i="9" s="1"/>
  <c r="L855" i="9"/>
  <c r="M855" i="9" s="1"/>
  <c r="I859" i="17"/>
  <c r="J859" i="9"/>
  <c r="I963" i="17"/>
  <c r="J963" i="9"/>
  <c r="I976" i="17"/>
  <c r="J976" i="9"/>
  <c r="L1021" i="9"/>
  <c r="M1021" i="9" s="1"/>
  <c r="L1031" i="9"/>
  <c r="M1031" i="9" s="1"/>
  <c r="L1049" i="9"/>
  <c r="M1049" i="9" s="1"/>
  <c r="L1063" i="9"/>
  <c r="M1063" i="9" s="1"/>
  <c r="L1091" i="9"/>
  <c r="M1091" i="9" s="1"/>
  <c r="L1146" i="9"/>
  <c r="M1146" i="9" s="1"/>
  <c r="I1159" i="17"/>
  <c r="J1159" i="9"/>
  <c r="L1235" i="9"/>
  <c r="M1235" i="9" s="1"/>
  <c r="L1270" i="9"/>
  <c r="M1270" i="9" s="1"/>
  <c r="L1285" i="9"/>
  <c r="M1285" i="9" s="1"/>
  <c r="L1311" i="9"/>
  <c r="M1311" i="9" s="1"/>
  <c r="L1397" i="9"/>
  <c r="M1397" i="9" s="1"/>
  <c r="I1470" i="17"/>
  <c r="J1470" i="9"/>
  <c r="L1484" i="9"/>
  <c r="M1484" i="9" s="1"/>
  <c r="L1539" i="9"/>
  <c r="M1539" i="9" s="1"/>
  <c r="L1551" i="9"/>
  <c r="M1551" i="9" s="1"/>
  <c r="L1559" i="9"/>
  <c r="M1559" i="9" s="1"/>
  <c r="I1593" i="17"/>
  <c r="J1593" i="9"/>
  <c r="L1615" i="9"/>
  <c r="M1615" i="9" s="1"/>
  <c r="L1625" i="9"/>
  <c r="M1625" i="9" s="1"/>
  <c r="I1660" i="17"/>
  <c r="J1660" i="9"/>
  <c r="L1689" i="9"/>
  <c r="M1689" i="9" s="1"/>
  <c r="I1718" i="17"/>
  <c r="J1718" i="9"/>
  <c r="J234" i="8" s="1"/>
  <c r="M234" i="8" s="1"/>
  <c r="I1784" i="17"/>
  <c r="J1784" i="9"/>
  <c r="L1806" i="9"/>
  <c r="M1806" i="9" s="1"/>
  <c r="L1837" i="9"/>
  <c r="M1837" i="9" s="1"/>
  <c r="L1867" i="9"/>
  <c r="M1867" i="9" s="1"/>
  <c r="M286" i="9"/>
  <c r="I289" i="17"/>
  <c r="J289" i="9"/>
  <c r="L448" i="9"/>
  <c r="M448" i="9" s="1"/>
  <c r="L516" i="9"/>
  <c r="M516" i="9" s="1"/>
  <c r="L521" i="9"/>
  <c r="M521" i="9" s="1"/>
  <c r="L526" i="9"/>
  <c r="M526" i="9" s="1"/>
  <c r="L534" i="9"/>
  <c r="M534" i="9" s="1"/>
  <c r="I549" i="17"/>
  <c r="J549" i="9"/>
  <c r="J554" i="9"/>
  <c r="L556" i="9"/>
  <c r="M556" i="9" s="1"/>
  <c r="L559" i="9"/>
  <c r="M559" i="9" s="1"/>
  <c r="L564" i="9"/>
  <c r="M564" i="9" s="1"/>
  <c r="J582" i="9"/>
  <c r="J590" i="9"/>
  <c r="L592" i="9"/>
  <c r="M592" i="9" s="1"/>
  <c r="L605" i="9"/>
  <c r="M605" i="9" s="1"/>
  <c r="I611" i="17"/>
  <c r="Q611" i="17" s="1"/>
  <c r="J611" i="9"/>
  <c r="J633" i="9"/>
  <c r="L638" i="9"/>
  <c r="M638" i="9" s="1"/>
  <c r="J646" i="9"/>
  <c r="L648" i="9"/>
  <c r="M648" i="9" s="1"/>
  <c r="J653" i="9"/>
  <c r="L658" i="9"/>
  <c r="M658" i="9" s="1"/>
  <c r="L666" i="9"/>
  <c r="M666" i="9" s="1"/>
  <c r="L671" i="9"/>
  <c r="M671" i="9" s="1"/>
  <c r="I711" i="17"/>
  <c r="J711" i="9"/>
  <c r="I714" i="17"/>
  <c r="J714" i="9"/>
  <c r="L719" i="9"/>
  <c r="M719" i="9" s="1"/>
  <c r="L722" i="9"/>
  <c r="M722" i="9" s="1"/>
  <c r="J728" i="9"/>
  <c r="L735" i="9"/>
  <c r="M735" i="9" s="1"/>
  <c r="I738" i="17"/>
  <c r="J738" i="9"/>
  <c r="L766" i="9"/>
  <c r="M766" i="9" s="1"/>
  <c r="L784" i="9"/>
  <c r="M784" i="9" s="1"/>
  <c r="L787" i="9"/>
  <c r="M787" i="9" s="1"/>
  <c r="J799" i="9"/>
  <c r="K96" i="8" s="1"/>
  <c r="N96" i="8" s="1"/>
  <c r="G20" i="10" s="1"/>
  <c r="K20" i="10" s="1"/>
  <c r="L808" i="9"/>
  <c r="M808" i="9" s="1"/>
  <c r="L830" i="9"/>
  <c r="M830" i="9" s="1"/>
  <c r="L833" i="9"/>
  <c r="M833" i="9" s="1"/>
  <c r="L874" i="9"/>
  <c r="M874" i="9" s="1"/>
  <c r="L887" i="9"/>
  <c r="M887" i="9" s="1"/>
  <c r="L904" i="9"/>
  <c r="M904" i="9" s="1"/>
  <c r="I921" i="17"/>
  <c r="J921" i="9"/>
  <c r="L927" i="9"/>
  <c r="M927" i="9" s="1"/>
  <c r="L943" i="9"/>
  <c r="M943" i="9" s="1"/>
  <c r="I946" i="17"/>
  <c r="J946" i="9"/>
  <c r="L963" i="9"/>
  <c r="M963" i="9" s="1"/>
  <c r="I967" i="17"/>
  <c r="J967" i="9"/>
  <c r="L980" i="9"/>
  <c r="M980" i="9" s="1"/>
  <c r="I994" i="17"/>
  <c r="J994" i="9"/>
  <c r="L1010" i="9"/>
  <c r="M1010" i="9" s="1"/>
  <c r="J1028" i="9"/>
  <c r="L1053" i="9"/>
  <c r="M1053" i="9" s="1"/>
  <c r="I1126" i="17"/>
  <c r="J1126" i="9"/>
  <c r="L152" i="8" s="1"/>
  <c r="O152" i="8" s="1"/>
  <c r="H82" i="10" s="1"/>
  <c r="L82" i="10" s="1"/>
  <c r="I1176" i="17"/>
  <c r="J1176" i="9"/>
  <c r="K162" i="8" s="1"/>
  <c r="N162" i="8" s="1"/>
  <c r="G94" i="10" s="1"/>
  <c r="K94" i="10" s="1"/>
  <c r="L1190" i="9"/>
  <c r="M1190" i="9" s="1"/>
  <c r="I1240" i="17"/>
  <c r="J1240" i="9"/>
  <c r="L1248" i="9"/>
  <c r="M1248" i="9" s="1"/>
  <c r="I1305" i="17"/>
  <c r="J1305" i="9"/>
  <c r="I1350" i="17"/>
  <c r="J1350" i="9"/>
  <c r="K186" i="8" s="1"/>
  <c r="N186" i="8" s="1"/>
  <c r="L1547" i="9"/>
  <c r="M1547" i="9" s="1"/>
  <c r="I1575" i="17"/>
  <c r="Q1575" i="17" s="1"/>
  <c r="J1575" i="9"/>
  <c r="I1781" i="17"/>
  <c r="J1781" i="9"/>
  <c r="L1850" i="9"/>
  <c r="M1850" i="9" s="1"/>
  <c r="L503" i="9"/>
  <c r="M503" i="9" s="1"/>
  <c r="I529" i="17"/>
  <c r="J529" i="9"/>
  <c r="L582" i="9"/>
  <c r="M582" i="9" s="1"/>
  <c r="I669" i="17"/>
  <c r="J669" i="9"/>
  <c r="L708" i="9"/>
  <c r="M708" i="9" s="1"/>
  <c r="L738" i="9"/>
  <c r="M738" i="9" s="1"/>
  <c r="I812" i="17"/>
  <c r="J812" i="9"/>
  <c r="L101" i="8" s="1"/>
  <c r="O101" i="8" s="1"/>
  <c r="H25" i="10" s="1"/>
  <c r="L25" i="10" s="1"/>
  <c r="I821" i="17"/>
  <c r="J821" i="9"/>
  <c r="L104" i="8" s="1"/>
  <c r="O104" i="8" s="1"/>
  <c r="H28" i="10" s="1"/>
  <c r="L28" i="10" s="1"/>
  <c r="I881" i="17"/>
  <c r="J881" i="9"/>
  <c r="L890" i="9"/>
  <c r="M890" i="9" s="1"/>
  <c r="L921" i="9"/>
  <c r="M921" i="9" s="1"/>
  <c r="L924" i="9"/>
  <c r="M924" i="9" s="1"/>
  <c r="I937" i="17"/>
  <c r="J937" i="9"/>
  <c r="K124" i="8" s="1"/>
  <c r="N124" i="8" s="1"/>
  <c r="G49" i="10" s="1"/>
  <c r="K49" i="10" s="1"/>
  <c r="L946" i="9"/>
  <c r="M946" i="9" s="1"/>
  <c r="L956" i="9"/>
  <c r="M956" i="9" s="1"/>
  <c r="L970" i="9"/>
  <c r="M970" i="9" s="1"/>
  <c r="L994" i="9"/>
  <c r="M994" i="9" s="1"/>
  <c r="L1018" i="9"/>
  <c r="M1018" i="9" s="1"/>
  <c r="I1095" i="17"/>
  <c r="J1095" i="9"/>
  <c r="L1106" i="9"/>
  <c r="M1106" i="9" s="1"/>
  <c r="I1168" i="17"/>
  <c r="J1168" i="9"/>
  <c r="J161" i="8" s="1"/>
  <c r="M161" i="8" s="1"/>
  <c r="L1183" i="9"/>
  <c r="M1183" i="9" s="1"/>
  <c r="L1240" i="9"/>
  <c r="M1240" i="9" s="1"/>
  <c r="L1245" i="9"/>
  <c r="M1245" i="9" s="1"/>
  <c r="I1257" i="17"/>
  <c r="J1257" i="9"/>
  <c r="L175" i="8" s="1"/>
  <c r="O175" i="8" s="1"/>
  <c r="H110" i="10" s="1"/>
  <c r="L110" i="10" s="1"/>
  <c r="I1294" i="17"/>
  <c r="J1294" i="9"/>
  <c r="I1340" i="17"/>
  <c r="Q1340" i="17" s="1"/>
  <c r="J1340" i="9"/>
  <c r="L1355" i="9"/>
  <c r="M1355" i="9" s="1"/>
  <c r="L1385" i="9"/>
  <c r="M1385" i="9" s="1"/>
  <c r="L1423" i="9"/>
  <c r="M1423" i="9" s="1"/>
  <c r="L1707" i="9"/>
  <c r="M1707" i="9" s="1"/>
  <c r="L1760" i="9"/>
  <c r="M1760" i="9" s="1"/>
  <c r="L1846" i="9"/>
  <c r="M1846" i="9" s="1"/>
  <c r="L1854" i="9"/>
  <c r="M1854" i="9" s="1"/>
  <c r="L443" i="9"/>
  <c r="M443" i="9" s="1"/>
  <c r="J483" i="9"/>
  <c r="J488" i="9"/>
  <c r="L490" i="9"/>
  <c r="M490" i="9" s="1"/>
  <c r="J493" i="9"/>
  <c r="J519" i="9"/>
  <c r="L524" i="9"/>
  <c r="M524" i="9" s="1"/>
  <c r="L549" i="9"/>
  <c r="M549" i="9" s="1"/>
  <c r="L554" i="9"/>
  <c r="M554" i="9" s="1"/>
  <c r="J572" i="9"/>
  <c r="I580" i="17"/>
  <c r="J580" i="9"/>
  <c r="L590" i="9"/>
  <c r="M590" i="9" s="1"/>
  <c r="L598" i="9"/>
  <c r="M598" i="9" s="1"/>
  <c r="L611" i="9"/>
  <c r="M611" i="9" s="1"/>
  <c r="J616" i="9"/>
  <c r="L618" i="9"/>
  <c r="M618" i="9" s="1"/>
  <c r="J624" i="9"/>
  <c r="L626" i="9"/>
  <c r="M626" i="9" s="1"/>
  <c r="J631" i="9"/>
  <c r="L633" i="9"/>
  <c r="M633" i="9" s="1"/>
  <c r="L646" i="9"/>
  <c r="M646" i="9" s="1"/>
  <c r="L653" i="9"/>
  <c r="M653" i="9" s="1"/>
  <c r="J656" i="9"/>
  <c r="J664" i="9"/>
  <c r="J679" i="9"/>
  <c r="L689" i="9"/>
  <c r="M689" i="9" s="1"/>
  <c r="L705" i="9"/>
  <c r="M705" i="9" s="1"/>
  <c r="L711" i="9"/>
  <c r="M711" i="9" s="1"/>
  <c r="L714" i="9"/>
  <c r="M714" i="9" s="1"/>
  <c r="L728" i="9"/>
  <c r="M728" i="9" s="1"/>
  <c r="J733" i="9"/>
  <c r="J741" i="9"/>
  <c r="L744" i="9"/>
  <c r="M744" i="9" s="1"/>
  <c r="I753" i="17"/>
  <c r="J753" i="9"/>
  <c r="J782" i="9"/>
  <c r="L93" i="8" s="1"/>
  <c r="O93" i="8" s="1"/>
  <c r="H17" i="10" s="1"/>
  <c r="L17" i="10" s="1"/>
  <c r="L802" i="9"/>
  <c r="M802" i="9" s="1"/>
  <c r="J815" i="9"/>
  <c r="L102" i="8" s="1"/>
  <c r="O102" i="8" s="1"/>
  <c r="H26" i="10" s="1"/>
  <c r="L26" i="10" s="1"/>
  <c r="I818" i="17"/>
  <c r="J818" i="9"/>
  <c r="L103" i="8" s="1"/>
  <c r="O103" i="8" s="1"/>
  <c r="H27" i="10" s="1"/>
  <c r="I834" i="17"/>
  <c r="J834" i="9"/>
  <c r="K108" i="8" s="1"/>
  <c r="N108" i="8" s="1"/>
  <c r="G32" i="10" s="1"/>
  <c r="K32" i="10" s="1"/>
  <c r="L846" i="9"/>
  <c r="M846" i="9" s="1"/>
  <c r="L862" i="9"/>
  <c r="M862" i="9" s="1"/>
  <c r="I884" i="17"/>
  <c r="J884" i="9"/>
  <c r="L908" i="9"/>
  <c r="M908" i="9" s="1"/>
  <c r="L940" i="9"/>
  <c r="M940" i="9" s="1"/>
  <c r="I953" i="17"/>
  <c r="J953" i="9"/>
  <c r="L984" i="9"/>
  <c r="M984" i="9" s="1"/>
  <c r="I991" i="17"/>
  <c r="J991" i="9"/>
  <c r="I998" i="17"/>
  <c r="J998" i="9"/>
  <c r="L1004" i="9"/>
  <c r="M1004" i="9" s="1"/>
  <c r="J1084" i="9"/>
  <c r="L1088" i="9"/>
  <c r="M1088" i="9" s="1"/>
  <c r="L1118" i="9"/>
  <c r="M1118" i="9" s="1"/>
  <c r="L1151" i="9"/>
  <c r="M1151" i="9" s="1"/>
  <c r="J1164" i="9"/>
  <c r="L1176" i="9"/>
  <c r="M1176" i="9" s="1"/>
  <c r="I1191" i="17"/>
  <c r="J1191" i="9"/>
  <c r="K164" i="8" s="1"/>
  <c r="N164" i="8" s="1"/>
  <c r="L1221" i="9"/>
  <c r="M1221" i="9" s="1"/>
  <c r="L1260" i="9"/>
  <c r="M1260" i="9" s="1"/>
  <c r="L1275" i="9"/>
  <c r="M1275" i="9" s="1"/>
  <c r="I1302" i="17"/>
  <c r="J1302" i="9"/>
  <c r="L1376" i="9"/>
  <c r="M1376" i="9" s="1"/>
  <c r="I1466" i="17"/>
  <c r="J1466" i="9"/>
  <c r="K203" i="8" s="1"/>
  <c r="N203" i="8" s="1"/>
  <c r="L1622" i="9"/>
  <c r="M1622" i="9" s="1"/>
  <c r="I1715" i="17"/>
  <c r="J1715" i="9"/>
  <c r="J233" i="8" s="1"/>
  <c r="M233" i="8" s="1"/>
  <c r="L1726" i="9"/>
  <c r="M1726" i="9" s="1"/>
  <c r="L1877" i="9"/>
  <c r="M1877" i="9" s="1"/>
  <c r="L352" i="9"/>
  <c r="M352" i="9" s="1"/>
  <c r="J386" i="9"/>
  <c r="J391" i="9"/>
  <c r="J396" i="9"/>
  <c r="J401" i="9"/>
  <c r="J406" i="9"/>
  <c r="K62" i="8" s="1"/>
  <c r="N62" i="8" s="1"/>
  <c r="J416" i="9"/>
  <c r="J436" i="9"/>
  <c r="L438" i="9"/>
  <c r="M438" i="9" s="1"/>
  <c r="J451" i="9"/>
  <c r="J498" i="9"/>
  <c r="J511" i="9"/>
  <c r="J514" i="9"/>
  <c r="L519" i="9"/>
  <c r="M519" i="9" s="1"/>
  <c r="J537" i="9"/>
  <c r="L539" i="9"/>
  <c r="M539" i="9" s="1"/>
  <c r="J547" i="9"/>
  <c r="J552" i="9"/>
  <c r="J567" i="9"/>
  <c r="J575" i="9"/>
  <c r="J588" i="9"/>
  <c r="L595" i="9"/>
  <c r="M595" i="9" s="1"/>
  <c r="J641" i="9"/>
  <c r="J651" i="9"/>
  <c r="M664" i="9"/>
  <c r="L669" i="9"/>
  <c r="M669" i="9" s="1"/>
  <c r="J674" i="9"/>
  <c r="I684" i="17"/>
  <c r="J684" i="9"/>
  <c r="J692" i="9"/>
  <c r="J697" i="9"/>
  <c r="L702" i="9"/>
  <c r="M702" i="9" s="1"/>
  <c r="J717" i="9"/>
  <c r="J723" i="9"/>
  <c r="J756" i="9"/>
  <c r="I770" i="17"/>
  <c r="J770" i="9"/>
  <c r="L779" i="9"/>
  <c r="M779" i="9" s="1"/>
  <c r="J794" i="9"/>
  <c r="L95" i="8" s="1"/>
  <c r="O95" i="8" s="1"/>
  <c r="H19" i="10" s="1"/>
  <c r="L19" i="10" s="1"/>
  <c r="L805" i="9"/>
  <c r="M805" i="9" s="1"/>
  <c r="L815" i="9"/>
  <c r="M815" i="9" s="1"/>
  <c r="L818" i="9"/>
  <c r="M818" i="9" s="1"/>
  <c r="L840" i="9"/>
  <c r="M840" i="9" s="1"/>
  <c r="I853" i="17"/>
  <c r="J853" i="9"/>
  <c r="L856" i="9"/>
  <c r="M856" i="9" s="1"/>
  <c r="L884" i="9"/>
  <c r="M884" i="9" s="1"/>
  <c r="I901" i="17"/>
  <c r="J901" i="9"/>
  <c r="L911" i="9"/>
  <c r="M911" i="9" s="1"/>
  <c r="L991" i="9"/>
  <c r="M991" i="9" s="1"/>
  <c r="L998" i="9"/>
  <c r="M998" i="9" s="1"/>
  <c r="I1011" i="17"/>
  <c r="J1011" i="9"/>
  <c r="L1025" i="9"/>
  <c r="M1025" i="9" s="1"/>
  <c r="J1042" i="9"/>
  <c r="J140" i="8" s="1"/>
  <c r="M140" i="8" s="1"/>
  <c r="G1054" i="17"/>
  <c r="P1054" i="17" s="1"/>
  <c r="Q1054" i="17" s="1"/>
  <c r="J1054" i="9"/>
  <c r="L1081" i="9"/>
  <c r="M1081" i="9" s="1"/>
  <c r="J1092" i="9"/>
  <c r="J1131" i="9"/>
  <c r="J153" i="8" s="1"/>
  <c r="M153" i="8" s="1"/>
  <c r="J1143" i="9"/>
  <c r="J156" i="8" s="1"/>
  <c r="M156" i="8" s="1"/>
  <c r="L1164" i="9"/>
  <c r="M1164" i="9" s="1"/>
  <c r="L1236" i="9"/>
  <c r="M1236" i="9" s="1"/>
  <c r="I1249" i="17"/>
  <c r="J1249" i="9"/>
  <c r="L1298" i="9"/>
  <c r="M1298" i="9" s="1"/>
  <c r="J1316" i="9"/>
  <c r="J1347" i="9"/>
  <c r="L1351" i="9"/>
  <c r="M1351" i="9" s="1"/>
  <c r="J1359" i="9"/>
  <c r="I1424" i="17"/>
  <c r="J1424" i="9"/>
  <c r="I1532" i="17"/>
  <c r="J1532" i="9"/>
  <c r="L1608" i="9"/>
  <c r="M1608" i="9" s="1"/>
  <c r="I1757" i="17"/>
  <c r="J1757" i="9"/>
  <c r="L244" i="8" s="1"/>
  <c r="O244" i="8" s="1"/>
  <c r="H184" i="10" s="1"/>
  <c r="L184" i="10" s="1"/>
  <c r="I1785" i="17"/>
  <c r="J1785" i="9"/>
  <c r="L1800" i="9"/>
  <c r="M1800" i="9" s="1"/>
  <c r="L1863" i="9"/>
  <c r="M1863" i="9" s="1"/>
  <c r="L1868" i="9"/>
  <c r="M1868" i="9" s="1"/>
  <c r="L498" i="9"/>
  <c r="M498" i="9" s="1"/>
  <c r="L514" i="9"/>
  <c r="M514" i="9" s="1"/>
  <c r="I593" i="17"/>
  <c r="J593" i="9"/>
  <c r="L692" i="9"/>
  <c r="M692" i="9" s="1"/>
  <c r="M717" i="9"/>
  <c r="L788" i="9"/>
  <c r="M788" i="9" s="1"/>
  <c r="I888" i="17"/>
  <c r="J888" i="9"/>
  <c r="I891" i="17"/>
  <c r="J891" i="9"/>
  <c r="L901" i="9"/>
  <c r="M901" i="9" s="1"/>
  <c r="L905" i="9"/>
  <c r="M905" i="9" s="1"/>
  <c r="L915" i="9"/>
  <c r="M915" i="9" s="1"/>
  <c r="L918" i="9"/>
  <c r="M918" i="9" s="1"/>
  <c r="L928" i="9"/>
  <c r="M928" i="9" s="1"/>
  <c r="L931" i="9"/>
  <c r="M931" i="9" s="1"/>
  <c r="I961" i="17"/>
  <c r="J961" i="9"/>
  <c r="L1001" i="9"/>
  <c r="M1001" i="9" s="1"/>
  <c r="L1011" i="9"/>
  <c r="M1011" i="9" s="1"/>
  <c r="I1119" i="17"/>
  <c r="J1119" i="9"/>
  <c r="K150" i="8" s="1"/>
  <c r="N150" i="8" s="1"/>
  <c r="G80" i="10" s="1"/>
  <c r="K80" i="10" s="1"/>
  <c r="L1139" i="9"/>
  <c r="M1139" i="9" s="1"/>
  <c r="I1156" i="17"/>
  <c r="J1156" i="9"/>
  <c r="L1228" i="9"/>
  <c r="M1228" i="9" s="1"/>
  <c r="L1271" i="9"/>
  <c r="M1271" i="9" s="1"/>
  <c r="I1287" i="17"/>
  <c r="J1287" i="9"/>
  <c r="L1347" i="9"/>
  <c r="M1347" i="9" s="1"/>
  <c r="I1356" i="17"/>
  <c r="J1356" i="9"/>
  <c r="I1383" i="17"/>
  <c r="J1383" i="9"/>
  <c r="L1448" i="9"/>
  <c r="M1448" i="9" s="1"/>
  <c r="L1455" i="9"/>
  <c r="M1455" i="9" s="1"/>
  <c r="I1521" i="17"/>
  <c r="J1521" i="9"/>
  <c r="I1544" i="17"/>
  <c r="Q1544" i="17" s="1"/>
  <c r="J1544" i="9"/>
  <c r="I1686" i="17"/>
  <c r="J1686" i="9"/>
  <c r="K226" i="8" s="1"/>
  <c r="N226" i="8" s="1"/>
  <c r="G165" i="10" s="1"/>
  <c r="K165" i="10" s="1"/>
  <c r="I1704" i="17"/>
  <c r="Q1704" i="17" s="1"/>
  <c r="G282" i="12" s="1"/>
  <c r="A282" i="12" s="1"/>
  <c r="J1704" i="9"/>
  <c r="J229" i="8" s="1"/>
  <c r="M229" i="8" s="1"/>
  <c r="L1742" i="9"/>
  <c r="M1742" i="9" s="1"/>
  <c r="L1746" i="9"/>
  <c r="M1746" i="9" s="1"/>
  <c r="L759" i="9"/>
  <c r="M759" i="9" s="1"/>
  <c r="I885" i="17"/>
  <c r="J885" i="9"/>
  <c r="K117" i="8" s="1"/>
  <c r="N117" i="8" s="1"/>
  <c r="L895" i="9"/>
  <c r="M895" i="9" s="1"/>
  <c r="I909" i="17"/>
  <c r="J909" i="9"/>
  <c r="I941" i="17"/>
  <c r="J941" i="9"/>
  <c r="I971" i="17"/>
  <c r="J971" i="9"/>
  <c r="L985" i="9"/>
  <c r="M985" i="9" s="1"/>
  <c r="I1015" i="17"/>
  <c r="J1015" i="9"/>
  <c r="L1054" i="9"/>
  <c r="M1054" i="9" s="1"/>
  <c r="L1075" i="9"/>
  <c r="M1075" i="9" s="1"/>
  <c r="L1127" i="9"/>
  <c r="M1127" i="9" s="1"/>
  <c r="L1135" i="9"/>
  <c r="M1135" i="9" s="1"/>
  <c r="L1237" i="9"/>
  <c r="M1237" i="9" s="1"/>
  <c r="L1287" i="9"/>
  <c r="M1287" i="9" s="1"/>
  <c r="L1291" i="9"/>
  <c r="M1291" i="9" s="1"/>
  <c r="L1306" i="9"/>
  <c r="M1306" i="9" s="1"/>
  <c r="L1330" i="9"/>
  <c r="M1330" i="9" s="1"/>
  <c r="L1478" i="9"/>
  <c r="M1478" i="9" s="1"/>
  <c r="L1640" i="9"/>
  <c r="M1640" i="9" s="1"/>
  <c r="L1647" i="9"/>
  <c r="M1647" i="9" s="1"/>
  <c r="I1651" i="17"/>
  <c r="J1651" i="9"/>
  <c r="L1723" i="9"/>
  <c r="M1723" i="9" s="1"/>
  <c r="L1757" i="9"/>
  <c r="M1757" i="9" s="1"/>
  <c r="J1878" i="9"/>
  <c r="I586" i="17"/>
  <c r="J586" i="9"/>
  <c r="L659" i="9"/>
  <c r="M659" i="9" s="1"/>
  <c r="L667" i="9"/>
  <c r="M667" i="9" s="1"/>
  <c r="J709" i="9"/>
  <c r="J80" i="8" s="1"/>
  <c r="M80" i="8" s="1"/>
  <c r="I715" i="17"/>
  <c r="J715" i="9"/>
  <c r="L736" i="9"/>
  <c r="M736" i="9" s="1"/>
  <c r="J739" i="9"/>
  <c r="J745" i="9"/>
  <c r="J748" i="9"/>
  <c r="K84" i="8" s="1"/>
  <c r="N84" i="8" s="1"/>
  <c r="G8" i="10" s="1"/>
  <c r="I762" i="17"/>
  <c r="J762" i="9"/>
  <c r="L774" i="9"/>
  <c r="M774" i="9" s="1"/>
  <c r="J800" i="9"/>
  <c r="L97" i="8" s="1"/>
  <c r="O97" i="8" s="1"/>
  <c r="H21" i="10" s="1"/>
  <c r="L21" i="10" s="1"/>
  <c r="L831" i="9"/>
  <c r="M831" i="9" s="1"/>
  <c r="I835" i="17"/>
  <c r="J835" i="9"/>
  <c r="L109" i="8" s="1"/>
  <c r="O109" i="8" s="1"/>
  <c r="H33" i="10" s="1"/>
  <c r="L33" i="10" s="1"/>
  <c r="L857" i="9"/>
  <c r="M857" i="9" s="1"/>
  <c r="I863" i="17"/>
  <c r="J863" i="9"/>
  <c r="L885" i="9"/>
  <c r="M885" i="9" s="1"/>
  <c r="L909" i="9"/>
  <c r="M909" i="9" s="1"/>
  <c r="I912" i="17"/>
  <c r="J912" i="9"/>
  <c r="L922" i="9"/>
  <c r="M922" i="9" s="1"/>
  <c r="L950" i="9"/>
  <c r="M950" i="9" s="1"/>
  <c r="I992" i="17"/>
  <c r="J992" i="9"/>
  <c r="L1015" i="9"/>
  <c r="M1015" i="9" s="1"/>
  <c r="L1039" i="9"/>
  <c r="M1039" i="9" s="1"/>
  <c r="L1047" i="9"/>
  <c r="M1047" i="9" s="1"/>
  <c r="L1064" i="9"/>
  <c r="M1064" i="9" s="1"/>
  <c r="L1078" i="9"/>
  <c r="M1078" i="9" s="1"/>
  <c r="L1096" i="9"/>
  <c r="M1096" i="9" s="1"/>
  <c r="L1148" i="9"/>
  <c r="M1148" i="9" s="1"/>
  <c r="L1152" i="9"/>
  <c r="M1152" i="9" s="1"/>
  <c r="L1169" i="9"/>
  <c r="M1169" i="9" s="1"/>
  <c r="L1173" i="9"/>
  <c r="M1173" i="9" s="1"/>
  <c r="L1246" i="9"/>
  <c r="M1246" i="9" s="1"/>
  <c r="L1265" i="9"/>
  <c r="M1265" i="9" s="1"/>
  <c r="L1313" i="9"/>
  <c r="M1313" i="9" s="1"/>
  <c r="L1370" i="9"/>
  <c r="M1370" i="9" s="1"/>
  <c r="L1420" i="9"/>
  <c r="M1420" i="9" s="1"/>
  <c r="L1456" i="9"/>
  <c r="M1456" i="9" s="1"/>
  <c r="I1503" i="17"/>
  <c r="J1503" i="9"/>
  <c r="I1525" i="17"/>
  <c r="J1525" i="9"/>
  <c r="L1568" i="9"/>
  <c r="M1568" i="9" s="1"/>
  <c r="I1609" i="17"/>
  <c r="J1609" i="9"/>
  <c r="L1701" i="9"/>
  <c r="M1701" i="9" s="1"/>
  <c r="L1793" i="9"/>
  <c r="M1793" i="9" s="1"/>
  <c r="L1816" i="9"/>
  <c r="M1816" i="9" s="1"/>
  <c r="I1843" i="17"/>
  <c r="J1843" i="9"/>
  <c r="L1414" i="9"/>
  <c r="M1414" i="9" s="1"/>
  <c r="L1508" i="9"/>
  <c r="M1508" i="9" s="1"/>
  <c r="L1525" i="9"/>
  <c r="M1525" i="9" s="1"/>
  <c r="L1528" i="9"/>
  <c r="M1528" i="9" s="1"/>
  <c r="L1537" i="9"/>
  <c r="M1537" i="9" s="1"/>
  <c r="L1565" i="9"/>
  <c r="M1565" i="9" s="1"/>
  <c r="L1571" i="9"/>
  <c r="M1571" i="9" s="1"/>
  <c r="I1590" i="17"/>
  <c r="J1590" i="9"/>
  <c r="L1593" i="9"/>
  <c r="M1593" i="9" s="1"/>
  <c r="L1599" i="9"/>
  <c r="M1599" i="9" s="1"/>
  <c r="I1618" i="17"/>
  <c r="J1618" i="9"/>
  <c r="I1624" i="17"/>
  <c r="J1624" i="9"/>
  <c r="L216" i="8" s="1"/>
  <c r="O216" i="8" s="1"/>
  <c r="H155" i="10" s="1"/>
  <c r="L155" i="10" s="1"/>
  <c r="I1633" i="17"/>
  <c r="J1633" i="9"/>
  <c r="K216" i="8" s="1"/>
  <c r="N216" i="8" s="1"/>
  <c r="G155" i="10" s="1"/>
  <c r="K155" i="10" s="1"/>
  <c r="L1636" i="9"/>
  <c r="M1636" i="9" s="1"/>
  <c r="L1671" i="9"/>
  <c r="M1671" i="9" s="1"/>
  <c r="L1697" i="9"/>
  <c r="M1697" i="9" s="1"/>
  <c r="I1701" i="17"/>
  <c r="J1701" i="9"/>
  <c r="L229" i="8" s="1"/>
  <c r="O229" i="8" s="1"/>
  <c r="H168" i="10" s="1"/>
  <c r="L168" i="10" s="1"/>
  <c r="I1707" i="17"/>
  <c r="J1707" i="9"/>
  <c r="K230" i="8" s="1"/>
  <c r="N230" i="8" s="1"/>
  <c r="G169" i="10" s="1"/>
  <c r="K169" i="10" s="1"/>
  <c r="L1710" i="9"/>
  <c r="M1710" i="9" s="1"/>
  <c r="I1723" i="17"/>
  <c r="J1723" i="9"/>
  <c r="L236" i="8" s="1"/>
  <c r="O236" i="8" s="1"/>
  <c r="H176" i="10" s="1"/>
  <c r="L176" i="10" s="1"/>
  <c r="I1726" i="17"/>
  <c r="J1726" i="9"/>
  <c r="L237" i="8" s="1"/>
  <c r="O237" i="8" s="1"/>
  <c r="H177" i="10" s="1"/>
  <c r="L177" i="10" s="1"/>
  <c r="L1745" i="9"/>
  <c r="M1745" i="9" s="1"/>
  <c r="I1769" i="17"/>
  <c r="J1769" i="9"/>
  <c r="I1793" i="17"/>
  <c r="J1793" i="9"/>
  <c r="K247" i="8" s="1"/>
  <c r="N247" i="8" s="1"/>
  <c r="G187" i="10" s="1"/>
  <c r="K187" i="10" s="1"/>
  <c r="L1825" i="9"/>
  <c r="M1825" i="9" s="1"/>
  <c r="I1829" i="17"/>
  <c r="J1829" i="9"/>
  <c r="L1839" i="9"/>
  <c r="M1839" i="9" s="1"/>
  <c r="I771" i="17"/>
  <c r="J771" i="9"/>
  <c r="L826" i="9"/>
  <c r="M826" i="9" s="1"/>
  <c r="I908" i="17"/>
  <c r="J908" i="9"/>
  <c r="I916" i="17"/>
  <c r="J916" i="9"/>
  <c r="J121" i="8" s="1"/>
  <c r="M121" i="8" s="1"/>
  <c r="I1101" i="17"/>
  <c r="J1101" i="9"/>
  <c r="I1107" i="17"/>
  <c r="J1107" i="9"/>
  <c r="M1131" i="9"/>
  <c r="M1143" i="9"/>
  <c r="L1170" i="9"/>
  <c r="M1170" i="9" s="1"/>
  <c r="L1210" i="9"/>
  <c r="M1210" i="9" s="1"/>
  <c r="I1213" i="17"/>
  <c r="J1213" i="9"/>
  <c r="L1254" i="9"/>
  <c r="M1254" i="9" s="1"/>
  <c r="I1264" i="17"/>
  <c r="J1264" i="9"/>
  <c r="L1272" i="9"/>
  <c r="M1272" i="9" s="1"/>
  <c r="L1290" i="9"/>
  <c r="M1290" i="9" s="1"/>
  <c r="L1302" i="9"/>
  <c r="M1302" i="9" s="1"/>
  <c r="L1333" i="9"/>
  <c r="M1333" i="9" s="1"/>
  <c r="I1365" i="17"/>
  <c r="J1365" i="9"/>
  <c r="L1389" i="9"/>
  <c r="M1389" i="9" s="1"/>
  <c r="I1398" i="17"/>
  <c r="J1398" i="9"/>
  <c r="I1421" i="17"/>
  <c r="J1421" i="9"/>
  <c r="L1494" i="9"/>
  <c r="M1494" i="9" s="1"/>
  <c r="I1512" i="17"/>
  <c r="J1512" i="9"/>
  <c r="L1621" i="9"/>
  <c r="M1621" i="9" s="1"/>
  <c r="I1634" i="17"/>
  <c r="J1634" i="9"/>
  <c r="L217" i="8" s="1"/>
  <c r="O217" i="8" s="1"/>
  <c r="H156" i="10" s="1"/>
  <c r="L156" i="10" s="1"/>
  <c r="L1648" i="9"/>
  <c r="M1648" i="9" s="1"/>
  <c r="L1651" i="9"/>
  <c r="M1651" i="9" s="1"/>
  <c r="I1663" i="17"/>
  <c r="J1663" i="9"/>
  <c r="I1683" i="17"/>
  <c r="J1683" i="9"/>
  <c r="L225" i="8" s="1"/>
  <c r="O225" i="8" s="1"/>
  <c r="H164" i="10" s="1"/>
  <c r="L164" i="10" s="1"/>
  <c r="I1690" i="17"/>
  <c r="J1690" i="9"/>
  <c r="L1720" i="9"/>
  <c r="M1720" i="9" s="1"/>
  <c r="L1739" i="9"/>
  <c r="M1739" i="9" s="1"/>
  <c r="L1751" i="9"/>
  <c r="M1751" i="9" s="1"/>
  <c r="L1790" i="9"/>
  <c r="M1790" i="9" s="1"/>
  <c r="L1797" i="9"/>
  <c r="M1797" i="9" s="1"/>
  <c r="L1820" i="9"/>
  <c r="M1820" i="9" s="1"/>
  <c r="I1826" i="17"/>
  <c r="J1826" i="9"/>
  <c r="L1095" i="9"/>
  <c r="M1095" i="9" s="1"/>
  <c r="I1113" i="17"/>
  <c r="J1113" i="9"/>
  <c r="L1119" i="9"/>
  <c r="M1119" i="9" s="1"/>
  <c r="L1137" i="9"/>
  <c r="M1137" i="9" s="1"/>
  <c r="I1177" i="17"/>
  <c r="J1177" i="9"/>
  <c r="L163" i="8" s="1"/>
  <c r="O163" i="8" s="1"/>
  <c r="H95" i="10" s="1"/>
  <c r="L95" i="10" s="1"/>
  <c r="I1281" i="17"/>
  <c r="J1281" i="9"/>
  <c r="L1299" i="9"/>
  <c r="M1299" i="9" s="1"/>
  <c r="L1350" i="9"/>
  <c r="M1350" i="9" s="1"/>
  <c r="I1354" i="17"/>
  <c r="J1354" i="9"/>
  <c r="L1371" i="9"/>
  <c r="M1371" i="9" s="1"/>
  <c r="L1380" i="9"/>
  <c r="M1380" i="9" s="1"/>
  <c r="I1387" i="17"/>
  <c r="J1387" i="9"/>
  <c r="L1395" i="9"/>
  <c r="M1395" i="9" s="1"/>
  <c r="L1431" i="9"/>
  <c r="M1431" i="9" s="1"/>
  <c r="L1437" i="9"/>
  <c r="M1437" i="9" s="1"/>
  <c r="L1466" i="9"/>
  <c r="M1466" i="9" s="1"/>
  <c r="L1529" i="9"/>
  <c r="M1529" i="9" s="1"/>
  <c r="I1551" i="17"/>
  <c r="J1551" i="9"/>
  <c r="I1566" i="17"/>
  <c r="J1566" i="9"/>
  <c r="L1575" i="9"/>
  <c r="M1575" i="9" s="1"/>
  <c r="I1666" i="17"/>
  <c r="J1666" i="9"/>
  <c r="L1672" i="9"/>
  <c r="M1672" i="9" s="1"/>
  <c r="L1683" i="9"/>
  <c r="M1683" i="9" s="1"/>
  <c r="L1711" i="9"/>
  <c r="M1711" i="9" s="1"/>
  <c r="L1717" i="9"/>
  <c r="M1717" i="9" s="1"/>
  <c r="I1801" i="17"/>
  <c r="J1801" i="9"/>
  <c r="I1817" i="17"/>
  <c r="J1817" i="9"/>
  <c r="L1823" i="9"/>
  <c r="M1823" i="9" s="1"/>
  <c r="I1844" i="17"/>
  <c r="J1844" i="9"/>
  <c r="L1875" i="9"/>
  <c r="M1875" i="9" s="1"/>
  <c r="I824" i="17"/>
  <c r="J824" i="9"/>
  <c r="L105" i="8" s="1"/>
  <c r="O105" i="8" s="1"/>
  <c r="H29" i="10" s="1"/>
  <c r="L29" i="10" s="1"/>
  <c r="J1082" i="9"/>
  <c r="L1090" i="9"/>
  <c r="M1090" i="9" s="1"/>
  <c r="L1101" i="9"/>
  <c r="M1101" i="9" s="1"/>
  <c r="L1104" i="9"/>
  <c r="M1104" i="9" s="1"/>
  <c r="L1107" i="9"/>
  <c r="M1107" i="9" s="1"/>
  <c r="L1116" i="9"/>
  <c r="M1116" i="9" s="1"/>
  <c r="L1122" i="9"/>
  <c r="M1122" i="9" s="1"/>
  <c r="L1140" i="9"/>
  <c r="M1140" i="9" s="1"/>
  <c r="L1158" i="9"/>
  <c r="M1158" i="9" s="1"/>
  <c r="I1174" i="17"/>
  <c r="J1174" i="9"/>
  <c r="L162" i="8" s="1"/>
  <c r="O162" i="8" s="1"/>
  <c r="H94" i="10" s="1"/>
  <c r="L94" i="10" s="1"/>
  <c r="I1180" i="17"/>
  <c r="J1180" i="9"/>
  <c r="L1188" i="9"/>
  <c r="M1188" i="9" s="1"/>
  <c r="L1191" i="9"/>
  <c r="M1191" i="9" s="1"/>
  <c r="J1199" i="9"/>
  <c r="L1207" i="9"/>
  <c r="M1207" i="9" s="1"/>
  <c r="L1213" i="9"/>
  <c r="M1213" i="9" s="1"/>
  <c r="L1216" i="9"/>
  <c r="M1216" i="9" s="1"/>
  <c r="J1222" i="9"/>
  <c r="J168" i="8" s="1"/>
  <c r="M168" i="8" s="1"/>
  <c r="I1258" i="17"/>
  <c r="J1258" i="9"/>
  <c r="J175" i="8" s="1"/>
  <c r="M175" i="8" s="1"/>
  <c r="L1261" i="9"/>
  <c r="M1261" i="9" s="1"/>
  <c r="L1264" i="9"/>
  <c r="M1264" i="9" s="1"/>
  <c r="J1267" i="9"/>
  <c r="I1284" i="17"/>
  <c r="J1284" i="9"/>
  <c r="L1305" i="9"/>
  <c r="M1305" i="9" s="1"/>
  <c r="I1325" i="17"/>
  <c r="J1325" i="9"/>
  <c r="J1345" i="9"/>
  <c r="J1357" i="9"/>
  <c r="L1362" i="9"/>
  <c r="M1362" i="9" s="1"/>
  <c r="L1374" i="9"/>
  <c r="M1374" i="9" s="1"/>
  <c r="L1377" i="9"/>
  <c r="M1377" i="9" s="1"/>
  <c r="L1387" i="9"/>
  <c r="M1387" i="9" s="1"/>
  <c r="L1408" i="9"/>
  <c r="M1408" i="9" s="1"/>
  <c r="L1411" i="9"/>
  <c r="M1411" i="9" s="1"/>
  <c r="L1421" i="9"/>
  <c r="M1421" i="9" s="1"/>
  <c r="L1434" i="9"/>
  <c r="M1434" i="9" s="1"/>
  <c r="L1449" i="9"/>
  <c r="M1449" i="9" s="1"/>
  <c r="I1458" i="17"/>
  <c r="J1458" i="9"/>
  <c r="L1480" i="9"/>
  <c r="M1480" i="9" s="1"/>
  <c r="I1489" i="17"/>
  <c r="J1489" i="9"/>
  <c r="L1523" i="9"/>
  <c r="M1523" i="9" s="1"/>
  <c r="I1560" i="17"/>
  <c r="J1560" i="9"/>
  <c r="L1566" i="9"/>
  <c r="M1566" i="9" s="1"/>
  <c r="L1578" i="9"/>
  <c r="M1578" i="9" s="1"/>
  <c r="I1585" i="17"/>
  <c r="J1585" i="9"/>
  <c r="L1666" i="9"/>
  <c r="M1666" i="9" s="1"/>
  <c r="I1758" i="17"/>
  <c r="J1758" i="9"/>
  <c r="J244" i="8" s="1"/>
  <c r="M244" i="8" s="1"/>
  <c r="I1764" i="17"/>
  <c r="J1764" i="9"/>
  <c r="L1770" i="9"/>
  <c r="M1770" i="9" s="1"/>
  <c r="L1826" i="9"/>
  <c r="M1826" i="9" s="1"/>
  <c r="L1847" i="9"/>
  <c r="M1847" i="9" s="1"/>
  <c r="I1879" i="17"/>
  <c r="J1879" i="9"/>
  <c r="L810" i="9"/>
  <c r="M810" i="9" s="1"/>
  <c r="L821" i="9"/>
  <c r="M821" i="9" s="1"/>
  <c r="J827" i="9"/>
  <c r="L106" i="8" s="1"/>
  <c r="O106" i="8" s="1"/>
  <c r="H30" i="10" s="1"/>
  <c r="L30" i="10" s="1"/>
  <c r="J861" i="9"/>
  <c r="L866" i="9"/>
  <c r="M866" i="9" s="1"/>
  <c r="J882" i="9"/>
  <c r="M900" i="9"/>
  <c r="I903" i="17"/>
  <c r="J903" i="9"/>
  <c r="L937" i="9"/>
  <c r="M937" i="9" s="1"/>
  <c r="L971" i="9"/>
  <c r="M971" i="9" s="1"/>
  <c r="J985" i="9"/>
  <c r="L1037" i="9"/>
  <c r="M1037" i="9" s="1"/>
  <c r="J1049" i="9"/>
  <c r="J1057" i="9"/>
  <c r="J1060" i="9"/>
  <c r="L1082" i="9"/>
  <c r="M1082" i="9" s="1"/>
  <c r="L1113" i="9"/>
  <c r="M1113" i="9" s="1"/>
  <c r="I1129" i="17"/>
  <c r="J1129" i="9"/>
  <c r="J1165" i="9"/>
  <c r="L1174" i="9"/>
  <c r="M1174" i="9" s="1"/>
  <c r="L1177" i="9"/>
  <c r="M1177" i="9" s="1"/>
  <c r="L1180" i="9"/>
  <c r="M1180" i="9" s="1"/>
  <c r="J1183" i="9"/>
  <c r="L1199" i="9"/>
  <c r="M1199" i="9" s="1"/>
  <c r="I1231" i="17"/>
  <c r="J1231" i="9"/>
  <c r="J1243" i="9"/>
  <c r="I1252" i="17"/>
  <c r="J1252" i="9"/>
  <c r="L173" i="8" s="1"/>
  <c r="O173" i="8" s="1"/>
  <c r="H107" i="10" s="1"/>
  <c r="L107" i="10" s="1"/>
  <c r="L1258" i="9"/>
  <c r="M1258" i="9" s="1"/>
  <c r="J1276" i="9"/>
  <c r="L1308" i="9"/>
  <c r="M1308" i="9" s="1"/>
  <c r="L1319" i="9"/>
  <c r="M1319" i="9" s="1"/>
  <c r="J1322" i="9"/>
  <c r="L1328" i="9"/>
  <c r="M1328" i="9" s="1"/>
  <c r="L1331" i="9"/>
  <c r="M1331" i="9" s="1"/>
  <c r="L1345" i="9"/>
  <c r="M1345" i="9" s="1"/>
  <c r="J1385" i="9"/>
  <c r="L1415" i="9"/>
  <c r="M1415" i="9" s="1"/>
  <c r="I1425" i="17"/>
  <c r="J1425" i="9"/>
  <c r="J1461" i="9"/>
  <c r="I1475" i="17"/>
  <c r="J1475" i="9"/>
  <c r="I1478" i="17"/>
  <c r="J1478" i="9"/>
  <c r="K204" i="8" s="1"/>
  <c r="N204" i="8" s="1"/>
  <c r="L1509" i="9"/>
  <c r="M1509" i="9" s="1"/>
  <c r="J1554" i="9"/>
  <c r="J1588" i="9"/>
  <c r="I1591" i="17"/>
  <c r="J1591" i="9"/>
  <c r="L1594" i="9"/>
  <c r="M1594" i="9" s="1"/>
  <c r="L1597" i="9"/>
  <c r="M1597" i="9" s="1"/>
  <c r="I1622" i="17"/>
  <c r="J1622" i="9"/>
  <c r="I1652" i="17"/>
  <c r="J1652" i="9"/>
  <c r="L1657" i="9"/>
  <c r="M1657" i="9" s="1"/>
  <c r="I1673" i="17"/>
  <c r="J1673" i="9"/>
  <c r="L220" i="8" s="1"/>
  <c r="O220" i="8" s="1"/>
  <c r="H159" i="10" s="1"/>
  <c r="L159" i="10" s="1"/>
  <c r="L1676" i="9"/>
  <c r="M1676" i="9" s="1"/>
  <c r="L1687" i="9"/>
  <c r="M1687" i="9" s="1"/>
  <c r="L1730" i="9"/>
  <c r="M1730" i="9" s="1"/>
  <c r="J1740" i="9"/>
  <c r="K241" i="8" s="1"/>
  <c r="N241" i="8" s="1"/>
  <c r="G181" i="10" s="1"/>
  <c r="K181" i="10" s="1"/>
  <c r="L1743" i="9"/>
  <c r="M1743" i="9" s="1"/>
  <c r="I1755" i="17"/>
  <c r="J1755" i="9"/>
  <c r="L1773" i="9"/>
  <c r="M1773" i="9" s="1"/>
  <c r="L1834" i="9"/>
  <c r="M1834" i="9" s="1"/>
  <c r="I1854" i="17"/>
  <c r="J1854" i="9"/>
  <c r="K268" i="8" s="1"/>
  <c r="N268" i="8" s="1"/>
  <c r="G214" i="10" s="1"/>
  <c r="K214" i="10" s="1"/>
  <c r="I1868" i="17"/>
  <c r="J1868" i="9"/>
  <c r="I964" i="17"/>
  <c r="J964" i="9"/>
  <c r="L996" i="9"/>
  <c r="M996" i="9" s="1"/>
  <c r="I999" i="17"/>
  <c r="J999" i="9"/>
  <c r="L1012" i="9"/>
  <c r="M1012" i="9" s="1"/>
  <c r="I1032" i="17"/>
  <c r="J1032" i="9"/>
  <c r="L1052" i="9"/>
  <c r="M1052" i="9" s="1"/>
  <c r="I1114" i="17"/>
  <c r="J1114" i="9"/>
  <c r="I1117" i="17"/>
  <c r="J1117" i="9"/>
  <c r="J150" i="8" s="1"/>
  <c r="M150" i="8" s="1"/>
  <c r="L1144" i="9"/>
  <c r="M1144" i="9" s="1"/>
  <c r="L1249" i="9"/>
  <c r="M1249" i="9" s="1"/>
  <c r="L1255" i="9"/>
  <c r="M1255" i="9" s="1"/>
  <c r="I1279" i="17"/>
  <c r="J1279" i="9"/>
  <c r="L1300" i="9"/>
  <c r="M1300" i="9" s="1"/>
  <c r="L1390" i="9"/>
  <c r="M1390" i="9" s="1"/>
  <c r="L1393" i="9"/>
  <c r="M1393" i="9" s="1"/>
  <c r="I1399" i="17"/>
  <c r="J1399" i="9"/>
  <c r="L1405" i="9"/>
  <c r="M1405" i="9" s="1"/>
  <c r="L1438" i="9"/>
  <c r="M1438" i="9" s="1"/>
  <c r="L1444" i="9"/>
  <c r="M1444" i="9" s="1"/>
  <c r="L1481" i="9"/>
  <c r="M1481" i="9" s="1"/>
  <c r="L1579" i="9"/>
  <c r="M1579" i="9" s="1"/>
  <c r="I1604" i="17"/>
  <c r="J1604" i="9"/>
  <c r="L1613" i="9"/>
  <c r="M1613" i="9" s="1"/>
  <c r="L1628" i="9"/>
  <c r="M1628" i="9" s="1"/>
  <c r="I1661" i="17"/>
  <c r="J1661" i="9"/>
  <c r="L219" i="8" s="1"/>
  <c r="O219" i="8" s="1"/>
  <c r="H158" i="10" s="1"/>
  <c r="L158" i="10" s="1"/>
  <c r="I1664" i="17"/>
  <c r="J1664" i="9"/>
  <c r="L1680" i="9"/>
  <c r="M1680" i="9" s="1"/>
  <c r="L1684" i="9"/>
  <c r="M1684" i="9" s="1"/>
  <c r="I1777" i="17"/>
  <c r="J1777" i="9"/>
  <c r="L1785" i="9"/>
  <c r="M1785" i="9" s="1"/>
  <c r="L1788" i="9"/>
  <c r="M1788" i="9" s="1"/>
  <c r="I1848" i="17"/>
  <c r="J1848" i="9"/>
  <c r="L265" i="8" s="1"/>
  <c r="O265" i="8" s="1"/>
  <c r="H210" i="10" s="1"/>
  <c r="L210" i="10" s="1"/>
  <c r="L1865" i="9"/>
  <c r="M1865" i="9" s="1"/>
  <c r="I1876" i="17"/>
  <c r="J1876" i="9"/>
  <c r="I708" i="17"/>
  <c r="J708" i="9"/>
  <c r="L80" i="8" s="1"/>
  <c r="O80" i="8" s="1"/>
  <c r="H5" i="10" s="1"/>
  <c r="L5" i="10" s="1"/>
  <c r="L756" i="9"/>
  <c r="M756" i="9" s="1"/>
  <c r="L800" i="9"/>
  <c r="M800" i="9" s="1"/>
  <c r="L816" i="9"/>
  <c r="M816" i="9" s="1"/>
  <c r="J951" i="9"/>
  <c r="L127" i="8" s="1"/>
  <c r="O127" i="8" s="1"/>
  <c r="H52" i="10" s="1"/>
  <c r="L52" i="10" s="1"/>
  <c r="J956" i="9"/>
  <c r="L988" i="9"/>
  <c r="M988" i="9" s="1"/>
  <c r="J1004" i="9"/>
  <c r="J1021" i="9"/>
  <c r="I1055" i="17"/>
  <c r="J1055" i="9"/>
  <c r="J1063" i="9"/>
  <c r="J1068" i="9"/>
  <c r="J1091" i="9"/>
  <c r="I1105" i="17"/>
  <c r="J1105" i="9"/>
  <c r="J148" i="8" s="1"/>
  <c r="M148" i="8" s="1"/>
  <c r="J1111" i="9"/>
  <c r="M1114" i="9"/>
  <c r="L1126" i="9"/>
  <c r="M1126" i="9" s="1"/>
  <c r="M1141" i="9"/>
  <c r="L1150" i="9"/>
  <c r="M1150" i="9" s="1"/>
  <c r="L1162" i="9"/>
  <c r="M1162" i="9" s="1"/>
  <c r="I1178" i="17"/>
  <c r="J1178" i="9"/>
  <c r="I1189" i="17"/>
  <c r="J1189" i="9"/>
  <c r="I1200" i="17"/>
  <c r="J1200" i="9"/>
  <c r="M1211" i="9"/>
  <c r="I1214" i="17"/>
  <c r="J1214" i="9"/>
  <c r="L1217" i="9"/>
  <c r="M1217" i="9" s="1"/>
  <c r="L1220" i="9"/>
  <c r="M1220" i="9" s="1"/>
  <c r="M1234" i="9"/>
  <c r="L1262" i="9"/>
  <c r="M1262" i="9" s="1"/>
  <c r="I1285" i="17"/>
  <c r="J1285" i="9"/>
  <c r="L1288" i="9"/>
  <c r="M1288" i="9" s="1"/>
  <c r="L1294" i="9"/>
  <c r="M1294" i="9" s="1"/>
  <c r="L1303" i="9"/>
  <c r="M1303" i="9" s="1"/>
  <c r="J1306" i="9"/>
  <c r="J1337" i="9"/>
  <c r="K185" i="8" s="1"/>
  <c r="N185" i="8" s="1"/>
  <c r="G121" i="10" s="1"/>
  <c r="K121" i="10" s="1"/>
  <c r="L1340" i="9"/>
  <c r="M1340" i="9" s="1"/>
  <c r="I1355" i="17"/>
  <c r="J1355" i="9"/>
  <c r="L1360" i="9"/>
  <c r="M1360" i="9" s="1"/>
  <c r="J1366" i="9"/>
  <c r="L188" i="8" s="1"/>
  <c r="O188" i="8" s="1"/>
  <c r="H124" i="10" s="1"/>
  <c r="L124" i="10" s="1"/>
  <c r="J1381" i="9"/>
  <c r="L1402" i="9"/>
  <c r="M1402" i="9" s="1"/>
  <c r="M1412" i="9"/>
  <c r="I1422" i="17"/>
  <c r="J1422" i="9"/>
  <c r="L1429" i="9"/>
  <c r="M1429" i="9" s="1"/>
  <c r="J1435" i="9"/>
  <c r="L1447" i="9"/>
  <c r="M1447" i="9" s="1"/>
  <c r="L1501" i="9"/>
  <c r="M1501" i="9" s="1"/>
  <c r="I1510" i="17"/>
  <c r="J1510" i="9"/>
  <c r="L1521" i="9"/>
  <c r="M1521" i="9" s="1"/>
  <c r="I1524" i="17"/>
  <c r="J1524" i="9"/>
  <c r="L1533" i="9"/>
  <c r="M1533" i="9" s="1"/>
  <c r="I1595" i="17"/>
  <c r="J1595" i="9"/>
  <c r="I1598" i="17"/>
  <c r="J1598" i="9"/>
  <c r="I1601" i="17"/>
  <c r="J1601" i="9"/>
  <c r="M1604" i="9"/>
  <c r="M1607" i="9"/>
  <c r="M1631" i="9"/>
  <c r="I1635" i="17"/>
  <c r="J1635" i="9"/>
  <c r="L1649" i="9"/>
  <c r="M1649" i="9" s="1"/>
  <c r="L1661" i="9"/>
  <c r="M1661" i="9" s="1"/>
  <c r="J1667" i="9"/>
  <c r="J1688" i="9"/>
  <c r="K227" i="8" s="1"/>
  <c r="N227" i="8" s="1"/>
  <c r="G166" i="10" s="1"/>
  <c r="K166" i="10" s="1"/>
  <c r="I1699" i="17"/>
  <c r="J1699" i="9"/>
  <c r="L1705" i="9"/>
  <c r="M1705" i="9" s="1"/>
  <c r="M1715" i="9"/>
  <c r="L1737" i="9"/>
  <c r="M1737" i="9" s="1"/>
  <c r="J1744" i="9"/>
  <c r="L243" i="8" s="1"/>
  <c r="O243" i="8" s="1"/>
  <c r="H183" i="10" s="1"/>
  <c r="L183" i="10" s="1"/>
  <c r="I1765" i="17"/>
  <c r="J1765" i="9"/>
  <c r="J1771" i="9"/>
  <c r="K246" i="8" s="1"/>
  <c r="N246" i="8" s="1"/>
  <c r="G186" i="10" s="1"/>
  <c r="K186" i="10" s="1"/>
  <c r="L1791" i="9"/>
  <c r="M1791" i="9" s="1"/>
  <c r="I1808" i="17"/>
  <c r="J1808" i="9"/>
  <c r="L256" i="8" s="1"/>
  <c r="O256" i="8" s="1"/>
  <c r="H200" i="10" s="1"/>
  <c r="L200" i="10" s="1"/>
  <c r="J1824" i="9"/>
  <c r="I1827" i="17"/>
  <c r="J1827" i="9"/>
  <c r="M1831" i="9"/>
  <c r="I1077" i="17"/>
  <c r="J1077" i="9"/>
  <c r="L1105" i="9"/>
  <c r="M1105" i="9" s="1"/>
  <c r="L1111" i="9"/>
  <c r="M1111" i="9" s="1"/>
  <c r="I1247" i="17"/>
  <c r="J1247" i="9"/>
  <c r="I1346" i="17"/>
  <c r="J1346" i="9"/>
  <c r="I1358" i="17"/>
  <c r="J1358" i="9"/>
  <c r="L1375" i="9"/>
  <c r="M1375" i="9" s="1"/>
  <c r="L1381" i="9"/>
  <c r="M1381" i="9" s="1"/>
  <c r="I1459" i="17"/>
  <c r="J1459" i="9"/>
  <c r="L1510" i="9"/>
  <c r="M1510" i="9" s="1"/>
  <c r="L1545" i="9"/>
  <c r="M1545" i="9" s="1"/>
  <c r="I1552" i="17"/>
  <c r="J1552" i="9"/>
  <c r="I1558" i="17"/>
  <c r="J1558" i="9"/>
  <c r="L1576" i="9"/>
  <c r="M1576" i="9" s="1"/>
  <c r="L1598" i="9"/>
  <c r="M1598" i="9" s="1"/>
  <c r="I1658" i="17"/>
  <c r="J1658" i="9"/>
  <c r="L1667" i="9"/>
  <c r="M1667" i="9" s="1"/>
  <c r="I1670" i="17"/>
  <c r="J1670" i="9"/>
  <c r="L1677" i="9"/>
  <c r="M1677" i="9" s="1"/>
  <c r="I1709" i="17"/>
  <c r="J1709" i="9"/>
  <c r="J231" i="8" s="1"/>
  <c r="M231" i="8" s="1"/>
  <c r="L1734" i="9"/>
  <c r="M1734" i="9" s="1"/>
  <c r="L1765" i="9"/>
  <c r="M1765" i="9" s="1"/>
  <c r="L1771" i="9"/>
  <c r="M1771" i="9" s="1"/>
  <c r="I1774" i="17"/>
  <c r="J1774" i="9"/>
  <c r="L1824" i="9"/>
  <c r="M1824" i="9" s="1"/>
  <c r="I1869" i="17"/>
  <c r="J1869" i="9"/>
  <c r="M764" i="9"/>
  <c r="L888" i="9"/>
  <c r="M888" i="9" s="1"/>
  <c r="I1047" i="17"/>
  <c r="J1047" i="9"/>
  <c r="I1053" i="17"/>
  <c r="J1053" i="9"/>
  <c r="L142" i="8" s="1"/>
  <c r="O142" i="8" s="1"/>
  <c r="H71" i="10" s="1"/>
  <c r="L71" i="10" s="1"/>
  <c r="M1071" i="9"/>
  <c r="L1074" i="9"/>
  <c r="M1074" i="9" s="1"/>
  <c r="L1077" i="9"/>
  <c r="M1077" i="9" s="1"/>
  <c r="L1080" i="9"/>
  <c r="M1080" i="9" s="1"/>
  <c r="J1099" i="9"/>
  <c r="L1123" i="9"/>
  <c r="M1123" i="9" s="1"/>
  <c r="J1130" i="9"/>
  <c r="L153" i="8" s="1"/>
  <c r="O153" i="8" s="1"/>
  <c r="H84" i="10" s="1"/>
  <c r="L84" i="10" s="1"/>
  <c r="I1145" i="17"/>
  <c r="J1145" i="9"/>
  <c r="I1163" i="17"/>
  <c r="J1163" i="9"/>
  <c r="J1172" i="9"/>
  <c r="J1175" i="9"/>
  <c r="J162" i="8" s="1"/>
  <c r="M162" i="8" s="1"/>
  <c r="J1181" i="9"/>
  <c r="J1203" i="9"/>
  <c r="I1226" i="17"/>
  <c r="J1226" i="9"/>
  <c r="J169" i="8" s="1"/>
  <c r="M169" i="8" s="1"/>
  <c r="J1238" i="9"/>
  <c r="J1256" i="9"/>
  <c r="K173" i="8" s="1"/>
  <c r="N173" i="8" s="1"/>
  <c r="G107" i="10" s="1"/>
  <c r="K107" i="10" s="1"/>
  <c r="J1277" i="9"/>
  <c r="J1309" i="9"/>
  <c r="L1320" i="9"/>
  <c r="M1320" i="9" s="1"/>
  <c r="J1326" i="9"/>
  <c r="L1363" i="9"/>
  <c r="M1363" i="9" s="1"/>
  <c r="L1369" i="9"/>
  <c r="M1369" i="9" s="1"/>
  <c r="L1378" i="9"/>
  <c r="M1378" i="9" s="1"/>
  <c r="I1388" i="17"/>
  <c r="J1388" i="9"/>
  <c r="J1406" i="9"/>
  <c r="M1426" i="9"/>
  <c r="I1445" i="17"/>
  <c r="J1445" i="9"/>
  <c r="I1453" i="17"/>
  <c r="J1453" i="9"/>
  <c r="K201" i="8" s="1"/>
  <c r="N201" i="8" s="1"/>
  <c r="I1462" i="17"/>
  <c r="J1462" i="9"/>
  <c r="L1482" i="9"/>
  <c r="M1482" i="9" s="1"/>
  <c r="J1490" i="9"/>
  <c r="L1527" i="9"/>
  <c r="M1527" i="9" s="1"/>
  <c r="L1549" i="9"/>
  <c r="M1549" i="9" s="1"/>
  <c r="I1570" i="17"/>
  <c r="J1570" i="9"/>
  <c r="J1583" i="9"/>
  <c r="I1586" i="17"/>
  <c r="J1586" i="9"/>
  <c r="L1595" i="9"/>
  <c r="M1595" i="9" s="1"/>
  <c r="I1614" i="17"/>
  <c r="J1614" i="9"/>
  <c r="K214" i="8" s="1"/>
  <c r="N214" i="8" s="1"/>
  <c r="G153" i="10" s="1"/>
  <c r="K153" i="10" s="1"/>
  <c r="L1638" i="9"/>
  <c r="M1638" i="9" s="1"/>
  <c r="M1646" i="9"/>
  <c r="I1674" i="17"/>
  <c r="J1674" i="9"/>
  <c r="K220" i="8" s="1"/>
  <c r="N220" i="8" s="1"/>
  <c r="G159" i="10" s="1"/>
  <c r="J1685" i="9"/>
  <c r="L226" i="8" s="1"/>
  <c r="O226" i="8" s="1"/>
  <c r="H165" i="10" s="1"/>
  <c r="L165" i="10" s="1"/>
  <c r="L1691" i="9"/>
  <c r="M1691" i="9" s="1"/>
  <c r="I1768" i="17"/>
  <c r="J1768" i="9"/>
  <c r="L1774" i="9"/>
  <c r="M1774" i="9" s="1"/>
  <c r="L1802" i="9"/>
  <c r="M1802" i="9" s="1"/>
  <c r="I1812" i="17"/>
  <c r="J1812" i="9"/>
  <c r="L257" i="8" s="1"/>
  <c r="O257" i="8" s="1"/>
  <c r="H201" i="10" s="1"/>
  <c r="L201" i="10" s="1"/>
  <c r="M1838" i="9"/>
  <c r="M1859" i="9"/>
  <c r="L1099" i="9"/>
  <c r="M1099" i="9" s="1"/>
  <c r="I1127" i="17"/>
  <c r="J1127" i="9"/>
  <c r="J152" i="8" s="1"/>
  <c r="M152" i="8" s="1"/>
  <c r="I1142" i="17"/>
  <c r="J1142" i="9"/>
  <c r="L156" i="8" s="1"/>
  <c r="O156" i="8" s="1"/>
  <c r="H87" i="10" s="1"/>
  <c r="L87" i="10" s="1"/>
  <c r="L1181" i="9"/>
  <c r="M1181" i="9" s="1"/>
  <c r="I1235" i="17"/>
  <c r="J1235" i="9"/>
  <c r="K170" i="8" s="1"/>
  <c r="N170" i="8" s="1"/>
  <c r="L1244" i="9"/>
  <c r="M1244" i="9" s="1"/>
  <c r="I1253" i="17"/>
  <c r="J1253" i="9"/>
  <c r="L1256" i="9"/>
  <c r="M1256" i="9" s="1"/>
  <c r="L1309" i="9"/>
  <c r="M1309" i="9" s="1"/>
  <c r="L1388" i="9"/>
  <c r="M1388" i="9" s="1"/>
  <c r="L1406" i="9"/>
  <c r="M1406" i="9" s="1"/>
  <c r="L1453" i="9"/>
  <c r="M1453" i="9" s="1"/>
  <c r="L1507" i="9"/>
  <c r="M1507" i="9" s="1"/>
  <c r="L1570" i="9"/>
  <c r="M1570" i="9" s="1"/>
  <c r="I1574" i="17"/>
  <c r="Q1574" i="17" s="1"/>
  <c r="J1574" i="9"/>
  <c r="L1586" i="9"/>
  <c r="M1586" i="9" s="1"/>
  <c r="L1617" i="9"/>
  <c r="M1617" i="9" s="1"/>
  <c r="L1626" i="9"/>
  <c r="M1626" i="9" s="1"/>
  <c r="I1735" i="17"/>
  <c r="J1735" i="9"/>
  <c r="L240" i="8" s="1"/>
  <c r="O240" i="8" s="1"/>
  <c r="H180" i="10" s="1"/>
  <c r="L180" i="10" s="1"/>
  <c r="I1789" i="17"/>
  <c r="J1789" i="9"/>
  <c r="I944" i="17"/>
  <c r="J944" i="9"/>
  <c r="I989" i="17"/>
  <c r="J989" i="9"/>
  <c r="I1033" i="17"/>
  <c r="J1033" i="9"/>
  <c r="L1044" i="9"/>
  <c r="L1083" i="9"/>
  <c r="M1083" i="9" s="1"/>
  <c r="J1094" i="9"/>
  <c r="I1097" i="17"/>
  <c r="J1097" i="9"/>
  <c r="J1115" i="9"/>
  <c r="L1130" i="9"/>
  <c r="M1130" i="9" s="1"/>
  <c r="J1133" i="9"/>
  <c r="L1172" i="9"/>
  <c r="M1172" i="9" s="1"/>
  <c r="L1175" i="9"/>
  <c r="M1175" i="9" s="1"/>
  <c r="L1203" i="9"/>
  <c r="M1203" i="9" s="1"/>
  <c r="L1226" i="9"/>
  <c r="M1226" i="9" s="1"/>
  <c r="L1238" i="9"/>
  <c r="M1238" i="9" s="1"/>
  <c r="I1241" i="17"/>
  <c r="Q1241" i="17" s="1"/>
  <c r="J1241" i="9"/>
  <c r="L1250" i="9"/>
  <c r="M1250" i="9" s="1"/>
  <c r="J1263" i="9"/>
  <c r="L1268" i="9"/>
  <c r="M1268" i="9" s="1"/>
  <c r="L1274" i="9"/>
  <c r="M1274" i="9" s="1"/>
  <c r="J1295" i="9"/>
  <c r="J1304" i="9"/>
  <c r="L1323" i="9"/>
  <c r="M1323" i="9" s="1"/>
  <c r="L1332" i="9"/>
  <c r="M1332" i="9" s="1"/>
  <c r="I1349" i="17"/>
  <c r="J1349" i="9"/>
  <c r="I1361" i="17"/>
  <c r="J1361" i="9"/>
  <c r="J1386" i="9"/>
  <c r="L1391" i="9"/>
  <c r="M1391" i="9" s="1"/>
  <c r="J1394" i="9"/>
  <c r="I1400" i="17"/>
  <c r="J1400" i="9"/>
  <c r="K193" i="8" s="1"/>
  <c r="N193" i="8" s="1"/>
  <c r="G129" i="10" s="1"/>
  <c r="K129" i="10" s="1"/>
  <c r="I1433" i="17"/>
  <c r="J1433" i="9"/>
  <c r="L1442" i="9"/>
  <c r="M1442" i="9" s="1"/>
  <c r="L1462" i="9"/>
  <c r="M1462" i="9" s="1"/>
  <c r="J1465" i="9"/>
  <c r="K202" i="8" s="1"/>
  <c r="N202" i="8" s="1"/>
  <c r="I1471" i="17"/>
  <c r="J1471" i="9"/>
  <c r="L1476" i="9"/>
  <c r="M1476" i="9" s="1"/>
  <c r="L1485" i="9"/>
  <c r="M1485" i="9" s="1"/>
  <c r="L1490" i="9"/>
  <c r="M1490" i="9" s="1"/>
  <c r="L1564" i="9"/>
  <c r="M1564" i="9" s="1"/>
  <c r="I1602" i="17"/>
  <c r="J1602" i="9"/>
  <c r="K213" i="8" s="1"/>
  <c r="N213" i="8" s="1"/>
  <c r="G152" i="10" s="1"/>
  <c r="K152" i="10" s="1"/>
  <c r="I1605" i="17"/>
  <c r="J1605" i="9"/>
  <c r="I1611" i="17"/>
  <c r="J1611" i="9"/>
  <c r="L1614" i="9"/>
  <c r="M1614" i="9" s="1"/>
  <c r="J1629" i="9"/>
  <c r="I1632" i="17"/>
  <c r="J1632" i="9"/>
  <c r="J1644" i="9"/>
  <c r="I1662" i="17"/>
  <c r="J1662" i="9"/>
  <c r="J1700" i="9"/>
  <c r="I1713" i="17"/>
  <c r="J1713" i="9"/>
  <c r="K232" i="8" s="1"/>
  <c r="N232" i="8" s="1"/>
  <c r="G172" i="10" s="1"/>
  <c r="K172" i="10" s="1"/>
  <c r="J1722" i="9"/>
  <c r="K235" i="8" s="1"/>
  <c r="N235" i="8" s="1"/>
  <c r="G175" i="10" s="1"/>
  <c r="K175" i="10" s="1"/>
  <c r="L1728" i="9"/>
  <c r="M1728" i="9" s="1"/>
  <c r="L1738" i="9"/>
  <c r="M1738" i="9" s="1"/>
  <c r="J1750" i="9"/>
  <c r="L1753" i="9"/>
  <c r="M1753" i="9" s="1"/>
  <c r="L1768" i="9"/>
  <c r="M1768" i="9" s="1"/>
  <c r="J1778" i="9"/>
  <c r="J1786" i="9"/>
  <c r="J1792" i="9"/>
  <c r="J247" i="8" s="1"/>
  <c r="M247" i="8" s="1"/>
  <c r="L1815" i="9"/>
  <c r="M1815" i="9" s="1"/>
  <c r="L1819" i="9"/>
  <c r="M1819" i="9" s="1"/>
  <c r="J1832" i="9"/>
  <c r="K260" i="8" s="1"/>
  <c r="N260" i="8" s="1"/>
  <c r="G205" i="10" s="1"/>
  <c r="I1842" i="17"/>
  <c r="J1842" i="9"/>
  <c r="J263" i="8" s="1"/>
  <c r="M263" i="8" s="1"/>
  <c r="L1849" i="9"/>
  <c r="M1849" i="9" s="1"/>
  <c r="I1870" i="17"/>
  <c r="J1870" i="9"/>
  <c r="L757" i="9"/>
  <c r="M757" i="9" s="1"/>
  <c r="L870" i="9"/>
  <c r="M870" i="9" s="1"/>
  <c r="L883" i="9"/>
  <c r="M883" i="9" s="1"/>
  <c r="J899" i="9"/>
  <c r="J915" i="9"/>
  <c r="L121" i="8" s="1"/>
  <c r="O121" i="8" s="1"/>
  <c r="H46" i="10" s="1"/>
  <c r="L46" i="10" s="1"/>
  <c r="J923" i="9"/>
  <c r="J122" i="8" s="1"/>
  <c r="M122" i="8" s="1"/>
  <c r="L941" i="9"/>
  <c r="M941" i="9" s="1"/>
  <c r="J957" i="9"/>
  <c r="J965" i="9"/>
  <c r="L997" i="9"/>
  <c r="M997" i="9" s="1"/>
  <c r="L1016" i="9"/>
  <c r="M1016" i="9" s="1"/>
  <c r="J1036" i="9"/>
  <c r="J138" i="8" s="1"/>
  <c r="M138" i="8" s="1"/>
  <c r="L1050" i="9"/>
  <c r="M1050" i="9" s="1"/>
  <c r="L1061" i="9"/>
  <c r="M1061" i="9" s="1"/>
  <c r="I1072" i="17"/>
  <c r="J1072" i="9"/>
  <c r="I1075" i="17"/>
  <c r="J1075" i="9"/>
  <c r="J1086" i="9"/>
  <c r="I1089" i="17"/>
  <c r="J1089" i="9"/>
  <c r="I1112" i="17"/>
  <c r="J1112" i="9"/>
  <c r="I1121" i="17"/>
  <c r="J1121" i="9"/>
  <c r="J1124" i="9"/>
  <c r="I1136" i="17"/>
  <c r="J1136" i="9"/>
  <c r="I1139" i="17"/>
  <c r="J1139" i="9"/>
  <c r="J155" i="8" s="1"/>
  <c r="M155" i="8" s="1"/>
  <c r="L1154" i="9"/>
  <c r="M1154" i="9" s="1"/>
  <c r="L1160" i="9"/>
  <c r="M1160" i="9" s="1"/>
  <c r="I1190" i="17"/>
  <c r="Q1190" i="17" s="1"/>
  <c r="J1190" i="9"/>
  <c r="I1206" i="17"/>
  <c r="J1206" i="9"/>
  <c r="J1212" i="9"/>
  <c r="L1218" i="9"/>
  <c r="M1218" i="9" s="1"/>
  <c r="L1253" i="9"/>
  <c r="M1253" i="9" s="1"/>
  <c r="M1286" i="9"/>
  <c r="L1292" i="9"/>
  <c r="M1292" i="9" s="1"/>
  <c r="L1304" i="9"/>
  <c r="M1304" i="9" s="1"/>
  <c r="L1315" i="9"/>
  <c r="M1315" i="9" s="1"/>
  <c r="I1335" i="17"/>
  <c r="J1335" i="9"/>
  <c r="J1344" i="9"/>
  <c r="J1364" i="9"/>
  <c r="J1370" i="9"/>
  <c r="L189" i="8" s="1"/>
  <c r="O189" i="8" s="1"/>
  <c r="H125" i="10" s="1"/>
  <c r="L125" i="10" s="1"/>
  <c r="I1379" i="17"/>
  <c r="J1379" i="9"/>
  <c r="I1397" i="17"/>
  <c r="J1397" i="9"/>
  <c r="L1400" i="9"/>
  <c r="M1400" i="9" s="1"/>
  <c r="M1403" i="9"/>
  <c r="L1413" i="9"/>
  <c r="M1413" i="9" s="1"/>
  <c r="L1430" i="9"/>
  <c r="M1430" i="9" s="1"/>
  <c r="L1439" i="9"/>
  <c r="M1439" i="9" s="1"/>
  <c r="L1465" i="9"/>
  <c r="M1465" i="9" s="1"/>
  <c r="L1479" i="9"/>
  <c r="M1479" i="9" s="1"/>
  <c r="L1496" i="9"/>
  <c r="M1496" i="9" s="1"/>
  <c r="L1499" i="9"/>
  <c r="M1499" i="9" s="1"/>
  <c r="J1534" i="9"/>
  <c r="L1540" i="9"/>
  <c r="M1540" i="9" s="1"/>
  <c r="J1608" i="9"/>
  <c r="L1611" i="9"/>
  <c r="M1611" i="9" s="1"/>
  <c r="L1620" i="9"/>
  <c r="M1620" i="9" s="1"/>
  <c r="L1632" i="9"/>
  <c r="M1632" i="9" s="1"/>
  <c r="I1647" i="17"/>
  <c r="J1647" i="9"/>
  <c r="J1678" i="9"/>
  <c r="K222" i="8" s="1"/>
  <c r="N222" i="8" s="1"/>
  <c r="G161" i="10" s="1"/>
  <c r="K161" i="10" s="1"/>
  <c r="I1689" i="17"/>
  <c r="J1689" i="9"/>
  <c r="L228" i="8" s="1"/>
  <c r="O228" i="8" s="1"/>
  <c r="H167" i="10" s="1"/>
  <c r="L167" i="10" s="1"/>
  <c r="L1703" i="9"/>
  <c r="M1703" i="9" s="1"/>
  <c r="L1792" i="9"/>
  <c r="M1792" i="9" s="1"/>
  <c r="L1796" i="9"/>
  <c r="M1796" i="9" s="1"/>
  <c r="I1809" i="17"/>
  <c r="J1809" i="9"/>
  <c r="J256" i="8" s="1"/>
  <c r="M256" i="8" s="1"/>
  <c r="L1842" i="9"/>
  <c r="M1842" i="9" s="1"/>
  <c r="J1846" i="9"/>
  <c r="J264" i="8" s="1"/>
  <c r="M264" i="8" s="1"/>
  <c r="I1863" i="17"/>
  <c r="J1863" i="9"/>
  <c r="L1870" i="9"/>
  <c r="M1870" i="9" s="1"/>
  <c r="I1312" i="17"/>
  <c r="J1312" i="9"/>
  <c r="K183" i="8" s="1"/>
  <c r="N183" i="8" s="1"/>
  <c r="L1384" i="9"/>
  <c r="M1384" i="9" s="1"/>
  <c r="L1436" i="9"/>
  <c r="M1436" i="9" s="1"/>
  <c r="L1542" i="9"/>
  <c r="M1542" i="9" s="1"/>
  <c r="L1563" i="9"/>
  <c r="M1563" i="9" s="1"/>
  <c r="I1641" i="17"/>
  <c r="J1641" i="9"/>
  <c r="L1681" i="9"/>
  <c r="M1681" i="9" s="1"/>
  <c r="L1722" i="9"/>
  <c r="M1722" i="9" s="1"/>
  <c r="L1750" i="9"/>
  <c r="M1750" i="9" s="1"/>
  <c r="L1764" i="9"/>
  <c r="M1764" i="9" s="1"/>
  <c r="I1783" i="17"/>
  <c r="J1783" i="9"/>
  <c r="I1794" i="17"/>
  <c r="J1794" i="9"/>
  <c r="J248" i="8" s="1"/>
  <c r="M248" i="8" s="1"/>
  <c r="L1840" i="9"/>
  <c r="M1840" i="9" s="1"/>
  <c r="I1043" i="17"/>
  <c r="J1043" i="9"/>
  <c r="K140" i="8" s="1"/>
  <c r="N140" i="8" s="1"/>
  <c r="G68" i="10" s="1"/>
  <c r="K68" i="10" s="1"/>
  <c r="I1085" i="17"/>
  <c r="J1085" i="9"/>
  <c r="I1160" i="17"/>
  <c r="J1160" i="9"/>
  <c r="L160" i="8" s="1"/>
  <c r="O160" i="8" s="1"/>
  <c r="L1168" i="9"/>
  <c r="M1168" i="9" s="1"/>
  <c r="J1328" i="9"/>
  <c r="J1343" i="9"/>
  <c r="L1356" i="9"/>
  <c r="M1356" i="9" s="1"/>
  <c r="J1377" i="9"/>
  <c r="J191" i="8" s="1"/>
  <c r="M191" i="8" s="1"/>
  <c r="I1380" i="17"/>
  <c r="J1380" i="9"/>
  <c r="M1398" i="9"/>
  <c r="J1412" i="9"/>
  <c r="K195" i="8" s="1"/>
  <c r="N195" i="8" s="1"/>
  <c r="G133" i="10" s="1"/>
  <c r="K133" i="10" s="1"/>
  <c r="J1415" i="9"/>
  <c r="J1423" i="9"/>
  <c r="J1429" i="9"/>
  <c r="I1434" i="17"/>
  <c r="J1434" i="9"/>
  <c r="J1439" i="9"/>
  <c r="K199" i="8" s="1"/>
  <c r="N199" i="8" s="1"/>
  <c r="J1447" i="9"/>
  <c r="I1452" i="17"/>
  <c r="J1452" i="9"/>
  <c r="K200" i="8" s="1"/>
  <c r="N200" i="8" s="1"/>
  <c r="J1497" i="9"/>
  <c r="J1502" i="9"/>
  <c r="M1519" i="9"/>
  <c r="J1527" i="9"/>
  <c r="K212" i="8" s="1"/>
  <c r="N212" i="8" s="1"/>
  <c r="I1540" i="17"/>
  <c r="J1540" i="9"/>
  <c r="I1553" i="17"/>
  <c r="J1553" i="9"/>
  <c r="J1592" i="9"/>
  <c r="J1597" i="9"/>
  <c r="J1607" i="9"/>
  <c r="I1612" i="17"/>
  <c r="J1612" i="9"/>
  <c r="L1633" i="9"/>
  <c r="M1633" i="9" s="1"/>
  <c r="L1641" i="9"/>
  <c r="M1641" i="9" s="1"/>
  <c r="L1654" i="9"/>
  <c r="M1654" i="9" s="1"/>
  <c r="L1678" i="9"/>
  <c r="M1678" i="9" s="1"/>
  <c r="L1700" i="9"/>
  <c r="M1700" i="9" s="1"/>
  <c r="J1728" i="9"/>
  <c r="K237" i="8" s="1"/>
  <c r="N237" i="8" s="1"/>
  <c r="G177" i="10" s="1"/>
  <c r="J1731" i="9"/>
  <c r="K238" i="8" s="1"/>
  <c r="N238" i="8" s="1"/>
  <c r="G178" i="10" s="1"/>
  <c r="K178" i="10" s="1"/>
  <c r="J1753" i="9"/>
  <c r="I1770" i="17"/>
  <c r="J1770" i="9"/>
  <c r="L1778" i="9"/>
  <c r="M1778" i="9" s="1"/>
  <c r="I1791" i="17"/>
  <c r="J1791" i="9"/>
  <c r="L1803" i="9"/>
  <c r="M1803" i="9" s="1"/>
  <c r="J1806" i="9"/>
  <c r="K255" i="8" s="1"/>
  <c r="N255" i="8" s="1"/>
  <c r="G199" i="10" s="1"/>
  <c r="K199" i="10" s="1"/>
  <c r="J1815" i="9"/>
  <c r="K257" i="8" s="1"/>
  <c r="N257" i="8" s="1"/>
  <c r="G201" i="10" s="1"/>
  <c r="I1823" i="17"/>
  <c r="J1823" i="9"/>
  <c r="J1849" i="9"/>
  <c r="J265" i="8" s="1"/>
  <c r="M265" i="8" s="1"/>
  <c r="D33" i="11"/>
  <c r="I1269" i="17"/>
  <c r="J1269" i="9"/>
  <c r="I1291" i="17"/>
  <c r="J1291" i="9"/>
  <c r="L180" i="8" s="1"/>
  <c r="O180" i="8" s="1"/>
  <c r="P180" i="8" s="1"/>
  <c r="L1348" i="9"/>
  <c r="M1348" i="9" s="1"/>
  <c r="L1354" i="9"/>
  <c r="M1354" i="9" s="1"/>
  <c r="I1437" i="17"/>
  <c r="J1437" i="9"/>
  <c r="L1477" i="9"/>
  <c r="M1477" i="9" s="1"/>
  <c r="I1543" i="17"/>
  <c r="J1543" i="9"/>
  <c r="M1665" i="9"/>
  <c r="L1685" i="9"/>
  <c r="M1685" i="9" s="1"/>
  <c r="M1706" i="9"/>
  <c r="M1740" i="9"/>
  <c r="I1743" i="17"/>
  <c r="J1743" i="9"/>
  <c r="K242" i="8" s="1"/>
  <c r="N242" i="8" s="1"/>
  <c r="G182" i="10" s="1"/>
  <c r="K182" i="10" s="1"/>
  <c r="I1776" i="17"/>
  <c r="J1776" i="9"/>
  <c r="I1798" i="17"/>
  <c r="J1798" i="9"/>
  <c r="K254" i="8" s="1"/>
  <c r="N254" i="8" s="1"/>
  <c r="G197" i="10" s="1"/>
  <c r="K197" i="10" s="1"/>
  <c r="L1861" i="9"/>
  <c r="M1861" i="9" s="1"/>
  <c r="I974" i="17"/>
  <c r="J974" i="9"/>
  <c r="I1023" i="17"/>
  <c r="J1023" i="9"/>
  <c r="K136" i="8" s="1"/>
  <c r="N136" i="8" s="1"/>
  <c r="L1057" i="9"/>
  <c r="M1057" i="9" s="1"/>
  <c r="I1108" i="17"/>
  <c r="J1108" i="9"/>
  <c r="I1122" i="17"/>
  <c r="J1122" i="9"/>
  <c r="I1128" i="17"/>
  <c r="J1128" i="9"/>
  <c r="I1173" i="17"/>
  <c r="J1173" i="9"/>
  <c r="L1259" i="9"/>
  <c r="M1259" i="9" s="1"/>
  <c r="I1289" i="17"/>
  <c r="J1289" i="9"/>
  <c r="I1308" i="17"/>
  <c r="J1308" i="9"/>
  <c r="L1316" i="9"/>
  <c r="M1316" i="9" s="1"/>
  <c r="L1329" i="9"/>
  <c r="M1329" i="9" s="1"/>
  <c r="L1443" i="9"/>
  <c r="M1443" i="9" s="1"/>
  <c r="L1498" i="9"/>
  <c r="M1498" i="9" s="1"/>
  <c r="I1511" i="17"/>
  <c r="J1511" i="9"/>
  <c r="L1583" i="9"/>
  <c r="M1583" i="9" s="1"/>
  <c r="I1671" i="17"/>
  <c r="J1671" i="9"/>
  <c r="K219" i="8" s="1"/>
  <c r="N219" i="8" s="1"/>
  <c r="G158" i="10" s="1"/>
  <c r="K158" i="10" s="1"/>
  <c r="I1677" i="17"/>
  <c r="J1677" i="9"/>
  <c r="L222" i="8" s="1"/>
  <c r="O222" i="8" s="1"/>
  <c r="H161" i="10" s="1"/>
  <c r="L161" i="10" s="1"/>
  <c r="L1704" i="9"/>
  <c r="M1704" i="9" s="1"/>
  <c r="L1718" i="9"/>
  <c r="M1718" i="9" s="1"/>
  <c r="I1796" i="17"/>
  <c r="J1796" i="9"/>
  <c r="K249" i="8" s="1"/>
  <c r="N249" i="8" s="1"/>
  <c r="G189" i="10" s="1"/>
  <c r="K189" i="10" s="1"/>
  <c r="M1799" i="9"/>
  <c r="I1830" i="17"/>
  <c r="J1830" i="9"/>
  <c r="L1836" i="9"/>
  <c r="M1836" i="9" s="1"/>
  <c r="B6" i="11"/>
  <c r="L1473" i="9"/>
  <c r="M1473" i="9" s="1"/>
  <c r="I1491" i="17"/>
  <c r="J1491" i="9"/>
  <c r="K206" i="8" s="1"/>
  <c r="N206" i="8" s="1"/>
  <c r="I1501" i="17"/>
  <c r="Q1501" i="17" s="1"/>
  <c r="J1501" i="9"/>
  <c r="L1531" i="9"/>
  <c r="M1531" i="9" s="1"/>
  <c r="L1562" i="9"/>
  <c r="M1562" i="9" s="1"/>
  <c r="M1573" i="9"/>
  <c r="I1578" i="17"/>
  <c r="J1578" i="9"/>
  <c r="L1653" i="9"/>
  <c r="M1653" i="9" s="1"/>
  <c r="M1696" i="9"/>
  <c r="L1713" i="9"/>
  <c r="M1713" i="9" s="1"/>
  <c r="I1730" i="17"/>
  <c r="J1730" i="9"/>
  <c r="J238" i="8" s="1"/>
  <c r="M238" i="8" s="1"/>
  <c r="L1766" i="9"/>
  <c r="M1766" i="9" s="1"/>
  <c r="I1790" i="17"/>
  <c r="J1790" i="9"/>
  <c r="L1808" i="9"/>
  <c r="M1808" i="9" s="1"/>
  <c r="L1827" i="9"/>
  <c r="M1827" i="9" s="1"/>
  <c r="I1877" i="17"/>
  <c r="Q1877" i="17" s="1"/>
  <c r="J1877" i="9"/>
  <c r="C6" i="11"/>
  <c r="I1638" i="17"/>
  <c r="J1638" i="9"/>
  <c r="M1656" i="9"/>
  <c r="I1659" i="17"/>
  <c r="J1659" i="9"/>
  <c r="L1727" i="9"/>
  <c r="M1727" i="9" s="1"/>
  <c r="L1736" i="9"/>
  <c r="M1736" i="9" s="1"/>
  <c r="L1805" i="9"/>
  <c r="M1805" i="9" s="1"/>
  <c r="M1814" i="9"/>
  <c r="I1831" i="17"/>
  <c r="J1831" i="9"/>
  <c r="K259" i="8" s="1"/>
  <c r="N259" i="8" s="1"/>
  <c r="G204" i="10" s="1"/>
  <c r="K204" i="10" s="1"/>
  <c r="L1857" i="9"/>
  <c r="M1857" i="9" s="1"/>
  <c r="I1155" i="17"/>
  <c r="Q1155" i="17" s="1"/>
  <c r="J1155" i="9"/>
  <c r="M1197" i="9"/>
  <c r="I1261" i="17"/>
  <c r="J1261" i="9"/>
  <c r="K176" i="8" s="1"/>
  <c r="N176" i="8" s="1"/>
  <c r="G111" i="10" s="1"/>
  <c r="K111" i="10" s="1"/>
  <c r="L1341" i="9"/>
  <c r="M1341" i="9" s="1"/>
  <c r="L1382" i="9"/>
  <c r="M1382" i="9" s="1"/>
  <c r="M1416" i="9"/>
  <c r="L1424" i="9"/>
  <c r="M1424" i="9" s="1"/>
  <c r="M1459" i="9"/>
  <c r="I1464" i="17"/>
  <c r="J1464" i="9"/>
  <c r="L1503" i="9"/>
  <c r="M1503" i="9" s="1"/>
  <c r="L1513" i="9"/>
  <c r="M1513" i="9" s="1"/>
  <c r="L1600" i="9"/>
  <c r="M1600" i="9" s="1"/>
  <c r="I1756" i="17"/>
  <c r="J1756" i="9"/>
  <c r="K243" i="8" s="1"/>
  <c r="N243" i="8" s="1"/>
  <c r="G183" i="10" s="1"/>
  <c r="K183" i="10" s="1"/>
  <c r="I1759" i="17"/>
  <c r="J1759" i="9"/>
  <c r="K244" i="8" s="1"/>
  <c r="N244" i="8" s="1"/>
  <c r="G184" i="10" s="1"/>
  <c r="K184" i="10" s="1"/>
  <c r="M1809" i="9"/>
  <c r="L1817" i="9"/>
  <c r="M1817" i="9" s="1"/>
  <c r="L1844" i="9"/>
  <c r="M1844" i="9" s="1"/>
  <c r="M1858" i="9"/>
  <c r="L1735" i="9"/>
  <c r="M1735" i="9" s="1"/>
  <c r="L1756" i="9"/>
  <c r="M1756" i="9" s="1"/>
  <c r="L1777" i="9"/>
  <c r="M1777" i="9" s="1"/>
  <c r="L1830" i="9"/>
  <c r="M1830" i="9" s="1"/>
  <c r="L635" i="9"/>
  <c r="M635" i="9" s="1"/>
  <c r="I984" i="17"/>
  <c r="J984" i="9"/>
  <c r="I1150" i="17"/>
  <c r="J1150" i="9"/>
  <c r="L1212" i="9"/>
  <c r="M1212" i="9" s="1"/>
  <c r="M1336" i="9"/>
  <c r="L1419" i="9"/>
  <c r="M1419" i="9" s="1"/>
  <c r="M1489" i="9"/>
  <c r="L1567" i="9"/>
  <c r="M1567" i="9" s="1"/>
  <c r="I1749" i="17"/>
  <c r="J1749" i="9"/>
  <c r="L1813" i="9"/>
  <c r="M1813" i="9" s="1"/>
  <c r="M1878" i="9"/>
  <c r="I1687" i="17"/>
  <c r="J1687" i="9"/>
  <c r="L227" i="8" s="1"/>
  <c r="O227" i="8" s="1"/>
  <c r="H166" i="10" s="1"/>
  <c r="L166" i="10" s="1"/>
  <c r="I1775" i="17"/>
  <c r="J1775" i="9"/>
  <c r="M1835" i="9"/>
  <c r="Q12" i="17"/>
  <c r="Q67" i="17"/>
  <c r="P117" i="17"/>
  <c r="Q117" i="17" s="1"/>
  <c r="E32" i="12"/>
  <c r="K15" i="17"/>
  <c r="N45" i="17"/>
  <c r="L45" i="17"/>
  <c r="O45" i="17" s="1"/>
  <c r="J45" i="17"/>
  <c r="N93" i="17"/>
  <c r="L93" i="17"/>
  <c r="O93" i="17" s="1"/>
  <c r="P93" i="17" s="1"/>
  <c r="Q93" i="17" s="1"/>
  <c r="K93" i="17"/>
  <c r="J93" i="17"/>
  <c r="M124" i="17"/>
  <c r="L124" i="17"/>
  <c r="O124" i="17" s="1"/>
  <c r="P124" i="17" s="1"/>
  <c r="Q124" i="17" s="1"/>
  <c r="K124" i="17"/>
  <c r="J124" i="17"/>
  <c r="M126" i="17"/>
  <c r="K126" i="17"/>
  <c r="J126" i="17"/>
  <c r="L126" i="17"/>
  <c r="O126" i="17" s="1"/>
  <c r="P126" i="17" s="1"/>
  <c r="Q126" i="17" s="1"/>
  <c r="N157" i="17"/>
  <c r="L157" i="17"/>
  <c r="O157" i="17" s="1"/>
  <c r="P157" i="17" s="1"/>
  <c r="K157" i="17"/>
  <c r="J157" i="17"/>
  <c r="M157" i="17"/>
  <c r="Q295" i="17"/>
  <c r="Q339" i="17"/>
  <c r="G642" i="12"/>
  <c r="A642" i="12" s="1"/>
  <c r="J2" i="17"/>
  <c r="J3" i="17"/>
  <c r="M15" i="17"/>
  <c r="N23" i="17"/>
  <c r="M23" i="17"/>
  <c r="K47" i="17"/>
  <c r="J49" i="17"/>
  <c r="M49" i="17"/>
  <c r="Q70" i="17"/>
  <c r="N75" i="17"/>
  <c r="M75" i="17"/>
  <c r="L75" i="17"/>
  <c r="O75" i="17" s="1"/>
  <c r="K75" i="17"/>
  <c r="J75" i="17"/>
  <c r="M142" i="17"/>
  <c r="K142" i="17"/>
  <c r="J142" i="17"/>
  <c r="L142" i="17"/>
  <c r="O142" i="17" s="1"/>
  <c r="P142" i="17" s="1"/>
  <c r="Q142" i="17" s="1"/>
  <c r="N195" i="17"/>
  <c r="L195" i="17"/>
  <c r="O195" i="17" s="1"/>
  <c r="K195" i="17"/>
  <c r="J195" i="17"/>
  <c r="Q358" i="17"/>
  <c r="E630" i="12"/>
  <c r="G632" i="12"/>
  <c r="A632" i="12" s="1"/>
  <c r="E637" i="12"/>
  <c r="K2" i="17"/>
  <c r="K3" i="17"/>
  <c r="M12" i="17"/>
  <c r="K12" i="17"/>
  <c r="J12" i="17"/>
  <c r="N12" i="17"/>
  <c r="J17" i="17"/>
  <c r="N17" i="17"/>
  <c r="M67" i="17"/>
  <c r="J67" i="17"/>
  <c r="N114" i="17"/>
  <c r="L114" i="17"/>
  <c r="O114" i="17" s="1"/>
  <c r="P114" i="17" s="1"/>
  <c r="Q114" i="17" s="1"/>
  <c r="J129" i="17"/>
  <c r="L129" i="17"/>
  <c r="O129" i="17" s="1"/>
  <c r="N129" i="17"/>
  <c r="M129" i="17"/>
  <c r="L159" i="17"/>
  <c r="O159" i="17" s="1"/>
  <c r="P159" i="17" s="1"/>
  <c r="Q159" i="17" s="1"/>
  <c r="J159" i="17"/>
  <c r="M159" i="17"/>
  <c r="N159" i="17"/>
  <c r="L3" i="17"/>
  <c r="O3" i="17" s="1"/>
  <c r="K32" i="17"/>
  <c r="N32" i="17"/>
  <c r="L32" i="17"/>
  <c r="O32" i="17" s="1"/>
  <c r="N41" i="17"/>
  <c r="M41" i="17"/>
  <c r="L41" i="17"/>
  <c r="O41" i="17" s="1"/>
  <c r="L95" i="17"/>
  <c r="O95" i="17" s="1"/>
  <c r="P95" i="17" s="1"/>
  <c r="J95" i="17"/>
  <c r="M95" i="17"/>
  <c r="K144" i="17"/>
  <c r="N144" i="17"/>
  <c r="M144" i="17"/>
  <c r="J144" i="17"/>
  <c r="Q338" i="17"/>
  <c r="M3" i="17"/>
  <c r="N57" i="17"/>
  <c r="M57" i="17"/>
  <c r="L57" i="17"/>
  <c r="O57" i="17" s="1"/>
  <c r="P57" i="17" s="1"/>
  <c r="J57" i="17"/>
  <c r="J161" i="17"/>
  <c r="K161" i="17"/>
  <c r="N161" i="17"/>
  <c r="M161" i="17"/>
  <c r="L161" i="17"/>
  <c r="O161" i="17" s="1"/>
  <c r="P161" i="17" s="1"/>
  <c r="E643" i="12"/>
  <c r="J18" i="17"/>
  <c r="M44" i="17"/>
  <c r="K44" i="17"/>
  <c r="J44" i="17"/>
  <c r="M60" i="17"/>
  <c r="L60" i="17"/>
  <c r="O60" i="17" s="1"/>
  <c r="P60" i="17" s="1"/>
  <c r="Q60" i="17" s="1"/>
  <c r="K60" i="17"/>
  <c r="J60" i="17"/>
  <c r="N60" i="17"/>
  <c r="Q119" i="17"/>
  <c r="L31" i="17"/>
  <c r="O31" i="17" s="1"/>
  <c r="J31" i="17"/>
  <c r="M31" i="17"/>
  <c r="K48" i="17"/>
  <c r="M48" i="17"/>
  <c r="J48" i="17"/>
  <c r="N89" i="17"/>
  <c r="M89" i="17"/>
  <c r="L89" i="17"/>
  <c r="O89" i="17" s="1"/>
  <c r="P89" i="17" s="1"/>
  <c r="Q89" i="17" s="1"/>
  <c r="M93" i="17"/>
  <c r="N124" i="17"/>
  <c r="N187" i="17"/>
  <c r="L187" i="17"/>
  <c r="O187" i="17" s="1"/>
  <c r="K187" i="17"/>
  <c r="J187" i="17"/>
  <c r="N11" i="17"/>
  <c r="L11" i="17"/>
  <c r="O11" i="17" s="1"/>
  <c r="K11" i="17"/>
  <c r="J11" i="17"/>
  <c r="M11" i="17"/>
  <c r="L15" i="17"/>
  <c r="O15" i="17" s="1"/>
  <c r="J15" i="17"/>
  <c r="N27" i="17"/>
  <c r="L27" i="17"/>
  <c r="O27" i="17" s="1"/>
  <c r="P27" i="17" s="1"/>
  <c r="Q27" i="17" s="1"/>
  <c r="K27" i="17"/>
  <c r="J27" i="17"/>
  <c r="N66" i="17"/>
  <c r="L66" i="17"/>
  <c r="O66" i="17" s="1"/>
  <c r="Q69" i="17"/>
  <c r="N107" i="17"/>
  <c r="M107" i="17"/>
  <c r="L107" i="17"/>
  <c r="O107" i="17" s="1"/>
  <c r="P107" i="17" s="1"/>
  <c r="Q107" i="17" s="1"/>
  <c r="K107" i="17"/>
  <c r="J107" i="17"/>
  <c r="N139" i="17"/>
  <c r="M139" i="17"/>
  <c r="L139" i="17"/>
  <c r="O139" i="17" s="1"/>
  <c r="P139" i="17" s="1"/>
  <c r="K139" i="17"/>
  <c r="J139" i="17"/>
  <c r="J163" i="17"/>
  <c r="N163" i="17"/>
  <c r="L163" i="17"/>
  <c r="O163" i="17" s="1"/>
  <c r="P163" i="17" s="1"/>
  <c r="Q163" i="17" s="1"/>
  <c r="K163" i="17"/>
  <c r="L212" i="17"/>
  <c r="O212" i="17" s="1"/>
  <c r="K212" i="17"/>
  <c r="J212" i="17"/>
  <c r="N212" i="17"/>
  <c r="M212" i="17"/>
  <c r="N18" i="17"/>
  <c r="N34" i="17"/>
  <c r="K34" i="17"/>
  <c r="K45" i="17"/>
  <c r="L49" i="17"/>
  <c r="O49" i="17" s="1"/>
  <c r="P49" i="17" s="1"/>
  <c r="Q49" i="17" s="1"/>
  <c r="M62" i="17"/>
  <c r="K62" i="17"/>
  <c r="J62" i="17"/>
  <c r="N142" i="17"/>
  <c r="M158" i="17"/>
  <c r="K158" i="17"/>
  <c r="J158" i="17"/>
  <c r="L158" i="17"/>
  <c r="O158" i="17" s="1"/>
  <c r="P158" i="17" s="1"/>
  <c r="Q158" i="17" s="1"/>
  <c r="M195" i="17"/>
  <c r="J32" i="17"/>
  <c r="M45" i="17"/>
  <c r="L47" i="17"/>
  <c r="O47" i="17" s="1"/>
  <c r="J47" i="17"/>
  <c r="M47" i="17"/>
  <c r="J80" i="17"/>
  <c r="M94" i="17"/>
  <c r="K94" i="17"/>
  <c r="J94" i="17"/>
  <c r="N94" i="17"/>
  <c r="L94" i="17"/>
  <c r="O94" i="17" s="1"/>
  <c r="P94" i="17" s="1"/>
  <c r="Q94" i="17" s="1"/>
  <c r="M156" i="17"/>
  <c r="L156" i="17"/>
  <c r="O156" i="17" s="1"/>
  <c r="P156" i="17" s="1"/>
  <c r="Q156" i="17" s="1"/>
  <c r="K156" i="17"/>
  <c r="J156" i="17"/>
  <c r="N156" i="17"/>
  <c r="K159" i="17"/>
  <c r="N165" i="17"/>
  <c r="M165" i="17"/>
  <c r="L165" i="17"/>
  <c r="O165" i="17" s="1"/>
  <c r="P165" i="17" s="1"/>
  <c r="Q165" i="17" s="1"/>
  <c r="J165" i="17"/>
  <c r="Q287" i="17"/>
  <c r="B6" i="13"/>
  <c r="B7" i="13" s="1"/>
  <c r="B9" i="13" s="1"/>
  <c r="M32" i="17"/>
  <c r="J41" i="17"/>
  <c r="Q72" i="17"/>
  <c r="L80" i="17"/>
  <c r="O80" i="17" s="1"/>
  <c r="M82" i="17"/>
  <c r="P82" i="17" s="1"/>
  <c r="Q82" i="17" s="1"/>
  <c r="K82" i="17"/>
  <c r="L144" i="17"/>
  <c r="O144" i="17" s="1"/>
  <c r="P144" i="17" s="1"/>
  <c r="Q144" i="17" s="1"/>
  <c r="K23" i="17"/>
  <c r="K41" i="17"/>
  <c r="N43" i="17"/>
  <c r="L43" i="17"/>
  <c r="O43" i="17" s="1"/>
  <c r="P43" i="17" s="1"/>
  <c r="Q43" i="17" s="1"/>
  <c r="K43" i="17"/>
  <c r="J43" i="17"/>
  <c r="M43" i="17"/>
  <c r="N50" i="17"/>
  <c r="K50" i="17"/>
  <c r="N59" i="17"/>
  <c r="M59" i="17"/>
  <c r="L59" i="17"/>
  <c r="O59" i="17" s="1"/>
  <c r="P59" i="17" s="1"/>
  <c r="K59" i="17"/>
  <c r="J59" i="17"/>
  <c r="M76" i="17"/>
  <c r="L76" i="17"/>
  <c r="O76" i="17" s="1"/>
  <c r="P76" i="17" s="1"/>
  <c r="Q76" i="17" s="1"/>
  <c r="K76" i="17"/>
  <c r="J76" i="17"/>
  <c r="M80" i="17"/>
  <c r="K95" i="17"/>
  <c r="K112" i="17"/>
  <c r="M112" i="17"/>
  <c r="L112" i="17"/>
  <c r="O112" i="17" s="1"/>
  <c r="P112" i="17" s="1"/>
  <c r="J112" i="17"/>
  <c r="Q171" i="17"/>
  <c r="G635" i="12"/>
  <c r="A635" i="12" s="1"/>
  <c r="G637" i="12"/>
  <c r="A637" i="12" s="1"/>
  <c r="G639" i="12"/>
  <c r="A639" i="12" s="1"/>
  <c r="L23" i="17"/>
  <c r="O23" i="17" s="1"/>
  <c r="J65" i="17"/>
  <c r="N65" i="17"/>
  <c r="L65" i="17"/>
  <c r="O65" i="17" s="1"/>
  <c r="P65" i="17" s="1"/>
  <c r="Q65" i="17" s="1"/>
  <c r="N80" i="17"/>
  <c r="N95" i="17"/>
  <c r="M115" i="17"/>
  <c r="J115" i="17"/>
  <c r="M131" i="17"/>
  <c r="J131" i="17"/>
  <c r="N131" i="17"/>
  <c r="M187" i="17"/>
  <c r="Q210" i="17"/>
  <c r="E627" i="12"/>
  <c r="G629" i="12"/>
  <c r="A629" i="12" s="1"/>
  <c r="G636" i="12"/>
  <c r="A636" i="12" s="1"/>
  <c r="N13" i="17"/>
  <c r="L13" i="17"/>
  <c r="O13" i="17" s="1"/>
  <c r="J13" i="17"/>
  <c r="J33" i="17"/>
  <c r="M33" i="17"/>
  <c r="L44" i="17"/>
  <c r="O44" i="17" s="1"/>
  <c r="M46" i="17"/>
  <c r="K46" i="17"/>
  <c r="J46" i="17"/>
  <c r="L48" i="17"/>
  <c r="O48" i="17" s="1"/>
  <c r="K57" i="17"/>
  <c r="J66" i="17"/>
  <c r="N91" i="17"/>
  <c r="M91" i="17"/>
  <c r="L91" i="17"/>
  <c r="O91" i="17" s="1"/>
  <c r="P91" i="17" s="1"/>
  <c r="K91" i="17"/>
  <c r="J91" i="17"/>
  <c r="K96" i="17"/>
  <c r="L96" i="17"/>
  <c r="O96" i="17" s="1"/>
  <c r="P96" i="17" s="1"/>
  <c r="N153" i="17"/>
  <c r="M153" i="17"/>
  <c r="L153" i="17"/>
  <c r="O153" i="17" s="1"/>
  <c r="P153" i="17" s="1"/>
  <c r="K153" i="17"/>
  <c r="J153" i="17"/>
  <c r="M163" i="17"/>
  <c r="E639" i="12"/>
  <c r="Q22" i="17"/>
  <c r="M27" i="17"/>
  <c r="K31" i="17"/>
  <c r="N44" i="17"/>
  <c r="N48" i="17"/>
  <c r="N61" i="17"/>
  <c r="L61" i="17"/>
  <c r="O61" i="17" s="1"/>
  <c r="K61" i="17"/>
  <c r="J61" i="17"/>
  <c r="K66" i="17"/>
  <c r="M78" i="17"/>
  <c r="K78" i="17"/>
  <c r="J78" i="17"/>
  <c r="L78" i="17"/>
  <c r="O78" i="17" s="1"/>
  <c r="P78" i="17" s="1"/>
  <c r="Q78" i="17" s="1"/>
  <c r="J89" i="17"/>
  <c r="N31" i="17"/>
  <c r="J34" i="17"/>
  <c r="M66" i="17"/>
  <c r="J81" i="17"/>
  <c r="L81" i="17"/>
  <c r="O81" i="17" s="1"/>
  <c r="P81" i="17" s="1"/>
  <c r="Q81" i="17" s="1"/>
  <c r="K89" i="17"/>
  <c r="M140" i="17"/>
  <c r="L140" i="17"/>
  <c r="O140" i="17" s="1"/>
  <c r="P140" i="17" s="1"/>
  <c r="Q140" i="17" s="1"/>
  <c r="K140" i="17"/>
  <c r="J140" i="17"/>
  <c r="N140" i="17"/>
  <c r="J193" i="17"/>
  <c r="M193" i="17"/>
  <c r="L193" i="17"/>
  <c r="O193" i="17" s="1"/>
  <c r="P193" i="17" s="1"/>
  <c r="Q193" i="17" s="1"/>
  <c r="K193" i="17"/>
  <c r="J204" i="17"/>
  <c r="L205" i="17"/>
  <c r="O205" i="17" s="1"/>
  <c r="P205" i="17" s="1"/>
  <c r="M238" i="17"/>
  <c r="N238" i="17"/>
  <c r="L238" i="17"/>
  <c r="O238" i="17" s="1"/>
  <c r="P238" i="17" s="1"/>
  <c r="K238" i="17"/>
  <c r="J238" i="17"/>
  <c r="N310" i="17"/>
  <c r="M310" i="17"/>
  <c r="L310" i="17"/>
  <c r="O310" i="17" s="1"/>
  <c r="K310" i="17"/>
  <c r="J310" i="17"/>
  <c r="N315" i="17"/>
  <c r="M315" i="17"/>
  <c r="L315" i="17"/>
  <c r="O315" i="17" s="1"/>
  <c r="K315" i="17"/>
  <c r="J315" i="17"/>
  <c r="Q327" i="17"/>
  <c r="Q332" i="17"/>
  <c r="J347" i="17"/>
  <c r="M347" i="17"/>
  <c r="L347" i="17"/>
  <c r="O347" i="17" s="1"/>
  <c r="K347" i="17"/>
  <c r="J385" i="17"/>
  <c r="N385" i="17"/>
  <c r="M385" i="17"/>
  <c r="L385" i="17"/>
  <c r="O385" i="17" s="1"/>
  <c r="P385" i="17" s="1"/>
  <c r="K385" i="17"/>
  <c r="Q386" i="17"/>
  <c r="N73" i="17"/>
  <c r="M73" i="17"/>
  <c r="L73" i="17"/>
  <c r="O73" i="17" s="1"/>
  <c r="N77" i="17"/>
  <c r="L77" i="17"/>
  <c r="O77" i="17" s="1"/>
  <c r="P77" i="17" s="1"/>
  <c r="Q77" i="17" s="1"/>
  <c r="K77" i="17"/>
  <c r="J77" i="17"/>
  <c r="M108" i="17"/>
  <c r="L108" i="17"/>
  <c r="O108" i="17" s="1"/>
  <c r="K108" i="17"/>
  <c r="J108" i="17"/>
  <c r="N121" i="17"/>
  <c r="M121" i="17"/>
  <c r="L121" i="17"/>
  <c r="O121" i="17" s="1"/>
  <c r="N125" i="17"/>
  <c r="L125" i="17"/>
  <c r="O125" i="17" s="1"/>
  <c r="P125" i="17" s="1"/>
  <c r="Q125" i="17" s="1"/>
  <c r="K125" i="17"/>
  <c r="J125" i="17"/>
  <c r="L143" i="17"/>
  <c r="O143" i="17" s="1"/>
  <c r="P143" i="17" s="1"/>
  <c r="Q143" i="17" s="1"/>
  <c r="J143" i="17"/>
  <c r="Q150" i="17"/>
  <c r="J164" i="17"/>
  <c r="K204" i="17"/>
  <c r="M205" i="17"/>
  <c r="K210" i="17"/>
  <c r="M248" i="17"/>
  <c r="L248" i="17"/>
  <c r="O248" i="17" s="1"/>
  <c r="J248" i="17"/>
  <c r="L251" i="17"/>
  <c r="O251" i="17" s="1"/>
  <c r="M312" i="17"/>
  <c r="L312" i="17"/>
  <c r="O312" i="17" s="1"/>
  <c r="K312" i="17"/>
  <c r="J312" i="17"/>
  <c r="J337" i="17"/>
  <c r="M337" i="17"/>
  <c r="L337" i="17"/>
  <c r="O337" i="17" s="1"/>
  <c r="P337" i="17" s="1"/>
  <c r="J369" i="17"/>
  <c r="N369" i="17"/>
  <c r="L369" i="17"/>
  <c r="O369" i="17" s="1"/>
  <c r="P369" i="17" s="1"/>
  <c r="Q369" i="17" s="1"/>
  <c r="K369" i="17"/>
  <c r="M196" i="17"/>
  <c r="K196" i="17"/>
  <c r="J196" i="17"/>
  <c r="L204" i="17"/>
  <c r="O204" i="17" s="1"/>
  <c r="K240" i="17"/>
  <c r="N240" i="17"/>
  <c r="M240" i="17"/>
  <c r="L240" i="17"/>
  <c r="O240" i="17" s="1"/>
  <c r="P240" i="17" s="1"/>
  <c r="J240" i="17"/>
  <c r="N245" i="17"/>
  <c r="L245" i="17"/>
  <c r="O245" i="17" s="1"/>
  <c r="P245" i="17" s="1"/>
  <c r="Q245" i="17" s="1"/>
  <c r="K245" i="17"/>
  <c r="J245" i="17"/>
  <c r="M251" i="17"/>
  <c r="N253" i="17"/>
  <c r="K253" i="17"/>
  <c r="J253" i="17"/>
  <c r="J257" i="17"/>
  <c r="L257" i="17"/>
  <c r="O257" i="17" s="1"/>
  <c r="K257" i="17"/>
  <c r="N342" i="17"/>
  <c r="L342" i="17"/>
  <c r="O342" i="17" s="1"/>
  <c r="P342" i="17" s="1"/>
  <c r="K342" i="17"/>
  <c r="J342" i="17"/>
  <c r="L351" i="17"/>
  <c r="O351" i="17" s="1"/>
  <c r="P351" i="17" s="1"/>
  <c r="J351" i="17"/>
  <c r="N351" i="17"/>
  <c r="M351" i="17"/>
  <c r="K351" i="17"/>
  <c r="Q365" i="17"/>
  <c r="M204" i="17"/>
  <c r="M210" i="17"/>
  <c r="N229" i="17"/>
  <c r="M229" i="17"/>
  <c r="L229" i="17"/>
  <c r="O229" i="17" s="1"/>
  <c r="P229" i="17" s="1"/>
  <c r="Q229" i="17" s="1"/>
  <c r="N301" i="17"/>
  <c r="K301" i="17"/>
  <c r="J301" i="17"/>
  <c r="J305" i="17"/>
  <c r="K305" i="17"/>
  <c r="N305" i="17"/>
  <c r="L305" i="17"/>
  <c r="O305" i="17" s="1"/>
  <c r="Q319" i="17"/>
  <c r="L344" i="17"/>
  <c r="O344" i="17" s="1"/>
  <c r="M344" i="17"/>
  <c r="K344" i="17"/>
  <c r="J344" i="17"/>
  <c r="Q359" i="17"/>
  <c r="Q389" i="17"/>
  <c r="Q476" i="17"/>
  <c r="N181" i="17"/>
  <c r="M181" i="17"/>
  <c r="L181" i="17"/>
  <c r="O181" i="17" s="1"/>
  <c r="P181" i="17" s="1"/>
  <c r="Q181" i="17" s="1"/>
  <c r="M185" i="17"/>
  <c r="L185" i="17"/>
  <c r="O185" i="17" s="1"/>
  <c r="K185" i="17"/>
  <c r="J185" i="17"/>
  <c r="N189" i="17"/>
  <c r="L189" i="17"/>
  <c r="O189" i="17" s="1"/>
  <c r="K189" i="17"/>
  <c r="J189" i="17"/>
  <c r="K209" i="17"/>
  <c r="Q227" i="17"/>
  <c r="N242" i="17"/>
  <c r="M242" i="17"/>
  <c r="L242" i="17"/>
  <c r="O242" i="17" s="1"/>
  <c r="P242" i="17" s="1"/>
  <c r="K242" i="17"/>
  <c r="J242" i="17"/>
  <c r="N293" i="17"/>
  <c r="L293" i="17"/>
  <c r="O293" i="17" s="1"/>
  <c r="P293" i="17" s="1"/>
  <c r="Q293" i="17" s="1"/>
  <c r="K293" i="17"/>
  <c r="J293" i="17"/>
  <c r="M296" i="17"/>
  <c r="L296" i="17"/>
  <c r="O296" i="17" s="1"/>
  <c r="P296" i="17" s="1"/>
  <c r="Q296" i="17" s="1"/>
  <c r="J296" i="17"/>
  <c r="N339" i="17"/>
  <c r="M339" i="17"/>
  <c r="K339" i="17"/>
  <c r="J339" i="17"/>
  <c r="Q415" i="17"/>
  <c r="N25" i="17"/>
  <c r="M25" i="17"/>
  <c r="L25" i="17"/>
  <c r="O25" i="17" s="1"/>
  <c r="M30" i="17"/>
  <c r="K30" i="17"/>
  <c r="J35" i="17"/>
  <c r="M97" i="17"/>
  <c r="L111" i="17"/>
  <c r="O111" i="17" s="1"/>
  <c r="P111" i="17" s="1"/>
  <c r="J111" i="17"/>
  <c r="L145" i="17"/>
  <c r="O145" i="17" s="1"/>
  <c r="P145" i="17" s="1"/>
  <c r="Q145" i="17" s="1"/>
  <c r="K192" i="17"/>
  <c r="M192" i="17"/>
  <c r="L192" i="17"/>
  <c r="O192" i="17" s="1"/>
  <c r="P192" i="17" s="1"/>
  <c r="Q192" i="17" s="1"/>
  <c r="J192" i="17"/>
  <c r="L209" i="17"/>
  <c r="O209" i="17" s="1"/>
  <c r="P209" i="17" s="1"/>
  <c r="M235" i="17"/>
  <c r="L235" i="17"/>
  <c r="O235" i="17" s="1"/>
  <c r="P235" i="17" s="1"/>
  <c r="Q235" i="17" s="1"/>
  <c r="K235" i="17"/>
  <c r="J235" i="17"/>
  <c r="L254" i="17"/>
  <c r="O254" i="17" s="1"/>
  <c r="P254" i="17" s="1"/>
  <c r="Q254" i="17" s="1"/>
  <c r="N455" i="17"/>
  <c r="M455" i="17"/>
  <c r="L455" i="17"/>
  <c r="O455" i="17" s="1"/>
  <c r="P455" i="17" s="1"/>
  <c r="Q455" i="17" s="1"/>
  <c r="K455" i="17"/>
  <c r="J455" i="17"/>
  <c r="N247" i="17"/>
  <c r="M247" i="17"/>
  <c r="K247" i="17"/>
  <c r="J247" i="17"/>
  <c r="K252" i="17"/>
  <c r="J252" i="17"/>
  <c r="K256" i="17"/>
  <c r="L256" i="17"/>
  <c r="O256" i="17" s="1"/>
  <c r="J256" i="17"/>
  <c r="N280" i="17"/>
  <c r="M280" i="17"/>
  <c r="L280" i="17"/>
  <c r="O280" i="17" s="1"/>
  <c r="K280" i="17"/>
  <c r="J280" i="17"/>
  <c r="J307" i="17"/>
  <c r="M307" i="17"/>
  <c r="L307" i="17"/>
  <c r="O307" i="17" s="1"/>
  <c r="K307" i="17"/>
  <c r="M382" i="17"/>
  <c r="N382" i="17"/>
  <c r="L382" i="17"/>
  <c r="O382" i="17" s="1"/>
  <c r="P382" i="17" s="1"/>
  <c r="Q382" i="17" s="1"/>
  <c r="K382" i="17"/>
  <c r="J382" i="17"/>
  <c r="Q485" i="17"/>
  <c r="N155" i="17"/>
  <c r="M155" i="17"/>
  <c r="L155" i="17"/>
  <c r="O155" i="17" s="1"/>
  <c r="P155" i="17" s="1"/>
  <c r="Q155" i="17" s="1"/>
  <c r="K155" i="17"/>
  <c r="J155" i="17"/>
  <c r="L199" i="17"/>
  <c r="O199" i="17" s="1"/>
  <c r="P199" i="17" s="1"/>
  <c r="Q199" i="17" s="1"/>
  <c r="J199" i="17"/>
  <c r="N209" i="17"/>
  <c r="N231" i="17"/>
  <c r="M231" i="17"/>
  <c r="L231" i="17"/>
  <c r="O231" i="17" s="1"/>
  <c r="P231" i="17" s="1"/>
  <c r="K231" i="17"/>
  <c r="N237" i="17"/>
  <c r="M237" i="17"/>
  <c r="L237" i="17"/>
  <c r="O237" i="17" s="1"/>
  <c r="P237" i="17" s="1"/>
  <c r="K237" i="17"/>
  <c r="J237" i="17"/>
  <c r="N244" i="17"/>
  <c r="L244" i="17"/>
  <c r="O244" i="17" s="1"/>
  <c r="K244" i="17"/>
  <c r="J244" i="17"/>
  <c r="K300" i="17"/>
  <c r="J300" i="17"/>
  <c r="J348" i="17"/>
  <c r="N348" i="17"/>
  <c r="M348" i="17"/>
  <c r="L348" i="17"/>
  <c r="O348" i="17" s="1"/>
  <c r="P348" i="17" s="1"/>
  <c r="Q348" i="17" s="1"/>
  <c r="K348" i="17"/>
  <c r="N445" i="17"/>
  <c r="M445" i="17"/>
  <c r="J445" i="17"/>
  <c r="L445" i="17"/>
  <c r="O445" i="17" s="1"/>
  <c r="K445" i="17"/>
  <c r="M7" i="17"/>
  <c r="N9" i="17"/>
  <c r="M9" i="17"/>
  <c r="L9" i="17"/>
  <c r="O9" i="17" s="1"/>
  <c r="M14" i="17"/>
  <c r="K14" i="17"/>
  <c r="N29" i="17"/>
  <c r="L29" i="17"/>
  <c r="O29" i="17" s="1"/>
  <c r="J29" i="17"/>
  <c r="L63" i="17"/>
  <c r="O63" i="17" s="1"/>
  <c r="P63" i="17" s="1"/>
  <c r="Q63" i="17" s="1"/>
  <c r="J63" i="17"/>
  <c r="M110" i="17"/>
  <c r="K110" i="17"/>
  <c r="J110" i="17"/>
  <c r="N137" i="17"/>
  <c r="M137" i="17"/>
  <c r="L137" i="17"/>
  <c r="O137" i="17" s="1"/>
  <c r="P137" i="17" s="1"/>
  <c r="Q137" i="17" s="1"/>
  <c r="N141" i="17"/>
  <c r="L141" i="17"/>
  <c r="O141" i="17" s="1"/>
  <c r="K141" i="17"/>
  <c r="J141" i="17"/>
  <c r="K143" i="17"/>
  <c r="M162" i="17"/>
  <c r="N193" i="17"/>
  <c r="K248" i="17"/>
  <c r="K304" i="17"/>
  <c r="J304" i="17"/>
  <c r="N304" i="17"/>
  <c r="M304" i="17"/>
  <c r="N309" i="17"/>
  <c r="M309" i="17"/>
  <c r="L309" i="17"/>
  <c r="O309" i="17" s="1"/>
  <c r="K309" i="17"/>
  <c r="J309" i="17"/>
  <c r="N337" i="17"/>
  <c r="N341" i="17"/>
  <c r="M341" i="17"/>
  <c r="K341" i="17"/>
  <c r="J341" i="17"/>
  <c r="Q399" i="17"/>
  <c r="M472" i="17"/>
  <c r="N472" i="17"/>
  <c r="L472" i="17"/>
  <c r="O472" i="17" s="1"/>
  <c r="K472" i="17"/>
  <c r="J472" i="17"/>
  <c r="N184" i="17"/>
  <c r="M184" i="17"/>
  <c r="L184" i="17"/>
  <c r="O184" i="17" s="1"/>
  <c r="P184" i="17" s="1"/>
  <c r="K184" i="17"/>
  <c r="J184" i="17"/>
  <c r="N188" i="17"/>
  <c r="L188" i="17"/>
  <c r="O188" i="17" s="1"/>
  <c r="K188" i="17"/>
  <c r="J188" i="17"/>
  <c r="L239" i="17"/>
  <c r="O239" i="17" s="1"/>
  <c r="N239" i="17"/>
  <c r="M239" i="17"/>
  <c r="K239" i="17"/>
  <c r="J239" i="17"/>
  <c r="K251" i="17"/>
  <c r="J251" i="17"/>
  <c r="N295" i="17"/>
  <c r="M295" i="17"/>
  <c r="K295" i="17"/>
  <c r="J295" i="17"/>
  <c r="K368" i="17"/>
  <c r="N368" i="17"/>
  <c r="M368" i="17"/>
  <c r="J368" i="17"/>
  <c r="N434" i="17"/>
  <c r="M434" i="17"/>
  <c r="L434" i="17"/>
  <c r="O434" i="17" s="1"/>
  <c r="K434" i="17"/>
  <c r="J434" i="17"/>
  <c r="L79" i="17"/>
  <c r="O79" i="17" s="1"/>
  <c r="P79" i="17" s="1"/>
  <c r="Q79" i="17" s="1"/>
  <c r="J79" i="17"/>
  <c r="L127" i="17"/>
  <c r="O127" i="17" s="1"/>
  <c r="J127" i="17"/>
  <c r="L191" i="17"/>
  <c r="O191" i="17" s="1"/>
  <c r="M191" i="17"/>
  <c r="K191" i="17"/>
  <c r="J191" i="17"/>
  <c r="L196" i="17"/>
  <c r="O196" i="17" s="1"/>
  <c r="J200" i="17"/>
  <c r="J207" i="17"/>
  <c r="M253" i="17"/>
  <c r="L255" i="17"/>
  <c r="O255" i="17" s="1"/>
  <c r="K255" i="17"/>
  <c r="J255" i="17"/>
  <c r="M257" i="17"/>
  <c r="M292" i="17"/>
  <c r="L292" i="17"/>
  <c r="O292" i="17" s="1"/>
  <c r="K292" i="17"/>
  <c r="J292" i="17"/>
  <c r="K296" i="17"/>
  <c r="K299" i="17"/>
  <c r="J299" i="17"/>
  <c r="L301" i="17"/>
  <c r="O301" i="17" s="1"/>
  <c r="P301" i="17" s="1"/>
  <c r="M305" i="17"/>
  <c r="M318" i="17"/>
  <c r="N318" i="17"/>
  <c r="L318" i="17"/>
  <c r="O318" i="17" s="1"/>
  <c r="P318" i="17" s="1"/>
  <c r="Q318" i="17" s="1"/>
  <c r="K318" i="17"/>
  <c r="Q449" i="17"/>
  <c r="M92" i="17"/>
  <c r="L92" i="17"/>
  <c r="O92" i="17" s="1"/>
  <c r="P92" i="17" s="1"/>
  <c r="Q92" i="17" s="1"/>
  <c r="K92" i="17"/>
  <c r="J92" i="17"/>
  <c r="N123" i="17"/>
  <c r="M123" i="17"/>
  <c r="L123" i="17"/>
  <c r="O123" i="17" s="1"/>
  <c r="P123" i="17" s="1"/>
  <c r="K123" i="17"/>
  <c r="J123" i="17"/>
  <c r="J160" i="17"/>
  <c r="M194" i="17"/>
  <c r="L194" i="17"/>
  <c r="O194" i="17" s="1"/>
  <c r="K194" i="17"/>
  <c r="J194" i="17"/>
  <c r="N196" i="17"/>
  <c r="M198" i="17"/>
  <c r="K198" i="17"/>
  <c r="J198" i="17"/>
  <c r="L200" i="17"/>
  <c r="O200" i="17" s="1"/>
  <c r="J241" i="17"/>
  <c r="N241" i="17"/>
  <c r="M241" i="17"/>
  <c r="L241" i="17"/>
  <c r="O241" i="17" s="1"/>
  <c r="P241" i="17" s="1"/>
  <c r="Q241" i="17" s="1"/>
  <c r="K241" i="17"/>
  <c r="N257" i="17"/>
  <c r="M313" i="17"/>
  <c r="L313" i="17"/>
  <c r="O313" i="17" s="1"/>
  <c r="K313" i="17"/>
  <c r="J313" i="17"/>
  <c r="N338" i="17"/>
  <c r="M338" i="17"/>
  <c r="K338" i="17"/>
  <c r="J338" i="17"/>
  <c r="M343" i="17"/>
  <c r="L343" i="17"/>
  <c r="O343" i="17" s="1"/>
  <c r="K343" i="17"/>
  <c r="J343" i="17"/>
  <c r="K345" i="17"/>
  <c r="M345" i="17"/>
  <c r="L345" i="17"/>
  <c r="O345" i="17" s="1"/>
  <c r="P345" i="17" s="1"/>
  <c r="J345" i="17"/>
  <c r="M376" i="17"/>
  <c r="L376" i="17"/>
  <c r="O376" i="17" s="1"/>
  <c r="P376" i="17" s="1"/>
  <c r="Q376" i="17" s="1"/>
  <c r="J376" i="17"/>
  <c r="Q426" i="17"/>
  <c r="Q466" i="17"/>
  <c r="L16" i="17"/>
  <c r="O16" i="17" s="1"/>
  <c r="M28" i="17"/>
  <c r="K28" i="17"/>
  <c r="J28" i="17"/>
  <c r="N105" i="17"/>
  <c r="M105" i="17"/>
  <c r="L105" i="17"/>
  <c r="O105" i="17" s="1"/>
  <c r="P105" i="17" s="1"/>
  <c r="N109" i="17"/>
  <c r="L109" i="17"/>
  <c r="O109" i="17" s="1"/>
  <c r="P109" i="17" s="1"/>
  <c r="Q109" i="17" s="1"/>
  <c r="K109" i="17"/>
  <c r="J109" i="17"/>
  <c r="L160" i="17"/>
  <c r="O160" i="17" s="1"/>
  <c r="P160" i="17" s="1"/>
  <c r="N185" i="17"/>
  <c r="M189" i="17"/>
  <c r="M200" i="17"/>
  <c r="M207" i="17"/>
  <c r="K229" i="17"/>
  <c r="N246" i="17"/>
  <c r="L246" i="17"/>
  <c r="O246" i="17" s="1"/>
  <c r="P246" i="17" s="1"/>
  <c r="Q246" i="17" s="1"/>
  <c r="K246" i="17"/>
  <c r="J246" i="17"/>
  <c r="K259" i="17"/>
  <c r="J259" i="17"/>
  <c r="M293" i="17"/>
  <c r="L303" i="17"/>
  <c r="O303" i="17" s="1"/>
  <c r="P303" i="17" s="1"/>
  <c r="Q303" i="17" s="1"/>
  <c r="J303" i="17"/>
  <c r="M303" i="17"/>
  <c r="K303" i="17"/>
  <c r="Q577" i="17"/>
  <c r="J181" i="17"/>
  <c r="N200" i="17"/>
  <c r="N230" i="17"/>
  <c r="M230" i="17"/>
  <c r="L230" i="17"/>
  <c r="O230" i="17" s="1"/>
  <c r="P230" i="17" s="1"/>
  <c r="Q230" i="17" s="1"/>
  <c r="M243" i="17"/>
  <c r="L243" i="17"/>
  <c r="O243" i="17" s="1"/>
  <c r="K243" i="17"/>
  <c r="J243" i="17"/>
  <c r="L247" i="17"/>
  <c r="O247" i="17" s="1"/>
  <c r="P247" i="17" s="1"/>
  <c r="L249" i="17"/>
  <c r="O249" i="17" s="1"/>
  <c r="P249" i="17" s="1"/>
  <c r="Q249" i="17" s="1"/>
  <c r="K249" i="17"/>
  <c r="L252" i="17"/>
  <c r="O252" i="17" s="1"/>
  <c r="M256" i="17"/>
  <c r="K306" i="17"/>
  <c r="M306" i="17"/>
  <c r="L306" i="17"/>
  <c r="O306" i="17" s="1"/>
  <c r="J306" i="17"/>
  <c r="N307" i="17"/>
  <c r="Q387" i="17"/>
  <c r="Q394" i="17"/>
  <c r="Q501" i="17"/>
  <c r="M236" i="17"/>
  <c r="L236" i="17"/>
  <c r="O236" i="17" s="1"/>
  <c r="P236" i="17" s="1"/>
  <c r="K236" i="17"/>
  <c r="J236" i="17"/>
  <c r="M254" i="17"/>
  <c r="K254" i="17"/>
  <c r="J254" i="17"/>
  <c r="L300" i="17"/>
  <c r="O300" i="17" s="1"/>
  <c r="P300" i="17" s="1"/>
  <c r="N340" i="17"/>
  <c r="M340" i="17"/>
  <c r="K340" i="17"/>
  <c r="J340" i="17"/>
  <c r="Q432" i="17"/>
  <c r="M190" i="17"/>
  <c r="L190" i="17"/>
  <c r="O190" i="17" s="1"/>
  <c r="P190" i="17" s="1"/>
  <c r="Q190" i="17" s="1"/>
  <c r="K190" i="17"/>
  <c r="J190" i="17"/>
  <c r="M197" i="17"/>
  <c r="K197" i="17"/>
  <c r="J197" i="17"/>
  <c r="M199" i="17"/>
  <c r="K205" i="17"/>
  <c r="M244" i="17"/>
  <c r="N252" i="17"/>
  <c r="L258" i="17"/>
  <c r="O258" i="17" s="1"/>
  <c r="K258" i="17"/>
  <c r="N294" i="17"/>
  <c r="L294" i="17"/>
  <c r="O294" i="17" s="1"/>
  <c r="P294" i="17" s="1"/>
  <c r="K294" i="17"/>
  <c r="J294" i="17"/>
  <c r="L297" i="17"/>
  <c r="O297" i="17" s="1"/>
  <c r="P297" i="17" s="1"/>
  <c r="Q297" i="17" s="1"/>
  <c r="K297" i="17"/>
  <c r="M300" i="17"/>
  <c r="M302" i="17"/>
  <c r="K302" i="17"/>
  <c r="J302" i="17"/>
  <c r="M308" i="17"/>
  <c r="L308" i="17"/>
  <c r="O308" i="17" s="1"/>
  <c r="K308" i="17"/>
  <c r="J308" i="17"/>
  <c r="L368" i="17"/>
  <c r="O368" i="17" s="1"/>
  <c r="P368" i="17" s="1"/>
  <c r="Q368" i="17" s="1"/>
  <c r="M379" i="17"/>
  <c r="L379" i="17"/>
  <c r="O379" i="17" s="1"/>
  <c r="J379" i="17"/>
  <c r="M398" i="17"/>
  <c r="N398" i="17"/>
  <c r="K398" i="17"/>
  <c r="J398" i="17"/>
  <c r="K400" i="17"/>
  <c r="N400" i="17"/>
  <c r="M400" i="17"/>
  <c r="L400" i="17"/>
  <c r="O400" i="17" s="1"/>
  <c r="P400" i="17" s="1"/>
  <c r="Q400" i="17" s="1"/>
  <c r="J400" i="17"/>
  <c r="J514" i="17"/>
  <c r="K514" i="17"/>
  <c r="L514" i="17"/>
  <c r="O514" i="17" s="1"/>
  <c r="P514" i="17" s="1"/>
  <c r="Q514" i="17" s="1"/>
  <c r="M561" i="17"/>
  <c r="K561" i="17"/>
  <c r="L561" i="17"/>
  <c r="O561" i="17" s="1"/>
  <c r="P561" i="17" s="1"/>
  <c r="J561" i="17"/>
  <c r="N625" i="17"/>
  <c r="L625" i="17"/>
  <c r="O625" i="17" s="1"/>
  <c r="P625" i="17" s="1"/>
  <c r="Q625" i="17" s="1"/>
  <c r="K625" i="17"/>
  <c r="J625" i="17"/>
  <c r="M625" i="17"/>
  <c r="M446" i="17"/>
  <c r="L446" i="17"/>
  <c r="O446" i="17" s="1"/>
  <c r="P446" i="17" s="1"/>
  <c r="K480" i="17"/>
  <c r="J480" i="17"/>
  <c r="L491" i="17"/>
  <c r="O491" i="17" s="1"/>
  <c r="J491" i="17"/>
  <c r="M495" i="17"/>
  <c r="K495" i="17"/>
  <c r="J509" i="17"/>
  <c r="L509" i="17"/>
  <c r="O509" i="17" s="1"/>
  <c r="P509" i="17" s="1"/>
  <c r="Q509" i="17" s="1"/>
  <c r="L521" i="17"/>
  <c r="O521" i="17" s="1"/>
  <c r="N521" i="17"/>
  <c r="J574" i="17"/>
  <c r="N574" i="17"/>
  <c r="L463" i="17"/>
  <c r="O463" i="17" s="1"/>
  <c r="K463" i="17"/>
  <c r="M463" i="17"/>
  <c r="L479" i="17"/>
  <c r="O479" i="17" s="1"/>
  <c r="P479" i="17" s="1"/>
  <c r="Q479" i="17" s="1"/>
  <c r="K479" i="17"/>
  <c r="Q629" i="17"/>
  <c r="M503" i="17"/>
  <c r="L503" i="17"/>
  <c r="O503" i="17" s="1"/>
  <c r="P503" i="17" s="1"/>
  <c r="K503" i="17"/>
  <c r="K513" i="17"/>
  <c r="J513" i="17"/>
  <c r="N525" i="17"/>
  <c r="M525" i="17"/>
  <c r="L528" i="17"/>
  <c r="O528" i="17" s="1"/>
  <c r="P528" i="17" s="1"/>
  <c r="Q528" i="17" s="1"/>
  <c r="N528" i="17"/>
  <c r="M528" i="17"/>
  <c r="N599" i="17"/>
  <c r="M599" i="17"/>
  <c r="L599" i="17"/>
  <c r="O599" i="17" s="1"/>
  <c r="K599" i="17"/>
  <c r="J599" i="17"/>
  <c r="M634" i="17"/>
  <c r="N634" i="17"/>
  <c r="L634" i="17"/>
  <c r="O634" i="17" s="1"/>
  <c r="P634" i="17" s="1"/>
  <c r="K634" i="17"/>
  <c r="J634" i="17"/>
  <c r="J402" i="17"/>
  <c r="Q442" i="17"/>
  <c r="M462" i="17"/>
  <c r="L462" i="17"/>
  <c r="O462" i="17" s="1"/>
  <c r="M478" i="17"/>
  <c r="L478" i="17"/>
  <c r="O478" i="17" s="1"/>
  <c r="P478" i="17" s="1"/>
  <c r="Q478" i="17" s="1"/>
  <c r="J498" i="17"/>
  <c r="L498" i="17"/>
  <c r="O498" i="17" s="1"/>
  <c r="P498" i="17" s="1"/>
  <c r="Q498" i="17" s="1"/>
  <c r="M498" i="17"/>
  <c r="N397" i="17"/>
  <c r="J397" i="17"/>
  <c r="K402" i="17"/>
  <c r="N444" i="17"/>
  <c r="K444" i="17"/>
  <c r="J496" i="17"/>
  <c r="M502" i="17"/>
  <c r="L502" i="17"/>
  <c r="O502" i="17" s="1"/>
  <c r="P502" i="17" s="1"/>
  <c r="L510" i="17"/>
  <c r="O510" i="17" s="1"/>
  <c r="P510" i="17" s="1"/>
  <c r="M543" i="17"/>
  <c r="K543" i="17"/>
  <c r="J543" i="17"/>
  <c r="N543" i="17"/>
  <c r="K552" i="17"/>
  <c r="Q643" i="17"/>
  <c r="L402" i="17"/>
  <c r="O402" i="17" s="1"/>
  <c r="K429" i="17"/>
  <c r="J433" i="17"/>
  <c r="M433" i="17"/>
  <c r="J439" i="17"/>
  <c r="L448" i="17"/>
  <c r="O448" i="17" s="1"/>
  <c r="K459" i="17"/>
  <c r="L481" i="17"/>
  <c r="O481" i="17" s="1"/>
  <c r="L483" i="17"/>
  <c r="O483" i="17" s="1"/>
  <c r="M488" i="17"/>
  <c r="K488" i="17"/>
  <c r="J492" i="17"/>
  <c r="N494" i="17"/>
  <c r="K494" i="17"/>
  <c r="L494" i="17"/>
  <c r="O494" i="17" s="1"/>
  <c r="M496" i="17"/>
  <c r="L512" i="17"/>
  <c r="O512" i="17" s="1"/>
  <c r="P512" i="17" s="1"/>
  <c r="Q512" i="17" s="1"/>
  <c r="J512" i="17"/>
  <c r="L526" i="17"/>
  <c r="O526" i="17" s="1"/>
  <c r="N551" i="17"/>
  <c r="L551" i="17"/>
  <c r="O551" i="17" s="1"/>
  <c r="K551" i="17"/>
  <c r="M551" i="17"/>
  <c r="K584" i="17"/>
  <c r="N584" i="17"/>
  <c r="M584" i="17"/>
  <c r="L584" i="17"/>
  <c r="O584" i="17" s="1"/>
  <c r="P584" i="17" s="1"/>
  <c r="Q584" i="17" s="1"/>
  <c r="Q590" i="17"/>
  <c r="J290" i="17"/>
  <c r="J316" i="17"/>
  <c r="K396" i="17"/>
  <c r="M396" i="17"/>
  <c r="K401" i="17"/>
  <c r="M402" i="17"/>
  <c r="J418" i="17"/>
  <c r="J419" i="17"/>
  <c r="L429" i="17"/>
  <c r="O429" i="17" s="1"/>
  <c r="P429" i="17" s="1"/>
  <c r="J437" i="17"/>
  <c r="K439" i="17"/>
  <c r="M448" i="17"/>
  <c r="M459" i="17"/>
  <c r="N461" i="17"/>
  <c r="M461" i="17"/>
  <c r="J461" i="17"/>
  <c r="L464" i="17"/>
  <c r="O464" i="17" s="1"/>
  <c r="K475" i="17"/>
  <c r="N477" i="17"/>
  <c r="M477" i="17"/>
  <c r="J477" i="17"/>
  <c r="M481" i="17"/>
  <c r="M483" i="17"/>
  <c r="L492" i="17"/>
  <c r="O492" i="17" s="1"/>
  <c r="K499" i="17"/>
  <c r="J504" i="17"/>
  <c r="M514" i="17"/>
  <c r="N524" i="17"/>
  <c r="J524" i="17"/>
  <c r="M526" i="17"/>
  <c r="N540" i="17"/>
  <c r="K540" i="17"/>
  <c r="L540" i="17"/>
  <c r="O540" i="17" s="1"/>
  <c r="J540" i="17"/>
  <c r="K545" i="17"/>
  <c r="L545" i="17"/>
  <c r="O545" i="17" s="1"/>
  <c r="P545" i="17" s="1"/>
  <c r="K154" i="17"/>
  <c r="L182" i="17"/>
  <c r="O182" i="17" s="1"/>
  <c r="P182" i="17" s="1"/>
  <c r="K183" i="17"/>
  <c r="K232" i="17"/>
  <c r="J233" i="17"/>
  <c r="K281" i="17"/>
  <c r="J283" i="17"/>
  <c r="J284" i="17"/>
  <c r="J285" i="17"/>
  <c r="J286" i="17"/>
  <c r="J287" i="17"/>
  <c r="J288" i="17"/>
  <c r="K289" i="17"/>
  <c r="K290" i="17"/>
  <c r="J291" i="17"/>
  <c r="J311" i="17"/>
  <c r="K316" i="17"/>
  <c r="L317" i="17"/>
  <c r="O317" i="17" s="1"/>
  <c r="P317" i="17" s="1"/>
  <c r="K349" i="17"/>
  <c r="L350" i="17"/>
  <c r="O350" i="17" s="1"/>
  <c r="P350" i="17" s="1"/>
  <c r="Q350" i="17" s="1"/>
  <c r="J383" i="17"/>
  <c r="L384" i="17"/>
  <c r="O384" i="17" s="1"/>
  <c r="P384" i="17" s="1"/>
  <c r="Q384" i="17" s="1"/>
  <c r="L401" i="17"/>
  <c r="O401" i="17" s="1"/>
  <c r="P401" i="17" s="1"/>
  <c r="Q401" i="17" s="1"/>
  <c r="K418" i="17"/>
  <c r="K419" i="17"/>
  <c r="J420" i="17"/>
  <c r="J428" i="17"/>
  <c r="K432" i="17"/>
  <c r="J432" i="17"/>
  <c r="K437" i="17"/>
  <c r="L439" i="17"/>
  <c r="O439" i="17" s="1"/>
  <c r="M440" i="17"/>
  <c r="J447" i="17"/>
  <c r="M464" i="17"/>
  <c r="N481" i="17"/>
  <c r="N487" i="17"/>
  <c r="J487" i="17"/>
  <c r="M499" i="17"/>
  <c r="N501" i="17"/>
  <c r="M501" i="17"/>
  <c r="J501" i="17"/>
  <c r="M504" i="17"/>
  <c r="K509" i="17"/>
  <c r="N514" i="17"/>
  <c r="J521" i="17"/>
  <c r="N561" i="17"/>
  <c r="K574" i="17"/>
  <c r="K233" i="17"/>
  <c r="L281" i="17"/>
  <c r="O281" i="17" s="1"/>
  <c r="K283" i="17"/>
  <c r="K284" i="17"/>
  <c r="K285" i="17"/>
  <c r="K286" i="17"/>
  <c r="K287" i="17"/>
  <c r="L288" i="17"/>
  <c r="O288" i="17" s="1"/>
  <c r="P288" i="17" s="1"/>
  <c r="Q288" i="17" s="1"/>
  <c r="L289" i="17"/>
  <c r="O289" i="17" s="1"/>
  <c r="P289" i="17" s="1"/>
  <c r="L290" i="17"/>
  <c r="O290" i="17" s="1"/>
  <c r="P290" i="17" s="1"/>
  <c r="Q290" i="17" s="1"/>
  <c r="K291" i="17"/>
  <c r="K311" i="17"/>
  <c r="L316" i="17"/>
  <c r="O316" i="17" s="1"/>
  <c r="P316" i="17" s="1"/>
  <c r="M317" i="17"/>
  <c r="L349" i="17"/>
  <c r="O349" i="17" s="1"/>
  <c r="P349" i="17" s="1"/>
  <c r="Q349" i="17" s="1"/>
  <c r="J370" i="17"/>
  <c r="J371" i="17"/>
  <c r="K383" i="17"/>
  <c r="L395" i="17"/>
  <c r="O395" i="17" s="1"/>
  <c r="K395" i="17"/>
  <c r="M401" i="17"/>
  <c r="K417" i="17"/>
  <c r="L418" i="17"/>
  <c r="O418" i="17" s="1"/>
  <c r="P418" i="17" s="1"/>
  <c r="Q418" i="17" s="1"/>
  <c r="L419" i="17"/>
  <c r="O419" i="17" s="1"/>
  <c r="K420" i="17"/>
  <c r="J421" i="17"/>
  <c r="J423" i="17"/>
  <c r="J424" i="17"/>
  <c r="J425" i="17"/>
  <c r="J427" i="17"/>
  <c r="L428" i="17"/>
  <c r="O428" i="17" s="1"/>
  <c r="L431" i="17"/>
  <c r="O431" i="17" s="1"/>
  <c r="P431" i="17" s="1"/>
  <c r="K431" i="17"/>
  <c r="J436" i="17"/>
  <c r="L437" i="17"/>
  <c r="O437" i="17" s="1"/>
  <c r="M439" i="17"/>
  <c r="J446" i="17"/>
  <c r="M447" i="17"/>
  <c r="L480" i="17"/>
  <c r="O480" i="17" s="1"/>
  <c r="P480" i="17" s="1"/>
  <c r="J495" i="17"/>
  <c r="K497" i="17"/>
  <c r="L497" i="17"/>
  <c r="O497" i="17" s="1"/>
  <c r="M509" i="17"/>
  <c r="M511" i="17"/>
  <c r="J511" i="17"/>
  <c r="K521" i="17"/>
  <c r="M527" i="17"/>
  <c r="J527" i="17"/>
  <c r="L527" i="17"/>
  <c r="O527" i="17" s="1"/>
  <c r="L574" i="17"/>
  <c r="O574" i="17" s="1"/>
  <c r="P574" i="17" s="1"/>
  <c r="L581" i="17"/>
  <c r="O581" i="17" s="1"/>
  <c r="P581" i="17" s="1"/>
  <c r="M581" i="17"/>
  <c r="K581" i="17"/>
  <c r="J581" i="17"/>
  <c r="N581" i="17"/>
  <c r="D5" i="14"/>
  <c r="H2" i="15" s="1"/>
  <c r="B3" i="15"/>
  <c r="L233" i="17"/>
  <c r="O233" i="17" s="1"/>
  <c r="P233" i="17" s="1"/>
  <c r="L283" i="17"/>
  <c r="O283" i="17" s="1"/>
  <c r="P283" i="17" s="1"/>
  <c r="Q283" i="17" s="1"/>
  <c r="L284" i="17"/>
  <c r="O284" i="17" s="1"/>
  <c r="P284" i="17" s="1"/>
  <c r="L285" i="17"/>
  <c r="O285" i="17" s="1"/>
  <c r="P285" i="17" s="1"/>
  <c r="Q285" i="17" s="1"/>
  <c r="L286" i="17"/>
  <c r="O286" i="17" s="1"/>
  <c r="P286" i="17" s="1"/>
  <c r="M287" i="17"/>
  <c r="M288" i="17"/>
  <c r="M289" i="17"/>
  <c r="M290" i="17"/>
  <c r="L291" i="17"/>
  <c r="O291" i="17" s="1"/>
  <c r="P291" i="17" s="1"/>
  <c r="Q291" i="17" s="1"/>
  <c r="L311" i="17"/>
  <c r="O311" i="17" s="1"/>
  <c r="M316" i="17"/>
  <c r="K370" i="17"/>
  <c r="K371" i="17"/>
  <c r="J372" i="17"/>
  <c r="J373" i="17"/>
  <c r="J374" i="17"/>
  <c r="J381" i="17"/>
  <c r="M383" i="17"/>
  <c r="N384" i="17"/>
  <c r="J399" i="17"/>
  <c r="N401" i="17"/>
  <c r="J414" i="17"/>
  <c r="J415" i="17"/>
  <c r="J416" i="17"/>
  <c r="L417" i="17"/>
  <c r="O417" i="17" s="1"/>
  <c r="M418" i="17"/>
  <c r="M419" i="17"/>
  <c r="L420" i="17"/>
  <c r="O420" i="17" s="1"/>
  <c r="K421" i="17"/>
  <c r="K423" i="17"/>
  <c r="K424" i="17"/>
  <c r="K425" i="17"/>
  <c r="K427" i="17"/>
  <c r="M428" i="17"/>
  <c r="J435" i="17"/>
  <c r="K436" i="17"/>
  <c r="M437" i="17"/>
  <c r="K446" i="17"/>
  <c r="N460" i="17"/>
  <c r="K460" i="17"/>
  <c r="J463" i="17"/>
  <c r="M480" i="17"/>
  <c r="K491" i="17"/>
  <c r="N493" i="17"/>
  <c r="K493" i="17"/>
  <c r="L495" i="17"/>
  <c r="O495" i="17" s="1"/>
  <c r="P495" i="17" s="1"/>
  <c r="Q495" i="17" s="1"/>
  <c r="J503" i="17"/>
  <c r="N509" i="17"/>
  <c r="L513" i="17"/>
  <c r="O513" i="17" s="1"/>
  <c r="P513" i="17" s="1"/>
  <c r="M521" i="17"/>
  <c r="J525" i="17"/>
  <c r="J528" i="17"/>
  <c r="M574" i="17"/>
  <c r="J592" i="17"/>
  <c r="N592" i="17"/>
  <c r="M592" i="17"/>
  <c r="L592" i="17"/>
  <c r="O592" i="17" s="1"/>
  <c r="P592" i="17" s="1"/>
  <c r="Q592" i="17" s="1"/>
  <c r="K592" i="17"/>
  <c r="M233" i="17"/>
  <c r="M283" i="17"/>
  <c r="M284" i="17"/>
  <c r="M285" i="17"/>
  <c r="N286" i="17"/>
  <c r="N287" i="17"/>
  <c r="N288" i="17"/>
  <c r="N289" i="17"/>
  <c r="M291" i="17"/>
  <c r="M311" i="17"/>
  <c r="J353" i="17"/>
  <c r="K353" i="17"/>
  <c r="L370" i="17"/>
  <c r="O370" i="17" s="1"/>
  <c r="L371" i="17"/>
  <c r="O371" i="17" s="1"/>
  <c r="P371" i="17" s="1"/>
  <c r="Q371" i="17" s="1"/>
  <c r="K372" i="17"/>
  <c r="K373" i="17"/>
  <c r="K374" i="17"/>
  <c r="J375" i="17"/>
  <c r="J380" i="17"/>
  <c r="K381" i="17"/>
  <c r="N383" i="17"/>
  <c r="K399" i="17"/>
  <c r="K414" i="17"/>
  <c r="K415" i="17"/>
  <c r="L416" i="17"/>
  <c r="O416" i="17" s="1"/>
  <c r="M417" i="17"/>
  <c r="M420" i="17"/>
  <c r="L421" i="17"/>
  <c r="O421" i="17" s="1"/>
  <c r="P421" i="17" s="1"/>
  <c r="L423" i="17"/>
  <c r="O423" i="17" s="1"/>
  <c r="P423" i="17" s="1"/>
  <c r="L424" i="17"/>
  <c r="O424" i="17" s="1"/>
  <c r="L425" i="17"/>
  <c r="O425" i="17" s="1"/>
  <c r="M427" i="17"/>
  <c r="N428" i="17"/>
  <c r="K435" i="17"/>
  <c r="L436" i="17"/>
  <c r="O436" i="17" s="1"/>
  <c r="N446" i="17"/>
  <c r="J456" i="17"/>
  <c r="N463" i="17"/>
  <c r="N476" i="17"/>
  <c r="K476" i="17"/>
  <c r="M476" i="17"/>
  <c r="J479" i="17"/>
  <c r="N480" i="17"/>
  <c r="M491" i="17"/>
  <c r="N495" i="17"/>
  <c r="N500" i="17"/>
  <c r="K500" i="17"/>
  <c r="N503" i="17"/>
  <c r="K508" i="17"/>
  <c r="M513" i="17"/>
  <c r="K525" i="17"/>
  <c r="K528" i="17"/>
  <c r="N542" i="17"/>
  <c r="K542" i="17"/>
  <c r="N569" i="17"/>
  <c r="M569" i="17"/>
  <c r="K569" i="17"/>
  <c r="L569" i="17"/>
  <c r="O569" i="17" s="1"/>
  <c r="J569" i="17"/>
  <c r="Q622" i="17"/>
  <c r="K352" i="17"/>
  <c r="J352" i="17"/>
  <c r="L372" i="17"/>
  <c r="O372" i="17" s="1"/>
  <c r="P372" i="17" s="1"/>
  <c r="Q372" i="17" s="1"/>
  <c r="L373" i="17"/>
  <c r="O373" i="17" s="1"/>
  <c r="L374" i="17"/>
  <c r="O374" i="17" s="1"/>
  <c r="P374" i="17" s="1"/>
  <c r="Q374" i="17" s="1"/>
  <c r="K375" i="17"/>
  <c r="K380" i="17"/>
  <c r="L381" i="17"/>
  <c r="O381" i="17" s="1"/>
  <c r="P381" i="17" s="1"/>
  <c r="Q381" i="17" s="1"/>
  <c r="M399" i="17"/>
  <c r="L414" i="17"/>
  <c r="O414" i="17" s="1"/>
  <c r="M415" i="17"/>
  <c r="M416" i="17"/>
  <c r="N417" i="17"/>
  <c r="M421" i="17"/>
  <c r="M423" i="17"/>
  <c r="M424" i="17"/>
  <c r="M425" i="17"/>
  <c r="N427" i="17"/>
  <c r="M430" i="17"/>
  <c r="L430" i="17"/>
  <c r="O430" i="17" s="1"/>
  <c r="P430" i="17" s="1"/>
  <c r="Q430" i="17" s="1"/>
  <c r="L435" i="17"/>
  <c r="O435" i="17" s="1"/>
  <c r="N436" i="17"/>
  <c r="J449" i="17"/>
  <c r="M449" i="17"/>
  <c r="K456" i="17"/>
  <c r="J462" i="17"/>
  <c r="J478" i="17"/>
  <c r="M479" i="17"/>
  <c r="N491" i="17"/>
  <c r="K498" i="17"/>
  <c r="L505" i="17"/>
  <c r="O505" i="17" s="1"/>
  <c r="P505" i="17" s="1"/>
  <c r="Q505" i="17" s="1"/>
  <c r="K505" i="17"/>
  <c r="J505" i="17"/>
  <c r="L508" i="17"/>
  <c r="O508" i="17" s="1"/>
  <c r="P508" i="17" s="1"/>
  <c r="Q508" i="17" s="1"/>
  <c r="N513" i="17"/>
  <c r="K515" i="17"/>
  <c r="J515" i="17"/>
  <c r="L525" i="17"/>
  <c r="O525" i="17" s="1"/>
  <c r="P525" i="17" s="1"/>
  <c r="Q525" i="17" s="1"/>
  <c r="J531" i="17"/>
  <c r="L543" i="17"/>
  <c r="O543" i="17" s="1"/>
  <c r="L547" i="17"/>
  <c r="O547" i="17" s="1"/>
  <c r="P547" i="17" s="1"/>
  <c r="Q547" i="17" s="1"/>
  <c r="J547" i="17"/>
  <c r="K547" i="17"/>
  <c r="J551" i="17"/>
  <c r="L459" i="17"/>
  <c r="O459" i="17" s="1"/>
  <c r="P459" i="17" s="1"/>
  <c r="J459" i="17"/>
  <c r="K462" i="17"/>
  <c r="J471" i="17"/>
  <c r="Q474" i="17"/>
  <c r="K478" i="17"/>
  <c r="L496" i="17"/>
  <c r="O496" i="17" s="1"/>
  <c r="P496" i="17" s="1"/>
  <c r="Q496" i="17" s="1"/>
  <c r="K496" i="17"/>
  <c r="N498" i="17"/>
  <c r="M508" i="17"/>
  <c r="N510" i="17"/>
  <c r="J510" i="17"/>
  <c r="K531" i="17"/>
  <c r="L544" i="17"/>
  <c r="O544" i="17" s="1"/>
  <c r="P544" i="17" s="1"/>
  <c r="Q544" i="17" s="1"/>
  <c r="K544" i="17"/>
  <c r="M544" i="17"/>
  <c r="M552" i="17"/>
  <c r="L552" i="17"/>
  <c r="O552" i="17" s="1"/>
  <c r="P552" i="17" s="1"/>
  <c r="Q552" i="17" s="1"/>
  <c r="J552" i="17"/>
  <c r="J336" i="17"/>
  <c r="M350" i="17"/>
  <c r="J350" i="17"/>
  <c r="J366" i="17"/>
  <c r="K367" i="17"/>
  <c r="M375" i="17"/>
  <c r="M380" i="17"/>
  <c r="K397" i="17"/>
  <c r="L412" i="17"/>
  <c r="O412" i="17" s="1"/>
  <c r="N429" i="17"/>
  <c r="J429" i="17"/>
  <c r="J444" i="17"/>
  <c r="K448" i="17"/>
  <c r="J448" i="17"/>
  <c r="M456" i="17"/>
  <c r="N462" i="17"/>
  <c r="K471" i="17"/>
  <c r="L475" i="17"/>
  <c r="O475" i="17" s="1"/>
  <c r="J475" i="17"/>
  <c r="N478" i="17"/>
  <c r="N492" i="17"/>
  <c r="K492" i="17"/>
  <c r="K502" i="17"/>
  <c r="N508" i="17"/>
  <c r="K517" i="17"/>
  <c r="L531" i="17"/>
  <c r="O531" i="17" s="1"/>
  <c r="P531" i="17" s="1"/>
  <c r="Q531" i="17" s="1"/>
  <c r="J545" i="17"/>
  <c r="N585" i="17"/>
  <c r="K585" i="17"/>
  <c r="M585" i="17"/>
  <c r="J585" i="17"/>
  <c r="L585" i="17"/>
  <c r="O585" i="17" s="1"/>
  <c r="P585" i="17" s="1"/>
  <c r="L587" i="17"/>
  <c r="O587" i="17" s="1"/>
  <c r="P587" i="17" s="1"/>
  <c r="Q587" i="17" s="1"/>
  <c r="K587" i="17"/>
  <c r="N587" i="17"/>
  <c r="M587" i="17"/>
  <c r="J587" i="17"/>
  <c r="Q607" i="17"/>
  <c r="Q614" i="17"/>
  <c r="L336" i="17"/>
  <c r="O336" i="17" s="1"/>
  <c r="P336" i="17" s="1"/>
  <c r="Q336" i="17" s="1"/>
  <c r="N349" i="17"/>
  <c r="J349" i="17"/>
  <c r="M367" i="17"/>
  <c r="L397" i="17"/>
  <c r="O397" i="17" s="1"/>
  <c r="P397" i="17" s="1"/>
  <c r="Q397" i="17" s="1"/>
  <c r="M412" i="17"/>
  <c r="L444" i="17"/>
  <c r="O444" i="17" s="1"/>
  <c r="P444" i="17" s="1"/>
  <c r="L447" i="17"/>
  <c r="O447" i="17" s="1"/>
  <c r="K447" i="17"/>
  <c r="K464" i="17"/>
  <c r="J464" i="17"/>
  <c r="L471" i="17"/>
  <c r="O471" i="17" s="1"/>
  <c r="P471" i="17" s="1"/>
  <c r="L499" i="17"/>
  <c r="O499" i="17" s="1"/>
  <c r="J499" i="17"/>
  <c r="N502" i="17"/>
  <c r="L504" i="17"/>
  <c r="O504" i="17" s="1"/>
  <c r="P504" i="17" s="1"/>
  <c r="K504" i="17"/>
  <c r="M533" i="17"/>
  <c r="J533" i="17"/>
  <c r="L533" i="17"/>
  <c r="O533" i="17" s="1"/>
  <c r="P533" i="17" s="1"/>
  <c r="Q533" i="17" s="1"/>
  <c r="M540" i="17"/>
  <c r="M545" i="17"/>
  <c r="N549" i="17"/>
  <c r="M549" i="17"/>
  <c r="J549" i="17"/>
  <c r="Q606" i="17"/>
  <c r="N628" i="17"/>
  <c r="L628" i="17"/>
  <c r="O628" i="17" s="1"/>
  <c r="P628" i="17" s="1"/>
  <c r="Q628" i="17" s="1"/>
  <c r="K628" i="17"/>
  <c r="J628" i="17"/>
  <c r="K670" i="17"/>
  <c r="N670" i="17"/>
  <c r="M670" i="17"/>
  <c r="L670" i="17"/>
  <c r="O670" i="17" s="1"/>
  <c r="P670" i="17" s="1"/>
  <c r="Q670" i="17" s="1"/>
  <c r="J670" i="17"/>
  <c r="N541" i="17"/>
  <c r="K541" i="17"/>
  <c r="L578" i="17"/>
  <c r="O578" i="17" s="1"/>
  <c r="P578" i="17" s="1"/>
  <c r="K578" i="17"/>
  <c r="J578" i="17"/>
  <c r="K620" i="17"/>
  <c r="M620" i="17"/>
  <c r="L620" i="17"/>
  <c r="O620" i="17" s="1"/>
  <c r="P620" i="17" s="1"/>
  <c r="J620" i="17"/>
  <c r="J623" i="17"/>
  <c r="N623" i="17"/>
  <c r="L623" i="17"/>
  <c r="O623" i="17" s="1"/>
  <c r="P623" i="17" s="1"/>
  <c r="K623" i="17"/>
  <c r="Q633" i="17"/>
  <c r="K767" i="17"/>
  <c r="L767" i="17"/>
  <c r="O767" i="17" s="1"/>
  <c r="J767" i="17"/>
  <c r="N767" i="17"/>
  <c r="M767" i="17"/>
  <c r="M580" i="17"/>
  <c r="L580" i="17"/>
  <c r="O580" i="17" s="1"/>
  <c r="P580" i="17" s="1"/>
  <c r="Q580" i="17" s="1"/>
  <c r="K580" i="17"/>
  <c r="J580" i="17"/>
  <c r="L619" i="17"/>
  <c r="O619" i="17" s="1"/>
  <c r="P619" i="17" s="1"/>
  <c r="K619" i="17"/>
  <c r="J619" i="17"/>
  <c r="N627" i="17"/>
  <c r="L627" i="17"/>
  <c r="O627" i="17" s="1"/>
  <c r="P627" i="17" s="1"/>
  <c r="Q627" i="17" s="1"/>
  <c r="K627" i="17"/>
  <c r="J627" i="17"/>
  <c r="M628" i="17"/>
  <c r="Q679" i="17"/>
  <c r="N413" i="17"/>
  <c r="J413" i="17"/>
  <c r="K506" i="17"/>
  <c r="J506" i="17"/>
  <c r="M530" i="17"/>
  <c r="J546" i="17"/>
  <c r="L546" i="17"/>
  <c r="O546" i="17" s="1"/>
  <c r="P546" i="17" s="1"/>
  <c r="Q546" i="17" s="1"/>
  <c r="M578" i="17"/>
  <c r="N620" i="17"/>
  <c r="K556" i="17"/>
  <c r="M556" i="17"/>
  <c r="N560" i="17"/>
  <c r="L560" i="17"/>
  <c r="O560" i="17" s="1"/>
  <c r="P560" i="17" s="1"/>
  <c r="N578" i="17"/>
  <c r="M586" i="17"/>
  <c r="K586" i="17"/>
  <c r="L586" i="17"/>
  <c r="O586" i="17" s="1"/>
  <c r="P586" i="17" s="1"/>
  <c r="J586" i="17"/>
  <c r="N629" i="17"/>
  <c r="M629" i="17"/>
  <c r="K629" i="17"/>
  <c r="J629" i="17"/>
  <c r="L669" i="17"/>
  <c r="O669" i="17" s="1"/>
  <c r="P669" i="17" s="1"/>
  <c r="J669" i="17"/>
  <c r="M669" i="17"/>
  <c r="K669" i="17"/>
  <c r="N669" i="17"/>
  <c r="K705" i="17"/>
  <c r="M705" i="17"/>
  <c r="N705" i="17"/>
  <c r="L705" i="17"/>
  <c r="O705" i="17" s="1"/>
  <c r="K583" i="17"/>
  <c r="M583" i="17"/>
  <c r="L583" i="17"/>
  <c r="O583" i="17" s="1"/>
  <c r="P583" i="17" s="1"/>
  <c r="J583" i="17"/>
  <c r="K591" i="17"/>
  <c r="N591" i="17"/>
  <c r="M591" i="17"/>
  <c r="L591" i="17"/>
  <c r="O591" i="17" s="1"/>
  <c r="P591" i="17" s="1"/>
  <c r="Q591" i="17" s="1"/>
  <c r="L621" i="17"/>
  <c r="O621" i="17" s="1"/>
  <c r="P621" i="17" s="1"/>
  <c r="Q621" i="17" s="1"/>
  <c r="J621" i="17"/>
  <c r="N621" i="17"/>
  <c r="M621" i="17"/>
  <c r="N624" i="17"/>
  <c r="L624" i="17"/>
  <c r="O624" i="17" s="1"/>
  <c r="P624" i="17" s="1"/>
  <c r="Q624" i="17" s="1"/>
  <c r="K624" i="17"/>
  <c r="J624" i="17"/>
  <c r="N695" i="17"/>
  <c r="M695" i="17"/>
  <c r="K695" i="17"/>
  <c r="L695" i="17"/>
  <c r="O695" i="17" s="1"/>
  <c r="P695" i="17" s="1"/>
  <c r="J695" i="17"/>
  <c r="N579" i="17"/>
  <c r="L579" i="17"/>
  <c r="O579" i="17" s="1"/>
  <c r="P579" i="17" s="1"/>
  <c r="Q579" i="17" s="1"/>
  <c r="K579" i="17"/>
  <c r="J579" i="17"/>
  <c r="J655" i="17"/>
  <c r="N655" i="17"/>
  <c r="M655" i="17"/>
  <c r="L655" i="17"/>
  <c r="O655" i="17" s="1"/>
  <c r="K655" i="17"/>
  <c r="M682" i="17"/>
  <c r="K682" i="17"/>
  <c r="J682" i="17"/>
  <c r="N682" i="17"/>
  <c r="L682" i="17"/>
  <c r="O682" i="17" s="1"/>
  <c r="P682" i="17" s="1"/>
  <c r="N548" i="17"/>
  <c r="K548" i="17"/>
  <c r="N580" i="17"/>
  <c r="N619" i="17"/>
  <c r="N626" i="17"/>
  <c r="L626" i="17"/>
  <c r="O626" i="17" s="1"/>
  <c r="P626" i="17" s="1"/>
  <c r="Q626" i="17" s="1"/>
  <c r="K626" i="17"/>
  <c r="J626" i="17"/>
  <c r="M627" i="17"/>
  <c r="J593" i="17"/>
  <c r="N593" i="17"/>
  <c r="M593" i="17"/>
  <c r="N600" i="17"/>
  <c r="M600" i="17"/>
  <c r="L600" i="17"/>
  <c r="O600" i="17" s="1"/>
  <c r="P600" i="17" s="1"/>
  <c r="Q600" i="17" s="1"/>
  <c r="N649" i="17"/>
  <c r="M649" i="17"/>
  <c r="L649" i="17"/>
  <c r="O649" i="17" s="1"/>
  <c r="P649" i="17" s="1"/>
  <c r="Q649" i="17" s="1"/>
  <c r="K649" i="17"/>
  <c r="J649" i="17"/>
  <c r="K716" i="17"/>
  <c r="N743" i="17"/>
  <c r="K743" i="17"/>
  <c r="J743" i="17"/>
  <c r="M743" i="17"/>
  <c r="L743" i="17"/>
  <c r="O743" i="17" s="1"/>
  <c r="P772" i="17"/>
  <c r="M784" i="17"/>
  <c r="K784" i="17"/>
  <c r="N784" i="17"/>
  <c r="L784" i="17"/>
  <c r="O784" i="17" s="1"/>
  <c r="J784" i="17"/>
  <c r="M718" i="17"/>
  <c r="N718" i="17"/>
  <c r="L718" i="17"/>
  <c r="O718" i="17" s="1"/>
  <c r="K718" i="17"/>
  <c r="J718" i="17"/>
  <c r="J769" i="17"/>
  <c r="N769" i="17"/>
  <c r="L769" i="17"/>
  <c r="O769" i="17" s="1"/>
  <c r="K769" i="17"/>
  <c r="M700" i="17"/>
  <c r="K700" i="17"/>
  <c r="M712" i="17"/>
  <c r="K712" i="17"/>
  <c r="L712" i="17"/>
  <c r="O712" i="17" s="1"/>
  <c r="J712" i="17"/>
  <c r="L748" i="17"/>
  <c r="O748" i="17" s="1"/>
  <c r="N748" i="17"/>
  <c r="M748" i="17"/>
  <c r="K748" i="17"/>
  <c r="J751" i="17"/>
  <c r="N751" i="17"/>
  <c r="M751" i="17"/>
  <c r="L751" i="17"/>
  <c r="O751" i="17" s="1"/>
  <c r="J803" i="17"/>
  <c r="M803" i="17"/>
  <c r="L803" i="17"/>
  <c r="O803" i="17" s="1"/>
  <c r="N803" i="17"/>
  <c r="K803" i="17"/>
  <c r="M725" i="17"/>
  <c r="K725" i="17"/>
  <c r="L725" i="17"/>
  <c r="O725" i="17" s="1"/>
  <c r="N737" i="17"/>
  <c r="M737" i="17"/>
  <c r="K737" i="17"/>
  <c r="J737" i="17"/>
  <c r="M758" i="17"/>
  <c r="J758" i="17"/>
  <c r="N758" i="17"/>
  <c r="L758" i="17"/>
  <c r="O758" i="17" s="1"/>
  <c r="L764" i="17"/>
  <c r="O764" i="17" s="1"/>
  <c r="M764" i="17"/>
  <c r="K764" i="17"/>
  <c r="L821" i="17"/>
  <c r="O821" i="17" s="1"/>
  <c r="N821" i="17"/>
  <c r="J821" i="17"/>
  <c r="M821" i="17"/>
  <c r="K821" i="17"/>
  <c r="M557" i="17"/>
  <c r="L559" i="17"/>
  <c r="O559" i="17" s="1"/>
  <c r="P559" i="17" s="1"/>
  <c r="L570" i="17"/>
  <c r="O570" i="17" s="1"/>
  <c r="N594" i="17"/>
  <c r="L597" i="17"/>
  <c r="O597" i="17" s="1"/>
  <c r="P597" i="17" s="1"/>
  <c r="M601" i="17"/>
  <c r="M674" i="17"/>
  <c r="Q706" i="17"/>
  <c r="K714" i="17"/>
  <c r="N714" i="17"/>
  <c r="L714" i="17"/>
  <c r="O714" i="17" s="1"/>
  <c r="M720" i="17"/>
  <c r="L720" i="17"/>
  <c r="O720" i="17" s="1"/>
  <c r="N720" i="17"/>
  <c r="K720" i="17"/>
  <c r="L653" i="17"/>
  <c r="O653" i="17" s="1"/>
  <c r="P653" i="17" s="1"/>
  <c r="Q653" i="17" s="1"/>
  <c r="J653" i="17"/>
  <c r="N653" i="17"/>
  <c r="L685" i="17"/>
  <c r="O685" i="17" s="1"/>
  <c r="P685" i="17" s="1"/>
  <c r="J685" i="17"/>
  <c r="N707" i="17"/>
  <c r="L707" i="17"/>
  <c r="O707" i="17" s="1"/>
  <c r="P707" i="17" s="1"/>
  <c r="Q707" i="17" s="1"/>
  <c r="K707" i="17"/>
  <c r="N775" i="17"/>
  <c r="K775" i="17"/>
  <c r="M775" i="17"/>
  <c r="L775" i="17"/>
  <c r="O775" i="17" s="1"/>
  <c r="J775" i="17"/>
  <c r="L473" i="17"/>
  <c r="O473" i="17" s="1"/>
  <c r="P473" i="17" s="1"/>
  <c r="Q473" i="17" s="1"/>
  <c r="L489" i="17"/>
  <c r="O489" i="17" s="1"/>
  <c r="L536" i="17"/>
  <c r="O536" i="17" s="1"/>
  <c r="J538" i="17"/>
  <c r="K553" i="17"/>
  <c r="N555" i="17"/>
  <c r="L563" i="17"/>
  <c r="O563" i="17" s="1"/>
  <c r="K567" i="17"/>
  <c r="L568" i="17"/>
  <c r="O568" i="17" s="1"/>
  <c r="P568" i="17" s="1"/>
  <c r="J588" i="17"/>
  <c r="N590" i="17"/>
  <c r="J635" i="17"/>
  <c r="M656" i="17"/>
  <c r="K666" i="17"/>
  <c r="L672" i="17"/>
  <c r="O672" i="17" s="1"/>
  <c r="P672" i="17" s="1"/>
  <c r="Q672" i="17" s="1"/>
  <c r="K742" i="17"/>
  <c r="N742" i="17"/>
  <c r="M742" i="17"/>
  <c r="L742" i="17"/>
  <c r="O742" i="17" s="1"/>
  <c r="J742" i="17"/>
  <c r="L829" i="17"/>
  <c r="O829" i="17" s="1"/>
  <c r="N829" i="17"/>
  <c r="J829" i="17"/>
  <c r="M829" i="17"/>
  <c r="K829" i="17"/>
  <c r="M588" i="17"/>
  <c r="K635" i="17"/>
  <c r="J650" i="17"/>
  <c r="J665" i="17"/>
  <c r="M668" i="17"/>
  <c r="K668" i="17"/>
  <c r="N668" i="17"/>
  <c r="L668" i="17"/>
  <c r="O668" i="17" s="1"/>
  <c r="P668" i="17" s="1"/>
  <c r="Q668" i="17" s="1"/>
  <c r="M553" i="17"/>
  <c r="K650" i="17"/>
  <c r="K665" i="17"/>
  <c r="K704" i="17"/>
  <c r="L704" i="17"/>
  <c r="O704" i="17" s="1"/>
  <c r="M704" i="17"/>
  <c r="K751" i="17"/>
  <c r="K805" i="17"/>
  <c r="N805" i="17"/>
  <c r="L805" i="17"/>
  <c r="O805" i="17" s="1"/>
  <c r="M805" i="17"/>
  <c r="J805" i="17"/>
  <c r="L650" i="17"/>
  <c r="O650" i="17" s="1"/>
  <c r="P650" i="17" s="1"/>
  <c r="Q650" i="17" s="1"/>
  <c r="M652" i="17"/>
  <c r="K652" i="17"/>
  <c r="N652" i="17"/>
  <c r="L652" i="17"/>
  <c r="O652" i="17" s="1"/>
  <c r="P652" i="17" s="1"/>
  <c r="L665" i="17"/>
  <c r="O665" i="17" s="1"/>
  <c r="P665" i="17" s="1"/>
  <c r="Q665" i="17" s="1"/>
  <c r="N712" i="17"/>
  <c r="K730" i="17"/>
  <c r="J730" i="17"/>
  <c r="M730" i="17"/>
  <c r="L730" i="17"/>
  <c r="O730" i="17" s="1"/>
  <c r="J747" i="17"/>
  <c r="L747" i="17"/>
  <c r="O747" i="17" s="1"/>
  <c r="M747" i="17"/>
  <c r="N747" i="17"/>
  <c r="K747" i="17"/>
  <c r="M757" i="17"/>
  <c r="L757" i="17"/>
  <c r="O757" i="17" s="1"/>
  <c r="J757" i="17"/>
  <c r="J764" i="17"/>
  <c r="M769" i="17"/>
  <c r="L637" i="17"/>
  <c r="O637" i="17" s="1"/>
  <c r="P637" i="17" s="1"/>
  <c r="J637" i="17"/>
  <c r="N650" i="17"/>
  <c r="J654" i="17"/>
  <c r="M665" i="17"/>
  <c r="N716" i="17"/>
  <c r="J716" i="17"/>
  <c r="M722" i="17"/>
  <c r="K722" i="17"/>
  <c r="J725" i="17"/>
  <c r="L737" i="17"/>
  <c r="O737" i="17" s="1"/>
  <c r="K758" i="17"/>
  <c r="N764" i="17"/>
  <c r="K802" i="17"/>
  <c r="M802" i="17"/>
  <c r="L802" i="17"/>
  <c r="O802" i="17" s="1"/>
  <c r="N802" i="17"/>
  <c r="L654" i="17"/>
  <c r="O654" i="17" s="1"/>
  <c r="P654" i="17" s="1"/>
  <c r="N667" i="17"/>
  <c r="L667" i="17"/>
  <c r="O667" i="17" s="1"/>
  <c r="P667" i="17" s="1"/>
  <c r="Q667" i="17" s="1"/>
  <c r="K667" i="17"/>
  <c r="J667" i="17"/>
  <c r="K681" i="17"/>
  <c r="N683" i="17"/>
  <c r="L683" i="17"/>
  <c r="O683" i="17" s="1"/>
  <c r="P683" i="17" s="1"/>
  <c r="Q683" i="17" s="1"/>
  <c r="M683" i="17"/>
  <c r="L700" i="17"/>
  <c r="O700" i="17" s="1"/>
  <c r="L703" i="17"/>
  <c r="O703" i="17" s="1"/>
  <c r="N725" i="17"/>
  <c r="J589" i="17"/>
  <c r="L589" i="17"/>
  <c r="O589" i="17" s="1"/>
  <c r="P589" i="17" s="1"/>
  <c r="Q589" i="17" s="1"/>
  <c r="M636" i="17"/>
  <c r="K636" i="17"/>
  <c r="J642" i="17"/>
  <c r="J647" i="17"/>
  <c r="M654" i="17"/>
  <c r="L681" i="17"/>
  <c r="O681" i="17" s="1"/>
  <c r="P681" i="17" s="1"/>
  <c r="Q681" i="17" s="1"/>
  <c r="N700" i="17"/>
  <c r="K706" i="17"/>
  <c r="N706" i="17"/>
  <c r="M706" i="17"/>
  <c r="M714" i="17"/>
  <c r="M719" i="17"/>
  <c r="N719" i="17"/>
  <c r="L719" i="17"/>
  <c r="O719" i="17" s="1"/>
  <c r="J719" i="17"/>
  <c r="J720" i="17"/>
  <c r="K741" i="17"/>
  <c r="N741" i="17"/>
  <c r="L741" i="17"/>
  <c r="O741" i="17" s="1"/>
  <c r="J741" i="17"/>
  <c r="M840" i="17"/>
  <c r="J840" i="17"/>
  <c r="N840" i="17"/>
  <c r="L840" i="17"/>
  <c r="O840" i="17" s="1"/>
  <c r="K840" i="17"/>
  <c r="K588" i="17"/>
  <c r="L588" i="17"/>
  <c r="O588" i="17" s="1"/>
  <c r="P588" i="17" s="1"/>
  <c r="Q588" i="17" s="1"/>
  <c r="K605" i="17"/>
  <c r="N635" i="17"/>
  <c r="L635" i="17"/>
  <c r="O635" i="17" s="1"/>
  <c r="P635" i="17" s="1"/>
  <c r="Q635" i="17" s="1"/>
  <c r="N651" i="17"/>
  <c r="L651" i="17"/>
  <c r="O651" i="17" s="1"/>
  <c r="P651" i="17" s="1"/>
  <c r="Q651" i="17" s="1"/>
  <c r="J651" i="17"/>
  <c r="N654" i="17"/>
  <c r="M666" i="17"/>
  <c r="J666" i="17"/>
  <c r="J679" i="17"/>
  <c r="M681" i="17"/>
  <c r="L713" i="17"/>
  <c r="O713" i="17" s="1"/>
  <c r="P713" i="17" s="1"/>
  <c r="M713" i="17"/>
  <c r="J713" i="17"/>
  <c r="N713" i="17"/>
  <c r="N726" i="17"/>
  <c r="L726" i="17"/>
  <c r="O726" i="17" s="1"/>
  <c r="M726" i="17"/>
  <c r="K726" i="17"/>
  <c r="J726" i="17"/>
  <c r="K732" i="17"/>
  <c r="M732" i="17"/>
  <c r="L732" i="17"/>
  <c r="O732" i="17" s="1"/>
  <c r="L796" i="17"/>
  <c r="O796" i="17" s="1"/>
  <c r="K796" i="17"/>
  <c r="J796" i="17"/>
  <c r="J806" i="17"/>
  <c r="M808" i="17"/>
  <c r="L808" i="17"/>
  <c r="O808" i="17" s="1"/>
  <c r="N808" i="17"/>
  <c r="K806" i="17"/>
  <c r="M846" i="17"/>
  <c r="N846" i="17"/>
  <c r="L846" i="17"/>
  <c r="O846" i="17" s="1"/>
  <c r="P846" i="17" s="1"/>
  <c r="K846" i="17"/>
  <c r="J846" i="17"/>
  <c r="M736" i="17"/>
  <c r="L736" i="17"/>
  <c r="O736" i="17" s="1"/>
  <c r="K762" i="17"/>
  <c r="L762" i="17"/>
  <c r="O762" i="17" s="1"/>
  <c r="L787" i="17"/>
  <c r="O787" i="17" s="1"/>
  <c r="N787" i="17"/>
  <c r="K787" i="17"/>
  <c r="M787" i="17"/>
  <c r="Q850" i="17"/>
  <c r="J774" i="17"/>
  <c r="M774" i="17"/>
  <c r="J811" i="17"/>
  <c r="L811" i="17"/>
  <c r="O811" i="17" s="1"/>
  <c r="N811" i="17"/>
  <c r="K811" i="17"/>
  <c r="L833" i="17"/>
  <c r="O833" i="17" s="1"/>
  <c r="N833" i="17"/>
  <c r="M833" i="17"/>
  <c r="M796" i="17"/>
  <c r="L708" i="17"/>
  <c r="O708" i="17" s="1"/>
  <c r="N711" i="17"/>
  <c r="P711" i="17" s="1"/>
  <c r="J711" i="17"/>
  <c r="L735" i="17"/>
  <c r="O735" i="17" s="1"/>
  <c r="J735" i="17"/>
  <c r="J750" i="17"/>
  <c r="N750" i="17"/>
  <c r="M752" i="17"/>
  <c r="M786" i="17"/>
  <c r="N786" i="17"/>
  <c r="K786" i="17"/>
  <c r="J786" i="17"/>
  <c r="N796" i="17"/>
  <c r="J817" i="17"/>
  <c r="N817" i="17"/>
  <c r="M817" i="17"/>
  <c r="K817" i="17"/>
  <c r="L697" i="17"/>
  <c r="O697" i="17" s="1"/>
  <c r="P697" i="17" s="1"/>
  <c r="Q697" i="17" s="1"/>
  <c r="L701" i="17"/>
  <c r="O701" i="17" s="1"/>
  <c r="J701" i="17"/>
  <c r="M708" i="17"/>
  <c r="N752" i="17"/>
  <c r="L766" i="17"/>
  <c r="O766" i="17" s="1"/>
  <c r="N766" i="17"/>
  <c r="K794" i="17"/>
  <c r="L794" i="17"/>
  <c r="O794" i="17" s="1"/>
  <c r="N794" i="17"/>
  <c r="J794" i="17"/>
  <c r="J715" i="17"/>
  <c r="M715" i="17"/>
  <c r="N715" i="17"/>
  <c r="M728" i="17"/>
  <c r="K728" i="17"/>
  <c r="L768" i="17"/>
  <c r="O768" i="17" s="1"/>
  <c r="L806" i="17"/>
  <c r="O806" i="17" s="1"/>
  <c r="N806" i="17"/>
  <c r="N699" i="17"/>
  <c r="L699" i="17"/>
  <c r="O699" i="17" s="1"/>
  <c r="N721" i="17"/>
  <c r="L721" i="17"/>
  <c r="O721" i="17" s="1"/>
  <c r="J736" i="17"/>
  <c r="M744" i="17"/>
  <c r="P744" i="17" s="1"/>
  <c r="Q744" i="17" s="1"/>
  <c r="K744" i="17"/>
  <c r="J744" i="17"/>
  <c r="K749" i="17"/>
  <c r="N749" i="17"/>
  <c r="L749" i="17"/>
  <c r="O749" i="17" s="1"/>
  <c r="M762" i="17"/>
  <c r="M768" i="17"/>
  <c r="K774" i="17"/>
  <c r="J778" i="17"/>
  <c r="M811" i="17"/>
  <c r="K736" i="17"/>
  <c r="M738" i="17"/>
  <c r="N738" i="17"/>
  <c r="K738" i="17"/>
  <c r="N762" i="17"/>
  <c r="N768" i="17"/>
  <c r="L774" i="17"/>
  <c r="O774" i="17" s="1"/>
  <c r="L778" i="17"/>
  <c r="O778" i="17" s="1"/>
  <c r="N799" i="17"/>
  <c r="L801" i="17"/>
  <c r="O801" i="17" s="1"/>
  <c r="K801" i="17"/>
  <c r="J801" i="17"/>
  <c r="K833" i="17"/>
  <c r="N736" i="17"/>
  <c r="N774" i="17"/>
  <c r="M778" i="17"/>
  <c r="K780" i="17"/>
  <c r="N780" i="17"/>
  <c r="J780" i="17"/>
  <c r="K789" i="17"/>
  <c r="N789" i="17"/>
  <c r="L789" i="17"/>
  <c r="O789" i="17" s="1"/>
  <c r="M789" i="17"/>
  <c r="J827" i="17"/>
  <c r="M827" i="17"/>
  <c r="P827" i="17" s="1"/>
  <c r="N827" i="17"/>
  <c r="K827" i="17"/>
  <c r="N785" i="17"/>
  <c r="M785" i="17"/>
  <c r="K785" i="17"/>
  <c r="M792" i="17"/>
  <c r="K792" i="17"/>
  <c r="K810" i="17"/>
  <c r="J810" i="17"/>
  <c r="K816" i="17"/>
  <c r="J816" i="17"/>
  <c r="J819" i="17"/>
  <c r="M832" i="17"/>
  <c r="J832" i="17"/>
  <c r="N832" i="17"/>
  <c r="L832" i="17"/>
  <c r="O832" i="17" s="1"/>
  <c r="J835" i="17"/>
  <c r="N835" i="17"/>
  <c r="J843" i="17"/>
  <c r="M843" i="17"/>
  <c r="L843" i="17"/>
  <c r="O843" i="17" s="1"/>
  <c r="K843" i="17"/>
  <c r="K870" i="17"/>
  <c r="M870" i="17"/>
  <c r="N870" i="17"/>
  <c r="L870" i="17"/>
  <c r="O870" i="17" s="1"/>
  <c r="P870" i="17" s="1"/>
  <c r="J870" i="17"/>
  <c r="Q886" i="17"/>
  <c r="Q899" i="17"/>
  <c r="M824" i="17"/>
  <c r="L824" i="17"/>
  <c r="O824" i="17" s="1"/>
  <c r="M841" i="17"/>
  <c r="M876" i="17"/>
  <c r="L876" i="17"/>
  <c r="O876" i="17" s="1"/>
  <c r="N876" i="17"/>
  <c r="K876" i="17"/>
  <c r="J876" i="17"/>
  <c r="L739" i="17"/>
  <c r="O739" i="17" s="1"/>
  <c r="N739" i="17"/>
  <c r="K746" i="17"/>
  <c r="L746" i="17"/>
  <c r="O746" i="17" s="1"/>
  <c r="N746" i="17"/>
  <c r="J746" i="17"/>
  <c r="L777" i="17"/>
  <c r="O777" i="17" s="1"/>
  <c r="N777" i="17"/>
  <c r="N791" i="17"/>
  <c r="K791" i="17"/>
  <c r="J798" i="17"/>
  <c r="L798" i="17"/>
  <c r="O798" i="17" s="1"/>
  <c r="L814" i="17"/>
  <c r="O814" i="17" s="1"/>
  <c r="K814" i="17"/>
  <c r="J814" i="17"/>
  <c r="M828" i="17"/>
  <c r="L828" i="17"/>
  <c r="O828" i="17" s="1"/>
  <c r="K834" i="17"/>
  <c r="N834" i="17"/>
  <c r="N845" i="17"/>
  <c r="M845" i="17"/>
  <c r="L845" i="17"/>
  <c r="O845" i="17" s="1"/>
  <c r="K845" i="17"/>
  <c r="J889" i="17"/>
  <c r="N889" i="17"/>
  <c r="M889" i="17"/>
  <c r="L889" i="17"/>
  <c r="O889" i="17" s="1"/>
  <c r="P889" i="17" s="1"/>
  <c r="K889" i="17"/>
  <c r="J898" i="17"/>
  <c r="M898" i="17"/>
  <c r="L898" i="17"/>
  <c r="O898" i="17" s="1"/>
  <c r="P898" i="17" s="1"/>
  <c r="Q898" i="17" s="1"/>
  <c r="N898" i="17"/>
  <c r="K898" i="17"/>
  <c r="K797" i="17"/>
  <c r="L797" i="17"/>
  <c r="O797" i="17" s="1"/>
  <c r="M831" i="17"/>
  <c r="J831" i="17"/>
  <c r="N831" i="17"/>
  <c r="L831" i="17"/>
  <c r="O831" i="17" s="1"/>
  <c r="K831" i="17"/>
  <c r="K842" i="17"/>
  <c r="N842" i="17"/>
  <c r="J842" i="17"/>
  <c r="J871" i="17"/>
  <c r="N871" i="17"/>
  <c r="M871" i="17"/>
  <c r="L871" i="17"/>
  <c r="O871" i="17" s="1"/>
  <c r="P871" i="17" s="1"/>
  <c r="K871" i="17"/>
  <c r="M776" i="17"/>
  <c r="L776" i="17"/>
  <c r="O776" i="17" s="1"/>
  <c r="K790" i="17"/>
  <c r="M790" i="17"/>
  <c r="J800" i="17"/>
  <c r="N807" i="17"/>
  <c r="M807" i="17"/>
  <c r="M813" i="17"/>
  <c r="L813" i="17"/>
  <c r="O813" i="17" s="1"/>
  <c r="K813" i="17"/>
  <c r="L816" i="17"/>
  <c r="O816" i="17" s="1"/>
  <c r="N843" i="17"/>
  <c r="M855" i="17"/>
  <c r="J855" i="17"/>
  <c r="N855" i="17"/>
  <c r="L855" i="17"/>
  <c r="O855" i="17" s="1"/>
  <c r="P855" i="17" s="1"/>
  <c r="Q855" i="17" s="1"/>
  <c r="K855" i="17"/>
  <c r="J844" i="17"/>
  <c r="N844" i="17"/>
  <c r="M844" i="17"/>
  <c r="L844" i="17"/>
  <c r="O844" i="17" s="1"/>
  <c r="K844" i="17"/>
  <c r="L841" i="17"/>
  <c r="O841" i="17" s="1"/>
  <c r="K841" i="17"/>
  <c r="Q865" i="17"/>
  <c r="M875" i="17"/>
  <c r="K875" i="17"/>
  <c r="N875" i="17"/>
  <c r="J875" i="17"/>
  <c r="L822" i="17"/>
  <c r="O822" i="17" s="1"/>
  <c r="M822" i="17"/>
  <c r="K822" i="17"/>
  <c r="J822" i="17"/>
  <c r="K824" i="17"/>
  <c r="M684" i="17"/>
  <c r="K684" i="17"/>
  <c r="N727" i="17"/>
  <c r="M727" i="17"/>
  <c r="K765" i="17"/>
  <c r="J776" i="17"/>
  <c r="M797" i="17"/>
  <c r="J807" i="17"/>
  <c r="J813" i="17"/>
  <c r="M834" i="17"/>
  <c r="M862" i="17"/>
  <c r="L862" i="17"/>
  <c r="O862" i="17" s="1"/>
  <c r="P862" i="17" s="1"/>
  <c r="Q862" i="17" s="1"/>
  <c r="N862" i="17"/>
  <c r="K862" i="17"/>
  <c r="J862" i="17"/>
  <c r="N902" i="17"/>
  <c r="J902" i="17"/>
  <c r="L925" i="17"/>
  <c r="O925" i="17" s="1"/>
  <c r="J925" i="17"/>
  <c r="N925" i="17"/>
  <c r="M925" i="17"/>
  <c r="Q955" i="17"/>
  <c r="G182" i="12" s="1"/>
  <c r="A182" i="12" s="1"/>
  <c r="L745" i="17"/>
  <c r="O745" i="17" s="1"/>
  <c r="K745" i="17"/>
  <c r="N830" i="17"/>
  <c r="K830" i="17"/>
  <c r="K839" i="17"/>
  <c r="N867" i="17"/>
  <c r="L872" i="17"/>
  <c r="O872" i="17" s="1"/>
  <c r="P872" i="17" s="1"/>
  <c r="Q872" i="17" s="1"/>
  <c r="M839" i="17"/>
  <c r="N861" i="17"/>
  <c r="L861" i="17"/>
  <c r="O861" i="17" s="1"/>
  <c r="P861" i="17" s="1"/>
  <c r="Q861" i="17" s="1"/>
  <c r="M861" i="17"/>
  <c r="K869" i="17"/>
  <c r="J869" i="17"/>
  <c r="N872" i="17"/>
  <c r="K880" i="17"/>
  <c r="N880" i="17"/>
  <c r="K884" i="17"/>
  <c r="K897" i="17"/>
  <c r="M897" i="17"/>
  <c r="J897" i="17"/>
  <c r="K901" i="17"/>
  <c r="M901" i="17"/>
  <c r="K905" i="17"/>
  <c r="J928" i="17"/>
  <c r="K960" i="17"/>
  <c r="L960" i="17"/>
  <c r="O960" i="17" s="1"/>
  <c r="J960" i="17"/>
  <c r="N960" i="17"/>
  <c r="M960" i="17"/>
  <c r="N873" i="17"/>
  <c r="K873" i="17"/>
  <c r="N884" i="17"/>
  <c r="J887" i="17"/>
  <c r="K887" i="17"/>
  <c r="L860" i="17"/>
  <c r="O860" i="17" s="1"/>
  <c r="P860" i="17" s="1"/>
  <c r="Q860" i="17" s="1"/>
  <c r="K860" i="17"/>
  <c r="L879" i="17"/>
  <c r="O879" i="17" s="1"/>
  <c r="P879" i="17" s="1"/>
  <c r="N879" i="17"/>
  <c r="M879" i="17"/>
  <c r="L906" i="17"/>
  <c r="O906" i="17" s="1"/>
  <c r="N906" i="17"/>
  <c r="K906" i="17"/>
  <c r="L917" i="17"/>
  <c r="O917" i="17" s="1"/>
  <c r="J917" i="17"/>
  <c r="M917" i="17"/>
  <c r="K925" i="17"/>
  <c r="K886" i="17"/>
  <c r="J886" i="17"/>
  <c r="K926" i="17"/>
  <c r="L926" i="17"/>
  <c r="O926" i="17" s="1"/>
  <c r="J926" i="17"/>
  <c r="N926" i="17"/>
  <c r="K826" i="17"/>
  <c r="M826" i="17"/>
  <c r="J900" i="17"/>
  <c r="K900" i="17"/>
  <c r="N900" i="17"/>
  <c r="K902" i="17"/>
  <c r="J783" i="17"/>
  <c r="J795" i="17"/>
  <c r="L795" i="17"/>
  <c r="O795" i="17" s="1"/>
  <c r="K812" i="17"/>
  <c r="N847" i="17"/>
  <c r="J865" i="17"/>
  <c r="M865" i="17"/>
  <c r="M878" i="17"/>
  <c r="N878" i="17"/>
  <c r="K878" i="17"/>
  <c r="L902" i="17"/>
  <c r="O902" i="17" s="1"/>
  <c r="P902" i="17" s="1"/>
  <c r="Q902" i="17" s="1"/>
  <c r="L935" i="17"/>
  <c r="O935" i="17" s="1"/>
  <c r="K935" i="17"/>
  <c r="L825" i="17"/>
  <c r="O825" i="17" s="1"/>
  <c r="M825" i="17"/>
  <c r="M902" i="17"/>
  <c r="L905" i="17"/>
  <c r="O905" i="17" s="1"/>
  <c r="M905" i="17"/>
  <c r="J905" i="17"/>
  <c r="N913" i="17"/>
  <c r="K913" i="17"/>
  <c r="M913" i="17"/>
  <c r="J913" i="17"/>
  <c r="M745" i="17"/>
  <c r="L793" i="17"/>
  <c r="O793" i="17" s="1"/>
  <c r="K793" i="17"/>
  <c r="L830" i="17"/>
  <c r="O830" i="17" s="1"/>
  <c r="K854" i="17"/>
  <c r="M857" i="17"/>
  <c r="N857" i="17"/>
  <c r="J857" i="17"/>
  <c r="K864" i="17"/>
  <c r="M864" i="17"/>
  <c r="M869" i="17"/>
  <c r="J888" i="17"/>
  <c r="L897" i="17"/>
  <c r="O897" i="17" s="1"/>
  <c r="P897" i="17" s="1"/>
  <c r="Q897" i="17" s="1"/>
  <c r="J901" i="17"/>
  <c r="L909" i="17"/>
  <c r="O909" i="17" s="1"/>
  <c r="P909" i="17" s="1"/>
  <c r="K909" i="17"/>
  <c r="M909" i="17"/>
  <c r="N928" i="17"/>
  <c r="M928" i="17"/>
  <c r="P928" i="17" s="1"/>
  <c r="K928" i="17"/>
  <c r="N856" i="17"/>
  <c r="M856" i="17"/>
  <c r="J856" i="17"/>
  <c r="N823" i="17"/>
  <c r="L823" i="17"/>
  <c r="O823" i="17" s="1"/>
  <c r="L853" i="17"/>
  <c r="O853" i="17" s="1"/>
  <c r="P853" i="17" s="1"/>
  <c r="J867" i="17"/>
  <c r="J873" i="17"/>
  <c r="L887" i="17"/>
  <c r="O887" i="17" s="1"/>
  <c r="N888" i="17"/>
  <c r="J899" i="17"/>
  <c r="N899" i="17"/>
  <c r="K899" i="17"/>
  <c r="M916" i="17"/>
  <c r="K916" i="17"/>
  <c r="J916" i="17"/>
  <c r="L916" i="17"/>
  <c r="O916" i="17" s="1"/>
  <c r="P916" i="17" s="1"/>
  <c r="N917" i="17"/>
  <c r="L922" i="17"/>
  <c r="O922" i="17" s="1"/>
  <c r="J922" i="17"/>
  <c r="K922" i="17"/>
  <c r="N953" i="17"/>
  <c r="J953" i="17"/>
  <c r="J959" i="17"/>
  <c r="M959" i="17"/>
  <c r="K959" i="17"/>
  <c r="J859" i="17"/>
  <c r="N907" i="17"/>
  <c r="M907" i="17"/>
  <c r="J934" i="17"/>
  <c r="M940" i="17"/>
  <c r="K940" i="17"/>
  <c r="J975" i="17"/>
  <c r="L975" i="17"/>
  <c r="O975" i="17" s="1"/>
  <c r="P975" i="17" s="1"/>
  <c r="Q975" i="17" s="1"/>
  <c r="K975" i="17"/>
  <c r="N975" i="17"/>
  <c r="N859" i="17"/>
  <c r="L863" i="17"/>
  <c r="O863" i="17" s="1"/>
  <c r="P863" i="17" s="1"/>
  <c r="M863" i="17"/>
  <c r="J881" i="17"/>
  <c r="N881" i="17"/>
  <c r="J911" i="17"/>
  <c r="N911" i="17"/>
  <c r="M924" i="17"/>
  <c r="L924" i="17"/>
  <c r="O924" i="17" s="1"/>
  <c r="K924" i="17"/>
  <c r="N934" i="17"/>
  <c r="J943" i="17"/>
  <c r="M943" i="17"/>
  <c r="L943" i="17"/>
  <c r="O943" i="17" s="1"/>
  <c r="L945" i="17"/>
  <c r="O945" i="17" s="1"/>
  <c r="P945" i="17" s="1"/>
  <c r="Q945" i="17" s="1"/>
  <c r="L1091" i="17"/>
  <c r="O1091" i="17" s="1"/>
  <c r="J1091" i="17"/>
  <c r="N1091" i="17"/>
  <c r="M1091" i="17"/>
  <c r="K1091" i="17"/>
  <c r="Q963" i="17"/>
  <c r="L967" i="17"/>
  <c r="O967" i="17" s="1"/>
  <c r="P967" i="17" s="1"/>
  <c r="N967" i="17"/>
  <c r="J967" i="17"/>
  <c r="M967" i="17"/>
  <c r="K967" i="17"/>
  <c r="K1013" i="17"/>
  <c r="J1013" i="17"/>
  <c r="N1013" i="17"/>
  <c r="M1013" i="17"/>
  <c r="L1013" i="17"/>
  <c r="O1013" i="17" s="1"/>
  <c r="L1042" i="17"/>
  <c r="O1042" i="17" s="1"/>
  <c r="J1042" i="17"/>
  <c r="M1042" i="17"/>
  <c r="K1042" i="17"/>
  <c r="N1042" i="17"/>
  <c r="N939" i="17"/>
  <c r="M939" i="17"/>
  <c r="K953" i="17"/>
  <c r="L959" i="17"/>
  <c r="O959" i="17" s="1"/>
  <c r="N877" i="17"/>
  <c r="M877" i="17"/>
  <c r="K910" i="17"/>
  <c r="M910" i="17"/>
  <c r="N921" i="17"/>
  <c r="M933" i="17"/>
  <c r="N937" i="17"/>
  <c r="P937" i="17" s="1"/>
  <c r="L953" i="17"/>
  <c r="O953" i="17" s="1"/>
  <c r="N959" i="17"/>
  <c r="L940" i="17"/>
  <c r="O940" i="17" s="1"/>
  <c r="J1129" i="17"/>
  <c r="N1129" i="17"/>
  <c r="M1129" i="17"/>
  <c r="L1129" i="17"/>
  <c r="O1129" i="17" s="1"/>
  <c r="K1129" i="17"/>
  <c r="N940" i="17"/>
  <c r="K942" i="17"/>
  <c r="J942" i="17"/>
  <c r="N942" i="17"/>
  <c r="M942" i="17"/>
  <c r="M950" i="17"/>
  <c r="J950" i="17"/>
  <c r="L918" i="17"/>
  <c r="O918" i="17" s="1"/>
  <c r="M966" i="17"/>
  <c r="N966" i="17"/>
  <c r="J966" i="17"/>
  <c r="L966" i="17"/>
  <c r="O966" i="17" s="1"/>
  <c r="M908" i="17"/>
  <c r="J908" i="17"/>
  <c r="N918" i="17"/>
  <c r="J939" i="17"/>
  <c r="L957" i="17"/>
  <c r="O957" i="17" s="1"/>
  <c r="N957" i="17"/>
  <c r="M957" i="17"/>
  <c r="N999" i="17"/>
  <c r="J1003" i="17"/>
  <c r="L1014" i="17"/>
  <c r="O1014" i="17" s="1"/>
  <c r="J1045" i="17"/>
  <c r="L1045" i="17"/>
  <c r="O1045" i="17" s="1"/>
  <c r="P1045" i="17" s="1"/>
  <c r="K1045" i="17"/>
  <c r="N1073" i="17"/>
  <c r="M1073" i="17"/>
  <c r="J1073" i="17"/>
  <c r="L1073" i="17"/>
  <c r="O1073" i="17" s="1"/>
  <c r="K1073" i="17"/>
  <c r="M1089" i="17"/>
  <c r="K1089" i="17"/>
  <c r="J1089" i="17"/>
  <c r="N1089" i="17"/>
  <c r="L1089" i="17"/>
  <c r="O1089" i="17" s="1"/>
  <c r="L1101" i="17"/>
  <c r="O1101" i="17" s="1"/>
  <c r="K1101" i="17"/>
  <c r="N1101" i="17"/>
  <c r="M1101" i="17"/>
  <c r="M1123" i="17"/>
  <c r="L1123" i="17"/>
  <c r="O1123" i="17" s="1"/>
  <c r="N1123" i="17"/>
  <c r="K1123" i="17"/>
  <c r="N969" i="17"/>
  <c r="K969" i="17"/>
  <c r="L969" i="17"/>
  <c r="O969" i="17" s="1"/>
  <c r="P969" i="17" s="1"/>
  <c r="Q969" i="17" s="1"/>
  <c r="J971" i="17"/>
  <c r="N977" i="17"/>
  <c r="K977" i="17"/>
  <c r="J977" i="17"/>
  <c r="M982" i="17"/>
  <c r="L982" i="17"/>
  <c r="O982" i="17" s="1"/>
  <c r="P982" i="17" s="1"/>
  <c r="J982" i="17"/>
  <c r="N987" i="17"/>
  <c r="K987" i="17"/>
  <c r="L987" i="17"/>
  <c r="O987" i="17" s="1"/>
  <c r="J987" i="17"/>
  <c r="M987" i="17"/>
  <c r="N1026" i="17"/>
  <c r="M1026" i="17"/>
  <c r="K1085" i="17"/>
  <c r="L1005" i="17"/>
  <c r="O1005" i="17" s="1"/>
  <c r="P1005" i="17" s="1"/>
  <c r="Q1005" i="17" s="1"/>
  <c r="K1005" i="17"/>
  <c r="J1005" i="17"/>
  <c r="M1008" i="17"/>
  <c r="J1008" i="17"/>
  <c r="K1022" i="17"/>
  <c r="M1022" i="17"/>
  <c r="L1022" i="17"/>
  <c r="O1022" i="17" s="1"/>
  <c r="P1022" i="17" s="1"/>
  <c r="Q1022" i="17" s="1"/>
  <c r="J1022" i="17"/>
  <c r="M1052" i="17"/>
  <c r="J1052" i="17"/>
  <c r="M956" i="17"/>
  <c r="L956" i="17"/>
  <c r="O956" i="17" s="1"/>
  <c r="K956" i="17"/>
  <c r="L973" i="17"/>
  <c r="O973" i="17" s="1"/>
  <c r="P973" i="17" s="1"/>
  <c r="Q973" i="17" s="1"/>
  <c r="K973" i="17"/>
  <c r="N973" i="17"/>
  <c r="M973" i="17"/>
  <c r="J1041" i="17"/>
  <c r="L1041" i="17"/>
  <c r="O1041" i="17" s="1"/>
  <c r="J1046" i="17"/>
  <c r="K1105" i="17"/>
  <c r="N1105" i="17"/>
  <c r="M1105" i="17"/>
  <c r="L1105" i="17"/>
  <c r="O1105" i="17" s="1"/>
  <c r="P1105" i="17" s="1"/>
  <c r="L1012" i="17"/>
  <c r="O1012" i="17" s="1"/>
  <c r="J1012" i="17"/>
  <c r="N981" i="17"/>
  <c r="L981" i="17"/>
  <c r="O981" i="17" s="1"/>
  <c r="P981" i="17" s="1"/>
  <c r="L989" i="17"/>
  <c r="O989" i="17" s="1"/>
  <c r="P989" i="17" s="1"/>
  <c r="K989" i="17"/>
  <c r="N989" i="17"/>
  <c r="J989" i="17"/>
  <c r="M1004" i="17"/>
  <c r="N1004" i="17"/>
  <c r="L1004" i="17"/>
  <c r="O1004" i="17" s="1"/>
  <c r="N1019" i="17"/>
  <c r="L1019" i="17"/>
  <c r="O1019" i="17" s="1"/>
  <c r="P1019" i="17" s="1"/>
  <c r="Q1019" i="17" s="1"/>
  <c r="N1025" i="17"/>
  <c r="L1025" i="17"/>
  <c r="O1025" i="17" s="1"/>
  <c r="P1025" i="17" s="1"/>
  <c r="K1025" i="17"/>
  <c r="L1037" i="17"/>
  <c r="O1037" i="17" s="1"/>
  <c r="J1037" i="17"/>
  <c r="N1037" i="17"/>
  <c r="M1037" i="17"/>
  <c r="M1075" i="17"/>
  <c r="L1075" i="17"/>
  <c r="O1075" i="17" s="1"/>
  <c r="K1075" i="17"/>
  <c r="J1075" i="17"/>
  <c r="M1084" i="17"/>
  <c r="N1084" i="17"/>
  <c r="L1084" i="17"/>
  <c r="O1084" i="17" s="1"/>
  <c r="P1084" i="17" s="1"/>
  <c r="Q1084" i="17" s="1"/>
  <c r="K1084" i="17"/>
  <c r="J1084" i="17"/>
  <c r="Q1192" i="17"/>
  <c r="L992" i="17"/>
  <c r="O992" i="17" s="1"/>
  <c r="P992" i="17" s="1"/>
  <c r="N992" i="17"/>
  <c r="M992" i="17"/>
  <c r="N1051" i="17"/>
  <c r="M1051" i="17"/>
  <c r="N1072" i="17"/>
  <c r="J1072" i="17"/>
  <c r="K938" i="17"/>
  <c r="N955" i="17"/>
  <c r="K955" i="17"/>
  <c r="J955" i="17"/>
  <c r="J1088" i="17"/>
  <c r="M1088" i="17"/>
  <c r="K1088" i="17"/>
  <c r="N1088" i="17"/>
  <c r="J1101" i="17"/>
  <c r="N965" i="17"/>
  <c r="M965" i="17"/>
  <c r="J965" i="17"/>
  <c r="N971" i="17"/>
  <c r="K971" i="17"/>
  <c r="K982" i="17"/>
  <c r="M1005" i="17"/>
  <c r="K1054" i="17"/>
  <c r="N1054" i="17"/>
  <c r="M1054" i="17"/>
  <c r="L1090" i="17"/>
  <c r="O1090" i="17" s="1"/>
  <c r="J1090" i="17"/>
  <c r="N1090" i="17"/>
  <c r="M1090" i="17"/>
  <c r="K1090" i="17"/>
  <c r="N1138" i="17"/>
  <c r="M1138" i="17"/>
  <c r="L1138" i="17"/>
  <c r="O1138" i="17" s="1"/>
  <c r="K1138" i="17"/>
  <c r="J1138" i="17"/>
  <c r="K985" i="17"/>
  <c r="M985" i="17"/>
  <c r="N985" i="17"/>
  <c r="N1003" i="17"/>
  <c r="L1003" i="17"/>
  <c r="O1003" i="17" s="1"/>
  <c r="P1003" i="17" s="1"/>
  <c r="K1003" i="17"/>
  <c r="N1005" i="17"/>
  <c r="K1008" i="17"/>
  <c r="J1014" i="17"/>
  <c r="K1014" i="17"/>
  <c r="L1094" i="17"/>
  <c r="O1094" i="17" s="1"/>
  <c r="J1094" i="17"/>
  <c r="M1094" i="17"/>
  <c r="K1094" i="17"/>
  <c r="K1097" i="17"/>
  <c r="N1097" i="17"/>
  <c r="M1097" i="17"/>
  <c r="L1097" i="17"/>
  <c r="O1097" i="17" s="1"/>
  <c r="P1097" i="17" s="1"/>
  <c r="J969" i="17"/>
  <c r="M977" i="17"/>
  <c r="L979" i="17"/>
  <c r="O979" i="17" s="1"/>
  <c r="J979" i="17"/>
  <c r="M988" i="17"/>
  <c r="K988" i="17"/>
  <c r="N988" i="17"/>
  <c r="L988" i="17"/>
  <c r="O988" i="17" s="1"/>
  <c r="P988" i="17" s="1"/>
  <c r="J991" i="17"/>
  <c r="L991" i="17"/>
  <c r="O991" i="17" s="1"/>
  <c r="P991" i="17" s="1"/>
  <c r="Q991" i="17" s="1"/>
  <c r="L1008" i="17"/>
  <c r="O1008" i="17" s="1"/>
  <c r="L1021" i="17"/>
  <c r="O1021" i="17" s="1"/>
  <c r="P1021" i="17" s="1"/>
  <c r="Q1021" i="17" s="1"/>
  <c r="K1021" i="17"/>
  <c r="J1021" i="17"/>
  <c r="M1021" i="17"/>
  <c r="N1022" i="17"/>
  <c r="L1026" i="17"/>
  <c r="O1026" i="17" s="1"/>
  <c r="N1045" i="17"/>
  <c r="L1052" i="17"/>
  <c r="O1052" i="17" s="1"/>
  <c r="P1052" i="17" s="1"/>
  <c r="Q1052" i="17" s="1"/>
  <c r="J1105" i="17"/>
  <c r="K1006" i="17"/>
  <c r="J1006" i="17"/>
  <c r="N1006" i="17"/>
  <c r="M1006" i="17"/>
  <c r="N1008" i="17"/>
  <c r="K1012" i="17"/>
  <c r="N1027" i="17"/>
  <c r="K1027" i="17"/>
  <c r="J1027" i="17"/>
  <c r="Q1048" i="17"/>
  <c r="L1085" i="17"/>
  <c r="O1085" i="17" s="1"/>
  <c r="N1085" i="17"/>
  <c r="J1085" i="17"/>
  <c r="M1012" i="17"/>
  <c r="J1039" i="17"/>
  <c r="K1039" i="17"/>
  <c r="L1039" i="17"/>
  <c r="O1039" i="17" s="1"/>
  <c r="M1046" i="17"/>
  <c r="L1046" i="17"/>
  <c r="O1046" i="17" s="1"/>
  <c r="P1046" i="17" s="1"/>
  <c r="L927" i="17"/>
  <c r="O927" i="17" s="1"/>
  <c r="M929" i="17"/>
  <c r="M930" i="17"/>
  <c r="K958" i="17"/>
  <c r="N958" i="17"/>
  <c r="N970" i="17"/>
  <c r="K970" i="17"/>
  <c r="J981" i="17"/>
  <c r="J992" i="17"/>
  <c r="J999" i="17"/>
  <c r="J1004" i="17"/>
  <c r="N1012" i="17"/>
  <c r="J1019" i="17"/>
  <c r="K1037" i="17"/>
  <c r="N1041" i="17"/>
  <c r="J1051" i="17"/>
  <c r="L1053" i="17"/>
  <c r="O1053" i="17" s="1"/>
  <c r="K1053" i="17"/>
  <c r="J1053" i="17"/>
  <c r="N1063" i="17"/>
  <c r="K1063" i="17"/>
  <c r="J1063" i="17"/>
  <c r="K1072" i="17"/>
  <c r="K974" i="17"/>
  <c r="L974" i="17"/>
  <c r="O974" i="17" s="1"/>
  <c r="K981" i="17"/>
  <c r="M989" i="17"/>
  <c r="K992" i="17"/>
  <c r="K999" i="17"/>
  <c r="K1004" i="17"/>
  <c r="J1017" i="17"/>
  <c r="L1017" i="17"/>
  <c r="O1017" i="17" s="1"/>
  <c r="P1017" i="17" s="1"/>
  <c r="K1017" i="17"/>
  <c r="K1019" i="17"/>
  <c r="J1025" i="17"/>
  <c r="K1049" i="17"/>
  <c r="J1049" i="17"/>
  <c r="K1051" i="17"/>
  <c r="J1054" i="17"/>
  <c r="N1056" i="17"/>
  <c r="M1056" i="17"/>
  <c r="L1072" i="17"/>
  <c r="O1072" i="17" s="1"/>
  <c r="N1143" i="17"/>
  <c r="M1148" i="17"/>
  <c r="N1148" i="17"/>
  <c r="L1148" i="17"/>
  <c r="O1148" i="17" s="1"/>
  <c r="P1148" i="17" s="1"/>
  <c r="Q1148" i="17" s="1"/>
  <c r="K1148" i="17"/>
  <c r="J1148" i="17"/>
  <c r="Q1170" i="17"/>
  <c r="M1193" i="17"/>
  <c r="J1193" i="17"/>
  <c r="L1193" i="17"/>
  <c r="O1193" i="17" s="1"/>
  <c r="K1193" i="17"/>
  <c r="Q1205" i="17"/>
  <c r="L1104" i="17"/>
  <c r="O1104" i="17" s="1"/>
  <c r="P1104" i="17" s="1"/>
  <c r="Q1104" i="17" s="1"/>
  <c r="J1104" i="17"/>
  <c r="N1113" i="17"/>
  <c r="M1113" i="17"/>
  <c r="K1113" i="17"/>
  <c r="J1113" i="17"/>
  <c r="J1130" i="17"/>
  <c r="K1130" i="17"/>
  <c r="L1199" i="17"/>
  <c r="O1199" i="17" s="1"/>
  <c r="P1199" i="17" s="1"/>
  <c r="Q1199" i="17" s="1"/>
  <c r="J1199" i="17"/>
  <c r="M1199" i="17"/>
  <c r="K1199" i="17"/>
  <c r="L976" i="17"/>
  <c r="O976" i="17" s="1"/>
  <c r="P976" i="17" s="1"/>
  <c r="K976" i="17"/>
  <c r="J1007" i="17"/>
  <c r="L1007" i="17"/>
  <c r="O1007" i="17" s="1"/>
  <c r="M1011" i="17"/>
  <c r="M1036" i="17"/>
  <c r="J1036" i="17"/>
  <c r="M1040" i="17"/>
  <c r="L1050" i="17"/>
  <c r="O1050" i="17" s="1"/>
  <c r="P1050" i="17" s="1"/>
  <c r="Q1050" i="17" s="1"/>
  <c r="N1065" i="17"/>
  <c r="M1065" i="17"/>
  <c r="J1065" i="17"/>
  <c r="K1071" i="17"/>
  <c r="M1074" i="17"/>
  <c r="L1074" i="17"/>
  <c r="O1074" i="17" s="1"/>
  <c r="K1074" i="17"/>
  <c r="M1087" i="17"/>
  <c r="L1100" i="17"/>
  <c r="O1100" i="17" s="1"/>
  <c r="L1110" i="17"/>
  <c r="O1110" i="17" s="1"/>
  <c r="P1110" i="17" s="1"/>
  <c r="N1121" i="17"/>
  <c r="M1121" i="17"/>
  <c r="K1121" i="17"/>
  <c r="J1121" i="17"/>
  <c r="L1133" i="17"/>
  <c r="O1133" i="17" s="1"/>
  <c r="J1133" i="17"/>
  <c r="N1133" i="17"/>
  <c r="M1133" i="17"/>
  <c r="J1140" i="17"/>
  <c r="L1141" i="17"/>
  <c r="O1141" i="17" s="1"/>
  <c r="M1142" i="17"/>
  <c r="L1145" i="17"/>
  <c r="O1145" i="17" s="1"/>
  <c r="K1145" i="17"/>
  <c r="J1145" i="17"/>
  <c r="K1150" i="17"/>
  <c r="N1150" i="17"/>
  <c r="M1150" i="17"/>
  <c r="L1165" i="17"/>
  <c r="O1165" i="17" s="1"/>
  <c r="N1165" i="17"/>
  <c r="M1165" i="17"/>
  <c r="K1165" i="17"/>
  <c r="J1165" i="17"/>
  <c r="J1184" i="17"/>
  <c r="N1184" i="17"/>
  <c r="M1184" i="17"/>
  <c r="L983" i="17"/>
  <c r="O983" i="17" s="1"/>
  <c r="P983" i="17" s="1"/>
  <c r="Q983" i="17" s="1"/>
  <c r="M983" i="17"/>
  <c r="N1011" i="17"/>
  <c r="M1068" i="17"/>
  <c r="N1068" i="17"/>
  <c r="L1068" i="17"/>
  <c r="O1068" i="17" s="1"/>
  <c r="L1077" i="17"/>
  <c r="O1077" i="17" s="1"/>
  <c r="P1077" i="17" s="1"/>
  <c r="K1077" i="17"/>
  <c r="N1077" i="17"/>
  <c r="K1079" i="17"/>
  <c r="L1086" i="17"/>
  <c r="O1086" i="17" s="1"/>
  <c r="K1092" i="17"/>
  <c r="L1095" i="17"/>
  <c r="O1095" i="17" s="1"/>
  <c r="P1095" i="17" s="1"/>
  <c r="J1095" i="17"/>
  <c r="J1103" i="17"/>
  <c r="L1103" i="17"/>
  <c r="O1103" i="17" s="1"/>
  <c r="P1103" i="17" s="1"/>
  <c r="M1110" i="17"/>
  <c r="L1140" i="17"/>
  <c r="O1140" i="17" s="1"/>
  <c r="M1141" i="17"/>
  <c r="N1142" i="17"/>
  <c r="N1195" i="17"/>
  <c r="K1195" i="17"/>
  <c r="J1195" i="17"/>
  <c r="M1195" i="17"/>
  <c r="L1195" i="17"/>
  <c r="O1195" i="17" s="1"/>
  <c r="P1195" i="17" s="1"/>
  <c r="Q1195" i="17" s="1"/>
  <c r="J1167" i="17"/>
  <c r="N1167" i="17"/>
  <c r="M1167" i="17"/>
  <c r="K1102" i="17"/>
  <c r="L1102" i="17"/>
  <c r="O1102" i="17" s="1"/>
  <c r="P1102" i="17" s="1"/>
  <c r="N1140" i="17"/>
  <c r="J1236" i="17"/>
  <c r="N1236" i="17"/>
  <c r="K1236" i="17"/>
  <c r="N1111" i="17"/>
  <c r="L1111" i="17"/>
  <c r="O1111" i="17" s="1"/>
  <c r="P1111" i="17" s="1"/>
  <c r="Q1111" i="17" s="1"/>
  <c r="J1111" i="17"/>
  <c r="N1120" i="17"/>
  <c r="L1120" i="17"/>
  <c r="O1120" i="17" s="1"/>
  <c r="J1120" i="17"/>
  <c r="N1147" i="17"/>
  <c r="M1147" i="17"/>
  <c r="L1147" i="17"/>
  <c r="O1147" i="17" s="1"/>
  <c r="K1147" i="17"/>
  <c r="J1147" i="17"/>
  <c r="L1181" i="17"/>
  <c r="O1181" i="17" s="1"/>
  <c r="N1181" i="17"/>
  <c r="M1181" i="17"/>
  <c r="K1181" i="17"/>
  <c r="J1181" i="17"/>
  <c r="J1191" i="17"/>
  <c r="L1191" i="17"/>
  <c r="O1191" i="17" s="1"/>
  <c r="P1191" i="17" s="1"/>
  <c r="K1191" i="17"/>
  <c r="L1130" i="17"/>
  <c r="O1130" i="17" s="1"/>
  <c r="M1132" i="17"/>
  <c r="J1132" i="17"/>
  <c r="N1132" i="17"/>
  <c r="L1132" i="17"/>
  <c r="O1132" i="17" s="1"/>
  <c r="K1132" i="17"/>
  <c r="K1137" i="17"/>
  <c r="K1161" i="17"/>
  <c r="Q1203" i="17"/>
  <c r="M1020" i="17"/>
  <c r="N1020" i="17"/>
  <c r="J1020" i="17"/>
  <c r="K1040" i="17"/>
  <c r="L1040" i="17"/>
  <c r="O1040" i="17" s="1"/>
  <c r="N1067" i="17"/>
  <c r="M1067" i="17"/>
  <c r="L1067" i="17"/>
  <c r="O1067" i="17" s="1"/>
  <c r="K1067" i="17"/>
  <c r="J1067" i="17"/>
  <c r="J1071" i="17"/>
  <c r="N1071" i="17"/>
  <c r="M1076" i="17"/>
  <c r="L1076" i="17"/>
  <c r="O1076" i="17" s="1"/>
  <c r="P1076" i="17" s="1"/>
  <c r="Q1076" i="17" s="1"/>
  <c r="N1076" i="17"/>
  <c r="K1076" i="17"/>
  <c r="J1087" i="17"/>
  <c r="L1087" i="17"/>
  <c r="O1087" i="17" s="1"/>
  <c r="L1093" i="17"/>
  <c r="O1093" i="17" s="1"/>
  <c r="J1093" i="17"/>
  <c r="M1100" i="17"/>
  <c r="K1100" i="17"/>
  <c r="K1104" i="17"/>
  <c r="L1113" i="17"/>
  <c r="O1113" i="17" s="1"/>
  <c r="P1113" i="17" s="1"/>
  <c r="M1130" i="17"/>
  <c r="L1137" i="17"/>
  <c r="O1137" i="17" s="1"/>
  <c r="L1149" i="17"/>
  <c r="O1149" i="17" s="1"/>
  <c r="P1149" i="17" s="1"/>
  <c r="N1149" i="17"/>
  <c r="M1149" i="17"/>
  <c r="K1149" i="17"/>
  <c r="L1161" i="17"/>
  <c r="O1161" i="17" s="1"/>
  <c r="P1161" i="17" s="1"/>
  <c r="Q1161" i="17" s="1"/>
  <c r="N1199" i="17"/>
  <c r="J964" i="17"/>
  <c r="M972" i="17"/>
  <c r="K972" i="17"/>
  <c r="J976" i="17"/>
  <c r="K1007" i="17"/>
  <c r="N1018" i="17"/>
  <c r="J1028" i="17"/>
  <c r="K1036" i="17"/>
  <c r="L1044" i="17"/>
  <c r="O1044" i="17" s="1"/>
  <c r="P1044" i="17" s="1"/>
  <c r="L1055" i="17"/>
  <c r="O1055" i="17" s="1"/>
  <c r="K1065" i="17"/>
  <c r="J1074" i="17"/>
  <c r="J1083" i="17"/>
  <c r="K1095" i="17"/>
  <c r="M1104" i="17"/>
  <c r="J1119" i="17"/>
  <c r="N1119" i="17"/>
  <c r="L1121" i="17"/>
  <c r="O1121" i="17" s="1"/>
  <c r="N1130" i="17"/>
  <c r="K1133" i="17"/>
  <c r="M1137" i="17"/>
  <c r="N1145" i="17"/>
  <c r="J1150" i="17"/>
  <c r="N1161" i="17"/>
  <c r="L1194" i="17"/>
  <c r="O1194" i="17" s="1"/>
  <c r="P1194" i="17" s="1"/>
  <c r="M1194" i="17"/>
  <c r="K1194" i="17"/>
  <c r="N1194" i="17"/>
  <c r="Q1232" i="17"/>
  <c r="N1099" i="17"/>
  <c r="K1099" i="17"/>
  <c r="N1104" i="17"/>
  <c r="N1114" i="17"/>
  <c r="M1114" i="17"/>
  <c r="L1114" i="17"/>
  <c r="O1114" i="17" s="1"/>
  <c r="P1114" i="17" s="1"/>
  <c r="K1114" i="17"/>
  <c r="N1137" i="17"/>
  <c r="K1166" i="17"/>
  <c r="N1166" i="17"/>
  <c r="M1166" i="17"/>
  <c r="L1166" i="17"/>
  <c r="O1166" i="17" s="1"/>
  <c r="M1198" i="17"/>
  <c r="K1198" i="17"/>
  <c r="J1198" i="17"/>
  <c r="N1198" i="17"/>
  <c r="L1198" i="17"/>
  <c r="O1198" i="17" s="1"/>
  <c r="P1198" i="17" s="1"/>
  <c r="Q1198" i="17" s="1"/>
  <c r="K1086" i="17"/>
  <c r="J1086" i="17"/>
  <c r="L1092" i="17"/>
  <c r="O1092" i="17" s="1"/>
  <c r="J1092" i="17"/>
  <c r="K1167" i="17"/>
  <c r="M978" i="17"/>
  <c r="J978" i="17"/>
  <c r="K986" i="17"/>
  <c r="N986" i="17"/>
  <c r="J986" i="17"/>
  <c r="M1009" i="17"/>
  <c r="J1009" i="17"/>
  <c r="J1023" i="17"/>
  <c r="N1023" i="17"/>
  <c r="M1023" i="17"/>
  <c r="M1028" i="17"/>
  <c r="M1043" i="17"/>
  <c r="K1068" i="17"/>
  <c r="M1077" i="17"/>
  <c r="M1083" i="17"/>
  <c r="J1102" i="17"/>
  <c r="N1103" i="17"/>
  <c r="K1118" i="17"/>
  <c r="N1118" i="17"/>
  <c r="M1122" i="17"/>
  <c r="L1122" i="17"/>
  <c r="O1122" i="17" s="1"/>
  <c r="N1122" i="17"/>
  <c r="K1122" i="17"/>
  <c r="J1122" i="17"/>
  <c r="N1131" i="17"/>
  <c r="J1131" i="17"/>
  <c r="M1131" i="17"/>
  <c r="K1131" i="17"/>
  <c r="J1143" i="17"/>
  <c r="M1146" i="17"/>
  <c r="L1146" i="17"/>
  <c r="O1146" i="17" s="1"/>
  <c r="K1146" i="17"/>
  <c r="J1146" i="17"/>
  <c r="L1167" i="17"/>
  <c r="O1167" i="17" s="1"/>
  <c r="M1180" i="17"/>
  <c r="J1180" i="17"/>
  <c r="L1180" i="17"/>
  <c r="O1180" i="17" s="1"/>
  <c r="P1180" i="17" s="1"/>
  <c r="K1180" i="17"/>
  <c r="M1236" i="17"/>
  <c r="K1038" i="17"/>
  <c r="J1038" i="17"/>
  <c r="N1043" i="17"/>
  <c r="N1066" i="17"/>
  <c r="M1066" i="17"/>
  <c r="L1066" i="17"/>
  <c r="O1066" i="17" s="1"/>
  <c r="J1066" i="17"/>
  <c r="L1069" i="17"/>
  <c r="O1069" i="17" s="1"/>
  <c r="N1069" i="17"/>
  <c r="M1102" i="17"/>
  <c r="K1111" i="17"/>
  <c r="K1120" i="17"/>
  <c r="L1143" i="17"/>
  <c r="O1143" i="17" s="1"/>
  <c r="P1143" i="17" s="1"/>
  <c r="Q1143" i="17" s="1"/>
  <c r="M1191" i="17"/>
  <c r="M1196" i="17"/>
  <c r="J1196" i="17"/>
  <c r="L1196" i="17"/>
  <c r="O1196" i="17" s="1"/>
  <c r="P1196" i="17" s="1"/>
  <c r="Q1196" i="17" s="1"/>
  <c r="K1196" i="17"/>
  <c r="M1212" i="17"/>
  <c r="J1212" i="17"/>
  <c r="K1212" i="17"/>
  <c r="K1234" i="17"/>
  <c r="J1234" i="17"/>
  <c r="L1261" i="17"/>
  <c r="O1261" i="17" s="1"/>
  <c r="J1261" i="17"/>
  <c r="N1261" i="17"/>
  <c r="M1261" i="17"/>
  <c r="K1261" i="17"/>
  <c r="N1245" i="17"/>
  <c r="M1245" i="17"/>
  <c r="L1245" i="17"/>
  <c r="O1245" i="17" s="1"/>
  <c r="P1245" i="17" s="1"/>
  <c r="J1245" i="17"/>
  <c r="K1248" i="17"/>
  <c r="J1248" i="17"/>
  <c r="N1248" i="17"/>
  <c r="Q1243" i="17"/>
  <c r="N1292" i="17"/>
  <c r="M1292" i="17"/>
  <c r="L1292" i="17"/>
  <c r="O1292" i="17" s="1"/>
  <c r="K1292" i="17"/>
  <c r="J1292" i="17"/>
  <c r="N1211" i="17"/>
  <c r="K1211" i="17"/>
  <c r="L1215" i="17"/>
  <c r="O1215" i="17" s="1"/>
  <c r="P1215" i="17" s="1"/>
  <c r="Q1215" i="17" s="1"/>
  <c r="J1215" i="17"/>
  <c r="N1229" i="17"/>
  <c r="M1229" i="17"/>
  <c r="L1229" i="17"/>
  <c r="O1229" i="17" s="1"/>
  <c r="P1229" i="17" s="1"/>
  <c r="M1269" i="17"/>
  <c r="N1269" i="17"/>
  <c r="L1269" i="17"/>
  <c r="O1269" i="17" s="1"/>
  <c r="P1269" i="17" s="1"/>
  <c r="K1269" i="17"/>
  <c r="J1233" i="17"/>
  <c r="K1233" i="17"/>
  <c r="K1239" i="17"/>
  <c r="J1239" i="17"/>
  <c r="N1239" i="17"/>
  <c r="N1179" i="17"/>
  <c r="K1179" i="17"/>
  <c r="J1182" i="17"/>
  <c r="L1183" i="17"/>
  <c r="O1183" i="17" s="1"/>
  <c r="M1214" i="17"/>
  <c r="K1214" i="17"/>
  <c r="N1214" i="17"/>
  <c r="L1235" i="17"/>
  <c r="O1235" i="17" s="1"/>
  <c r="P1235" i="17" s="1"/>
  <c r="L1247" i="17"/>
  <c r="O1247" i="17" s="1"/>
  <c r="P1247" i="17" s="1"/>
  <c r="K1247" i="17"/>
  <c r="J1247" i="17"/>
  <c r="N1247" i="17"/>
  <c r="M1247" i="17"/>
  <c r="N1035" i="17"/>
  <c r="J1035" i="17"/>
  <c r="L1117" i="17"/>
  <c r="O1117" i="17" s="1"/>
  <c r="N1117" i="17"/>
  <c r="K1136" i="17"/>
  <c r="J1136" i="17"/>
  <c r="L1182" i="17"/>
  <c r="O1182" i="17" s="1"/>
  <c r="M1183" i="17"/>
  <c r="N1196" i="17"/>
  <c r="L1212" i="17"/>
  <c r="O1212" i="17" s="1"/>
  <c r="P1212" i="17" s="1"/>
  <c r="Q1212" i="17" s="1"/>
  <c r="K1232" i="17"/>
  <c r="J1232" i="17"/>
  <c r="L1234" i="17"/>
  <c r="O1234" i="17" s="1"/>
  <c r="P1234" i="17" s="1"/>
  <c r="Q1234" i="17" s="1"/>
  <c r="M1235" i="17"/>
  <c r="N1243" i="17"/>
  <c r="K1243" i="17"/>
  <c r="K1245" i="17"/>
  <c r="L1248" i="17"/>
  <c r="O1248" i="17" s="1"/>
  <c r="P1248" i="17" s="1"/>
  <c r="Q1248" i="17" s="1"/>
  <c r="K1070" i="17"/>
  <c r="N1070" i="17"/>
  <c r="K1126" i="17"/>
  <c r="J1126" i="17"/>
  <c r="M1182" i="17"/>
  <c r="N1183" i="17"/>
  <c r="N1212" i="17"/>
  <c r="N1228" i="17"/>
  <c r="M1228" i="17"/>
  <c r="J1228" i="17"/>
  <c r="L1228" i="17"/>
  <c r="O1228" i="17" s="1"/>
  <c r="K1228" i="17"/>
  <c r="M1234" i="17"/>
  <c r="N1235" i="17"/>
  <c r="K1238" i="17"/>
  <c r="J1238" i="17"/>
  <c r="N1238" i="17"/>
  <c r="M1248" i="17"/>
  <c r="J1269" i="17"/>
  <c r="M1116" i="17"/>
  <c r="P1116" i="17" s="1"/>
  <c r="N1116" i="17"/>
  <c r="L1125" i="17"/>
  <c r="O1125" i="17" s="1"/>
  <c r="P1125" i="17" s="1"/>
  <c r="K1125" i="17"/>
  <c r="J1135" i="17"/>
  <c r="K1135" i="17"/>
  <c r="N1182" i="17"/>
  <c r="L1233" i="17"/>
  <c r="O1233" i="17" s="1"/>
  <c r="P1233" i="17" s="1"/>
  <c r="Q1233" i="17" s="1"/>
  <c r="N1234" i="17"/>
  <c r="N1197" i="17"/>
  <c r="L1197" i="17"/>
  <c r="O1197" i="17" s="1"/>
  <c r="P1197" i="17" s="1"/>
  <c r="Q1197" i="17" s="1"/>
  <c r="M1197" i="17"/>
  <c r="J1211" i="17"/>
  <c r="J1229" i="17"/>
  <c r="N1284" i="17"/>
  <c r="J1284" i="17"/>
  <c r="M1284" i="17"/>
  <c r="L1284" i="17"/>
  <c r="O1284" i="17" s="1"/>
  <c r="K1284" i="17"/>
  <c r="K990" i="17"/>
  <c r="L990" i="17"/>
  <c r="O990" i="17" s="1"/>
  <c r="P990" i="17" s="1"/>
  <c r="Q990" i="17" s="1"/>
  <c r="K1078" i="17"/>
  <c r="J1078" i="17"/>
  <c r="N1115" i="17"/>
  <c r="M1115" i="17"/>
  <c r="M1124" i="17"/>
  <c r="L1124" i="17"/>
  <c r="O1124" i="17" s="1"/>
  <c r="K1134" i="17"/>
  <c r="J1134" i="17"/>
  <c r="L1211" i="17"/>
  <c r="O1211" i="17" s="1"/>
  <c r="P1211" i="17" s="1"/>
  <c r="N1213" i="17"/>
  <c r="L1213" i="17"/>
  <c r="O1213" i="17" s="1"/>
  <c r="P1213" i="17" s="1"/>
  <c r="M1213" i="17"/>
  <c r="K1213" i="17"/>
  <c r="K1215" i="17"/>
  <c r="K1229" i="17"/>
  <c r="N1233" i="17"/>
  <c r="L1239" i="17"/>
  <c r="O1239" i="17" s="1"/>
  <c r="P1239" i="17" s="1"/>
  <c r="M1246" i="17"/>
  <c r="L1246" i="17"/>
  <c r="O1246" i="17" s="1"/>
  <c r="P1246" i="17" s="1"/>
  <c r="Q1246" i="17" s="1"/>
  <c r="K1246" i="17"/>
  <c r="N1215" i="17"/>
  <c r="N1227" i="17"/>
  <c r="K1227" i="17"/>
  <c r="J1288" i="17"/>
  <c r="K1288" i="17"/>
  <c r="N1288" i="17"/>
  <c r="M1288" i="17"/>
  <c r="L1288" i="17"/>
  <c r="O1288" i="17" s="1"/>
  <c r="P1288" i="17" s="1"/>
  <c r="M1283" i="17"/>
  <c r="J1352" i="17"/>
  <c r="L1352" i="17"/>
  <c r="O1352" i="17" s="1"/>
  <c r="N1352" i="17"/>
  <c r="M1352" i="17"/>
  <c r="K1352" i="17"/>
  <c r="L1302" i="17"/>
  <c r="O1302" i="17" s="1"/>
  <c r="P1302" i="17" s="1"/>
  <c r="M1302" i="17"/>
  <c r="N1302" i="17"/>
  <c r="K1302" i="17"/>
  <c r="J1302" i="17"/>
  <c r="K1274" i="17"/>
  <c r="J1274" i="17"/>
  <c r="K1311" i="17"/>
  <c r="N1311" i="17"/>
  <c r="M1311" i="17"/>
  <c r="L1311" i="17"/>
  <c r="O1311" i="17" s="1"/>
  <c r="P1311" i="17" s="1"/>
  <c r="Q1311" i="17" s="1"/>
  <c r="J1311" i="17"/>
  <c r="M1339" i="17"/>
  <c r="L1339" i="17"/>
  <c r="O1339" i="17" s="1"/>
  <c r="P1339" i="17" s="1"/>
  <c r="J1339" i="17"/>
  <c r="N1339" i="17"/>
  <c r="K1339" i="17"/>
  <c r="N1348" i="17"/>
  <c r="K1348" i="17"/>
  <c r="M1348" i="17"/>
  <c r="L1348" i="17"/>
  <c r="O1348" i="17" s="1"/>
  <c r="P1348" i="17" s="1"/>
  <c r="J1348" i="17"/>
  <c r="L1289" i="17"/>
  <c r="O1289" i="17" s="1"/>
  <c r="N1296" i="17"/>
  <c r="M1307" i="17"/>
  <c r="K1307" i="17"/>
  <c r="K1319" i="17"/>
  <c r="L1319" i="17"/>
  <c r="O1319" i="17" s="1"/>
  <c r="P1319" i="17" s="1"/>
  <c r="Q1319" i="17" s="1"/>
  <c r="M1319" i="17"/>
  <c r="J1319" i="17"/>
  <c r="N1298" i="17"/>
  <c r="L1298" i="17"/>
  <c r="O1298" i="17" s="1"/>
  <c r="K1280" i="17"/>
  <c r="J1280" i="17"/>
  <c r="K1263" i="17"/>
  <c r="L1263" i="17"/>
  <c r="O1263" i="17" s="1"/>
  <c r="L1285" i="17"/>
  <c r="O1285" i="17" s="1"/>
  <c r="K1287" i="17"/>
  <c r="J1287" i="17"/>
  <c r="J1314" i="17"/>
  <c r="L1321" i="17"/>
  <c r="O1321" i="17" s="1"/>
  <c r="P1321" i="17" s="1"/>
  <c r="J1321" i="17"/>
  <c r="N1321" i="17"/>
  <c r="M1321" i="17"/>
  <c r="K1321" i="17"/>
  <c r="N1332" i="17"/>
  <c r="K1332" i="17"/>
  <c r="J1332" i="17"/>
  <c r="M1301" i="17"/>
  <c r="L1301" i="17"/>
  <c r="O1301" i="17" s="1"/>
  <c r="P1301" i="17" s="1"/>
  <c r="Q1301" i="17" s="1"/>
  <c r="N1301" i="17"/>
  <c r="K1301" i="17"/>
  <c r="J1301" i="17"/>
  <c r="N1306" i="17"/>
  <c r="L1306" i="17"/>
  <c r="O1306" i="17" s="1"/>
  <c r="P1306" i="17" s="1"/>
  <c r="Q1306" i="17" s="1"/>
  <c r="L1310" i="17"/>
  <c r="O1310" i="17" s="1"/>
  <c r="P1310" i="17" s="1"/>
  <c r="Q1310" i="17" s="1"/>
  <c r="J1310" i="17"/>
  <c r="N1310" i="17"/>
  <c r="M1310" i="17"/>
  <c r="K1310" i="17"/>
  <c r="L1318" i="17"/>
  <c r="O1318" i="17" s="1"/>
  <c r="P1318" i="17" s="1"/>
  <c r="Q1318" i="17" s="1"/>
  <c r="K1318" i="17"/>
  <c r="L1334" i="17"/>
  <c r="O1334" i="17" s="1"/>
  <c r="P1334" i="17" s="1"/>
  <c r="Q1334" i="17" s="1"/>
  <c r="J1334" i="17"/>
  <c r="N1334" i="17"/>
  <c r="M1334" i="17"/>
  <c r="K1334" i="17"/>
  <c r="Q1403" i="17"/>
  <c r="M1164" i="17"/>
  <c r="J1164" i="17"/>
  <c r="L1274" i="17"/>
  <c r="O1274" i="17" s="1"/>
  <c r="M1275" i="17"/>
  <c r="J1312" i="17"/>
  <c r="N1312" i="17"/>
  <c r="M1312" i="17"/>
  <c r="L1312" i="17"/>
  <c r="O1312" i="17" s="1"/>
  <c r="P1312" i="17" s="1"/>
  <c r="K1312" i="17"/>
  <c r="N1319" i="17"/>
  <c r="N1163" i="17"/>
  <c r="P1163" i="17" s="1"/>
  <c r="K1163" i="17"/>
  <c r="L1231" i="17"/>
  <c r="O1231" i="17" s="1"/>
  <c r="P1231" i="17" s="1"/>
  <c r="K1231" i="17"/>
  <c r="J1231" i="17"/>
  <c r="N1244" i="17"/>
  <c r="M1244" i="17"/>
  <c r="J1244" i="17"/>
  <c r="M1274" i="17"/>
  <c r="N1275" i="17"/>
  <c r="K1279" i="17"/>
  <c r="J1279" i="17"/>
  <c r="L1286" i="17"/>
  <c r="O1286" i="17" s="1"/>
  <c r="P1286" i="17" s="1"/>
  <c r="J1286" i="17"/>
  <c r="J1307" i="17"/>
  <c r="L1342" i="17"/>
  <c r="O1342" i="17" s="1"/>
  <c r="P1342" i="17" s="1"/>
  <c r="Q1342" i="17" s="1"/>
  <c r="M1342" i="17"/>
  <c r="J1342" i="17"/>
  <c r="Q1345" i="17"/>
  <c r="L1262" i="17"/>
  <c r="O1262" i="17" s="1"/>
  <c r="K1262" i="17"/>
  <c r="K1272" i="17"/>
  <c r="N1274" i="17"/>
  <c r="L1280" i="17"/>
  <c r="O1280" i="17" s="1"/>
  <c r="P1280" i="17" s="1"/>
  <c r="Q1280" i="17" s="1"/>
  <c r="J1298" i="17"/>
  <c r="L1307" i="17"/>
  <c r="O1307" i="17" s="1"/>
  <c r="P1307" i="17" s="1"/>
  <c r="M1230" i="17"/>
  <c r="L1230" i="17"/>
  <c r="O1230" i="17" s="1"/>
  <c r="P1230" i="17" s="1"/>
  <c r="K1230" i="17"/>
  <c r="L1272" i="17"/>
  <c r="O1272" i="17" s="1"/>
  <c r="M1280" i="17"/>
  <c r="K1298" i="17"/>
  <c r="N1307" i="17"/>
  <c r="L1332" i="17"/>
  <c r="O1332" i="17" s="1"/>
  <c r="P1332" i="17" s="1"/>
  <c r="Q1332" i="17" s="1"/>
  <c r="N1280" i="17"/>
  <c r="K1289" i="17"/>
  <c r="J1289" i="17"/>
  <c r="J1320" i="17"/>
  <c r="L1320" i="17"/>
  <c r="O1320" i="17" s="1"/>
  <c r="P1320" i="17" s="1"/>
  <c r="Q1320" i="17" s="1"/>
  <c r="N1320" i="17"/>
  <c r="M1320" i="17"/>
  <c r="K1320" i="17"/>
  <c r="K1322" i="17"/>
  <c r="N1322" i="17"/>
  <c r="M1322" i="17"/>
  <c r="L1322" i="17"/>
  <c r="O1322" i="17" s="1"/>
  <c r="P1322" i="17" s="1"/>
  <c r="Q1322" i="17" s="1"/>
  <c r="M1285" i="17"/>
  <c r="J1285" i="17"/>
  <c r="K1314" i="17"/>
  <c r="N1314" i="17"/>
  <c r="M1314" i="17"/>
  <c r="P1314" i="17" s="1"/>
  <c r="Q1314" i="17" s="1"/>
  <c r="J1368" i="17"/>
  <c r="K1368" i="17"/>
  <c r="N1380" i="17"/>
  <c r="L1380" i="17"/>
  <c r="O1380" i="17" s="1"/>
  <c r="M1380" i="17"/>
  <c r="K1395" i="17"/>
  <c r="L1395" i="17"/>
  <c r="O1395" i="17" s="1"/>
  <c r="P1395" i="17" s="1"/>
  <c r="Q1395" i="17" s="1"/>
  <c r="J1395" i="17"/>
  <c r="N1410" i="17"/>
  <c r="M1410" i="17"/>
  <c r="L1410" i="17"/>
  <c r="O1410" i="17" s="1"/>
  <c r="P1410" i="17" s="1"/>
  <c r="Q1410" i="17" s="1"/>
  <c r="K1410" i="17"/>
  <c r="M1343" i="17"/>
  <c r="K1343" i="17"/>
  <c r="N1343" i="17"/>
  <c r="M1349" i="17"/>
  <c r="K1349" i="17"/>
  <c r="J1349" i="17"/>
  <c r="N1436" i="17"/>
  <c r="M1436" i="17"/>
  <c r="L1436" i="17"/>
  <c r="O1436" i="17" s="1"/>
  <c r="K1436" i="17"/>
  <c r="J1436" i="17"/>
  <c r="L1336" i="17"/>
  <c r="O1336" i="17" s="1"/>
  <c r="P1336" i="17" s="1"/>
  <c r="Q1336" i="17" s="1"/>
  <c r="N1338" i="17"/>
  <c r="L1338" i="17"/>
  <c r="O1338" i="17" s="1"/>
  <c r="P1338" i="17" s="1"/>
  <c r="J1338" i="17"/>
  <c r="K1356" i="17"/>
  <c r="L1365" i="17"/>
  <c r="O1365" i="17" s="1"/>
  <c r="L1371" i="17"/>
  <c r="O1371" i="17" s="1"/>
  <c r="Q1485" i="17"/>
  <c r="K1259" i="17"/>
  <c r="J1260" i="17"/>
  <c r="K1266" i="17"/>
  <c r="L1267" i="17"/>
  <c r="O1267" i="17" s="1"/>
  <c r="P1267" i="17" s="1"/>
  <c r="Q1267" i="17" s="1"/>
  <c r="N1300" i="17"/>
  <c r="L1300" i="17"/>
  <c r="O1300" i="17" s="1"/>
  <c r="P1300" i="17" s="1"/>
  <c r="L1305" i="17"/>
  <c r="O1305" i="17" s="1"/>
  <c r="P1305" i="17" s="1"/>
  <c r="M1309" i="17"/>
  <c r="K1309" i="17"/>
  <c r="K1324" i="17"/>
  <c r="L1325" i="17"/>
  <c r="O1325" i="17" s="1"/>
  <c r="L1327" i="17"/>
  <c r="O1327" i="17" s="1"/>
  <c r="P1327" i="17" s="1"/>
  <c r="L1328" i="17"/>
  <c r="O1328" i="17" s="1"/>
  <c r="M1330" i="17"/>
  <c r="L1356" i="17"/>
  <c r="O1356" i="17" s="1"/>
  <c r="P1356" i="17" s="1"/>
  <c r="J1364" i="17"/>
  <c r="N1365" i="17"/>
  <c r="K1367" i="17"/>
  <c r="J1367" i="17"/>
  <c r="M1371" i="17"/>
  <c r="M1375" i="17"/>
  <c r="K1375" i="17"/>
  <c r="J1375" i="17"/>
  <c r="M1388" i="17"/>
  <c r="K1388" i="17"/>
  <c r="N1388" i="17"/>
  <c r="J1388" i="17"/>
  <c r="L1382" i="17"/>
  <c r="O1382" i="17" s="1"/>
  <c r="P1382" i="17" s="1"/>
  <c r="Q1382" i="17" s="1"/>
  <c r="M1382" i="17"/>
  <c r="N1382" i="17"/>
  <c r="K1382" i="17"/>
  <c r="M1397" i="17"/>
  <c r="K1397" i="17"/>
  <c r="N1397" i="17"/>
  <c r="L1397" i="17"/>
  <c r="O1397" i="17" s="1"/>
  <c r="P1397" i="17" s="1"/>
  <c r="L1264" i="17"/>
  <c r="O1264" i="17" s="1"/>
  <c r="P1264" i="17" s="1"/>
  <c r="N1299" i="17"/>
  <c r="L1299" i="17"/>
  <c r="O1299" i="17" s="1"/>
  <c r="M1308" i="17"/>
  <c r="K1308" i="17"/>
  <c r="L1315" i="17"/>
  <c r="O1315" i="17" s="1"/>
  <c r="P1315" i="17" s="1"/>
  <c r="Q1315" i="17" s="1"/>
  <c r="K1323" i="17"/>
  <c r="M1324" i="17"/>
  <c r="N1325" i="17"/>
  <c r="L1355" i="17"/>
  <c r="O1355" i="17" s="1"/>
  <c r="P1355" i="17" s="1"/>
  <c r="N1356" i="17"/>
  <c r="L1364" i="17"/>
  <c r="O1364" i="17" s="1"/>
  <c r="J1369" i="17"/>
  <c r="L1370" i="17"/>
  <c r="O1370" i="17" s="1"/>
  <c r="N1379" i="17"/>
  <c r="L1379" i="17"/>
  <c r="O1379" i="17" s="1"/>
  <c r="K1379" i="17"/>
  <c r="K1386" i="17"/>
  <c r="N1337" i="17"/>
  <c r="L1337" i="17"/>
  <c r="O1337" i="17" s="1"/>
  <c r="J1337" i="17"/>
  <c r="M1355" i="17"/>
  <c r="J1363" i="17"/>
  <c r="L1369" i="17"/>
  <c r="O1369" i="17" s="1"/>
  <c r="J1410" i="17"/>
  <c r="K1363" i="17"/>
  <c r="J1380" i="17"/>
  <c r="M1317" i="17"/>
  <c r="K1317" i="17"/>
  <c r="N1323" i="17"/>
  <c r="M1341" i="17"/>
  <c r="L1341" i="17"/>
  <c r="O1341" i="17" s="1"/>
  <c r="P1341" i="17" s="1"/>
  <c r="Q1341" i="17" s="1"/>
  <c r="L1349" i="17"/>
  <c r="O1349" i="17" s="1"/>
  <c r="P1349" i="17" s="1"/>
  <c r="L1363" i="17"/>
  <c r="O1363" i="17" s="1"/>
  <c r="P1363" i="17" s="1"/>
  <c r="Q1363" i="17" s="1"/>
  <c r="L1368" i="17"/>
  <c r="O1368" i="17" s="1"/>
  <c r="N1369" i="17"/>
  <c r="K1380" i="17"/>
  <c r="M1387" i="17"/>
  <c r="K1387" i="17"/>
  <c r="J1387" i="17"/>
  <c r="N1395" i="17"/>
  <c r="J1405" i="17"/>
  <c r="N1405" i="17"/>
  <c r="M1405" i="17"/>
  <c r="L1405" i="17"/>
  <c r="O1405" i="17" s="1"/>
  <c r="K1405" i="17"/>
  <c r="N1411" i="17"/>
  <c r="M1411" i="17"/>
  <c r="L1411" i="17"/>
  <c r="O1411" i="17" s="1"/>
  <c r="K1411" i="17"/>
  <c r="M1449" i="17"/>
  <c r="K1449" i="17"/>
  <c r="J1449" i="17"/>
  <c r="N1449" i="17"/>
  <c r="L1449" i="17"/>
  <c r="O1449" i="17" s="1"/>
  <c r="P1449" i="17" s="1"/>
  <c r="Q1449" i="17" s="1"/>
  <c r="J1336" i="17"/>
  <c r="M1336" i="17"/>
  <c r="K1336" i="17"/>
  <c r="N1349" i="17"/>
  <c r="K1351" i="17"/>
  <c r="L1351" i="17"/>
  <c r="O1351" i="17" s="1"/>
  <c r="P1351" i="17" s="1"/>
  <c r="N1351" i="17"/>
  <c r="J1351" i="17"/>
  <c r="M1363" i="17"/>
  <c r="M1368" i="17"/>
  <c r="N1316" i="17"/>
  <c r="K1316" i="17"/>
  <c r="J1343" i="17"/>
  <c r="N1368" i="17"/>
  <c r="J1304" i="17"/>
  <c r="M1304" i="17"/>
  <c r="L1333" i="17"/>
  <c r="O1333" i="17" s="1"/>
  <c r="P1333" i="17" s="1"/>
  <c r="Q1333" i="17" s="1"/>
  <c r="K1338" i="17"/>
  <c r="L1343" i="17"/>
  <c r="O1343" i="17" s="1"/>
  <c r="P1343" i="17" s="1"/>
  <c r="Q1343" i="17" s="1"/>
  <c r="J1382" i="17"/>
  <c r="N1396" i="17"/>
  <c r="K1396" i="17"/>
  <c r="M1396" i="17"/>
  <c r="J1396" i="17"/>
  <c r="J1397" i="17"/>
  <c r="L1401" i="17"/>
  <c r="O1401" i="17" s="1"/>
  <c r="P1401" i="17" s="1"/>
  <c r="J1401" i="17"/>
  <c r="K1432" i="17"/>
  <c r="N1432" i="17"/>
  <c r="M1432" i="17"/>
  <c r="L1432" i="17"/>
  <c r="O1432" i="17" s="1"/>
  <c r="P1432" i="17" s="1"/>
  <c r="Q1432" i="17" s="1"/>
  <c r="J1432" i="17"/>
  <c r="N1333" i="17"/>
  <c r="K1335" i="17"/>
  <c r="L1335" i="17"/>
  <c r="O1335" i="17" s="1"/>
  <c r="P1335" i="17" s="1"/>
  <c r="M1338" i="17"/>
  <c r="M1340" i="17"/>
  <c r="N1340" i="17"/>
  <c r="K1340" i="17"/>
  <c r="J1360" i="17"/>
  <c r="N1378" i="17"/>
  <c r="L1378" i="17"/>
  <c r="O1378" i="17" s="1"/>
  <c r="M1378" i="17"/>
  <c r="J1378" i="17"/>
  <c r="N1386" i="17"/>
  <c r="L1386" i="17"/>
  <c r="O1386" i="17" s="1"/>
  <c r="P1386" i="17" s="1"/>
  <c r="Q1386" i="17" s="1"/>
  <c r="M1389" i="17"/>
  <c r="P1389" i="17" s="1"/>
  <c r="K1389" i="17"/>
  <c r="N1389" i="17"/>
  <c r="J1389" i="17"/>
  <c r="L1392" i="17"/>
  <c r="O1392" i="17" s="1"/>
  <c r="P1392" i="17" s="1"/>
  <c r="Q1392" i="17" s="1"/>
  <c r="J1392" i="17"/>
  <c r="N1392" i="17"/>
  <c r="N1407" i="17"/>
  <c r="M1407" i="17"/>
  <c r="L1407" i="17"/>
  <c r="O1407" i="17" s="1"/>
  <c r="K1407" i="17"/>
  <c r="J1407" i="17"/>
  <c r="K1303" i="17"/>
  <c r="M1303" i="17"/>
  <c r="L1350" i="17"/>
  <c r="O1350" i="17" s="1"/>
  <c r="P1350" i="17" s="1"/>
  <c r="K1350" i="17"/>
  <c r="N1350" i="17"/>
  <c r="J1350" i="17"/>
  <c r="K1360" i="17"/>
  <c r="K1383" i="17"/>
  <c r="M1383" i="17"/>
  <c r="N1383" i="17"/>
  <c r="L1383" i="17"/>
  <c r="O1383" i="17" s="1"/>
  <c r="P1383" i="17" s="1"/>
  <c r="L1398" i="17"/>
  <c r="O1398" i="17" s="1"/>
  <c r="P1398" i="17" s="1"/>
  <c r="K1398" i="17"/>
  <c r="M1398" i="17"/>
  <c r="J1398" i="17"/>
  <c r="N1441" i="17"/>
  <c r="L1441" i="17"/>
  <c r="O1441" i="17" s="1"/>
  <c r="K1441" i="17"/>
  <c r="J1441" i="17"/>
  <c r="M1458" i="17"/>
  <c r="L1458" i="17"/>
  <c r="O1458" i="17" s="1"/>
  <c r="P1458" i="17" s="1"/>
  <c r="K1458" i="17"/>
  <c r="L1443" i="17"/>
  <c r="O1443" i="17" s="1"/>
  <c r="P1443" i="17" s="1"/>
  <c r="Q1443" i="17" s="1"/>
  <c r="M1443" i="17"/>
  <c r="K1443" i="17"/>
  <c r="N1443" i="17"/>
  <c r="K1452" i="17"/>
  <c r="N1452" i="17"/>
  <c r="L1452" i="17"/>
  <c r="O1452" i="17" s="1"/>
  <c r="P1452" i="17" s="1"/>
  <c r="N1463" i="17"/>
  <c r="M1463" i="17"/>
  <c r="L1463" i="17"/>
  <c r="O1463" i="17" s="1"/>
  <c r="P1463" i="17" s="1"/>
  <c r="Q1463" i="17" s="1"/>
  <c r="K1463" i="17"/>
  <c r="J1463" i="17"/>
  <c r="Q1505" i="17"/>
  <c r="L1385" i="17"/>
  <c r="O1385" i="17" s="1"/>
  <c r="P1385" i="17" s="1"/>
  <c r="Q1385" i="17" s="1"/>
  <c r="M1446" i="17"/>
  <c r="L1446" i="17"/>
  <c r="O1446" i="17" s="1"/>
  <c r="P1446" i="17" s="1"/>
  <c r="Q1446" i="17" s="1"/>
  <c r="N1446" i="17"/>
  <c r="J1446" i="17"/>
  <c r="N1440" i="17"/>
  <c r="L1440" i="17"/>
  <c r="O1440" i="17" s="1"/>
  <c r="K1440" i="17"/>
  <c r="K1453" i="17"/>
  <c r="M1381" i="17"/>
  <c r="L1381" i="17"/>
  <c r="O1381" i="17" s="1"/>
  <c r="P1381" i="17" s="1"/>
  <c r="Q1381" i="17" s="1"/>
  <c r="M1441" i="17"/>
  <c r="M1455" i="17"/>
  <c r="L1455" i="17"/>
  <c r="O1455" i="17" s="1"/>
  <c r="P1455" i="17" s="1"/>
  <c r="K1455" i="17"/>
  <c r="J1455" i="17"/>
  <c r="J1458" i="17"/>
  <c r="L1344" i="17"/>
  <c r="O1344" i="17" s="1"/>
  <c r="P1344" i="17" s="1"/>
  <c r="Q1344" i="17" s="1"/>
  <c r="J1344" i="17"/>
  <c r="L1353" i="17"/>
  <c r="O1353" i="17" s="1"/>
  <c r="J1353" i="17"/>
  <c r="N1439" i="17"/>
  <c r="L1439" i="17"/>
  <c r="O1439" i="17" s="1"/>
  <c r="K1439" i="17"/>
  <c r="M1448" i="17"/>
  <c r="K1448" i="17"/>
  <c r="J1448" i="17"/>
  <c r="L1448" i="17"/>
  <c r="O1448" i="17" s="1"/>
  <c r="P1448" i="17" s="1"/>
  <c r="Q1448" i="17" s="1"/>
  <c r="N1458" i="17"/>
  <c r="Q1475" i="17"/>
  <c r="M1442" i="17"/>
  <c r="L1442" i="17"/>
  <c r="O1442" i="17" s="1"/>
  <c r="K1442" i="17"/>
  <c r="N1442" i="17"/>
  <c r="K1406" i="17"/>
  <c r="J1408" i="17"/>
  <c r="J1452" i="17"/>
  <c r="J1472" i="17"/>
  <c r="K1472" i="17"/>
  <c r="N1472" i="17"/>
  <c r="L1472" i="17"/>
  <c r="O1472" i="17" s="1"/>
  <c r="P1472" i="17" s="1"/>
  <c r="Q1472" i="17" s="1"/>
  <c r="M1472" i="17"/>
  <c r="M1391" i="17"/>
  <c r="K1391" i="17"/>
  <c r="J1400" i="17"/>
  <c r="L1400" i="17"/>
  <c r="O1400" i="17" s="1"/>
  <c r="L1406" i="17"/>
  <c r="O1406" i="17" s="1"/>
  <c r="K1408" i="17"/>
  <c r="J1443" i="17"/>
  <c r="K1446" i="17"/>
  <c r="M1452" i="17"/>
  <c r="Q1488" i="17"/>
  <c r="M1406" i="17"/>
  <c r="L1408" i="17"/>
  <c r="O1408" i="17" s="1"/>
  <c r="J1440" i="17"/>
  <c r="J1384" i="17"/>
  <c r="M1384" i="17"/>
  <c r="N1390" i="17"/>
  <c r="L1390" i="17"/>
  <c r="O1390" i="17" s="1"/>
  <c r="J1390" i="17"/>
  <c r="K1399" i="17"/>
  <c r="L1399" i="17"/>
  <c r="O1399" i="17" s="1"/>
  <c r="L1404" i="17"/>
  <c r="O1404" i="17" s="1"/>
  <c r="P1404" i="17" s="1"/>
  <c r="Q1404" i="17" s="1"/>
  <c r="M1408" i="17"/>
  <c r="M1440" i="17"/>
  <c r="N1482" i="17"/>
  <c r="L1482" i="17"/>
  <c r="O1482" i="17" s="1"/>
  <c r="P1482" i="17" s="1"/>
  <c r="J1482" i="17"/>
  <c r="M1482" i="17"/>
  <c r="K1482" i="17"/>
  <c r="M1404" i="17"/>
  <c r="J1453" i="17"/>
  <c r="N1453" i="17"/>
  <c r="L1453" i="17"/>
  <c r="O1453" i="17" s="1"/>
  <c r="P1453" i="17" s="1"/>
  <c r="N1455" i="17"/>
  <c r="J1461" i="17"/>
  <c r="N1461" i="17"/>
  <c r="L1461" i="17"/>
  <c r="O1461" i="17" s="1"/>
  <c r="P1461" i="17" s="1"/>
  <c r="Q1461" i="17" s="1"/>
  <c r="K1461" i="17"/>
  <c r="N1456" i="17"/>
  <c r="M1456" i="17"/>
  <c r="L1456" i="17"/>
  <c r="O1456" i="17" s="1"/>
  <c r="P1456" i="17" s="1"/>
  <c r="K1456" i="17"/>
  <c r="J1456" i="17"/>
  <c r="J1445" i="17"/>
  <c r="M1445" i="17"/>
  <c r="L1445" i="17"/>
  <c r="O1445" i="17" s="1"/>
  <c r="P1445" i="17" s="1"/>
  <c r="L1451" i="17"/>
  <c r="O1451" i="17" s="1"/>
  <c r="P1451" i="17" s="1"/>
  <c r="Q1451" i="17" s="1"/>
  <c r="J1451" i="17"/>
  <c r="N1459" i="17"/>
  <c r="L1469" i="17"/>
  <c r="O1469" i="17" s="1"/>
  <c r="P1469" i="17" s="1"/>
  <c r="L1489" i="17"/>
  <c r="O1489" i="17" s="1"/>
  <c r="P1489" i="17" s="1"/>
  <c r="K1491" i="17"/>
  <c r="J1491" i="17"/>
  <c r="J1457" i="17"/>
  <c r="J1468" i="17"/>
  <c r="K1471" i="17"/>
  <c r="J1471" i="17"/>
  <c r="M1471" i="17"/>
  <c r="M1511" i="17"/>
  <c r="N1511" i="17"/>
  <c r="L1511" i="17"/>
  <c r="O1511" i="17" s="1"/>
  <c r="P1511" i="17" s="1"/>
  <c r="K1511" i="17"/>
  <c r="J1511" i="17"/>
  <c r="K1444" i="17"/>
  <c r="M1444" i="17"/>
  <c r="L1444" i="17"/>
  <c r="O1444" i="17" s="1"/>
  <c r="P1444" i="17" s="1"/>
  <c r="Q1444" i="17" s="1"/>
  <c r="J1447" i="17"/>
  <c r="M1450" i="17"/>
  <c r="K1450" i="17"/>
  <c r="J1450" i="17"/>
  <c r="L1457" i="17"/>
  <c r="O1457" i="17" s="1"/>
  <c r="P1457" i="17" s="1"/>
  <c r="Q1457" i="17" s="1"/>
  <c r="J1466" i="17"/>
  <c r="K1467" i="17"/>
  <c r="J1473" i="17"/>
  <c r="K1475" i="17"/>
  <c r="N1475" i="17"/>
  <c r="J1485" i="17"/>
  <c r="M1437" i="17"/>
  <c r="L1437" i="17"/>
  <c r="O1437" i="17" s="1"/>
  <c r="P1437" i="17" s="1"/>
  <c r="M1457" i="17"/>
  <c r="J1464" i="17"/>
  <c r="J1465" i="17"/>
  <c r="K1466" i="17"/>
  <c r="L1467" i="17"/>
  <c r="O1467" i="17" s="1"/>
  <c r="P1467" i="17" s="1"/>
  <c r="N1484" i="17"/>
  <c r="L1484" i="17"/>
  <c r="O1484" i="17" s="1"/>
  <c r="P1484" i="17" s="1"/>
  <c r="Q1484" i="17" s="1"/>
  <c r="M1484" i="17"/>
  <c r="K1484" i="17"/>
  <c r="J1484" i="17"/>
  <c r="K1488" i="17"/>
  <c r="K1464" i="17"/>
  <c r="K1465" i="17"/>
  <c r="L1466" i="17"/>
  <c r="O1466" i="17" s="1"/>
  <c r="P1466" i="17" s="1"/>
  <c r="N1467" i="17"/>
  <c r="L1470" i="17"/>
  <c r="O1470" i="17" s="1"/>
  <c r="P1470" i="17" s="1"/>
  <c r="J1470" i="17"/>
  <c r="L1464" i="17"/>
  <c r="O1464" i="17" s="1"/>
  <c r="P1464" i="17" s="1"/>
  <c r="L1465" i="17"/>
  <c r="O1465" i="17" s="1"/>
  <c r="P1465" i="17" s="1"/>
  <c r="Q1465" i="17" s="1"/>
  <c r="M1466" i="17"/>
  <c r="M1464" i="17"/>
  <c r="M1465" i="17"/>
  <c r="M1469" i="17"/>
  <c r="K1469" i="17"/>
  <c r="K1474" i="17"/>
  <c r="N1474" i="17"/>
  <c r="M1474" i="17"/>
  <c r="J1530" i="17"/>
  <c r="N1530" i="17"/>
  <c r="L1530" i="17"/>
  <c r="O1530" i="17" s="1"/>
  <c r="P1530" i="17" s="1"/>
  <c r="M1530" i="17"/>
  <c r="K1530" i="17"/>
  <c r="N1468" i="17"/>
  <c r="L1468" i="17"/>
  <c r="O1468" i="17" s="1"/>
  <c r="P1468" i="17" s="1"/>
  <c r="N1447" i="17"/>
  <c r="L1447" i="17"/>
  <c r="O1447" i="17" s="1"/>
  <c r="P1447" i="17" s="1"/>
  <c r="Q1447" i="17" s="1"/>
  <c r="K1447" i="17"/>
  <c r="L1471" i="17"/>
  <c r="O1471" i="17" s="1"/>
  <c r="P1471" i="17" s="1"/>
  <c r="M1483" i="17"/>
  <c r="N1483" i="17"/>
  <c r="K1483" i="17"/>
  <c r="J1483" i="17"/>
  <c r="N1471" i="17"/>
  <c r="K1473" i="17"/>
  <c r="M1473" i="17"/>
  <c r="L1473" i="17"/>
  <c r="O1473" i="17" s="1"/>
  <c r="P1473" i="17" s="1"/>
  <c r="Q1473" i="17" s="1"/>
  <c r="M1485" i="17"/>
  <c r="K1485" i="17"/>
  <c r="N1485" i="17"/>
  <c r="N1505" i="17"/>
  <c r="M1505" i="17"/>
  <c r="K1505" i="17"/>
  <c r="J1505" i="17"/>
  <c r="J1488" i="17"/>
  <c r="N1488" i="17"/>
  <c r="L1589" i="17"/>
  <c r="O1589" i="17" s="1"/>
  <c r="J1589" i="17"/>
  <c r="M1589" i="17"/>
  <c r="K1589" i="17"/>
  <c r="N1589" i="17"/>
  <c r="L1517" i="17"/>
  <c r="O1517" i="17" s="1"/>
  <c r="P1517" i="17" s="1"/>
  <c r="Q1517" i="17" s="1"/>
  <c r="K1517" i="17"/>
  <c r="J1517" i="17"/>
  <c r="N1517" i="17"/>
  <c r="J1535" i="17"/>
  <c r="N1535" i="17"/>
  <c r="M1535" i="17"/>
  <c r="K1535" i="17"/>
  <c r="L1570" i="17"/>
  <c r="O1570" i="17" s="1"/>
  <c r="P1570" i="17" s="1"/>
  <c r="M1570" i="17"/>
  <c r="K1570" i="17"/>
  <c r="J1570" i="17"/>
  <c r="N1570" i="17"/>
  <c r="K1520" i="17"/>
  <c r="J1520" i="17"/>
  <c r="K1539" i="17"/>
  <c r="N1555" i="17"/>
  <c r="M1555" i="17"/>
  <c r="L1555" i="17"/>
  <c r="O1555" i="17" s="1"/>
  <c r="P1555" i="17" s="1"/>
  <c r="K1555" i="17"/>
  <c r="J1555" i="17"/>
  <c r="K1513" i="17"/>
  <c r="N1513" i="17"/>
  <c r="M1513" i="17"/>
  <c r="L1513" i="17"/>
  <c r="O1513" i="17" s="1"/>
  <c r="P1513" i="17" s="1"/>
  <c r="Q1531" i="17"/>
  <c r="N1529" i="17"/>
  <c r="L1529" i="17"/>
  <c r="O1529" i="17" s="1"/>
  <c r="P1529" i="17" s="1"/>
  <c r="J1529" i="17"/>
  <c r="M1532" i="17"/>
  <c r="K1532" i="17"/>
  <c r="J1532" i="17"/>
  <c r="N1532" i="17"/>
  <c r="L1532" i="17"/>
  <c r="O1532" i="17" s="1"/>
  <c r="P1532" i="17" s="1"/>
  <c r="L1478" i="17"/>
  <c r="O1478" i="17" s="1"/>
  <c r="P1478" i="17" s="1"/>
  <c r="N1510" i="17"/>
  <c r="M1510" i="17"/>
  <c r="L1510" i="17"/>
  <c r="O1510" i="17" s="1"/>
  <c r="P1510" i="17" s="1"/>
  <c r="K1510" i="17"/>
  <c r="K1521" i="17"/>
  <c r="M1516" i="17"/>
  <c r="L1516" i="17"/>
  <c r="O1516" i="17" s="1"/>
  <c r="K1516" i="17"/>
  <c r="N1516" i="17"/>
  <c r="Q1535" i="17"/>
  <c r="N1536" i="17"/>
  <c r="K1536" i="17"/>
  <c r="J1536" i="17"/>
  <c r="L1503" i="17"/>
  <c r="O1503" i="17" s="1"/>
  <c r="P1503" i="17" s="1"/>
  <c r="M1509" i="17"/>
  <c r="L1509" i="17"/>
  <c r="O1509" i="17" s="1"/>
  <c r="P1509" i="17" s="1"/>
  <c r="Q1509" i="17" s="1"/>
  <c r="K1509" i="17"/>
  <c r="L1512" i="17"/>
  <c r="O1512" i="17" s="1"/>
  <c r="N1512" i="17"/>
  <c r="M1512" i="17"/>
  <c r="K1512" i="17"/>
  <c r="M1517" i="17"/>
  <c r="K1525" i="17"/>
  <c r="M1539" i="17"/>
  <c r="L1539" i="17"/>
  <c r="O1539" i="17" s="1"/>
  <c r="P1539" i="17" s="1"/>
  <c r="J1539" i="17"/>
  <c r="M1503" i="17"/>
  <c r="L1520" i="17"/>
  <c r="O1520" i="17" s="1"/>
  <c r="L1525" i="17"/>
  <c r="O1525" i="17" s="1"/>
  <c r="P1525" i="17" s="1"/>
  <c r="N1556" i="17"/>
  <c r="M1556" i="17"/>
  <c r="L1556" i="17"/>
  <c r="O1556" i="17" s="1"/>
  <c r="P1556" i="17" s="1"/>
  <c r="K1556" i="17"/>
  <c r="J1556" i="17"/>
  <c r="L1486" i="17"/>
  <c r="O1486" i="17" s="1"/>
  <c r="P1486" i="17" s="1"/>
  <c r="Q1486" i="17" s="1"/>
  <c r="J1486" i="17"/>
  <c r="N1503" i="17"/>
  <c r="M1520" i="17"/>
  <c r="M1525" i="17"/>
  <c r="J1492" i="17"/>
  <c r="N1504" i="17"/>
  <c r="M1504" i="17"/>
  <c r="K1504" i="17"/>
  <c r="J1513" i="17"/>
  <c r="K1518" i="17"/>
  <c r="J1518" i="17"/>
  <c r="L1518" i="17"/>
  <c r="O1518" i="17" s="1"/>
  <c r="P1518" i="17" s="1"/>
  <c r="N1518" i="17"/>
  <c r="N1520" i="17"/>
  <c r="N1525" i="17"/>
  <c r="Q1567" i="17"/>
  <c r="J1516" i="17"/>
  <c r="J1514" i="17"/>
  <c r="N1514" i="17"/>
  <c r="M1514" i="17"/>
  <c r="L1514" i="17"/>
  <c r="O1514" i="17" s="1"/>
  <c r="P1514" i="17" s="1"/>
  <c r="Q1514" i="17" s="1"/>
  <c r="K1547" i="17"/>
  <c r="M1585" i="17"/>
  <c r="K1585" i="17"/>
  <c r="N1585" i="17"/>
  <c r="J1585" i="17"/>
  <c r="J1604" i="17"/>
  <c r="K1604" i="17"/>
  <c r="M1604" i="17"/>
  <c r="L1604" i="17"/>
  <c r="O1604" i="17" s="1"/>
  <c r="P1604" i="17" s="1"/>
  <c r="M1508" i="17"/>
  <c r="L1508" i="17"/>
  <c r="O1508" i="17" s="1"/>
  <c r="K1508" i="17"/>
  <c r="J1527" i="17"/>
  <c r="M1547" i="17"/>
  <c r="L1552" i="17"/>
  <c r="O1552" i="17" s="1"/>
  <c r="P1552" i="17" s="1"/>
  <c r="Q1569" i="17"/>
  <c r="N1506" i="17"/>
  <c r="M1506" i="17"/>
  <c r="L1506" i="17"/>
  <c r="O1506" i="17" s="1"/>
  <c r="K1519" i="17"/>
  <c r="J1519" i="17"/>
  <c r="N1531" i="17"/>
  <c r="J1531" i="17"/>
  <c r="K1538" i="17"/>
  <c r="L1551" i="17"/>
  <c r="O1551" i="17" s="1"/>
  <c r="P1551" i="17" s="1"/>
  <c r="K1573" i="17"/>
  <c r="M1573" i="17"/>
  <c r="L1573" i="17"/>
  <c r="O1573" i="17" s="1"/>
  <c r="P1573" i="17" s="1"/>
  <c r="J1573" i="17"/>
  <c r="M1551" i="17"/>
  <c r="N1551" i="17"/>
  <c r="K1582" i="17"/>
  <c r="N1582" i="17"/>
  <c r="M1582" i="17"/>
  <c r="L1582" i="17"/>
  <c r="O1582" i="17" s="1"/>
  <c r="P1582" i="17" s="1"/>
  <c r="Q1582" i="17" s="1"/>
  <c r="M1601" i="17"/>
  <c r="N1601" i="17"/>
  <c r="L1601" i="17"/>
  <c r="O1601" i="17" s="1"/>
  <c r="K1601" i="17"/>
  <c r="Q1608" i="17"/>
  <c r="M1576" i="17"/>
  <c r="L1576" i="17"/>
  <c r="O1576" i="17" s="1"/>
  <c r="P1576" i="17" s="1"/>
  <c r="Q1576" i="17" s="1"/>
  <c r="N1576" i="17"/>
  <c r="K1576" i="17"/>
  <c r="L1585" i="17"/>
  <c r="O1585" i="17" s="1"/>
  <c r="P1585" i="17" s="1"/>
  <c r="N1604" i="17"/>
  <c r="K1553" i="17"/>
  <c r="J1553" i="17"/>
  <c r="Q1599" i="17"/>
  <c r="K1534" i="17"/>
  <c r="N1534" i="17"/>
  <c r="M1534" i="17"/>
  <c r="L1534" i="17"/>
  <c r="O1534" i="17" s="1"/>
  <c r="P1534" i="17" s="1"/>
  <c r="Q1534" i="17" s="1"/>
  <c r="N1598" i="17"/>
  <c r="M1598" i="17"/>
  <c r="L1598" i="17"/>
  <c r="O1598" i="17" s="1"/>
  <c r="K1598" i="17"/>
  <c r="J1552" i="17"/>
  <c r="K1552" i="17"/>
  <c r="M1569" i="17"/>
  <c r="K1569" i="17"/>
  <c r="J1569" i="17"/>
  <c r="J1572" i="17"/>
  <c r="K1572" i="17"/>
  <c r="N1572" i="17"/>
  <c r="K1590" i="17"/>
  <c r="N1590" i="17"/>
  <c r="M1590" i="17"/>
  <c r="J1590" i="17"/>
  <c r="J1592" i="17"/>
  <c r="N1592" i="17"/>
  <c r="M1592" i="17"/>
  <c r="L1592" i="17"/>
  <c r="O1592" i="17" s="1"/>
  <c r="J1601" i="17"/>
  <c r="N1515" i="17"/>
  <c r="M1515" i="17"/>
  <c r="L1515" i="17"/>
  <c r="O1515" i="17" s="1"/>
  <c r="P1515" i="17" s="1"/>
  <c r="Q1515" i="17" s="1"/>
  <c r="L1533" i="17"/>
  <c r="O1533" i="17" s="1"/>
  <c r="P1533" i="17" s="1"/>
  <c r="Q1533" i="17" s="1"/>
  <c r="M1533" i="17"/>
  <c r="K1533" i="17"/>
  <c r="J1533" i="17"/>
  <c r="K1548" i="17"/>
  <c r="L1554" i="17"/>
  <c r="O1554" i="17" s="1"/>
  <c r="P1554" i="17" s="1"/>
  <c r="Q1554" i="17" s="1"/>
  <c r="K1583" i="17"/>
  <c r="M1583" i="17"/>
  <c r="L1583" i="17"/>
  <c r="O1583" i="17" s="1"/>
  <c r="P1583" i="17" s="1"/>
  <c r="Q1583" i="17" s="1"/>
  <c r="J1583" i="17"/>
  <c r="K1506" i="17"/>
  <c r="M1531" i="17"/>
  <c r="L1540" i="17"/>
  <c r="O1540" i="17" s="1"/>
  <c r="P1540" i="17" s="1"/>
  <c r="L1548" i="17"/>
  <c r="O1548" i="17" s="1"/>
  <c r="M1554" i="17"/>
  <c r="J1576" i="17"/>
  <c r="J1598" i="17"/>
  <c r="N1616" i="17"/>
  <c r="M1616" i="17"/>
  <c r="L1616" i="17"/>
  <c r="O1616" i="17" s="1"/>
  <c r="P1616" i="17" s="1"/>
  <c r="Q1616" i="17" s="1"/>
  <c r="J1616" i="17"/>
  <c r="N1641" i="17"/>
  <c r="M1641" i="17"/>
  <c r="L1641" i="17"/>
  <c r="O1641" i="17" s="1"/>
  <c r="K1641" i="17"/>
  <c r="J1641" i="17"/>
  <c r="M1575" i="17"/>
  <c r="K1575" i="17"/>
  <c r="N1584" i="17"/>
  <c r="K1584" i="17"/>
  <c r="J1587" i="17"/>
  <c r="M1660" i="17"/>
  <c r="N1660" i="17"/>
  <c r="L1660" i="17"/>
  <c r="O1660" i="17" s="1"/>
  <c r="K1660" i="17"/>
  <c r="J1660" i="17"/>
  <c r="M1571" i="17"/>
  <c r="N1574" i="17"/>
  <c r="K1574" i="17"/>
  <c r="M1587" i="17"/>
  <c r="L1628" i="17"/>
  <c r="O1628" i="17" s="1"/>
  <c r="J1628" i="17"/>
  <c r="N1628" i="17"/>
  <c r="M1628" i="17"/>
  <c r="K1628" i="17"/>
  <c r="N1571" i="17"/>
  <c r="L1605" i="17"/>
  <c r="O1605" i="17" s="1"/>
  <c r="P1605" i="17" s="1"/>
  <c r="J1605" i="17"/>
  <c r="N1605" i="17"/>
  <c r="M1605" i="17"/>
  <c r="K1605" i="17"/>
  <c r="L1623" i="17"/>
  <c r="O1623" i="17" s="1"/>
  <c r="K1623" i="17"/>
  <c r="N1623" i="17"/>
  <c r="J1623" i="17"/>
  <c r="K1616" i="17"/>
  <c r="M1607" i="17"/>
  <c r="L1607" i="17"/>
  <c r="O1607" i="17" s="1"/>
  <c r="J1607" i="17"/>
  <c r="K1611" i="17"/>
  <c r="M1611" i="17"/>
  <c r="N1611" i="17"/>
  <c r="J1611" i="17"/>
  <c r="J1620" i="17"/>
  <c r="N1620" i="17"/>
  <c r="M1620" i="17"/>
  <c r="K1620" i="17"/>
  <c r="L1620" i="17"/>
  <c r="O1620" i="17" s="1"/>
  <c r="P1620" i="17" s="1"/>
  <c r="Q1620" i="17" s="1"/>
  <c r="J1566" i="17"/>
  <c r="K1567" i="17"/>
  <c r="M1568" i="17"/>
  <c r="J1588" i="17"/>
  <c r="L1588" i="17"/>
  <c r="O1588" i="17" s="1"/>
  <c r="P1588" i="17" s="1"/>
  <c r="Q1588" i="17" s="1"/>
  <c r="M1588" i="17"/>
  <c r="K1602" i="17"/>
  <c r="J1580" i="17"/>
  <c r="N1580" i="17"/>
  <c r="K1587" i="17"/>
  <c r="L1587" i="17"/>
  <c r="O1587" i="17" s="1"/>
  <c r="K1579" i="17"/>
  <c r="N1579" i="17"/>
  <c r="J1591" i="17"/>
  <c r="N1591" i="17"/>
  <c r="M1591" i="17"/>
  <c r="L1610" i="17"/>
  <c r="O1610" i="17" s="1"/>
  <c r="M1610" i="17"/>
  <c r="J1610" i="17"/>
  <c r="K1624" i="17"/>
  <c r="J1624" i="17"/>
  <c r="M1624" i="17"/>
  <c r="L1624" i="17"/>
  <c r="O1624" i="17" s="1"/>
  <c r="L1578" i="17"/>
  <c r="O1578" i="17" s="1"/>
  <c r="P1578" i="17" s="1"/>
  <c r="N1578" i="17"/>
  <c r="K1593" i="17"/>
  <c r="K1603" i="17"/>
  <c r="J1603" i="17"/>
  <c r="N1606" i="17"/>
  <c r="L1606" i="17"/>
  <c r="O1606" i="17" s="1"/>
  <c r="J1606" i="17"/>
  <c r="K1606" i="17"/>
  <c r="L1586" i="17"/>
  <c r="O1586" i="17" s="1"/>
  <c r="P1586" i="17" s="1"/>
  <c r="K1586" i="17"/>
  <c r="L1593" i="17"/>
  <c r="O1593" i="17" s="1"/>
  <c r="L1611" i="17"/>
  <c r="O1611" i="17" s="1"/>
  <c r="M1577" i="17"/>
  <c r="N1577" i="17"/>
  <c r="M1593" i="17"/>
  <c r="N1645" i="17"/>
  <c r="M1645" i="17"/>
  <c r="L1645" i="17"/>
  <c r="O1645" i="17" s="1"/>
  <c r="K1645" i="17"/>
  <c r="J1645" i="17"/>
  <c r="J1668" i="17"/>
  <c r="L1668" i="17"/>
  <c r="O1668" i="17" s="1"/>
  <c r="P1668" i="17" s="1"/>
  <c r="Q1668" i="17" s="1"/>
  <c r="K1668" i="17"/>
  <c r="M1668" i="17"/>
  <c r="M1609" i="17"/>
  <c r="L1609" i="17"/>
  <c r="O1609" i="17" s="1"/>
  <c r="M1622" i="17"/>
  <c r="L1622" i="17"/>
  <c r="O1622" i="17" s="1"/>
  <c r="J1622" i="17"/>
  <c r="L1625" i="17"/>
  <c r="O1625" i="17" s="1"/>
  <c r="P1625" i="17" s="1"/>
  <c r="Q1625" i="17" s="1"/>
  <c r="L1638" i="17"/>
  <c r="O1638" i="17" s="1"/>
  <c r="K1638" i="17"/>
  <c r="N1638" i="17"/>
  <c r="J1638" i="17"/>
  <c r="K1612" i="17"/>
  <c r="K1630" i="17"/>
  <c r="K1661" i="17"/>
  <c r="M1608" i="17"/>
  <c r="N1608" i="17"/>
  <c r="K1608" i="17"/>
  <c r="L1612" i="17"/>
  <c r="O1612" i="17" s="1"/>
  <c r="L1618" i="17"/>
  <c r="O1618" i="17" s="1"/>
  <c r="N1618" i="17"/>
  <c r="M1618" i="17"/>
  <c r="J1618" i="17"/>
  <c r="L1627" i="17"/>
  <c r="O1627" i="17" s="1"/>
  <c r="P1627" i="17" s="1"/>
  <c r="Q1627" i="17" s="1"/>
  <c r="J1627" i="17"/>
  <c r="L1652" i="17"/>
  <c r="O1652" i="17" s="1"/>
  <c r="P1652" i="17" s="1"/>
  <c r="K1652" i="17"/>
  <c r="J1652" i="17"/>
  <c r="M1652" i="17"/>
  <c r="L1661" i="17"/>
  <c r="O1661" i="17" s="1"/>
  <c r="N1668" i="17"/>
  <c r="M1670" i="17"/>
  <c r="L1670" i="17"/>
  <c r="O1670" i="17" s="1"/>
  <c r="K1670" i="17"/>
  <c r="N1670" i="17"/>
  <c r="J1670" i="17"/>
  <c r="N1640" i="17"/>
  <c r="M1640" i="17"/>
  <c r="K1640" i="17"/>
  <c r="J1640" i="17"/>
  <c r="L1654" i="17"/>
  <c r="O1654" i="17" s="1"/>
  <c r="P1654" i="17" s="1"/>
  <c r="Q1654" i="17" s="1"/>
  <c r="K1654" i="17"/>
  <c r="J1654" i="17"/>
  <c r="M1654" i="17"/>
  <c r="M1661" i="17"/>
  <c r="M1614" i="17"/>
  <c r="L1614" i="17"/>
  <c r="O1614" i="17" s="1"/>
  <c r="J1614" i="17"/>
  <c r="N1621" i="17"/>
  <c r="M1621" i="17"/>
  <c r="K1621" i="17"/>
  <c r="J1621" i="17"/>
  <c r="L1621" i="17"/>
  <c r="O1621" i="17" s="1"/>
  <c r="P1621" i="17" s="1"/>
  <c r="Q1621" i="17" s="1"/>
  <c r="M1646" i="17"/>
  <c r="N1646" i="17"/>
  <c r="L1646" i="17"/>
  <c r="O1646" i="17" s="1"/>
  <c r="K1646" i="17"/>
  <c r="J1637" i="17"/>
  <c r="L1637" i="17"/>
  <c r="O1637" i="17" s="1"/>
  <c r="K1637" i="17"/>
  <c r="M1638" i="17"/>
  <c r="N1662" i="17"/>
  <c r="J1662" i="17"/>
  <c r="M1662" i="17"/>
  <c r="L1662" i="17"/>
  <c r="O1662" i="17" s="1"/>
  <c r="P1662" i="17" s="1"/>
  <c r="K1648" i="17"/>
  <c r="N1648" i="17"/>
  <c r="M1648" i="17"/>
  <c r="L1648" i="17"/>
  <c r="O1648" i="17" s="1"/>
  <c r="J1648" i="17"/>
  <c r="L1666" i="17"/>
  <c r="O1666" i="17" s="1"/>
  <c r="P1666" i="17" s="1"/>
  <c r="K1666" i="17"/>
  <c r="J1666" i="17"/>
  <c r="N1666" i="17"/>
  <c r="J1612" i="17"/>
  <c r="M1612" i="17"/>
  <c r="M1617" i="17"/>
  <c r="N1617" i="17"/>
  <c r="L1617" i="17"/>
  <c r="O1617" i="17" s="1"/>
  <c r="P1617" i="17" s="1"/>
  <c r="Q1617" i="17" s="1"/>
  <c r="J1617" i="17"/>
  <c r="K1617" i="17"/>
  <c r="K1625" i="17"/>
  <c r="J1625" i="17"/>
  <c r="M1630" i="17"/>
  <c r="L1630" i="17"/>
  <c r="O1630" i="17" s="1"/>
  <c r="M1651" i="17"/>
  <c r="L1651" i="17"/>
  <c r="O1651" i="17" s="1"/>
  <c r="K1651" i="17"/>
  <c r="J1651" i="17"/>
  <c r="M1664" i="17"/>
  <c r="J1664" i="17"/>
  <c r="L1664" i="17"/>
  <c r="O1664" i="17" s="1"/>
  <c r="P1664" i="17" s="1"/>
  <c r="K1664" i="17"/>
  <c r="N1629" i="17"/>
  <c r="M1629" i="17"/>
  <c r="K1629" i="17"/>
  <c r="J1700" i="17"/>
  <c r="L1700" i="17"/>
  <c r="O1700" i="17" s="1"/>
  <c r="N1700" i="17"/>
  <c r="M1700" i="17"/>
  <c r="K1700" i="17"/>
  <c r="M1639" i="17"/>
  <c r="L1639" i="17"/>
  <c r="O1639" i="17" s="1"/>
  <c r="J1639" i="17"/>
  <c r="M1643" i="17"/>
  <c r="L1643" i="17"/>
  <c r="O1643" i="17" s="1"/>
  <c r="K1643" i="17"/>
  <c r="L1653" i="17"/>
  <c r="O1653" i="17" s="1"/>
  <c r="P1653" i="17" s="1"/>
  <c r="Q1653" i="17" s="1"/>
  <c r="K1653" i="17"/>
  <c r="J1653" i="17"/>
  <c r="N1653" i="17"/>
  <c r="M1653" i="17"/>
  <c r="K1745" i="17"/>
  <c r="J1745" i="17"/>
  <c r="N1745" i="17"/>
  <c r="M1745" i="17"/>
  <c r="L1745" i="17"/>
  <c r="O1745" i="17" s="1"/>
  <c r="L1715" i="17"/>
  <c r="O1715" i="17" s="1"/>
  <c r="N1715" i="17"/>
  <c r="M1715" i="17"/>
  <c r="K1715" i="17"/>
  <c r="J1715" i="17"/>
  <c r="M1615" i="17"/>
  <c r="L1615" i="17"/>
  <c r="O1615" i="17" s="1"/>
  <c r="J1615" i="17"/>
  <c r="K1619" i="17"/>
  <c r="N1619" i="17"/>
  <c r="M1619" i="17"/>
  <c r="J1619" i="17"/>
  <c r="N1631" i="17"/>
  <c r="K1663" i="17"/>
  <c r="M1665" i="17"/>
  <c r="K1665" i="17"/>
  <c r="J1665" i="17"/>
  <c r="N1665" i="17"/>
  <c r="L1665" i="17"/>
  <c r="O1665" i="17" s="1"/>
  <c r="P1665" i="17" s="1"/>
  <c r="N1671" i="17"/>
  <c r="M1671" i="17"/>
  <c r="L1671" i="17"/>
  <c r="O1671" i="17" s="1"/>
  <c r="K1671" i="17"/>
  <c r="L1663" i="17"/>
  <c r="O1663" i="17" s="1"/>
  <c r="P1663" i="17" s="1"/>
  <c r="L1647" i="17"/>
  <c r="O1647" i="17" s="1"/>
  <c r="N1647" i="17"/>
  <c r="M1647" i="17"/>
  <c r="K1647" i="17"/>
  <c r="J1647" i="17"/>
  <c r="N1663" i="17"/>
  <c r="M1711" i="17"/>
  <c r="J1711" i="17"/>
  <c r="N1711" i="17"/>
  <c r="L1711" i="17"/>
  <c r="O1711" i="17" s="1"/>
  <c r="K1711" i="17"/>
  <c r="M1716" i="17"/>
  <c r="J1716" i="17"/>
  <c r="K1716" i="17"/>
  <c r="Q1721" i="17"/>
  <c r="G217" i="12" s="1"/>
  <c r="A217" i="12" s="1"/>
  <c r="M1727" i="17"/>
  <c r="K1727" i="17"/>
  <c r="J1727" i="17"/>
  <c r="N1727" i="17"/>
  <c r="L1727" i="17"/>
  <c r="O1727" i="17" s="1"/>
  <c r="K1697" i="17"/>
  <c r="J1697" i="17"/>
  <c r="L1697" i="17"/>
  <c r="O1697" i="17" s="1"/>
  <c r="L1709" i="17"/>
  <c r="O1709" i="17" s="1"/>
  <c r="J1709" i="17"/>
  <c r="K1709" i="17"/>
  <c r="M1709" i="17"/>
  <c r="L1696" i="17"/>
  <c r="O1696" i="17" s="1"/>
  <c r="J1696" i="17"/>
  <c r="N1718" i="17"/>
  <c r="M1718" i="17"/>
  <c r="L1718" i="17"/>
  <c r="O1718" i="17" s="1"/>
  <c r="K1718" i="17"/>
  <c r="J1718" i="17"/>
  <c r="L1716" i="17"/>
  <c r="O1716" i="17" s="1"/>
  <c r="L1728" i="17"/>
  <c r="O1728" i="17" s="1"/>
  <c r="J1728" i="17"/>
  <c r="N1728" i="17"/>
  <c r="M1728" i="17"/>
  <c r="J1695" i="17"/>
  <c r="L1695" i="17"/>
  <c r="O1695" i="17" s="1"/>
  <c r="M1697" i="17"/>
  <c r="N1709" i="17"/>
  <c r="N1716" i="17"/>
  <c r="N1697" i="17"/>
  <c r="J1699" i="17"/>
  <c r="K1699" i="17"/>
  <c r="N1699" i="17"/>
  <c r="M1699" i="17"/>
  <c r="L1699" i="17"/>
  <c r="O1699" i="17" s="1"/>
  <c r="N1778" i="17"/>
  <c r="M1778" i="17"/>
  <c r="L1778" i="17"/>
  <c r="O1778" i="17" s="1"/>
  <c r="K1778" i="17"/>
  <c r="J1778" i="17"/>
  <c r="N1650" i="17"/>
  <c r="M1650" i="17"/>
  <c r="L1650" i="17"/>
  <c r="O1650" i="17" s="1"/>
  <c r="P1650" i="17" s="1"/>
  <c r="Q1650" i="17" s="1"/>
  <c r="K1696" i="17"/>
  <c r="L1701" i="17"/>
  <c r="O1701" i="17" s="1"/>
  <c r="N1701" i="17"/>
  <c r="M1701" i="17"/>
  <c r="N1710" i="17"/>
  <c r="K1710" i="17"/>
  <c r="L1710" i="17"/>
  <c r="O1710" i="17" s="1"/>
  <c r="M1710" i="17"/>
  <c r="J1710" i="17"/>
  <c r="M1717" i="17"/>
  <c r="K1717" i="17"/>
  <c r="J1717" i="17"/>
  <c r="L1717" i="17"/>
  <c r="O1717" i="17" s="1"/>
  <c r="M1644" i="17"/>
  <c r="L1644" i="17"/>
  <c r="O1644" i="17" s="1"/>
  <c r="K1644" i="17"/>
  <c r="K1667" i="17"/>
  <c r="L1667" i="17"/>
  <c r="O1667" i="17" s="1"/>
  <c r="J1667" i="17"/>
  <c r="M1696" i="17"/>
  <c r="J1708" i="17"/>
  <c r="J1733" i="17"/>
  <c r="N1733" i="17"/>
  <c r="M1733" i="17"/>
  <c r="L1733" i="17"/>
  <c r="O1733" i="17" s="1"/>
  <c r="J1649" i="17"/>
  <c r="N1649" i="17"/>
  <c r="M1649" i="17"/>
  <c r="L1649" i="17"/>
  <c r="O1649" i="17" s="1"/>
  <c r="K1655" i="17"/>
  <c r="J1655" i="17"/>
  <c r="N1672" i="17"/>
  <c r="M1672" i="17"/>
  <c r="N1696" i="17"/>
  <c r="J1698" i="17"/>
  <c r="L1698" i="17"/>
  <c r="O1698" i="17" s="1"/>
  <c r="K1698" i="17"/>
  <c r="M1698" i="17"/>
  <c r="K1708" i="17"/>
  <c r="Q1642" i="17"/>
  <c r="L1708" i="17"/>
  <c r="O1708" i="17" s="1"/>
  <c r="N1719" i="17"/>
  <c r="M1719" i="17"/>
  <c r="L1719" i="17"/>
  <c r="O1719" i="17" s="1"/>
  <c r="K1719" i="17"/>
  <c r="K1728" i="17"/>
  <c r="M1731" i="17"/>
  <c r="M1743" i="17"/>
  <c r="L1743" i="17"/>
  <c r="O1743" i="17" s="1"/>
  <c r="K1743" i="17"/>
  <c r="J1743" i="17"/>
  <c r="N1743" i="17"/>
  <c r="N1789" i="17"/>
  <c r="M1789" i="17"/>
  <c r="L1789" i="17"/>
  <c r="O1789" i="17" s="1"/>
  <c r="K1789" i="17"/>
  <c r="J1789" i="17"/>
  <c r="N1787" i="17"/>
  <c r="M1787" i="17"/>
  <c r="L1787" i="17"/>
  <c r="O1787" i="17" s="1"/>
  <c r="K1787" i="17"/>
  <c r="J1787" i="17"/>
  <c r="N1742" i="17"/>
  <c r="M1742" i="17"/>
  <c r="L1742" i="17"/>
  <c r="O1742" i="17" s="1"/>
  <c r="K1742" i="17"/>
  <c r="L1744" i="17"/>
  <c r="O1744" i="17" s="1"/>
  <c r="K1744" i="17"/>
  <c r="J1744" i="17"/>
  <c r="M1744" i="17"/>
  <c r="M1738" i="17"/>
  <c r="L1738" i="17"/>
  <c r="O1738" i="17" s="1"/>
  <c r="J1738" i="17"/>
  <c r="M1790" i="17"/>
  <c r="L1790" i="17"/>
  <c r="O1790" i="17" s="1"/>
  <c r="K1790" i="17"/>
  <c r="J1790" i="17"/>
  <c r="N1790" i="17"/>
  <c r="K1694" i="17"/>
  <c r="L1694" i="17"/>
  <c r="O1694" i="17" s="1"/>
  <c r="N1741" i="17"/>
  <c r="M1741" i="17"/>
  <c r="L1741" i="17"/>
  <c r="O1741" i="17" s="1"/>
  <c r="N1779" i="17"/>
  <c r="M1779" i="17"/>
  <c r="J1779" i="17"/>
  <c r="L1779" i="17"/>
  <c r="O1779" i="17" s="1"/>
  <c r="K1751" i="17"/>
  <c r="J1751" i="17"/>
  <c r="L1693" i="17"/>
  <c r="O1693" i="17" s="1"/>
  <c r="K1693" i="17"/>
  <c r="J1742" i="17"/>
  <c r="M1692" i="17"/>
  <c r="K1692" i="17"/>
  <c r="K1731" i="17"/>
  <c r="N1691" i="17"/>
  <c r="K1691" i="17"/>
  <c r="L1731" i="17"/>
  <c r="O1731" i="17" s="1"/>
  <c r="M1774" i="17"/>
  <c r="L1774" i="17"/>
  <c r="O1774" i="17" s="1"/>
  <c r="K1774" i="17"/>
  <c r="N1774" i="17"/>
  <c r="J1774" i="17"/>
  <c r="Q1819" i="17"/>
  <c r="J1841" i="17"/>
  <c r="N1841" i="17"/>
  <c r="M1841" i="17"/>
  <c r="L1841" i="17"/>
  <c r="O1841" i="17" s="1"/>
  <c r="K1841" i="17"/>
  <c r="N1780" i="17"/>
  <c r="K1780" i="17"/>
  <c r="J1780" i="17"/>
  <c r="M1822" i="17"/>
  <c r="L1822" i="17"/>
  <c r="O1822" i="17" s="1"/>
  <c r="P1822" i="17" s="1"/>
  <c r="Q1822" i="17" s="1"/>
  <c r="K1822" i="17"/>
  <c r="N1822" i="17"/>
  <c r="J1822" i="17"/>
  <c r="L1759" i="17"/>
  <c r="O1759" i="17" s="1"/>
  <c r="K1759" i="17"/>
  <c r="J1759" i="17"/>
  <c r="M1782" i="17"/>
  <c r="L1782" i="17"/>
  <c r="O1782" i="17" s="1"/>
  <c r="K1782" i="17"/>
  <c r="J1782" i="17"/>
  <c r="N1756" i="17"/>
  <c r="M1756" i="17"/>
  <c r="L1756" i="17"/>
  <c r="O1756" i="17" s="1"/>
  <c r="K1756" i="17"/>
  <c r="J1765" i="17"/>
  <c r="N1788" i="17"/>
  <c r="M1788" i="17"/>
  <c r="K1788" i="17"/>
  <c r="J1788" i="17"/>
  <c r="L1788" i="17"/>
  <c r="O1788" i="17" s="1"/>
  <c r="K1765" i="17"/>
  <c r="L1765" i="17"/>
  <c r="O1765" i="17" s="1"/>
  <c r="L1775" i="17"/>
  <c r="O1775" i="17" s="1"/>
  <c r="K1775" i="17"/>
  <c r="J1775" i="17"/>
  <c r="L1807" i="17"/>
  <c r="O1807" i="17" s="1"/>
  <c r="K1807" i="17"/>
  <c r="J1807" i="17"/>
  <c r="N1807" i="17"/>
  <c r="M1807" i="17"/>
  <c r="M1780" i="17"/>
  <c r="M1758" i="17"/>
  <c r="L1758" i="17"/>
  <c r="O1758" i="17" s="1"/>
  <c r="K1758" i="17"/>
  <c r="N1758" i="17"/>
  <c r="J1758" i="17"/>
  <c r="K1767" i="17"/>
  <c r="J1767" i="17"/>
  <c r="N1782" i="17"/>
  <c r="N1755" i="17"/>
  <c r="M1755" i="17"/>
  <c r="L1755" i="17"/>
  <c r="O1755" i="17" s="1"/>
  <c r="P1755" i="17" s="1"/>
  <c r="M1759" i="17"/>
  <c r="N1772" i="17"/>
  <c r="M1772" i="17"/>
  <c r="J1772" i="17"/>
  <c r="L1781" i="17"/>
  <c r="O1781" i="17" s="1"/>
  <c r="K1781" i="17"/>
  <c r="J1781" i="17"/>
  <c r="N1773" i="17"/>
  <c r="M1773" i="17"/>
  <c r="L1773" i="17"/>
  <c r="O1773" i="17" s="1"/>
  <c r="K1773" i="17"/>
  <c r="J1773" i="17"/>
  <c r="J1804" i="17"/>
  <c r="M1806" i="17"/>
  <c r="L1806" i="17"/>
  <c r="O1806" i="17" s="1"/>
  <c r="K1806" i="17"/>
  <c r="N1806" i="17"/>
  <c r="J1806" i="17"/>
  <c r="K1804" i="17"/>
  <c r="J1838" i="17"/>
  <c r="M1838" i="17"/>
  <c r="L1838" i="17"/>
  <c r="O1838" i="17" s="1"/>
  <c r="K1838" i="17"/>
  <c r="N1838" i="17"/>
  <c r="N1726" i="17"/>
  <c r="L1726" i="17"/>
  <c r="O1726" i="17" s="1"/>
  <c r="K1726" i="17"/>
  <c r="Q1860" i="17"/>
  <c r="N1821" i="17"/>
  <c r="M1821" i="17"/>
  <c r="L1821" i="17"/>
  <c r="O1821" i="17" s="1"/>
  <c r="P1821" i="17" s="1"/>
  <c r="Q1821" i="17" s="1"/>
  <c r="J1821" i="17"/>
  <c r="K1824" i="17"/>
  <c r="J1824" i="17"/>
  <c r="N1859" i="17"/>
  <c r="M1859" i="17"/>
  <c r="L1859" i="17"/>
  <c r="O1859" i="17" s="1"/>
  <c r="P1859" i="17" s="1"/>
  <c r="Q1859" i="17" s="1"/>
  <c r="K1859" i="17"/>
  <c r="J1859" i="17"/>
  <c r="N1805" i="17"/>
  <c r="M1805" i="17"/>
  <c r="L1805" i="17"/>
  <c r="O1805" i="17" s="1"/>
  <c r="K1805" i="17"/>
  <c r="J1805" i="17"/>
  <c r="K1869" i="17"/>
  <c r="J1869" i="17"/>
  <c r="N1869" i="17"/>
  <c r="M1869" i="17"/>
  <c r="L1869" i="17"/>
  <c r="O1869" i="17" s="1"/>
  <c r="P1869" i="17" s="1"/>
  <c r="N1757" i="17"/>
  <c r="M1757" i="17"/>
  <c r="L1757" i="17"/>
  <c r="O1757" i="17" s="1"/>
  <c r="K1757" i="17"/>
  <c r="J1757" i="17"/>
  <c r="L1803" i="17"/>
  <c r="O1803" i="17" s="1"/>
  <c r="P1803" i="17" s="1"/>
  <c r="Q1803" i="17" s="1"/>
  <c r="N1740" i="17"/>
  <c r="M1740" i="17"/>
  <c r="M1803" i="17"/>
  <c r="N1820" i="17"/>
  <c r="M1820" i="17"/>
  <c r="K1837" i="17"/>
  <c r="N1837" i="17"/>
  <c r="M1837" i="17"/>
  <c r="L1837" i="17"/>
  <c r="O1837" i="17" s="1"/>
  <c r="J1837" i="17"/>
  <c r="J1854" i="17"/>
  <c r="N1854" i="17"/>
  <c r="M1854" i="17"/>
  <c r="L1854" i="17"/>
  <c r="O1854" i="17" s="1"/>
  <c r="K1854" i="17"/>
  <c r="N1804" i="17"/>
  <c r="M1804" i="17"/>
  <c r="L1823" i="17"/>
  <c r="O1823" i="17" s="1"/>
  <c r="P1823" i="17" s="1"/>
  <c r="K1823" i="17"/>
  <c r="J1823" i="17"/>
  <c r="N1823" i="17"/>
  <c r="K1821" i="17"/>
  <c r="L1824" i="17"/>
  <c r="O1824" i="17" s="1"/>
  <c r="P1824" i="17" s="1"/>
  <c r="Q1824" i="17" s="1"/>
  <c r="M1824" i="17"/>
  <c r="J1858" i="17"/>
  <c r="N1858" i="17"/>
  <c r="M1858" i="17"/>
  <c r="L1858" i="17"/>
  <c r="O1858" i="17" s="1"/>
  <c r="K1858" i="17"/>
  <c r="L1872" i="17"/>
  <c r="O1872" i="17" s="1"/>
  <c r="P1872" i="17" s="1"/>
  <c r="K1872" i="17"/>
  <c r="J1872" i="17"/>
  <c r="N1872" i="17"/>
  <c r="M1872" i="17"/>
  <c r="K1853" i="17"/>
  <c r="N1853" i="17"/>
  <c r="M1853" i="17"/>
  <c r="L1853" i="17"/>
  <c r="O1853" i="17" s="1"/>
  <c r="K1857" i="17"/>
  <c r="J1857" i="17"/>
  <c r="Q1878" i="17"/>
  <c r="L1836" i="17"/>
  <c r="O1836" i="17" s="1"/>
  <c r="N1836" i="17"/>
  <c r="M1836" i="17"/>
  <c r="K1862" i="17"/>
  <c r="M1871" i="17"/>
  <c r="L1871" i="17"/>
  <c r="O1871" i="17" s="1"/>
  <c r="P1871" i="17" s="1"/>
  <c r="K1871" i="17"/>
  <c r="J1871" i="17"/>
  <c r="L1862" i="17"/>
  <c r="O1862" i="17" s="1"/>
  <c r="P1862" i="17" s="1"/>
  <c r="Q1862" i="17" s="1"/>
  <c r="Q1867" i="17"/>
  <c r="M1862" i="17"/>
  <c r="L1868" i="17"/>
  <c r="O1868" i="17" s="1"/>
  <c r="P1868" i="17" s="1"/>
  <c r="K1868" i="17"/>
  <c r="J1868" i="17"/>
  <c r="N1868" i="17"/>
  <c r="M1868" i="17"/>
  <c r="M1835" i="17"/>
  <c r="N1835" i="17"/>
  <c r="L1856" i="17"/>
  <c r="O1856" i="17" s="1"/>
  <c r="P1856" i="17" s="1"/>
  <c r="K1856" i="17"/>
  <c r="J1856" i="17"/>
  <c r="K1840" i="17"/>
  <c r="J1840" i="17"/>
  <c r="L1852" i="17"/>
  <c r="O1852" i="17" s="1"/>
  <c r="P1852" i="17" s="1"/>
  <c r="Q1852" i="17" s="1"/>
  <c r="N1852" i="17"/>
  <c r="M1852" i="17"/>
  <c r="K1792" i="17"/>
  <c r="J1792" i="17"/>
  <c r="J1870" i="17"/>
  <c r="N1870" i="17"/>
  <c r="M1870" i="17"/>
  <c r="L1870" i="17"/>
  <c r="O1870" i="17" s="1"/>
  <c r="P1870" i="17" s="1"/>
  <c r="K1870" i="17"/>
  <c r="K1776" i="17"/>
  <c r="J1776" i="17"/>
  <c r="K1760" i="17"/>
  <c r="J1760" i="17"/>
  <c r="L1791" i="17"/>
  <c r="O1791" i="17" s="1"/>
  <c r="P1791" i="17" s="1"/>
  <c r="K1791" i="17"/>
  <c r="J1791" i="17"/>
  <c r="K1808" i="17"/>
  <c r="J1808" i="17"/>
  <c r="L1839" i="17"/>
  <c r="O1839" i="17" s="1"/>
  <c r="K1839" i="17"/>
  <c r="J1839" i="17"/>
  <c r="M1855" i="17"/>
  <c r="L1855" i="17"/>
  <c r="O1855" i="17" s="1"/>
  <c r="K1855" i="17"/>
  <c r="J1855" i="17"/>
  <c r="L1857" i="17"/>
  <c r="O1857" i="17" s="1"/>
  <c r="P1857" i="17" s="1"/>
  <c r="K1873" i="17"/>
  <c r="J1873" i="17"/>
  <c r="J1853" i="17"/>
  <c r="M1857" i="17"/>
  <c r="N1857" i="17"/>
  <c r="N1851" i="17"/>
  <c r="N1867" i="17"/>
  <c r="K1878" i="17"/>
  <c r="J1879" i="17"/>
  <c r="K1865" i="17"/>
  <c r="J1866" i="17"/>
  <c r="M1879" i="17"/>
  <c r="K1850" i="17"/>
  <c r="J1851" i="17"/>
  <c r="K1866" i="17"/>
  <c r="J1867" i="17"/>
  <c r="K1867" i="17"/>
  <c r="J51" i="8" l="1"/>
  <c r="M51" i="8" s="1"/>
  <c r="Q1179" i="17"/>
  <c r="K142" i="8"/>
  <c r="N142" i="8" s="1"/>
  <c r="G71" i="10" s="1"/>
  <c r="K71" i="10" s="1"/>
  <c r="K156" i="8"/>
  <c r="N156" i="8" s="1"/>
  <c r="G87" i="10" s="1"/>
  <c r="K87" i="10" s="1"/>
  <c r="K256" i="8"/>
  <c r="N256" i="8" s="1"/>
  <c r="G200" i="10" s="1"/>
  <c r="K200" i="10" s="1"/>
  <c r="K38" i="8"/>
  <c r="N38" i="8" s="1"/>
  <c r="K130" i="8"/>
  <c r="N130" i="8" s="1"/>
  <c r="G56" i="10" s="1"/>
  <c r="K56" i="10" s="1"/>
  <c r="K22" i="8"/>
  <c r="N22" i="8" s="1"/>
  <c r="K158" i="8"/>
  <c r="N158" i="8" s="1"/>
  <c r="G90" i="10" s="1"/>
  <c r="K90" i="10" s="1"/>
  <c r="K153" i="8"/>
  <c r="N153" i="8" s="1"/>
  <c r="G84" i="10" s="1"/>
  <c r="K84" i="10" s="1"/>
  <c r="K41" i="8"/>
  <c r="N41" i="8" s="1"/>
  <c r="K66" i="8"/>
  <c r="N66" i="8" s="1"/>
  <c r="K28" i="8"/>
  <c r="N28" i="8" s="1"/>
  <c r="K52" i="8"/>
  <c r="N52" i="8" s="1"/>
  <c r="K30" i="8"/>
  <c r="N30" i="8" s="1"/>
  <c r="G103" i="10" s="1"/>
  <c r="K103" i="10" s="1"/>
  <c r="Q503" i="17"/>
  <c r="K135" i="8"/>
  <c r="N135" i="8" s="1"/>
  <c r="G62" i="10" s="1"/>
  <c r="K62" i="10" s="1"/>
  <c r="K43" i="8"/>
  <c r="N43" i="8" s="1"/>
  <c r="J170" i="8"/>
  <c r="M170" i="8" s="1"/>
  <c r="Q853" i="17"/>
  <c r="Q1321" i="17"/>
  <c r="Q1868" i="17"/>
  <c r="Q333" i="17"/>
  <c r="K11" i="8"/>
  <c r="N11" i="8" s="1"/>
  <c r="Q871" i="17"/>
  <c r="K17" i="8"/>
  <c r="N17" i="8" s="1"/>
  <c r="K40" i="8"/>
  <c r="N40" i="8" s="1"/>
  <c r="Q135" i="17"/>
  <c r="Q486" i="17"/>
  <c r="Q619" i="17"/>
  <c r="K132" i="8"/>
  <c r="N132" i="8" s="1"/>
  <c r="K29" i="8"/>
  <c r="N29" i="8" s="1"/>
  <c r="G106" i="10" s="1"/>
  <c r="K106" i="10" s="1"/>
  <c r="P74" i="17"/>
  <c r="Q610" i="17"/>
  <c r="Q388" i="17"/>
  <c r="P1071" i="17"/>
  <c r="Q1071" i="17" s="1"/>
  <c r="Q454" i="17"/>
  <c r="Q738" i="17"/>
  <c r="G132" i="12" s="1"/>
  <c r="A132" i="12" s="1"/>
  <c r="Q1173" i="17"/>
  <c r="Q324" i="17"/>
  <c r="Q1189" i="17"/>
  <c r="Q1294" i="17"/>
  <c r="P1372" i="17"/>
  <c r="Q1030" i="17"/>
  <c r="Q1762" i="17"/>
  <c r="G294" i="12" s="1"/>
  <c r="A294" i="12" s="1"/>
  <c r="Q1346" i="17"/>
  <c r="P826" i="17"/>
  <c r="Q826" i="17" s="1"/>
  <c r="H409" i="12" s="1"/>
  <c r="A409" i="12" s="1"/>
  <c r="Q1431" i="17"/>
  <c r="Q1112" i="17"/>
  <c r="Q971" i="17"/>
  <c r="Q461" i="17"/>
  <c r="Q1459" i="17"/>
  <c r="Q1827" i="17"/>
  <c r="Q1393" i="17"/>
  <c r="Q1664" i="17"/>
  <c r="K80" i="8"/>
  <c r="N80" i="8" s="1"/>
  <c r="G5" i="10" s="1"/>
  <c r="K5" i="10" s="1"/>
  <c r="Q177" i="17"/>
  <c r="Q164" i="17"/>
  <c r="Q1003" i="17"/>
  <c r="Q480" i="17"/>
  <c r="K146" i="8"/>
  <c r="N146" i="8" s="1"/>
  <c r="G75" i="10" s="1"/>
  <c r="K75" i="10" s="1"/>
  <c r="Q1542" i="17"/>
  <c r="Q586" i="17"/>
  <c r="K147" i="8"/>
  <c r="N147" i="8" s="1"/>
  <c r="G76" i="10" s="1"/>
  <c r="K76" i="10" s="1"/>
  <c r="Q1476" i="17"/>
  <c r="Q1180" i="17"/>
  <c r="Q1312" i="17"/>
  <c r="Q1489" i="17"/>
  <c r="Q1213" i="17"/>
  <c r="J185" i="8"/>
  <c r="M185" i="8" s="1"/>
  <c r="J127" i="8"/>
  <c r="M127" i="8" s="1"/>
  <c r="J124" i="8"/>
  <c r="M124" i="8" s="1"/>
  <c r="M12" i="9"/>
  <c r="A39" i="11" s="1"/>
  <c r="Q581" i="17"/>
  <c r="Q620" i="17"/>
  <c r="Q182" i="17"/>
  <c r="P1142" i="17"/>
  <c r="Q1142" i="17" s="1"/>
  <c r="G566" i="12" s="1"/>
  <c r="A566" i="12" s="1"/>
  <c r="Q695" i="17"/>
  <c r="Q1665" i="17"/>
  <c r="Q1231" i="17"/>
  <c r="Q1666" i="17"/>
  <c r="Q1383" i="17"/>
  <c r="Q286" i="17"/>
  <c r="Q881" i="17"/>
  <c r="Q410" i="17"/>
  <c r="Q225" i="17"/>
  <c r="P1828" i="17"/>
  <c r="Q1828" i="17" s="1"/>
  <c r="H470" i="12" s="1"/>
  <c r="A470" i="12" s="1"/>
  <c r="Q238" i="17"/>
  <c r="Q578" i="17"/>
  <c r="Q301" i="17"/>
  <c r="Q1690" i="17"/>
  <c r="Q364" i="17"/>
  <c r="P756" i="17"/>
  <c r="Q756" i="17" s="1"/>
  <c r="Q345" i="17"/>
  <c r="Q1011" i="17"/>
  <c r="P1685" i="17"/>
  <c r="Q1685" i="17" s="1"/>
  <c r="G587" i="12" s="1"/>
  <c r="A587" i="12" s="1"/>
  <c r="Q1095" i="17"/>
  <c r="Q289" i="17"/>
  <c r="Q510" i="17"/>
  <c r="Q184" i="17"/>
  <c r="Q342" i="17"/>
  <c r="Q95" i="17"/>
  <c r="Q1350" i="17"/>
  <c r="Q912" i="17"/>
  <c r="Q429" i="17"/>
  <c r="Q328" i="17"/>
  <c r="Q385" i="17"/>
  <c r="Q209" i="17"/>
  <c r="Q253" i="17"/>
  <c r="Q1168" i="17"/>
  <c r="Q889" i="17"/>
  <c r="Q870" i="17"/>
  <c r="Q123" i="17"/>
  <c r="Q976" i="17"/>
  <c r="Q982" i="17"/>
  <c r="Q713" i="17"/>
  <c r="Q568" i="17"/>
  <c r="Q294" i="17"/>
  <c r="K163" i="8"/>
  <c r="N163" i="8" s="1"/>
  <c r="G95" i="10" s="1"/>
  <c r="K95" i="10" s="1"/>
  <c r="J255" i="8"/>
  <c r="M255" i="8" s="1"/>
  <c r="P255" i="8" s="1"/>
  <c r="Q1249" i="17"/>
  <c r="J93" i="8"/>
  <c r="M93" i="8" s="1"/>
  <c r="K70" i="8"/>
  <c r="N70" i="8" s="1"/>
  <c r="J158" i="8"/>
  <c r="M158" i="8" s="1"/>
  <c r="F90" i="10" s="1"/>
  <c r="K64" i="8"/>
  <c r="N64" i="8" s="1"/>
  <c r="K16" i="8"/>
  <c r="N16" i="8" s="1"/>
  <c r="J262" i="8"/>
  <c r="M262" i="8" s="1"/>
  <c r="F207" i="10" s="1"/>
  <c r="J257" i="8"/>
  <c r="M257" i="8" s="1"/>
  <c r="F201" i="10" s="1"/>
  <c r="J201" i="10" s="1"/>
  <c r="Q1240" i="17"/>
  <c r="Q21" i="17"/>
  <c r="Q271" i="17"/>
  <c r="Q647" i="17"/>
  <c r="Q413" i="17"/>
  <c r="K154" i="8"/>
  <c r="N154" i="8" s="1"/>
  <c r="G85" i="10" s="1"/>
  <c r="K85" i="10" s="1"/>
  <c r="Q885" i="17"/>
  <c r="Q110" i="17"/>
  <c r="J194" i="8"/>
  <c r="M194" i="8" s="1"/>
  <c r="F132" i="10" s="1"/>
  <c r="Q42" i="17"/>
  <c r="Q539" i="17"/>
  <c r="Q1329" i="17"/>
  <c r="K89" i="8"/>
  <c r="N89" i="8" s="1"/>
  <c r="G14" i="10" s="1"/>
  <c r="K14" i="10" s="1"/>
  <c r="P274" i="17"/>
  <c r="Q274" i="17" s="1"/>
  <c r="Q1460" i="17"/>
  <c r="Q541" i="17"/>
  <c r="Q242" i="17"/>
  <c r="J50" i="8"/>
  <c r="M50" i="8" s="1"/>
  <c r="Q220" i="17"/>
  <c r="Q613" i="17"/>
  <c r="Q484" i="17"/>
  <c r="Q403" i="17"/>
  <c r="Q997" i="17"/>
  <c r="P986" i="17"/>
  <c r="Q986" i="17" s="1"/>
  <c r="J196" i="8"/>
  <c r="M196" i="8" s="1"/>
  <c r="F134" i="10" s="1"/>
  <c r="K181" i="8"/>
  <c r="N181" i="8" s="1"/>
  <c r="G116" i="10" s="1"/>
  <c r="K116" i="10" s="1"/>
  <c r="K68" i="8"/>
  <c r="N68" i="8" s="1"/>
  <c r="K13" i="8"/>
  <c r="N13" i="8" s="1"/>
  <c r="J195" i="8"/>
  <c r="M195" i="8" s="1"/>
  <c r="F133" i="10" s="1"/>
  <c r="J133" i="10" s="1"/>
  <c r="Q1434" i="17"/>
  <c r="Q961" i="17"/>
  <c r="Q1387" i="17"/>
  <c r="P36" i="17"/>
  <c r="K120" i="8"/>
  <c r="N120" i="8" s="1"/>
  <c r="G45" i="10" s="1"/>
  <c r="K45" i="10" s="1"/>
  <c r="Q1875" i="17"/>
  <c r="K12" i="8"/>
  <c r="N12" i="8" s="1"/>
  <c r="J19" i="8"/>
  <c r="M19" i="8" s="1"/>
  <c r="Q936" i="17"/>
  <c r="G177" i="12" s="1"/>
  <c r="A177" i="12" s="1"/>
  <c r="Q792" i="17"/>
  <c r="Q1464" i="17"/>
  <c r="Q1211" i="17"/>
  <c r="Q1191" i="17"/>
  <c r="Q247" i="17"/>
  <c r="Q1291" i="17"/>
  <c r="J143" i="8"/>
  <c r="M143" i="8" s="1"/>
  <c r="F72" i="10" s="1"/>
  <c r="K172" i="8"/>
  <c r="N172" i="8" s="1"/>
  <c r="K2" i="8"/>
  <c r="N2" i="8" s="1"/>
  <c r="K18" i="8"/>
  <c r="N18" i="8" s="1"/>
  <c r="K10" i="8"/>
  <c r="N10" i="8" s="1"/>
  <c r="Q273" i="17"/>
  <c r="Q1791" i="17"/>
  <c r="Q502" i="17"/>
  <c r="K155" i="8"/>
  <c r="N155" i="8" s="1"/>
  <c r="G86" i="10" s="1"/>
  <c r="K86" i="10" s="1"/>
  <c r="K86" i="8"/>
  <c r="N86" i="8" s="1"/>
  <c r="G10" i="10" s="1"/>
  <c r="K10" i="10" s="1"/>
  <c r="Q1550" i="17"/>
  <c r="Q217" i="17"/>
  <c r="Q1242" i="17"/>
  <c r="Q1139" i="17"/>
  <c r="Q1388" i="17"/>
  <c r="Q553" i="17"/>
  <c r="Q276" i="17"/>
  <c r="Q1863" i="17"/>
  <c r="Q1491" i="17"/>
  <c r="P33" i="17"/>
  <c r="Q33" i="17" s="1"/>
  <c r="Q392" i="17"/>
  <c r="Q1772" i="17"/>
  <c r="G302" i="12" s="1"/>
  <c r="A302" i="12" s="1"/>
  <c r="Q1047" i="17"/>
  <c r="Q452" i="17"/>
  <c r="Q716" i="17"/>
  <c r="G114" i="12" s="1"/>
  <c r="A114" i="12" s="1"/>
  <c r="P1840" i="17"/>
  <c r="Q1840" i="17" s="1"/>
  <c r="Q1023" i="17"/>
  <c r="E504" i="12"/>
  <c r="Q1216" i="17"/>
  <c r="P1263" i="17"/>
  <c r="Q1263" i="17" s="1"/>
  <c r="Q715" i="17"/>
  <c r="G113" i="12" s="1"/>
  <c r="A113" i="12" s="1"/>
  <c r="Q1462" i="17"/>
  <c r="P1328" i="17"/>
  <c r="Q1328" i="17" s="1"/>
  <c r="Q298" i="17"/>
  <c r="P1353" i="17"/>
  <c r="Q1353" i="17" s="1"/>
  <c r="P906" i="17"/>
  <c r="Q851" i="17"/>
  <c r="Q709" i="17"/>
  <c r="G236" i="12" s="1"/>
  <c r="A236" i="12" s="1"/>
  <c r="P687" i="17"/>
  <c r="Q1776" i="17"/>
  <c r="G306" i="12" s="1"/>
  <c r="A306" i="12" s="1"/>
  <c r="Q1764" i="17"/>
  <c r="G296" i="12" s="1"/>
  <c r="A296" i="12" s="1"/>
  <c r="Q516" i="17"/>
  <c r="Q1795" i="17"/>
  <c r="H452" i="12" s="1"/>
  <c r="A452" i="12" s="1"/>
  <c r="Q1842" i="17"/>
  <c r="Q490" i="17"/>
  <c r="P1164" i="17"/>
  <c r="Q1164" i="17" s="1"/>
  <c r="Q785" i="17"/>
  <c r="G151" i="12" s="1"/>
  <c r="A151" i="12" s="1"/>
  <c r="Q1713" i="17"/>
  <c r="H438" i="12" s="1"/>
  <c r="A438" i="12" s="1"/>
  <c r="Q884" i="17"/>
  <c r="Q1543" i="17"/>
  <c r="F422" i="12"/>
  <c r="Q1372" i="17"/>
  <c r="H422" i="12" s="1"/>
  <c r="A422" i="12" s="1"/>
  <c r="Q1226" i="17"/>
  <c r="Q529" i="17"/>
  <c r="G150" i="10"/>
  <c r="K150" i="10" s="1"/>
  <c r="P1839" i="17"/>
  <c r="Q1839" i="17" s="1"/>
  <c r="Q1266" i="17"/>
  <c r="Q873" i="17"/>
  <c r="G43" i="12" s="1"/>
  <c r="A43" i="12" s="1"/>
  <c r="Q1099" i="17"/>
  <c r="G200" i="12" s="1"/>
  <c r="A200" i="12" s="1"/>
  <c r="Q1308" i="17"/>
  <c r="Q1681" i="17"/>
  <c r="G585" i="12" s="1"/>
  <c r="A585" i="12" s="1"/>
  <c r="Q1879" i="17"/>
  <c r="Q1214" i="17"/>
  <c r="Q984" i="17"/>
  <c r="Q1590" i="17"/>
  <c r="Q1200" i="17"/>
  <c r="Q753" i="17"/>
  <c r="G138" i="12" s="1"/>
  <c r="A138" i="12" s="1"/>
  <c r="Q648" i="17"/>
  <c r="Q1438" i="17"/>
  <c r="P1364" i="17"/>
  <c r="Q1364" i="17" s="1"/>
  <c r="Q903" i="17"/>
  <c r="Q1107" i="17"/>
  <c r="P1428" i="17"/>
  <c r="P1014" i="17"/>
  <c r="Q1014" i="17" s="1"/>
  <c r="P701" i="17"/>
  <c r="Q701" i="17" s="1"/>
  <c r="Q1770" i="17"/>
  <c r="Q864" i="17"/>
  <c r="Q115" i="17"/>
  <c r="P1603" i="17"/>
  <c r="E611" i="12" s="1"/>
  <c r="Q1551" i="17"/>
  <c r="K151" i="8"/>
  <c r="N151" i="8" s="1"/>
  <c r="G81" i="10" s="1"/>
  <c r="K81" i="10" s="1"/>
  <c r="K33" i="8"/>
  <c r="N33" i="8" s="1"/>
  <c r="E291" i="12"/>
  <c r="K59" i="8"/>
  <c r="N59" i="8" s="1"/>
  <c r="G58" i="10" s="1"/>
  <c r="K58" i="10" s="1"/>
  <c r="P1831" i="17"/>
  <c r="F456" i="12" s="1"/>
  <c r="Q1031" i="17"/>
  <c r="Q538" i="17"/>
  <c r="Q366" i="17"/>
  <c r="Q1553" i="17"/>
  <c r="Q931" i="17"/>
  <c r="Q994" i="17"/>
  <c r="Q929" i="17"/>
  <c r="Q1188" i="17"/>
  <c r="Q500" i="17"/>
  <c r="Q842" i="17"/>
  <c r="Q1566" i="17"/>
  <c r="Q901" i="17"/>
  <c r="Q465" i="17"/>
  <c r="P1796" i="17"/>
  <c r="F453" i="12" s="1"/>
  <c r="K125" i="8"/>
  <c r="N125" i="8" s="1"/>
  <c r="G50" i="10" s="1"/>
  <c r="I50" i="10" s="1"/>
  <c r="M50" i="10" s="1"/>
  <c r="E575" i="12"/>
  <c r="Q1366" i="17"/>
  <c r="G575" i="12" s="1"/>
  <c r="A575" i="12" s="1"/>
  <c r="Q1206" i="17"/>
  <c r="Q593" i="17"/>
  <c r="Q1020" i="17"/>
  <c r="Q1259" i="17"/>
  <c r="G209" i="12" s="1"/>
  <c r="A209" i="12" s="1"/>
  <c r="Q908" i="17"/>
  <c r="Q946" i="17"/>
  <c r="Q1780" i="17"/>
  <c r="G310" i="12" s="1"/>
  <c r="A310" i="12" s="1"/>
  <c r="Q1826" i="17"/>
  <c r="P1548" i="17"/>
  <c r="P1007" i="17"/>
  <c r="Q1007" i="17" s="1"/>
  <c r="P127" i="17"/>
  <c r="Q127" i="17" s="1"/>
  <c r="Q1876" i="17"/>
  <c r="Q972" i="17"/>
  <c r="Q693" i="17"/>
  <c r="Q1560" i="17"/>
  <c r="Q1521" i="17"/>
  <c r="P1272" i="17"/>
  <c r="Q1272" i="17" s="1"/>
  <c r="Q1158" i="17"/>
  <c r="Q355" i="17"/>
  <c r="Q272" i="17"/>
  <c r="Q7" i="17"/>
  <c r="P1086" i="17"/>
  <c r="Q1086" i="17" s="1"/>
  <c r="P979" i="17"/>
  <c r="Q1081" i="17"/>
  <c r="G557" i="12" s="1"/>
  <c r="A557" i="12" s="1"/>
  <c r="F470" i="12"/>
  <c r="E149" i="12"/>
  <c r="Q780" i="17"/>
  <c r="G149" i="12" s="1"/>
  <c r="A149" i="12" s="1"/>
  <c r="E142" i="12"/>
  <c r="Q761" i="17"/>
  <c r="G142" i="12" s="1"/>
  <c r="A142" i="12" s="1"/>
  <c r="Q1335" i="17"/>
  <c r="K36" i="8"/>
  <c r="N36" i="8" s="1"/>
  <c r="P1218" i="17"/>
  <c r="Q1358" i="17"/>
  <c r="K218" i="8"/>
  <c r="N218" i="8" s="1"/>
  <c r="G157" i="10" s="1"/>
  <c r="K157" i="10" s="1"/>
  <c r="P1720" i="17"/>
  <c r="E593" i="12" s="1"/>
  <c r="G70" i="12"/>
  <c r="A70" i="12" s="1"/>
  <c r="E70" i="12"/>
  <c r="Q1570" i="17"/>
  <c r="Q916" i="17"/>
  <c r="Q323" i="17"/>
  <c r="Q1317" i="17"/>
  <c r="Q790" i="17"/>
  <c r="P690" i="17"/>
  <c r="Q279" i="17"/>
  <c r="Q1156" i="17"/>
  <c r="Q375" i="17"/>
  <c r="Q1106" i="17"/>
  <c r="Q671" i="17"/>
  <c r="Q1159" i="17"/>
  <c r="Q518" i="17"/>
  <c r="Q51" i="17"/>
  <c r="G504" i="12"/>
  <c r="A504" i="12" s="1"/>
  <c r="Q1578" i="17"/>
  <c r="E587" i="12"/>
  <c r="Q1750" i="17"/>
  <c r="G289" i="12" s="1"/>
  <c r="A289" i="12" s="1"/>
  <c r="Q1108" i="17"/>
  <c r="Q944" i="17"/>
  <c r="Q1178" i="17"/>
  <c r="Q1258" i="17"/>
  <c r="Q548" i="17"/>
  <c r="Q717" i="17"/>
  <c r="G115" i="12" s="1"/>
  <c r="A115" i="12" s="1"/>
  <c r="Q1324" i="17"/>
  <c r="Q658" i="17"/>
  <c r="G92" i="12" s="1"/>
  <c r="A92" i="12" s="1"/>
  <c r="P820" i="17"/>
  <c r="Q820" i="17" s="1"/>
  <c r="H407" i="12" s="1"/>
  <c r="A407" i="12" s="1"/>
  <c r="Q1056" i="17"/>
  <c r="G191" i="12" s="1"/>
  <c r="A191" i="12" s="1"/>
  <c r="P1262" i="17"/>
  <c r="Q1768" i="17"/>
  <c r="G300" i="12" s="1"/>
  <c r="A300" i="12" s="1"/>
  <c r="Q1422" i="17"/>
  <c r="P1256" i="17"/>
  <c r="Q1256" i="17" s="1"/>
  <c r="Q999" i="17"/>
  <c r="Q1558" i="17"/>
  <c r="Q299" i="17"/>
  <c r="P267" i="8"/>
  <c r="P266" i="17"/>
  <c r="Q266" i="17" s="1"/>
  <c r="Q1786" i="17"/>
  <c r="G316" i="12" s="1"/>
  <c r="A316" i="12" s="1"/>
  <c r="P839" i="17"/>
  <c r="Q839" i="17" s="1"/>
  <c r="H414" i="12" s="1"/>
  <c r="A414" i="12" s="1"/>
  <c r="Q1252" i="17"/>
  <c r="G571" i="12" s="1"/>
  <c r="A571" i="12" s="1"/>
  <c r="P1634" i="17"/>
  <c r="Q1634" i="17" s="1"/>
  <c r="G614" i="12" s="1"/>
  <c r="A614" i="12" s="1"/>
  <c r="Q684" i="17"/>
  <c r="Q1433" i="17"/>
  <c r="Q1281" i="17"/>
  <c r="Q859" i="17"/>
  <c r="P1834" i="17"/>
  <c r="E606" i="12" s="1"/>
  <c r="Q1421" i="17"/>
  <c r="P927" i="17"/>
  <c r="Q927" i="17" s="1"/>
  <c r="Q1635" i="17"/>
  <c r="Q602" i="17"/>
  <c r="P1414" i="17"/>
  <c r="P1151" i="17"/>
  <c r="Q1151" i="17" s="1"/>
  <c r="J119" i="8"/>
  <c r="M119" i="8" s="1"/>
  <c r="P56" i="17"/>
  <c r="Q56" i="17" s="1"/>
  <c r="P1313" i="17"/>
  <c r="P996" i="17"/>
  <c r="Q1384" i="17"/>
  <c r="Q507" i="17"/>
  <c r="P1797" i="17"/>
  <c r="Q1797" i="17" s="1"/>
  <c r="H454" i="12" s="1"/>
  <c r="A454" i="12" s="1"/>
  <c r="J181" i="8"/>
  <c r="M181" i="8" s="1"/>
  <c r="F116" i="10" s="1"/>
  <c r="Q1596" i="17"/>
  <c r="G246" i="12" s="1"/>
  <c r="A246" i="12" s="1"/>
  <c r="K123" i="8"/>
  <c r="N123" i="8" s="1"/>
  <c r="G48" i="10" s="1"/>
  <c r="K48" i="10" s="1"/>
  <c r="G66" i="12"/>
  <c r="A66" i="12" s="1"/>
  <c r="J42" i="8"/>
  <c r="M42" i="8" s="1"/>
  <c r="E66" i="12"/>
  <c r="E234" i="12"/>
  <c r="E25" i="12"/>
  <c r="P1815" i="17"/>
  <c r="Q1815" i="17" s="1"/>
  <c r="P951" i="17"/>
  <c r="Q951" i="17" s="1"/>
  <c r="G550" i="12" s="1"/>
  <c r="A550" i="12" s="1"/>
  <c r="E177" i="12"/>
  <c r="P1811" i="17"/>
  <c r="Q1811" i="17" s="1"/>
  <c r="K196" i="8"/>
  <c r="N196" i="8" s="1"/>
  <c r="G134" i="10" s="1"/>
  <c r="K134" i="10" s="1"/>
  <c r="K31" i="8"/>
  <c r="N31" i="8" s="1"/>
  <c r="Q1871" i="17"/>
  <c r="Q1354" i="17"/>
  <c r="E97" i="12"/>
  <c r="P1725" i="17"/>
  <c r="Q1725" i="17" s="1"/>
  <c r="H442" i="12" s="1"/>
  <c r="A442" i="12" s="1"/>
  <c r="E159" i="12"/>
  <c r="G97" i="12"/>
  <c r="A97" i="12" s="1"/>
  <c r="E45" i="12"/>
  <c r="P1290" i="17"/>
  <c r="Q1290" i="17" s="1"/>
  <c r="J135" i="8"/>
  <c r="M135" i="8" s="1"/>
  <c r="Q1288" i="17"/>
  <c r="Q1361" i="17"/>
  <c r="P1442" i="17"/>
  <c r="Q265" i="17"/>
  <c r="P1832" i="17"/>
  <c r="Q1832" i="17" s="1"/>
  <c r="H457" i="12" s="1"/>
  <c r="A457" i="12" s="1"/>
  <c r="Q1458" i="17"/>
  <c r="Q504" i="17"/>
  <c r="J75" i="8"/>
  <c r="M75" i="8" s="1"/>
  <c r="F77" i="10" s="1"/>
  <c r="Q734" i="17"/>
  <c r="G128" i="12" s="1"/>
  <c r="A128" i="12" s="1"/>
  <c r="K65" i="8"/>
  <c r="N65" i="8" s="1"/>
  <c r="Q1437" i="17"/>
  <c r="G65" i="12" s="1"/>
  <c r="A65" i="12" s="1"/>
  <c r="P844" i="17"/>
  <c r="Q844" i="17" s="1"/>
  <c r="Q1524" i="17"/>
  <c r="P128" i="17"/>
  <c r="Q128" i="17" s="1"/>
  <c r="Q1605" i="17"/>
  <c r="K7" i="8"/>
  <c r="N7" i="8" s="1"/>
  <c r="P800" i="17"/>
  <c r="Q800" i="17" s="1"/>
  <c r="G515" i="12" s="1"/>
  <c r="A515" i="12" s="1"/>
  <c r="P1723" i="17"/>
  <c r="E594" i="12" s="1"/>
  <c r="P1038" i="17"/>
  <c r="Q1038" i="17" s="1"/>
  <c r="P1688" i="17"/>
  <c r="Q1688" i="17" s="1"/>
  <c r="H433" i="12" s="1"/>
  <c r="A433" i="12" s="1"/>
  <c r="Q1658" i="17"/>
  <c r="P1257" i="17"/>
  <c r="P1812" i="17"/>
  <c r="Q1812" i="17" s="1"/>
  <c r="G605" i="12" s="1"/>
  <c r="A605" i="12" s="1"/>
  <c r="P1729" i="17"/>
  <c r="E596" i="12" s="1"/>
  <c r="Q1127" i="17"/>
  <c r="K45" i="8"/>
  <c r="N45" i="8" s="1"/>
  <c r="Q1808" i="17"/>
  <c r="G604" i="12" s="1"/>
  <c r="A604" i="12" s="1"/>
  <c r="K37" i="8"/>
  <c r="N37" i="8" s="1"/>
  <c r="P773" i="17"/>
  <c r="Q773" i="17" s="1"/>
  <c r="P1126" i="17"/>
  <c r="Q1126" i="17" s="1"/>
  <c r="G562" i="12" s="1"/>
  <c r="A562" i="12" s="1"/>
  <c r="P1088" i="17"/>
  <c r="Q1088" i="17" s="1"/>
  <c r="K141" i="8"/>
  <c r="N141" i="8" s="1"/>
  <c r="P1740" i="17"/>
  <c r="F447" i="12" s="1"/>
  <c r="Q1113" i="17"/>
  <c r="J12" i="8"/>
  <c r="M12" i="8" s="1"/>
  <c r="P938" i="17"/>
  <c r="Q938" i="17" s="1"/>
  <c r="P1124" i="17"/>
  <c r="Q1124" i="17" s="1"/>
  <c r="Q1114" i="17"/>
  <c r="Q231" i="17"/>
  <c r="J118" i="8"/>
  <c r="M118" i="8" s="1"/>
  <c r="F43" i="10" s="1"/>
  <c r="J10" i="8"/>
  <c r="M10" i="8" s="1"/>
  <c r="P1633" i="17"/>
  <c r="Q1633" i="17" s="1"/>
  <c r="P838" i="17"/>
  <c r="Q838" i="17" s="1"/>
  <c r="G527" i="12" s="1"/>
  <c r="A527" i="12" s="1"/>
  <c r="P1273" i="17"/>
  <c r="Q1273" i="17" s="1"/>
  <c r="P1219" i="17"/>
  <c r="P661" i="17"/>
  <c r="Q661" i="17" s="1"/>
  <c r="Q659" i="17"/>
  <c r="P815" i="17"/>
  <c r="Q815" i="17" s="1"/>
  <c r="G520" i="12" s="1"/>
  <c r="A520" i="12" s="1"/>
  <c r="P1255" i="17"/>
  <c r="Q1255" i="17" s="1"/>
  <c r="K51" i="8"/>
  <c r="N51" i="8" s="1"/>
  <c r="P51" i="8" s="1"/>
  <c r="G42" i="12"/>
  <c r="A42" i="12" s="1"/>
  <c r="Q657" i="17"/>
  <c r="P904" i="17"/>
  <c r="P1737" i="17"/>
  <c r="Q1737" i="17" s="1"/>
  <c r="H446" i="12" s="1"/>
  <c r="A446" i="12" s="1"/>
  <c r="P1420" i="17"/>
  <c r="Q1585" i="17"/>
  <c r="Q431" i="17"/>
  <c r="Q1160" i="17"/>
  <c r="G567" i="12" s="1"/>
  <c r="A567" i="12" s="1"/>
  <c r="P1223" i="17"/>
  <c r="Q1223" i="17" s="1"/>
  <c r="P1034" i="17"/>
  <c r="Q604" i="17"/>
  <c r="P1519" i="17"/>
  <c r="P121" i="17"/>
  <c r="K73" i="8"/>
  <c r="N73" i="8" s="1"/>
  <c r="Q549" i="17"/>
  <c r="Q1662" i="17"/>
  <c r="Q1525" i="17"/>
  <c r="P1722" i="17"/>
  <c r="Q1722" i="17" s="1"/>
  <c r="H441" i="12" s="1"/>
  <c r="A441" i="12" s="1"/>
  <c r="P1061" i="17"/>
  <c r="Q1061" i="17" s="1"/>
  <c r="G556" i="12" s="1"/>
  <c r="A556" i="12" s="1"/>
  <c r="Q1349" i="17"/>
  <c r="P1006" i="17"/>
  <c r="Q1006" i="17" s="1"/>
  <c r="Q634" i="17"/>
  <c r="P1424" i="17"/>
  <c r="Q1424" i="17" s="1"/>
  <c r="P1177" i="17"/>
  <c r="Q1177" i="17" s="1"/>
  <c r="G569" i="12" s="1"/>
  <c r="A569" i="12" s="1"/>
  <c r="P812" i="17"/>
  <c r="E519" i="12" s="1"/>
  <c r="Q1655" i="17"/>
  <c r="P1427" i="17"/>
  <c r="P1672" i="17"/>
  <c r="Q1672" i="17" s="1"/>
  <c r="Q937" i="17"/>
  <c r="Q654" i="17"/>
  <c r="J165" i="8"/>
  <c r="M165" i="8" s="1"/>
  <c r="P1379" i="17"/>
  <c r="Q1379" i="17" s="1"/>
  <c r="K217" i="8"/>
  <c r="N217" i="8" s="1"/>
  <c r="G156" i="10" s="1"/>
  <c r="K156" i="10" s="1"/>
  <c r="I36" i="10"/>
  <c r="M36" i="10" s="1"/>
  <c r="Z36" i="10" s="1"/>
  <c r="P770" i="17"/>
  <c r="F390" i="12" s="1"/>
  <c r="Q263" i="17"/>
  <c r="P112" i="8"/>
  <c r="P1760" i="17"/>
  <c r="Q1760" i="17" s="1"/>
  <c r="G602" i="12" s="1"/>
  <c r="A602" i="12" s="1"/>
  <c r="Q752" i="17"/>
  <c r="G137" i="12" s="1"/>
  <c r="A137" i="12" s="1"/>
  <c r="Q1629" i="17"/>
  <c r="G259" i="12" s="1"/>
  <c r="A259" i="12" s="1"/>
  <c r="E269" i="12"/>
  <c r="Q1669" i="17"/>
  <c r="G269" i="12" s="1"/>
  <c r="A269" i="12" s="1"/>
  <c r="E171" i="12"/>
  <c r="Q891" i="17"/>
  <c r="G171" i="12" s="1"/>
  <c r="A171" i="12" s="1"/>
  <c r="E313" i="12"/>
  <c r="Q1783" i="17"/>
  <c r="G313" i="12" s="1"/>
  <c r="A313" i="12" s="1"/>
  <c r="E222" i="12"/>
  <c r="Q1736" i="17"/>
  <c r="G222" i="12" s="1"/>
  <c r="A222" i="12" s="1"/>
  <c r="E122" i="12"/>
  <c r="Q729" i="17"/>
  <c r="G122" i="12" s="1"/>
  <c r="A122" i="12" s="1"/>
  <c r="Q1134" i="17"/>
  <c r="G564" i="12" s="1"/>
  <c r="A564" i="12" s="1"/>
  <c r="E564" i="12"/>
  <c r="E292" i="12"/>
  <c r="Q1754" i="17"/>
  <c r="G292" i="12" s="1"/>
  <c r="A292" i="12" s="1"/>
  <c r="E603" i="12"/>
  <c r="Q1799" i="17"/>
  <c r="G603" i="12" s="1"/>
  <c r="A603" i="12" s="1"/>
  <c r="E228" i="12"/>
  <c r="Q1801" i="17"/>
  <c r="G228" i="12" s="1"/>
  <c r="A228" i="12" s="1"/>
  <c r="F454" i="12"/>
  <c r="E287" i="12"/>
  <c r="Q1748" i="17"/>
  <c r="G287" i="12" s="1"/>
  <c r="A287" i="12" s="1"/>
  <c r="F457" i="12"/>
  <c r="P1479" i="17"/>
  <c r="Q1479" i="17" s="1"/>
  <c r="K85" i="8"/>
  <c r="N85" i="8" s="1"/>
  <c r="G9" i="10" s="1"/>
  <c r="K9" i="10" s="1"/>
  <c r="K115" i="8"/>
  <c r="N115" i="8" s="1"/>
  <c r="K35" i="8"/>
  <c r="N35" i="8" s="1"/>
  <c r="E249" i="12"/>
  <c r="Q1235" i="17"/>
  <c r="Q1125" i="17"/>
  <c r="Q1269" i="17"/>
  <c r="P1184" i="17"/>
  <c r="Q1184" i="17" s="1"/>
  <c r="Q1097" i="17"/>
  <c r="P966" i="17"/>
  <c r="G186" i="12"/>
  <c r="A186" i="12" s="1"/>
  <c r="Q237" i="17"/>
  <c r="K197" i="8"/>
  <c r="N197" i="8" s="1"/>
  <c r="G135" i="10" s="1"/>
  <c r="K135" i="10" s="1"/>
  <c r="J62" i="8"/>
  <c r="M62" i="8" s="1"/>
  <c r="K53" i="8"/>
  <c r="N53" i="8" s="1"/>
  <c r="Q642" i="17"/>
  <c r="E162" i="12"/>
  <c r="Q1532" i="17"/>
  <c r="J144" i="8"/>
  <c r="M144" i="8" s="1"/>
  <c r="F73" i="10" s="1"/>
  <c r="Q1703" i="17"/>
  <c r="G281" i="12" s="1"/>
  <c r="A281" i="12" s="1"/>
  <c r="P1407" i="17"/>
  <c r="Q1264" i="17"/>
  <c r="Q1149" i="17"/>
  <c r="Q284" i="17"/>
  <c r="Q1279" i="17"/>
  <c r="Q907" i="17"/>
  <c r="G16" i="12" s="1"/>
  <c r="K34" i="8"/>
  <c r="N34" i="8" s="1"/>
  <c r="J18" i="8"/>
  <c r="M18" i="8" s="1"/>
  <c r="Q1220" i="17"/>
  <c r="G119" i="10"/>
  <c r="K119" i="10" s="1"/>
  <c r="E186" i="12"/>
  <c r="P1707" i="17"/>
  <c r="Q1707" i="17" s="1"/>
  <c r="H436" i="12" s="1"/>
  <c r="A436" i="12" s="1"/>
  <c r="P809" i="17"/>
  <c r="P1375" i="17"/>
  <c r="Q1375" i="17" s="1"/>
  <c r="H423" i="12" s="1"/>
  <c r="A423" i="12" s="1"/>
  <c r="P845" i="17"/>
  <c r="Q845" i="17" s="1"/>
  <c r="Q740" i="17"/>
  <c r="G134" i="12" s="1"/>
  <c r="A134" i="12" s="1"/>
  <c r="Q316" i="17"/>
  <c r="J123" i="8"/>
  <c r="M123" i="8" s="1"/>
  <c r="F48" i="10" s="1"/>
  <c r="K114" i="8"/>
  <c r="N114" i="8" s="1"/>
  <c r="E207" i="12"/>
  <c r="P1425" i="17"/>
  <c r="Q1425" i="17" s="1"/>
  <c r="P688" i="17"/>
  <c r="Q1652" i="17"/>
  <c r="Q157" i="17"/>
  <c r="Q1470" i="17"/>
  <c r="Q1398" i="17"/>
  <c r="Q1730" i="17"/>
  <c r="G220" i="12" s="1"/>
  <c r="A220" i="12" s="1"/>
  <c r="J132" i="8"/>
  <c r="M132" i="8" s="1"/>
  <c r="K21" i="8"/>
  <c r="N21" i="8" s="1"/>
  <c r="K5" i="8"/>
  <c r="N5" i="8" s="1"/>
  <c r="G40" i="10" s="1"/>
  <c r="K40" i="10" s="1"/>
  <c r="E108" i="12"/>
  <c r="Q1869" i="17"/>
  <c r="P638" i="17"/>
  <c r="Q638" i="17" s="1"/>
  <c r="E173" i="12"/>
  <c r="P724" i="17"/>
  <c r="Q724" i="17" s="1"/>
  <c r="G535" i="12" s="1"/>
  <c r="A535" i="12" s="1"/>
  <c r="Q1036" i="17"/>
  <c r="G187" i="12" s="1"/>
  <c r="A187" i="12" s="1"/>
  <c r="P1735" i="17"/>
  <c r="E598" i="12" s="1"/>
  <c r="E179" i="12"/>
  <c r="Q1540" i="17"/>
  <c r="G115" i="10"/>
  <c r="K115" i="10" s="1"/>
  <c r="P1806" i="17"/>
  <c r="Q1806" i="17" s="1"/>
  <c r="Q1356" i="17"/>
  <c r="G89" i="12" s="1"/>
  <c r="A89" i="12" s="1"/>
  <c r="Q1307" i="17"/>
  <c r="Q1077" i="17"/>
  <c r="Q561" i="17"/>
  <c r="P243" i="17"/>
  <c r="J94" i="8"/>
  <c r="M94" i="8" s="1"/>
  <c r="P94" i="8" s="1"/>
  <c r="Q1679" i="17"/>
  <c r="G584" i="12" s="1"/>
  <c r="A584" i="12" s="1"/>
  <c r="K113" i="8"/>
  <c r="N113" i="8" s="1"/>
  <c r="G37" i="10" s="1"/>
  <c r="K37" i="10" s="1"/>
  <c r="P1546" i="17"/>
  <c r="Q337" i="17"/>
  <c r="Q1348" i="17"/>
  <c r="Q992" i="17"/>
  <c r="P942" i="17"/>
  <c r="Q942" i="17" s="1"/>
  <c r="Q685" i="17"/>
  <c r="Q682" i="17"/>
  <c r="K49" i="8"/>
  <c r="N49" i="8" s="1"/>
  <c r="N89" i="10"/>
  <c r="J48" i="8"/>
  <c r="M48" i="8" s="1"/>
  <c r="E330" i="12"/>
  <c r="E72" i="12"/>
  <c r="G108" i="12"/>
  <c r="A108" i="12" s="1"/>
  <c r="P1602" i="17"/>
  <c r="F471" i="12" s="1"/>
  <c r="P1326" i="17"/>
  <c r="Q1326" i="17" s="1"/>
  <c r="Q1586" i="17"/>
  <c r="Q1503" i="17"/>
  <c r="J159" i="8"/>
  <c r="M159" i="8" s="1"/>
  <c r="J172" i="8"/>
  <c r="M172" i="8" s="1"/>
  <c r="G330" i="12"/>
  <c r="A330" i="12" s="1"/>
  <c r="G72" i="12"/>
  <c r="A72" i="12" s="1"/>
  <c r="P268" i="17"/>
  <c r="E505" i="12" s="1"/>
  <c r="K69" i="8"/>
  <c r="N69" i="8" s="1"/>
  <c r="P964" i="17"/>
  <c r="Q964" i="17" s="1"/>
  <c r="E283" i="12"/>
  <c r="Q1705" i="17"/>
  <c r="G283" i="12" s="1"/>
  <c r="A283" i="12" s="1"/>
  <c r="F445" i="12"/>
  <c r="Q1734" i="17"/>
  <c r="H445" i="12" s="1"/>
  <c r="A445" i="12" s="1"/>
  <c r="E562" i="12"/>
  <c r="E230" i="12"/>
  <c r="P438" i="17"/>
  <c r="Q438" i="17" s="1"/>
  <c r="P915" i="17"/>
  <c r="Q1825" i="17"/>
  <c r="G80" i="12" s="1"/>
  <c r="A80" i="12" s="1"/>
  <c r="Q1595" i="17"/>
  <c r="E101" i="12"/>
  <c r="P1674" i="17"/>
  <c r="F426" i="12" s="1"/>
  <c r="P267" i="17"/>
  <c r="Q267" i="17" s="1"/>
  <c r="P1026" i="17"/>
  <c r="Q909" i="17"/>
  <c r="K152" i="8"/>
  <c r="N152" i="8" s="1"/>
  <c r="G82" i="10" s="1"/>
  <c r="K82" i="10" s="1"/>
  <c r="G27" i="12"/>
  <c r="A27" i="12" s="1"/>
  <c r="P1648" i="17"/>
  <c r="Q1648" i="17" s="1"/>
  <c r="P913" i="17"/>
  <c r="Q913" i="17" s="1"/>
  <c r="P721" i="17"/>
  <c r="Q721" i="17" s="1"/>
  <c r="K9" i="8"/>
  <c r="N9" i="8" s="1"/>
  <c r="P1829" i="17"/>
  <c r="Q1829" i="17" s="1"/>
  <c r="P260" i="17"/>
  <c r="G83" i="12"/>
  <c r="A83" i="12" s="1"/>
  <c r="K72" i="8"/>
  <c r="N72" i="8" s="1"/>
  <c r="P1771" i="17"/>
  <c r="Q1771" i="17" s="1"/>
  <c r="H469" i="12" s="1"/>
  <c r="A469" i="12" s="1"/>
  <c r="E83" i="12"/>
  <c r="P1010" i="17"/>
  <c r="E551" i="12" s="1"/>
  <c r="P1144" i="17"/>
  <c r="Q1144" i="17" s="1"/>
  <c r="P1069" i="17"/>
  <c r="Q1069" i="17" s="1"/>
  <c r="E227" i="12"/>
  <c r="K42" i="8"/>
  <c r="N42" i="8" s="1"/>
  <c r="E191" i="12"/>
  <c r="P26" i="17"/>
  <c r="P1147" i="17"/>
  <c r="Q1809" i="17"/>
  <c r="G230" i="12" s="1"/>
  <c r="A230" i="12" s="1"/>
  <c r="J116" i="8"/>
  <c r="M116" i="8" s="1"/>
  <c r="F41" i="10" s="1"/>
  <c r="J43" i="8"/>
  <c r="M43" i="8" s="1"/>
  <c r="P1402" i="17"/>
  <c r="P1027" i="17"/>
  <c r="P934" i="17"/>
  <c r="P83" i="17"/>
  <c r="Q83" i="17" s="1"/>
  <c r="Q1510" i="17"/>
  <c r="G21" i="12" s="1"/>
  <c r="A21" i="12" s="1"/>
  <c r="J24" i="8"/>
  <c r="M24" i="8" s="1"/>
  <c r="F118" i="10" s="1"/>
  <c r="Q1870" i="17"/>
  <c r="P1365" i="17"/>
  <c r="Q1365" i="17" s="1"/>
  <c r="K168" i="8"/>
  <c r="N168" i="8" s="1"/>
  <c r="G101" i="10" s="1"/>
  <c r="K101" i="10" s="1"/>
  <c r="K20" i="8"/>
  <c r="N20" i="8" s="1"/>
  <c r="P1714" i="17"/>
  <c r="Q1511" i="17"/>
  <c r="G55" i="12" s="1"/>
  <c r="A55" i="12" s="1"/>
  <c r="P1623" i="17"/>
  <c r="Q1623" i="17" s="1"/>
  <c r="P1369" i="17"/>
  <c r="Q1369" i="17" s="1"/>
  <c r="Q513" i="17"/>
  <c r="P248" i="17"/>
  <c r="Q248" i="17" s="1"/>
  <c r="P960" i="17"/>
  <c r="P875" i="17"/>
  <c r="Q875" i="17" s="1"/>
  <c r="P253" i="8"/>
  <c r="Q1283" i="17"/>
  <c r="G328" i="12" s="1"/>
  <c r="A328" i="12" s="1"/>
  <c r="E105" i="12"/>
  <c r="P1686" i="17"/>
  <c r="Q1686" i="17" s="1"/>
  <c r="H432" i="12" s="1"/>
  <c r="A432" i="12" s="1"/>
  <c r="P1059" i="17"/>
  <c r="Q1059" i="17" s="1"/>
  <c r="P893" i="17"/>
  <c r="Q893" i="17" s="1"/>
  <c r="P1659" i="17"/>
  <c r="Q1659" i="17" s="1"/>
  <c r="E256" i="12"/>
  <c r="Q1613" i="17"/>
  <c r="G256" i="12" s="1"/>
  <c r="A256" i="12" s="1"/>
  <c r="E261" i="12"/>
  <c r="Q1631" i="17"/>
  <c r="G261" i="12" s="1"/>
  <c r="A261" i="12" s="1"/>
  <c r="Q1287" i="17"/>
  <c r="P1150" i="17"/>
  <c r="Q1150" i="17" s="1"/>
  <c r="P1094" i="17"/>
  <c r="Q1094" i="17" s="1"/>
  <c r="P1089" i="17"/>
  <c r="Q1089" i="17" s="1"/>
  <c r="G179" i="12"/>
  <c r="A179" i="12" s="1"/>
  <c r="P768" i="17"/>
  <c r="Q768" i="17" s="1"/>
  <c r="J126" i="8"/>
  <c r="M126" i="8" s="1"/>
  <c r="F51" i="10" s="1"/>
  <c r="K3" i="8"/>
  <c r="N3" i="8" s="1"/>
  <c r="P55" i="17"/>
  <c r="Q55" i="17" s="1"/>
  <c r="P1591" i="17"/>
  <c r="Q1591" i="17" s="1"/>
  <c r="G241" i="12" s="1"/>
  <c r="A241" i="12" s="1"/>
  <c r="Q989" i="17"/>
  <c r="P834" i="17"/>
  <c r="Q834" i="17" s="1"/>
  <c r="H412" i="12" s="1"/>
  <c r="A412" i="12" s="1"/>
  <c r="P1684" i="17"/>
  <c r="F431" i="12" s="1"/>
  <c r="P1295" i="17"/>
  <c r="Q1295" i="17" s="1"/>
  <c r="P1128" i="17"/>
  <c r="Q1128" i="17" s="1"/>
  <c r="P1441" i="17"/>
  <c r="P1100" i="17"/>
  <c r="Q1100" i="17" s="1"/>
  <c r="P482" i="17"/>
  <c r="Q482" i="17" s="1"/>
  <c r="G69" i="12"/>
  <c r="A69" i="12" s="1"/>
  <c r="E69" i="12"/>
  <c r="G573" i="12"/>
  <c r="A573" i="12" s="1"/>
  <c r="P1763" i="17"/>
  <c r="E295" i="12" s="1"/>
  <c r="P1506" i="17"/>
  <c r="P1140" i="17"/>
  <c r="Q1140" i="17" s="1"/>
  <c r="Q863" i="17"/>
  <c r="P817" i="17"/>
  <c r="Q817" i="17" s="1"/>
  <c r="H406" i="12" s="1"/>
  <c r="A406" i="12" s="1"/>
  <c r="J141" i="8"/>
  <c r="M141" i="8" s="1"/>
  <c r="K61" i="8"/>
  <c r="N61" i="8" s="1"/>
  <c r="P949" i="17"/>
  <c r="Q949" i="17" s="1"/>
  <c r="E573" i="12"/>
  <c r="P731" i="17"/>
  <c r="Q731" i="17" s="1"/>
  <c r="G124" i="12" s="1"/>
  <c r="A124" i="12" s="1"/>
  <c r="P760" i="17"/>
  <c r="Q760" i="17" s="1"/>
  <c r="G141" i="12" s="1"/>
  <c r="A141" i="12" s="1"/>
  <c r="P977" i="17"/>
  <c r="Q977" i="17" s="1"/>
  <c r="P47" i="17"/>
  <c r="P1070" i="17"/>
  <c r="Q1070" i="17" s="1"/>
  <c r="J228" i="8"/>
  <c r="M228" i="8" s="1"/>
  <c r="P788" i="17"/>
  <c r="Q788" i="17" s="1"/>
  <c r="P639" i="17"/>
  <c r="Q639" i="17" s="1"/>
  <c r="G52" i="12"/>
  <c r="A52" i="12" s="1"/>
  <c r="E52" i="12"/>
  <c r="P122" i="17"/>
  <c r="E218" i="12"/>
  <c r="P663" i="17"/>
  <c r="P920" i="17"/>
  <c r="Q920" i="17" s="1"/>
  <c r="Q1755" i="17"/>
  <c r="Q1552" i="17"/>
  <c r="Q1062" i="17"/>
  <c r="G101" i="12" s="1"/>
  <c r="A101" i="12" s="1"/>
  <c r="P892" i="17"/>
  <c r="Q892" i="17" s="1"/>
  <c r="P835" i="17"/>
  <c r="Q835" i="17" s="1"/>
  <c r="G526" i="12" s="1"/>
  <c r="A526" i="12" s="1"/>
  <c r="P1816" i="17"/>
  <c r="Q1816" i="17" s="1"/>
  <c r="P836" i="17"/>
  <c r="Q836" i="17" s="1"/>
  <c r="G168" i="12" s="1"/>
  <c r="A168" i="12" s="1"/>
  <c r="P1406" i="17"/>
  <c r="Q1406" i="17" s="1"/>
  <c r="Q998" i="17"/>
  <c r="G87" i="12" s="1"/>
  <c r="A87" i="12" s="1"/>
  <c r="P782" i="17"/>
  <c r="P786" i="17"/>
  <c r="Q786" i="17" s="1"/>
  <c r="P244" i="17"/>
  <c r="E19" i="14"/>
  <c r="P1847" i="17"/>
  <c r="Q1847" i="17" s="1"/>
  <c r="P914" i="17"/>
  <c r="Q914" i="17" s="1"/>
  <c r="P689" i="17"/>
  <c r="Q689" i="17" s="1"/>
  <c r="G531" i="12" s="1"/>
  <c r="A531" i="12" s="1"/>
  <c r="P710" i="17"/>
  <c r="Q710" i="17" s="1"/>
  <c r="J5" i="8"/>
  <c r="M5" i="8" s="1"/>
  <c r="F40" i="10" s="1"/>
  <c r="P1843" i="17"/>
  <c r="Q1843" i="17" s="1"/>
  <c r="P1417" i="17"/>
  <c r="Q1417" i="17" s="1"/>
  <c r="P1647" i="17"/>
  <c r="Q1647" i="17" s="1"/>
  <c r="P1508" i="17"/>
  <c r="P1043" i="17"/>
  <c r="F418" i="12" s="1"/>
  <c r="P876" i="17"/>
  <c r="Q876" i="17" s="1"/>
  <c r="P75" i="17"/>
  <c r="J68" i="8"/>
  <c r="M68" i="8" s="1"/>
  <c r="P1835" i="17"/>
  <c r="Q1835" i="17" s="1"/>
  <c r="G231" i="12" s="1"/>
  <c r="A231" i="12" s="1"/>
  <c r="P1660" i="17"/>
  <c r="Q1660" i="17" s="1"/>
  <c r="P1504" i="17"/>
  <c r="Q1504" i="17" s="1"/>
  <c r="H388" i="12" s="1"/>
  <c r="A388" i="12" s="1"/>
  <c r="E226" i="12"/>
  <c r="P1761" i="17"/>
  <c r="P1412" i="17"/>
  <c r="Q1412" i="17" s="1"/>
  <c r="P1830" i="17"/>
  <c r="Q1830" i="17" s="1"/>
  <c r="F414" i="12"/>
  <c r="Q1389" i="17"/>
  <c r="G579" i="12" s="1"/>
  <c r="A579" i="12" s="1"/>
  <c r="E579" i="12"/>
  <c r="F442" i="12"/>
  <c r="Q827" i="17"/>
  <c r="G524" i="12" s="1"/>
  <c r="A524" i="12" s="1"/>
  <c r="E524" i="12"/>
  <c r="Q711" i="17"/>
  <c r="H392" i="12" s="1"/>
  <c r="A392" i="12" s="1"/>
  <c r="F392" i="12"/>
  <c r="E546" i="12"/>
  <c r="Q928" i="17"/>
  <c r="G546" i="12" s="1"/>
  <c r="A546" i="12" s="1"/>
  <c r="E566" i="12"/>
  <c r="F409" i="12"/>
  <c r="F407" i="12"/>
  <c r="Q1116" i="17"/>
  <c r="G560" i="12" s="1"/>
  <c r="A560" i="12" s="1"/>
  <c r="E560" i="12"/>
  <c r="E14" i="13"/>
  <c r="P1671" i="17"/>
  <c r="Q1671" i="17" s="1"/>
  <c r="P1440" i="17"/>
  <c r="P1274" i="17"/>
  <c r="P1068" i="17"/>
  <c r="Q1068" i="17" s="1"/>
  <c r="P787" i="17"/>
  <c r="Q787" i="17" s="1"/>
  <c r="D18" i="14"/>
  <c r="F18" i="14" s="1"/>
  <c r="G18" i="14" s="1"/>
  <c r="E13" i="15" s="1"/>
  <c r="D12" i="14"/>
  <c r="F12" i="14" s="1"/>
  <c r="G12" i="14" s="1"/>
  <c r="E7" i="15" s="1"/>
  <c r="J207" i="8"/>
  <c r="M207" i="8" s="1"/>
  <c r="J219" i="8"/>
  <c r="M219" i="8" s="1"/>
  <c r="F158" i="10" s="1"/>
  <c r="K122" i="8"/>
  <c r="N122" i="8" s="1"/>
  <c r="G47" i="10" s="1"/>
  <c r="K47" i="10" s="1"/>
  <c r="P1793" i="17"/>
  <c r="Q1793" i="17" s="1"/>
  <c r="H451" i="12" s="1"/>
  <c r="A451" i="12" s="1"/>
  <c r="P1391" i="17"/>
  <c r="Q1391" i="17" s="1"/>
  <c r="G580" i="12" s="1"/>
  <c r="A580" i="12" s="1"/>
  <c r="P1678" i="17"/>
  <c r="Q1678" i="17" s="1"/>
  <c r="H428" i="12" s="1"/>
  <c r="A428" i="12" s="1"/>
  <c r="P1174" i="17"/>
  <c r="Q1174" i="17" s="1"/>
  <c r="G568" i="12" s="1"/>
  <c r="A568" i="12" s="1"/>
  <c r="P37" i="17"/>
  <c r="P1411" i="17"/>
  <c r="Q1411" i="17" s="1"/>
  <c r="P1073" i="17"/>
  <c r="C11" i="14"/>
  <c r="D6" i="15" s="1"/>
  <c r="E192" i="12"/>
  <c r="E559" i="12"/>
  <c r="P1792" i="17"/>
  <c r="Q1792" i="17" s="1"/>
  <c r="G225" i="12" s="1"/>
  <c r="A225" i="12" s="1"/>
  <c r="P1844" i="17"/>
  <c r="Q1844" i="17" s="1"/>
  <c r="P1848" i="17"/>
  <c r="Q1848" i="17" s="1"/>
  <c r="G609" i="12" s="1"/>
  <c r="A609" i="12" s="1"/>
  <c r="P1747" i="17"/>
  <c r="Q1747" i="17" s="1"/>
  <c r="G286" i="12" s="1"/>
  <c r="A286" i="12" s="1"/>
  <c r="P1767" i="17"/>
  <c r="Q1767" i="17" s="1"/>
  <c r="G299" i="12" s="1"/>
  <c r="A299" i="12" s="1"/>
  <c r="P1682" i="17"/>
  <c r="Q1682" i="17" s="1"/>
  <c r="H430" i="12" s="1"/>
  <c r="A430" i="12" s="1"/>
  <c r="P1162" i="17"/>
  <c r="Q1162" i="17" s="1"/>
  <c r="P1136" i="17"/>
  <c r="Q1136" i="17" s="1"/>
  <c r="P837" i="17"/>
  <c r="P675" i="17"/>
  <c r="Q675" i="17" s="1"/>
  <c r="P763" i="17"/>
  <c r="Q763" i="17" s="1"/>
  <c r="G144" i="12" s="1"/>
  <c r="A144" i="12" s="1"/>
  <c r="P269" i="17"/>
  <c r="P1146" i="17"/>
  <c r="P1137" i="17"/>
  <c r="Q1137" i="17" s="1"/>
  <c r="P956" i="17"/>
  <c r="Q956" i="17" s="1"/>
  <c r="C16" i="13"/>
  <c r="D16" i="13" s="1"/>
  <c r="F16" i="13" s="1"/>
  <c r="C27" i="14"/>
  <c r="D22" i="15" s="1"/>
  <c r="K187" i="8"/>
  <c r="N187" i="8" s="1"/>
  <c r="G123" i="10" s="1"/>
  <c r="K123" i="10" s="1"/>
  <c r="Q1297" i="17"/>
  <c r="P1082" i="17"/>
  <c r="Q1082" i="17" s="1"/>
  <c r="G195" i="12" s="1"/>
  <c r="A195" i="12" s="1"/>
  <c r="P326" i="17"/>
  <c r="Q326" i="17" s="1"/>
  <c r="E328" i="12"/>
  <c r="C17" i="13"/>
  <c r="D17" i="13" s="1"/>
  <c r="F17" i="13" s="1"/>
  <c r="E12" i="13"/>
  <c r="B13" i="13"/>
  <c r="P45" i="17"/>
  <c r="Q45" i="17" s="1"/>
  <c r="K19" i="8"/>
  <c r="N19" i="8" s="1"/>
  <c r="E158" i="12"/>
  <c r="P1798" i="17"/>
  <c r="F455" i="12" s="1"/>
  <c r="P1079" i="17"/>
  <c r="Q1079" i="17" s="1"/>
  <c r="P722" i="17"/>
  <c r="Q722" i="17" s="1"/>
  <c r="P978" i="17"/>
  <c r="Q978" i="17" s="1"/>
  <c r="H465" i="12" s="1"/>
  <c r="A465" i="12" s="1"/>
  <c r="P404" i="17"/>
  <c r="Q404" i="17" s="1"/>
  <c r="E85" i="12"/>
  <c r="G85" i="12"/>
  <c r="A85" i="12" s="1"/>
  <c r="P1132" i="17"/>
  <c r="Q1132" i="17" s="1"/>
  <c r="A13" i="13"/>
  <c r="E16" i="13"/>
  <c r="J33" i="8"/>
  <c r="M33" i="8" s="1"/>
  <c r="P1751" i="17"/>
  <c r="Q1751" i="17" s="1"/>
  <c r="G290" i="12" s="1"/>
  <c r="A290" i="12" s="1"/>
  <c r="P1706" i="17"/>
  <c r="Q1706" i="17" s="1"/>
  <c r="H391" i="12" s="1"/>
  <c r="A391" i="12" s="1"/>
  <c r="P1098" i="17"/>
  <c r="Q1098" i="17" s="1"/>
  <c r="G199" i="12" s="1"/>
  <c r="A199" i="12" s="1"/>
  <c r="P605" i="17"/>
  <c r="Q605" i="17" s="1"/>
  <c r="G331" i="12"/>
  <c r="A331" i="12" s="1"/>
  <c r="E331" i="12"/>
  <c r="P733" i="17"/>
  <c r="Q733" i="17" s="1"/>
  <c r="G127" i="12" s="1"/>
  <c r="A127" i="12" s="1"/>
  <c r="P948" i="17"/>
  <c r="Q948" i="17" s="1"/>
  <c r="P1009" i="17"/>
  <c r="Q1009" i="17" s="1"/>
  <c r="H415" i="12" s="1"/>
  <c r="A415" i="12" s="1"/>
  <c r="P941" i="17"/>
  <c r="Q941" i="17" s="1"/>
  <c r="P754" i="17"/>
  <c r="Q754" i="17" s="1"/>
  <c r="G139" i="12" s="1"/>
  <c r="A139" i="12" s="1"/>
  <c r="P759" i="17"/>
  <c r="Q759" i="17" s="1"/>
  <c r="G140" i="12" s="1"/>
  <c r="A140" i="12" s="1"/>
  <c r="P1405" i="17"/>
  <c r="Q1405" i="17" s="1"/>
  <c r="P767" i="17"/>
  <c r="Q767" i="17" s="1"/>
  <c r="C30" i="14"/>
  <c r="D25" i="15" s="1"/>
  <c r="K71" i="8"/>
  <c r="N71" i="8" s="1"/>
  <c r="P1680" i="17"/>
  <c r="Q1680" i="17" s="1"/>
  <c r="H429" i="12" s="1"/>
  <c r="A429" i="12" s="1"/>
  <c r="P1689" i="17"/>
  <c r="E617" i="12" s="1"/>
  <c r="P1260" i="17"/>
  <c r="P1423" i="17"/>
  <c r="Q1423" i="17" s="1"/>
  <c r="H467" i="12" s="1"/>
  <c r="A467" i="12" s="1"/>
  <c r="P1413" i="17"/>
  <c r="P1058" i="17"/>
  <c r="Q1058" i="17" s="1"/>
  <c r="P799" i="17"/>
  <c r="Q799" i="17" s="1"/>
  <c r="H400" i="12" s="1"/>
  <c r="A400" i="12" s="1"/>
  <c r="P939" i="17"/>
  <c r="Q939" i="17" s="1"/>
  <c r="G548" i="12" s="1"/>
  <c r="A548" i="12" s="1"/>
  <c r="E42" i="12"/>
  <c r="P1284" i="17"/>
  <c r="Q1284" i="17" s="1"/>
  <c r="P1145" i="17"/>
  <c r="Q1145" i="17" s="1"/>
  <c r="P1074" i="17"/>
  <c r="P741" i="17"/>
  <c r="Q741" i="17" s="1"/>
  <c r="C25" i="14"/>
  <c r="D20" i="15" s="1"/>
  <c r="D30" i="14"/>
  <c r="F30" i="14" s="1"/>
  <c r="G30" i="14" s="1"/>
  <c r="E25" i="15" s="1"/>
  <c r="E28" i="14"/>
  <c r="P73" i="17"/>
  <c r="B14" i="13"/>
  <c r="P1746" i="17"/>
  <c r="E285" i="12" s="1"/>
  <c r="P1785" i="17"/>
  <c r="Q1785" i="17" s="1"/>
  <c r="G315" i="12" s="1"/>
  <c r="A315" i="12" s="1"/>
  <c r="P1373" i="17"/>
  <c r="Q1373" i="17" s="1"/>
  <c r="G577" i="12" s="1"/>
  <c r="A577" i="12" s="1"/>
  <c r="P1275" i="17"/>
  <c r="Q1275" i="17" s="1"/>
  <c r="P933" i="17"/>
  <c r="Q933" i="17" s="1"/>
  <c r="P1033" i="17"/>
  <c r="Q1033" i="17" s="1"/>
  <c r="E571" i="12"/>
  <c r="P1129" i="17"/>
  <c r="Q1129" i="17" s="1"/>
  <c r="E23" i="14"/>
  <c r="C23" i="14"/>
  <c r="D18" i="15" s="1"/>
  <c r="B23" i="14"/>
  <c r="A18" i="15" s="1"/>
  <c r="C14" i="13"/>
  <c r="D14" i="13" s="1"/>
  <c r="F14" i="13" s="1"/>
  <c r="Q1677" i="17"/>
  <c r="G583" i="12" s="1"/>
  <c r="A583" i="12" s="1"/>
  <c r="K48" i="8"/>
  <c r="N48" i="8" s="1"/>
  <c r="P1784" i="17"/>
  <c r="Q1784" i="17" s="1"/>
  <c r="G314" i="12" s="1"/>
  <c r="A314" i="12" s="1"/>
  <c r="P1296" i="17"/>
  <c r="Q1296" i="17" s="1"/>
  <c r="P965" i="17"/>
  <c r="Q965" i="17" s="1"/>
  <c r="P750" i="17"/>
  <c r="Q750" i="17" s="1"/>
  <c r="G135" i="12" s="1"/>
  <c r="A135" i="12" s="1"/>
  <c r="P1520" i="17"/>
  <c r="P1380" i="17"/>
  <c r="Q1380" i="17" s="1"/>
  <c r="P1285" i="17"/>
  <c r="Q1285" i="17" s="1"/>
  <c r="P1228" i="17"/>
  <c r="Q1228" i="17" s="1"/>
  <c r="P1141" i="17"/>
  <c r="Q1141" i="17" s="1"/>
  <c r="B18" i="14"/>
  <c r="C13" i="15" s="1"/>
  <c r="E21" i="14"/>
  <c r="D21" i="14"/>
  <c r="F21" i="14" s="1"/>
  <c r="G21" i="14" s="1"/>
  <c r="J21" i="14" s="1"/>
  <c r="H16" i="15" s="1"/>
  <c r="P48" i="17"/>
  <c r="A16" i="13"/>
  <c r="A17" i="13"/>
  <c r="B18" i="13"/>
  <c r="J212" i="8"/>
  <c r="M212" i="8" s="1"/>
  <c r="K8" i="8"/>
  <c r="N8" i="8" s="1"/>
  <c r="G42" i="10" s="1"/>
  <c r="K42" i="10" s="1"/>
  <c r="E146" i="12"/>
  <c r="P1687" i="17"/>
  <c r="E588" i="12" s="1"/>
  <c r="P1015" i="17"/>
  <c r="Q1015" i="17" s="1"/>
  <c r="P954" i="17"/>
  <c r="Q954" i="17" s="1"/>
  <c r="G181" i="12" s="1"/>
  <c r="A181" i="12" s="1"/>
  <c r="P950" i="17"/>
  <c r="Q950" i="17" s="1"/>
  <c r="D16" i="14"/>
  <c r="F16" i="14" s="1"/>
  <c r="G16" i="14" s="1"/>
  <c r="J16" i="14" s="1"/>
  <c r="H11" i="15" s="1"/>
  <c r="B16" i="14"/>
  <c r="C11" i="15" s="1"/>
  <c r="C14" i="14"/>
  <c r="D9" i="15" s="1"/>
  <c r="A12" i="13"/>
  <c r="B17" i="13"/>
  <c r="E13" i="13"/>
  <c r="E18" i="13"/>
  <c r="K27" i="8"/>
  <c r="N27" i="8" s="1"/>
  <c r="P1367" i="17"/>
  <c r="Q1367" i="17" s="1"/>
  <c r="G211" i="12" s="1"/>
  <c r="A211" i="12" s="1"/>
  <c r="P1418" i="17"/>
  <c r="Q1418" i="17" s="1"/>
  <c r="E569" i="12"/>
  <c r="P440" i="17"/>
  <c r="Q440" i="17" s="1"/>
  <c r="E107" i="12"/>
  <c r="G107" i="12"/>
  <c r="A107" i="12" s="1"/>
  <c r="Q1247" i="17"/>
  <c r="P1087" i="17"/>
  <c r="Q1087" i="17" s="1"/>
  <c r="P1101" i="17"/>
  <c r="Q1101" i="17" s="1"/>
  <c r="D14" i="14"/>
  <c r="F14" i="14" s="1"/>
  <c r="G14" i="14" s="1"/>
  <c r="J14" i="14" s="1"/>
  <c r="H9" i="15" s="1"/>
  <c r="E12" i="14"/>
  <c r="B16" i="13"/>
  <c r="B12" i="13"/>
  <c r="A18" i="13"/>
  <c r="J137" i="8"/>
  <c r="M137" i="8" s="1"/>
  <c r="F65" i="10" s="1"/>
  <c r="E157" i="12"/>
  <c r="P1118" i="17"/>
  <c r="Q1118" i="17" s="1"/>
  <c r="P46" i="17"/>
  <c r="Q1163" i="17"/>
  <c r="P1833" i="17"/>
  <c r="Q1833" i="17" s="1"/>
  <c r="H458" i="12" s="1"/>
  <c r="A458" i="12" s="1"/>
  <c r="P1810" i="17"/>
  <c r="Q1810" i="17" s="1"/>
  <c r="P1600" i="17"/>
  <c r="Q1600" i="17" s="1"/>
  <c r="G250" i="12" s="1"/>
  <c r="A250" i="12" s="1"/>
  <c r="P1376" i="17"/>
  <c r="Q1376" i="17" s="1"/>
  <c r="G578" i="12" s="1"/>
  <c r="A578" i="12" s="1"/>
  <c r="P1253" i="17"/>
  <c r="Q1253" i="17" s="1"/>
  <c r="G208" i="12" s="1"/>
  <c r="A208" i="12" s="1"/>
  <c r="P771" i="17"/>
  <c r="F395" i="12" s="1"/>
  <c r="P728" i="17"/>
  <c r="Q728" i="17" s="1"/>
  <c r="G121" i="12" s="1"/>
  <c r="A121" i="12" s="1"/>
  <c r="D28" i="14"/>
  <c r="F28" i="14" s="1"/>
  <c r="G28" i="14" s="1"/>
  <c r="J28" i="14" s="1"/>
  <c r="H23" i="15" s="1"/>
  <c r="P44" i="17"/>
  <c r="Q44" i="17" s="1"/>
  <c r="M1044" i="9"/>
  <c r="D21" i="11" s="1"/>
  <c r="P1749" i="17"/>
  <c r="Q1749" i="17" s="1"/>
  <c r="G288" i="12" s="1"/>
  <c r="A288" i="12" s="1"/>
  <c r="P1691" i="17"/>
  <c r="Q1691" i="17" s="1"/>
  <c r="G275" i="12" s="1"/>
  <c r="A275" i="12" s="1"/>
  <c r="P1676" i="17"/>
  <c r="Q1676" i="17" s="1"/>
  <c r="H427" i="12" s="1"/>
  <c r="A427" i="12" s="1"/>
  <c r="P1080" i="17"/>
  <c r="Q1080" i="17" s="1"/>
  <c r="P985" i="17"/>
  <c r="Q985" i="17" s="1"/>
  <c r="P698" i="17"/>
  <c r="Q698" i="17" s="1"/>
  <c r="G322" i="12" s="1"/>
  <c r="A322" i="12" s="1"/>
  <c r="P888" i="17"/>
  <c r="Q888" i="17" s="1"/>
  <c r="G38" i="12" s="1"/>
  <c r="A38" i="12" s="1"/>
  <c r="P1133" i="17"/>
  <c r="Q1133" i="17" s="1"/>
  <c r="P926" i="17"/>
  <c r="Q926" i="17" s="1"/>
  <c r="C21" i="14"/>
  <c r="D16" i="15" s="1"/>
  <c r="Q433" i="17"/>
  <c r="P1597" i="17"/>
  <c r="Q1597" i="17" s="1"/>
  <c r="G247" i="12" s="1"/>
  <c r="A247" i="12" s="1"/>
  <c r="P1739" i="17"/>
  <c r="Q1739" i="17" s="1"/>
  <c r="G223" i="12" s="1"/>
  <c r="A223" i="12" s="1"/>
  <c r="P1817" i="17"/>
  <c r="Q1817" i="17" s="1"/>
  <c r="P1845" i="17"/>
  <c r="Q1845" i="17" s="1"/>
  <c r="G608" i="12" s="1"/>
  <c r="A608" i="12" s="1"/>
  <c r="P1712" i="17"/>
  <c r="Q1712" i="17" s="1"/>
  <c r="G214" i="12" s="1"/>
  <c r="A214" i="12" s="1"/>
  <c r="P1119" i="17"/>
  <c r="Q1119" i="17" s="1"/>
  <c r="P1032" i="17"/>
  <c r="Q1032" i="17" s="1"/>
  <c r="P1176" i="17"/>
  <c r="Q1176" i="17" s="1"/>
  <c r="E570" i="12"/>
  <c r="B30" i="14"/>
  <c r="A25" i="15" s="1"/>
  <c r="C12" i="13"/>
  <c r="D12" i="13" s="1"/>
  <c r="F12" i="13" s="1"/>
  <c r="P1807" i="17"/>
  <c r="Q1807" i="17" s="1"/>
  <c r="P1408" i="17"/>
  <c r="P1325" i="17"/>
  <c r="Q1325" i="17" s="1"/>
  <c r="P957" i="17"/>
  <c r="Q957" i="17" s="1"/>
  <c r="P905" i="17"/>
  <c r="E25" i="14"/>
  <c r="Q1769" i="17"/>
  <c r="G301" i="12" s="1"/>
  <c r="A301" i="12" s="1"/>
  <c r="P1547" i="17"/>
  <c r="P921" i="17"/>
  <c r="Q921" i="17" s="1"/>
  <c r="P228" i="17"/>
  <c r="Q228" i="17" s="1"/>
  <c r="E37" i="12"/>
  <c r="G37" i="12"/>
  <c r="A37" i="12" s="1"/>
  <c r="P34" i="17"/>
  <c r="Q34" i="17" s="1"/>
  <c r="E43" i="12"/>
  <c r="B15" i="13"/>
  <c r="P1838" i="17"/>
  <c r="Q1838" i="17" s="1"/>
  <c r="P1368" i="17"/>
  <c r="Q1368" i="17" s="1"/>
  <c r="P1337" i="17"/>
  <c r="Q1337" i="17" s="1"/>
  <c r="P1352" i="17"/>
  <c r="P1183" i="17"/>
  <c r="Q1183" i="17" s="1"/>
  <c r="P959" i="17"/>
  <c r="P700" i="17"/>
  <c r="Q700" i="17" s="1"/>
  <c r="B20" i="14"/>
  <c r="B15" i="15" s="1"/>
  <c r="B14" i="14"/>
  <c r="I14" i="14" s="1"/>
  <c r="G9" i="15" s="1"/>
  <c r="G192" i="12"/>
  <c r="A192" i="12" s="1"/>
  <c r="E276" i="12"/>
  <c r="Q378" i="17"/>
  <c r="E120" i="12"/>
  <c r="P1851" i="17"/>
  <c r="Q1851" i="17" s="1"/>
  <c r="H459" i="12" s="1"/>
  <c r="A459" i="12" s="1"/>
  <c r="P1683" i="17"/>
  <c r="P1673" i="17"/>
  <c r="Q1673" i="17" s="1"/>
  <c r="G581" i="12" s="1"/>
  <c r="A581" i="12" s="1"/>
  <c r="P932" i="17"/>
  <c r="Q932" i="17" s="1"/>
  <c r="P818" i="17"/>
  <c r="Q818" i="17" s="1"/>
  <c r="G521" i="12" s="1"/>
  <c r="A521" i="12" s="1"/>
  <c r="P275" i="17"/>
  <c r="Q275" i="17" s="1"/>
  <c r="G234" i="12"/>
  <c r="A234" i="12" s="1"/>
  <c r="G25" i="12"/>
  <c r="A25" i="12" s="1"/>
  <c r="G45" i="12"/>
  <c r="A45" i="12" s="1"/>
  <c r="G249" i="12"/>
  <c r="A249" i="12" s="1"/>
  <c r="E298" i="12"/>
  <c r="E597" i="12"/>
  <c r="G147" i="10"/>
  <c r="K147" i="10" s="1"/>
  <c r="G149" i="10"/>
  <c r="K149" i="10" s="1"/>
  <c r="G151" i="10"/>
  <c r="K151" i="10" s="1"/>
  <c r="P266" i="8"/>
  <c r="Q1632" i="17"/>
  <c r="G262" i="12" s="1"/>
  <c r="A262" i="12" s="1"/>
  <c r="Q1675" i="17"/>
  <c r="G582" i="12" s="1"/>
  <c r="A582" i="12" s="1"/>
  <c r="Q779" i="17"/>
  <c r="G512" i="12" s="1"/>
  <c r="A512" i="12" s="1"/>
  <c r="Q1794" i="17"/>
  <c r="G226" i="12" s="1"/>
  <c r="A226" i="12" s="1"/>
  <c r="Q1777" i="17"/>
  <c r="G307" i="12" s="1"/>
  <c r="A307" i="12" s="1"/>
  <c r="P134" i="8"/>
  <c r="I60" i="10"/>
  <c r="M60" i="10" s="1"/>
  <c r="N60" i="10" s="1"/>
  <c r="Q1339" i="17"/>
  <c r="I22" i="10"/>
  <c r="M22" i="10" s="1"/>
  <c r="N22" i="10" s="1"/>
  <c r="P98" i="8"/>
  <c r="P110" i="8"/>
  <c r="Q1466" i="17"/>
  <c r="P182" i="8"/>
  <c r="Q1453" i="17"/>
  <c r="Q1478" i="17"/>
  <c r="K88" i="8"/>
  <c r="N88" i="8" s="1"/>
  <c r="G13" i="10" s="1"/>
  <c r="K13" i="10" s="1"/>
  <c r="N108" i="10"/>
  <c r="Z194" i="10"/>
  <c r="P269" i="8"/>
  <c r="I215" i="10"/>
  <c r="M215" i="10" s="1"/>
  <c r="P239" i="8"/>
  <c r="K160" i="8"/>
  <c r="N160" i="8" s="1"/>
  <c r="P160" i="8" s="1"/>
  <c r="K129" i="8"/>
  <c r="N129" i="8" s="1"/>
  <c r="G55" i="10" s="1"/>
  <c r="K55" i="10" s="1"/>
  <c r="Q1452" i="17"/>
  <c r="N194" i="10"/>
  <c r="P193" i="10" s="1"/>
  <c r="K127" i="8"/>
  <c r="N127" i="8" s="1"/>
  <c r="G52" i="10" s="1"/>
  <c r="K52" i="10" s="1"/>
  <c r="K133" i="8"/>
  <c r="N133" i="8" s="1"/>
  <c r="G59" i="10" s="1"/>
  <c r="K59" i="10" s="1"/>
  <c r="K126" i="8"/>
  <c r="N126" i="8" s="1"/>
  <c r="G51" i="10" s="1"/>
  <c r="K51" i="10" s="1"/>
  <c r="K58" i="8"/>
  <c r="N58" i="8" s="1"/>
  <c r="P58" i="8" s="1"/>
  <c r="J194" i="10"/>
  <c r="K178" i="8"/>
  <c r="N178" i="8" s="1"/>
  <c r="G113" i="10" s="1"/>
  <c r="K113" i="10" s="1"/>
  <c r="K262" i="8"/>
  <c r="N262" i="8" s="1"/>
  <c r="G207" i="10" s="1"/>
  <c r="K207" i="10" s="1"/>
  <c r="K166" i="8"/>
  <c r="N166" i="8" s="1"/>
  <c r="K54" i="8"/>
  <c r="N54" i="8" s="1"/>
  <c r="K32" i="8"/>
  <c r="N32" i="8" s="1"/>
  <c r="P90" i="8"/>
  <c r="I15" i="10"/>
  <c r="M15" i="10" s="1"/>
  <c r="Z15" i="10" s="1"/>
  <c r="K144" i="8"/>
  <c r="N144" i="8" s="1"/>
  <c r="G73" i="10" s="1"/>
  <c r="K73" i="10" s="1"/>
  <c r="K6" i="8"/>
  <c r="N6" i="8" s="1"/>
  <c r="G44" i="10" s="1"/>
  <c r="K44" i="10" s="1"/>
  <c r="Q1305" i="17"/>
  <c r="Q1471" i="17"/>
  <c r="Q1105" i="17"/>
  <c r="J53" i="8"/>
  <c r="M53" i="8" s="1"/>
  <c r="Q1604" i="17"/>
  <c r="J15" i="8"/>
  <c r="M15" i="8" s="1"/>
  <c r="Q1397" i="17"/>
  <c r="G93" i="12" s="1"/>
  <c r="A93" i="12" s="1"/>
  <c r="Q236" i="17"/>
  <c r="J146" i="8"/>
  <c r="M146" i="8" s="1"/>
  <c r="P146" i="8" s="1"/>
  <c r="J38" i="8"/>
  <c r="M38" i="8" s="1"/>
  <c r="J74" i="8"/>
  <c r="M74" i="8" s="1"/>
  <c r="Q1445" i="17"/>
  <c r="Q1239" i="17"/>
  <c r="Q240" i="17"/>
  <c r="Q967" i="17"/>
  <c r="G35" i="12" s="1"/>
  <c r="A35" i="12" s="1"/>
  <c r="J258" i="8"/>
  <c r="M258" i="8" s="1"/>
  <c r="F202" i="10" s="1"/>
  <c r="J209" i="8"/>
  <c r="M209" i="8" s="1"/>
  <c r="Q1355" i="17"/>
  <c r="G88" i="12" s="1"/>
  <c r="A88" i="12" s="1"/>
  <c r="Q583" i="17"/>
  <c r="J203" i="8"/>
  <c r="M203" i="8" s="1"/>
  <c r="J21" i="8"/>
  <c r="M21" i="8" s="1"/>
  <c r="I179" i="10"/>
  <c r="M179" i="10" s="1"/>
  <c r="Z179" i="10" s="1"/>
  <c r="P190" i="8"/>
  <c r="F126" i="10"/>
  <c r="Q1302" i="17"/>
  <c r="J147" i="8"/>
  <c r="M147" i="8" s="1"/>
  <c r="P147" i="8" s="1"/>
  <c r="J173" i="8"/>
  <c r="M173" i="8" s="1"/>
  <c r="F107" i="10" s="1"/>
  <c r="J77" i="8"/>
  <c r="M77" i="8" s="1"/>
  <c r="J59" i="8"/>
  <c r="M59" i="8" s="1"/>
  <c r="F58" i="10" s="1"/>
  <c r="J37" i="8"/>
  <c r="M37" i="8" s="1"/>
  <c r="Q652" i="17"/>
  <c r="J113" i="8"/>
  <c r="M113" i="8" s="1"/>
  <c r="Q300" i="17"/>
  <c r="J243" i="8"/>
  <c r="M243" i="8" s="1"/>
  <c r="P243" i="8" s="1"/>
  <c r="J31" i="8"/>
  <c r="M31" i="8" s="1"/>
  <c r="J7" i="8"/>
  <c r="M7" i="8" s="1"/>
  <c r="J61" i="8"/>
  <c r="M61" i="8" s="1"/>
  <c r="J6" i="8"/>
  <c r="M6" i="8" s="1"/>
  <c r="F44" i="10" s="1"/>
  <c r="Q1823" i="17"/>
  <c r="Q1513" i="17"/>
  <c r="G60" i="12" s="1"/>
  <c r="A60" i="12" s="1"/>
  <c r="J211" i="8"/>
  <c r="M211" i="8" s="1"/>
  <c r="J45" i="8"/>
  <c r="M45" i="8" s="1"/>
  <c r="Q669" i="17"/>
  <c r="G91" i="12" s="1"/>
  <c r="A91" i="12" s="1"/>
  <c r="Q1663" i="17"/>
  <c r="J198" i="8"/>
  <c r="M198" i="8" s="1"/>
  <c r="F137" i="10" s="1"/>
  <c r="J39" i="8"/>
  <c r="M39" i="8" s="1"/>
  <c r="J27" i="8"/>
  <c r="M27" i="8" s="1"/>
  <c r="A50" i="11"/>
  <c r="C10" i="11"/>
  <c r="A48" i="11"/>
  <c r="B11" i="11"/>
  <c r="C13" i="11"/>
  <c r="A49" i="11"/>
  <c r="G14" i="11"/>
  <c r="D10" i="11"/>
  <c r="E48" i="11"/>
  <c r="C14" i="11"/>
  <c r="A14" i="11"/>
  <c r="F14" i="11" s="1"/>
  <c r="G13" i="11"/>
  <c r="B13" i="11"/>
  <c r="G12" i="11"/>
  <c r="G11" i="11"/>
  <c r="D15" i="11"/>
  <c r="A11" i="11"/>
  <c r="F11" i="11" s="1"/>
  <c r="B50" i="11"/>
  <c r="C49" i="11"/>
  <c r="D49" i="11" s="1"/>
  <c r="F49" i="11" s="1"/>
  <c r="G15" i="11"/>
  <c r="B15" i="11"/>
  <c r="A13" i="11"/>
  <c r="F13" i="11" s="1"/>
  <c r="D11" i="11"/>
  <c r="A12" i="11"/>
  <c r="F12" i="11" s="1"/>
  <c r="B49" i="11"/>
  <c r="E49" i="11"/>
  <c r="B14" i="11"/>
  <c r="B12" i="11"/>
  <c r="B48" i="11"/>
  <c r="B10" i="11"/>
  <c r="D14" i="11"/>
  <c r="C12" i="11"/>
  <c r="A10" i="11"/>
  <c r="F10" i="11" s="1"/>
  <c r="C50" i="11"/>
  <c r="D50" i="11" s="1"/>
  <c r="F50" i="11" s="1"/>
  <c r="C48" i="11"/>
  <c r="D48" i="11" s="1"/>
  <c r="F48" i="11" s="1"/>
  <c r="D12" i="11"/>
  <c r="A15" i="11"/>
  <c r="F15" i="11" s="1"/>
  <c r="D13" i="11"/>
  <c r="C15" i="11"/>
  <c r="G10" i="11"/>
  <c r="C11" i="11"/>
  <c r="P1630" i="17"/>
  <c r="Q1630" i="17" s="1"/>
  <c r="G260" i="12" s="1"/>
  <c r="A260" i="12" s="1"/>
  <c r="P1779" i="17"/>
  <c r="Q1779" i="17" s="1"/>
  <c r="G309" i="12" s="1"/>
  <c r="A309" i="12" s="1"/>
  <c r="P1781" i="17"/>
  <c r="Q1781" i="17" s="1"/>
  <c r="G311" i="12" s="1"/>
  <c r="A311" i="12" s="1"/>
  <c r="P1601" i="17"/>
  <c r="Q1601" i="17" s="1"/>
  <c r="G251" i="12" s="1"/>
  <c r="A251" i="12" s="1"/>
  <c r="P1055" i="17"/>
  <c r="Q1055" i="17" s="1"/>
  <c r="G190" i="12" s="1"/>
  <c r="A190" i="12" s="1"/>
  <c r="P1138" i="17"/>
  <c r="Q1138" i="17" s="1"/>
  <c r="G565" i="12" s="1"/>
  <c r="A565" i="12" s="1"/>
  <c r="P811" i="17"/>
  <c r="Q811" i="17" s="1"/>
  <c r="H404" i="12" s="1"/>
  <c r="A404" i="12" s="1"/>
  <c r="P732" i="17"/>
  <c r="Q732" i="17" s="1"/>
  <c r="G126" i="12" s="1"/>
  <c r="A126" i="12" s="1"/>
  <c r="P563" i="17"/>
  <c r="Q563" i="17" s="1"/>
  <c r="E88" i="12"/>
  <c r="P712" i="17"/>
  <c r="Q712" i="17" s="1"/>
  <c r="G534" i="12" s="1"/>
  <c r="A534" i="12" s="1"/>
  <c r="P743" i="17"/>
  <c r="Q743" i="17" s="1"/>
  <c r="P425" i="17"/>
  <c r="Q425" i="17" s="1"/>
  <c r="E55" i="12"/>
  <c r="P420" i="17"/>
  <c r="Q420" i="17" s="1"/>
  <c r="F383" i="12"/>
  <c r="H383" i="12"/>
  <c r="A383" i="12" s="1"/>
  <c r="P428" i="17"/>
  <c r="Q428" i="17" s="1"/>
  <c r="G61" i="12"/>
  <c r="A61" i="12" s="1"/>
  <c r="E61" i="12"/>
  <c r="P191" i="17"/>
  <c r="Q191" i="17" s="1"/>
  <c r="E35" i="12"/>
  <c r="P239" i="17"/>
  <c r="Q239" i="17" s="1"/>
  <c r="G36" i="12"/>
  <c r="A36" i="12" s="1"/>
  <c r="E36" i="12"/>
  <c r="P305" i="17"/>
  <c r="P31" i="17"/>
  <c r="Q31" i="17" s="1"/>
  <c r="G40" i="12" s="1"/>
  <c r="A40" i="12" s="1"/>
  <c r="P264" i="8"/>
  <c r="F209" i="10"/>
  <c r="F82" i="10"/>
  <c r="J166" i="8"/>
  <c r="M166" i="8" s="1"/>
  <c r="J217" i="8"/>
  <c r="M217" i="8" s="1"/>
  <c r="P244" i="8"/>
  <c r="F184" i="10"/>
  <c r="K148" i="8"/>
  <c r="N148" i="8" s="1"/>
  <c r="P156" i="8"/>
  <c r="F87" i="10"/>
  <c r="J129" i="8"/>
  <c r="M129" i="8" s="1"/>
  <c r="J136" i="8"/>
  <c r="M136" i="8" s="1"/>
  <c r="K82" i="8"/>
  <c r="N82" i="8" s="1"/>
  <c r="G6" i="10" s="1"/>
  <c r="K6" i="10" s="1"/>
  <c r="P101" i="8"/>
  <c r="F25" i="10"/>
  <c r="J76" i="8"/>
  <c r="M76" i="8" s="1"/>
  <c r="K55" i="8"/>
  <c r="N55" i="8" s="1"/>
  <c r="J197" i="10"/>
  <c r="I197" i="10"/>
  <c r="M197" i="10" s="1"/>
  <c r="Z197" i="10" s="1"/>
  <c r="I172" i="10"/>
  <c r="M172" i="10" s="1"/>
  <c r="J172" i="10"/>
  <c r="P254" i="8"/>
  <c r="I545" i="17"/>
  <c r="Q545" i="17" s="1"/>
  <c r="J545" i="9"/>
  <c r="L21" i="8" s="1"/>
  <c r="O21" i="8" s="1"/>
  <c r="J211" i="10"/>
  <c r="I211" i="10"/>
  <c r="M211" i="10" s="1"/>
  <c r="I702" i="17"/>
  <c r="Q702" i="17" s="1"/>
  <c r="J702" i="9"/>
  <c r="I979" i="17"/>
  <c r="J979" i="9"/>
  <c r="I958" i="17"/>
  <c r="Q958" i="17" s="1"/>
  <c r="J958" i="9"/>
  <c r="I1571" i="17"/>
  <c r="Q1571" i="17" s="1"/>
  <c r="J1571" i="9"/>
  <c r="I269" i="17"/>
  <c r="J269" i="9"/>
  <c r="I206" i="17"/>
  <c r="Q206" i="17" s="1"/>
  <c r="J206" i="9"/>
  <c r="I233" i="17"/>
  <c r="Q233" i="17" s="1"/>
  <c r="J233" i="9"/>
  <c r="I1407" i="17"/>
  <c r="J1407" i="9"/>
  <c r="P1670" i="17"/>
  <c r="Q1670" i="17" s="1"/>
  <c r="G274" i="12" s="1"/>
  <c r="A274" i="12" s="1"/>
  <c r="P1837" i="17"/>
  <c r="Q1837" i="17" s="1"/>
  <c r="G233" i="12" s="1"/>
  <c r="A233" i="12" s="1"/>
  <c r="P1775" i="17"/>
  <c r="Q1775" i="17" s="1"/>
  <c r="G305" i="12" s="1"/>
  <c r="A305" i="12" s="1"/>
  <c r="P1667" i="17"/>
  <c r="Q1667" i="17" s="1"/>
  <c r="P1716" i="17"/>
  <c r="Q1716" i="17" s="1"/>
  <c r="H439" i="12" s="1"/>
  <c r="A439" i="12" s="1"/>
  <c r="P1593" i="17"/>
  <c r="Q1593" i="17" s="1"/>
  <c r="G243" i="12" s="1"/>
  <c r="A243" i="12" s="1"/>
  <c r="P1765" i="17"/>
  <c r="Q1765" i="17" s="1"/>
  <c r="G297" i="12" s="1"/>
  <c r="A297" i="12" s="1"/>
  <c r="P1756" i="17"/>
  <c r="Q1756" i="17" s="1"/>
  <c r="H449" i="12" s="1"/>
  <c r="A449" i="12" s="1"/>
  <c r="P1738" i="17"/>
  <c r="Q1738" i="17" s="1"/>
  <c r="G599" i="12" s="1"/>
  <c r="A599" i="12" s="1"/>
  <c r="P1719" i="17"/>
  <c r="Q1719" i="17" s="1"/>
  <c r="H440" i="12" s="1"/>
  <c r="A440" i="12" s="1"/>
  <c r="P1701" i="17"/>
  <c r="Q1701" i="17" s="1"/>
  <c r="G618" i="12" s="1"/>
  <c r="A618" i="12" s="1"/>
  <c r="P1727" i="17"/>
  <c r="Q1727" i="17" s="1"/>
  <c r="G219" i="12" s="1"/>
  <c r="A219" i="12" s="1"/>
  <c r="P1637" i="17"/>
  <c r="Q1637" i="17" s="1"/>
  <c r="G264" i="12" s="1"/>
  <c r="A264" i="12" s="1"/>
  <c r="P1661" i="17"/>
  <c r="Q1661" i="17" s="1"/>
  <c r="G616" i="12" s="1"/>
  <c r="A616" i="12" s="1"/>
  <c r="P1400" i="17"/>
  <c r="Q1400" i="17" s="1"/>
  <c r="H425" i="12" s="1"/>
  <c r="A425" i="12" s="1"/>
  <c r="P816" i="17"/>
  <c r="Q816" i="17" s="1"/>
  <c r="G161" i="12" s="1"/>
  <c r="A161" i="12" s="1"/>
  <c r="P806" i="17"/>
  <c r="Q806" i="17" s="1"/>
  <c r="G517" i="12" s="1"/>
  <c r="A517" i="12" s="1"/>
  <c r="P766" i="17"/>
  <c r="Q766" i="17" s="1"/>
  <c r="G147" i="12" s="1"/>
  <c r="A147" i="12" s="1"/>
  <c r="P737" i="17"/>
  <c r="Q737" i="17" s="1"/>
  <c r="G131" i="12" s="1"/>
  <c r="A131" i="12" s="1"/>
  <c r="P757" i="17"/>
  <c r="Q757" i="17" s="1"/>
  <c r="P829" i="17"/>
  <c r="Q829" i="17" s="1"/>
  <c r="H410" i="12" s="1"/>
  <c r="A410" i="12" s="1"/>
  <c r="P764" i="17"/>
  <c r="Q764" i="17" s="1"/>
  <c r="G145" i="12" s="1"/>
  <c r="A145" i="12" s="1"/>
  <c r="P475" i="17"/>
  <c r="Q475" i="17" s="1"/>
  <c r="G59" i="12"/>
  <c r="A59" i="12" s="1"/>
  <c r="E59" i="12"/>
  <c r="P424" i="17"/>
  <c r="Q424" i="17" s="1"/>
  <c r="E21" i="12"/>
  <c r="P292" i="17"/>
  <c r="Q292" i="17" s="1"/>
  <c r="E20" i="12"/>
  <c r="G20" i="12"/>
  <c r="A20" i="12" s="1"/>
  <c r="P251" i="17"/>
  <c r="E507" i="12" s="1"/>
  <c r="P212" i="17"/>
  <c r="Q212" i="17" s="1"/>
  <c r="E41" i="12"/>
  <c r="G41" i="12"/>
  <c r="A41" i="12" s="1"/>
  <c r="P265" i="8"/>
  <c r="F210" i="10"/>
  <c r="K145" i="8"/>
  <c r="N145" i="8" s="1"/>
  <c r="G74" i="10" s="1"/>
  <c r="K74" i="10" s="1"/>
  <c r="P247" i="8"/>
  <c r="F187" i="10"/>
  <c r="J204" i="8"/>
  <c r="M204" i="8" s="1"/>
  <c r="J192" i="8"/>
  <c r="M192" i="8" s="1"/>
  <c r="P175" i="8"/>
  <c r="F110" i="10"/>
  <c r="P153" i="8"/>
  <c r="F84" i="10"/>
  <c r="J201" i="8"/>
  <c r="M201" i="8" s="1"/>
  <c r="K24" i="8"/>
  <c r="N24" i="8" s="1"/>
  <c r="G118" i="10" s="1"/>
  <c r="K118" i="10" s="1"/>
  <c r="P108" i="8"/>
  <c r="F32" i="10"/>
  <c r="F93" i="10"/>
  <c r="F92" i="10"/>
  <c r="J29" i="8"/>
  <c r="M29" i="8" s="1"/>
  <c r="K75" i="8"/>
  <c r="N75" i="8" s="1"/>
  <c r="J83" i="8"/>
  <c r="M83" i="8" s="1"/>
  <c r="J16" i="8"/>
  <c r="M16" i="8" s="1"/>
  <c r="J35" i="8"/>
  <c r="M35" i="8" s="1"/>
  <c r="K46" i="8"/>
  <c r="N46" i="8" s="1"/>
  <c r="I35" i="10"/>
  <c r="M35" i="10" s="1"/>
  <c r="J162" i="10"/>
  <c r="I162" i="10"/>
  <c r="M162" i="10" s="1"/>
  <c r="P222" i="8"/>
  <c r="J32" i="8"/>
  <c r="M32" i="8" s="1"/>
  <c r="I1352" i="17"/>
  <c r="J1352" i="9"/>
  <c r="P240" i="8"/>
  <c r="I175" i="10"/>
  <c r="M175" i="10" s="1"/>
  <c r="I205" i="17"/>
  <c r="Q205" i="17" s="1"/>
  <c r="J205" i="9"/>
  <c r="I1440" i="17"/>
  <c r="J1440" i="9"/>
  <c r="I1864" i="17"/>
  <c r="Q1864" i="17" s="1"/>
  <c r="J1864" i="9"/>
  <c r="Z191" i="10"/>
  <c r="N191" i="10"/>
  <c r="I703" i="17"/>
  <c r="J703" i="9"/>
  <c r="I260" i="17"/>
  <c r="J260" i="9"/>
  <c r="I33" i="10"/>
  <c r="M33" i="10" s="1"/>
  <c r="I1146" i="17"/>
  <c r="J1146" i="9"/>
  <c r="I1073" i="17"/>
  <c r="J1073" i="9"/>
  <c r="I1873" i="17"/>
  <c r="Q1873" i="17" s="1"/>
  <c r="J1873" i="9"/>
  <c r="P1731" i="17"/>
  <c r="Q1731" i="17" s="1"/>
  <c r="H444" i="12" s="1"/>
  <c r="A444" i="12" s="1"/>
  <c r="P1728" i="17"/>
  <c r="Q1728" i="17" s="1"/>
  <c r="H443" i="12" s="1"/>
  <c r="A443" i="12" s="1"/>
  <c r="P1614" i="17"/>
  <c r="Q1614" i="17" s="1"/>
  <c r="P1758" i="17"/>
  <c r="Q1758" i="17" s="1"/>
  <c r="G293" i="12" s="1"/>
  <c r="A293" i="12" s="1"/>
  <c r="P1639" i="17"/>
  <c r="Q1639" i="17" s="1"/>
  <c r="G266" i="12" s="1"/>
  <c r="A266" i="12" s="1"/>
  <c r="P1390" i="17"/>
  <c r="Q1390" i="17" s="1"/>
  <c r="H424" i="12" s="1"/>
  <c r="P1299" i="17"/>
  <c r="Q1299" i="17" s="1"/>
  <c r="F421" i="12"/>
  <c r="H421" i="12"/>
  <c r="A421" i="12" s="1"/>
  <c r="P1004" i="17"/>
  <c r="Q1004" i="17" s="1"/>
  <c r="G238" i="12" s="1"/>
  <c r="A238" i="12" s="1"/>
  <c r="P940" i="17"/>
  <c r="Q940" i="17" s="1"/>
  <c r="G178" i="12" s="1"/>
  <c r="A178" i="12" s="1"/>
  <c r="P828" i="17"/>
  <c r="Q828" i="17" s="1"/>
  <c r="G165" i="12" s="1"/>
  <c r="A165" i="12" s="1"/>
  <c r="P801" i="17"/>
  <c r="Q801" i="17" s="1"/>
  <c r="G156" i="12" s="1"/>
  <c r="A156" i="12" s="1"/>
  <c r="P414" i="17"/>
  <c r="Q414" i="17" s="1"/>
  <c r="E60" i="12"/>
  <c r="P445" i="17"/>
  <c r="P66" i="17"/>
  <c r="Q66" i="17" s="1"/>
  <c r="G39" i="12"/>
  <c r="A39" i="12" s="1"/>
  <c r="E39" i="12"/>
  <c r="F47" i="10"/>
  <c r="P162" i="8"/>
  <c r="F94" i="10"/>
  <c r="K137" i="8"/>
  <c r="N137" i="8" s="1"/>
  <c r="G65" i="10" s="1"/>
  <c r="K65" i="10" s="1"/>
  <c r="J200" i="8"/>
  <c r="M200" i="8" s="1"/>
  <c r="P229" i="8"/>
  <c r="F168" i="10"/>
  <c r="J117" i="8"/>
  <c r="M117" i="8" s="1"/>
  <c r="J167" i="8"/>
  <c r="M167" i="8" s="1"/>
  <c r="K47" i="8"/>
  <c r="N47" i="8" s="1"/>
  <c r="P47" i="8" s="1"/>
  <c r="J14" i="8"/>
  <c r="M14" i="8" s="1"/>
  <c r="K57" i="8"/>
  <c r="N57" i="8" s="1"/>
  <c r="P57" i="8" s="1"/>
  <c r="J56" i="8"/>
  <c r="M56" i="8" s="1"/>
  <c r="P223" i="8"/>
  <c r="I181" i="10"/>
  <c r="M181" i="10" s="1"/>
  <c r="J181" i="10"/>
  <c r="I1338" i="17"/>
  <c r="Q1338" i="17" s="1"/>
  <c r="J1338" i="9"/>
  <c r="L186" i="8" s="1"/>
  <c r="O186" i="8" s="1"/>
  <c r="I180" i="10"/>
  <c r="M180" i="10" s="1"/>
  <c r="J180" i="10"/>
  <c r="I1016" i="17"/>
  <c r="Q1016" i="17" s="1"/>
  <c r="J1016" i="9"/>
  <c r="I1480" i="17"/>
  <c r="Q1480" i="17" s="1"/>
  <c r="J1480" i="9"/>
  <c r="I458" i="17"/>
  <c r="Q458" i="17" s="1"/>
  <c r="J458" i="9"/>
  <c r="I1210" i="17"/>
  <c r="Q1210" i="17" s="1"/>
  <c r="J1210" i="9"/>
  <c r="I30" i="10"/>
  <c r="M30" i="10" s="1"/>
  <c r="I1045" i="17"/>
  <c r="Q1045" i="17" s="1"/>
  <c r="J1045" i="9"/>
  <c r="I878" i="17"/>
  <c r="Q878" i="17" s="1"/>
  <c r="J878" i="9"/>
  <c r="I1857" i="17"/>
  <c r="Q1857" i="17" s="1"/>
  <c r="J1857" i="9"/>
  <c r="P1610" i="17"/>
  <c r="Q1610" i="17" s="1"/>
  <c r="G253" i="12" s="1"/>
  <c r="A253" i="12" s="1"/>
  <c r="P1516" i="17"/>
  <c r="Q1516" i="17" s="1"/>
  <c r="F388" i="12"/>
  <c r="P739" i="17"/>
  <c r="Q739" i="17" s="1"/>
  <c r="G133" i="12" s="1"/>
  <c r="A133" i="12" s="1"/>
  <c r="P370" i="17"/>
  <c r="Q370" i="17" s="1"/>
  <c r="G78" i="12"/>
  <c r="A78" i="12" s="1"/>
  <c r="E78" i="12"/>
  <c r="P311" i="17"/>
  <c r="Q311" i="17" s="1"/>
  <c r="E77" i="12"/>
  <c r="P1741" i="17"/>
  <c r="Q1741" i="17" s="1"/>
  <c r="G532" i="12" s="1"/>
  <c r="A532" i="12" s="1"/>
  <c r="P1787" i="17"/>
  <c r="Q1787" i="17" s="1"/>
  <c r="G317" i="12" s="1"/>
  <c r="A317" i="12" s="1"/>
  <c r="P1649" i="17"/>
  <c r="Q1649" i="17" s="1"/>
  <c r="G615" i="12" s="1"/>
  <c r="A615" i="12" s="1"/>
  <c r="P1644" i="17"/>
  <c r="Q1644" i="17" s="1"/>
  <c r="G271" i="12" s="1"/>
  <c r="A271" i="12" s="1"/>
  <c r="P1651" i="17"/>
  <c r="Q1651" i="17" s="1"/>
  <c r="G263" i="12" s="1"/>
  <c r="A263" i="12" s="1"/>
  <c r="P1589" i="17"/>
  <c r="Q1589" i="17" s="1"/>
  <c r="G239" i="12" s="1"/>
  <c r="A239" i="12" s="1"/>
  <c r="P1085" i="17"/>
  <c r="Q1085" i="17" s="1"/>
  <c r="G196" i="12" s="1"/>
  <c r="A196" i="12" s="1"/>
  <c r="P1012" i="17"/>
  <c r="Q1012" i="17" s="1"/>
  <c r="G184" i="12" s="1"/>
  <c r="A184" i="12" s="1"/>
  <c r="P823" i="17"/>
  <c r="Q823" i="17" s="1"/>
  <c r="H408" i="12" s="1"/>
  <c r="A408" i="12" s="1"/>
  <c r="P822" i="17"/>
  <c r="Q822" i="17" s="1"/>
  <c r="G163" i="12" s="1"/>
  <c r="A163" i="12" s="1"/>
  <c r="P813" i="17"/>
  <c r="Q813" i="17" s="1"/>
  <c r="G160" i="12" s="1"/>
  <c r="A160" i="12" s="1"/>
  <c r="P758" i="17"/>
  <c r="Q758" i="17" s="1"/>
  <c r="G537" i="12" s="1"/>
  <c r="A537" i="12" s="1"/>
  <c r="P803" i="17"/>
  <c r="Q803" i="17" s="1"/>
  <c r="G516" i="12" s="1"/>
  <c r="A516" i="12" s="1"/>
  <c r="P447" i="17"/>
  <c r="Q447" i="17" s="1"/>
  <c r="E22" i="12"/>
  <c r="G22" i="12"/>
  <c r="A22" i="12" s="1"/>
  <c r="P417" i="17"/>
  <c r="Q417" i="17" s="1"/>
  <c r="E65" i="12"/>
  <c r="P258" i="17"/>
  <c r="Q258" i="17" s="1"/>
  <c r="H382" i="12" s="1"/>
  <c r="A382" i="12" s="1"/>
  <c r="P313" i="17"/>
  <c r="Q313" i="17" s="1"/>
  <c r="E80" i="12"/>
  <c r="P188" i="17"/>
  <c r="Q188" i="17" s="1"/>
  <c r="G110" i="12"/>
  <c r="A110" i="12" s="1"/>
  <c r="E110" i="12"/>
  <c r="P256" i="17"/>
  <c r="Q256" i="17" s="1"/>
  <c r="G332" i="12" s="1"/>
  <c r="A332" i="12" s="1"/>
  <c r="P187" i="17"/>
  <c r="Q187" i="17" s="1"/>
  <c r="E93" i="12"/>
  <c r="P41" i="17"/>
  <c r="Q41" i="17" s="1"/>
  <c r="G31" i="12" s="1"/>
  <c r="A31" i="12" s="1"/>
  <c r="P195" i="17"/>
  <c r="Q195" i="17" s="1"/>
  <c r="E531" i="12"/>
  <c r="P256" i="8"/>
  <c r="F200" i="10"/>
  <c r="F86" i="10"/>
  <c r="J216" i="8"/>
  <c r="M216" i="8" s="1"/>
  <c r="K159" i="10"/>
  <c r="I159" i="10"/>
  <c r="M159" i="10" s="1"/>
  <c r="K161" i="8"/>
  <c r="N161" i="8" s="1"/>
  <c r="P161" i="8" s="1"/>
  <c r="J214" i="8"/>
  <c r="M214" i="8" s="1"/>
  <c r="J178" i="8"/>
  <c r="M178" i="8" s="1"/>
  <c r="F101" i="10"/>
  <c r="P80" i="8"/>
  <c r="F5" i="10"/>
  <c r="K87" i="8"/>
  <c r="N87" i="8" s="1"/>
  <c r="L27" i="10"/>
  <c r="I27" i="10"/>
  <c r="M27" i="10" s="1"/>
  <c r="J186" i="8"/>
  <c r="M186" i="8" s="1"/>
  <c r="J120" i="8"/>
  <c r="M120" i="8" s="1"/>
  <c r="J63" i="8"/>
  <c r="M63" i="8" s="1"/>
  <c r="J46" i="8"/>
  <c r="M46" i="8" s="1"/>
  <c r="P111" i="8"/>
  <c r="P261" i="8"/>
  <c r="P100" i="8"/>
  <c r="K50" i="8"/>
  <c r="N50" i="8" s="1"/>
  <c r="P241" i="8"/>
  <c r="I1300" i="17"/>
  <c r="Q1300" i="17" s="1"/>
  <c r="J1300" i="9"/>
  <c r="L183" i="8" s="1"/>
  <c r="O183" i="8" s="1"/>
  <c r="P224" i="8"/>
  <c r="I120" i="17"/>
  <c r="Q120" i="17" s="1"/>
  <c r="J120" i="9"/>
  <c r="I444" i="17"/>
  <c r="Q444" i="17" s="1"/>
  <c r="J444" i="9"/>
  <c r="I856" i="17"/>
  <c r="Q856" i="17" s="1"/>
  <c r="J856" i="9"/>
  <c r="I1506" i="17"/>
  <c r="J1506" i="9"/>
  <c r="I1186" i="17"/>
  <c r="Q1186" i="17" s="1"/>
  <c r="J1186" i="9"/>
  <c r="J26" i="10"/>
  <c r="I26" i="10"/>
  <c r="M26" i="10" s="1"/>
  <c r="I160" i="17"/>
  <c r="Q160" i="17" s="1"/>
  <c r="J160" i="9"/>
  <c r="I905" i="17"/>
  <c r="J905" i="9"/>
  <c r="I1109" i="17"/>
  <c r="Q1109" i="17" s="1"/>
  <c r="J1109" i="9"/>
  <c r="P1711" i="17"/>
  <c r="Q1711" i="17" s="1"/>
  <c r="G590" i="12" s="1"/>
  <c r="A590" i="12" s="1"/>
  <c r="P1708" i="17"/>
  <c r="Q1708" i="17" s="1"/>
  <c r="G589" i="12" s="1"/>
  <c r="A589" i="12" s="1"/>
  <c r="P1718" i="17"/>
  <c r="Q1718" i="17" s="1"/>
  <c r="G216" i="12" s="1"/>
  <c r="A216" i="12" s="1"/>
  <c r="P1628" i="17"/>
  <c r="Q1628" i="17" s="1"/>
  <c r="G258" i="12" s="1"/>
  <c r="A258" i="12" s="1"/>
  <c r="P1289" i="17"/>
  <c r="Q1289" i="17" s="1"/>
  <c r="G81" i="12" s="1"/>
  <c r="A81" i="12" s="1"/>
  <c r="P1067" i="17"/>
  <c r="Q1067" i="17" s="1"/>
  <c r="G194" i="12" s="1"/>
  <c r="A194" i="12" s="1"/>
  <c r="P1091" i="17"/>
  <c r="Q1091" i="17" s="1"/>
  <c r="G153" i="12" s="1"/>
  <c r="A153" i="12" s="1"/>
  <c r="P778" i="17"/>
  <c r="Q778" i="17" s="1"/>
  <c r="H473" i="12" s="1"/>
  <c r="A473" i="12" s="1"/>
  <c r="P749" i="17"/>
  <c r="Q749" i="17" s="1"/>
  <c r="G536" i="12" s="1"/>
  <c r="A536" i="12" s="1"/>
  <c r="P735" i="17"/>
  <c r="Q735" i="17" s="1"/>
  <c r="G129" i="12" s="1"/>
  <c r="A129" i="12" s="1"/>
  <c r="P742" i="17"/>
  <c r="Q742" i="17" s="1"/>
  <c r="P536" i="17"/>
  <c r="Q536" i="17" s="1"/>
  <c r="E89" i="12"/>
  <c r="P718" i="17"/>
  <c r="Q718" i="17" s="1"/>
  <c r="G116" i="12" s="1"/>
  <c r="A116" i="12" s="1"/>
  <c r="P543" i="17"/>
  <c r="Q543" i="17" s="1"/>
  <c r="G326" i="12"/>
  <c r="A326" i="12" s="1"/>
  <c r="E326" i="12"/>
  <c r="P521" i="17"/>
  <c r="Q521" i="17" s="1"/>
  <c r="G100" i="12"/>
  <c r="A100" i="12" s="1"/>
  <c r="E100" i="12"/>
  <c r="P306" i="17"/>
  <c r="Q306" i="17" s="1"/>
  <c r="P194" i="17"/>
  <c r="P23" i="17"/>
  <c r="Q23" i="17" s="1"/>
  <c r="P129" i="17"/>
  <c r="E503" i="12"/>
  <c r="K201" i="10"/>
  <c r="K263" i="8"/>
  <c r="N263" i="8" s="1"/>
  <c r="G208" i="10" s="1"/>
  <c r="K208" i="10" s="1"/>
  <c r="J142" i="8"/>
  <c r="M142" i="8" s="1"/>
  <c r="P233" i="8"/>
  <c r="F173" i="10"/>
  <c r="P107" i="8"/>
  <c r="F31" i="10"/>
  <c r="K24" i="10"/>
  <c r="I24" i="10"/>
  <c r="M24" i="10" s="1"/>
  <c r="J65" i="8"/>
  <c r="M65" i="8" s="1"/>
  <c r="J34" i="8"/>
  <c r="M34" i="8" s="1"/>
  <c r="J72" i="8"/>
  <c r="M72" i="8" s="1"/>
  <c r="G69" i="10"/>
  <c r="K69" i="10" s="1"/>
  <c r="G64" i="10"/>
  <c r="K64" i="10" s="1"/>
  <c r="J52" i="8"/>
  <c r="M52" i="8" s="1"/>
  <c r="P52" i="8" s="1"/>
  <c r="P84" i="8"/>
  <c r="P225" i="8"/>
  <c r="I1327" i="17"/>
  <c r="Q1327" i="17" s="1"/>
  <c r="J1327" i="9"/>
  <c r="L185" i="8" s="1"/>
  <c r="O185" i="8" s="1"/>
  <c r="H121" i="10" s="1"/>
  <c r="L121" i="10" s="1"/>
  <c r="I24" i="17"/>
  <c r="Q24" i="17" s="1"/>
  <c r="J24" i="9"/>
  <c r="I559" i="17"/>
  <c r="Q559" i="17" s="1"/>
  <c r="J559" i="9"/>
  <c r="I1555" i="17"/>
  <c r="Q1555" i="17" s="1"/>
  <c r="J1555" i="9"/>
  <c r="I1351" i="17"/>
  <c r="Q1351" i="17" s="1"/>
  <c r="J1351" i="9"/>
  <c r="J34" i="10"/>
  <c r="I34" i="10"/>
  <c r="M34" i="10" s="1"/>
  <c r="I1194" i="17"/>
  <c r="Q1194" i="17" s="1"/>
  <c r="J1194" i="9"/>
  <c r="P102" i="8"/>
  <c r="I138" i="17"/>
  <c r="Q138" i="17" s="1"/>
  <c r="J138" i="9"/>
  <c r="I1026" i="17"/>
  <c r="J1026" i="9"/>
  <c r="P922" i="17"/>
  <c r="Q922" i="17" s="1"/>
  <c r="G545" i="12" s="1"/>
  <c r="A545" i="12" s="1"/>
  <c r="P570" i="17"/>
  <c r="Q570" i="17" s="1"/>
  <c r="G324" i="12"/>
  <c r="A324" i="12" s="1"/>
  <c r="E324" i="12"/>
  <c r="P569" i="17"/>
  <c r="Q569" i="17" s="1"/>
  <c r="G321" i="12"/>
  <c r="A321" i="12" s="1"/>
  <c r="E321" i="12"/>
  <c r="P497" i="17"/>
  <c r="Q497" i="17" s="1"/>
  <c r="E71" i="12"/>
  <c r="G71" i="12"/>
  <c r="A71" i="12" s="1"/>
  <c r="P308" i="17"/>
  <c r="Q308" i="17" s="1"/>
  <c r="E48" i="12"/>
  <c r="G48" i="12"/>
  <c r="A48" i="12" s="1"/>
  <c r="P231" i="8"/>
  <c r="F171" i="10"/>
  <c r="J210" i="8"/>
  <c r="M210" i="8" s="1"/>
  <c r="F167" i="10"/>
  <c r="J177" i="8"/>
  <c r="M177" i="8" s="1"/>
  <c r="J85" i="8"/>
  <c r="M85" i="8" s="1"/>
  <c r="K56" i="8"/>
  <c r="N56" i="8" s="1"/>
  <c r="J54" i="8"/>
  <c r="M54" i="8" s="1"/>
  <c r="I2" i="17"/>
  <c r="Q2" i="17" s="1"/>
  <c r="J2" i="9"/>
  <c r="L60" i="8" s="1"/>
  <c r="O60" i="8" s="1"/>
  <c r="I585" i="17"/>
  <c r="Q585" i="17" s="1"/>
  <c r="J585" i="9"/>
  <c r="L26" i="8" s="1"/>
  <c r="O26" i="8" s="1"/>
  <c r="P96" i="8"/>
  <c r="J30" i="8"/>
  <c r="M30" i="8" s="1"/>
  <c r="I46" i="17"/>
  <c r="J46" i="9"/>
  <c r="I596" i="17"/>
  <c r="Q596" i="17" s="1"/>
  <c r="J596" i="9"/>
  <c r="I1044" i="17"/>
  <c r="Q1044" i="17" s="1"/>
  <c r="J1044" i="9"/>
  <c r="I1856" i="17"/>
  <c r="Q1856" i="17" s="1"/>
  <c r="J1856" i="9"/>
  <c r="I164" i="10"/>
  <c r="M164" i="10" s="1"/>
  <c r="I176" i="10"/>
  <c r="M176" i="10" s="1"/>
  <c r="I1202" i="17"/>
  <c r="Q1202" i="17" s="1"/>
  <c r="J1202" i="9"/>
  <c r="I25" i="17"/>
  <c r="J25" i="9"/>
  <c r="I895" i="17"/>
  <c r="Q895" i="17" s="1"/>
  <c r="J895" i="9"/>
  <c r="P1120" i="17"/>
  <c r="Q1120" i="17" s="1"/>
  <c r="G561" i="12" s="1"/>
  <c r="A561" i="12" s="1"/>
  <c r="P774" i="17"/>
  <c r="Q774" i="17" s="1"/>
  <c r="H396" i="12" s="1"/>
  <c r="A396" i="12" s="1"/>
  <c r="P489" i="17"/>
  <c r="Q489" i="17" s="1"/>
  <c r="E96" i="12"/>
  <c r="G96" i="12"/>
  <c r="A96" i="12" s="1"/>
  <c r="P483" i="17"/>
  <c r="Q483" i="17" s="1"/>
  <c r="G68" i="12"/>
  <c r="A68" i="12" s="1"/>
  <c r="E68" i="12"/>
  <c r="P315" i="17"/>
  <c r="Q315" i="17" s="1"/>
  <c r="P1782" i="17"/>
  <c r="Q1782" i="17" s="1"/>
  <c r="G312" i="12" s="1"/>
  <c r="A312" i="12" s="1"/>
  <c r="P1694" i="17"/>
  <c r="Q1694" i="17" s="1"/>
  <c r="G278" i="12" s="1"/>
  <c r="A278" i="12" s="1"/>
  <c r="P1717" i="17"/>
  <c r="Q1717" i="17" s="1"/>
  <c r="G592" i="12" s="1"/>
  <c r="A592" i="12" s="1"/>
  <c r="P1292" i="17"/>
  <c r="Q1292" i="17" s="1"/>
  <c r="G574" i="12" s="1"/>
  <c r="A574" i="12" s="1"/>
  <c r="P1181" i="17"/>
  <c r="Q1181" i="17" s="1"/>
  <c r="G205" i="12" s="1"/>
  <c r="A205" i="12" s="1"/>
  <c r="P1075" i="17"/>
  <c r="Q1075" i="17" s="1"/>
  <c r="G26" i="12" s="1"/>
  <c r="A26" i="12" s="1"/>
  <c r="P987" i="17"/>
  <c r="Q987" i="17" s="1"/>
  <c r="G183" i="12" s="1"/>
  <c r="A183" i="12" s="1"/>
  <c r="P1123" i="17"/>
  <c r="Q1123" i="17" s="1"/>
  <c r="G204" i="12" s="1"/>
  <c r="A204" i="12" s="1"/>
  <c r="P795" i="17"/>
  <c r="Q795" i="17" s="1"/>
  <c r="G154" i="12" s="1"/>
  <c r="A154" i="12" s="1"/>
  <c r="P925" i="17"/>
  <c r="Q925" i="17" s="1"/>
  <c r="P831" i="17"/>
  <c r="Q831" i="17" s="1"/>
  <c r="H411" i="12" s="1"/>
  <c r="A411" i="12" s="1"/>
  <c r="P814" i="17"/>
  <c r="Q814" i="17" s="1"/>
  <c r="H405" i="12" s="1"/>
  <c r="A405" i="12" s="1"/>
  <c r="P726" i="17"/>
  <c r="Q726" i="17" s="1"/>
  <c r="G119" i="12" s="1"/>
  <c r="A119" i="12" s="1"/>
  <c r="P747" i="17"/>
  <c r="Q747" i="17" s="1"/>
  <c r="H463" i="12" s="1"/>
  <c r="A463" i="12" s="1"/>
  <c r="P751" i="17"/>
  <c r="Q751" i="17" s="1"/>
  <c r="G136" i="12" s="1"/>
  <c r="A136" i="12" s="1"/>
  <c r="P416" i="17"/>
  <c r="Q416" i="17" s="1"/>
  <c r="E63" i="12"/>
  <c r="G63" i="12"/>
  <c r="A63" i="12" s="1"/>
  <c r="P439" i="17"/>
  <c r="Q439" i="17" s="1"/>
  <c r="G106" i="12"/>
  <c r="A106" i="12" s="1"/>
  <c r="E106" i="12"/>
  <c r="P481" i="17"/>
  <c r="Q481" i="17" s="1"/>
  <c r="E19" i="12"/>
  <c r="G19" i="12"/>
  <c r="A19" i="12" s="1"/>
  <c r="P255" i="17"/>
  <c r="Q255" i="17" s="1"/>
  <c r="G109" i="12" s="1"/>
  <c r="A109" i="12" s="1"/>
  <c r="P32" i="17"/>
  <c r="Q32" i="17" s="1"/>
  <c r="J213" i="8"/>
  <c r="M213" i="8" s="1"/>
  <c r="F46" i="10"/>
  <c r="J128" i="8"/>
  <c r="M128" i="8" s="1"/>
  <c r="J184" i="8"/>
  <c r="M184" i="8" s="1"/>
  <c r="P140" i="8"/>
  <c r="F68" i="10"/>
  <c r="F52" i="10"/>
  <c r="J208" i="8"/>
  <c r="M208" i="8" s="1"/>
  <c r="J67" i="8"/>
  <c r="M67" i="8" s="1"/>
  <c r="J133" i="8"/>
  <c r="M133" i="8" s="1"/>
  <c r="J40" i="8"/>
  <c r="M40" i="8" s="1"/>
  <c r="I704" i="17"/>
  <c r="J704" i="9"/>
  <c r="I996" i="17"/>
  <c r="J996" i="9"/>
  <c r="L133" i="8" s="1"/>
  <c r="O133" i="8" s="1"/>
  <c r="H59" i="10" s="1"/>
  <c r="L59" i="10" s="1"/>
  <c r="I194" i="17"/>
  <c r="J194" i="9"/>
  <c r="L25" i="8" s="1"/>
  <c r="O25" i="8" s="1"/>
  <c r="I623" i="17"/>
  <c r="Q623" i="17" s="1"/>
  <c r="J623" i="9"/>
  <c r="L39" i="8" s="1"/>
  <c r="O39" i="8" s="1"/>
  <c r="I597" i="17"/>
  <c r="Q597" i="17" s="1"/>
  <c r="J597" i="9"/>
  <c r="J4" i="8"/>
  <c r="M4" i="8" s="1"/>
  <c r="I73" i="17"/>
  <c r="J73" i="9"/>
  <c r="I232" i="17"/>
  <c r="Q232" i="17" s="1"/>
  <c r="J232" i="9"/>
  <c r="I1546" i="17"/>
  <c r="J1546" i="9"/>
  <c r="F505" i="12"/>
  <c r="I1244" i="9"/>
  <c r="I1209" i="9"/>
  <c r="I1152" i="9"/>
  <c r="I1201" i="9"/>
  <c r="I1193" i="9"/>
  <c r="I1229" i="9"/>
  <c r="I1236" i="9"/>
  <c r="I250" i="9"/>
  <c r="I1185" i="9"/>
  <c r="I268" i="9"/>
  <c r="I259" i="9"/>
  <c r="I1153" i="17"/>
  <c r="Q1153" i="17" s="1"/>
  <c r="J1153" i="9"/>
  <c r="I130" i="17"/>
  <c r="Q130" i="17" s="1"/>
  <c r="J130" i="9"/>
  <c r="I47" i="17"/>
  <c r="J47" i="9"/>
  <c r="I1865" i="17"/>
  <c r="Q1865" i="17" s="1"/>
  <c r="J1865" i="9"/>
  <c r="P1592" i="17"/>
  <c r="Q1592" i="17" s="1"/>
  <c r="G242" i="12" s="1"/>
  <c r="A242" i="12" s="1"/>
  <c r="P1092" i="17"/>
  <c r="Q1092" i="17" s="1"/>
  <c r="G197" i="12" s="1"/>
  <c r="A197" i="12" s="1"/>
  <c r="P1040" i="17"/>
  <c r="Q1040" i="17" s="1"/>
  <c r="H417" i="12" s="1"/>
  <c r="A417" i="12" s="1"/>
  <c r="P1053" i="17"/>
  <c r="Q1053" i="17" s="1"/>
  <c r="G555" i="12" s="1"/>
  <c r="A555" i="12" s="1"/>
  <c r="P943" i="17"/>
  <c r="Q943" i="17" s="1"/>
  <c r="G549" i="12" s="1"/>
  <c r="A549" i="12" s="1"/>
  <c r="P798" i="17"/>
  <c r="Q798" i="17" s="1"/>
  <c r="G155" i="12" s="1"/>
  <c r="A155" i="12" s="1"/>
  <c r="P708" i="17"/>
  <c r="Q708" i="17" s="1"/>
  <c r="G533" i="12" s="1"/>
  <c r="A533" i="12" s="1"/>
  <c r="P808" i="17"/>
  <c r="Q808" i="17" s="1"/>
  <c r="H403" i="12" s="1"/>
  <c r="A403" i="12" s="1"/>
  <c r="P805" i="17"/>
  <c r="Q805" i="17" s="1"/>
  <c r="H402" i="12" s="1"/>
  <c r="A402" i="12" s="1"/>
  <c r="P705" i="17"/>
  <c r="Q705" i="17" s="1"/>
  <c r="G33" i="12"/>
  <c r="A33" i="12" s="1"/>
  <c r="E33" i="12"/>
  <c r="P435" i="17"/>
  <c r="Q435" i="17" s="1"/>
  <c r="G102" i="12"/>
  <c r="A102" i="12" s="1"/>
  <c r="E102" i="12"/>
  <c r="P419" i="17"/>
  <c r="Q419" i="17" s="1"/>
  <c r="H370" i="12"/>
  <c r="A370" i="12" s="1"/>
  <c r="F370" i="12"/>
  <c r="P599" i="17"/>
  <c r="E620" i="12"/>
  <c r="P29" i="17"/>
  <c r="Q29" i="17" s="1"/>
  <c r="P189" i="17"/>
  <c r="Q189" i="17" s="1"/>
  <c r="E111" i="12"/>
  <c r="G111" i="12"/>
  <c r="A111" i="12" s="1"/>
  <c r="P108" i="17"/>
  <c r="Q108" i="17" s="1"/>
  <c r="G34" i="12"/>
  <c r="A34" i="12" s="1"/>
  <c r="E34" i="12"/>
  <c r="F127" i="10"/>
  <c r="F188" i="10"/>
  <c r="P248" i="8"/>
  <c r="K184" i="8"/>
  <c r="N184" i="8" s="1"/>
  <c r="G120" i="10" s="1"/>
  <c r="K120" i="10" s="1"/>
  <c r="J187" i="8"/>
  <c r="M187" i="8" s="1"/>
  <c r="J82" i="8"/>
  <c r="M82" i="8" s="1"/>
  <c r="J86" i="8"/>
  <c r="M86" i="8" s="1"/>
  <c r="G96" i="10"/>
  <c r="K96" i="10" s="1"/>
  <c r="G99" i="10"/>
  <c r="K99" i="10" s="1"/>
  <c r="G91" i="10"/>
  <c r="K91" i="10" s="1"/>
  <c r="G98" i="10"/>
  <c r="K98" i="10" s="1"/>
  <c r="P236" i="8"/>
  <c r="I183" i="17"/>
  <c r="Q183" i="17" s="1"/>
  <c r="J183" i="9"/>
  <c r="L41" i="8" s="1"/>
  <c r="O41" i="8" s="1"/>
  <c r="I676" i="17"/>
  <c r="Q676" i="17" s="1"/>
  <c r="J676" i="9"/>
  <c r="L78" i="8" s="1"/>
  <c r="O78" i="8" s="1"/>
  <c r="I1313" i="17"/>
  <c r="Q1313" i="17" s="1"/>
  <c r="J1313" i="9"/>
  <c r="L184" i="8" s="1"/>
  <c r="O184" i="8" s="1"/>
  <c r="H120" i="10" s="1"/>
  <c r="L120" i="10" s="1"/>
  <c r="I204" i="10"/>
  <c r="M204" i="10" s="1"/>
  <c r="J204" i="10"/>
  <c r="I103" i="17"/>
  <c r="Q103" i="17" s="1"/>
  <c r="J103" i="9"/>
  <c r="I407" i="17"/>
  <c r="Q407" i="17" s="1"/>
  <c r="J407" i="9"/>
  <c r="I894" i="17"/>
  <c r="Q894" i="17" s="1"/>
  <c r="J894" i="9"/>
  <c r="P230" i="8"/>
  <c r="I1237" i="17"/>
  <c r="Q1237" i="17" s="1"/>
  <c r="J1237" i="9"/>
  <c r="I222" i="17"/>
  <c r="Q222" i="17" s="1"/>
  <c r="J222" i="9"/>
  <c r="I96" i="17"/>
  <c r="Q96" i="17" s="1"/>
  <c r="J96" i="9"/>
  <c r="I980" i="17"/>
  <c r="Q980" i="17" s="1"/>
  <c r="J980" i="9"/>
  <c r="P1298" i="17"/>
  <c r="Q1298" i="17" s="1"/>
  <c r="G210" i="12"/>
  <c r="A210" i="12" s="1"/>
  <c r="E210" i="12"/>
  <c r="P1121" i="17"/>
  <c r="Q1121" i="17" s="1"/>
  <c r="G202" i="12" s="1"/>
  <c r="A202" i="12" s="1"/>
  <c r="P1130" i="17"/>
  <c r="Q1130" i="17" s="1"/>
  <c r="G563" i="12" s="1"/>
  <c r="A563" i="12" s="1"/>
  <c r="P719" i="17"/>
  <c r="Q719" i="17" s="1"/>
  <c r="G117" i="12" s="1"/>
  <c r="A117" i="12" s="1"/>
  <c r="P373" i="17"/>
  <c r="Q373" i="17" s="1"/>
  <c r="E327" i="12"/>
  <c r="G327" i="12"/>
  <c r="A327" i="12" s="1"/>
  <c r="P492" i="17"/>
  <c r="Q492" i="17" s="1"/>
  <c r="H369" i="12"/>
  <c r="F369" i="12"/>
  <c r="P448" i="17"/>
  <c r="Q448" i="17" s="1"/>
  <c r="G54" i="12"/>
  <c r="A54" i="12" s="1"/>
  <c r="E54" i="12"/>
  <c r="P16" i="17"/>
  <c r="Q16" i="17" s="1"/>
  <c r="E16" i="12"/>
  <c r="P25" i="17"/>
  <c r="J149" i="8"/>
  <c r="M149" i="8" s="1"/>
  <c r="K128" i="8"/>
  <c r="N128" i="8" s="1"/>
  <c r="G54" i="10" s="1"/>
  <c r="K54" i="10" s="1"/>
  <c r="K165" i="8"/>
  <c r="N165" i="8" s="1"/>
  <c r="F62" i="10"/>
  <c r="P124" i="8"/>
  <c r="F49" i="10"/>
  <c r="J71" i="8"/>
  <c r="M71" i="8" s="1"/>
  <c r="J179" i="8"/>
  <c r="M179" i="8" s="1"/>
  <c r="J36" i="8"/>
  <c r="M36" i="8" s="1"/>
  <c r="K206" i="10"/>
  <c r="I206" i="10"/>
  <c r="M206" i="10" s="1"/>
  <c r="J8" i="8"/>
  <c r="M8" i="8" s="1"/>
  <c r="P220" i="8"/>
  <c r="I988" i="17"/>
  <c r="Q988" i="17" s="1"/>
  <c r="J988" i="9"/>
  <c r="L132" i="8" s="1"/>
  <c r="O132" i="8" s="1"/>
  <c r="I645" i="17"/>
  <c r="Q645" i="17" s="1"/>
  <c r="J645" i="9"/>
  <c r="L44" i="8" s="1"/>
  <c r="O44" i="8" s="1"/>
  <c r="P259" i="8"/>
  <c r="I421" i="17"/>
  <c r="Q421" i="17" s="1"/>
  <c r="J421" i="9"/>
  <c r="I904" i="17"/>
  <c r="J904" i="9"/>
  <c r="I1493" i="17"/>
  <c r="Q1493" i="17" s="1"/>
  <c r="J1493" i="9"/>
  <c r="J28" i="10"/>
  <c r="I28" i="10"/>
  <c r="M28" i="10" s="1"/>
  <c r="I1245" i="17"/>
  <c r="Q1245" i="17" s="1"/>
  <c r="J1245" i="9"/>
  <c r="I90" i="17"/>
  <c r="Q90" i="17" s="1"/>
  <c r="J90" i="9"/>
  <c r="I121" i="17"/>
  <c r="J121" i="9"/>
  <c r="I1102" i="17"/>
  <c r="Q1102" i="17" s="1"/>
  <c r="J1102" i="9"/>
  <c r="P1715" i="17"/>
  <c r="Q1715" i="17" s="1"/>
  <c r="G215" i="12" s="1"/>
  <c r="A215" i="12" s="1"/>
  <c r="P1436" i="17"/>
  <c r="Q1436" i="17" s="1"/>
  <c r="G64" i="12" s="1"/>
  <c r="A64" i="12" s="1"/>
  <c r="P1855" i="17"/>
  <c r="Q1855" i="17" s="1"/>
  <c r="H462" i="12" s="1"/>
  <c r="A462" i="12" s="1"/>
  <c r="P1370" i="17"/>
  <c r="Q1370" i="17" s="1"/>
  <c r="G576" i="12" s="1"/>
  <c r="A576" i="12" s="1"/>
  <c r="P1805" i="17"/>
  <c r="Q1805" i="17" s="1"/>
  <c r="G229" i="12" s="1"/>
  <c r="A229" i="12" s="1"/>
  <c r="P1696" i="17"/>
  <c r="Q1696" i="17" s="1"/>
  <c r="G280" i="12" s="1"/>
  <c r="A280" i="12" s="1"/>
  <c r="P1693" i="17"/>
  <c r="Q1693" i="17" s="1"/>
  <c r="G277" i="12" s="1"/>
  <c r="A277" i="12" s="1"/>
  <c r="P1744" i="17"/>
  <c r="Q1744" i="17" s="1"/>
  <c r="G600" i="12" s="1"/>
  <c r="A600" i="12" s="1"/>
  <c r="P1745" i="17"/>
  <c r="Q1745" i="17" s="1"/>
  <c r="G284" i="12" s="1"/>
  <c r="A284" i="12" s="1"/>
  <c r="P1587" i="17"/>
  <c r="Q1587" i="17" s="1"/>
  <c r="G610" i="12" s="1"/>
  <c r="A610" i="12" s="1"/>
  <c r="P1439" i="17"/>
  <c r="Q1439" i="17" s="1"/>
  <c r="P1182" i="17"/>
  <c r="Q1182" i="17" s="1"/>
  <c r="G206" i="12" s="1"/>
  <c r="A206" i="12" s="1"/>
  <c r="P1122" i="17"/>
  <c r="Q1122" i="17" s="1"/>
  <c r="G203" i="12" s="1"/>
  <c r="A203" i="12" s="1"/>
  <c r="P1093" i="17"/>
  <c r="Q1093" i="17" s="1"/>
  <c r="G198" i="12" s="1"/>
  <c r="A198" i="12" s="1"/>
  <c r="P1090" i="17"/>
  <c r="Q1090" i="17" s="1"/>
  <c r="G558" i="12" s="1"/>
  <c r="A558" i="12" s="1"/>
  <c r="P762" i="17"/>
  <c r="Q762" i="17" s="1"/>
  <c r="G143" i="12" s="1"/>
  <c r="A143" i="12" s="1"/>
  <c r="P730" i="17"/>
  <c r="Q730" i="17" s="1"/>
  <c r="G123" i="12" s="1"/>
  <c r="A123" i="12" s="1"/>
  <c r="P775" i="17"/>
  <c r="Q775" i="17" s="1"/>
  <c r="G539" i="12" s="1"/>
  <c r="A539" i="12" s="1"/>
  <c r="P551" i="17"/>
  <c r="Q551" i="17" s="1"/>
  <c r="E91" i="12"/>
  <c r="P462" i="17"/>
  <c r="Q462" i="17" s="1"/>
  <c r="E53" i="12"/>
  <c r="G53" i="12"/>
  <c r="A53" i="12" s="1"/>
  <c r="P252" i="17"/>
  <c r="Q252" i="17" s="1"/>
  <c r="G24" i="12" s="1"/>
  <c r="A24" i="12" s="1"/>
  <c r="P307" i="17"/>
  <c r="Q307" i="17" s="1"/>
  <c r="G47" i="12"/>
  <c r="A47" i="12" s="1"/>
  <c r="E47" i="12"/>
  <c r="J151" i="8"/>
  <c r="M151" i="8" s="1"/>
  <c r="P138" i="8"/>
  <c r="F66" i="10"/>
  <c r="K228" i="8"/>
  <c r="N228" i="8" s="1"/>
  <c r="G167" i="10" s="1"/>
  <c r="K167" i="10" s="1"/>
  <c r="J205" i="8"/>
  <c r="M205" i="8" s="1"/>
  <c r="J26" i="8"/>
  <c r="M26" i="8" s="1"/>
  <c r="J23" i="8"/>
  <c r="M23" i="8" s="1"/>
  <c r="P189" i="8"/>
  <c r="F125" i="10"/>
  <c r="J3" i="8"/>
  <c r="M3" i="8" s="1"/>
  <c r="K118" i="8"/>
  <c r="N118" i="8" s="1"/>
  <c r="G43" i="10" s="1"/>
  <c r="K43" i="10" s="1"/>
  <c r="P188" i="8"/>
  <c r="P242" i="8"/>
  <c r="I966" i="17"/>
  <c r="J966" i="9"/>
  <c r="L129" i="8" s="1"/>
  <c r="O129" i="8" s="1"/>
  <c r="H55" i="10" s="1"/>
  <c r="L55" i="10" s="1"/>
  <c r="J13" i="8"/>
  <c r="M13" i="8" s="1"/>
  <c r="I688" i="17"/>
  <c r="J688" i="9"/>
  <c r="I214" i="10"/>
  <c r="M214" i="10" s="1"/>
  <c r="J196" i="10"/>
  <c r="I196" i="10"/>
  <c r="M196" i="10" s="1"/>
  <c r="I166" i="10"/>
  <c r="M166" i="10" s="1"/>
  <c r="J166" i="10"/>
  <c r="I690" i="17"/>
  <c r="J690" i="9"/>
  <c r="I221" i="17"/>
  <c r="Q221" i="17" s="1"/>
  <c r="J221" i="9"/>
  <c r="I1426" i="17"/>
  <c r="Q1426" i="17" s="1"/>
  <c r="J1426" i="9"/>
  <c r="F620" i="12"/>
  <c r="I687" i="9"/>
  <c r="I599" i="9"/>
  <c r="I161" i="10"/>
  <c r="M161" i="10" s="1"/>
  <c r="P104" i="8"/>
  <c r="I1230" i="17"/>
  <c r="Q1230" i="17" s="1"/>
  <c r="J1230" i="9"/>
  <c r="I112" i="17"/>
  <c r="Q112" i="17" s="1"/>
  <c r="J112" i="9"/>
  <c r="I243" i="17"/>
  <c r="J243" i="9"/>
  <c r="I867" i="17"/>
  <c r="Q867" i="17" s="1"/>
  <c r="J867" i="9"/>
  <c r="P1695" i="17"/>
  <c r="Q1695" i="17" s="1"/>
  <c r="G279" i="12" s="1"/>
  <c r="A279" i="12" s="1"/>
  <c r="P1645" i="17"/>
  <c r="Q1645" i="17" s="1"/>
  <c r="G272" i="12" s="1"/>
  <c r="A272" i="12" s="1"/>
  <c r="P1726" i="17"/>
  <c r="Q1726" i="17" s="1"/>
  <c r="G595" i="12" s="1"/>
  <c r="A595" i="12" s="1"/>
  <c r="P1759" i="17"/>
  <c r="Q1759" i="17" s="1"/>
  <c r="H450" i="12" s="1"/>
  <c r="A450" i="12" s="1"/>
  <c r="P953" i="17"/>
  <c r="Q953" i="17" s="1"/>
  <c r="G180" i="12" s="1"/>
  <c r="A180" i="12" s="1"/>
  <c r="P825" i="17"/>
  <c r="Q825" i="17" s="1"/>
  <c r="G164" i="12" s="1"/>
  <c r="A164" i="12" s="1"/>
  <c r="P776" i="17"/>
  <c r="Q776" i="17" s="1"/>
  <c r="G148" i="12" s="1"/>
  <c r="A148" i="12" s="1"/>
  <c r="P797" i="17"/>
  <c r="Q797" i="17" s="1"/>
  <c r="G514" i="12" s="1"/>
  <c r="A514" i="12" s="1"/>
  <c r="P843" i="17"/>
  <c r="Q843" i="17" s="1"/>
  <c r="G170" i="12" s="1"/>
  <c r="A170" i="12" s="1"/>
  <c r="P840" i="17"/>
  <c r="Q840" i="17" s="1"/>
  <c r="G169" i="12" s="1"/>
  <c r="A169" i="12" s="1"/>
  <c r="P802" i="17"/>
  <c r="Q802" i="17" s="1"/>
  <c r="H401" i="12" s="1"/>
  <c r="A401" i="12" s="1"/>
  <c r="P491" i="17"/>
  <c r="Q491" i="17" s="1"/>
  <c r="E99" i="12"/>
  <c r="G99" i="12"/>
  <c r="A99" i="12" s="1"/>
  <c r="P310" i="17"/>
  <c r="Q310" i="17" s="1"/>
  <c r="G76" i="12"/>
  <c r="A76" i="12" s="1"/>
  <c r="E76" i="12"/>
  <c r="P15" i="17"/>
  <c r="P3" i="17"/>
  <c r="E87" i="12"/>
  <c r="K191" i="8"/>
  <c r="N191" i="8" s="1"/>
  <c r="G127" i="10" s="1"/>
  <c r="K127" i="10" s="1"/>
  <c r="J199" i="8"/>
  <c r="M199" i="8" s="1"/>
  <c r="J73" i="8"/>
  <c r="M73" i="8" s="1"/>
  <c r="J197" i="8"/>
  <c r="M197" i="8" s="1"/>
  <c r="K74" i="8"/>
  <c r="N74" i="8" s="1"/>
  <c r="K121" i="8"/>
  <c r="N121" i="8" s="1"/>
  <c r="G46" i="10" s="1"/>
  <c r="K46" i="10" s="1"/>
  <c r="J69" i="8"/>
  <c r="M69" i="8" s="1"/>
  <c r="K194" i="8"/>
  <c r="N194" i="8" s="1"/>
  <c r="G132" i="10" s="1"/>
  <c r="K132" i="10" s="1"/>
  <c r="J55" i="8"/>
  <c r="M55" i="8" s="1"/>
  <c r="J64" i="8"/>
  <c r="M64" i="8" s="1"/>
  <c r="J44" i="8"/>
  <c r="M44" i="8" s="1"/>
  <c r="P226" i="8"/>
  <c r="I655" i="17"/>
  <c r="J655" i="9"/>
  <c r="L59" i="8" s="1"/>
  <c r="O59" i="8" s="1"/>
  <c r="H58" i="10" s="1"/>
  <c r="L58" i="10" s="1"/>
  <c r="I663" i="17"/>
  <c r="J663" i="9"/>
  <c r="L76" i="8" s="1"/>
  <c r="O76" i="8" s="1"/>
  <c r="J85" i="10"/>
  <c r="P103" i="8"/>
  <c r="P227" i="8"/>
  <c r="I877" i="17"/>
  <c r="Q877" i="17" s="1"/>
  <c r="J877" i="9"/>
  <c r="I846" i="17"/>
  <c r="Q846" i="17" s="1"/>
  <c r="J846" i="9"/>
  <c r="I1579" i="17"/>
  <c r="Q1579" i="17" s="1"/>
  <c r="J1579" i="9"/>
  <c r="I1401" i="17"/>
  <c r="Q1401" i="17" s="1"/>
  <c r="J1401" i="9"/>
  <c r="I74" i="17"/>
  <c r="J74" i="9"/>
  <c r="I959" i="17"/>
  <c r="J959" i="9"/>
  <c r="P1606" i="17"/>
  <c r="Q1606" i="17" s="1"/>
  <c r="G240" i="12" s="1"/>
  <c r="A240" i="12" s="1"/>
  <c r="P1165" i="17"/>
  <c r="Q1165" i="17" s="1"/>
  <c r="H475" i="12" s="1"/>
  <c r="A475" i="12" s="1"/>
  <c r="P789" i="17"/>
  <c r="Q789" i="17" s="1"/>
  <c r="G541" i="12" s="1"/>
  <c r="A541" i="12" s="1"/>
  <c r="P1788" i="17"/>
  <c r="Q1788" i="17" s="1"/>
  <c r="G318" i="12" s="1"/>
  <c r="A318" i="12" s="1"/>
  <c r="P1854" i="17"/>
  <c r="Q1854" i="17" s="1"/>
  <c r="H461" i="12" s="1"/>
  <c r="A461" i="12" s="1"/>
  <c r="P1773" i="17"/>
  <c r="Q1773" i="17" s="1"/>
  <c r="G303" i="12" s="1"/>
  <c r="A303" i="12" s="1"/>
  <c r="P1743" i="17"/>
  <c r="Q1743" i="17" s="1"/>
  <c r="H448" i="12" s="1"/>
  <c r="A448" i="12" s="1"/>
  <c r="P1618" i="17"/>
  <c r="Q1618" i="17" s="1"/>
  <c r="P1598" i="17"/>
  <c r="Q1598" i="17" s="1"/>
  <c r="G248" i="12" s="1"/>
  <c r="A248" i="12" s="1"/>
  <c r="P1167" i="17"/>
  <c r="Q1167" i="17" s="1"/>
  <c r="G528" i="12"/>
  <c r="A528" i="12" s="1"/>
  <c r="E528" i="12"/>
  <c r="P1041" i="17"/>
  <c r="Q1041" i="17" s="1"/>
  <c r="G554" i="12" s="1"/>
  <c r="A554" i="12" s="1"/>
  <c r="P824" i="17"/>
  <c r="Q824" i="17" s="1"/>
  <c r="G523" i="12" s="1"/>
  <c r="A523" i="12" s="1"/>
  <c r="P736" i="17"/>
  <c r="Q736" i="17" s="1"/>
  <c r="G130" i="12" s="1"/>
  <c r="A130" i="12" s="1"/>
  <c r="P720" i="17"/>
  <c r="Q720" i="17" s="1"/>
  <c r="G118" i="12" s="1"/>
  <c r="A118" i="12" s="1"/>
  <c r="P784" i="17"/>
  <c r="Q784" i="17" s="1"/>
  <c r="G150" i="12" s="1"/>
  <c r="A150" i="12" s="1"/>
  <c r="P412" i="17"/>
  <c r="Q412" i="17" s="1"/>
  <c r="G57" i="12"/>
  <c r="A57" i="12" s="1"/>
  <c r="E57" i="12"/>
  <c r="P526" i="17"/>
  <c r="Q526" i="17" s="1"/>
  <c r="G73" i="12"/>
  <c r="A73" i="12" s="1"/>
  <c r="E73" i="12"/>
  <c r="P343" i="17"/>
  <c r="Q343" i="17" s="1"/>
  <c r="G18" i="12"/>
  <c r="A18" i="12" s="1"/>
  <c r="E18" i="12"/>
  <c r="P434" i="17"/>
  <c r="Q434" i="17" s="1"/>
  <c r="E67" i="12"/>
  <c r="G67" i="12"/>
  <c r="A67" i="12" s="1"/>
  <c r="P9" i="17"/>
  <c r="Q9" i="17" s="1"/>
  <c r="E325" i="12"/>
  <c r="G325" i="12"/>
  <c r="A325" i="12" s="1"/>
  <c r="P185" i="17"/>
  <c r="Q185" i="17" s="1"/>
  <c r="G90" i="12"/>
  <c r="A90" i="12" s="1"/>
  <c r="E90" i="12"/>
  <c r="P61" i="17"/>
  <c r="Q61" i="17" s="1"/>
  <c r="E28" i="12"/>
  <c r="G138" i="10"/>
  <c r="K138" i="10" s="1"/>
  <c r="G140" i="10"/>
  <c r="K140" i="10" s="1"/>
  <c r="G139" i="10"/>
  <c r="K139" i="10" s="1"/>
  <c r="G142" i="10"/>
  <c r="K142" i="10" s="1"/>
  <c r="G141" i="10"/>
  <c r="K141" i="10" s="1"/>
  <c r="F17" i="10"/>
  <c r="P99" i="8"/>
  <c r="F23" i="10"/>
  <c r="P131" i="8"/>
  <c r="F57" i="10"/>
  <c r="J70" i="8"/>
  <c r="M70" i="8" s="1"/>
  <c r="P70" i="8" s="1"/>
  <c r="P95" i="8"/>
  <c r="F19" i="10"/>
  <c r="I189" i="10"/>
  <c r="M189" i="10" s="1"/>
  <c r="J189" i="10"/>
  <c r="J165" i="10"/>
  <c r="I165" i="10"/>
  <c r="M165" i="10" s="1"/>
  <c r="I574" i="17"/>
  <c r="Q574" i="17" s="1"/>
  <c r="J574" i="9"/>
  <c r="L23" i="8" s="1"/>
  <c r="O23" i="8" s="1"/>
  <c r="P237" i="8"/>
  <c r="I173" i="17"/>
  <c r="Q173" i="17" s="1"/>
  <c r="J173" i="9"/>
  <c r="I1563" i="17"/>
  <c r="Q1563" i="17" s="1"/>
  <c r="J1563" i="9"/>
  <c r="I1217" i="17"/>
  <c r="Q1217" i="17" s="1"/>
  <c r="J1217" i="9"/>
  <c r="I163" i="10"/>
  <c r="M163" i="10" s="1"/>
  <c r="I14" i="17"/>
  <c r="Q14" i="17" s="1"/>
  <c r="J14" i="9"/>
  <c r="I146" i="17"/>
  <c r="Q146" i="17" s="1"/>
  <c r="J146" i="9"/>
  <c r="I1419" i="17"/>
  <c r="Q1419" i="17" s="1"/>
  <c r="J1419" i="9"/>
  <c r="P1700" i="17"/>
  <c r="Q1700" i="17" s="1"/>
  <c r="H435" i="12" s="1"/>
  <c r="A435" i="12" s="1"/>
  <c r="P1733" i="17"/>
  <c r="Q1733" i="17" s="1"/>
  <c r="G221" i="12" s="1"/>
  <c r="A221" i="12" s="1"/>
  <c r="P1836" i="17"/>
  <c r="Q1836" i="17" s="1"/>
  <c r="G232" i="12" s="1"/>
  <c r="A232" i="12" s="1"/>
  <c r="P1615" i="17"/>
  <c r="Q1615" i="17" s="1"/>
  <c r="G612" i="12" s="1"/>
  <c r="A612" i="12" s="1"/>
  <c r="P1789" i="17"/>
  <c r="Q1789" i="17" s="1"/>
  <c r="G319" i="12" s="1"/>
  <c r="A319" i="12" s="1"/>
  <c r="P1612" i="17"/>
  <c r="Q1612" i="17" s="1"/>
  <c r="G255" i="12" s="1"/>
  <c r="A255" i="12" s="1"/>
  <c r="P1371" i="17"/>
  <c r="Q1371" i="17" s="1"/>
  <c r="G235" i="12" s="1"/>
  <c r="A235" i="12" s="1"/>
  <c r="P1261" i="17"/>
  <c r="Q1261" i="17" s="1"/>
  <c r="H420" i="12" s="1"/>
  <c r="A420" i="12" s="1"/>
  <c r="P1039" i="17"/>
  <c r="Q1039" i="17" s="1"/>
  <c r="G553" i="12" s="1"/>
  <c r="A553" i="12" s="1"/>
  <c r="P1037" i="17"/>
  <c r="Q1037" i="17" s="1"/>
  <c r="G188" i="12" s="1"/>
  <c r="A188" i="12" s="1"/>
  <c r="P918" i="17"/>
  <c r="Q918" i="17" s="1"/>
  <c r="P924" i="17"/>
  <c r="Q924" i="17" s="1"/>
  <c r="G174" i="12" s="1"/>
  <c r="A174" i="12" s="1"/>
  <c r="P830" i="17"/>
  <c r="Q830" i="17" s="1"/>
  <c r="G166" i="12" s="1"/>
  <c r="A166" i="12" s="1"/>
  <c r="P935" i="17"/>
  <c r="Q935" i="17" s="1"/>
  <c r="G176" i="12" s="1"/>
  <c r="A176" i="12" s="1"/>
  <c r="P777" i="17"/>
  <c r="Q777" i="17" s="1"/>
  <c r="P821" i="17"/>
  <c r="Q821" i="17" s="1"/>
  <c r="G522" i="12" s="1"/>
  <c r="A522" i="12" s="1"/>
  <c r="P725" i="17"/>
  <c r="Q725" i="17" s="1"/>
  <c r="G125" i="12" s="1"/>
  <c r="A125" i="12" s="1"/>
  <c r="P436" i="17"/>
  <c r="Q436" i="17" s="1"/>
  <c r="E103" i="12"/>
  <c r="G103" i="12"/>
  <c r="A103" i="12" s="1"/>
  <c r="P437" i="17"/>
  <c r="Q437" i="17" s="1"/>
  <c r="E104" i="12"/>
  <c r="G104" i="12"/>
  <c r="A104" i="12" s="1"/>
  <c r="P395" i="17"/>
  <c r="Q395" i="17" s="1"/>
  <c r="F376" i="12"/>
  <c r="H376" i="12"/>
  <c r="A376" i="12" s="1"/>
  <c r="P463" i="17"/>
  <c r="Q463" i="17" s="1"/>
  <c r="E58" i="12"/>
  <c r="P196" i="17"/>
  <c r="Q196" i="17" s="1"/>
  <c r="G86" i="12"/>
  <c r="A86" i="12" s="1"/>
  <c r="E86" i="12"/>
  <c r="P309" i="17"/>
  <c r="Q309" i="17" s="1"/>
  <c r="G49" i="12"/>
  <c r="A49" i="12" s="1"/>
  <c r="E49" i="12"/>
  <c r="P141" i="17"/>
  <c r="Q141" i="17" s="1"/>
  <c r="G29" i="12"/>
  <c r="A29" i="12" s="1"/>
  <c r="E29" i="12"/>
  <c r="P13" i="17"/>
  <c r="P238" i="8"/>
  <c r="F178" i="10"/>
  <c r="F208" i="10"/>
  <c r="J171" i="8"/>
  <c r="M171" i="8" s="1"/>
  <c r="K143" i="8"/>
  <c r="N143" i="8" s="1"/>
  <c r="G72" i="10" s="1"/>
  <c r="K72" i="10" s="1"/>
  <c r="J145" i="8"/>
  <c r="M145" i="8" s="1"/>
  <c r="K8" i="10"/>
  <c r="I8" i="10"/>
  <c r="M8" i="10" s="1"/>
  <c r="K83" i="8"/>
  <c r="N83" i="8" s="1"/>
  <c r="G7" i="10" s="1"/>
  <c r="K7" i="10" s="1"/>
  <c r="K159" i="8"/>
  <c r="N159" i="8" s="1"/>
  <c r="P97" i="8"/>
  <c r="F21" i="10"/>
  <c r="J78" i="8"/>
  <c r="M78" i="8" s="1"/>
  <c r="J202" i="8"/>
  <c r="M202" i="8" s="1"/>
  <c r="K171" i="8"/>
  <c r="N171" i="8" s="1"/>
  <c r="J130" i="8"/>
  <c r="M130" i="8" s="1"/>
  <c r="J22" i="8"/>
  <c r="M22" i="8" s="1"/>
  <c r="K119" i="8"/>
  <c r="N119" i="8" s="1"/>
  <c r="J60" i="8"/>
  <c r="M60" i="8" s="1"/>
  <c r="K63" i="8"/>
  <c r="N63" i="8" s="1"/>
  <c r="J28" i="8"/>
  <c r="M28" i="8" s="1"/>
  <c r="K4" i="8"/>
  <c r="N4" i="8" s="1"/>
  <c r="G39" i="10" s="1"/>
  <c r="K39" i="10" s="1"/>
  <c r="P249" i="8"/>
  <c r="J20" i="10"/>
  <c r="I20" i="10"/>
  <c r="M20" i="10" s="1"/>
  <c r="J192" i="10"/>
  <c r="I192" i="10"/>
  <c r="M192" i="10" s="1"/>
  <c r="P260" i="8"/>
  <c r="I636" i="17"/>
  <c r="Q636" i="17" s="1"/>
  <c r="J636" i="9"/>
  <c r="P106" i="8"/>
  <c r="F508" i="12"/>
  <c r="I1529" i="9"/>
  <c r="I1441" i="9"/>
  <c r="I1494" i="9"/>
  <c r="I1538" i="9"/>
  <c r="I1547" i="9"/>
  <c r="I1481" i="9"/>
  <c r="I1580" i="9"/>
  <c r="I1507" i="9"/>
  <c r="I1519" i="9"/>
  <c r="I1427" i="9"/>
  <c r="I1468" i="9"/>
  <c r="I1564" i="9"/>
  <c r="I1455" i="9"/>
  <c r="I1572" i="9"/>
  <c r="I1556" i="9"/>
  <c r="I445" i="9"/>
  <c r="I470" i="9"/>
  <c r="I422" i="9"/>
  <c r="I459" i="9"/>
  <c r="I408" i="9"/>
  <c r="P221" i="8"/>
  <c r="I111" i="17"/>
  <c r="Q111" i="17" s="1"/>
  <c r="J111" i="9"/>
  <c r="I866" i="17"/>
  <c r="Q866" i="17" s="1"/>
  <c r="J866" i="9"/>
  <c r="I1537" i="17"/>
  <c r="Q1537" i="17" s="1"/>
  <c r="J1537" i="9"/>
  <c r="I29" i="10"/>
  <c r="M29" i="10" s="1"/>
  <c r="I182" i="10"/>
  <c r="M182" i="10" s="1"/>
  <c r="I36" i="17"/>
  <c r="J36" i="9"/>
  <c r="I104" i="17"/>
  <c r="Q104" i="17" s="1"/>
  <c r="J104" i="9"/>
  <c r="I857" i="17"/>
  <c r="Q857" i="17" s="1"/>
  <c r="J857" i="9"/>
  <c r="P1641" i="17"/>
  <c r="Q1641" i="17" s="1"/>
  <c r="G268" i="12" s="1"/>
  <c r="A268" i="12" s="1"/>
  <c r="P1774" i="17"/>
  <c r="Q1774" i="17" s="1"/>
  <c r="G304" i="12" s="1"/>
  <c r="A304" i="12" s="1"/>
  <c r="P1638" i="17"/>
  <c r="Q1638" i="17" s="1"/>
  <c r="G265" i="12" s="1"/>
  <c r="A265" i="12" s="1"/>
  <c r="P1778" i="17"/>
  <c r="Q1778" i="17" s="1"/>
  <c r="G308" i="12" s="1"/>
  <c r="A308" i="12" s="1"/>
  <c r="P1858" i="17"/>
  <c r="G619" i="12"/>
  <c r="A619" i="12" s="1"/>
  <c r="E619" i="12"/>
  <c r="P1622" i="17"/>
  <c r="Q1622" i="17" s="1"/>
  <c r="G257" i="12" s="1"/>
  <c r="A257" i="12" s="1"/>
  <c r="P1841" i="17"/>
  <c r="Q1841" i="17" s="1"/>
  <c r="G607" i="12" s="1"/>
  <c r="A607" i="12" s="1"/>
  <c r="P1698" i="17"/>
  <c r="Q1698" i="17" s="1"/>
  <c r="H387" i="12" s="1"/>
  <c r="A387" i="12" s="1"/>
  <c r="P1710" i="17"/>
  <c r="Q1710" i="17" s="1"/>
  <c r="H437" i="12" s="1"/>
  <c r="A437" i="12" s="1"/>
  <c r="P1624" i="17"/>
  <c r="Q1624" i="17" s="1"/>
  <c r="G613" i="12" s="1"/>
  <c r="A613" i="12" s="1"/>
  <c r="P1757" i="17"/>
  <c r="Q1757" i="17" s="1"/>
  <c r="G601" i="12" s="1"/>
  <c r="A601" i="12" s="1"/>
  <c r="P1790" i="17"/>
  <c r="Q1790" i="17" s="1"/>
  <c r="G320" i="12" s="1"/>
  <c r="A320" i="12" s="1"/>
  <c r="P1742" i="17"/>
  <c r="Q1742" i="17" s="1"/>
  <c r="G224" i="12" s="1"/>
  <c r="A224" i="12" s="1"/>
  <c r="P1699" i="17"/>
  <c r="Q1699" i="17" s="1"/>
  <c r="H434" i="12" s="1"/>
  <c r="A434" i="12" s="1"/>
  <c r="P1709" i="17"/>
  <c r="Q1709" i="17" s="1"/>
  <c r="G213" i="12" s="1"/>
  <c r="A213" i="12" s="1"/>
  <c r="P1643" i="17"/>
  <c r="Q1643" i="17" s="1"/>
  <c r="G270" i="12" s="1"/>
  <c r="A270" i="12" s="1"/>
  <c r="P1609" i="17"/>
  <c r="Q1609" i="17" s="1"/>
  <c r="G252" i="12" s="1"/>
  <c r="A252" i="12" s="1"/>
  <c r="P1378" i="17"/>
  <c r="Q1378" i="17" s="1"/>
  <c r="G212" i="12" s="1"/>
  <c r="A212" i="12" s="1"/>
  <c r="P1117" i="17"/>
  <c r="Q1117" i="17" s="1"/>
  <c r="P1072" i="17"/>
  <c r="Q1072" i="17" s="1"/>
  <c r="H474" i="12" s="1"/>
  <c r="A474" i="12" s="1"/>
  <c r="P1008" i="17"/>
  <c r="Q1008" i="17" s="1"/>
  <c r="H466" i="12" s="1"/>
  <c r="A466" i="12" s="1"/>
  <c r="P699" i="17"/>
  <c r="Q699" i="17" s="1"/>
  <c r="P833" i="17"/>
  <c r="Q833" i="17" s="1"/>
  <c r="G167" i="12" s="1"/>
  <c r="A167" i="12" s="1"/>
  <c r="P703" i="17"/>
  <c r="G511" i="12"/>
  <c r="A511" i="12" s="1"/>
  <c r="E511" i="12"/>
  <c r="P704" i="17"/>
  <c r="G623" i="12"/>
  <c r="A623" i="12" s="1"/>
  <c r="E623" i="12"/>
  <c r="P714" i="17"/>
  <c r="Q714" i="17" s="1"/>
  <c r="G112" i="12" s="1"/>
  <c r="A112" i="12" s="1"/>
  <c r="P748" i="17"/>
  <c r="Q748" i="17" s="1"/>
  <c r="H464" i="12" s="1"/>
  <c r="A464" i="12" s="1"/>
  <c r="P281" i="17"/>
  <c r="Q281" i="17" s="1"/>
  <c r="G17" i="12"/>
  <c r="A17" i="12" s="1"/>
  <c r="E17" i="12"/>
  <c r="P402" i="17"/>
  <c r="Q402" i="17" s="1"/>
  <c r="G82" i="12"/>
  <c r="A82" i="12" s="1"/>
  <c r="E82" i="12"/>
  <c r="P200" i="17"/>
  <c r="Q200" i="17" s="1"/>
  <c r="E92" i="12"/>
  <c r="P472" i="17"/>
  <c r="Q472" i="17" s="1"/>
  <c r="G23" i="12"/>
  <c r="A23" i="12" s="1"/>
  <c r="E23" i="12"/>
  <c r="P344" i="17"/>
  <c r="Q344" i="17" s="1"/>
  <c r="E51" i="12"/>
  <c r="G51" i="12"/>
  <c r="A51" i="12" s="1"/>
  <c r="P169" i="8"/>
  <c r="F102" i="10"/>
  <c r="J164" i="8"/>
  <c r="M164" i="8" s="1"/>
  <c r="P150" i="8"/>
  <c r="F80" i="10"/>
  <c r="G145" i="10"/>
  <c r="K145" i="10" s="1"/>
  <c r="G143" i="10"/>
  <c r="K143" i="10" s="1"/>
  <c r="G146" i="10"/>
  <c r="K146" i="10" s="1"/>
  <c r="J183" i="8"/>
  <c r="M183" i="8" s="1"/>
  <c r="J115" i="8"/>
  <c r="M115" i="8" s="1"/>
  <c r="J114" i="8"/>
  <c r="M114" i="8" s="1"/>
  <c r="J25" i="8"/>
  <c r="M25" i="8" s="1"/>
  <c r="P105" i="8"/>
  <c r="I532" i="17"/>
  <c r="Q532" i="17" s="1"/>
  <c r="J532" i="9"/>
  <c r="L77" i="8" s="1"/>
  <c r="O77" i="8" s="1"/>
  <c r="I129" i="17"/>
  <c r="J129" i="9"/>
  <c r="I13" i="17"/>
  <c r="J13" i="9"/>
  <c r="I469" i="17"/>
  <c r="Q469" i="17" s="1"/>
  <c r="J469" i="9"/>
  <c r="I1467" i="17"/>
  <c r="Q1467" i="17" s="1"/>
  <c r="J1467" i="9"/>
  <c r="I160" i="10"/>
  <c r="M160" i="10" s="1"/>
  <c r="I124" i="10"/>
  <c r="M124" i="10" s="1"/>
  <c r="I169" i="10"/>
  <c r="M169" i="10" s="1"/>
  <c r="I58" i="17"/>
  <c r="Q58" i="17" s="1"/>
  <c r="J58" i="9"/>
  <c r="I84" i="17"/>
  <c r="Q84" i="17" s="1"/>
  <c r="J84" i="9"/>
  <c r="I1218" i="17"/>
  <c r="J1218" i="9"/>
  <c r="P1697" i="17"/>
  <c r="Q1697" i="17" s="1"/>
  <c r="H386" i="12" s="1"/>
  <c r="A386" i="12" s="1"/>
  <c r="P1607" i="17"/>
  <c r="Q1607" i="17" s="1"/>
  <c r="G244" i="12" s="1"/>
  <c r="A244" i="12" s="1"/>
  <c r="P1193" i="17"/>
  <c r="P974" i="17"/>
  <c r="Q974" i="17" s="1"/>
  <c r="G237" i="12" s="1"/>
  <c r="A237" i="12" s="1"/>
  <c r="P1042" i="17"/>
  <c r="Q1042" i="17" s="1"/>
  <c r="G189" i="12" s="1"/>
  <c r="A189" i="12" s="1"/>
  <c r="P793" i="17"/>
  <c r="Q793" i="17" s="1"/>
  <c r="H398" i="12" s="1"/>
  <c r="A398" i="12" s="1"/>
  <c r="P841" i="17"/>
  <c r="Q841" i="17" s="1"/>
  <c r="G542" i="12" s="1"/>
  <c r="A542" i="12" s="1"/>
  <c r="P794" i="17"/>
  <c r="Q794" i="17" s="1"/>
  <c r="G513" i="12" s="1"/>
  <c r="A513" i="12" s="1"/>
  <c r="P796" i="17"/>
  <c r="Q796" i="17" s="1"/>
  <c r="H399" i="12" s="1"/>
  <c r="A399" i="12" s="1"/>
  <c r="P769" i="17"/>
  <c r="Q769" i="17" s="1"/>
  <c r="H389" i="12" s="1"/>
  <c r="A389" i="12" s="1"/>
  <c r="P499" i="17"/>
  <c r="Q499" i="17" s="1"/>
  <c r="G98" i="12"/>
  <c r="A98" i="12" s="1"/>
  <c r="E98" i="12"/>
  <c r="P527" i="17"/>
  <c r="Q527" i="17" s="1"/>
  <c r="E74" i="12"/>
  <c r="G74" i="12"/>
  <c r="A74" i="12" s="1"/>
  <c r="P540" i="17"/>
  <c r="Q540" i="17" s="1"/>
  <c r="G94" i="12"/>
  <c r="A94" i="12" s="1"/>
  <c r="E94" i="12"/>
  <c r="P280" i="17"/>
  <c r="Q280" i="17" s="1"/>
  <c r="F380" i="12"/>
  <c r="H380" i="12"/>
  <c r="A380" i="12" s="1"/>
  <c r="P347" i="17"/>
  <c r="Q347" i="17" s="1"/>
  <c r="G84" i="12"/>
  <c r="A84" i="12" s="1"/>
  <c r="E84" i="12"/>
  <c r="P11" i="17"/>
  <c r="Q11" i="17" s="1"/>
  <c r="H92" i="10"/>
  <c r="L92" i="10" s="1"/>
  <c r="H93" i="10"/>
  <c r="L93" i="10" s="1"/>
  <c r="K205" i="10"/>
  <c r="I205" i="10"/>
  <c r="M205" i="10" s="1"/>
  <c r="J193" i="8"/>
  <c r="M193" i="8" s="1"/>
  <c r="J245" i="8"/>
  <c r="M245" i="8" s="1"/>
  <c r="J215" i="8"/>
  <c r="M215" i="8" s="1"/>
  <c r="J206" i="8"/>
  <c r="M206" i="8" s="1"/>
  <c r="P234" i="8"/>
  <c r="F174" i="10"/>
  <c r="P235" i="8"/>
  <c r="I560" i="17"/>
  <c r="Q560" i="17" s="1"/>
  <c r="J560" i="9"/>
  <c r="E29" i="14"/>
  <c r="C24" i="14"/>
  <c r="D19" i="15" s="1"/>
  <c r="E11" i="14"/>
  <c r="B17" i="14"/>
  <c r="E14" i="14"/>
  <c r="D25" i="14"/>
  <c r="F25" i="14" s="1"/>
  <c r="G25" i="14" s="1"/>
  <c r="E22" i="14"/>
  <c r="B25" i="14"/>
  <c r="D22" i="14"/>
  <c r="F22" i="14" s="1"/>
  <c r="G22" i="14" s="1"/>
  <c r="D19" i="14"/>
  <c r="F19" i="14" s="1"/>
  <c r="G19" i="14" s="1"/>
  <c r="D11" i="14"/>
  <c r="F11" i="14" s="1"/>
  <c r="G11" i="14" s="1"/>
  <c r="E30" i="14"/>
  <c r="C22" i="14"/>
  <c r="D17" i="15" s="1"/>
  <c r="C19" i="14"/>
  <c r="D14" i="15" s="1"/>
  <c r="B11" i="14"/>
  <c r="B22" i="14"/>
  <c r="B19" i="14"/>
  <c r="E16" i="14"/>
  <c r="E27" i="14"/>
  <c r="E24" i="14"/>
  <c r="C16" i="14"/>
  <c r="D11" i="15" s="1"/>
  <c r="E13" i="14"/>
  <c r="D27" i="14"/>
  <c r="F27" i="14" s="1"/>
  <c r="G27" i="14" s="1"/>
  <c r="D24" i="14"/>
  <c r="F24" i="14" s="1"/>
  <c r="G24" i="14" s="1"/>
  <c r="D13" i="14"/>
  <c r="F13" i="14" s="1"/>
  <c r="G13" i="14" s="1"/>
  <c r="E15" i="13"/>
  <c r="B27" i="14"/>
  <c r="B24" i="14"/>
  <c r="B21" i="14"/>
  <c r="C13" i="14"/>
  <c r="D8" i="15" s="1"/>
  <c r="E26" i="14"/>
  <c r="B13" i="14"/>
  <c r="C15" i="13"/>
  <c r="D15" i="13" s="1"/>
  <c r="F15" i="13" s="1"/>
  <c r="D29" i="14"/>
  <c r="F29" i="14" s="1"/>
  <c r="G29" i="14" s="1"/>
  <c r="D26" i="14"/>
  <c r="F26" i="14" s="1"/>
  <c r="G26" i="14" s="1"/>
  <c r="E18" i="14"/>
  <c r="E15" i="14"/>
  <c r="A15" i="13"/>
  <c r="C29" i="14"/>
  <c r="D24" i="15" s="1"/>
  <c r="C26" i="14"/>
  <c r="D21" i="15" s="1"/>
  <c r="C18" i="14"/>
  <c r="D13" i="15" s="1"/>
  <c r="D15" i="14"/>
  <c r="F15" i="14" s="1"/>
  <c r="G15" i="14" s="1"/>
  <c r="B29" i="14"/>
  <c r="B26" i="14"/>
  <c r="C15" i="14"/>
  <c r="D10" i="15" s="1"/>
  <c r="C12" i="14"/>
  <c r="D7" i="15" s="1"/>
  <c r="A14" i="13"/>
  <c r="D23" i="14"/>
  <c r="F23" i="14" s="1"/>
  <c r="G23" i="14" s="1"/>
  <c r="B15" i="14"/>
  <c r="B12" i="14"/>
  <c r="C18" i="13"/>
  <c r="D18" i="13" s="1"/>
  <c r="F18" i="13" s="1"/>
  <c r="E20" i="14"/>
  <c r="E17" i="14"/>
  <c r="C28" i="14"/>
  <c r="D23" i="15" s="1"/>
  <c r="D20" i="14"/>
  <c r="F20" i="14" s="1"/>
  <c r="G20" i="14" s="1"/>
  <c r="D17" i="14"/>
  <c r="F17" i="14" s="1"/>
  <c r="G17" i="14" s="1"/>
  <c r="B28" i="14"/>
  <c r="C20" i="14"/>
  <c r="D15" i="15" s="1"/>
  <c r="C17" i="14"/>
  <c r="D12" i="15" s="1"/>
  <c r="E17" i="13"/>
  <c r="C13" i="13"/>
  <c r="D13" i="13" s="1"/>
  <c r="F13" i="13" s="1"/>
  <c r="P176" i="8"/>
  <c r="I1025" i="17"/>
  <c r="Q1025" i="17" s="1"/>
  <c r="G503" i="12" s="1"/>
  <c r="A503" i="12" s="1"/>
  <c r="J1025" i="9"/>
  <c r="I35" i="17"/>
  <c r="Q35" i="17" s="1"/>
  <c r="J35" i="9"/>
  <c r="I1528" i="17"/>
  <c r="Q1528" i="17" s="1"/>
  <c r="J1528" i="9"/>
  <c r="I1518" i="17"/>
  <c r="Q1518" i="17" s="1"/>
  <c r="J1518" i="9"/>
  <c r="I67" i="10"/>
  <c r="M67" i="10" s="1"/>
  <c r="I152" i="17"/>
  <c r="Q152" i="17" s="1"/>
  <c r="J152" i="9"/>
  <c r="I174" i="17"/>
  <c r="Q174" i="17" s="1"/>
  <c r="J174" i="9"/>
  <c r="I1413" i="17"/>
  <c r="J1413" i="9"/>
  <c r="P1646" i="17"/>
  <c r="Q1646" i="17" s="1"/>
  <c r="G273" i="12" s="1"/>
  <c r="A273" i="12" s="1"/>
  <c r="P1853" i="17"/>
  <c r="Q1853" i="17" s="1"/>
  <c r="H460" i="12" s="1"/>
  <c r="A460" i="12" s="1"/>
  <c r="P1611" i="17"/>
  <c r="Q1611" i="17" s="1"/>
  <c r="G254" i="12" s="1"/>
  <c r="A254" i="12" s="1"/>
  <c r="P1512" i="17"/>
  <c r="Q1512" i="17" s="1"/>
  <c r="G56" i="12" s="1"/>
  <c r="A56" i="12" s="1"/>
  <c r="P1399" i="17"/>
  <c r="Q1399" i="17" s="1"/>
  <c r="G323" i="12" s="1"/>
  <c r="A323" i="12" s="1"/>
  <c r="P1066" i="17"/>
  <c r="Q1066" i="17" s="1"/>
  <c r="G193" i="12" s="1"/>
  <c r="A193" i="12" s="1"/>
  <c r="P1166" i="17"/>
  <c r="Q1166" i="17" s="1"/>
  <c r="H419" i="12" s="1"/>
  <c r="A419" i="12" s="1"/>
  <c r="P1013" i="17"/>
  <c r="Q1013" i="17" s="1"/>
  <c r="G185" i="12" s="1"/>
  <c r="A185" i="12" s="1"/>
  <c r="P887" i="17"/>
  <c r="Q887" i="17" s="1"/>
  <c r="G543" i="12" s="1"/>
  <c r="A543" i="12" s="1"/>
  <c r="P917" i="17"/>
  <c r="Q917" i="17" s="1"/>
  <c r="G152" i="12" s="1"/>
  <c r="A152" i="12" s="1"/>
  <c r="P745" i="17"/>
  <c r="Q745" i="17" s="1"/>
  <c r="H393" i="12" s="1"/>
  <c r="A393" i="12" s="1"/>
  <c r="P746" i="17"/>
  <c r="Q746" i="17" s="1"/>
  <c r="H394" i="12" s="1"/>
  <c r="A394" i="12" s="1"/>
  <c r="P832" i="17"/>
  <c r="Q832" i="17" s="1"/>
  <c r="G525" i="12" s="1"/>
  <c r="A525" i="12" s="1"/>
  <c r="Q772" i="17"/>
  <c r="G538" i="12" s="1"/>
  <c r="A538" i="12" s="1"/>
  <c r="E538" i="12"/>
  <c r="P655" i="17"/>
  <c r="P464" i="17"/>
  <c r="Q464" i="17" s="1"/>
  <c r="G62" i="12"/>
  <c r="A62" i="12" s="1"/>
  <c r="E62" i="12"/>
  <c r="P494" i="17"/>
  <c r="Q494" i="17" s="1"/>
  <c r="F381" i="12"/>
  <c r="H381" i="12"/>
  <c r="A381" i="12" s="1"/>
  <c r="P379" i="17"/>
  <c r="Q379" i="17" s="1"/>
  <c r="G46" i="12"/>
  <c r="A46" i="12" s="1"/>
  <c r="E46" i="12"/>
  <c r="P257" i="17"/>
  <c r="Q257" i="17" s="1"/>
  <c r="P204" i="17"/>
  <c r="Q204" i="17" s="1"/>
  <c r="P312" i="17"/>
  <c r="Q312" i="17" s="1"/>
  <c r="E79" i="12"/>
  <c r="P80" i="17"/>
  <c r="Q80" i="17" s="1"/>
  <c r="G44" i="12" s="1"/>
  <c r="A44" i="12" s="1"/>
  <c r="K177" i="10"/>
  <c r="I177" i="10"/>
  <c r="M177" i="10" s="1"/>
  <c r="F121" i="10"/>
  <c r="J246" i="8"/>
  <c r="M246" i="8" s="1"/>
  <c r="J163" i="8"/>
  <c r="M163" i="8" s="1"/>
  <c r="K149" i="8"/>
  <c r="N149" i="8" s="1"/>
  <c r="K258" i="8"/>
  <c r="N258" i="8" s="1"/>
  <c r="G202" i="10" s="1"/>
  <c r="K202" i="10" s="1"/>
  <c r="J218" i="8"/>
  <c r="M218" i="8" s="1"/>
  <c r="K93" i="8"/>
  <c r="N93" i="8" s="1"/>
  <c r="G17" i="10" s="1"/>
  <c r="K17" i="10" s="1"/>
  <c r="F622" i="12"/>
  <c r="I960" i="9"/>
  <c r="I896" i="9"/>
  <c r="I1027" i="9"/>
  <c r="I1414" i="9"/>
  <c r="I1018" i="9"/>
  <c r="I1046" i="9"/>
  <c r="I981" i="9"/>
  <c r="I1420" i="9"/>
  <c r="I1103" i="9"/>
  <c r="I1874" i="9"/>
  <c r="I1866" i="9"/>
  <c r="I1074" i="9"/>
  <c r="I1402" i="9"/>
  <c r="I906" i="9"/>
  <c r="I1147" i="9"/>
  <c r="I1408" i="9"/>
  <c r="I848" i="9"/>
  <c r="I1219" i="9"/>
  <c r="I207" i="9"/>
  <c r="I868" i="9"/>
  <c r="I879" i="9"/>
  <c r="I1110" i="9"/>
  <c r="I244" i="9"/>
  <c r="I48" i="9"/>
  <c r="I26" i="9"/>
  <c r="I139" i="9"/>
  <c r="I858" i="9"/>
  <c r="I161" i="9"/>
  <c r="I223" i="9"/>
  <c r="I131" i="9"/>
  <c r="I91" i="9"/>
  <c r="I234" i="9"/>
  <c r="I168" i="9"/>
  <c r="I153" i="9"/>
  <c r="I59" i="9"/>
  <c r="I37" i="9"/>
  <c r="I15" i="9"/>
  <c r="I113" i="9"/>
  <c r="I175" i="9"/>
  <c r="I105" i="9"/>
  <c r="I147" i="9"/>
  <c r="I75" i="9"/>
  <c r="I122" i="9"/>
  <c r="I97" i="9"/>
  <c r="I85" i="9"/>
  <c r="J66" i="8"/>
  <c r="M66" i="8" s="1"/>
  <c r="J41" i="8"/>
  <c r="M41" i="8" s="1"/>
  <c r="J49" i="8"/>
  <c r="M49" i="8" s="1"/>
  <c r="K60" i="8"/>
  <c r="N60" i="8" s="1"/>
  <c r="P268" i="8"/>
  <c r="P232" i="8"/>
  <c r="P139" i="8"/>
  <c r="J212" i="10"/>
  <c r="I212" i="10"/>
  <c r="M212" i="10" s="1"/>
  <c r="I609" i="17"/>
  <c r="Q609" i="17" s="1"/>
  <c r="J609" i="9"/>
  <c r="L31" i="8" s="1"/>
  <c r="O31" i="8" s="1"/>
  <c r="I111" i="10"/>
  <c r="M111" i="10" s="1"/>
  <c r="J111" i="10"/>
  <c r="P109" i="8"/>
  <c r="I57" i="17"/>
  <c r="Q57" i="17" s="1"/>
  <c r="J57" i="9"/>
  <c r="I1454" i="17"/>
  <c r="Q1454" i="17" s="1"/>
  <c r="J1454" i="9"/>
  <c r="I1872" i="17"/>
  <c r="Q1872" i="17" s="1"/>
  <c r="J1872" i="9"/>
  <c r="F510" i="12"/>
  <c r="I1456" i="9"/>
  <c r="I1442" i="9"/>
  <c r="I398" i="9"/>
  <c r="I1274" i="9"/>
  <c r="I1573" i="9"/>
  <c r="I1565" i="9"/>
  <c r="I1428" i="9"/>
  <c r="I1286" i="9"/>
  <c r="I1520" i="9"/>
  <c r="I1818" i="9"/>
  <c r="I1548" i="9"/>
  <c r="I1482" i="9"/>
  <c r="I1469" i="9"/>
  <c r="I1262" i="9"/>
  <c r="I1539" i="9"/>
  <c r="I1530" i="9"/>
  <c r="I1557" i="9"/>
  <c r="I1495" i="9"/>
  <c r="I1581" i="9"/>
  <c r="I637" i="9"/>
  <c r="I409" i="9"/>
  <c r="I471" i="9"/>
  <c r="I1508" i="9"/>
  <c r="I460" i="9"/>
  <c r="I351" i="9"/>
  <c r="I317" i="9"/>
  <c r="I305" i="9"/>
  <c r="I363" i="9"/>
  <c r="I446" i="9"/>
  <c r="I377" i="9"/>
  <c r="I330" i="9"/>
  <c r="I341" i="9"/>
  <c r="I423" i="9"/>
  <c r="I1858" i="17"/>
  <c r="J1858" i="9"/>
  <c r="I251" i="17"/>
  <c r="J251" i="9"/>
  <c r="I167" i="17"/>
  <c r="Q167" i="17" s="1"/>
  <c r="J167" i="9"/>
  <c r="I1017" i="17"/>
  <c r="Q1017" i="17" s="1"/>
  <c r="J1017" i="9"/>
  <c r="I847" i="17"/>
  <c r="Q847" i="17" s="1"/>
  <c r="J847" i="9"/>
  <c r="P135" i="8" l="1"/>
  <c r="H20" i="14"/>
  <c r="F15" i="15" s="1"/>
  <c r="Q74" i="17"/>
  <c r="F78" i="10"/>
  <c r="G97" i="10"/>
  <c r="K97" i="10" s="1"/>
  <c r="G105" i="10"/>
  <c r="K105" i="10" s="1"/>
  <c r="P257" i="8"/>
  <c r="B38" i="11"/>
  <c r="F42" i="11"/>
  <c r="A40" i="11"/>
  <c r="F43" i="11"/>
  <c r="A41" i="11"/>
  <c r="C38" i="11"/>
  <c r="D38" i="11" s="1"/>
  <c r="E38" i="11" s="1"/>
  <c r="B39" i="11"/>
  <c r="A42" i="11"/>
  <c r="B40" i="11"/>
  <c r="C39" i="11"/>
  <c r="D39" i="11" s="1"/>
  <c r="E39" i="11" s="1"/>
  <c r="B41" i="11"/>
  <c r="A43" i="11"/>
  <c r="F38" i="11"/>
  <c r="C40" i="11"/>
  <c r="D40" i="11" s="1"/>
  <c r="E40" i="11" s="1"/>
  <c r="G40" i="11" s="1"/>
  <c r="B42" i="11"/>
  <c r="C41" i="11"/>
  <c r="D41" i="11" s="1"/>
  <c r="E41" i="11" s="1"/>
  <c r="G41" i="11" s="1"/>
  <c r="F39" i="11"/>
  <c r="C42" i="11"/>
  <c r="D42" i="11" s="1"/>
  <c r="E42" i="11" s="1"/>
  <c r="G42" i="11" s="1"/>
  <c r="B43" i="11"/>
  <c r="C43" i="11"/>
  <c r="D43" i="11" s="1"/>
  <c r="E43" i="11" s="1"/>
  <c r="G43" i="11" s="1"/>
  <c r="F40" i="11"/>
  <c r="A38" i="11"/>
  <c r="F41" i="11"/>
  <c r="K50" i="10"/>
  <c r="Q36" i="17"/>
  <c r="Q996" i="17"/>
  <c r="Q1218" i="17"/>
  <c r="B19" i="11"/>
  <c r="D23" i="11"/>
  <c r="Q904" i="17"/>
  <c r="P152" i="8"/>
  <c r="A21" i="11"/>
  <c r="F21" i="11" s="1"/>
  <c r="G17" i="11"/>
  <c r="P155" i="8"/>
  <c r="B26" i="11"/>
  <c r="P125" i="8"/>
  <c r="Q121" i="17"/>
  <c r="N36" i="10"/>
  <c r="P154" i="8"/>
  <c r="Q46" i="17"/>
  <c r="I30" i="14"/>
  <c r="G25" i="15" s="1"/>
  <c r="C24" i="11"/>
  <c r="E24" i="11" s="1"/>
  <c r="H24" i="11" s="1"/>
  <c r="A27" i="11"/>
  <c r="F27" i="11" s="1"/>
  <c r="D18" i="11"/>
  <c r="F199" i="10"/>
  <c r="B25" i="15"/>
  <c r="I201" i="10"/>
  <c r="M201" i="10" s="1"/>
  <c r="C25" i="15"/>
  <c r="P50" i="8"/>
  <c r="B20" i="11"/>
  <c r="I85" i="10"/>
  <c r="M85" i="10" s="1"/>
  <c r="N85" i="10" s="1"/>
  <c r="H30" i="14"/>
  <c r="F25" i="15" s="1"/>
  <c r="E11" i="11"/>
  <c r="H11" i="11" s="1"/>
  <c r="Z22" i="10"/>
  <c r="P72" i="8"/>
  <c r="Q690" i="17"/>
  <c r="P89" i="8"/>
  <c r="I14" i="10"/>
  <c r="M14" i="10" s="1"/>
  <c r="P53" i="8"/>
  <c r="Q1723" i="17"/>
  <c r="G594" i="12" s="1"/>
  <c r="A594" i="12" s="1"/>
  <c r="P132" i="8"/>
  <c r="P77" i="8"/>
  <c r="G26" i="11"/>
  <c r="B21" i="11"/>
  <c r="G23" i="11"/>
  <c r="C29" i="11"/>
  <c r="E29" i="11" s="1"/>
  <c r="H29" i="11" s="1"/>
  <c r="J12" i="14"/>
  <c r="H7" i="15" s="1"/>
  <c r="D51" i="11"/>
  <c r="F51" i="11" s="1"/>
  <c r="G51" i="11" s="1"/>
  <c r="C18" i="11"/>
  <c r="E18" i="11" s="1"/>
  <c r="H18" i="11" s="1"/>
  <c r="G22" i="11"/>
  <c r="A15" i="15"/>
  <c r="B29" i="11"/>
  <c r="A9" i="15"/>
  <c r="B22" i="11"/>
  <c r="P219" i="8"/>
  <c r="C16" i="11"/>
  <c r="E16" i="11" s="1"/>
  <c r="H16" i="11" s="1"/>
  <c r="C9" i="15"/>
  <c r="A19" i="11"/>
  <c r="F19" i="11" s="1"/>
  <c r="G19" i="11"/>
  <c r="B17" i="11"/>
  <c r="H14" i="14"/>
  <c r="F9" i="15" s="1"/>
  <c r="B24" i="11"/>
  <c r="B52" i="11"/>
  <c r="A52" i="11"/>
  <c r="G18" i="11"/>
  <c r="D17" i="11"/>
  <c r="E52" i="11"/>
  <c r="B16" i="11"/>
  <c r="A23" i="11"/>
  <c r="F23" i="11" s="1"/>
  <c r="D27" i="11"/>
  <c r="Q1546" i="17"/>
  <c r="C26" i="11"/>
  <c r="E26" i="11" s="1"/>
  <c r="H26" i="11" s="1"/>
  <c r="B18" i="11"/>
  <c r="B25" i="11"/>
  <c r="A20" i="11"/>
  <c r="F20" i="11" s="1"/>
  <c r="B23" i="11"/>
  <c r="A28" i="11"/>
  <c r="F28" i="11" s="1"/>
  <c r="A29" i="11"/>
  <c r="F29" i="11" s="1"/>
  <c r="A18" i="11"/>
  <c r="F18" i="11" s="1"/>
  <c r="A16" i="11"/>
  <c r="F16" i="11" s="1"/>
  <c r="A25" i="11"/>
  <c r="F25" i="11" s="1"/>
  <c r="A22" i="11"/>
  <c r="F22" i="11" s="1"/>
  <c r="A26" i="11"/>
  <c r="F26" i="11" s="1"/>
  <c r="D22" i="11"/>
  <c r="G27" i="11"/>
  <c r="G16" i="11"/>
  <c r="C28" i="11"/>
  <c r="E28" i="11" s="1"/>
  <c r="H28" i="11" s="1"/>
  <c r="C20" i="11"/>
  <c r="E20" i="11" s="1"/>
  <c r="H20" i="11" s="1"/>
  <c r="G24" i="11"/>
  <c r="G28" i="11"/>
  <c r="B9" i="15"/>
  <c r="G21" i="11"/>
  <c r="P31" i="8"/>
  <c r="Q1026" i="17"/>
  <c r="C23" i="11"/>
  <c r="E23" i="11" s="1"/>
  <c r="H23" i="11" s="1"/>
  <c r="C19" i="11"/>
  <c r="E19" i="11" s="1"/>
  <c r="H19" i="11" s="1"/>
  <c r="D29" i="11"/>
  <c r="D16" i="11"/>
  <c r="C25" i="11"/>
  <c r="E25" i="11" s="1"/>
  <c r="H25" i="11" s="1"/>
  <c r="Q1831" i="17"/>
  <c r="H456" i="12" s="1"/>
  <c r="A456" i="12" s="1"/>
  <c r="I20" i="14"/>
  <c r="G15" i="15" s="1"/>
  <c r="D19" i="11"/>
  <c r="D20" i="11"/>
  <c r="G25" i="11"/>
  <c r="D24" i="11"/>
  <c r="B51" i="11"/>
  <c r="A51" i="11"/>
  <c r="D25" i="11"/>
  <c r="D26" i="11"/>
  <c r="B28" i="11"/>
  <c r="C21" i="11"/>
  <c r="E21" i="11" s="1"/>
  <c r="H21" i="11" s="1"/>
  <c r="D52" i="11"/>
  <c r="F52" i="11" s="1"/>
  <c r="G52" i="11" s="1"/>
  <c r="A24" i="11"/>
  <c r="F24" i="11" s="1"/>
  <c r="C51" i="11"/>
  <c r="Q703" i="17"/>
  <c r="Q260" i="17"/>
  <c r="D28" i="11"/>
  <c r="B27" i="11"/>
  <c r="A17" i="11"/>
  <c r="F17" i="11" s="1"/>
  <c r="G29" i="11"/>
  <c r="C52" i="11"/>
  <c r="E51" i="11"/>
  <c r="Q1146" i="17"/>
  <c r="Q1720" i="17"/>
  <c r="G593" i="12" s="1"/>
  <c r="A593" i="12" s="1"/>
  <c r="E11" i="15"/>
  <c r="G172" i="12"/>
  <c r="A172" i="12" s="1"/>
  <c r="Q966" i="17"/>
  <c r="E550" i="12"/>
  <c r="Q1796" i="17"/>
  <c r="H453" i="12" s="1"/>
  <c r="A453" i="12" s="1"/>
  <c r="G75" i="12"/>
  <c r="A75" i="12" s="1"/>
  <c r="Q1440" i="17"/>
  <c r="Q1407" i="17"/>
  <c r="P123" i="8"/>
  <c r="Q812" i="17"/>
  <c r="G519" i="12" s="1"/>
  <c r="A519" i="12" s="1"/>
  <c r="E614" i="12"/>
  <c r="P173" i="8"/>
  <c r="Q1073" i="17"/>
  <c r="E502" i="12"/>
  <c r="Q979" i="17"/>
  <c r="G245" i="12"/>
  <c r="A245" i="12" s="1"/>
  <c r="Q1506" i="17"/>
  <c r="G28" i="12"/>
  <c r="A28" i="12" s="1"/>
  <c r="F441" i="12"/>
  <c r="F406" i="12"/>
  <c r="G77" i="12"/>
  <c r="A77" i="12" s="1"/>
  <c r="P39" i="8"/>
  <c r="G79" i="12"/>
  <c r="A79" i="12" s="1"/>
  <c r="Q1603" i="17"/>
  <c r="G611" i="12" s="1"/>
  <c r="A611" i="12" s="1"/>
  <c r="E508" i="12"/>
  <c r="G175" i="12"/>
  <c r="A175" i="12" s="1"/>
  <c r="P181" i="8"/>
  <c r="Q770" i="17"/>
  <c r="H390" i="12" s="1"/>
  <c r="A390" i="12" s="1"/>
  <c r="J18" i="14"/>
  <c r="H13" i="15" s="1"/>
  <c r="G201" i="12"/>
  <c r="A201" i="12" s="1"/>
  <c r="G93" i="10"/>
  <c r="K93" i="10" s="1"/>
  <c r="G92" i="10"/>
  <c r="K92" i="10" s="1"/>
  <c r="E556" i="12"/>
  <c r="Q1729" i="17"/>
  <c r="G596" i="12" s="1"/>
  <c r="A596" i="12" s="1"/>
  <c r="E535" i="12"/>
  <c r="E515" i="12"/>
  <c r="P185" i="8"/>
  <c r="E286" i="12"/>
  <c r="E520" i="12"/>
  <c r="E527" i="12"/>
  <c r="Q1834" i="17"/>
  <c r="G606" i="12" s="1"/>
  <c r="A606" i="12" s="1"/>
  <c r="P263" i="8"/>
  <c r="E605" i="12"/>
  <c r="G58" i="12"/>
  <c r="A58" i="12" s="1"/>
  <c r="G267" i="12"/>
  <c r="A267" i="12" s="1"/>
  <c r="E510" i="12"/>
  <c r="Q1413" i="17"/>
  <c r="Q688" i="17"/>
  <c r="E529" i="12"/>
  <c r="F412" i="12"/>
  <c r="F433" i="12"/>
  <c r="Q1740" i="17"/>
  <c r="H447" i="12" s="1"/>
  <c r="A447" i="12" s="1"/>
  <c r="F378" i="12"/>
  <c r="E572" i="12"/>
  <c r="Q1257" i="17"/>
  <c r="G572" i="12" s="1"/>
  <c r="A572" i="12" s="1"/>
  <c r="E602" i="12"/>
  <c r="F446" i="12"/>
  <c r="H377" i="12"/>
  <c r="A377" i="12" s="1"/>
  <c r="Q47" i="17"/>
  <c r="I13" i="10"/>
  <c r="M13" i="10" s="1"/>
  <c r="Z13" i="10" s="1"/>
  <c r="Q1602" i="17"/>
  <c r="H471" i="12" s="1"/>
  <c r="A471" i="12" s="1"/>
  <c r="P88" i="8"/>
  <c r="Q1687" i="17"/>
  <c r="G588" i="12" s="1"/>
  <c r="A588" i="12" s="1"/>
  <c r="E580" i="12"/>
  <c r="E311" i="12"/>
  <c r="E622" i="12"/>
  <c r="G30" i="12"/>
  <c r="A30" i="12" s="1"/>
  <c r="E509" i="12"/>
  <c r="G529" i="12"/>
  <c r="A529" i="12" s="1"/>
  <c r="E231" i="12"/>
  <c r="F458" i="12"/>
  <c r="E15" i="11"/>
  <c r="H15" i="11" s="1"/>
  <c r="E526" i="12"/>
  <c r="E552" i="12"/>
  <c r="Q1034" i="17"/>
  <c r="G552" i="12" s="1"/>
  <c r="A552" i="12" s="1"/>
  <c r="E609" i="12"/>
  <c r="F423" i="12"/>
  <c r="I292" i="12"/>
  <c r="P61" i="8"/>
  <c r="F432" i="12"/>
  <c r="F384" i="12"/>
  <c r="P122" i="8"/>
  <c r="Q73" i="17"/>
  <c r="Q905" i="17"/>
  <c r="P49" i="8"/>
  <c r="J30" i="14"/>
  <c r="H25" i="15" s="1"/>
  <c r="H384" i="12"/>
  <c r="A384" i="12" s="1"/>
  <c r="C15" i="15"/>
  <c r="H371" i="12"/>
  <c r="A371" i="12" s="1"/>
  <c r="B13" i="15"/>
  <c r="Q959" i="17"/>
  <c r="Q663" i="17"/>
  <c r="F18" i="10"/>
  <c r="J18" i="10" s="1"/>
  <c r="P127" i="8"/>
  <c r="F183" i="10"/>
  <c r="G20" i="11"/>
  <c r="C17" i="11"/>
  <c r="E17" i="11" s="1"/>
  <c r="H17" i="11" s="1"/>
  <c r="C27" i="11"/>
  <c r="E27" i="11" s="1"/>
  <c r="H27" i="11" s="1"/>
  <c r="P113" i="8"/>
  <c r="E506" i="12"/>
  <c r="E23" i="15"/>
  <c r="A13" i="15"/>
  <c r="F393" i="12"/>
  <c r="H18" i="14"/>
  <c r="F13" i="15" s="1"/>
  <c r="E308" i="12"/>
  <c r="E280" i="12"/>
  <c r="C22" i="11"/>
  <c r="E22" i="11" s="1"/>
  <c r="H22" i="11" s="1"/>
  <c r="F436" i="12"/>
  <c r="Q243" i="17"/>
  <c r="H385" i="12"/>
  <c r="A385" i="12" s="1"/>
  <c r="Q1352" i="17"/>
  <c r="I18" i="14"/>
  <c r="G13" i="15" s="1"/>
  <c r="F469" i="12"/>
  <c r="H472" i="12"/>
  <c r="A472" i="12" s="1"/>
  <c r="F76" i="10"/>
  <c r="J76" i="10" s="1"/>
  <c r="P71" i="8"/>
  <c r="Q1043" i="17"/>
  <c r="H418" i="12" s="1"/>
  <c r="A418" i="12" s="1"/>
  <c r="H379" i="12"/>
  <c r="A379" i="12" s="1"/>
  <c r="H23" i="14"/>
  <c r="F18" i="15" s="1"/>
  <c r="Q269" i="17"/>
  <c r="F379" i="12"/>
  <c r="B18" i="15"/>
  <c r="E568" i="12"/>
  <c r="C18" i="15"/>
  <c r="Q1735" i="17"/>
  <c r="G598" i="12" s="1"/>
  <c r="A598" i="12" s="1"/>
  <c r="Q1798" i="17"/>
  <c r="H455" i="12" s="1"/>
  <c r="A455" i="12" s="1"/>
  <c r="E299" i="12"/>
  <c r="Q1010" i="17"/>
  <c r="G551" i="12" s="1"/>
  <c r="A551" i="12" s="1"/>
  <c r="I23" i="14"/>
  <c r="G18" i="15" s="1"/>
  <c r="E279" i="12"/>
  <c r="E127" i="12"/>
  <c r="A11" i="15"/>
  <c r="E517" i="12"/>
  <c r="Q1684" i="17"/>
  <c r="H431" i="12" s="1"/>
  <c r="A431" i="12" s="1"/>
  <c r="Q1746" i="17"/>
  <c r="G285" i="12" s="1"/>
  <c r="A285" i="12" s="1"/>
  <c r="Q1674" i="17"/>
  <c r="H426" i="12" s="1"/>
  <c r="A426" i="12" s="1"/>
  <c r="E9" i="15"/>
  <c r="F371" i="12"/>
  <c r="B11" i="15"/>
  <c r="E233" i="12"/>
  <c r="H374" i="12"/>
  <c r="A374" i="12" s="1"/>
  <c r="I16" i="14"/>
  <c r="G11" i="15" s="1"/>
  <c r="P48" i="8"/>
  <c r="Q809" i="17"/>
  <c r="G518" i="12" s="1"/>
  <c r="A518" i="12" s="1"/>
  <c r="E518" i="12"/>
  <c r="H16" i="14"/>
  <c r="F11" i="15" s="1"/>
  <c r="E38" i="12"/>
  <c r="E199" i="12"/>
  <c r="E250" i="12"/>
  <c r="E16" i="15"/>
  <c r="E124" i="12"/>
  <c r="E247" i="12"/>
  <c r="H373" i="12"/>
  <c r="A373" i="12" s="1"/>
  <c r="E126" i="12"/>
  <c r="H378" i="12"/>
  <c r="A378" i="12" s="1"/>
  <c r="F430" i="12"/>
  <c r="Q655" i="17"/>
  <c r="G621" i="12" s="1"/>
  <c r="A621" i="12" s="1"/>
  <c r="E320" i="12"/>
  <c r="F440" i="12"/>
  <c r="E547" i="12"/>
  <c r="Q934" i="17"/>
  <c r="G547" i="12" s="1"/>
  <c r="A547" i="12" s="1"/>
  <c r="F463" i="12"/>
  <c r="E176" i="12"/>
  <c r="E554" i="12"/>
  <c r="E563" i="12"/>
  <c r="F465" i="12"/>
  <c r="Q1763" i="17"/>
  <c r="G295" i="12" s="1"/>
  <c r="A295" i="12" s="1"/>
  <c r="Q915" i="17"/>
  <c r="G544" i="12" s="1"/>
  <c r="A544" i="12" s="1"/>
  <c r="E544" i="12"/>
  <c r="E241" i="12"/>
  <c r="F466" i="12"/>
  <c r="F387" i="12"/>
  <c r="E196" i="12"/>
  <c r="E590" i="12"/>
  <c r="E591" i="12"/>
  <c r="Q1714" i="17"/>
  <c r="G591" i="12" s="1"/>
  <c r="A591" i="12" s="1"/>
  <c r="E123" i="12"/>
  <c r="E288" i="12"/>
  <c r="E223" i="12"/>
  <c r="E139" i="12"/>
  <c r="E143" i="12"/>
  <c r="E253" i="12"/>
  <c r="E214" i="12"/>
  <c r="F468" i="12"/>
  <c r="Q1761" i="17"/>
  <c r="H468" i="12" s="1"/>
  <c r="A468" i="12" s="1"/>
  <c r="E555" i="12"/>
  <c r="E195" i="12"/>
  <c r="F428" i="12"/>
  <c r="E141" i="12"/>
  <c r="E205" i="12"/>
  <c r="F391" i="12"/>
  <c r="F451" i="12"/>
  <c r="E607" i="12"/>
  <c r="E263" i="12"/>
  <c r="F439" i="12"/>
  <c r="E290" i="12"/>
  <c r="E129" i="12"/>
  <c r="E565" i="12"/>
  <c r="E225" i="12"/>
  <c r="E56" i="12"/>
  <c r="F402" i="12"/>
  <c r="E615" i="12"/>
  <c r="E616" i="12"/>
  <c r="E211" i="12"/>
  <c r="E135" i="12"/>
  <c r="E540" i="12"/>
  <c r="Q782" i="17"/>
  <c r="G540" i="12" s="1"/>
  <c r="A540" i="12" s="1"/>
  <c r="F459" i="12"/>
  <c r="Q704" i="17"/>
  <c r="E274" i="12"/>
  <c r="E168" i="12"/>
  <c r="E175" i="12"/>
  <c r="E40" i="12"/>
  <c r="E314" i="12"/>
  <c r="E315" i="12"/>
  <c r="E543" i="12"/>
  <c r="F475" i="12"/>
  <c r="F464" i="12"/>
  <c r="F474" i="12"/>
  <c r="F437" i="12"/>
  <c r="E304" i="12"/>
  <c r="E600" i="12"/>
  <c r="E278" i="12"/>
  <c r="E317" i="12"/>
  <c r="E266" i="12"/>
  <c r="F449" i="12"/>
  <c r="E190" i="12"/>
  <c r="E275" i="12"/>
  <c r="F400" i="12"/>
  <c r="E140" i="12"/>
  <c r="E44" i="12"/>
  <c r="E235" i="12"/>
  <c r="E24" i="12"/>
  <c r="F405" i="12"/>
  <c r="L187" i="8"/>
  <c r="O187" i="8" s="1"/>
  <c r="H123" i="10" s="1"/>
  <c r="L123" i="10" s="1"/>
  <c r="F425" i="12"/>
  <c r="F374" i="12"/>
  <c r="E293" i="12"/>
  <c r="E243" i="12"/>
  <c r="E534" i="12"/>
  <c r="E586" i="12"/>
  <c r="Q1683" i="17"/>
  <c r="G586" i="12" s="1"/>
  <c r="A586" i="12" s="1"/>
  <c r="F467" i="12"/>
  <c r="E185" i="12"/>
  <c r="E164" i="12"/>
  <c r="F415" i="12"/>
  <c r="E521" i="12"/>
  <c r="F417" i="12"/>
  <c r="E545" i="12"/>
  <c r="E31" i="12"/>
  <c r="E608" i="12"/>
  <c r="F416" i="12"/>
  <c r="Q1260" i="17"/>
  <c r="H416" i="12" s="1"/>
  <c r="A416" i="12" s="1"/>
  <c r="Q1689" i="17"/>
  <c r="G617" i="12" s="1"/>
  <c r="A617" i="12" s="1"/>
  <c r="E174" i="12"/>
  <c r="E178" i="12"/>
  <c r="E578" i="12"/>
  <c r="E181" i="12"/>
  <c r="E144" i="12"/>
  <c r="F434" i="12"/>
  <c r="E232" i="12"/>
  <c r="E303" i="12"/>
  <c r="F403" i="12"/>
  <c r="E267" i="12"/>
  <c r="E309" i="12"/>
  <c r="F450" i="12"/>
  <c r="F429" i="12"/>
  <c r="Q771" i="17"/>
  <c r="H395" i="12" s="1"/>
  <c r="A395" i="12" s="1"/>
  <c r="F377" i="12"/>
  <c r="F386" i="12"/>
  <c r="E221" i="12"/>
  <c r="F461" i="12"/>
  <c r="F385" i="12"/>
  <c r="E64" i="12"/>
  <c r="E194" i="12"/>
  <c r="E271" i="12"/>
  <c r="E322" i="12"/>
  <c r="E121" i="12"/>
  <c r="Q837" i="17"/>
  <c r="H413" i="12" s="1"/>
  <c r="A413" i="12" s="1"/>
  <c r="F413" i="12"/>
  <c r="F394" i="12"/>
  <c r="E523" i="12"/>
  <c r="E610" i="12"/>
  <c r="E155" i="12"/>
  <c r="E548" i="12"/>
  <c r="E577" i="12"/>
  <c r="E581" i="12"/>
  <c r="E549" i="12"/>
  <c r="F427" i="12"/>
  <c r="E208" i="12"/>
  <c r="E152" i="12"/>
  <c r="F389" i="12"/>
  <c r="E332" i="12"/>
  <c r="F375" i="12"/>
  <c r="E264" i="12"/>
  <c r="E251" i="12"/>
  <c r="E284" i="12"/>
  <c r="E537" i="12"/>
  <c r="F399" i="12"/>
  <c r="E522" i="12"/>
  <c r="E30" i="12"/>
  <c r="E26" i="12"/>
  <c r="E156" i="12"/>
  <c r="H372" i="12"/>
  <c r="A372" i="12" s="1"/>
  <c r="E536" i="12"/>
  <c r="E133" i="12"/>
  <c r="E533" i="12"/>
  <c r="E574" i="12"/>
  <c r="F472" i="12"/>
  <c r="E542" i="12"/>
  <c r="E224" i="12"/>
  <c r="E541" i="12"/>
  <c r="E180" i="12"/>
  <c r="E198" i="12"/>
  <c r="E599" i="12"/>
  <c r="E277" i="12"/>
  <c r="E242" i="12"/>
  <c r="F411" i="12"/>
  <c r="E238" i="12"/>
  <c r="H375" i="12"/>
  <c r="A375" i="12" s="1"/>
  <c r="F398" i="12"/>
  <c r="E612" i="12"/>
  <c r="G502" i="12"/>
  <c r="A502" i="12" s="1"/>
  <c r="E212" i="12"/>
  <c r="E532" i="12"/>
  <c r="E145" i="12"/>
  <c r="F401" i="12"/>
  <c r="E202" i="12"/>
  <c r="E312" i="12"/>
  <c r="E154" i="12"/>
  <c r="F424" i="12"/>
  <c r="E188" i="12"/>
  <c r="E150" i="12"/>
  <c r="F448" i="12"/>
  <c r="E169" i="12"/>
  <c r="E229" i="12"/>
  <c r="E109" i="12"/>
  <c r="E136" i="12"/>
  <c r="E561" i="12"/>
  <c r="E258" i="12"/>
  <c r="F410" i="12"/>
  <c r="E252" i="12"/>
  <c r="E268" i="12"/>
  <c r="E525" i="12"/>
  <c r="E254" i="12"/>
  <c r="E167" i="12"/>
  <c r="E257" i="12"/>
  <c r="E125" i="12"/>
  <c r="E172" i="12"/>
  <c r="F435" i="12"/>
  <c r="E318" i="12"/>
  <c r="E558" i="12"/>
  <c r="E592" i="12"/>
  <c r="E81" i="12"/>
  <c r="E239" i="12"/>
  <c r="E601" i="12"/>
  <c r="E118" i="12"/>
  <c r="E170" i="12"/>
  <c r="E595" i="12"/>
  <c r="E576" i="12"/>
  <c r="E117" i="12"/>
  <c r="E204" i="12"/>
  <c r="F373" i="12"/>
  <c r="E160" i="12"/>
  <c r="F443" i="12"/>
  <c r="E305" i="12"/>
  <c r="F419" i="12"/>
  <c r="F460" i="12"/>
  <c r="E189" i="12"/>
  <c r="E270" i="12"/>
  <c r="E255" i="12"/>
  <c r="E248" i="12"/>
  <c r="E197" i="12"/>
  <c r="E119" i="12"/>
  <c r="F382" i="12"/>
  <c r="E131" i="12"/>
  <c r="E237" i="12"/>
  <c r="E613" i="12"/>
  <c r="E514" i="12"/>
  <c r="F462" i="12"/>
  <c r="E183" i="12"/>
  <c r="E163" i="12"/>
  <c r="F444" i="12"/>
  <c r="E193" i="12"/>
  <c r="E273" i="12"/>
  <c r="E213" i="12"/>
  <c r="E319" i="12"/>
  <c r="E130" i="12"/>
  <c r="E245" i="12"/>
  <c r="E272" i="12"/>
  <c r="E147" i="12"/>
  <c r="E297" i="12"/>
  <c r="E553" i="12"/>
  <c r="E112" i="12"/>
  <c r="E203" i="12"/>
  <c r="E216" i="12"/>
  <c r="F408" i="12"/>
  <c r="E219" i="12"/>
  <c r="E323" i="12"/>
  <c r="E513" i="12"/>
  <c r="E201" i="12"/>
  <c r="E265" i="12"/>
  <c r="E206" i="12"/>
  <c r="E589" i="12"/>
  <c r="F404" i="12"/>
  <c r="E621" i="12"/>
  <c r="E244" i="12"/>
  <c r="E166" i="12"/>
  <c r="F420" i="12"/>
  <c r="E240" i="12"/>
  <c r="E215" i="12"/>
  <c r="E75" i="12"/>
  <c r="E116" i="12"/>
  <c r="E153" i="12"/>
  <c r="E516" i="12"/>
  <c r="E184" i="12"/>
  <c r="E165" i="12"/>
  <c r="E161" i="12"/>
  <c r="E618" i="12"/>
  <c r="E260" i="12"/>
  <c r="N15" i="10"/>
  <c r="P126" i="8"/>
  <c r="Z60" i="10"/>
  <c r="P21" i="8"/>
  <c r="I167" i="12"/>
  <c r="P25" i="8"/>
  <c r="P54" i="8"/>
  <c r="I304" i="12"/>
  <c r="I151" i="12"/>
  <c r="I502" i="12"/>
  <c r="N179" i="10"/>
  <c r="I610" i="12"/>
  <c r="I274" i="12"/>
  <c r="I416" i="12"/>
  <c r="P78" i="8"/>
  <c r="I63" i="12"/>
  <c r="I623" i="12"/>
  <c r="I258" i="12"/>
  <c r="E539" i="12"/>
  <c r="I329" i="12"/>
  <c r="E10" i="11"/>
  <c r="H10" i="11" s="1"/>
  <c r="I418" i="12"/>
  <c r="F372" i="12"/>
  <c r="I465" i="12"/>
  <c r="P183" i="8"/>
  <c r="F75" i="10"/>
  <c r="P46" i="8"/>
  <c r="Z215" i="10"/>
  <c r="N215" i="10"/>
  <c r="F37" i="10"/>
  <c r="J37" i="10" s="1"/>
  <c r="P186" i="8"/>
  <c r="P44" i="8"/>
  <c r="P143" i="8"/>
  <c r="P262" i="8"/>
  <c r="I126" i="10"/>
  <c r="M126" i="10" s="1"/>
  <c r="J126" i="10"/>
  <c r="P26" i="8"/>
  <c r="P55" i="8"/>
  <c r="P41" i="8"/>
  <c r="G49" i="11"/>
  <c r="G48" i="11"/>
  <c r="I207" i="10"/>
  <c r="M207" i="10" s="1"/>
  <c r="J207" i="10"/>
  <c r="A16" i="15"/>
  <c r="I21" i="14"/>
  <c r="G16" i="15" s="1"/>
  <c r="H21" i="14"/>
  <c r="F16" i="15" s="1"/>
  <c r="B16" i="15"/>
  <c r="C16" i="15"/>
  <c r="I415" i="12"/>
  <c r="E15" i="15"/>
  <c r="J20" i="14"/>
  <c r="H15" i="15" s="1"/>
  <c r="E22" i="15"/>
  <c r="J27" i="14"/>
  <c r="H22" i="15" s="1"/>
  <c r="P215" i="8"/>
  <c r="F154" i="10"/>
  <c r="I906" i="17"/>
  <c r="Q906" i="17" s="1"/>
  <c r="J906" i="9"/>
  <c r="I469" i="12"/>
  <c r="I276" i="12"/>
  <c r="N169" i="10"/>
  <c r="Z169" i="10"/>
  <c r="I468" i="12"/>
  <c r="J19" i="10"/>
  <c r="I19" i="10"/>
  <c r="M19" i="10" s="1"/>
  <c r="I410" i="12"/>
  <c r="I459" i="12"/>
  <c r="I88" i="12"/>
  <c r="I19" i="12"/>
  <c r="I110" i="12"/>
  <c r="I74" i="12"/>
  <c r="I86" i="12"/>
  <c r="I35" i="12"/>
  <c r="I195" i="12"/>
  <c r="I181" i="12"/>
  <c r="I259" i="12"/>
  <c r="I325" i="12"/>
  <c r="I141" i="12"/>
  <c r="I278" i="12"/>
  <c r="I293" i="12"/>
  <c r="Z214" i="10"/>
  <c r="N214" i="10"/>
  <c r="O213" i="10"/>
  <c r="J58" i="10"/>
  <c r="I58" i="10"/>
  <c r="M58" i="10" s="1"/>
  <c r="I494" i="12"/>
  <c r="I172" i="12"/>
  <c r="J49" i="10"/>
  <c r="I49" i="10"/>
  <c r="M49" i="10" s="1"/>
  <c r="I180" i="12"/>
  <c r="I642" i="12"/>
  <c r="N204" i="10"/>
  <c r="Z204" i="10"/>
  <c r="I295" i="12"/>
  <c r="I1209" i="17"/>
  <c r="Q1209" i="17" s="1"/>
  <c r="J1209" i="9"/>
  <c r="L167" i="8" s="1"/>
  <c r="O167" i="8" s="1"/>
  <c r="P167" i="8" s="1"/>
  <c r="P121" i="8"/>
  <c r="I573" i="12"/>
  <c r="L43" i="8"/>
  <c r="O43" i="8" s="1"/>
  <c r="P43" i="8" s="1"/>
  <c r="J107" i="10"/>
  <c r="I107" i="10"/>
  <c r="M107" i="10" s="1"/>
  <c r="I557" i="12"/>
  <c r="P142" i="8"/>
  <c r="F71" i="10"/>
  <c r="I505" i="12"/>
  <c r="I298" i="12"/>
  <c r="I100" i="12"/>
  <c r="I526" i="12"/>
  <c r="I389" i="12"/>
  <c r="I48" i="10"/>
  <c r="M48" i="10" s="1"/>
  <c r="J48" i="10"/>
  <c r="I548" i="12"/>
  <c r="P129" i="8"/>
  <c r="F55" i="10"/>
  <c r="I422" i="12"/>
  <c r="I471" i="12"/>
  <c r="I186" i="12"/>
  <c r="I1468" i="17"/>
  <c r="Q1468" i="17" s="1"/>
  <c r="J1468" i="9"/>
  <c r="Z192" i="10"/>
  <c r="N192" i="10"/>
  <c r="P190" i="10" s="1"/>
  <c r="I446" i="17"/>
  <c r="Q446" i="17" s="1"/>
  <c r="J446" i="9"/>
  <c r="I1469" i="17"/>
  <c r="Q1469" i="17" s="1"/>
  <c r="J1469" i="9"/>
  <c r="I91" i="17"/>
  <c r="Q91" i="17" s="1"/>
  <c r="J91" i="9"/>
  <c r="L10" i="8" s="1"/>
  <c r="O10" i="8" s="1"/>
  <c r="P10" i="8" s="1"/>
  <c r="I1147" i="17"/>
  <c r="Q1147" i="17" s="1"/>
  <c r="J1147" i="9"/>
  <c r="I351" i="12"/>
  <c r="I437" i="12"/>
  <c r="I288" i="12"/>
  <c r="I1481" i="17"/>
  <c r="Q1481" i="17" s="1"/>
  <c r="J1481" i="9"/>
  <c r="I586" i="12"/>
  <c r="I587" i="12"/>
  <c r="I460" i="17"/>
  <c r="Q460" i="17" s="1"/>
  <c r="J460" i="9"/>
  <c r="I1286" i="17"/>
  <c r="Q1286" i="17" s="1"/>
  <c r="J1286" i="9"/>
  <c r="L179" i="8" s="1"/>
  <c r="O179" i="8" s="1"/>
  <c r="I75" i="17"/>
  <c r="Q75" i="17" s="1"/>
  <c r="J75" i="9"/>
  <c r="I139" i="17"/>
  <c r="Q139" i="17" s="1"/>
  <c r="J139" i="9"/>
  <c r="I1874" i="17"/>
  <c r="Q1874" i="17" s="1"/>
  <c r="J1874" i="9"/>
  <c r="I388" i="12"/>
  <c r="I268" i="12"/>
  <c r="H12" i="14"/>
  <c r="F7" i="15" s="1"/>
  <c r="C7" i="15"/>
  <c r="I12" i="14"/>
  <c r="G7" i="15" s="1"/>
  <c r="B7" i="15"/>
  <c r="A7" i="15"/>
  <c r="E24" i="15"/>
  <c r="J29" i="14"/>
  <c r="H24" i="15" s="1"/>
  <c r="J158" i="10"/>
  <c r="I158" i="10"/>
  <c r="M158" i="10" s="1"/>
  <c r="I594" i="12"/>
  <c r="Z124" i="10"/>
  <c r="N124" i="10"/>
  <c r="I371" i="12"/>
  <c r="I1547" i="17"/>
  <c r="Q1547" i="17" s="1"/>
  <c r="J1547" i="9"/>
  <c r="F99" i="10"/>
  <c r="F96" i="10"/>
  <c r="F98" i="10"/>
  <c r="F91" i="10"/>
  <c r="P145" i="8"/>
  <c r="F74" i="10"/>
  <c r="I633" i="12"/>
  <c r="I563" i="12"/>
  <c r="I194" i="12"/>
  <c r="I378" i="12"/>
  <c r="I577" i="12"/>
  <c r="I67" i="12"/>
  <c r="I17" i="12"/>
  <c r="I38" i="12"/>
  <c r="I177" i="12"/>
  <c r="I173" i="12"/>
  <c r="I197" i="12"/>
  <c r="I185" i="12"/>
  <c r="I424" i="12"/>
  <c r="I349" i="12"/>
  <c r="I190" i="12"/>
  <c r="I209" i="12"/>
  <c r="I71" i="12"/>
  <c r="E148" i="12"/>
  <c r="P59" i="8"/>
  <c r="I462" i="12"/>
  <c r="I538" i="12"/>
  <c r="I363" i="12"/>
  <c r="I241" i="12"/>
  <c r="I559" i="12"/>
  <c r="I1244" i="17"/>
  <c r="Q1244" i="17" s="1"/>
  <c r="J1244" i="9"/>
  <c r="L172" i="8" s="1"/>
  <c r="O172" i="8" s="1"/>
  <c r="P172" i="8" s="1"/>
  <c r="P213" i="8"/>
  <c r="F152" i="10"/>
  <c r="I630" i="12"/>
  <c r="I614" i="12"/>
  <c r="I116" i="12"/>
  <c r="F45" i="10"/>
  <c r="P216" i="8"/>
  <c r="F155" i="10"/>
  <c r="I283" i="12"/>
  <c r="I143" i="12"/>
  <c r="I568" i="12"/>
  <c r="J210" i="10"/>
  <c r="I210" i="10"/>
  <c r="M210" i="10" s="1"/>
  <c r="I352" i="12"/>
  <c r="J87" i="10"/>
  <c r="I87" i="10"/>
  <c r="M87" i="10" s="1"/>
  <c r="I390" i="12"/>
  <c r="I439" i="12"/>
  <c r="J118" i="10"/>
  <c r="I1581" i="17"/>
  <c r="Q1581" i="17" s="1"/>
  <c r="J1581" i="9"/>
  <c r="I15" i="17"/>
  <c r="J15" i="9"/>
  <c r="L3" i="8" s="1"/>
  <c r="O3" i="8" s="1"/>
  <c r="P3" i="8" s="1"/>
  <c r="I879" i="17"/>
  <c r="Q879" i="17" s="1"/>
  <c r="J879" i="9"/>
  <c r="L117" i="8" s="1"/>
  <c r="O117" i="8" s="1"/>
  <c r="P117" i="8" s="1"/>
  <c r="I467" i="12"/>
  <c r="I472" i="12"/>
  <c r="I420" i="12"/>
  <c r="J26" i="14"/>
  <c r="H21" i="15" s="1"/>
  <c r="E21" i="15"/>
  <c r="P193" i="8"/>
  <c r="F129" i="10"/>
  <c r="I1508" i="17"/>
  <c r="Q1508" i="17" s="1"/>
  <c r="J1508" i="9"/>
  <c r="I1428" i="17"/>
  <c r="Q1428" i="17" s="1"/>
  <c r="J1428" i="9"/>
  <c r="N111" i="10"/>
  <c r="Z111" i="10"/>
  <c r="I147" i="17"/>
  <c r="Q147" i="17" s="1"/>
  <c r="J147" i="9"/>
  <c r="L17" i="8" s="1"/>
  <c r="O17" i="8" s="1"/>
  <c r="P17" i="8" s="1"/>
  <c r="I26" i="17"/>
  <c r="Q26" i="17" s="1"/>
  <c r="J26" i="9"/>
  <c r="L4" i="8" s="1"/>
  <c r="O4" i="8" s="1"/>
  <c r="H39" i="10" s="1"/>
  <c r="L39" i="10" s="1"/>
  <c r="I1103" i="17"/>
  <c r="Q1103" i="17" s="1"/>
  <c r="J1103" i="9"/>
  <c r="L148" i="8" s="1"/>
  <c r="O148" i="8" s="1"/>
  <c r="P148" i="8" s="1"/>
  <c r="P163" i="8"/>
  <c r="F95" i="10"/>
  <c r="I560" i="12"/>
  <c r="I634" i="12"/>
  <c r="A10" i="15"/>
  <c r="I15" i="14"/>
  <c r="G10" i="15" s="1"/>
  <c r="H15" i="14"/>
  <c r="F10" i="15" s="1"/>
  <c r="C10" i="15"/>
  <c r="B10" i="15"/>
  <c r="A14" i="15"/>
  <c r="I19" i="14"/>
  <c r="G14" i="15" s="1"/>
  <c r="H19" i="14"/>
  <c r="F14" i="15" s="1"/>
  <c r="C14" i="15"/>
  <c r="B14" i="15"/>
  <c r="I643" i="12"/>
  <c r="Z160" i="10"/>
  <c r="N160" i="10"/>
  <c r="I337" i="12"/>
  <c r="I135" i="12"/>
  <c r="I408" i="17"/>
  <c r="Q408" i="17" s="1"/>
  <c r="J408" i="9"/>
  <c r="I1538" i="17"/>
  <c r="Q1538" i="17" s="1"/>
  <c r="J1538" i="9"/>
  <c r="I244" i="12"/>
  <c r="I170" i="12"/>
  <c r="I313" i="12"/>
  <c r="I496" i="12"/>
  <c r="I188" i="12"/>
  <c r="I83" i="12"/>
  <c r="I64" i="12"/>
  <c r="I32" i="12"/>
  <c r="I46" i="12"/>
  <c r="I55" i="12"/>
  <c r="I122" i="12"/>
  <c r="I243" i="12"/>
  <c r="I187" i="12"/>
  <c r="I70" i="12"/>
  <c r="I431" i="12"/>
  <c r="I427" i="12"/>
  <c r="I217" i="12"/>
  <c r="I90" i="12"/>
  <c r="N161" i="10"/>
  <c r="Z161" i="10"/>
  <c r="I585" i="12"/>
  <c r="I515" i="12"/>
  <c r="J62" i="10"/>
  <c r="I62" i="10"/>
  <c r="M62" i="10" s="1"/>
  <c r="I539" i="12"/>
  <c r="I606" i="12"/>
  <c r="I399" i="12"/>
  <c r="I620" i="12"/>
  <c r="I279" i="12"/>
  <c r="I604" i="12"/>
  <c r="I263" i="12"/>
  <c r="I299" i="12"/>
  <c r="J86" i="10"/>
  <c r="I86" i="10"/>
  <c r="M86" i="10" s="1"/>
  <c r="I322" i="12"/>
  <c r="Z181" i="10"/>
  <c r="N181" i="10"/>
  <c r="I519" i="12"/>
  <c r="I475" i="12"/>
  <c r="I32" i="10"/>
  <c r="M32" i="10" s="1"/>
  <c r="J32" i="10"/>
  <c r="I550" i="12"/>
  <c r="Q251" i="17"/>
  <c r="G507" i="12" s="1"/>
  <c r="A507" i="12" s="1"/>
  <c r="I576" i="12"/>
  <c r="I284" i="12"/>
  <c r="I445" i="17"/>
  <c r="J445" i="9"/>
  <c r="I1442" i="17"/>
  <c r="Q1442" i="17" s="1"/>
  <c r="J1442" i="9"/>
  <c r="I37" i="17"/>
  <c r="Q37" i="17" s="1"/>
  <c r="J37" i="9"/>
  <c r="L5" i="8" s="1"/>
  <c r="O5" i="8" s="1"/>
  <c r="I24" i="14"/>
  <c r="G19" i="15" s="1"/>
  <c r="C19" i="15"/>
  <c r="H24" i="14"/>
  <c r="F19" i="15" s="1"/>
  <c r="B19" i="15"/>
  <c r="A19" i="15"/>
  <c r="I1262" i="17"/>
  <c r="Q1262" i="17" s="1"/>
  <c r="J1262" i="9"/>
  <c r="L177" i="8" s="1"/>
  <c r="O177" i="8" s="1"/>
  <c r="H112" i="10" s="1"/>
  <c r="L112" i="10" s="1"/>
  <c r="I234" i="17"/>
  <c r="Q234" i="17" s="1"/>
  <c r="J234" i="9"/>
  <c r="L64" i="8" s="1"/>
  <c r="O64" i="8" s="1"/>
  <c r="P64" i="8" s="1"/>
  <c r="E19" i="15"/>
  <c r="J24" i="14"/>
  <c r="H19" i="15" s="1"/>
  <c r="I386" i="12"/>
  <c r="I363" i="17"/>
  <c r="Q363" i="17" s="1"/>
  <c r="J363" i="9"/>
  <c r="L37" i="8" s="1"/>
  <c r="O37" i="8" s="1"/>
  <c r="P37" i="8" s="1"/>
  <c r="I1482" i="17"/>
  <c r="Q1482" i="17" s="1"/>
  <c r="J1482" i="9"/>
  <c r="L202" i="8" s="1"/>
  <c r="O202" i="8" s="1"/>
  <c r="P202" i="8" s="1"/>
  <c r="I131" i="17"/>
  <c r="Q131" i="17" s="1"/>
  <c r="J131" i="9"/>
  <c r="L15" i="8" s="1"/>
  <c r="O15" i="8" s="1"/>
  <c r="P15" i="8" s="1"/>
  <c r="I95" i="12"/>
  <c r="A12" i="15"/>
  <c r="I17" i="14"/>
  <c r="G12" i="15" s="1"/>
  <c r="H17" i="14"/>
  <c r="F12" i="15" s="1"/>
  <c r="C12" i="15"/>
  <c r="B12" i="15"/>
  <c r="I351" i="17"/>
  <c r="Q351" i="17" s="1"/>
  <c r="J351" i="9"/>
  <c r="L36" i="8" s="1"/>
  <c r="O36" i="8" s="1"/>
  <c r="P36" i="8" s="1"/>
  <c r="I1520" i="17"/>
  <c r="Q1520" i="17" s="1"/>
  <c r="J1520" i="9"/>
  <c r="I122" i="17"/>
  <c r="Q122" i="17" s="1"/>
  <c r="J122" i="9"/>
  <c r="L14" i="8" s="1"/>
  <c r="O14" i="8" s="1"/>
  <c r="I858" i="17"/>
  <c r="Q858" i="17" s="1"/>
  <c r="J858" i="9"/>
  <c r="I1866" i="17"/>
  <c r="Q1866" i="17" s="1"/>
  <c r="J1866" i="9"/>
  <c r="L73" i="8" s="1"/>
  <c r="O73" i="8" s="1"/>
  <c r="P73" i="8" s="1"/>
  <c r="I471" i="17"/>
  <c r="Q471" i="17" s="1"/>
  <c r="J471" i="9"/>
  <c r="I1565" i="17"/>
  <c r="Q1565" i="17" s="1"/>
  <c r="J1565" i="9"/>
  <c r="I105" i="17"/>
  <c r="Q105" i="17" s="1"/>
  <c r="J105" i="9"/>
  <c r="L12" i="8" s="1"/>
  <c r="O12" i="8" s="1"/>
  <c r="P12" i="8" s="1"/>
  <c r="I48" i="17"/>
  <c r="Q48" i="17" s="1"/>
  <c r="J48" i="9"/>
  <c r="L6" i="8" s="1"/>
  <c r="O6" i="8" s="1"/>
  <c r="I1420" i="17"/>
  <c r="Q1420" i="17" s="1"/>
  <c r="J1420" i="9"/>
  <c r="L197" i="8" s="1"/>
  <c r="O197" i="8" s="1"/>
  <c r="H135" i="10" s="1"/>
  <c r="L135" i="10" s="1"/>
  <c r="P246" i="8"/>
  <c r="F186" i="10"/>
  <c r="I611" i="12"/>
  <c r="E18" i="15"/>
  <c r="J23" i="14"/>
  <c r="H18" i="15" s="1"/>
  <c r="A8" i="15"/>
  <c r="B8" i="15"/>
  <c r="H13" i="14"/>
  <c r="F8" i="15" s="1"/>
  <c r="I13" i="14"/>
  <c r="G8" i="15" s="1"/>
  <c r="C8" i="15"/>
  <c r="C17" i="15"/>
  <c r="B17" i="15"/>
  <c r="A17" i="15"/>
  <c r="I22" i="14"/>
  <c r="G17" i="15" s="1"/>
  <c r="H22" i="14"/>
  <c r="F17" i="15" s="1"/>
  <c r="Z205" i="10"/>
  <c r="N205" i="10"/>
  <c r="I242" i="12"/>
  <c r="I517" i="12"/>
  <c r="I411" i="12"/>
  <c r="I459" i="17"/>
  <c r="Q459" i="17" s="1"/>
  <c r="J459" i="9"/>
  <c r="L67" i="8" s="1"/>
  <c r="O67" i="8" s="1"/>
  <c r="P67" i="8" s="1"/>
  <c r="I1494" i="17"/>
  <c r="Q1494" i="17" s="1"/>
  <c r="J1494" i="9"/>
  <c r="P60" i="8"/>
  <c r="I562" i="12"/>
  <c r="I57" i="10"/>
  <c r="M57" i="10" s="1"/>
  <c r="J57" i="10"/>
  <c r="I256" i="12"/>
  <c r="I464" i="12"/>
  <c r="I554" i="12"/>
  <c r="I20" i="12"/>
  <c r="I49" i="12"/>
  <c r="I34" i="12"/>
  <c r="I125" i="12"/>
  <c r="I73" i="12"/>
  <c r="I118" i="12"/>
  <c r="I249" i="12"/>
  <c r="I189" i="12"/>
  <c r="I89" i="12"/>
  <c r="I436" i="12"/>
  <c r="I149" i="12"/>
  <c r="I221" i="12"/>
  <c r="I94" i="12"/>
  <c r="I599" i="17"/>
  <c r="Q599" i="17" s="1"/>
  <c r="J599" i="9"/>
  <c r="L27" i="8" s="1"/>
  <c r="O27" i="8" s="1"/>
  <c r="P27" i="8" s="1"/>
  <c r="F144" i="10"/>
  <c r="I196" i="12"/>
  <c r="I146" i="12"/>
  <c r="P82" i="8"/>
  <c r="F6" i="10"/>
  <c r="I223" i="12"/>
  <c r="I318" i="12"/>
  <c r="I225" i="12"/>
  <c r="I543" i="12"/>
  <c r="F396" i="12"/>
  <c r="I636" i="12"/>
  <c r="I527" i="12"/>
  <c r="N34" i="10"/>
  <c r="Z34" i="10"/>
  <c r="I338" i="12"/>
  <c r="Q129" i="17"/>
  <c r="Z27" i="10"/>
  <c r="N27" i="10"/>
  <c r="I580" i="12"/>
  <c r="N30" i="10"/>
  <c r="Z30" i="10"/>
  <c r="I94" i="10"/>
  <c r="M94" i="10" s="1"/>
  <c r="J94" i="10"/>
  <c r="I394" i="12"/>
  <c r="I443" i="12"/>
  <c r="I540" i="12"/>
  <c r="I199" i="12"/>
  <c r="I476" i="12"/>
  <c r="I28" i="12"/>
  <c r="E12" i="11"/>
  <c r="H12" i="11" s="1"/>
  <c r="I260" i="12"/>
  <c r="I618" i="12"/>
  <c r="I317" i="17"/>
  <c r="Q317" i="17" s="1"/>
  <c r="J317" i="9"/>
  <c r="L33" i="8" s="1"/>
  <c r="O33" i="8" s="1"/>
  <c r="P33" i="8" s="1"/>
  <c r="I1818" i="17"/>
  <c r="Q1818" i="17" s="1"/>
  <c r="J1818" i="9"/>
  <c r="L258" i="8" s="1"/>
  <c r="O258" i="8" s="1"/>
  <c r="H202" i="10" s="1"/>
  <c r="L202" i="10" s="1"/>
  <c r="I97" i="17"/>
  <c r="Q97" i="17" s="1"/>
  <c r="J97" i="9"/>
  <c r="L11" i="8" s="1"/>
  <c r="O11" i="8" s="1"/>
  <c r="P11" i="8" s="1"/>
  <c r="I161" i="17"/>
  <c r="Q161" i="17" s="1"/>
  <c r="J161" i="9"/>
  <c r="L19" i="8" s="1"/>
  <c r="O19" i="8" s="1"/>
  <c r="P19" i="8" s="1"/>
  <c r="I1074" i="17"/>
  <c r="Q1074" i="17" s="1"/>
  <c r="J1074" i="9"/>
  <c r="L144" i="8" s="1"/>
  <c r="O144" i="8" s="1"/>
  <c r="I474" i="12"/>
  <c r="I409" i="17"/>
  <c r="Q409" i="17" s="1"/>
  <c r="J409" i="9"/>
  <c r="I1573" i="17"/>
  <c r="Q1573" i="17" s="1"/>
  <c r="J1573" i="9"/>
  <c r="I175" i="17"/>
  <c r="Q175" i="17" s="1"/>
  <c r="J175" i="9"/>
  <c r="L40" i="8" s="1"/>
  <c r="O40" i="8" s="1"/>
  <c r="P40" i="8" s="1"/>
  <c r="I244" i="17"/>
  <c r="Q244" i="17" s="1"/>
  <c r="J244" i="9"/>
  <c r="I981" i="17"/>
  <c r="Q981" i="17" s="1"/>
  <c r="J981" i="9"/>
  <c r="I442" i="12"/>
  <c r="I218" i="12"/>
  <c r="A6" i="15"/>
  <c r="C6" i="15"/>
  <c r="B6" i="15"/>
  <c r="I11" i="14"/>
  <c r="G6" i="15" s="1"/>
  <c r="H11" i="14"/>
  <c r="F6" i="15" s="1"/>
  <c r="I361" i="12"/>
  <c r="I319" i="12"/>
  <c r="I379" i="12"/>
  <c r="I422" i="17"/>
  <c r="Q422" i="17" s="1"/>
  <c r="J422" i="9"/>
  <c r="I1441" i="17"/>
  <c r="Q1441" i="17" s="1"/>
  <c r="J1441" i="9"/>
  <c r="I603" i="12"/>
  <c r="I359" i="12"/>
  <c r="J65" i="10"/>
  <c r="I601" i="12"/>
  <c r="I531" i="12"/>
  <c r="I52" i="12"/>
  <c r="I93" i="12"/>
  <c r="I56" i="12"/>
  <c r="I155" i="12"/>
  <c r="I166" i="12"/>
  <c r="I184" i="12"/>
  <c r="I269" i="12"/>
  <c r="I254" i="12"/>
  <c r="I114" i="12"/>
  <c r="I139" i="12"/>
  <c r="I174" i="12"/>
  <c r="I253" i="12"/>
  <c r="I96" i="12"/>
  <c r="I687" i="17"/>
  <c r="Q687" i="17" s="1"/>
  <c r="G620" i="12" s="1"/>
  <c r="A620" i="12" s="1"/>
  <c r="J687" i="9"/>
  <c r="L24" i="8" s="1"/>
  <c r="O24" i="8" s="1"/>
  <c r="I514" i="12"/>
  <c r="D19" i="13"/>
  <c r="I605" i="12"/>
  <c r="Q25" i="17"/>
  <c r="I599" i="12"/>
  <c r="I485" i="12"/>
  <c r="I590" i="12"/>
  <c r="I397" i="12"/>
  <c r="P85" i="8"/>
  <c r="F9" i="10"/>
  <c r="I574" i="12"/>
  <c r="I395" i="12"/>
  <c r="I596" i="12"/>
  <c r="I200" i="10"/>
  <c r="M200" i="10" s="1"/>
  <c r="J200" i="10"/>
  <c r="I525" i="12"/>
  <c r="P56" i="8"/>
  <c r="I608" i="12"/>
  <c r="I316" i="12"/>
  <c r="N162" i="10"/>
  <c r="Z162" i="10"/>
  <c r="I581" i="12"/>
  <c r="I419" i="12"/>
  <c r="Z172" i="10"/>
  <c r="N172" i="10"/>
  <c r="I184" i="10"/>
  <c r="M184" i="10" s="1"/>
  <c r="J184" i="10"/>
  <c r="I444" i="12"/>
  <c r="I627" i="12"/>
  <c r="G38" i="11"/>
  <c r="I497" i="12"/>
  <c r="Q1858" i="17"/>
  <c r="I470" i="17"/>
  <c r="Q470" i="17" s="1"/>
  <c r="J470" i="9"/>
  <c r="I1529" i="17"/>
  <c r="Q1529" i="17" s="1"/>
  <c r="J1529" i="9"/>
  <c r="J208" i="10"/>
  <c r="I208" i="10"/>
  <c r="M208" i="10" s="1"/>
  <c r="I210" i="12"/>
  <c r="I305" i="12"/>
  <c r="Z85" i="10"/>
  <c r="I212" i="12"/>
  <c r="I18" i="12"/>
  <c r="I29" i="12"/>
  <c r="I138" i="12"/>
  <c r="I65" i="12"/>
  <c r="I182" i="12"/>
  <c r="I137" i="12"/>
  <c r="I109" i="12"/>
  <c r="I285" i="12"/>
  <c r="I281" i="12"/>
  <c r="I163" i="12"/>
  <c r="I153" i="12"/>
  <c r="I176" i="12"/>
  <c r="I262" i="12"/>
  <c r="I117" i="12"/>
  <c r="I555" i="12"/>
  <c r="F19" i="13"/>
  <c r="B22" i="13" s="1"/>
  <c r="I208" i="12"/>
  <c r="I404" i="12"/>
  <c r="I453" i="12"/>
  <c r="P133" i="8"/>
  <c r="F59" i="10"/>
  <c r="I207" i="12"/>
  <c r="I632" i="12"/>
  <c r="I191" i="12"/>
  <c r="Z201" i="10"/>
  <c r="N201" i="10"/>
  <c r="I541" i="12"/>
  <c r="G11" i="10"/>
  <c r="P87" i="8"/>
  <c r="I582" i="12"/>
  <c r="J47" i="10"/>
  <c r="I47" i="10"/>
  <c r="M47" i="10" s="1"/>
  <c r="I480" i="12"/>
  <c r="I60" i="12"/>
  <c r="O190" i="10"/>
  <c r="I510" i="12"/>
  <c r="I387" i="12"/>
  <c r="I308" i="12"/>
  <c r="I234" i="12"/>
  <c r="Q13" i="17"/>
  <c r="J132" i="10"/>
  <c r="I344" i="12"/>
  <c r="I407" i="12"/>
  <c r="I530" i="12"/>
  <c r="I24" i="12"/>
  <c r="I126" i="12"/>
  <c r="I61" i="12"/>
  <c r="I26" i="12"/>
  <c r="I206" i="12"/>
  <c r="I171" i="12"/>
  <c r="I129" i="12"/>
  <c r="I428" i="12"/>
  <c r="I438" i="12"/>
  <c r="I165" i="12"/>
  <c r="I200" i="12"/>
  <c r="I192" i="12"/>
  <c r="I264" i="12"/>
  <c r="I201" i="12"/>
  <c r="I51" i="10"/>
  <c r="M51" i="10" s="1"/>
  <c r="J51" i="10"/>
  <c r="I162" i="12"/>
  <c r="I311" i="12"/>
  <c r="A16" i="12"/>
  <c r="F123" i="10"/>
  <c r="I358" i="12"/>
  <c r="I529" i="12"/>
  <c r="I583" i="12"/>
  <c r="I483" i="12"/>
  <c r="J116" i="10"/>
  <c r="I116" i="10"/>
  <c r="M116" i="10" s="1"/>
  <c r="I567" i="12"/>
  <c r="I598" i="12"/>
  <c r="F473" i="12"/>
  <c r="N26" i="10"/>
  <c r="Z26" i="10"/>
  <c r="Z50" i="10"/>
  <c r="N50" i="10"/>
  <c r="I572" i="12"/>
  <c r="I231" i="12"/>
  <c r="F69" i="10"/>
  <c r="F64" i="10"/>
  <c r="I448" i="12"/>
  <c r="I291" i="12"/>
  <c r="Z35" i="10"/>
  <c r="N35" i="10"/>
  <c r="I84" i="10"/>
  <c r="M84" i="10" s="1"/>
  <c r="J84" i="10"/>
  <c r="I127" i="12"/>
  <c r="I552" i="12"/>
  <c r="P217" i="8"/>
  <c r="F156" i="10"/>
  <c r="I626" i="12"/>
  <c r="I384" i="12"/>
  <c r="I625" i="12"/>
  <c r="I1556" i="17"/>
  <c r="Q1556" i="17" s="1"/>
  <c r="J1556" i="9"/>
  <c r="J178" i="10"/>
  <c r="I178" i="10"/>
  <c r="M178" i="10" s="1"/>
  <c r="I272" i="12"/>
  <c r="I287" i="12"/>
  <c r="I375" i="12"/>
  <c r="H119" i="10"/>
  <c r="L119" i="10" s="1"/>
  <c r="H122" i="10"/>
  <c r="L122" i="10" s="1"/>
  <c r="F135" i="10"/>
  <c r="I571" i="12"/>
  <c r="I23" i="12"/>
  <c r="I128" i="12"/>
  <c r="I57" i="12"/>
  <c r="I113" i="12"/>
  <c r="I227" i="12"/>
  <c r="I214" i="12"/>
  <c r="I144" i="12"/>
  <c r="I41" i="12"/>
  <c r="I261" i="12"/>
  <c r="I222" i="12"/>
  <c r="I246" i="12"/>
  <c r="I237" i="12"/>
  <c r="I301" i="12"/>
  <c r="I245" i="12"/>
  <c r="I621" i="12"/>
  <c r="I257" i="12"/>
  <c r="I575" i="12"/>
  <c r="I199" i="10"/>
  <c r="M199" i="10" s="1"/>
  <c r="J199" i="10"/>
  <c r="I490" i="12"/>
  <c r="I140" i="12"/>
  <c r="I259" i="17"/>
  <c r="Q259" i="17" s="1"/>
  <c r="J259" i="9"/>
  <c r="L29" i="8" s="1"/>
  <c r="O29" i="8" s="1"/>
  <c r="P29" i="8" s="1"/>
  <c r="L8" i="8"/>
  <c r="O8" i="8" s="1"/>
  <c r="H42" i="10" s="1"/>
  <c r="L42" i="10" s="1"/>
  <c r="F149" i="10"/>
  <c r="F150" i="10"/>
  <c r="F147" i="10"/>
  <c r="F148" i="10"/>
  <c r="F151" i="10"/>
  <c r="I402" i="12"/>
  <c r="I451" i="12"/>
  <c r="I400" i="12"/>
  <c r="I588" i="12"/>
  <c r="I247" i="12"/>
  <c r="I613" i="12"/>
  <c r="I423" i="12"/>
  <c r="I340" i="12"/>
  <c r="I503" i="12"/>
  <c r="I473" i="12"/>
  <c r="I235" i="12"/>
  <c r="I1274" i="17"/>
  <c r="Q1274" i="17" s="1"/>
  <c r="J1274" i="9"/>
  <c r="L178" i="8" s="1"/>
  <c r="O178" i="8" s="1"/>
  <c r="H113" i="10" s="1"/>
  <c r="L113" i="10" s="1"/>
  <c r="N212" i="10"/>
  <c r="Z212" i="10"/>
  <c r="I1046" i="17"/>
  <c r="Q1046" i="17" s="1"/>
  <c r="J1046" i="9"/>
  <c r="L141" i="8" s="1"/>
  <c r="O141" i="8" s="1"/>
  <c r="P141" i="8" s="1"/>
  <c r="I121" i="10"/>
  <c r="M121" i="10" s="1"/>
  <c r="J121" i="10"/>
  <c r="I516" i="12"/>
  <c r="Z67" i="10"/>
  <c r="N67" i="10"/>
  <c r="A24" i="15"/>
  <c r="I29" i="14"/>
  <c r="G24" i="15" s="1"/>
  <c r="C24" i="15"/>
  <c r="H29" i="14"/>
  <c r="F24" i="15" s="1"/>
  <c r="B24" i="15"/>
  <c r="A22" i="15"/>
  <c r="C22" i="15"/>
  <c r="B22" i="15"/>
  <c r="I27" i="14"/>
  <c r="G22" i="15" s="1"/>
  <c r="H27" i="14"/>
  <c r="F22" i="15" s="1"/>
  <c r="E6" i="15"/>
  <c r="J11" i="14"/>
  <c r="J174" i="10"/>
  <c r="I174" i="10"/>
  <c r="M174" i="10" s="1"/>
  <c r="I528" i="12"/>
  <c r="I31" i="12"/>
  <c r="I16" i="12"/>
  <c r="I59" i="12"/>
  <c r="I106" i="12"/>
  <c r="I99" i="12"/>
  <c r="I219" i="12"/>
  <c r="I150" i="12"/>
  <c r="I75" i="12"/>
  <c r="I265" i="12"/>
  <c r="I277" i="12"/>
  <c r="I248" i="12"/>
  <c r="I286" i="12"/>
  <c r="I333" i="12"/>
  <c r="I432" i="12"/>
  <c r="J66" i="10"/>
  <c r="I66" i="10"/>
  <c r="M66" i="10" s="1"/>
  <c r="I224" i="12"/>
  <c r="F42" i="10"/>
  <c r="I622" i="12"/>
  <c r="I401" i="12"/>
  <c r="I458" i="12"/>
  <c r="I506" i="12"/>
  <c r="I268" i="17"/>
  <c r="Q268" i="17" s="1"/>
  <c r="J268" i="9"/>
  <c r="L30" i="8" s="1"/>
  <c r="O30" i="8" s="1"/>
  <c r="H103" i="10" s="1"/>
  <c r="L103" i="10" s="1"/>
  <c r="J52" i="10"/>
  <c r="I52" i="10"/>
  <c r="M52" i="10" s="1"/>
  <c r="I342" i="12"/>
  <c r="I513" i="12"/>
  <c r="F103" i="10"/>
  <c r="F112" i="10"/>
  <c r="I326" i="12"/>
  <c r="I629" i="12"/>
  <c r="I511" i="12"/>
  <c r="J5" i="10"/>
  <c r="I5" i="10"/>
  <c r="M5" i="10" s="1"/>
  <c r="I542" i="12"/>
  <c r="I391" i="12"/>
  <c r="J73" i="10"/>
  <c r="I84" i="12"/>
  <c r="I110" i="10"/>
  <c r="M110" i="10" s="1"/>
  <c r="J110" i="10"/>
  <c r="I392" i="12"/>
  <c r="I441" i="12"/>
  <c r="P76" i="8"/>
  <c r="F119" i="10"/>
  <c r="F122" i="10"/>
  <c r="I82" i="10"/>
  <c r="M82" i="10" s="1"/>
  <c r="J82" i="10"/>
  <c r="I423" i="17"/>
  <c r="Q423" i="17" s="1"/>
  <c r="J423" i="9"/>
  <c r="I1557" i="17"/>
  <c r="Q1557" i="17" s="1"/>
  <c r="J1557" i="9"/>
  <c r="I1456" i="17"/>
  <c r="Q1456" i="17" s="1"/>
  <c r="J1456" i="9"/>
  <c r="I59" i="17"/>
  <c r="Q59" i="17" s="1"/>
  <c r="J59" i="9"/>
  <c r="L7" i="8" s="1"/>
  <c r="O7" i="8" s="1"/>
  <c r="P7" i="8" s="1"/>
  <c r="I207" i="17"/>
  <c r="Q207" i="17" s="1"/>
  <c r="J207" i="9"/>
  <c r="L45" i="8" s="1"/>
  <c r="O45" i="8" s="1"/>
  <c r="P45" i="8" s="1"/>
  <c r="I1027" i="17"/>
  <c r="Q1027" i="17" s="1"/>
  <c r="J1027" i="9"/>
  <c r="L137" i="8" s="1"/>
  <c r="O137" i="8" s="1"/>
  <c r="J137" i="10"/>
  <c r="I413" i="12"/>
  <c r="I369" i="12"/>
  <c r="J44" i="10"/>
  <c r="J23" i="10"/>
  <c r="I23" i="10"/>
  <c r="M23" i="10" s="1"/>
  <c r="I493" i="12"/>
  <c r="I320" i="12"/>
  <c r="N13" i="10"/>
  <c r="I335" i="12"/>
  <c r="I470" i="12"/>
  <c r="I602" i="12"/>
  <c r="Z182" i="10"/>
  <c r="N182" i="10"/>
  <c r="I1455" i="17"/>
  <c r="Q1455" i="17" s="1"/>
  <c r="J1455" i="9"/>
  <c r="I321" i="12"/>
  <c r="I637" i="12"/>
  <c r="I412" i="12"/>
  <c r="I461" i="12"/>
  <c r="I297" i="12"/>
  <c r="I50" i="12"/>
  <c r="I48" i="12"/>
  <c r="I112" i="12"/>
  <c r="I123" i="12"/>
  <c r="I119" i="12"/>
  <c r="I45" i="12"/>
  <c r="I152" i="12"/>
  <c r="I81" i="12"/>
  <c r="I357" i="12"/>
  <c r="I302" i="12"/>
  <c r="I296" i="12"/>
  <c r="I425" i="12"/>
  <c r="I22" i="12"/>
  <c r="Q3" i="17"/>
  <c r="I595" i="12"/>
  <c r="I202" i="12"/>
  <c r="I639" i="12"/>
  <c r="I364" i="12"/>
  <c r="I339" i="12"/>
  <c r="I616" i="12"/>
  <c r="I481" i="12"/>
  <c r="I449" i="12"/>
  <c r="I108" i="12"/>
  <c r="I314" i="12"/>
  <c r="I266" i="12"/>
  <c r="I327" i="12"/>
  <c r="Z206" i="10"/>
  <c r="N206" i="10"/>
  <c r="I239" i="12"/>
  <c r="I334" i="12"/>
  <c r="I553" i="12"/>
  <c r="I346" i="12"/>
  <c r="I1185" i="17"/>
  <c r="Q1185" i="17" s="1"/>
  <c r="J1185" i="9"/>
  <c r="L164" i="8" s="1"/>
  <c r="O164" i="8" s="1"/>
  <c r="P164" i="8" s="1"/>
  <c r="F39" i="10"/>
  <c r="I488" i="12"/>
  <c r="I124" i="12"/>
  <c r="I167" i="10"/>
  <c r="M167" i="10" s="1"/>
  <c r="J167" i="10"/>
  <c r="I486" i="12"/>
  <c r="L22" i="8"/>
  <c r="O22" i="8" s="1"/>
  <c r="P22" i="8" s="1"/>
  <c r="N24" i="10"/>
  <c r="Z24" i="10"/>
  <c r="I558" i="12"/>
  <c r="I393" i="12"/>
  <c r="I159" i="12"/>
  <c r="I584" i="12"/>
  <c r="I267" i="12"/>
  <c r="I592" i="12"/>
  <c r="I300" i="12"/>
  <c r="J25" i="10"/>
  <c r="I25" i="10"/>
  <c r="M25" i="10" s="1"/>
  <c r="I532" i="12"/>
  <c r="I637" i="17"/>
  <c r="Q637" i="17" s="1"/>
  <c r="J637" i="9"/>
  <c r="L42" i="8" s="1"/>
  <c r="O42" i="8" s="1"/>
  <c r="P42" i="8" s="1"/>
  <c r="I113" i="17"/>
  <c r="Q113" i="17" s="1"/>
  <c r="J113" i="9"/>
  <c r="L13" i="8" s="1"/>
  <c r="O13" i="8" s="1"/>
  <c r="P13" i="8" s="1"/>
  <c r="I1110" i="17"/>
  <c r="Q1110" i="17" s="1"/>
  <c r="J1110" i="9"/>
  <c r="L149" i="8" s="1"/>
  <c r="O149" i="8" s="1"/>
  <c r="P149" i="8" s="1"/>
  <c r="I398" i="17"/>
  <c r="Q398" i="17" s="1"/>
  <c r="J398" i="9"/>
  <c r="L62" i="8" s="1"/>
  <c r="O62" i="8" s="1"/>
  <c r="P62" i="8" s="1"/>
  <c r="I1018" i="17"/>
  <c r="Q1018" i="17" s="1"/>
  <c r="J1018" i="9"/>
  <c r="L136" i="8" s="1"/>
  <c r="O136" i="8" s="1"/>
  <c r="P136" i="8" s="1"/>
  <c r="I353" i="12"/>
  <c r="I533" i="12"/>
  <c r="I236" i="12"/>
  <c r="I1572" i="17"/>
  <c r="Q1572" i="17" s="1"/>
  <c r="J1572" i="9"/>
  <c r="I178" i="12"/>
  <c r="I43" i="12"/>
  <c r="I341" i="17"/>
  <c r="Q341" i="17" s="1"/>
  <c r="J341" i="9"/>
  <c r="L35" i="8" s="1"/>
  <c r="O35" i="8" s="1"/>
  <c r="P35" i="8" s="1"/>
  <c r="I1530" i="17"/>
  <c r="Q1530" i="17" s="1"/>
  <c r="J1530" i="9"/>
  <c r="I153" i="17"/>
  <c r="Q153" i="17" s="1"/>
  <c r="J153" i="9"/>
  <c r="L18" i="8" s="1"/>
  <c r="O18" i="8" s="1"/>
  <c r="P18" i="8" s="1"/>
  <c r="I1219" i="17"/>
  <c r="Q1219" i="17" s="1"/>
  <c r="J1219" i="9"/>
  <c r="L168" i="8" s="1"/>
  <c r="O168" i="8" s="1"/>
  <c r="I896" i="17"/>
  <c r="Q896" i="17" s="1"/>
  <c r="J896" i="9"/>
  <c r="L119" i="8" s="1"/>
  <c r="O119" i="8" s="1"/>
  <c r="P119" i="8" s="1"/>
  <c r="J15" i="14"/>
  <c r="H10" i="15" s="1"/>
  <c r="E10" i="15"/>
  <c r="J19" i="14"/>
  <c r="H14" i="15" s="1"/>
  <c r="E14" i="15"/>
  <c r="I381" i="12"/>
  <c r="I330" i="17"/>
  <c r="Q330" i="17" s="1"/>
  <c r="J330" i="9"/>
  <c r="L34" i="8" s="1"/>
  <c r="O34" i="8" s="1"/>
  <c r="P34" i="8" s="1"/>
  <c r="I1539" i="17"/>
  <c r="Q1539" i="17" s="1"/>
  <c r="J1539" i="9"/>
  <c r="L74" i="8"/>
  <c r="O74" i="8" s="1"/>
  <c r="P74" i="8" s="1"/>
  <c r="I168" i="17"/>
  <c r="Q168" i="17" s="1"/>
  <c r="J168" i="9"/>
  <c r="L20" i="8" s="1"/>
  <c r="O20" i="8" s="1"/>
  <c r="P20" i="8" s="1"/>
  <c r="I848" i="17"/>
  <c r="Q848" i="17" s="1"/>
  <c r="J848" i="9"/>
  <c r="I960" i="17"/>
  <c r="Q960" i="17" s="1"/>
  <c r="J960" i="9"/>
  <c r="L128" i="8" s="1"/>
  <c r="O128" i="8" s="1"/>
  <c r="Z177" i="10"/>
  <c r="N177" i="10"/>
  <c r="I518" i="12"/>
  <c r="H28" i="14"/>
  <c r="F23" i="15" s="1"/>
  <c r="C23" i="15"/>
  <c r="B23" i="15"/>
  <c r="A23" i="15"/>
  <c r="I28" i="14"/>
  <c r="G23" i="15" s="1"/>
  <c r="J13" i="14"/>
  <c r="H8" i="15" s="1"/>
  <c r="E8" i="15"/>
  <c r="E17" i="15"/>
  <c r="J22" i="14"/>
  <c r="H17" i="15" s="1"/>
  <c r="I79" i="12"/>
  <c r="I504" i="12"/>
  <c r="I80" i="10"/>
  <c r="M80" i="10" s="1"/>
  <c r="J80" i="10"/>
  <c r="I638" i="12"/>
  <c r="I579" i="12"/>
  <c r="Z29" i="10"/>
  <c r="N29" i="10"/>
  <c r="I1564" i="17"/>
  <c r="Q1564" i="17" s="1"/>
  <c r="J1564" i="9"/>
  <c r="J21" i="10"/>
  <c r="I21" i="10"/>
  <c r="M21" i="10" s="1"/>
  <c r="I360" i="12"/>
  <c r="I409" i="12"/>
  <c r="N165" i="10"/>
  <c r="Z165" i="10"/>
  <c r="J17" i="10"/>
  <c r="I17" i="10"/>
  <c r="M17" i="10" s="1"/>
  <c r="I380" i="12"/>
  <c r="I593" i="12"/>
  <c r="F138" i="10"/>
  <c r="F141" i="10"/>
  <c r="F142" i="10"/>
  <c r="F140" i="10"/>
  <c r="F139" i="10"/>
  <c r="I240" i="12"/>
  <c r="I27" i="12"/>
  <c r="I51" i="12"/>
  <c r="I77" i="12"/>
  <c r="I145" i="12"/>
  <c r="I80" i="12"/>
  <c r="I158" i="12"/>
  <c r="I104" i="12"/>
  <c r="I21" i="12"/>
  <c r="I433" i="12"/>
  <c r="I317" i="12"/>
  <c r="I213" i="12"/>
  <c r="I37" i="12"/>
  <c r="Q15" i="17"/>
  <c r="I125" i="10"/>
  <c r="M125" i="10" s="1"/>
  <c r="J125" i="10"/>
  <c r="P151" i="8"/>
  <c r="F81" i="10"/>
  <c r="I591" i="12"/>
  <c r="Z28" i="10"/>
  <c r="N28" i="10"/>
  <c r="I615" i="12"/>
  <c r="I487" i="12"/>
  <c r="I164" i="12"/>
  <c r="I250" i="17"/>
  <c r="Q250" i="17" s="1"/>
  <c r="J250" i="9"/>
  <c r="L28" i="8" s="1"/>
  <c r="O28" i="8" s="1"/>
  <c r="I456" i="12"/>
  <c r="I355" i="12"/>
  <c r="P228" i="8"/>
  <c r="I454" i="12"/>
  <c r="I175" i="12"/>
  <c r="I600" i="12"/>
  <c r="J101" i="10"/>
  <c r="I535" i="12"/>
  <c r="I477" i="12"/>
  <c r="I202" i="10"/>
  <c r="M202" i="10" s="1"/>
  <c r="J202" i="10"/>
  <c r="I306" i="12"/>
  <c r="P83" i="8"/>
  <c r="F7" i="10"/>
  <c r="P192" i="8"/>
  <c r="F128" i="10"/>
  <c r="I478" i="12"/>
  <c r="I44" i="12"/>
  <c r="L130" i="8"/>
  <c r="O130" i="8" s="1"/>
  <c r="H56" i="10" s="1"/>
  <c r="L56" i="10" s="1"/>
  <c r="J209" i="10"/>
  <c r="I209" i="10"/>
  <c r="M209" i="10" s="1"/>
  <c r="I336" i="12"/>
  <c r="E13" i="11"/>
  <c r="H13" i="11" s="1"/>
  <c r="F56" i="10"/>
  <c r="I1495" i="17"/>
  <c r="Q1495" i="17" s="1"/>
  <c r="J1495" i="9"/>
  <c r="I1414" i="17"/>
  <c r="Q1414" i="17" s="1"/>
  <c r="J1414" i="9"/>
  <c r="L196" i="8" s="1"/>
  <c r="O196" i="8" s="1"/>
  <c r="I377" i="17"/>
  <c r="Q377" i="17" s="1"/>
  <c r="J377" i="9"/>
  <c r="L38" i="8" s="1"/>
  <c r="O38" i="8" s="1"/>
  <c r="P38" i="8" s="1"/>
  <c r="I1408" i="17"/>
  <c r="Q1408" i="17" s="1"/>
  <c r="J1408" i="9"/>
  <c r="L195" i="8" s="1"/>
  <c r="O195" i="8" s="1"/>
  <c r="I303" i="12"/>
  <c r="I377" i="12"/>
  <c r="P93" i="8"/>
  <c r="I498" i="12"/>
  <c r="I204" i="12"/>
  <c r="I343" i="12"/>
  <c r="I58" i="12"/>
  <c r="I53" i="12"/>
  <c r="I82" i="12"/>
  <c r="I216" i="12"/>
  <c r="I160" i="12"/>
  <c r="I121" i="12"/>
  <c r="I36" i="12"/>
  <c r="I157" i="12"/>
  <c r="I429" i="12"/>
  <c r="I280" i="12"/>
  <c r="I115" i="12"/>
  <c r="L75" i="8"/>
  <c r="O75" i="8" s="1"/>
  <c r="I312" i="12"/>
  <c r="I403" i="12"/>
  <c r="I406" i="12"/>
  <c r="I455" i="12"/>
  <c r="I347" i="12"/>
  <c r="I1236" i="17"/>
  <c r="Q1236" i="17" s="1"/>
  <c r="J1236" i="9"/>
  <c r="L171" i="8" s="1"/>
  <c r="O171" i="8" s="1"/>
  <c r="P171" i="8" s="1"/>
  <c r="I68" i="10"/>
  <c r="M68" i="10" s="1"/>
  <c r="J68" i="10"/>
  <c r="I537" i="12"/>
  <c r="I330" i="12"/>
  <c r="I521" i="12"/>
  <c r="J31" i="10"/>
  <c r="I31" i="10"/>
  <c r="M31" i="10" s="1"/>
  <c r="I551" i="12"/>
  <c r="I479" i="12"/>
  <c r="I396" i="12"/>
  <c r="I445" i="12"/>
  <c r="J43" i="10"/>
  <c r="I43" i="10"/>
  <c r="M43" i="10" s="1"/>
  <c r="P258" i="8"/>
  <c r="I564" i="12"/>
  <c r="G77" i="10"/>
  <c r="K77" i="10" s="1"/>
  <c r="G78" i="10"/>
  <c r="K78" i="10" s="1"/>
  <c r="F146" i="10"/>
  <c r="F143" i="10"/>
  <c r="F145" i="10"/>
  <c r="I446" i="12"/>
  <c r="I275" i="12"/>
  <c r="I534" i="12"/>
  <c r="I273" i="12"/>
  <c r="H26" i="14"/>
  <c r="F21" i="15" s="1"/>
  <c r="C21" i="15"/>
  <c r="I26" i="14"/>
  <c r="G21" i="15" s="1"/>
  <c r="B21" i="15"/>
  <c r="A21" i="15"/>
  <c r="I508" i="12"/>
  <c r="I435" i="12"/>
  <c r="J72" i="10"/>
  <c r="I72" i="10"/>
  <c r="M72" i="10" s="1"/>
  <c r="I578" i="12"/>
  <c r="I1427" i="17"/>
  <c r="Q1427" i="17" s="1"/>
  <c r="J1427" i="9"/>
  <c r="L198" i="8" s="1"/>
  <c r="O198" i="8" s="1"/>
  <c r="I47" i="12"/>
  <c r="I495" i="12"/>
  <c r="Z163" i="10"/>
  <c r="N163" i="10"/>
  <c r="J41" i="10"/>
  <c r="I466" i="12"/>
  <c r="I570" i="12"/>
  <c r="I289" i="12"/>
  <c r="I607" i="12"/>
  <c r="I54" i="12"/>
  <c r="I97" i="12"/>
  <c r="I105" i="12"/>
  <c r="I102" i="12"/>
  <c r="I130" i="12"/>
  <c r="I91" i="12"/>
  <c r="I238" i="12"/>
  <c r="I142" i="12"/>
  <c r="I87" i="12"/>
  <c r="I161" i="12"/>
  <c r="I25" i="12"/>
  <c r="I341" i="12"/>
  <c r="I134" i="12"/>
  <c r="P23" i="8"/>
  <c r="I255" i="12"/>
  <c r="I350" i="12"/>
  <c r="P179" i="8"/>
  <c r="F114" i="10"/>
  <c r="F115" i="10"/>
  <c r="I374" i="12"/>
  <c r="I545" i="12"/>
  <c r="A369" i="12"/>
  <c r="P86" i="8"/>
  <c r="F10" i="10"/>
  <c r="I523" i="12"/>
  <c r="I1229" i="17"/>
  <c r="Q1229" i="17" s="1"/>
  <c r="J1229" i="9"/>
  <c r="L170" i="8" s="1"/>
  <c r="O170" i="8" s="1"/>
  <c r="P170" i="8" s="1"/>
  <c r="I148" i="12"/>
  <c r="I132" i="12"/>
  <c r="L16" i="8"/>
  <c r="O16" i="8" s="1"/>
  <c r="P16" i="8" s="1"/>
  <c r="I398" i="12"/>
  <c r="I447" i="12"/>
  <c r="Q194" i="17"/>
  <c r="P178" i="8"/>
  <c r="F113" i="10"/>
  <c r="I624" i="12"/>
  <c r="I332" i="12"/>
  <c r="P118" i="8"/>
  <c r="I183" i="10"/>
  <c r="M183" i="10" s="1"/>
  <c r="J183" i="10"/>
  <c r="I509" i="12"/>
  <c r="F106" i="10"/>
  <c r="F105" i="10"/>
  <c r="F97" i="10"/>
  <c r="J187" i="10"/>
  <c r="I187" i="10"/>
  <c r="M187" i="10" s="1"/>
  <c r="I324" i="12"/>
  <c r="I250" i="12"/>
  <c r="L2" i="8"/>
  <c r="O2" i="8" s="1"/>
  <c r="P2" i="8" s="1"/>
  <c r="I524" i="12"/>
  <c r="I183" i="12"/>
  <c r="I383" i="12"/>
  <c r="E20" i="15"/>
  <c r="J25" i="14"/>
  <c r="H20" i="15" s="1"/>
  <c r="I544" i="12"/>
  <c r="I252" i="12"/>
  <c r="I619" i="12"/>
  <c r="I1519" i="17"/>
  <c r="Q1519" i="17" s="1"/>
  <c r="J1519" i="9"/>
  <c r="N20" i="10"/>
  <c r="Z20" i="10"/>
  <c r="I414" i="12"/>
  <c r="I463" i="12"/>
  <c r="Z189" i="10"/>
  <c r="N189" i="10"/>
  <c r="I617" i="12"/>
  <c r="I547" i="12"/>
  <c r="I328" i="12"/>
  <c r="I405" i="12"/>
  <c r="I42" i="12"/>
  <c r="I39" i="12"/>
  <c r="I107" i="12"/>
  <c r="I147" i="12"/>
  <c r="I168" i="12"/>
  <c r="I78" i="12"/>
  <c r="I365" i="12"/>
  <c r="I309" i="12"/>
  <c r="I133" i="12"/>
  <c r="I198" i="12"/>
  <c r="I40" i="12"/>
  <c r="I434" i="12"/>
  <c r="I136" i="12"/>
  <c r="N166" i="10"/>
  <c r="Z166" i="10"/>
  <c r="J77" i="10"/>
  <c r="I631" i="12"/>
  <c r="I489" i="12"/>
  <c r="J90" i="10"/>
  <c r="I492" i="12"/>
  <c r="I156" i="12"/>
  <c r="J40" i="10"/>
  <c r="I188" i="10"/>
  <c r="M188" i="10" s="1"/>
  <c r="J188" i="10"/>
  <c r="I635" i="12"/>
  <c r="I1193" i="17"/>
  <c r="Q1193" i="17" s="1"/>
  <c r="J1193" i="9"/>
  <c r="L165" i="8" s="1"/>
  <c r="O165" i="8" s="1"/>
  <c r="P165" i="8" s="1"/>
  <c r="P184" i="8"/>
  <c r="F120" i="10"/>
  <c r="I331" i="12"/>
  <c r="J171" i="10"/>
  <c r="I171" i="10"/>
  <c r="M171" i="10" s="1"/>
  <c r="I315" i="12"/>
  <c r="I310" i="12"/>
  <c r="I348" i="12"/>
  <c r="L115" i="8"/>
  <c r="O115" i="8" s="1"/>
  <c r="P115" i="8" s="1"/>
  <c r="P214" i="8"/>
  <c r="F153" i="10"/>
  <c r="I482" i="12"/>
  <c r="I76" i="12"/>
  <c r="J168" i="10"/>
  <c r="I168" i="10"/>
  <c r="M168" i="10" s="1"/>
  <c r="I566" i="12"/>
  <c r="Q445" i="17"/>
  <c r="L158" i="8"/>
  <c r="O158" i="8" s="1"/>
  <c r="N175" i="10"/>
  <c r="Z175" i="10"/>
  <c r="J92" i="10"/>
  <c r="I92" i="10"/>
  <c r="M92" i="10" s="1"/>
  <c r="I68" i="12"/>
  <c r="I565" i="12"/>
  <c r="I417" i="12"/>
  <c r="E14" i="11"/>
  <c r="H14" i="11" s="1"/>
  <c r="I868" i="17"/>
  <c r="Q868" i="17" s="1"/>
  <c r="J868" i="9"/>
  <c r="L116" i="8" s="1"/>
  <c r="O116" i="8" s="1"/>
  <c r="I549" i="12"/>
  <c r="P245" i="8"/>
  <c r="F185" i="10"/>
  <c r="I305" i="17"/>
  <c r="Q305" i="17" s="1"/>
  <c r="J305" i="9"/>
  <c r="L32" i="8" s="1"/>
  <c r="O32" i="8" s="1"/>
  <c r="P32" i="8" s="1"/>
  <c r="I1548" i="17"/>
  <c r="Q1548" i="17" s="1"/>
  <c r="J1548" i="9"/>
  <c r="L208" i="8" s="1"/>
  <c r="O208" i="8" s="1"/>
  <c r="I85" i="17"/>
  <c r="Q85" i="17" s="1"/>
  <c r="J85" i="9"/>
  <c r="L9" i="8" s="1"/>
  <c r="O9" i="8" s="1"/>
  <c r="P9" i="8" s="1"/>
  <c r="I223" i="17"/>
  <c r="Q223" i="17" s="1"/>
  <c r="J223" i="9"/>
  <c r="L63" i="8" s="1"/>
  <c r="O63" i="8" s="1"/>
  <c r="P63" i="8" s="1"/>
  <c r="I1402" i="17"/>
  <c r="Q1402" i="17" s="1"/>
  <c r="J1402" i="9"/>
  <c r="L194" i="8" s="1"/>
  <c r="O194" i="8" s="1"/>
  <c r="I226" i="12"/>
  <c r="I1507" i="17"/>
  <c r="Q1507" i="17" s="1"/>
  <c r="J1507" i="9"/>
  <c r="L204" i="8" s="1"/>
  <c r="O204" i="8" s="1"/>
  <c r="I382" i="12"/>
  <c r="I609" i="12"/>
  <c r="J75" i="10"/>
  <c r="I75" i="10"/>
  <c r="M75" i="10" s="1"/>
  <c r="I228" i="12"/>
  <c r="I154" i="12"/>
  <c r="I271" i="12"/>
  <c r="I373" i="12"/>
  <c r="I33" i="12"/>
  <c r="I30" i="12"/>
  <c r="I98" i="12"/>
  <c r="I62" i="12"/>
  <c r="I211" i="12"/>
  <c r="I131" i="12"/>
  <c r="I430" i="12"/>
  <c r="I426" i="12"/>
  <c r="I230" i="12"/>
  <c r="I270" i="12"/>
  <c r="I101" i="12"/>
  <c r="I229" i="12"/>
  <c r="I203" i="12"/>
  <c r="Z196" i="10"/>
  <c r="O195" i="10"/>
  <c r="J78" i="10"/>
  <c r="I408" i="12"/>
  <c r="I457" i="12"/>
  <c r="L120" i="8"/>
  <c r="O120" i="8" s="1"/>
  <c r="H45" i="10" s="1"/>
  <c r="L45" i="10" s="1"/>
  <c r="I460" i="12"/>
  <c r="I522" i="12"/>
  <c r="J127" i="10"/>
  <c r="I127" i="10"/>
  <c r="M127" i="10" s="1"/>
  <c r="I589" i="12"/>
  <c r="I1201" i="17"/>
  <c r="Q1201" i="17" s="1"/>
  <c r="J1201" i="9"/>
  <c r="L166" i="8" s="1"/>
  <c r="O166" i="8" s="1"/>
  <c r="P166" i="8" s="1"/>
  <c r="F54" i="10"/>
  <c r="I507" i="12"/>
  <c r="Z176" i="10"/>
  <c r="N176" i="10"/>
  <c r="I354" i="12"/>
  <c r="I173" i="10"/>
  <c r="M173" i="10" s="1"/>
  <c r="J173" i="10"/>
  <c r="I484" i="12"/>
  <c r="I92" i="12"/>
  <c r="I450" i="12"/>
  <c r="I307" i="12"/>
  <c r="N180" i="10"/>
  <c r="Z180" i="10"/>
  <c r="I556" i="12"/>
  <c r="I215" i="12"/>
  <c r="J93" i="10"/>
  <c r="I93" i="10"/>
  <c r="M93" i="10" s="1"/>
  <c r="I251" i="12"/>
  <c r="Z211" i="10"/>
  <c r="N211" i="10"/>
  <c r="Z14" i="10"/>
  <c r="N14" i="10"/>
  <c r="I370" i="12"/>
  <c r="I385" i="12"/>
  <c r="E12" i="15"/>
  <c r="J17" i="14"/>
  <c r="H12" i="15" s="1"/>
  <c r="A20" i="15"/>
  <c r="C20" i="15"/>
  <c r="B20" i="15"/>
  <c r="I25" i="14"/>
  <c r="G20" i="15" s="1"/>
  <c r="H25" i="14"/>
  <c r="F20" i="15" s="1"/>
  <c r="I520" i="12"/>
  <c r="F157" i="10"/>
  <c r="P218" i="8"/>
  <c r="I440" i="12"/>
  <c r="J102" i="10"/>
  <c r="I102" i="10"/>
  <c r="M102" i="10" s="1"/>
  <c r="I345" i="12"/>
  <c r="I1580" i="17"/>
  <c r="Q1580" i="17" s="1"/>
  <c r="J1580" i="9"/>
  <c r="L212" i="8" s="1"/>
  <c r="O212" i="8" s="1"/>
  <c r="P212" i="8" s="1"/>
  <c r="Z8" i="10"/>
  <c r="N8" i="10"/>
  <c r="I512" i="12"/>
  <c r="I220" i="12"/>
  <c r="I546" i="12"/>
  <c r="L114" i="8"/>
  <c r="O114" i="8" s="1"/>
  <c r="P114" i="8" s="1"/>
  <c r="I641" i="12"/>
  <c r="I491" i="12"/>
  <c r="I85" i="12"/>
  <c r="I66" i="12"/>
  <c r="I103" i="12"/>
  <c r="I72" i="12"/>
  <c r="I69" i="12"/>
  <c r="I169" i="12"/>
  <c r="I193" i="12"/>
  <c r="I179" i="12"/>
  <c r="I232" i="12"/>
  <c r="I294" i="12"/>
  <c r="I120" i="12"/>
  <c r="I233" i="12"/>
  <c r="I205" i="12"/>
  <c r="I376" i="12"/>
  <c r="I561" i="12"/>
  <c r="I569" i="12"/>
  <c r="I362" i="12"/>
  <c r="P191" i="8"/>
  <c r="I640" i="12"/>
  <c r="I1152" i="17"/>
  <c r="Q1152" i="17" s="1"/>
  <c r="J1152" i="9"/>
  <c r="L159" i="8" s="1"/>
  <c r="O159" i="8" s="1"/>
  <c r="P159" i="8" s="1"/>
  <c r="I46" i="10"/>
  <c r="M46" i="10" s="1"/>
  <c r="J46" i="10"/>
  <c r="I628" i="12"/>
  <c r="N164" i="10"/>
  <c r="Z164" i="10"/>
  <c r="I612" i="12"/>
  <c r="I452" i="12"/>
  <c r="I323" i="12"/>
  <c r="L66" i="8"/>
  <c r="O66" i="8" s="1"/>
  <c r="P66" i="8" s="1"/>
  <c r="Z159" i="10"/>
  <c r="N159" i="10"/>
  <c r="I356" i="12"/>
  <c r="I282" i="12"/>
  <c r="I597" i="12"/>
  <c r="I421" i="12"/>
  <c r="Z33" i="10"/>
  <c r="N33" i="10"/>
  <c r="J134" i="10"/>
  <c r="I290" i="12"/>
  <c r="I111" i="12"/>
  <c r="I536" i="12"/>
  <c r="E50" i="11"/>
  <c r="G50" i="11" s="1"/>
  <c r="G39" i="11" l="1"/>
  <c r="G44" i="11" s="1"/>
  <c r="F3" i="11" s="1"/>
  <c r="O12" i="10"/>
  <c r="L69" i="8"/>
  <c r="O69" i="8" s="1"/>
  <c r="P69" i="8" s="1"/>
  <c r="L205" i="8"/>
  <c r="O205" i="8" s="1"/>
  <c r="I18" i="10"/>
  <c r="M18" i="10" s="1"/>
  <c r="L211" i="8"/>
  <c r="O211" i="8" s="1"/>
  <c r="P211" i="8" s="1"/>
  <c r="H499" i="12"/>
  <c r="H367" i="12"/>
  <c r="L199" i="8"/>
  <c r="O199" i="8" s="1"/>
  <c r="P199" i="8" s="1"/>
  <c r="I6" i="12"/>
  <c r="H13" i="12"/>
  <c r="L210" i="8"/>
  <c r="O210" i="8" s="1"/>
  <c r="P210" i="8" s="1"/>
  <c r="L203" i="8"/>
  <c r="O203" i="8" s="1"/>
  <c r="P203" i="8" s="1"/>
  <c r="I76" i="10"/>
  <c r="M76" i="10" s="1"/>
  <c r="Z76" i="10" s="1"/>
  <c r="P213" i="10"/>
  <c r="G366" i="12"/>
  <c r="G53" i="11"/>
  <c r="F4" i="11" s="1"/>
  <c r="I8" i="12"/>
  <c r="G509" i="12"/>
  <c r="A509" i="12" s="1"/>
  <c r="L65" i="8"/>
  <c r="O65" i="8" s="1"/>
  <c r="P65" i="8" s="1"/>
  <c r="P187" i="8"/>
  <c r="G506" i="12"/>
  <c r="A506" i="12" s="1"/>
  <c r="I9" i="12"/>
  <c r="L201" i="8"/>
  <c r="O201" i="8" s="1"/>
  <c r="P201" i="8" s="1"/>
  <c r="G505" i="12"/>
  <c r="A505" i="12" s="1"/>
  <c r="L207" i="8"/>
  <c r="O207" i="8" s="1"/>
  <c r="P207" i="8" s="1"/>
  <c r="G508" i="12"/>
  <c r="A508" i="12" s="1"/>
  <c r="G622" i="12"/>
  <c r="A622" i="12" s="1"/>
  <c r="I7" i="12"/>
  <c r="I11" i="12" s="1"/>
  <c r="I10" i="12"/>
  <c r="G510" i="12"/>
  <c r="A510" i="12" s="1"/>
  <c r="L206" i="8"/>
  <c r="O206" i="8" s="1"/>
  <c r="P206" i="8" s="1"/>
  <c r="L209" i="8"/>
  <c r="O209" i="8" s="1"/>
  <c r="P209" i="8" s="1"/>
  <c r="I37" i="10"/>
  <c r="M37" i="10" s="1"/>
  <c r="Z37" i="10" s="1"/>
  <c r="L200" i="8"/>
  <c r="O200" i="8" s="1"/>
  <c r="P200" i="8" s="1"/>
  <c r="L68" i="8"/>
  <c r="O68" i="8" s="1"/>
  <c r="P68" i="8" s="1"/>
  <c r="P177" i="8"/>
  <c r="P8" i="8"/>
  <c r="P30" i="8"/>
  <c r="O203" i="10"/>
  <c r="N207" i="10"/>
  <c r="Z207" i="10"/>
  <c r="P197" i="8"/>
  <c r="Z126" i="10"/>
  <c r="N126" i="10"/>
  <c r="H145" i="10"/>
  <c r="L145" i="10" s="1"/>
  <c r="H143" i="10"/>
  <c r="L143" i="10" s="1"/>
  <c r="H146" i="10"/>
  <c r="L146" i="10" s="1"/>
  <c r="P204" i="8"/>
  <c r="H64" i="10"/>
  <c r="L64" i="10" s="1"/>
  <c r="H69" i="10"/>
  <c r="L69" i="10" s="1"/>
  <c r="P14" i="8"/>
  <c r="H149" i="10"/>
  <c r="L149" i="10" s="1"/>
  <c r="H150" i="10"/>
  <c r="L150" i="10" s="1"/>
  <c r="H151" i="10"/>
  <c r="L151" i="10" s="1"/>
  <c r="H148" i="10"/>
  <c r="L148" i="10" s="1"/>
  <c r="H147" i="10"/>
  <c r="L147" i="10" s="1"/>
  <c r="P208" i="8"/>
  <c r="H134" i="10"/>
  <c r="P196" i="8"/>
  <c r="H144" i="10"/>
  <c r="L144" i="10" s="1"/>
  <c r="P205" i="8"/>
  <c r="H137" i="10"/>
  <c r="P198" i="8"/>
  <c r="H54" i="10"/>
  <c r="L54" i="10" s="1"/>
  <c r="P128" i="8"/>
  <c r="H65" i="10"/>
  <c r="P137" i="8"/>
  <c r="H132" i="10"/>
  <c r="P194" i="8"/>
  <c r="Z183" i="10"/>
  <c r="N183" i="10"/>
  <c r="J141" i="10"/>
  <c r="I103" i="10"/>
  <c r="M103" i="10" s="1"/>
  <c r="J103" i="10"/>
  <c r="Z174" i="10"/>
  <c r="N174" i="10"/>
  <c r="H106" i="10"/>
  <c r="L106" i="10" s="1"/>
  <c r="H105" i="10"/>
  <c r="L105" i="10" s="1"/>
  <c r="H97" i="10"/>
  <c r="L97" i="10" s="1"/>
  <c r="H44" i="10"/>
  <c r="P6" i="8"/>
  <c r="I6" i="10"/>
  <c r="M6" i="10" s="1"/>
  <c r="J6" i="10"/>
  <c r="P120" i="8"/>
  <c r="J154" i="10"/>
  <c r="I154" i="10"/>
  <c r="M154" i="10" s="1"/>
  <c r="Z127" i="10"/>
  <c r="N127" i="10"/>
  <c r="Z68" i="10"/>
  <c r="N68" i="10"/>
  <c r="J7" i="10"/>
  <c r="I7" i="10"/>
  <c r="M7" i="10" s="1"/>
  <c r="J138" i="10"/>
  <c r="J64" i="10"/>
  <c r="Z51" i="10"/>
  <c r="N51" i="10"/>
  <c r="Z47" i="10"/>
  <c r="N47" i="10"/>
  <c r="J55" i="10"/>
  <c r="I55" i="10"/>
  <c r="M55" i="10" s="1"/>
  <c r="N58" i="10"/>
  <c r="Z58" i="10"/>
  <c r="Z75" i="10"/>
  <c r="N75" i="10"/>
  <c r="H90" i="10"/>
  <c r="P158" i="8"/>
  <c r="I120" i="10"/>
  <c r="M120" i="10" s="1"/>
  <c r="J120" i="10"/>
  <c r="Z188" i="10"/>
  <c r="N188" i="10"/>
  <c r="Z43" i="10"/>
  <c r="N43" i="10"/>
  <c r="H98" i="10"/>
  <c r="L98" i="10" s="1"/>
  <c r="H91" i="10"/>
  <c r="L91" i="10" s="1"/>
  <c r="H99" i="10"/>
  <c r="L99" i="10" s="1"/>
  <c r="H96" i="10"/>
  <c r="L96" i="10" s="1"/>
  <c r="J9" i="14"/>
  <c r="H6" i="15"/>
  <c r="H4" i="15" s="1"/>
  <c r="J69" i="10"/>
  <c r="N18" i="10"/>
  <c r="Z18" i="10"/>
  <c r="N62" i="10"/>
  <c r="P61" i="10" s="1"/>
  <c r="O61" i="10"/>
  <c r="Z62" i="10"/>
  <c r="N52" i="10"/>
  <c r="Z52" i="10"/>
  <c r="Z121" i="10"/>
  <c r="N121" i="10"/>
  <c r="I129" i="10"/>
  <c r="M129" i="10" s="1"/>
  <c r="J129" i="10"/>
  <c r="N158" i="10"/>
  <c r="Z158" i="10"/>
  <c r="N46" i="10"/>
  <c r="Z46" i="10"/>
  <c r="J153" i="10"/>
  <c r="I153" i="10"/>
  <c r="M153" i="10" s="1"/>
  <c r="H101" i="10"/>
  <c r="P168" i="8"/>
  <c r="J113" i="10"/>
  <c r="I113" i="10"/>
  <c r="M113" i="10" s="1"/>
  <c r="N80" i="10"/>
  <c r="Z80" i="10"/>
  <c r="N25" i="10"/>
  <c r="Z25" i="10"/>
  <c r="N167" i="10"/>
  <c r="Z167" i="10"/>
  <c r="J144" i="10"/>
  <c r="I95" i="10"/>
  <c r="M95" i="10" s="1"/>
  <c r="J95" i="10"/>
  <c r="H114" i="10"/>
  <c r="L114" i="10" s="1"/>
  <c r="H115" i="10"/>
  <c r="L115" i="10" s="1"/>
  <c r="H133" i="10"/>
  <c r="P195" i="8"/>
  <c r="Z202" i="10"/>
  <c r="N202" i="10"/>
  <c r="N17" i="10"/>
  <c r="Z17" i="10"/>
  <c r="Z199" i="10"/>
  <c r="N199" i="10"/>
  <c r="O198" i="10"/>
  <c r="I11" i="10"/>
  <c r="M11" i="10" s="1"/>
  <c r="K11" i="10"/>
  <c r="K216" i="10" s="1"/>
  <c r="Z200" i="10"/>
  <c r="N200" i="10"/>
  <c r="J186" i="10"/>
  <c r="I186" i="10"/>
  <c r="M186" i="10" s="1"/>
  <c r="Z87" i="10"/>
  <c r="N87" i="10"/>
  <c r="J74" i="10"/>
  <c r="I74" i="10"/>
  <c r="M74" i="10" s="1"/>
  <c r="N48" i="10"/>
  <c r="Z48" i="10"/>
  <c r="Z19" i="10"/>
  <c r="N19" i="10"/>
  <c r="J115" i="10"/>
  <c r="I56" i="10"/>
  <c r="M56" i="10" s="1"/>
  <c r="J56" i="10"/>
  <c r="N82" i="10"/>
  <c r="Z82" i="10"/>
  <c r="J156" i="10"/>
  <c r="I156" i="10"/>
  <c r="M156" i="10" s="1"/>
  <c r="I123" i="10"/>
  <c r="M123" i="10" s="1"/>
  <c r="J123" i="10"/>
  <c r="Z86" i="10"/>
  <c r="N86" i="10"/>
  <c r="Z72" i="10"/>
  <c r="N72" i="10"/>
  <c r="P130" i="8"/>
  <c r="J39" i="10"/>
  <c r="I39" i="10"/>
  <c r="M39" i="10" s="1"/>
  <c r="J122" i="10"/>
  <c r="I122" i="10"/>
  <c r="M122" i="10" s="1"/>
  <c r="N5" i="10"/>
  <c r="Z5" i="10"/>
  <c r="H40" i="10"/>
  <c r="P5" i="8"/>
  <c r="J152" i="10"/>
  <c r="I152" i="10"/>
  <c r="M152" i="10" s="1"/>
  <c r="J91" i="10"/>
  <c r="Z92" i="10"/>
  <c r="N92" i="10"/>
  <c r="N187" i="10"/>
  <c r="Z187" i="10"/>
  <c r="J145" i="10"/>
  <c r="P4" i="8"/>
  <c r="J119" i="10"/>
  <c r="I119" i="10"/>
  <c r="M119" i="10" s="1"/>
  <c r="I135" i="10"/>
  <c r="M135" i="10" s="1"/>
  <c r="J135" i="10"/>
  <c r="H30" i="11"/>
  <c r="Z184" i="10"/>
  <c r="N184" i="10"/>
  <c r="H118" i="10"/>
  <c r="P24" i="8"/>
  <c r="Z210" i="10"/>
  <c r="N210" i="10"/>
  <c r="J98" i="10"/>
  <c r="Z102" i="10"/>
  <c r="N102" i="10"/>
  <c r="J114" i="10"/>
  <c r="Z171" i="10"/>
  <c r="N171" i="10"/>
  <c r="J143" i="10"/>
  <c r="N31" i="10"/>
  <c r="Z31" i="10"/>
  <c r="J151" i="10"/>
  <c r="J96" i="10"/>
  <c r="J97" i="10"/>
  <c r="Z209" i="10"/>
  <c r="N209" i="10"/>
  <c r="I81" i="10"/>
  <c r="M81" i="10" s="1"/>
  <c r="J81" i="10"/>
  <c r="J148" i="10"/>
  <c r="J9" i="10"/>
  <c r="I9" i="10"/>
  <c r="M9" i="10" s="1"/>
  <c r="N57" i="10"/>
  <c r="Z57" i="10"/>
  <c r="J99" i="10"/>
  <c r="J157" i="10"/>
  <c r="I157" i="10"/>
  <c r="M157" i="10" s="1"/>
  <c r="Z93" i="10"/>
  <c r="N93" i="10"/>
  <c r="J54" i="10"/>
  <c r="H41" i="10"/>
  <c r="P116" i="8"/>
  <c r="J105" i="10"/>
  <c r="J146" i="10"/>
  <c r="H77" i="10"/>
  <c r="H78" i="10"/>
  <c r="L78" i="10" s="1"/>
  <c r="P75" i="8"/>
  <c r="N21" i="10"/>
  <c r="Z21" i="10"/>
  <c r="P12" i="10"/>
  <c r="J42" i="10"/>
  <c r="I42" i="10"/>
  <c r="M42" i="10" s="1"/>
  <c r="J147" i="10"/>
  <c r="N208" i="10"/>
  <c r="Z208" i="10"/>
  <c r="P28" i="8"/>
  <c r="Z173" i="10"/>
  <c r="N173" i="10"/>
  <c r="J150" i="10"/>
  <c r="Z84" i="10"/>
  <c r="O83" i="10"/>
  <c r="N84" i="10"/>
  <c r="I59" i="10"/>
  <c r="M59" i="10" s="1"/>
  <c r="J59" i="10"/>
  <c r="J71" i="10"/>
  <c r="I71" i="10"/>
  <c r="M71" i="10" s="1"/>
  <c r="Z49" i="10"/>
  <c r="N49" i="10"/>
  <c r="Z125" i="10"/>
  <c r="N125" i="10"/>
  <c r="J139" i="10"/>
  <c r="J112" i="10"/>
  <c r="I112" i="10"/>
  <c r="M112" i="10" s="1"/>
  <c r="J155" i="10"/>
  <c r="I155" i="10"/>
  <c r="M155" i="10" s="1"/>
  <c r="I185" i="10"/>
  <c r="M185" i="10" s="1"/>
  <c r="J185" i="10"/>
  <c r="J140" i="10"/>
  <c r="N110" i="10"/>
  <c r="Z110" i="10"/>
  <c r="Z66" i="10"/>
  <c r="N66" i="10"/>
  <c r="J149" i="10"/>
  <c r="Z116" i="10"/>
  <c r="N116" i="10"/>
  <c r="Z94" i="10"/>
  <c r="N94" i="10"/>
  <c r="J106" i="10"/>
  <c r="N168" i="10"/>
  <c r="Z168" i="10"/>
  <c r="J10" i="10"/>
  <c r="I10" i="10"/>
  <c r="M10" i="10" s="1"/>
  <c r="H73" i="10"/>
  <c r="P144" i="8"/>
  <c r="J128" i="10"/>
  <c r="I128" i="10"/>
  <c r="M128" i="10" s="1"/>
  <c r="J142" i="10"/>
  <c r="Z23" i="10"/>
  <c r="N23" i="10"/>
  <c r="N178" i="10"/>
  <c r="Z178" i="10"/>
  <c r="N32" i="10"/>
  <c r="Z32" i="10"/>
  <c r="I45" i="10"/>
  <c r="M45" i="10" s="1"/>
  <c r="J45" i="10"/>
  <c r="Z107" i="10"/>
  <c r="N107" i="10"/>
  <c r="H139" i="10" l="1"/>
  <c r="L139" i="10" s="1"/>
  <c r="H138" i="10"/>
  <c r="L138" i="10" s="1"/>
  <c r="H141" i="10"/>
  <c r="L141" i="10" s="1"/>
  <c r="H140" i="10"/>
  <c r="L140" i="10" s="1"/>
  <c r="H142" i="10"/>
  <c r="L142" i="10" s="1"/>
  <c r="N76" i="10"/>
  <c r="N37" i="10"/>
  <c r="O16" i="10"/>
  <c r="H500" i="12"/>
  <c r="G644" i="12"/>
  <c r="I147" i="10"/>
  <c r="M147" i="10" s="1"/>
  <c r="Z147" i="10" s="1"/>
  <c r="I151" i="10"/>
  <c r="M151" i="10" s="1"/>
  <c r="N151" i="10" s="1"/>
  <c r="I69" i="10"/>
  <c r="M69" i="10" s="1"/>
  <c r="Z69" i="10" s="1"/>
  <c r="P203" i="10"/>
  <c r="I64" i="10"/>
  <c r="M64" i="10" s="1"/>
  <c r="Z64" i="10" s="1"/>
  <c r="P83" i="10"/>
  <c r="P198" i="10"/>
  <c r="I54" i="10"/>
  <c r="M54" i="10" s="1"/>
  <c r="Z54" i="10" s="1"/>
  <c r="I99" i="10"/>
  <c r="M99" i="10" s="1"/>
  <c r="N99" i="10" s="1"/>
  <c r="I146" i="10"/>
  <c r="M146" i="10" s="1"/>
  <c r="N146" i="10" s="1"/>
  <c r="J216" i="10"/>
  <c r="I97" i="10"/>
  <c r="M97" i="10" s="1"/>
  <c r="Z97" i="10" s="1"/>
  <c r="I145" i="10"/>
  <c r="M145" i="10" s="1"/>
  <c r="N145" i="10" s="1"/>
  <c r="I96" i="10"/>
  <c r="M96" i="10" s="1"/>
  <c r="Z96" i="10" s="1"/>
  <c r="I105" i="10"/>
  <c r="M105" i="10" s="1"/>
  <c r="N105" i="10" s="1"/>
  <c r="I106" i="10"/>
  <c r="M106" i="10" s="1"/>
  <c r="Z106" i="10" s="1"/>
  <c r="I150" i="10"/>
  <c r="M150" i="10" s="1"/>
  <c r="L77" i="10"/>
  <c r="I77" i="10"/>
  <c r="M77" i="10" s="1"/>
  <c r="I144" i="10"/>
  <c r="M144" i="10" s="1"/>
  <c r="Z59" i="10"/>
  <c r="N59" i="10"/>
  <c r="Z122" i="10"/>
  <c r="N122" i="10"/>
  <c r="Z56" i="10"/>
  <c r="N56" i="10"/>
  <c r="N11" i="10"/>
  <c r="Z11" i="10"/>
  <c r="Z103" i="10"/>
  <c r="N103" i="10"/>
  <c r="L134" i="10"/>
  <c r="I134" i="10"/>
  <c r="M134" i="10" s="1"/>
  <c r="L90" i="10"/>
  <c r="I90" i="10"/>
  <c r="M90" i="10" s="1"/>
  <c r="I139" i="10"/>
  <c r="M139" i="10" s="1"/>
  <c r="I149" i="10"/>
  <c r="M149" i="10" s="1"/>
  <c r="N9" i="10"/>
  <c r="Z9" i="10"/>
  <c r="I98" i="10"/>
  <c r="M98" i="10" s="1"/>
  <c r="I115" i="10"/>
  <c r="M115" i="10" s="1"/>
  <c r="Z185" i="10"/>
  <c r="N185" i="10"/>
  <c r="O170" i="10"/>
  <c r="N39" i="10"/>
  <c r="Z39" i="10"/>
  <c r="Z156" i="10"/>
  <c r="N156" i="10"/>
  <c r="L132" i="10"/>
  <c r="I132" i="10"/>
  <c r="M132" i="10" s="1"/>
  <c r="N10" i="10"/>
  <c r="Z10" i="10"/>
  <c r="I143" i="10"/>
  <c r="M143" i="10" s="1"/>
  <c r="I91" i="10"/>
  <c r="M91" i="10" s="1"/>
  <c r="N74" i="10"/>
  <c r="Z74" i="10"/>
  <c r="N6" i="10"/>
  <c r="Z6" i="10"/>
  <c r="Z157" i="10"/>
  <c r="N157" i="10"/>
  <c r="N186" i="10"/>
  <c r="Z186" i="10"/>
  <c r="N112" i="10"/>
  <c r="Z112" i="10"/>
  <c r="I148" i="10"/>
  <c r="M148" i="10" s="1"/>
  <c r="Z55" i="10"/>
  <c r="N55" i="10"/>
  <c r="L41" i="10"/>
  <c r="I41" i="10"/>
  <c r="M41" i="10" s="1"/>
  <c r="L65" i="10"/>
  <c r="I65" i="10"/>
  <c r="M65" i="10" s="1"/>
  <c r="N154" i="10"/>
  <c r="Z154" i="10"/>
  <c r="L73" i="10"/>
  <c r="I73" i="10"/>
  <c r="M73" i="10" s="1"/>
  <c r="N71" i="10"/>
  <c r="Z71" i="10"/>
  <c r="Z81" i="10"/>
  <c r="N81" i="10"/>
  <c r="P79" i="10" s="1"/>
  <c r="P16" i="10"/>
  <c r="O79" i="10"/>
  <c r="N42" i="10"/>
  <c r="Z42" i="10"/>
  <c r="C33" i="11"/>
  <c r="N152" i="10"/>
  <c r="Z152" i="10"/>
  <c r="Z113" i="10"/>
  <c r="N113" i="10"/>
  <c r="L44" i="10"/>
  <c r="I44" i="10"/>
  <c r="M44" i="10" s="1"/>
  <c r="L40" i="10"/>
  <c r="I40" i="10"/>
  <c r="M40" i="10" s="1"/>
  <c r="N155" i="10"/>
  <c r="Z155" i="10"/>
  <c r="Z95" i="10"/>
  <c r="N95" i="10"/>
  <c r="N128" i="10"/>
  <c r="Z128" i="10"/>
  <c r="L118" i="10"/>
  <c r="I118" i="10"/>
  <c r="M118" i="10" s="1"/>
  <c r="I78" i="10"/>
  <c r="M78" i="10" s="1"/>
  <c r="N129" i="10"/>
  <c r="Z129" i="10"/>
  <c r="N45" i="10"/>
  <c r="Z45" i="10"/>
  <c r="Z135" i="10"/>
  <c r="N135" i="10"/>
  <c r="Z123" i="10"/>
  <c r="N123" i="10"/>
  <c r="L133" i="10"/>
  <c r="I133" i="10"/>
  <c r="M133" i="10" s="1"/>
  <c r="L101" i="10"/>
  <c r="I101" i="10"/>
  <c r="M101" i="10" s="1"/>
  <c r="N153" i="10"/>
  <c r="Z153" i="10"/>
  <c r="Z120" i="10"/>
  <c r="N120" i="10"/>
  <c r="L137" i="10"/>
  <c r="I137" i="10"/>
  <c r="M137" i="10" s="1"/>
  <c r="N119" i="10"/>
  <c r="Z119" i="10"/>
  <c r="I114" i="10"/>
  <c r="M114" i="10" s="1"/>
  <c r="O4" i="10"/>
  <c r="N7" i="10"/>
  <c r="Z7" i="10"/>
  <c r="I140" i="10" l="1"/>
  <c r="M140" i="10" s="1"/>
  <c r="I141" i="10"/>
  <c r="M141" i="10" s="1"/>
  <c r="I138" i="10"/>
  <c r="M138" i="10" s="1"/>
  <c r="O63" i="10"/>
  <c r="I142" i="10"/>
  <c r="M142" i="10" s="1"/>
  <c r="Z151" i="10"/>
  <c r="N64" i="10"/>
  <c r="O53" i="10"/>
  <c r="N147" i="10"/>
  <c r="N69" i="10"/>
  <c r="Z99" i="10"/>
  <c r="O70" i="10"/>
  <c r="N106" i="10"/>
  <c r="P104" i="10" s="1"/>
  <c r="Z146" i="10"/>
  <c r="N97" i="10"/>
  <c r="Z105" i="10"/>
  <c r="Z145" i="10"/>
  <c r="N54" i="10"/>
  <c r="P53" i="10" s="1"/>
  <c r="O104" i="10"/>
  <c r="O109" i="10"/>
  <c r="P170" i="10"/>
  <c r="N96" i="10"/>
  <c r="P4" i="10"/>
  <c r="F33" i="11"/>
  <c r="G33" i="11"/>
  <c r="G34" i="11" s="1"/>
  <c r="N137" i="10"/>
  <c r="O136" i="10"/>
  <c r="Z137" i="10"/>
  <c r="N149" i="10"/>
  <c r="Z149" i="10"/>
  <c r="N138" i="10"/>
  <c r="Z138" i="10"/>
  <c r="O131" i="10"/>
  <c r="Z132" i="10"/>
  <c r="N132" i="10"/>
  <c r="Z73" i="10"/>
  <c r="N73" i="10"/>
  <c r="N142" i="10"/>
  <c r="Z142" i="10"/>
  <c r="Z141" i="10"/>
  <c r="N141" i="10"/>
  <c r="Z90" i="10"/>
  <c r="N90" i="10"/>
  <c r="O88" i="10"/>
  <c r="N40" i="10"/>
  <c r="Z40" i="10"/>
  <c r="M216" i="10"/>
  <c r="Z216" i="10" s="1"/>
  <c r="Z217" i="10" s="1"/>
  <c r="Z44" i="10"/>
  <c r="N44" i="10"/>
  <c r="Z65" i="10"/>
  <c r="N65" i="10"/>
  <c r="Z41" i="10"/>
  <c r="N41" i="10"/>
  <c r="Z143" i="10"/>
  <c r="N143" i="10"/>
  <c r="N98" i="10"/>
  <c r="Z98" i="10"/>
  <c r="N148" i="10"/>
  <c r="Z148" i="10"/>
  <c r="Z133" i="10"/>
  <c r="N133" i="10"/>
  <c r="N139" i="10"/>
  <c r="Z139" i="10"/>
  <c r="Z144" i="10"/>
  <c r="N144" i="10"/>
  <c r="Z140" i="10"/>
  <c r="N140" i="10"/>
  <c r="O38" i="10"/>
  <c r="L216" i="10"/>
  <c r="Z134" i="10"/>
  <c r="N134" i="10"/>
  <c r="Z101" i="10"/>
  <c r="N101" i="10"/>
  <c r="P100" i="10" s="1"/>
  <c r="O100" i="10"/>
  <c r="Z91" i="10"/>
  <c r="N91" i="10"/>
  <c r="N77" i="10"/>
  <c r="Z77" i="10"/>
  <c r="N78" i="10"/>
  <c r="Z78" i="10"/>
  <c r="Z114" i="10"/>
  <c r="N114" i="10"/>
  <c r="Z118" i="10"/>
  <c r="N118" i="10"/>
  <c r="P117" i="10" s="1"/>
  <c r="O117" i="10"/>
  <c r="N115" i="10"/>
  <c r="Z115" i="10"/>
  <c r="N150" i="10"/>
  <c r="Z150" i="10"/>
  <c r="P63" i="10" l="1"/>
  <c r="O216" i="10"/>
  <c r="P109" i="10"/>
  <c r="N216" i="10"/>
  <c r="P70" i="10"/>
  <c r="P136" i="10"/>
  <c r="F5" i="11"/>
  <c r="F6" i="11" s="1"/>
  <c r="F2" i="11"/>
  <c r="P88" i="10"/>
  <c r="P38" i="10"/>
  <c r="P131" i="10"/>
  <c r="P216" i="10" l="1"/>
  <c r="J706" i="17"/>
  <c r="J703" i="17"/>
  <c r="J704" i="17"/>
  <c r="J707" i="17"/>
  <c r="J705" i="17"/>
  <c r="J70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Multiplicador de costo de MO. Rango típico: 1.0 (normal) a 1.5 (alta dificultad). Valores fuera de rango se resaltan en amarillo.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B00-000001000000}">
      <text>
        <r>
          <rPr>
            <sz val="11"/>
            <color theme="1"/>
            <rFont val="Calibri"/>
            <family val="2"/>
            <charset val="1"/>
          </rPr>
          <t>Selecciona un rubro de PPTO_GENERADOR.
"(TODOS)" suma todas las partidas del presupuesto.
Lista alimentada desde _PLAN_LISTAS (regenerable).</t>
        </r>
      </text>
    </comment>
    <comment ref="C5" authorId="0" shapeId="0" xr:uid="{00000000-0006-0000-0B00-000002000000}">
      <text>
        <r>
          <rPr>
            <sz val="11"/>
            <color theme="1"/>
            <rFont val="Calibri"/>
            <family val="2"/>
            <charset val="1"/>
          </rPr>
          <t>Factor multiplicador de las cantidades de obra.
100% = ejecución total del rubro.
50% = mitad. Útil para simular avances parciales o planificar lotes de compra.</t>
        </r>
      </text>
    </comment>
  </commentList>
</comments>
</file>

<file path=xl/sharedStrings.xml><?xml version="1.0" encoding="utf-8"?>
<sst xmlns="http://schemas.openxmlformats.org/spreadsheetml/2006/main" count="15616" uniqueCount="3072">
  <si>
    <t>PRESUPUESTO GDR 3760 — GENERADOR</t>
  </si>
  <si>
    <t>Versión APU:</t>
  </si>
  <si>
    <t>Mes base CAC:</t>
  </si>
  <si>
    <t>Coeficinte GGBB</t>
  </si>
  <si>
    <t>#</t>
  </si>
  <si>
    <t>Rubro</t>
  </si>
  <si>
    <t>Descripción</t>
  </si>
  <si>
    <t>Ud.</t>
  </si>
  <si>
    <t>Cant.</t>
  </si>
  <si>
    <t>MAT/ud</t>
  </si>
  <si>
    <t>MO/ud</t>
  </si>
  <si>
    <t>EQ/ud</t>
  </si>
  <si>
    <t>CD/ud</t>
  </si>
  <si>
    <t>MAT total</t>
  </si>
  <si>
    <t>MO total</t>
  </si>
  <si>
    <t>EQ total</t>
  </si>
  <si>
    <t>Costo Total</t>
  </si>
  <si>
    <t>Precio Venta (xK)</t>
  </si>
  <si>
    <t>APU Link</t>
  </si>
  <si>
    <t>Pto#</t>
  </si>
  <si>
    <t>Fuente</t>
  </si>
  <si>
    <t>Observaciones</t>
  </si>
  <si>
    <t>PPTO original</t>
  </si>
  <si>
    <t>Topógrafo - Visita de obra replanteo</t>
  </si>
  <si>
    <t>gl</t>
  </si>
  <si>
    <t>PTO-0102</t>
  </si>
  <si>
    <t>PRESUPUESTO</t>
  </si>
  <si>
    <t xml:space="preserve">Cerco de obra perimetral - En chapa C25 + Concertina + Porton corredizo </t>
  </si>
  <si>
    <t>ml</t>
  </si>
  <si>
    <t>PTO-0104</t>
  </si>
  <si>
    <t>Obrador, pañol y ducha.</t>
  </si>
  <si>
    <t>PTO-0105</t>
  </si>
  <si>
    <t>Alquiler de baños quimicos y duchas portatiles</t>
  </si>
  <si>
    <t>mes</t>
  </si>
  <si>
    <t>PTO-0106</t>
  </si>
  <si>
    <t>Conexión pilar y luz de obra + Tablero de obra</t>
  </si>
  <si>
    <t>PTO-0107</t>
  </si>
  <si>
    <t>Conexión agua de obra, tanque + bomba</t>
  </si>
  <si>
    <t>PTO-0108</t>
  </si>
  <si>
    <t>Tramite luz de obra, certificado luz de obra (2) y medición PAT</t>
  </si>
  <si>
    <t>PTO-0109</t>
  </si>
  <si>
    <t>error fórmula en PPTO Original</t>
  </si>
  <si>
    <t>Excavación a maquina para submuración, subsuelo y fundaciones</t>
  </si>
  <si>
    <t>m3</t>
  </si>
  <si>
    <t>PTO-0201</t>
  </si>
  <si>
    <t>Perfilado manual de bases. Relleno y compactación de pozos</t>
  </si>
  <si>
    <t>PTO-0202</t>
  </si>
  <si>
    <t>Excavación manual para vigas de fundación</t>
  </si>
  <si>
    <t>PTO-0203</t>
  </si>
  <si>
    <t>Estructura</t>
  </si>
  <si>
    <t>Hormigón de limpieza - e: 10 cm</t>
  </si>
  <si>
    <t>PTO-0301</t>
  </si>
  <si>
    <t>Pilotes de tracción Ø 20 cm - (120 kg/m3 de hierro)</t>
  </si>
  <si>
    <t>u</t>
  </si>
  <si>
    <t>PTO-0302</t>
  </si>
  <si>
    <t>Tabique submuración - H35 (95 kg/m3 de hierro)</t>
  </si>
  <si>
    <t>PTO-0303</t>
  </si>
  <si>
    <t>Zapata corrida tabique - H35 (120 kg/m3 de hierro)</t>
  </si>
  <si>
    <t>PTO-0304</t>
  </si>
  <si>
    <t>Platea - H35 (95 kg/m3 de hierro)</t>
  </si>
  <si>
    <t>PTO-0305</t>
  </si>
  <si>
    <t>Bases aisladas - (60 kg/m3 de hierro)</t>
  </si>
  <si>
    <t>PTO-0306</t>
  </si>
  <si>
    <t>Troncos de columnas - H35 (240 kg/m3 de hierro)</t>
  </si>
  <si>
    <t>PTO-0307</t>
  </si>
  <si>
    <t>Viga de encadenado - H35 (180 kg/m3 de hierro)</t>
  </si>
  <si>
    <t>PTO-0308</t>
  </si>
  <si>
    <t>Losa maciza - H35 (100 kg/m3 de hierro)</t>
  </si>
  <si>
    <t>PTO-0309</t>
  </si>
  <si>
    <t>Losa maciza de Hº visto - H35 (100 kg/m3 de hierro)</t>
  </si>
  <si>
    <t>PTO-0310</t>
  </si>
  <si>
    <t>Vigas - H35 (180 kg/m3 de hierro)</t>
  </si>
  <si>
    <t>PTO-0311</t>
  </si>
  <si>
    <t>Vigas de H° visto - H35 (180 kg/m3 de hierro)</t>
  </si>
  <si>
    <t>PTO-0312</t>
  </si>
  <si>
    <t>Tabiques - H35 (100 kg/m3 de hierro)</t>
  </si>
  <si>
    <t>PTO-0313</t>
  </si>
  <si>
    <t>Columna - H35 (180 Kg/m3 de hierro)</t>
  </si>
  <si>
    <t>PTO-0314</t>
  </si>
  <si>
    <t>Columna vista- H35 (180 Kg/m3 de hierro)</t>
  </si>
  <si>
    <t>PTO-0316</t>
  </si>
  <si>
    <t>Escaleras de Hº visto - H35 (105 kg/m3 de hierro)</t>
  </si>
  <si>
    <t>PTO-0317</t>
  </si>
  <si>
    <t>Tanques de HºAº - H35 (100 kg/m3 de hierro) - Tanque de reserva</t>
  </si>
  <si>
    <t>PTO-0318</t>
  </si>
  <si>
    <t>Sistema de apuntalamiento y reapuntalamiento</t>
  </si>
  <si>
    <t>PTO-0319</t>
  </si>
  <si>
    <t>Ensayos de hormigon por etapas de hormigonado</t>
  </si>
  <si>
    <t>PTO-0320</t>
  </si>
  <si>
    <t>Permiso de estacionamiento de bomba de hormigón a contramano</t>
  </si>
  <si>
    <t>PTO-0321</t>
  </si>
  <si>
    <t>Picado de medianeras para columnas y vigas - Cotizado para PB y 1P</t>
  </si>
  <si>
    <t>m2</t>
  </si>
  <si>
    <t>PTO-0322</t>
  </si>
  <si>
    <t>MAMPOSTERÍA</t>
  </si>
  <si>
    <t>Muro tipo 1 - Ladrillo hueco 8 x 18 x 33</t>
  </si>
  <si>
    <t>ALB-034</t>
  </si>
  <si>
    <t>APU</t>
  </si>
  <si>
    <t>Muro tipo 2 - Ladrillo hueco 12 x 18 x 33</t>
  </si>
  <si>
    <t>ALB-035</t>
  </si>
  <si>
    <t>Muro tipo 3 - Ladrillo comun en panderete</t>
  </si>
  <si>
    <t>PTO-0403</t>
  </si>
  <si>
    <t>Muro tipo 4 - Ladrillo hueco portante 12 x 18 x 33</t>
  </si>
  <si>
    <t>ALB-038</t>
  </si>
  <si>
    <t>Muro tipo 5 - Bloque HCCA e: 7,5 cm</t>
  </si>
  <si>
    <t>PTO-0405</t>
  </si>
  <si>
    <t>Muro tipo 6 - Ladrillo hueco 18 x 18 x 33</t>
  </si>
  <si>
    <t>ALB-036</t>
  </si>
  <si>
    <t>Enchape de medianeras existentes - Contemplamos picado zonas sueltas y enchape con ladrillo comun para PB</t>
  </si>
  <si>
    <t>PTO-0407</t>
  </si>
  <si>
    <t>Cordón de hormigón en umbrales carpinterías</t>
  </si>
  <si>
    <t>PTO-0408</t>
  </si>
  <si>
    <t>Banquina Sala tanque de bombeo</t>
  </si>
  <si>
    <t>PTO-0409</t>
  </si>
  <si>
    <t>Banquina en parrillas</t>
  </si>
  <si>
    <t>PTO-0410</t>
  </si>
  <si>
    <t>Excavación y amurado con Hº tanque de recuperación de agua de lluvia</t>
  </si>
  <si>
    <t>PTO-0411</t>
  </si>
  <si>
    <t>Provisión y amurado de tapas de inspección para tanque de reserva</t>
  </si>
  <si>
    <t>PTO-0412</t>
  </si>
  <si>
    <t>Vigas de encadenado - Cuantía aprox. 60 kg/m3</t>
  </si>
  <si>
    <t>PTO-0413</t>
  </si>
  <si>
    <t>Amurado de bañera</t>
  </si>
  <si>
    <t>PTO-0414</t>
  </si>
  <si>
    <t>Cajón hidrofugo</t>
  </si>
  <si>
    <t>PTO-0501</t>
  </si>
  <si>
    <t>Aislación hidrófuga horizontal (baños) - Inc. membrana geotextil y 35% en concepto de babetas</t>
  </si>
  <si>
    <t>PTO-0502</t>
  </si>
  <si>
    <t>Azotado hidrófugo - Contrapiso de PB</t>
  </si>
  <si>
    <t>PTO-0503</t>
  </si>
  <si>
    <t>Aislación térmica en terrazas, eps e:2,00 cm</t>
  </si>
  <si>
    <t>PTO-0504</t>
  </si>
  <si>
    <t>Barrera de vapor</t>
  </si>
  <si>
    <t>PIN-113</t>
  </si>
  <si>
    <t>Membrana asfáltica geotextil 4mm - Balcones y azotea - Inc. 20% en concepto de babetas</t>
  </si>
  <si>
    <t>PTO-0506</t>
  </si>
  <si>
    <t>Impermeabilización de tanque de reserva de HºAº</t>
  </si>
  <si>
    <t>PTO-0507</t>
  </si>
  <si>
    <t>CUBIERTAS</t>
  </si>
  <si>
    <t>Babeta de chapa galvanizada en medianeras</t>
  </si>
  <si>
    <t>PTO-0602</t>
  </si>
  <si>
    <t>REVOQUES</t>
  </si>
  <si>
    <t>Revoque Grueso Impermeable Exterior</t>
  </si>
  <si>
    <t>ALB-044</t>
  </si>
  <si>
    <t>Revoque Grueso Impermeable Exterior a mas de 3m - Medianero y fachadas</t>
  </si>
  <si>
    <t>PTO-0702</t>
  </si>
  <si>
    <t>Yeso interior</t>
  </si>
  <si>
    <t>PTO-0703</t>
  </si>
  <si>
    <t>Arista en yeso</t>
  </si>
  <si>
    <t>PTO-0704</t>
  </si>
  <si>
    <t>Provisión y colocación de guardacanto yesero</t>
  </si>
  <si>
    <t>un</t>
  </si>
  <si>
    <t>PTO-0705</t>
  </si>
  <si>
    <t>Revoque Grueso Impermeable Interior b/ revestimiento</t>
  </si>
  <si>
    <t>CONTRAPISOS Y CARPETAS</t>
  </si>
  <si>
    <t>Contrapiso de Hº armado e: 18 cm, incluye malla Ø 6 mm y film 200 mic.</t>
  </si>
  <si>
    <t>PTO-0801</t>
  </si>
  <si>
    <t>Contrapiso de H13 subase bajo intertrabado y garden block</t>
  </si>
  <si>
    <t>PTO-0802</t>
  </si>
  <si>
    <t>Monolítico e: 6 cm</t>
  </si>
  <si>
    <t>PTO-0803</t>
  </si>
  <si>
    <t>Contrapiso alivianado en azoteas (RDC), e: 15 cm</t>
  </si>
  <si>
    <t>PTO-0804</t>
  </si>
  <si>
    <t>Contrapiso con piedra binder e: 4/5 cm - En locales húmedos (baños)</t>
  </si>
  <si>
    <t>PTO-0805</t>
  </si>
  <si>
    <t>Carpeta autonivelante e: 4/10 mm - En locales húmedos (baños)</t>
  </si>
  <si>
    <t>PTO-0806</t>
  </si>
  <si>
    <t>Carpeta a la cal reforzada</t>
  </si>
  <si>
    <t>ALB-136</t>
  </si>
  <si>
    <t>Carpeta a la cal reforzada s/membrana</t>
  </si>
  <si>
    <t>ESCALERAS</t>
  </si>
  <si>
    <t>Provisión y ejecución de cemento alisado arrodillado, e: 3,00 cm, en alzada y pedad</t>
  </si>
  <si>
    <t>PTO-0901</t>
  </si>
  <si>
    <t>Provisión nariz escalera, hierro angulo 5/8 x 1/8"</t>
  </si>
  <si>
    <t>PTO-0902</t>
  </si>
  <si>
    <t>Ejecución de zócalo rampante de concreto h: 10 cm</t>
  </si>
  <si>
    <t>PTO-0903</t>
  </si>
  <si>
    <t>Montaje de conductos de ventilación de baños C27 - Provisión a cargo del comitente</t>
  </si>
  <si>
    <t>PTO-1001</t>
  </si>
  <si>
    <t>Montaje de conductos de ventilación de parrillas C27 - Provisión a cargo del comitente</t>
  </si>
  <si>
    <t>PTO-1002</t>
  </si>
  <si>
    <t>Montaje de campanas de parrillas C22 - Provisión a cargo del comitente</t>
  </si>
  <si>
    <t>PTO-1003</t>
  </si>
  <si>
    <t>Montaje de sombreretes en chapa prepintada C25 - Provisión a cargo del comitente</t>
  </si>
  <si>
    <t>PTO-1004</t>
  </si>
  <si>
    <t>Provisión y ejecución de alisado de cemento a la llana metálica, e: 6,00 cm</t>
  </si>
  <si>
    <t>PTO-1101</t>
  </si>
  <si>
    <t>Provisión y ejecución de cemento alisado arrodillado, e: 3,00 cm</t>
  </si>
  <si>
    <t>PTO-1102</t>
  </si>
  <si>
    <t>Colocación de porcelanato a definir en sspacios comunes - Provisión a cargo del comitente</t>
  </si>
  <si>
    <t>COL-056</t>
  </si>
  <si>
    <t>Colocación de pavimento intertrabado de H°, incluye provisión y colocación de cama de arena + tomado de junta - Provisión a cargo del comitente</t>
  </si>
  <si>
    <t>PTO-1104</t>
  </si>
  <si>
    <t>Colocación de garden block, incluye provisión y colocación de cama de arena + tomado de junta - Provisión a cargo del comitente</t>
  </si>
  <si>
    <t>Provisión y colocación de relleno de piedra binder</t>
  </si>
  <si>
    <t>PTO-1106</t>
  </si>
  <si>
    <t>Colocación de baldoson granítico vereda 40 x 40 - Provisión a cargo del comitente</t>
  </si>
  <si>
    <t>PTO-1107</t>
  </si>
  <si>
    <t>Colocación de porcelanato a definir Interior UF - Provisión a cargo del comitente</t>
  </si>
  <si>
    <t>Colocación de porcelanato a definir Baños - Provisión a cargo del comitente</t>
  </si>
  <si>
    <t>COL-057</t>
  </si>
  <si>
    <t>Colocación de porcelanato a definir Balcones - Provisión a cargo del comitente</t>
  </si>
  <si>
    <t>Colocación de porcelanato a definir Palier - Provisión a cargo del comitente</t>
  </si>
  <si>
    <t>Ejecución de zócalo de concreto h: 10 cm</t>
  </si>
  <si>
    <t>PTO-1201</t>
  </si>
  <si>
    <t>Provisión y colocación de zócalo de MDF prepintado color bco. h: 7cm</t>
  </si>
  <si>
    <t>PTO-1202</t>
  </si>
  <si>
    <t>en el PPTO hay un producto con 2 precios diferentes.</t>
  </si>
  <si>
    <t>Colocación de zócalo de porcelanato - Provisión a cargo del comitente</t>
  </si>
  <si>
    <t>COL-058</t>
  </si>
  <si>
    <t>Colocación de porcelanato en baños - Provisión a cargo del comitente</t>
  </si>
  <si>
    <t>Colocación de revestimiento en cocinas - Provisión a cargo del comitente</t>
  </si>
  <si>
    <t>Colocación de listones refractarios en parrillas - Provisión a cargo del comitente</t>
  </si>
  <si>
    <t>PTO-1303</t>
  </si>
  <si>
    <t>Revestimiento Simil madera - Cotizado en provisiones</t>
  </si>
  <si>
    <t>PTO-1304</t>
  </si>
  <si>
    <t>Aplicado de yeso</t>
  </si>
  <si>
    <t>PTO-1401</t>
  </si>
  <si>
    <t>Buña en yeso aplicado</t>
  </si>
  <si>
    <t>PTO-1402</t>
  </si>
  <si>
    <t>Cielorraso suspendido en placa STD</t>
  </si>
  <si>
    <t>PTO-1403</t>
  </si>
  <si>
    <t>Cielorraso suspendido en placa RH</t>
  </si>
  <si>
    <t>PTO-1404</t>
  </si>
  <si>
    <t>Buña Z en cielorraso suspendido</t>
  </si>
  <si>
    <t>PTO-1405</t>
  </si>
  <si>
    <t>Cantonera / Cajón</t>
  </si>
  <si>
    <t>Hormigon visto, maquillaje</t>
  </si>
  <si>
    <t>PTO-1407</t>
  </si>
  <si>
    <t>PINTURA</t>
  </si>
  <si>
    <t>Pintura</t>
  </si>
  <si>
    <t>Latex exterior mate en paredes, color bco., sin enduido, a mas de 3 m de altura - Medianeras</t>
  </si>
  <si>
    <t>PIN-53B</t>
  </si>
  <si>
    <t>Latex interior mate en paredes, color bco., con enduido parcial</t>
  </si>
  <si>
    <t>PIN-137</t>
  </si>
  <si>
    <t>Latex interior mate en paredes, color bco., con enduido completo</t>
  </si>
  <si>
    <t>PTO-1503</t>
  </si>
  <si>
    <t>Latex exterior acrílico en cielorraso, color a definir, sin enduido - Sector cocheras</t>
  </si>
  <si>
    <t>PTO-1504</t>
  </si>
  <si>
    <t>Latex interior mate en cielorraso, color bco., con enduido parcial</t>
  </si>
  <si>
    <t>Latex interior mate en cielorraso, color bco., con enduido completo</t>
  </si>
  <si>
    <t>PTO-1506</t>
  </si>
  <si>
    <t>Impermeabilizane de Hº, silicona transparente</t>
  </si>
  <si>
    <t>PTO-1507</t>
  </si>
  <si>
    <t>Revestimiento tipo Tarquini hasta 3 m de altura</t>
  </si>
  <si>
    <t>PTO-1508</t>
  </si>
  <si>
    <t>Revestimiento tipo Tarquini a mas de 3 m de altura</t>
  </si>
  <si>
    <t>PTO-1509</t>
  </si>
  <si>
    <t>Franjas división cocheras</t>
  </si>
  <si>
    <t>PTO-1510</t>
  </si>
  <si>
    <t>Esmalte sintetico en puertas color bco. - Puertas placa, de chapa y de ascensor</t>
  </si>
  <si>
    <t>PTO-1511</t>
  </si>
  <si>
    <t>Esmalte sintético convertidor antioxido color negro satinado en herrería - Barandas, herrerías, etc.</t>
  </si>
  <si>
    <t>PTO-1512</t>
  </si>
  <si>
    <t xml:space="preserve">Amure de puertas placa  </t>
  </si>
  <si>
    <t>PTO-1701</t>
  </si>
  <si>
    <t>Amure de puertas de chapa e ingresos depto</t>
  </si>
  <si>
    <t>PTO-1702</t>
  </si>
  <si>
    <t xml:space="preserve">Amure de premarcos </t>
  </si>
  <si>
    <t>PTO-1703</t>
  </si>
  <si>
    <t>Amure Puertas de Ascensor</t>
  </si>
  <si>
    <t>PTO-1704</t>
  </si>
  <si>
    <t>INSTALACION ELECTRICA</t>
  </si>
  <si>
    <t>Tendido y cableado boca Iluminación en losa</t>
  </si>
  <si>
    <t>PTO-1801</t>
  </si>
  <si>
    <t>Tendido y cableado boca Iluminación en pared</t>
  </si>
  <si>
    <t>PTO-1802</t>
  </si>
  <si>
    <t>Tendido y cableado boca Iluminación emergencia</t>
  </si>
  <si>
    <t>Tendido y cableado boca sensor de movimiento</t>
  </si>
  <si>
    <t>Tendido y cableado boca semáforo</t>
  </si>
  <si>
    <t>Tendido y cableado boca de extractor de baño</t>
  </si>
  <si>
    <t>Tendido y cableado boca tomacorriente (simple/doble/exterior)</t>
  </si>
  <si>
    <t>PTO-1807</t>
  </si>
  <si>
    <t>Tendido y cableado boca tomacorriente especial (AA.CC)</t>
  </si>
  <si>
    <t>PTO-1808</t>
  </si>
  <si>
    <t>Tendido y cableado boca MBT Timbre</t>
  </si>
  <si>
    <t>Tendido y cableado boca de temostato</t>
  </si>
  <si>
    <t>Boca de TE - Cañería c/cable testigo</t>
  </si>
  <si>
    <t>PTO-1811</t>
  </si>
  <si>
    <t>Boca de TV - Cañería c/cable testigo</t>
  </si>
  <si>
    <t>Boca de PE - Cañería c/cable testigo</t>
  </si>
  <si>
    <t>Boca de DA - Cañería c/cable testigo</t>
  </si>
  <si>
    <t>Boca de CCTV - Cañería c/cable testigo</t>
  </si>
  <si>
    <t>Tablero servicios generales - TSG</t>
  </si>
  <si>
    <t>PTO-1816</t>
  </si>
  <si>
    <t>Tablero seccional, bombas de elevación - TSBE</t>
  </si>
  <si>
    <t>PTO-1817</t>
  </si>
  <si>
    <t>Tablero seccional ascensor - TSASC</t>
  </si>
  <si>
    <t>PTO-1818</t>
  </si>
  <si>
    <t>Tablero seccional departamento - TSD</t>
  </si>
  <si>
    <t>PTO-1819</t>
  </si>
  <si>
    <t>Montante eléctrica</t>
  </si>
  <si>
    <t>PTO-1820</t>
  </si>
  <si>
    <t>Montante TV + Tablero TV - Cañería c/cable testigo</t>
  </si>
  <si>
    <t>PTO-1821</t>
  </si>
  <si>
    <t>Montante PE + Tablero PE- Cañería c/cable testigo</t>
  </si>
  <si>
    <t>PTO-1822</t>
  </si>
  <si>
    <t>Colocación de sensor de movimiento - Provisión a cargo del comitente</t>
  </si>
  <si>
    <t>PTO-1823</t>
  </si>
  <si>
    <t>Colocación de teclas simples y/o combinadas, pulsadores - Provisión a cargo del comitente</t>
  </si>
  <si>
    <t>PTO-1824</t>
  </si>
  <si>
    <t>Colocación de tomas simples/dobles/encapsulados - Provisión a cargo del comitente</t>
  </si>
  <si>
    <t>PTO-1825</t>
  </si>
  <si>
    <t>Colocación de campanilla/zumbadores - Provisión a cargo del comitente</t>
  </si>
  <si>
    <t>PTO-1826</t>
  </si>
  <si>
    <t>Colocación de extractor de baño - Provisión a cargo del comitente</t>
  </si>
  <si>
    <t>PTO-1827</t>
  </si>
  <si>
    <t>Colocación de luz de emergencia - Provisión a cargo del comitente</t>
  </si>
  <si>
    <t>PTO-1828</t>
  </si>
  <si>
    <t>Colocación de semáforo - Provisión a cargo del comitente</t>
  </si>
  <si>
    <t>PTO-1829</t>
  </si>
  <si>
    <t>Colocación artefactos en espacios comunes y balcones - Provisión a cargo del comitente. NO incluye provisión, ni colocación de artefactos en interior de UF</t>
  </si>
  <si>
    <t>PTO-1830</t>
  </si>
  <si>
    <t>Acometida y gabiente de medidores</t>
  </si>
  <si>
    <t>PTO-1831</t>
  </si>
  <si>
    <t>Puesta a tierra, jabalinas y cableados</t>
  </si>
  <si>
    <t>PTO-1832</t>
  </si>
  <si>
    <t>error en PPTO original?</t>
  </si>
  <si>
    <t>Certificado DCI para servicios generales</t>
  </si>
  <si>
    <t>PTO-1833</t>
  </si>
  <si>
    <t>Tendido caño cloacal en planta baja</t>
  </si>
  <si>
    <t>PTO-1901</t>
  </si>
  <si>
    <t>Por armar CDV en planta tipo</t>
  </si>
  <si>
    <t>PTO-1902</t>
  </si>
  <si>
    <t>Montantes, remate y ventilación a los 4 vientos</t>
  </si>
  <si>
    <t>PTO-1903</t>
  </si>
  <si>
    <t>Tendido caño pluvial en planta baja</t>
  </si>
  <si>
    <t>PTO-1904</t>
  </si>
  <si>
    <t>Tendido caño pluvial por pisos</t>
  </si>
  <si>
    <t>PTO-1905</t>
  </si>
  <si>
    <t>Instalación tanque de recupero y bombeo pluvial</t>
  </si>
  <si>
    <t>PTO-1906</t>
  </si>
  <si>
    <t>Tendido caño de agua hasta TB. Colocación de TB, armado de colector y cuadro de bombas</t>
  </si>
  <si>
    <t>PTO-1907</t>
  </si>
  <si>
    <t>Armado de colector, subida y bajadas de AF</t>
  </si>
  <si>
    <t>PTO-1908</t>
  </si>
  <si>
    <t>Colocación de bomba presurizadora, armado de colector y montantes presurizadas (ultimo piso 4°) AF</t>
  </si>
  <si>
    <t>PTO-1909</t>
  </si>
  <si>
    <t>Distribución agua fria y caliente en planta tipo</t>
  </si>
  <si>
    <t>PTO-1910</t>
  </si>
  <si>
    <t>Colocación de artefactos y griferias</t>
  </si>
  <si>
    <t>PTO-1911</t>
  </si>
  <si>
    <t>Armado y conexionado de desagües AA.CC</t>
  </si>
  <si>
    <t>PTO-1912</t>
  </si>
  <si>
    <t>Tendido de cañerías de piso radiante - Colectores, gabinetes y termostatos a cargo del comitente</t>
  </si>
  <si>
    <t>PTO-1913</t>
  </si>
  <si>
    <t>Montaje de caldera y puesta en marcha - Provisión a cargo del comitente, incluida las ventilaciones</t>
  </si>
  <si>
    <t>PTO-1914</t>
  </si>
  <si>
    <t>Tendido cañeria de incendio - Gabinetes, tapas, mangueras y lanzas cotizadas en provisiones</t>
  </si>
  <si>
    <t>PTO-1915</t>
  </si>
  <si>
    <t>Provisión y tendido de cañerías de gas a cada UF</t>
  </si>
  <si>
    <t>PTO-1916</t>
  </si>
  <si>
    <t>Colocación de anafes - Provisión a cargo del comitente</t>
  </si>
  <si>
    <t>PTO-1917</t>
  </si>
  <si>
    <t>Provisión y amure de rejillas de ventilación homologadas</t>
  </si>
  <si>
    <t>PTO-1918</t>
  </si>
  <si>
    <t>Tramites gas - Prefactibilidad, inspección parcial, final</t>
  </si>
  <si>
    <t>PTO-1919</t>
  </si>
  <si>
    <t>Preinstalación para AA.CC - Cotizado en provisiones</t>
  </si>
  <si>
    <t>PTO-2001</t>
  </si>
  <si>
    <t>Montaje, colocación y puesta en marcha de equipos - Cotizado en provisiones</t>
  </si>
  <si>
    <t>PTO-2002</t>
  </si>
  <si>
    <t>Ascensores</t>
  </si>
  <si>
    <t>PTO-2101</t>
  </si>
  <si>
    <t>Instalación de artefactos de cocina, hornos - Provisión a cargo del comitente</t>
  </si>
  <si>
    <t>PTO-2201</t>
  </si>
  <si>
    <t>Instalacion de extractores de baños - Provisión a cargo del comitente</t>
  </si>
  <si>
    <t>PTO-2202</t>
  </si>
  <si>
    <t>TRABAJOS COMPLEMENTARIOS</t>
  </si>
  <si>
    <t xml:space="preserve">Albañilería parrilla completa - Losa y muros </t>
  </si>
  <si>
    <t>PTO-2301</t>
  </si>
  <si>
    <t>Amure de tapas para pleno eléctricos y gas en palieres - Provisión a cargo del comitente</t>
  </si>
  <si>
    <t>PTO-2302</t>
  </si>
  <si>
    <t>Demolición de vereda</t>
  </si>
  <si>
    <t>PTO-2303</t>
  </si>
  <si>
    <t>Tabique divisorio dormitorios - Tabique simple con aislacion de lana de vidrio</t>
  </si>
  <si>
    <t>PTO-2304</t>
  </si>
  <si>
    <t>Sereno</t>
  </si>
  <si>
    <t>PTO-2401</t>
  </si>
  <si>
    <t>Tecnico de seguridad &amp; higiene permanente en Obra</t>
  </si>
  <si>
    <t>PTO-2402</t>
  </si>
  <si>
    <t>Higiene y seguridad Res 51</t>
  </si>
  <si>
    <t>PTO-2403</t>
  </si>
  <si>
    <t>Protecciones y defensas</t>
  </si>
  <si>
    <t>PTO-2404</t>
  </si>
  <si>
    <t>Ayuda de gremios</t>
  </si>
  <si>
    <t>PTO-2405</t>
  </si>
  <si>
    <t>Limpieza periodica</t>
  </si>
  <si>
    <t>PTO-2406</t>
  </si>
  <si>
    <t>Limpieza final de Obra</t>
  </si>
  <si>
    <t>PTO-2407</t>
  </si>
  <si>
    <t>Fletes</t>
  </si>
  <si>
    <t>PTO-2408</t>
  </si>
  <si>
    <t>Volquetes</t>
  </si>
  <si>
    <t>PTO-2409</t>
  </si>
  <si>
    <t>Supervisión profesional de Obra</t>
  </si>
  <si>
    <t>PTO-2501</t>
  </si>
  <si>
    <t>Movilidad y viaticos</t>
  </si>
  <si>
    <t>PTO-2502</t>
  </si>
  <si>
    <t>TOTAL</t>
  </si>
  <si>
    <t>PRESUPUESTO UNIFICADO GDR 3760 — APU + Presupuesto</t>
  </si>
  <si>
    <t>OBJETIVO</t>
  </si>
  <si>
    <t>Modelo unificado donde cada partida del presupuesto está vinculada a una fila en PARTIDAS,</t>
  </si>
  <si>
    <t>y cada partida está alimentada por filas en COMPOSICIÓN (materiales, mano de obra, equipos).</t>
  </si>
  <si>
    <t>Estructura formula-pure, sin macros, vinculada por VLOOKUP/SUMIFS a tablas maestras de insumos.</t>
  </si>
  <si>
    <t>OBJETIVO PRIMARIO: Reconstruir correctamente la composición técnica real de cada partida,</t>
  </si>
  <si>
    <t>manteniendo trazabilidad de materiales, mano de obra, equipos, subcontratos, consumibles,</t>
  </si>
  <si>
    <t>desperdicios y relaciones entre partidas/APUs. Igualar el costo del GDR original es secundario.</t>
  </si>
  <si>
    <t>REGLAS ESTRUCTURALES DEL MODELO</t>
  </si>
  <si>
    <t>REGLA 1 — PRIORIDAD DE TRAZABILIDAD DE COMPOSICIÓN</t>
  </si>
  <si>
    <t>Siempre revisar de dónde viene el costo unitario de cada partida del presupuesto original.</t>
  </si>
  <si>
    <t>Orden de prioridad:</t>
  </si>
  <si>
    <t xml:space="preserve">  A) Valor fijo sin composición → ítem manual con descripción real (REGLA 3).</t>
  </si>
  <si>
    <t xml:space="preserve">  B) Costo viene de hoja "Tareas" → abrir composición detallada de esa tarea.</t>
  </si>
  <si>
    <t xml:space="preserve">  C) Costo referencia hoja "APU 12.24" → buscar la partida real del APU original</t>
  </si>
  <si>
    <t xml:space="preserve">     y usar su composición exacta (materiales, MO, equipos, consumibles, desperdicios, rendimientos).</t>
  </si>
  <si>
    <t xml:space="preserve">  D) Partida deriva porcentualmente de otra → reutilizar componentes proporcionalmente (REGLA 4).</t>
  </si>
  <si>
    <t>REGLA 2 — NO CREAR LUMPS SI EXISTE COMPOSICIÓN</t>
  </si>
  <si>
    <t>Solo se usan lumps cuando NO existe trazabilidad real.</t>
  </si>
  <si>
    <t>NO se crea: "Materiales XXX lump", "MO Nómina lump", "MO Otros lump"</t>
  </si>
  <si>
    <t>si la composición puede reconstruirse desde Tareas, APU, Cotizaciones, Subcontratos o hojas auxiliares.</t>
  </si>
  <si>
    <t>REGLA 3 — RESPETAR DESCRIPCIONES ORIGINALES</t>
  </si>
  <si>
    <t>Cuando el presupuesto trae descripción concreta, se usa esa descripción exacta,</t>
  </si>
  <si>
    <t>respetando PU, cantidades y unidad. Ejemplo: "Alquiler vibropisón" cant=7 PU=$65.000.</t>
  </si>
  <si>
    <t>REGLA 4 — PARTIDAS DERIVADAS DE OTRAS PARTIDAS</t>
  </si>
  <si>
    <t>Si una partida divide por 2, divide por 4, multiplica por porcentaje, o reutiliza otra partida:</t>
  </si>
  <si>
    <t xml:space="preserve">  → reutilizar los componentes de la partida original ajustando proporcionalmente</t>
  </si>
  <si>
    <t xml:space="preserve">    cantidades/rendimientos. NO inventar composiciones nuevas.</t>
  </si>
  <si>
    <t>Ejemplos en GDR 3760:</t>
  </si>
  <si>
    <t xml:space="preserve">  • PTO-0403 (Muro tipo 3) reutiliza P-33 (ALB-033) con MAT÷2 y MO÷2.</t>
  </si>
  <si>
    <t xml:space="preserve">  • PTO-0407 (Enchape) reutiliza P-33 con MAT÷4 y MO÷2.</t>
  </si>
  <si>
    <t>REGLA 5 — MATERIALES REPETIDOS EN SUBSECCIONES</t>
  </si>
  <si>
    <t>Cuando una partida del APU tiene subgrupos internos (ej. Azotado hidrófugo + Revoque grueso)</t>
  </si>
  <si>
    <t>y un material se repite en distintas subsecciones, las cantidades del material repetido SE SUMAN.</t>
  </si>
  <si>
    <t>Aplicado exhaustivamente en la regeneración. Ejemplo: ALB-044 (Revoque grueso ext) suma</t>
  </si>
  <si>
    <t xml:space="preserve">  ARENA: 0.006 (Azotado) + 0.020 (Revoque) = 0.026 m³/m²</t>
  </si>
  <si>
    <t xml:space="preserve">  CEMENTO: 0.054 + 0.260 = 0.314 bol/m²</t>
  </si>
  <si>
    <t xml:space="preserve">  CAL: 0.060 m²/m² (solo en revoque grueso)</t>
  </si>
  <si>
    <t>REGLA 6 — ESTRUCTURA DE TIPOS Y SUBTIPOS</t>
  </si>
  <si>
    <t>Tipos principales: MAT (Material) | MO (Mano de obra) | EQ (Equipo)</t>
  </si>
  <si>
    <t>Subtipos para MAT:  COR (Corralón) | OTR (Otros — provisión externa)</t>
  </si>
  <si>
    <t>Subtipos para MO:   ALB (Albañil/nómina UOCRA) | OTR (Subcontratos, jefe obra, gestiones)</t>
  </si>
  <si>
    <t>EQ no usa subtipo (siempre vacío).</t>
  </si>
  <si>
    <t>REGLA 7 — CONSISTENCIA TOTAL CON APU ORIGINAL</t>
  </si>
  <si>
    <t>El APU_Unificado replica desperdicios, rendimientos, fórmulas, consumibles, composición y</t>
  </si>
  <si>
    <t>equipos tal como existen en "ARQING - APU 12-24". No se simplifican estructuras si el detalle existe.</t>
  </si>
  <si>
    <t>ESTRUCTURA DEL ARCHIVO</t>
  </si>
  <si>
    <t>• PPTO_GENERADOR — Resumen ejecutivo con cada tarea de la obra (191 items).</t>
  </si>
  <si>
    <t>• PARTIDAS — Una fila por tarea (270) con MAT/ud, MO/ud, EQ/ud, CD/ud — alimentado desde COMPOSICIÓN.</t>
  </si>
  <si>
    <t xml:space="preserve">  Códigos APU (XXX-NNN) para las 79 partidas APU + códigos PTO-NNNN para las 191 partidas del PPTO.</t>
  </si>
  <si>
    <t>• COMPOSICIÓN — Detalle de materiales/MO/equipos por partida con tipo + SUBTIPO (~1700 filas).</t>
  </si>
  <si>
    <t>• MATERIALES — Tabla maestra de materiales con tipo (Corralón/Otros) y precio Dic 2024.</t>
  </si>
  <si>
    <t>• MANO_DE_OBRA — Tabla maestra de jornales UOCRA por categoría.</t>
  </si>
  <si>
    <t>• EQUIPOS — Tabla maestra de equipos: alquileres diarios, herramientas menores, encofrados.</t>
  </si>
  <si>
    <t>• SUBCONTRATOS — Tabla original del archivo GDR (referencia).</t>
  </si>
  <si>
    <t>• SUBCONTRATOS_PRY — Tabla operativa con códigos SUB-XXX (proyectables, jefe obra, gestiones).</t>
  </si>
  <si>
    <t>• OBSERVACIONES — Hoja UNIFICADA que reemplaza OBSERVACIONES + AUDITORIA + DISCREPANCIAS.</t>
  </si>
  <si>
    <t xml:space="preserve">  Documenta bugs APU original, partidas derivadas (REGLA 4), items sin cotizar,</t>
  </si>
  <si>
    <t xml:space="preserve">  replanteos aplicados, divergencias estructurales, validación APU.</t>
  </si>
  <si>
    <t>• CONSULTA_COMP — Vista de inspección por partida (selecciona descripción y muestra composición completa).</t>
  </si>
  <si>
    <t>• PPTO_APROBADO — Snapshot del presupuesto aprobado del cliente.</t>
  </si>
  <si>
    <t>• RQ_INPUT, RQ_OUTPUT, OC — Flujo de requerimientos y órdenes de compra.</t>
  </si>
  <si>
    <t>• CUADRILLA — Cálculo de costo de mano de obra propia.</t>
  </si>
  <si>
    <t>• CONFIG — Parámetros del archivo (CAC base, fechas, etc.).</t>
  </si>
  <si>
    <t>ESTRUCTURA DE COLUMNAS EN COMPOSICIÓN</t>
  </si>
  <si>
    <t>A=Partida | B=Tipo | C=Subtipo | D=Cod_Insumo | E=Desc | F=Cant | G=%Desp | H=Precio | I=Costo</t>
  </si>
  <si>
    <t xml:space="preserve">   J/K/L/M/N — claves auxiliares para INDEX/MATCH desde CONSULTA_COMP</t>
  </si>
  <si>
    <t>IMPORTANTE: Col G se llama "%Desp" (porcentaje de desperdicio del material), NO "%Cons".</t>
  </si>
  <si>
    <t>Es el % adicional de desperdicio que se carga sobre la cantidad teórica.</t>
  </si>
  <si>
    <t>Costo = Cant × Precio × (1 + %Desp)</t>
  </si>
  <si>
    <t>ESTRUCTURA DE COLUMNAS EN PARTIDAS</t>
  </si>
  <si>
    <t>A=Código | B=P# | C=Rubro | D=Descripción | E=Ud | F=Rend | G=Cant Cons. | H=%Cons.Desp | I=Grado</t>
  </si>
  <si>
    <t>J/K/L=SumMat/SumMO/SumEQ | M/N/O=MAT/ud, MO/ud, EQ/ud | P=CD/ud | Q=#Comp</t>
  </si>
  <si>
    <t>S/T/U=GDR original MAT/MO/EQ | V=GDR CD orig | W=Δ% | X=Fuente</t>
  </si>
  <si>
    <t>IMPORTANTE: Col G se llama "Cant Cons." (CANTIDAD del consumible, no porcentaje).</t>
  </si>
  <si>
    <t>Col H se llama "% Cons. Desp." (porcentaje de desperdicio del consumible).</t>
  </si>
  <si>
    <t>Para consumibles típicos del APU: G=0.01 (es decir, 1% del subtotal), H=0.03 (3% desperdicio).</t>
  </si>
  <si>
    <t>MAT/ud = SumMat × (1 + Cant_Cons × (1 + %Cons.Desp))</t>
  </si>
  <si>
    <t>CRITERIO MO — APU vs TAREAS</t>
  </si>
  <si>
    <t>A) APU ORIGINAL — items con código ALB-XXX, REV-XXX, PIN-XXX, COL-XXX, etc. (79 partidas)</t>
  </si>
  <si>
    <t>Composición regenerada exactamente desde el archivo "ARQING - APU 12-24" preservando:</t>
  </si>
  <si>
    <t xml:space="preserve">  • Desperdicios %, Rendimientos, Consumibles</t>
  </si>
  <si>
    <t xml:space="preserve">  • Equipos con tarifa × %deprec</t>
  </si>
  <si>
    <t xml:space="preserve">  • Mano de obra con jornal × cantidad</t>
  </si>
  <si>
    <t>Subtipo automáticamente asignado: códigos MO-OFA, MO-MOFA, MO-AYU02, etc. → ALB.</t>
  </si>
  <si>
    <t>B) PTO PRESUPUESTO — items PTO-XXYY (191 partidas)</t>
  </si>
  <si>
    <t>Composición reconstruida según REGLA 1 con prioridad:</t>
  </si>
  <si>
    <t xml:space="preserve">  • Si referencia APU 12.24 → reutiliza partida APU madre con divisores aplicados (REGLA 4)</t>
  </si>
  <si>
    <t xml:space="preserve">  • Si referencia hoja Tareas → composición desde Cotizaciones + SUBCONTRATOS + cuadrilla nómina</t>
  </si>
  <si>
    <t xml:space="preserve">  • Si referencia Cotizaciones directo → MAT con descripción real del proveedor</t>
  </si>
  <si>
    <t xml:space="preserve">  • Si referencia hojas auxiliares (CLOACAL, AF.AC, ELECT, ENCOFRADO, etc.) → </t>
  </si>
  <si>
    <t xml:space="preserve">    composición lump con descripción real preservando trazabilidad</t>
  </si>
  <si>
    <t xml:space="preserve">  • Lump-sum solo cuando no hay otra fuente (con descripción real, REGLA 3)</t>
  </si>
  <si>
    <t>FÓRMULAS CLAVE</t>
  </si>
  <si>
    <t>PARTIDAS:</t>
  </si>
  <si>
    <t xml:space="preserve">  J (MAT) = SUMIFS(COMPOSICIÓN.I, A=código, B="MAT")</t>
  </si>
  <si>
    <t xml:space="preserve">  K (MO)  = SUMIFS(COMPOSICIÓN.I, A=código, B="MO") × Grado    [unifica MO_ALB + MO_OTR]</t>
  </si>
  <si>
    <t xml:space="preserve">  L (EQ)  = SUMIFS(COMPOSICIÓN.I, A=código, B="EQ")</t>
  </si>
  <si>
    <t xml:space="preserve">  M (MAT/ud) = J × (1 + Cant_Cons × (1 + %Cons.Desp))</t>
  </si>
  <si>
    <t xml:space="preserve">  N (MO/ud)  = K / Rendimiento</t>
  </si>
  <si>
    <t xml:space="preserve">  O (EQ/ud)  = L / Rendimiento</t>
  </si>
  <si>
    <t xml:space="preserve">  P (CD/ud)  = M + N + O</t>
  </si>
  <si>
    <t>COMPOSICIÓN:</t>
  </si>
  <si>
    <t xml:space="preserve">  E (Desc)   = VLOOKUP(D, MATERIALES|MANO_DE_OBRA|SUBCONTRATOS_PRY|EQUIPOS, 2)</t>
  </si>
  <si>
    <t xml:space="preserve">  H (Precio) = VLOOKUP(D, ...) según tipo+subtipo</t>
  </si>
  <si>
    <t xml:space="preserve">     • MAT (cualquier subtipo) → MATERIALES col 4</t>
  </si>
  <si>
    <t xml:space="preserve">     • MO subtipo ALB → MANO_DE_OBRA col 3 (salario base, cargas se aplican en GGBB)</t>
  </si>
  <si>
    <t xml:space="preserve">     • MO subtipo OTR → SUBCONTRATOS_PRY col 4</t>
  </si>
  <si>
    <t xml:space="preserve">     • EQ → EQUIPOS col 6</t>
  </si>
  <si>
    <t xml:space="preserve">  I (Costo) = F × H × (1 + G)  si MAT;  F × H  si MO/EQ</t>
  </si>
  <si>
    <t>VALIDACIÓN Y SANITY CHECKS</t>
  </si>
  <si>
    <t>79 partidas APU regeneradas con CD/u idéntico al APU original (excepto bug ALB-035 documentado):</t>
  </si>
  <si>
    <t xml:space="preserve">  • PRE-032 = $53,416.98  ✓ idéntico</t>
  </si>
  <si>
    <t xml:space="preserve">  • ALB-034 = $16,612.17  ✓ idéntico</t>
  </si>
  <si>
    <t xml:space="preserve">  • ALB-035 = $18,421.31  ⚠ APU original $18,335.68 — bug documentado en OBSERVACIONES</t>
  </si>
  <si>
    <t xml:space="preserve">  • ALB-042 = $4,873.95   ✓ idéntico (Azotado hidrófugo)</t>
  </si>
  <si>
    <t xml:space="preserve">  • ALB-044 = $14,963.44  ✓ idéntico (Revoque grueso ext, REGLA 5 funcionando con 8 comp)</t>
  </si>
  <si>
    <t xml:space="preserve">  • ALB-046 = $159,287.28 ✓ idéntico (Contrapiso HHRP)</t>
  </si>
  <si>
    <t xml:space="preserve">  • ALB-050 = $14,466.48  ✓ idéntico (Cemento alisado)</t>
  </si>
  <si>
    <t>191 partidas PTO regeneradas, 0 duplicados.</t>
  </si>
  <si>
    <t>Casos clave del replanteo (ver hoja OBSERVACIONES para listado completo):</t>
  </si>
  <si>
    <t xml:space="preserve">  • PTO-0403/0407: REGLA 4 con divisores ÷2, ÷4</t>
  </si>
  <si>
    <t xml:space="preserve">  • PTO-0501 (Cajón hidrof): Δ=0% — usa P-42 directo</t>
  </si>
  <si>
    <t xml:space="preserve">  • PTO-0502/0506 (P-70): mapeo correcto a Impermeabilización transitable</t>
  </si>
  <si>
    <t xml:space="preserve">  • PTO-0703 (Yeso interior): Tareas → Cotizaciones + SUBCONTRATOS!D29 (Yeso $11,651/m²)</t>
  </si>
  <si>
    <t xml:space="preserve">  • PTO-0704 (Arista yeso): SUBCONTRATOS!D30 (Arista/Buña $12,499/ml)</t>
  </si>
  <si>
    <t xml:space="preserve">  • PTO-0706 (Revoque grueso int): usa P-44 (NO P-42)</t>
  </si>
  <si>
    <t xml:space="preserve">  • PTO-1406 (Cantonera): P-117 (Perfil buña Z)</t>
  </si>
  <si>
    <t>Las composiciones del APU 12-24 NO se modifican para preservar la integridad del APU maestro.</t>
  </si>
  <si>
    <t>Los hallazgos detectados se documentan en la hoja OBSERVACIONES.</t>
  </si>
  <si>
    <t>CONFIGURACIÓN DEL APU</t>
  </si>
  <si>
    <t>Parámetro</t>
  </si>
  <si>
    <t>Valor</t>
  </si>
  <si>
    <t>Notas</t>
  </si>
  <si>
    <t>Mes de referencia</t>
  </si>
  <si>
    <t>Diciembre</t>
  </si>
  <si>
    <t>Mes de precios del APU</t>
  </si>
  <si>
    <t>Año de referencia</t>
  </si>
  <si>
    <t>Versión</t>
  </si>
  <si>
    <t>v7.0 — Migración a APU 12-24 + Presupuesto GDR 3760 unificado</t>
  </si>
  <si>
    <t>GG%</t>
  </si>
  <si>
    <t>0 = se aplica en presupuesto de obra</t>
  </si>
  <si>
    <t>BB%</t>
  </si>
  <si>
    <t>Tipo Cambio USD (MEP)</t>
  </si>
  <si>
    <t>Pesos por dólar</t>
  </si>
  <si>
    <t>Revisado por</t>
  </si>
  <si>
    <t>MC</t>
  </si>
  <si>
    <t>Según archivo original</t>
  </si>
  <si>
    <t>Mes base CAC</t>
  </si>
  <si>
    <t>Diciembre 2024</t>
  </si>
  <si>
    <t>Mes base para normalización de precios</t>
  </si>
  <si>
    <t>CAC base (valor)</t>
  </si>
  <si>
    <t>Índice CAC Diciembre 2024 (referencial — verificar)</t>
  </si>
  <si>
    <t>TABLA DE CARGAS MO</t>
  </si>
  <si>
    <t>Componente</t>
  </si>
  <si>
    <t>Tipo</t>
  </si>
  <si>
    <t>Cargas patronales</t>
  </si>
  <si>
    <t>%</t>
  </si>
  <si>
    <t>Convenio UOCRA (estimado)</t>
  </si>
  <si>
    <t>ART</t>
  </si>
  <si>
    <t>Aseguradora (estimado)</t>
  </si>
  <si>
    <t>Ropa de trabajo</t>
  </si>
  <si>
    <t>$/mes</t>
  </si>
  <si>
    <t>Compras (estimado)</t>
  </si>
  <si>
    <t>Viáticos</t>
  </si>
  <si>
    <t>$/día</t>
  </si>
  <si>
    <t>Vacaciones + SAC</t>
  </si>
  <si>
    <t>Cálculo legal (estimado)</t>
  </si>
  <si>
    <t>COEFICIENTE FINAL</t>
  </si>
  <si>
    <t>multiplicador</t>
  </si>
  <si>
    <t>CONTROLES DE INTEGRIDAD</t>
  </si>
  <si>
    <t>Duplicados MATERIALES</t>
  </si>
  <si>
    <t>Duplicados MANO_DE_OBRA</t>
  </si>
  <si>
    <t>Duplicados EQUIPOS</t>
  </si>
  <si>
    <t>Duplicados PARTIDAS</t>
  </si>
  <si>
    <t>INTEGRIDAD REFERENCIAL</t>
  </si>
  <si>
    <t>MAT sin match en MATERIALES</t>
  </si>
  <si>
    <t>MO sin match en MANO_DE_OBRA</t>
  </si>
  <si>
    <t>EQ sin match en EQUIPOS</t>
  </si>
  <si>
    <t>Código</t>
  </si>
  <si>
    <t>Unidad</t>
  </si>
  <si>
    <t>Precio $</t>
  </si>
  <si>
    <t>Proveedor</t>
  </si>
  <si>
    <t>Fecha Cotiz.</t>
  </si>
  <si>
    <t>Categoría</t>
  </si>
  <si>
    <t>Cód. Original</t>
  </si>
  <si>
    <t>Nota</t>
  </si>
  <si>
    <t>Alerta</t>
  </si>
  <si>
    <t>AGR-001</t>
  </si>
  <si>
    <t>ARENA LAVADA</t>
  </si>
  <si>
    <t>Cutuli Hnos</t>
  </si>
  <si>
    <t>2024-11-29</t>
  </si>
  <si>
    <t>Corralón</t>
  </si>
  <si>
    <t>*AGREG02</t>
  </si>
  <si>
    <t>BOLSÓN</t>
  </si>
  <si>
    <t>AGR-002</t>
  </si>
  <si>
    <t>Piedra Partida</t>
  </si>
  <si>
    <t>AGR-003</t>
  </si>
  <si>
    <t>Cascote</t>
  </si>
  <si>
    <t>AGR-004</t>
  </si>
  <si>
    <t>Cemento Portland x 50kg</t>
  </si>
  <si>
    <t>Bol</t>
  </si>
  <si>
    <t>*AGREG01</t>
  </si>
  <si>
    <t>CEMENTO AVELLANEDA</t>
  </si>
  <si>
    <t>AGR-005</t>
  </si>
  <si>
    <t>Cal Comun x 25kg</t>
  </si>
  <si>
    <t>bol</t>
  </si>
  <si>
    <t>AGREG11</t>
  </si>
  <si>
    <t>AGR-006</t>
  </si>
  <si>
    <t>cal milagro</t>
  </si>
  <si>
    <t>CALMILAG</t>
  </si>
  <si>
    <t>ACE-001</t>
  </si>
  <si>
    <t>Barra de Acero Aleteado - 6mm x 12m</t>
  </si>
  <si>
    <t>FE06</t>
  </si>
  <si>
    <t>ACE-002</t>
  </si>
  <si>
    <t>Barra de Acero Aleteado - 8mm x 12m</t>
  </si>
  <si>
    <t>ACE-003</t>
  </si>
  <si>
    <t>Barra de Acero Aleteado - 10mm x 12m</t>
  </si>
  <si>
    <t>ACE-004</t>
  </si>
  <si>
    <t>Barra de Acero Aleteado - 12mm x 12m</t>
  </si>
  <si>
    <t>ACE-005</t>
  </si>
  <si>
    <t>Barra de Acero Aleteado - 16mm x 12m</t>
  </si>
  <si>
    <t>ACE-006</t>
  </si>
  <si>
    <t>Barra de Acero Aleteado - 20mm x 12m</t>
  </si>
  <si>
    <t>ACE-007</t>
  </si>
  <si>
    <t>Barra de Acero Aleteado - 25mm x 12m</t>
  </si>
  <si>
    <t>CER-001</t>
  </si>
  <si>
    <t>ladrillo a la vista 1 cara</t>
  </si>
  <si>
    <t>LADVISTA</t>
  </si>
  <si>
    <t>1/2 VISTA MDQ</t>
  </si>
  <si>
    <t>CER-002</t>
  </si>
  <si>
    <t>LADRILLO CERAMICO 8 x 18 x 33 cm</t>
  </si>
  <si>
    <t>*LADRI03</t>
  </si>
  <si>
    <t>CER-003</t>
  </si>
  <si>
    <t>LADRILLO CERAMICO 12 x 18 x 33 cm</t>
  </si>
  <si>
    <t>LADRI12</t>
  </si>
  <si>
    <t>9 AGUJEROS</t>
  </si>
  <si>
    <t>CER-004</t>
  </si>
  <si>
    <t>LADRILLO CERAMICO 18 x 18 x 33 cm</t>
  </si>
  <si>
    <t>LADRI181</t>
  </si>
  <si>
    <t>CER-005</t>
  </si>
  <si>
    <t>Ladrillo Comun 12.5 x 5.5 x 25</t>
  </si>
  <si>
    <t>LADRIC</t>
  </si>
  <si>
    <t>CER-006</t>
  </si>
  <si>
    <t>Ladrillo hueco ceramico 12x19x33 - Portante</t>
  </si>
  <si>
    <t>LADRI182</t>
  </si>
  <si>
    <t>CER-007</t>
  </si>
  <si>
    <t>Ladrillo hueco ceramico 18x19x33 - Portante</t>
  </si>
  <si>
    <t>BLO-001</t>
  </si>
  <si>
    <t>Bloque de Hormigon 19 x 19 x 39</t>
  </si>
  <si>
    <t>BLO-002</t>
  </si>
  <si>
    <t>Bloque de Hormigon 10 x 19 x 39</t>
  </si>
  <si>
    <t>ADH-001</t>
  </si>
  <si>
    <t>Adhesivo Klaukol Porcellanato Fluido x 30Kg</t>
  </si>
  <si>
    <t>Adhesivos y pastinas</t>
  </si>
  <si>
    <t>*AGREG11</t>
  </si>
  <si>
    <t>WEBER FORTE PORCELLANATO X 25 KG</t>
  </si>
  <si>
    <t>ADH-002</t>
  </si>
  <si>
    <t>Adhesivo Klaukol Impermeable Petenciado x 30Kg</t>
  </si>
  <si>
    <t>WEBER SUPLER FLEX 25 KG</t>
  </si>
  <si>
    <t>AIS-001</t>
  </si>
  <si>
    <t>Aditivo Hidrofugo en pasta - Ceresita x 1kg</t>
  </si>
  <si>
    <t>kg</t>
  </si>
  <si>
    <t>Impermeabilizantes</t>
  </si>
  <si>
    <t>AGREG07</t>
  </si>
  <si>
    <t>CERESITA X 20 LTS</t>
  </si>
  <si>
    <t>REV-001</t>
  </si>
  <si>
    <t>Yeso Tuyango x 30kg</t>
  </si>
  <si>
    <t>b</t>
  </si>
  <si>
    <t>Revestimientos y yesos</t>
  </si>
  <si>
    <t>PINT015</t>
  </si>
  <si>
    <t>ADH-003</t>
  </si>
  <si>
    <t>Pastina Klaukol x 1kg - Alta performance</t>
  </si>
  <si>
    <t>Prestige nieve</t>
  </si>
  <si>
    <t>REV-002</t>
  </si>
  <si>
    <t>Promex E x 30 kg (3 en 1 proyectable exterior)</t>
  </si>
  <si>
    <t>2024-12-05</t>
  </si>
  <si>
    <t>PROMEX E X 30 [Deflactado v6/1.27]</t>
  </si>
  <si>
    <t>REV-003</t>
  </si>
  <si>
    <t>Promex I x 30 kg (2 en 1 proyectable interior)</t>
  </si>
  <si>
    <t>[Deflactado v6/1.27]</t>
  </si>
  <si>
    <t>ACE-008</t>
  </si>
  <si>
    <t>Malla SIMA Q335 (8mm)</t>
  </si>
  <si>
    <t>ACE-009</t>
  </si>
  <si>
    <t>Malla SIMA Q188 (6mm)</t>
  </si>
  <si>
    <t>ACE-010</t>
  </si>
  <si>
    <t>Alambre de Fardo</t>
  </si>
  <si>
    <t xml:space="preserve">Alambre N°16 </t>
  </si>
  <si>
    <t>ADT-001</t>
  </si>
  <si>
    <t>Sika Poro Plus x 10 kg</t>
  </si>
  <si>
    <t>ML</t>
  </si>
  <si>
    <t>https://articulo.mercadolibre.com.ar/MLA-1239468887-sika-poro-plus-espumigeno-para-hormigon-10-kg-_JM#polycard_client=search-nordic&amp;position=11&amp;search_layout=grid&amp;type=item&amp;tracking_id=c5802d9e-4804-403a-958c-824dd473f5b4</t>
  </si>
  <si>
    <t>BLO-003</t>
  </si>
  <si>
    <t>Bloque HCCA Brimax 5 x 20 x 60</t>
  </si>
  <si>
    <t>BRIMAX (Pallet 260 u) [Deflactado v6/1.27]</t>
  </si>
  <si>
    <t>BLO-004</t>
  </si>
  <si>
    <t>Bloque HCCA Brimax 7,5 x 20 x 60</t>
  </si>
  <si>
    <t>BRIMAX (Pallet 200 u) [Deflactado v6/1.27]</t>
  </si>
  <si>
    <t>BLO-005</t>
  </si>
  <si>
    <t>Bloque HCCA Brimax 10 x 20 x 60</t>
  </si>
  <si>
    <t>BRIMAX (Pallet 150 u) [Deflactado v6/1.27]</t>
  </si>
  <si>
    <t>BLO-006</t>
  </si>
  <si>
    <t>Bloque HCCA Brimax 12,5 x 20 x 60</t>
  </si>
  <si>
    <t>BRIMAX (Pallet 120 u) [Deflactado v6/1.27]</t>
  </si>
  <si>
    <t>BLO-007</t>
  </si>
  <si>
    <t>Bloque HCCA Brimax 15 x 20 x 60</t>
  </si>
  <si>
    <t>BRIMAX (Pallet 100 u) [Deflactado v6/1.27]</t>
  </si>
  <si>
    <t>BLO-008</t>
  </si>
  <si>
    <t>Bloque HCCA Brimax 17,5 x 20 x 60</t>
  </si>
  <si>
    <t>BRIMAX (Pallet 80 u) [Deflactado v6/1.27]</t>
  </si>
  <si>
    <t>BLO-009</t>
  </si>
  <si>
    <t>Bloque HCCA Brimax 20 x 20 x 60</t>
  </si>
  <si>
    <t>BRIMAX (Pallet 70 u) [Deflactado v6/1.27]</t>
  </si>
  <si>
    <t>ACE-011</t>
  </si>
  <si>
    <t>Kg hierro liso 4 mm</t>
  </si>
  <si>
    <t>ACE-012</t>
  </si>
  <si>
    <t>Kg hierro liso 6 mm</t>
  </si>
  <si>
    <t>OTR-001</t>
  </si>
  <si>
    <t>Weberblock x 30 kg</t>
  </si>
  <si>
    <t>ACE-013</t>
  </si>
  <si>
    <t>Malla de fibra 5x5 90 gr rollo 1 x 50 mts</t>
  </si>
  <si>
    <t>rol</t>
  </si>
  <si>
    <t>OTR-002</t>
  </si>
  <si>
    <t>Bolsa de molido p/encofrados (170) rinde 8BL x m3</t>
  </si>
  <si>
    <t>REV-004</t>
  </si>
  <si>
    <t>Yeso Entre Rios proyectable HG x 30 kg</t>
  </si>
  <si>
    <t>OTR-003</t>
  </si>
  <si>
    <t>PA-MAX Puente de adherencia x 26 kg</t>
  </si>
  <si>
    <t>tac</t>
  </si>
  <si>
    <t>Todo Proyectable WEB</t>
  </si>
  <si>
    <t>OTR-004</t>
  </si>
  <si>
    <t>Metal desplegado liviano 0,70 x 2,00 m</t>
  </si>
  <si>
    <t>Encofrados</t>
  </si>
  <si>
    <t>OTR-005</t>
  </si>
  <si>
    <t>Paq. Liston 1 x 1 x 3,7 m x 15 un</t>
  </si>
  <si>
    <t>paq</t>
  </si>
  <si>
    <t>OTR-006</t>
  </si>
  <si>
    <t>Tabla yesero 1 x 4 x 4,00 m</t>
  </si>
  <si>
    <t>REV-005</t>
  </si>
  <si>
    <t>Guardacanto yesero 2,60 m</t>
  </si>
  <si>
    <t>DUR-001</t>
  </si>
  <si>
    <t>Solera 70mm x 2.60m</t>
  </si>
  <si>
    <t>Construcción en seco</t>
  </si>
  <si>
    <t>DUR-002</t>
  </si>
  <si>
    <t>Montante 69mm x 2.60m</t>
  </si>
  <si>
    <t>DUR-003</t>
  </si>
  <si>
    <t>Solera 35mm x 2.60m</t>
  </si>
  <si>
    <t>DUR-004</t>
  </si>
  <si>
    <t>Montante 34mm x 2.60m</t>
  </si>
  <si>
    <t>OTR-007</t>
  </si>
  <si>
    <t>Tornillo T1 - Aguja</t>
  </si>
  <si>
    <t>CMP online</t>
  </si>
  <si>
    <t>OTR-008</t>
  </si>
  <si>
    <t>Tornillo T2 - Aguja</t>
  </si>
  <si>
    <t>OTR-009</t>
  </si>
  <si>
    <t>Tornillo T3 - Aguja</t>
  </si>
  <si>
    <t>OTR-010</t>
  </si>
  <si>
    <t>Fijacion completa del 8</t>
  </si>
  <si>
    <t>OTR-011</t>
  </si>
  <si>
    <t>Cinta Entramada - 90m</t>
  </si>
  <si>
    <t>OTR-012</t>
  </si>
  <si>
    <t>Cinta de Papel - 75m</t>
  </si>
  <si>
    <t>Pegue la de 150 m entramada</t>
  </si>
  <si>
    <t>DUR-005</t>
  </si>
  <si>
    <t>Masilla x 32kg</t>
  </si>
  <si>
    <t>REV-006</t>
  </si>
  <si>
    <t>Placa Roca de Yeso 1220 x 2440 - 12.5mm - STD</t>
  </si>
  <si>
    <t>REV-007</t>
  </si>
  <si>
    <t>Placa Roca de Yeso 1220 x 2440 - 12.5mm - RH</t>
  </si>
  <si>
    <t>REV-008</t>
  </si>
  <si>
    <t>Placa Roca de Yeso 1220 x 2440 - 12.5mm - RF</t>
  </si>
  <si>
    <t>OTR-013</t>
  </si>
  <si>
    <t>Cantonera x 2.60</t>
  </si>
  <si>
    <t>OTR-014</t>
  </si>
  <si>
    <t>Buña Z x 2.60m</t>
  </si>
  <si>
    <t>DUR-006</t>
  </si>
  <si>
    <t>Lana De Vidrio 40mm X 21,6m2 Alta Densidad</t>
  </si>
  <si>
    <t>Rolac plata cubierta 1,20 x 18 x 50 mm</t>
  </si>
  <si>
    <t>DUR-007</t>
  </si>
  <si>
    <t>Perfil Perimetral x 3.05</t>
  </si>
  <si>
    <t>OTR-015</t>
  </si>
  <si>
    <t>Larguero x 3.66</t>
  </si>
  <si>
    <t>OTR-016</t>
  </si>
  <si>
    <t>Travesaño x 1.22</t>
  </si>
  <si>
    <t>OTR-017</t>
  </si>
  <si>
    <t>Travesaño x 0.60</t>
  </si>
  <si>
    <t>OTR-018</t>
  </si>
  <si>
    <t>Placa Decovinyl Liso 60x60</t>
  </si>
  <si>
    <t>https://www.mercadolibre.com.ar/placas-desmontables-deco-vinyl-cielorraso-060-x-060-x-m2/up/MLAU364356693?highlight=false&amp;headerTopBrand=true#polycard_client=search-nordic&amp;searchVariation=MLAU364356693&amp;wid=MLA1755838658&amp;position=3&amp;search_layout=stack&amp;type=product&amp;tracking_id=a6d04372-95d1-4609-a7c0-bc66c65b36db&amp;sid=search</t>
  </si>
  <si>
    <t>ACE-014</t>
  </si>
  <si>
    <t>Alambre galvanizado N°14 x kg</t>
  </si>
  <si>
    <t>OTR-019</t>
  </si>
  <si>
    <t>Placa Decovinyl Liso 120x60</t>
  </si>
  <si>
    <t>2024-02-28</t>
  </si>
  <si>
    <t>no tengo coti</t>
  </si>
  <si>
    <t>PIN-001</t>
  </si>
  <si>
    <t>Latex Loxon Interior Sherwin Williams Mate Bco x 20lts</t>
  </si>
  <si>
    <t>B</t>
  </si>
  <si>
    <t>Prestigio</t>
  </si>
  <si>
    <t>2024-12-16</t>
  </si>
  <si>
    <t>Pinturas</t>
  </si>
  <si>
    <t>PINT001</t>
  </si>
  <si>
    <t>PIN-002</t>
  </si>
  <si>
    <t>Latex Loxon Interior Sherwin Williams Satinado Bco x 20lts</t>
  </si>
  <si>
    <t>Prestigio Web</t>
  </si>
  <si>
    <t>2024-12-28</t>
  </si>
  <si>
    <t>PIN-003</t>
  </si>
  <si>
    <t>Latex Loxon Exterior Sherwin Williams Mate Bco x 20lts</t>
  </si>
  <si>
    <t>PIN-004</t>
  </si>
  <si>
    <t>Esmalte sintetico brillante Albalux Blanco x 4lts</t>
  </si>
  <si>
    <t>ESMALTES</t>
  </si>
  <si>
    <t>PIN-005</t>
  </si>
  <si>
    <t>Esmalte sintetico semi mate Albalux Blanco x 4lts</t>
  </si>
  <si>
    <t>PIN-006</t>
  </si>
  <si>
    <t>Esmalte sintetico satinado Satinol Blanco x 4lts</t>
  </si>
  <si>
    <t>PIN-007</t>
  </si>
  <si>
    <t>Enduido Interior x 20lts</t>
  </si>
  <si>
    <t>PINT010</t>
  </si>
  <si>
    <t>COVER</t>
  </si>
  <si>
    <t>ELE-001</t>
  </si>
  <si>
    <t>Recuplast Tradicional Blanco x 20 lts</t>
  </si>
  <si>
    <t>Eléctricos</t>
  </si>
  <si>
    <t>PIN-008</t>
  </si>
  <si>
    <t>Pintura Asfaltica Asfasol x18ts</t>
  </si>
  <si>
    <t>MEGAFLEX</t>
  </si>
  <si>
    <t>REV-009</t>
  </si>
  <si>
    <t>Quimtex Romano Fino x 27 kg</t>
  </si>
  <si>
    <t>Quimtex</t>
  </si>
  <si>
    <t>2024-08-05</t>
  </si>
  <si>
    <t>REV-010</t>
  </si>
  <si>
    <t>Quimtex base cuarzo 18 lts</t>
  </si>
  <si>
    <t>AIS-002</t>
  </si>
  <si>
    <t>Membrana Geotextil Ormiflex 4mm - (35kg) x10m</t>
  </si>
  <si>
    <t xml:space="preserve">Membrana EMAPI W450 </t>
  </si>
  <si>
    <t>ADT-002</t>
  </si>
  <si>
    <t>Venda SikaTEX 75 - Rollo</t>
  </si>
  <si>
    <t>Prestifio Web</t>
  </si>
  <si>
    <t>OTR-020</t>
  </si>
  <si>
    <t>Fijador al Aguarras x 4lts</t>
  </si>
  <si>
    <t>Prestigio WEB</t>
  </si>
  <si>
    <t>2024-08-19</t>
  </si>
  <si>
    <t>PINT014</t>
  </si>
  <si>
    <t>OTR-021</t>
  </si>
  <si>
    <t>Fijador al agua x 20 lts</t>
  </si>
  <si>
    <t>PRINZ</t>
  </si>
  <si>
    <t>OTR-022</t>
  </si>
  <si>
    <t>Aguarras Hydrarras Hydra x 18lts</t>
  </si>
  <si>
    <t>PINT016</t>
  </si>
  <si>
    <t>OTR-023</t>
  </si>
  <si>
    <t>Lija 180 al agua x 10u</t>
  </si>
  <si>
    <t>PINT011</t>
  </si>
  <si>
    <t>OTR-024</t>
  </si>
  <si>
    <t>Cinta de Papel 36 mm x 40m</t>
  </si>
  <si>
    <t>PINT012</t>
  </si>
  <si>
    <t>48 mm</t>
  </si>
  <si>
    <t>OTR-025</t>
  </si>
  <si>
    <t>Trapo</t>
  </si>
  <si>
    <t>PINT013</t>
  </si>
  <si>
    <t>CER-008</t>
  </si>
  <si>
    <t>Impregnante p/ Ladrillos Brikol 20 L - Semi Satinado</t>
  </si>
  <si>
    <t>SikaGuard</t>
  </si>
  <si>
    <t>OTR-026</t>
  </si>
  <si>
    <t>Rodillo de lana pelo corto antigota N°22 - El Galgo</t>
  </si>
  <si>
    <t>OTR-027</t>
  </si>
  <si>
    <t>Rodillo de lana pelo largo N°22 - El Galgo</t>
  </si>
  <si>
    <t>OTR-028</t>
  </si>
  <si>
    <t>Pincel N° 20 - El Galgo</t>
  </si>
  <si>
    <t>N25</t>
  </si>
  <si>
    <t>OTR-029</t>
  </si>
  <si>
    <t>Rollo de cartón corrugado 0,90 x 25 mts</t>
  </si>
  <si>
    <t>OTR-030</t>
  </si>
  <si>
    <t>Llana Plástica 12 x 25 cm</t>
  </si>
  <si>
    <t>ACE-015</t>
  </si>
  <si>
    <t>CLAVOS DE 21/2" X 12</t>
  </si>
  <si>
    <t>KG</t>
  </si>
  <si>
    <t>CLAVO25</t>
  </si>
  <si>
    <t>OTR-031</t>
  </si>
  <si>
    <t>FENOLICO 18MM. COMUN 1.22 x 2.40</t>
  </si>
  <si>
    <t>UD</t>
  </si>
  <si>
    <t>Newton</t>
  </si>
  <si>
    <t>2024-10-18</t>
  </si>
  <si>
    <t>FENOLICO</t>
  </si>
  <si>
    <t>OTR-032</t>
  </si>
  <si>
    <t>FENOLICO 18MM. LAMINADO MELAMINICO</t>
  </si>
  <si>
    <t>M2</t>
  </si>
  <si>
    <t>2024-11-06</t>
  </si>
  <si>
    <t>FENOLMEL</t>
  </si>
  <si>
    <t>OTR-033</t>
  </si>
  <si>
    <t>tirante 3x3 para puntal 3.66</t>
  </si>
  <si>
    <t>PUNTA3X3</t>
  </si>
  <si>
    <t>OTR-034</t>
  </si>
  <si>
    <t>tirante 3x6 3.66</t>
  </si>
  <si>
    <t>TIRAN3X6</t>
  </si>
  <si>
    <t>ACE-016</t>
  </si>
  <si>
    <t>ACERO ESTRUCTURAL POR KILO</t>
  </si>
  <si>
    <t>KGF</t>
  </si>
  <si>
    <t>ACEROEST</t>
  </si>
  <si>
    <t>OTR-035</t>
  </si>
  <si>
    <t>Hormigon Elaborado H30</t>
  </si>
  <si>
    <t>Horcrisa</t>
  </si>
  <si>
    <t>2024-11-20</t>
  </si>
  <si>
    <t>Hormigón elaborado</t>
  </si>
  <si>
    <t>HORH30</t>
  </si>
  <si>
    <t>OTR-036</t>
  </si>
  <si>
    <t>Traslado de Bomba</t>
  </si>
  <si>
    <t>Servicios</t>
  </si>
  <si>
    <t>OTR-037</t>
  </si>
  <si>
    <t>Bombeo</t>
  </si>
  <si>
    <t>AGR-007</t>
  </si>
  <si>
    <t>Tosca apisonada</t>
  </si>
  <si>
    <t xml:space="preserve">Naclerio </t>
  </si>
  <si>
    <t>2024-01-15</t>
  </si>
  <si>
    <t>AGREG03</t>
  </si>
  <si>
    <t>AGR-008</t>
  </si>
  <si>
    <t>Aporte de Tosca</t>
  </si>
  <si>
    <t xml:space="preserve">Calmina SUR </t>
  </si>
  <si>
    <t>REV-011</t>
  </si>
  <si>
    <t>Base texturado revear x 25kg</t>
  </si>
  <si>
    <t>ELE-002</t>
  </si>
  <si>
    <t>Caño rigido 1"</t>
  </si>
  <si>
    <t>Casa Castelao</t>
  </si>
  <si>
    <t>2024-12-10</t>
  </si>
  <si>
    <t>ELE-003</t>
  </si>
  <si>
    <t>Caño rigido 7/8"</t>
  </si>
  <si>
    <t>ELE-004</t>
  </si>
  <si>
    <t>Caño rigido 3/4"</t>
  </si>
  <si>
    <t>ACE-017</t>
  </si>
  <si>
    <t>Conector hierro 3/4"</t>
  </si>
  <si>
    <t>ACE-018</t>
  </si>
  <si>
    <t>Conector hierro 7/8"</t>
  </si>
  <si>
    <t>ACE-019</t>
  </si>
  <si>
    <t>Conector hierro 1"</t>
  </si>
  <si>
    <t>ELE-005</t>
  </si>
  <si>
    <t>Cupla PVC 3/4"</t>
  </si>
  <si>
    <t>De hierro</t>
  </si>
  <si>
    <t>ELE-006</t>
  </si>
  <si>
    <t>Cupla PVC 7/8"</t>
  </si>
  <si>
    <t>ELE-007</t>
  </si>
  <si>
    <t>Cupla PVC 1"</t>
  </si>
  <si>
    <t>ELE-008</t>
  </si>
  <si>
    <t>Cable unipolar 1 x 1,50</t>
  </si>
  <si>
    <t>ELE-009</t>
  </si>
  <si>
    <t>Cable unipolar 1 x 2,50 VA</t>
  </si>
  <si>
    <t>ELE-010</t>
  </si>
  <si>
    <t>Cable unipolar 1 x 2,50 Rojo/Marron/Negro</t>
  </si>
  <si>
    <t>ELE-011</t>
  </si>
  <si>
    <t>Cable unipolar 1 x 4,00</t>
  </si>
  <si>
    <t>ELE-012</t>
  </si>
  <si>
    <t>Caja octogonal chica</t>
  </si>
  <si>
    <t>ELE-013</t>
  </si>
  <si>
    <t>Caja octogonal profunda</t>
  </si>
  <si>
    <t>ELE-014</t>
  </si>
  <si>
    <t>Caja rectangular chica</t>
  </si>
  <si>
    <t>OTR-038</t>
  </si>
  <si>
    <t>SMARTTRAY TRX3M BJA PERF 200-22</t>
  </si>
  <si>
    <t>150 mm</t>
  </si>
  <si>
    <t>OTR-039</t>
  </si>
  <si>
    <t>SMARTTRAY TAPA CIEGA P/BJA 200-22</t>
  </si>
  <si>
    <t>2024-08-06</t>
  </si>
  <si>
    <t>ELE-015</t>
  </si>
  <si>
    <t>SMARTTRAY CUPLA UNION  JBCC-M6-100</t>
  </si>
  <si>
    <t>ELE-016</t>
  </si>
  <si>
    <t>GRAMPA FIJACIÓN CABLE</t>
  </si>
  <si>
    <t>OTR-040</t>
  </si>
  <si>
    <t>ACOMETIDA PARA TABLERO</t>
  </si>
  <si>
    <t>OTR-041</t>
  </si>
  <si>
    <t>EMBUDO</t>
  </si>
  <si>
    <t>OTR-042</t>
  </si>
  <si>
    <t>GRAMPA FIJACIÓN 200-22</t>
  </si>
  <si>
    <t>OTR-043</t>
  </si>
  <si>
    <t>BROCA METALICA 1/4</t>
  </si>
  <si>
    <t>Ferretería</t>
  </si>
  <si>
    <t>OTR-044</t>
  </si>
  <si>
    <t>VARILLA ROSCADA 1/4</t>
  </si>
  <si>
    <t>OTR-045</t>
  </si>
  <si>
    <t>TUERCA Y ARANDELA 1/4</t>
  </si>
  <si>
    <t>OTR-046</t>
  </si>
  <si>
    <t>Disco Diamantado Aliafor Turbo Fino TRF</t>
  </si>
  <si>
    <t>Abrafer WEB</t>
  </si>
  <si>
    <t>REV-012</t>
  </si>
  <si>
    <t>Arco y cuña niveladores porcelanatos x 150 un</t>
  </si>
  <si>
    <t>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</t>
  </si>
  <si>
    <t>OTR-047</t>
  </si>
  <si>
    <t>Guante Vaqueta Medio Paseo</t>
  </si>
  <si>
    <t>par</t>
  </si>
  <si>
    <t>OTR-048</t>
  </si>
  <si>
    <t>Recarga de garrafa</t>
  </si>
  <si>
    <t>INVENTADO</t>
  </si>
  <si>
    <t>REV-013</t>
  </si>
  <si>
    <t>Conjunto rotor estator Yeso ASE</t>
  </si>
  <si>
    <t>OTR-049</t>
  </si>
  <si>
    <t>Conjunto rotor estator cementicio</t>
  </si>
  <si>
    <t>OTR-050</t>
  </si>
  <si>
    <t>Espuma de poliuretano x 500 ml</t>
  </si>
  <si>
    <t>MAD-001</t>
  </si>
  <si>
    <t>Madera tirante 5x5cm p/ traviesas</t>
  </si>
  <si>
    <t>Estimado</t>
  </si>
  <si>
    <t>*MADER01</t>
  </si>
  <si>
    <t>MAD-002</t>
  </si>
  <si>
    <t>Madera tabla corriente</t>
  </si>
  <si>
    <t>*MADER03</t>
  </si>
  <si>
    <t>MAD-003</t>
  </si>
  <si>
    <t>Barrotes</t>
  </si>
  <si>
    <t>MAD-004</t>
  </si>
  <si>
    <t>Estacas</t>
  </si>
  <si>
    <t>MAD-005</t>
  </si>
  <si>
    <t>Fenólico común e: 18 mm</t>
  </si>
  <si>
    <t>MAD-006</t>
  </si>
  <si>
    <t>Fenólico visto e: 18 mm</t>
  </si>
  <si>
    <t>MAD-007</t>
  </si>
  <si>
    <t>Pie derecho saligna bruto</t>
  </si>
  <si>
    <t>OTR-PTO001</t>
  </si>
  <si>
    <t xml:space="preserve">Consumibles </t>
  </si>
  <si>
    <t>Tareas/1.02</t>
  </si>
  <si>
    <t>Consumibles</t>
  </si>
  <si>
    <t>PTO_GDR</t>
  </si>
  <si>
    <t>OTR-PTO002</t>
  </si>
  <si>
    <t>Chapa acanalada C25</t>
  </si>
  <si>
    <t>Tareas/1.04</t>
  </si>
  <si>
    <t>Carpintería metálica</t>
  </si>
  <si>
    <t>OTR-PTO003</t>
  </si>
  <si>
    <t>Perfiles UPN 100</t>
  </si>
  <si>
    <t>OTR-PTO004</t>
  </si>
  <si>
    <t xml:space="preserve">Bastidor para porton corredizo - Perfil 40 x 40 x 2 </t>
  </si>
  <si>
    <t>OTR-PTO005</t>
  </si>
  <si>
    <t>Riel Roma 174 e: 2,1 mm. 53 x 60 x 6000</t>
  </si>
  <si>
    <t>OTR-PTO006</t>
  </si>
  <si>
    <t>Carro acero 174 4 ruedas puertas portones Ø45mm</t>
  </si>
  <si>
    <t>OTR-PTO007</t>
  </si>
  <si>
    <t xml:space="preserve">Autoperforantes punta mecha 14 x 2 </t>
  </si>
  <si>
    <t>OTR-PTO008</t>
  </si>
  <si>
    <t>Rollo Concertina</t>
  </si>
  <si>
    <t>OTR-PTO009</t>
  </si>
  <si>
    <t>Chapa acanalada C25 - Reutilizado (estimado 3 usos)</t>
  </si>
  <si>
    <t>Tareas/1.05</t>
  </si>
  <si>
    <t>OTR-PTO010</t>
  </si>
  <si>
    <t>Fenolico 1,22 x 2,44 - Reutilizado (estimado 3 usos)</t>
  </si>
  <si>
    <t>OTR-PTO011</t>
  </si>
  <si>
    <t>Puntales 1 x 4 x 3,7 - Reutilizado (estimado 3 usos)</t>
  </si>
  <si>
    <t>OTR-PTO012</t>
  </si>
  <si>
    <t>Puntales 3 x 3 x 3,7 - Reutilizado (estimado 3 usos)</t>
  </si>
  <si>
    <t>OTR-PTO013</t>
  </si>
  <si>
    <t xml:space="preserve">Flechas 3 x 6 x 3,7 - Reutilizado (estimado 3 usos) </t>
  </si>
  <si>
    <t>OTR-PTO014</t>
  </si>
  <si>
    <t xml:space="preserve">Escalera </t>
  </si>
  <si>
    <t>OTR-PTO015</t>
  </si>
  <si>
    <t xml:space="preserve">Materiales varios </t>
  </si>
  <si>
    <t>Otros</t>
  </si>
  <si>
    <t>OTR-PTO016</t>
  </si>
  <si>
    <t xml:space="preserve">Rollo de cable TPR 3 x 2,5 </t>
  </si>
  <si>
    <t xml:space="preserve">rol </t>
  </si>
  <si>
    <t>OTR-PTO017</t>
  </si>
  <si>
    <t>Zocalo E27</t>
  </si>
  <si>
    <t>OTR-PTO018</t>
  </si>
  <si>
    <t>Lampara Led 12 w</t>
  </si>
  <si>
    <t>OTR-PTO019</t>
  </si>
  <si>
    <t xml:space="preserve">Mat. Elect. (tomas, enchufes, etc.) </t>
  </si>
  <si>
    <t>OTR-PTO020</t>
  </si>
  <si>
    <t>Materiales Sanit</t>
  </si>
  <si>
    <t>Sanitarios</t>
  </si>
  <si>
    <t>OTR-PTO021</t>
  </si>
  <si>
    <t>Inodoro</t>
  </si>
  <si>
    <t>OTR-PTO022</t>
  </si>
  <si>
    <t xml:space="preserve">Mochila plastico </t>
  </si>
  <si>
    <t>OTR-PTO023</t>
  </si>
  <si>
    <t xml:space="preserve">Bacha </t>
  </si>
  <si>
    <t>OTR-PTO024</t>
  </si>
  <si>
    <t>Termo electrico 40 lts</t>
  </si>
  <si>
    <t>OTR-PTO025</t>
  </si>
  <si>
    <t>Pilar de obra, albañileria</t>
  </si>
  <si>
    <t>d</t>
  </si>
  <si>
    <t>Tareas/1.07</t>
  </si>
  <si>
    <t>OTR-PTO026</t>
  </si>
  <si>
    <t>Kit medidor pilar Edenor Conextube</t>
  </si>
  <si>
    <t>OTR-PTO027</t>
  </si>
  <si>
    <t>Kit jabalina + caja + toma cable</t>
  </si>
  <si>
    <t>OTR-PTO028</t>
  </si>
  <si>
    <t>Cable subterraneo 5 x 10 mm2</t>
  </si>
  <si>
    <t>mts</t>
  </si>
  <si>
    <t>OTR-PTO029</t>
  </si>
  <si>
    <t>Tablero de obra</t>
  </si>
  <si>
    <t>OTR-PTO030</t>
  </si>
  <si>
    <t>Tanque de Bombeo 500 lts (reutilizado)</t>
  </si>
  <si>
    <t>Tareas/1.08</t>
  </si>
  <si>
    <t>OTR-PTO031</t>
  </si>
  <si>
    <t xml:space="preserve">Bomba pres (reutilizada) </t>
  </si>
  <si>
    <t>OTR-PTO032</t>
  </si>
  <si>
    <t xml:space="preserve">Flotante mecanico 1" + boya </t>
  </si>
  <si>
    <t>OTR-PTO033</t>
  </si>
  <si>
    <t>Flotante automatico</t>
  </si>
  <si>
    <t>OTR-PTO034</t>
  </si>
  <si>
    <t>Caño 3/4"</t>
  </si>
  <si>
    <t>OTR-PTO035</t>
  </si>
  <si>
    <t>Val. esf doble media union 1"</t>
  </si>
  <si>
    <t>OTR-PTO036</t>
  </si>
  <si>
    <t xml:space="preserve">Canilla de pvc </t>
  </si>
  <si>
    <t>OTR-PTO037</t>
  </si>
  <si>
    <t>Desperdicio</t>
  </si>
  <si>
    <t>OTR-PTO038</t>
  </si>
  <si>
    <t>Alquiler vibropison</t>
  </si>
  <si>
    <t>Tareas/2.02</t>
  </si>
  <si>
    <t>OTR-PTO039</t>
  </si>
  <si>
    <t>PTO 2.03</t>
  </si>
  <si>
    <t>OTR-PTO040</t>
  </si>
  <si>
    <t>H8</t>
  </si>
  <si>
    <t>Tareas/3.01</t>
  </si>
  <si>
    <t>OTR-PTO041</t>
  </si>
  <si>
    <t>Bomba</t>
  </si>
  <si>
    <t>OTR-PTO042</t>
  </si>
  <si>
    <t>Hierro del 6</t>
  </si>
  <si>
    <t>Tareas/3.02</t>
  </si>
  <si>
    <t>OTR-PTO043</t>
  </si>
  <si>
    <t>CEMENTO AVELLANEDA x 50 KG</t>
  </si>
  <si>
    <t>OTR-PTO044</t>
  </si>
  <si>
    <t>PTO 3.03</t>
  </si>
  <si>
    <t>OTR-PTO045</t>
  </si>
  <si>
    <t>PTO 3.04</t>
  </si>
  <si>
    <t>OTR-PTO046</t>
  </si>
  <si>
    <t>PTO 3.05</t>
  </si>
  <si>
    <t>OTR-PTO047</t>
  </si>
  <si>
    <t>PTO 3.06</t>
  </si>
  <si>
    <t>OTR-PTO048</t>
  </si>
  <si>
    <t>PTO 3.07</t>
  </si>
  <si>
    <t>OTR-PTO049</t>
  </si>
  <si>
    <t>PTO 3.08</t>
  </si>
  <si>
    <t>OTR-PTO050</t>
  </si>
  <si>
    <t>PTO 3.09</t>
  </si>
  <si>
    <t>OTR-PTO051</t>
  </si>
  <si>
    <t xml:space="preserve">Losa maciza de Hº visto - H35 (100 kg/m3 de hierro) </t>
  </si>
  <si>
    <t>PTO 3.1</t>
  </si>
  <si>
    <t>OTR-PTO052</t>
  </si>
  <si>
    <t>PTO 3.11</t>
  </si>
  <si>
    <t>OTR-PTO053</t>
  </si>
  <si>
    <t xml:space="preserve">Vigas de H° visto - H35 (180 kg/m3 de hierro) </t>
  </si>
  <si>
    <t>PTO 3.12</t>
  </si>
  <si>
    <t>OTR-PTO054</t>
  </si>
  <si>
    <t>PTO 3.13</t>
  </si>
  <si>
    <t>OTR-PTO055</t>
  </si>
  <si>
    <t>PTO 3.14</t>
  </si>
  <si>
    <t>OTR-PTO056</t>
  </si>
  <si>
    <t>PTO 3.16</t>
  </si>
  <si>
    <t>OTR-PTO057</t>
  </si>
  <si>
    <t>PTO 3.17</t>
  </si>
  <si>
    <t>OTR-PTO058</t>
  </si>
  <si>
    <t>PTO 3.18</t>
  </si>
  <si>
    <t>OTR-PTO059</t>
  </si>
  <si>
    <t>PTO 3.21</t>
  </si>
  <si>
    <t>OTR-PTO060</t>
  </si>
  <si>
    <t>Consumibles - Punta martillo</t>
  </si>
  <si>
    <t>Tareas/3.22</t>
  </si>
  <si>
    <t>OTR-PTO061</t>
  </si>
  <si>
    <t>OTR-PTO062</t>
  </si>
  <si>
    <t>Weber celublock x 30 kg</t>
  </si>
  <si>
    <t>Tareas/4.05</t>
  </si>
  <si>
    <t>OTR-PTO063</t>
  </si>
  <si>
    <t>H30 6.20</t>
  </si>
  <si>
    <t>Tareas/4.08</t>
  </si>
  <si>
    <t>OTR-PTO064</t>
  </si>
  <si>
    <t>Taco quimico</t>
  </si>
  <si>
    <t>OTR-PTO065</t>
  </si>
  <si>
    <t xml:space="preserve">Contrapiso </t>
  </si>
  <si>
    <t>Tareas/4.09</t>
  </si>
  <si>
    <t>OTR-PTO066</t>
  </si>
  <si>
    <t>Carpeta</t>
  </si>
  <si>
    <t>OTR-PTO067</t>
  </si>
  <si>
    <t>HªAª</t>
  </si>
  <si>
    <t>Tareas/4.11</t>
  </si>
  <si>
    <t>OTR-PTO068</t>
  </si>
  <si>
    <t xml:space="preserve">Malla </t>
  </si>
  <si>
    <t>OTR-PTO069</t>
  </si>
  <si>
    <t>Tapa Y Marco Para Tanque De Hormigón Poliéster 52 X 52 Cm</t>
  </si>
  <si>
    <t>Tareas/4.12</t>
  </si>
  <si>
    <t>OTR-PTO070</t>
  </si>
  <si>
    <t>Volquete</t>
  </si>
  <si>
    <t>Tareas/4.13</t>
  </si>
  <si>
    <t>OTR-PTO071</t>
  </si>
  <si>
    <t>Ladrillo del 8</t>
  </si>
  <si>
    <t>Tareas/4.14</t>
  </si>
  <si>
    <t>OTR-PTO072</t>
  </si>
  <si>
    <t>Revoque grueso bajo revest.</t>
  </si>
  <si>
    <t>OTR-PTO073</t>
  </si>
  <si>
    <t>Sellador / Silicona (2 bañeras)</t>
  </si>
  <si>
    <t>OTR-PTO074</t>
  </si>
  <si>
    <t>Consumibles / Material de asiento</t>
  </si>
  <si>
    <t>OTR-PTO075</t>
  </si>
  <si>
    <t>Telgopor 1 x 1 x 20 mm densidad 20 kg</t>
  </si>
  <si>
    <t>Cotizaciones D50</t>
  </si>
  <si>
    <t>OTR-PTO076</t>
  </si>
  <si>
    <t>Babeta de amure C25, des. 200 mm x 2,44 m</t>
  </si>
  <si>
    <t>Tareas/6.02</t>
  </si>
  <si>
    <t>OTR-PTO077</t>
  </si>
  <si>
    <t xml:space="preserve">Sellador / Silicona (rinde 5 mts) </t>
  </si>
  <si>
    <t>OTR-PTO078</t>
  </si>
  <si>
    <t>Yeso Knauf MP 40/75 Proyectable x 25 kg - (17 kg/m2)</t>
  </si>
  <si>
    <t>Tareas/7.03</t>
  </si>
  <si>
    <t>OTR-PTO079</t>
  </si>
  <si>
    <t>PA-MAX PUENTE DE ADHERENCIA 20LT (150 m2/tac) - Contemplo el 20% de los m2</t>
  </si>
  <si>
    <t>OTR-PTO080</t>
  </si>
  <si>
    <t xml:space="preserve">Malla de fibra 5 x 5 90 gr, rollo 1 x 50 mts - Contemplo el 20% de los m2 </t>
  </si>
  <si>
    <t>OTR-PTO081</t>
  </si>
  <si>
    <t>Guardacanto yesero 2,00 mts</t>
  </si>
  <si>
    <t>Tareas/7.05</t>
  </si>
  <si>
    <t>OTR-PTO082</t>
  </si>
  <si>
    <t>Rollo Polietileno negro 2x50 mt x 200mic</t>
  </si>
  <si>
    <t>Tareas/8.01</t>
  </si>
  <si>
    <t>OTR-PTO083</t>
  </si>
  <si>
    <t>Malla Q188 15 x 15 6 mm 6x2,40</t>
  </si>
  <si>
    <t>OTR-PTO084</t>
  </si>
  <si>
    <t>H13 6.20</t>
  </si>
  <si>
    <t>OTR-PTO085</t>
  </si>
  <si>
    <t xml:space="preserve">Acarreo </t>
  </si>
  <si>
    <t>Tareas/8.02</t>
  </si>
  <si>
    <t>OTR-PTO086</t>
  </si>
  <si>
    <t>sem</t>
  </si>
  <si>
    <t>OTR-PTO087</t>
  </si>
  <si>
    <t>Tomado de puntos y niveles</t>
  </si>
  <si>
    <t>Tareas/8.04</t>
  </si>
  <si>
    <t>OTR-PTO088</t>
  </si>
  <si>
    <t xml:space="preserve">RDC 350 </t>
  </si>
  <si>
    <t>OTR-PTO089</t>
  </si>
  <si>
    <t>BOLSON DE BINDER 6/12</t>
  </si>
  <si>
    <t>Tareas/8.05</t>
  </si>
  <si>
    <t>OTR-PTO090</t>
  </si>
  <si>
    <t>BOLSON DE ARENA</t>
  </si>
  <si>
    <t>OTR-PTO091</t>
  </si>
  <si>
    <t>Sika Floor 200 Level (25 kg) - 1,5 kg/m2/mm</t>
  </si>
  <si>
    <t>Tareas/8.06</t>
  </si>
  <si>
    <t>OTR-PTO092</t>
  </si>
  <si>
    <t>Sika latex x 5 kg - (200 gr/m2)</t>
  </si>
  <si>
    <t>OTR-PTO093</t>
  </si>
  <si>
    <t>Carpeta cilindrada</t>
  </si>
  <si>
    <t>Tareas/9.01</t>
  </si>
  <si>
    <t>OTR-PTO094</t>
  </si>
  <si>
    <t>PERFIL ANGULO ALAS IGUALES ESTRUCTURAL ACERO 6M X 5/8" X 1/8</t>
  </si>
  <si>
    <t>Tareas/9.02</t>
  </si>
  <si>
    <t>OTR-PTO095</t>
  </si>
  <si>
    <t>Esmalte sintetico</t>
  </si>
  <si>
    <t xml:space="preserve">lts </t>
  </si>
  <si>
    <t>OTR-PTO096</t>
  </si>
  <si>
    <t>Electrodos</t>
  </si>
  <si>
    <t>OTR-PTO097</t>
  </si>
  <si>
    <t>PTO 11.05</t>
  </si>
  <si>
    <t>OTR-PTO098</t>
  </si>
  <si>
    <t>CAL MILAGRO x 25 KG</t>
  </si>
  <si>
    <t>Tareas/11.07</t>
  </si>
  <si>
    <t>OTR-PTO099</t>
  </si>
  <si>
    <t>PASTINA PRESTIGE NIEVE X 2KG</t>
  </si>
  <si>
    <t>OTR-PTO100</t>
  </si>
  <si>
    <t>Zocalo 5,6cm Madera Mdf Redondeado Prepintado Blanco Pz-56l</t>
  </si>
  <si>
    <t>Tareas/12.02</t>
  </si>
  <si>
    <t>OTR-PTO101</t>
  </si>
  <si>
    <t>WEBER REFRACTARIO X 10KG (rend. 0,5 m2)</t>
  </si>
  <si>
    <t>Tareas/13.03</t>
  </si>
  <si>
    <t>OTR-PTO102</t>
  </si>
  <si>
    <t>PA-MAX PUENTE DE ADHERENCIA 20LT (150 m2/tac) - Contemplo el 100% de los m2</t>
  </si>
  <si>
    <t>Tareas/14.01</t>
  </si>
  <si>
    <t>OTR-PTO103</t>
  </si>
  <si>
    <t>[Materiales] Latex exterior mate en paredes, color bco., sin enduido, a mas de 3 m de altura - Medianeras</t>
  </si>
  <si>
    <t>PTO 15.01</t>
  </si>
  <si>
    <t>OTR-PTO104</t>
  </si>
  <si>
    <t>Sikaguard 0,350 lts/m2</t>
  </si>
  <si>
    <t>Tareas/15.07</t>
  </si>
  <si>
    <t>OTR-PTO105</t>
  </si>
  <si>
    <t>Pintura acrílica Sintevial para demarcación vial brillante amarillo</t>
  </si>
  <si>
    <t>Tareas/15.1</t>
  </si>
  <si>
    <t>OTR-PTO106</t>
  </si>
  <si>
    <t>Tareas/15.12</t>
  </si>
  <si>
    <t>OTR-PTO107</t>
  </si>
  <si>
    <t>Tablero servicios generales - TSG [ELECT]</t>
  </si>
  <si>
    <t>Hoja ELECT</t>
  </si>
  <si>
    <t>Tableros eléctricos</t>
  </si>
  <si>
    <t>OTR-PTO108</t>
  </si>
  <si>
    <t>Tablero seccional, bombas de elevación - TSBE [ELECT]</t>
  </si>
  <si>
    <t>OTR-PTO109</t>
  </si>
  <si>
    <t>Tablero seccional ascensor - TSASC [ELECT]</t>
  </si>
  <si>
    <t>OTR-PTO110</t>
  </si>
  <si>
    <t>Tablero seccional departamento - TSD [ELECT]</t>
  </si>
  <si>
    <t>OTR-PTO111</t>
  </si>
  <si>
    <t>Materiales</t>
  </si>
  <si>
    <t>Tareas/18.2</t>
  </si>
  <si>
    <t>OTR-PTO112</t>
  </si>
  <si>
    <t>Mat</t>
  </si>
  <si>
    <t>Tareas/18.31</t>
  </si>
  <si>
    <t>OTR-PTO113</t>
  </si>
  <si>
    <t>Tendido caño cloacal en planta baja [CLOACAL]</t>
  </si>
  <si>
    <t>Hoja CLOACAL</t>
  </si>
  <si>
    <t>OTR-PTO114</t>
  </si>
  <si>
    <t>Por armar CDV en planta tipo [CLOACAL]</t>
  </si>
  <si>
    <t>OTR-PTO115</t>
  </si>
  <si>
    <t>Montantes, remate y ventilación a los 4 vientos [CLOACAL]</t>
  </si>
  <si>
    <t>OTR-PTO116</t>
  </si>
  <si>
    <t>Tendido caño pluvial en planta baja  [CLOACAL]</t>
  </si>
  <si>
    <t>OTR-PTO117</t>
  </si>
  <si>
    <t>Tendido caño pluvial por pisos [CLOACAL]</t>
  </si>
  <si>
    <t>OTR-PTO118</t>
  </si>
  <si>
    <t>Instalación tanque de recupero y bombeo pluvial [CLOACAL]</t>
  </si>
  <si>
    <t>OTR-PTO119</t>
  </si>
  <si>
    <t>Tendido caño de agua hasta TB. Colocación de TB, armado de colector y cuadro de bombas [AF.AC]</t>
  </si>
  <si>
    <t>Hoja AF.AC</t>
  </si>
  <si>
    <t>OTR-PTO120</t>
  </si>
  <si>
    <t>Armado de colector, subida y bajadas de AF [AF.AC]</t>
  </si>
  <si>
    <t>OTR-PTO121</t>
  </si>
  <si>
    <t>Colocación de bomba presurizadora, armado de colector y montantes presurizadas (ultimo piso 4°) AF [AF.AC]</t>
  </si>
  <si>
    <t>OTR-PTO122</t>
  </si>
  <si>
    <t>Distribución agua fria y caliente en planta tipo [AF.AC]</t>
  </si>
  <si>
    <t>OTR-PTO123</t>
  </si>
  <si>
    <t>Colocación de artefactos y griferias [AF.AC]</t>
  </si>
  <si>
    <t>OTR-PTO124</t>
  </si>
  <si>
    <t>PTO 19.12</t>
  </si>
  <si>
    <t>Piso radiante y calefacción</t>
  </si>
  <si>
    <t>OTR-PTO125</t>
  </si>
  <si>
    <t>Tendido de cañerías de piso radiante - Colectores, gabinetes y termostatos a cargo del comitente [CALEFA]</t>
  </si>
  <si>
    <t>Hoja CALEFA</t>
  </si>
  <si>
    <t>OTR-PTO126</t>
  </si>
  <si>
    <t>Montaje de caldera y puesta en marcha - Provisión a cargo del comitente, incluida las ventilaciones [CALEFA]</t>
  </si>
  <si>
    <t>OTR-PTO127</t>
  </si>
  <si>
    <t>Tendido cañeria de incendio - Gabinetes, tapas, mangueras y lanzas cotizadas en provisiones [INCEND]</t>
  </si>
  <si>
    <t>Hoja INCEND</t>
  </si>
  <si>
    <t>Incendio</t>
  </si>
  <si>
    <t>OTR-PTO128</t>
  </si>
  <si>
    <t>Provisión y tendido de cañerías de gas a cada UF [GAS]</t>
  </si>
  <si>
    <t>Hoja GAS</t>
  </si>
  <si>
    <t>Gas</t>
  </si>
  <si>
    <t>OTR-PTO129</t>
  </si>
  <si>
    <t>PTO 19.17</t>
  </si>
  <si>
    <t>OTR-PTO130</t>
  </si>
  <si>
    <t>PTO 19.18</t>
  </si>
  <si>
    <t>OTR-PTO131</t>
  </si>
  <si>
    <t>Mmaposteria</t>
  </si>
  <si>
    <t>Tareas/23.01</t>
  </si>
  <si>
    <t>OTR-PTO132</t>
  </si>
  <si>
    <t>Revoque</t>
  </si>
  <si>
    <t>OTR-PTO133</t>
  </si>
  <si>
    <t xml:space="preserve">Dintel </t>
  </si>
  <si>
    <t>OTR-PTO134</t>
  </si>
  <si>
    <t>Consumibles (maderas, apuntalamiento, discos, etc.)</t>
  </si>
  <si>
    <t>OTR-PTO135</t>
  </si>
  <si>
    <t>M.Obra</t>
  </si>
  <si>
    <t>Tareas/23.02</t>
  </si>
  <si>
    <t>OTR-PTO136</t>
  </si>
  <si>
    <t>Consumibles (punta martillo/discos/etc.)</t>
  </si>
  <si>
    <t>Tareas/23.03</t>
  </si>
  <si>
    <t>OTR-PTO137</t>
  </si>
  <si>
    <t>Defensas</t>
  </si>
  <si>
    <t>Tareas/24.04</t>
  </si>
  <si>
    <t>OTR-PTO138</t>
  </si>
  <si>
    <t>Tabla 4 x 1 x 3,6 Saligna bruto</t>
  </si>
  <si>
    <t>OTR-PTO139</t>
  </si>
  <si>
    <t>Tirante 3 x 3 x 3,6 Saligna bruto</t>
  </si>
  <si>
    <t>OTR-PTO140</t>
  </si>
  <si>
    <t xml:space="preserve">Mat. </t>
  </si>
  <si>
    <t>Tareas/24.05</t>
  </si>
  <si>
    <t>OTR-PTO141</t>
  </si>
  <si>
    <t>MT para Revestimiento tipo Tarquini hasta 3 m de altura</t>
  </si>
  <si>
    <t>Tareas/15.08</t>
  </si>
  <si>
    <t>OTR-PTO142</t>
  </si>
  <si>
    <t>Materiales adicionales cálculo % s/MAT (35%)</t>
  </si>
  <si>
    <t>PTO-0502 GDR % s/MAT</t>
  </si>
  <si>
    <t>OTR-PTO143</t>
  </si>
  <si>
    <t>Materiales adicionales cálculo % s/MAT (20%)</t>
  </si>
  <si>
    <t>PTO-0506 GDR % s/MAT</t>
  </si>
  <si>
    <t>MAT-CONS</t>
  </si>
  <si>
    <t>Consumibles porcentuales (precio=$1)</t>
  </si>
  <si>
    <t>APU_GDR</t>
  </si>
  <si>
    <t>OTR-PTO144</t>
  </si>
  <si>
    <t>Consumibles topógrafo y obras preliminares</t>
  </si>
  <si>
    <t>PTO-0102 Tareas item MAT_corr</t>
  </si>
  <si>
    <t>OTR-PTO145</t>
  </si>
  <si>
    <t>Materiales adicionales s/MAT 35% - PTO-0502</t>
  </si>
  <si>
    <t>PTO-0502 GDR %</t>
  </si>
  <si>
    <t>OTR-PTO146</t>
  </si>
  <si>
    <t>Materiales adicionales s/MAT 20% - PTO-0506</t>
  </si>
  <si>
    <t>PTO-0506 GDR %</t>
  </si>
  <si>
    <t>OTR-PTO147</t>
  </si>
  <si>
    <t>Voltimetro Display Ojo de Buey 22 mm (220vca ø22mm / IP44)</t>
  </si>
  <si>
    <t>ELECT TSG</t>
  </si>
  <si>
    <t>ELECT_GDR</t>
  </si>
  <si>
    <t>OTR-PTO148</t>
  </si>
  <si>
    <t>STECK DIFERENCIAL 4X40A 30MA (4x40A)</t>
  </si>
  <si>
    <t>OTR-PTO149</t>
  </si>
  <si>
    <t>STECK DIFERENCIAL 2X25A 30MA (2X40A)</t>
  </si>
  <si>
    <t>OTR-PTO150</t>
  </si>
  <si>
    <t>STECK TM TETRAPOLAR 50A 6KA (4 x 50 A)</t>
  </si>
  <si>
    <t>OTR-PTO151</t>
  </si>
  <si>
    <t>STECK TM TETRAPOLAR 32A 6KA (4 X 25A)</t>
  </si>
  <si>
    <t>OTR-PTO152</t>
  </si>
  <si>
    <t>STECK TM BIPOLAR 16A 6KA (2 X 16A)</t>
  </si>
  <si>
    <t>OTR-PTO153</t>
  </si>
  <si>
    <t>STECK TM BIPOLAR 10A 6KA (2 X 10A)</t>
  </si>
  <si>
    <t>OTR-PTO154</t>
  </si>
  <si>
    <t>GAB. IP65 SERIE 9000 600X900X225</t>
  </si>
  <si>
    <t>OTR-PTO155</t>
  </si>
  <si>
    <t>CONTRAF ABISAG CALADO 60BIP S9000 600X900</t>
  </si>
  <si>
    <t>OTR-PTO156</t>
  </si>
  <si>
    <t>SOP REG P/CONTRAFRENTE PROF 225 X1</t>
  </si>
  <si>
    <t>OTR-PTO157</t>
  </si>
  <si>
    <t>RIEL PORTA ELEMENTOS X 1 METRO</t>
  </si>
  <si>
    <t>OTR-PTO158</t>
  </si>
  <si>
    <t>DISTRIBUIDOR TETRAP.160A 15 STD</t>
  </si>
  <si>
    <t>OTR-PTO159</t>
  </si>
  <si>
    <t>RLLOX100M 1X 6,0MM NEGRO N.IRAM (1 x 6 mm)</t>
  </si>
  <si>
    <t>OTR-PTO160</t>
  </si>
  <si>
    <t>GAB. IP65 SERIE 9000 300X300X150 (300 X 300 X 150)</t>
  </si>
  <si>
    <t>ELECT TSBI</t>
  </si>
  <si>
    <t>OTR-PTO161</t>
  </si>
  <si>
    <t>CONTRAF ABISAG.CALADO 10BIP S9000 300X300</t>
  </si>
  <si>
    <t>OTR-PTO162</t>
  </si>
  <si>
    <t>ALTERNADOR 2 BOMBA DIGITAL 24/110/220VCA (220/24v)</t>
  </si>
  <si>
    <t>OTR-PTO163</t>
  </si>
  <si>
    <t>Transformador 220/24 V 50 VA</t>
  </si>
  <si>
    <t>OTR-PTO164</t>
  </si>
  <si>
    <t>LC1D18M7 18A 7,5KW 1+1 220V</t>
  </si>
  <si>
    <t>OTR-PTO165</t>
  </si>
  <si>
    <t>STECK TM TETRAPOLAR 32A 6KA (4 X 32A)</t>
  </si>
  <si>
    <t>ELECT TS.ASC</t>
  </si>
  <si>
    <t>OTR-PTO166</t>
  </si>
  <si>
    <t>STECK DIFERENCIAL 2X25A 30MA (2 x 25A)</t>
  </si>
  <si>
    <t>ELECT TUF</t>
  </si>
  <si>
    <t>OTR-PTO167</t>
  </si>
  <si>
    <t>STECK TM BIPOLAR 10A 6KA (10A)</t>
  </si>
  <si>
    <t>OTR-PTO168</t>
  </si>
  <si>
    <t>STECK TM BIPOLAR 16A 6KA (16A)</t>
  </si>
  <si>
    <t>OTR-PTO169</t>
  </si>
  <si>
    <t>CAJA EMB P/ TM 36 POLOS BC T/FUME</t>
  </si>
  <si>
    <t>OTR-PTO170</t>
  </si>
  <si>
    <t>RIEL DIN 35MM 1 METRO PERFOR.</t>
  </si>
  <si>
    <t>OTR-PTO171</t>
  </si>
  <si>
    <t>CAÑOX3M RIGIDO 25MM PVC TUBE</t>
  </si>
  <si>
    <t>ELECT MONTANTE</t>
  </si>
  <si>
    <t>OTR-PTO172</t>
  </si>
  <si>
    <t>RIEL DE FIJAC.1.22 OLMAR</t>
  </si>
  <si>
    <t>OTR-PTO173</t>
  </si>
  <si>
    <t>BROCA METALICA 1/4 CJA X 100</t>
  </si>
  <si>
    <t>OTR-PTO174</t>
  </si>
  <si>
    <t>VARILLA ROSCADA 1/4"X1MTC/BUL.</t>
  </si>
  <si>
    <t>OTR-PTO175</t>
  </si>
  <si>
    <t>GRAMPA P/RIEL 1</t>
  </si>
  <si>
    <t>OTR-PTO176</t>
  </si>
  <si>
    <t>CAJA DE CONEXION 30X40X10 CH20</t>
  </si>
  <si>
    <t>OTR-PTO177</t>
  </si>
  <si>
    <t>CONECTOR 25MM PVC RIG IP54 TUBE</t>
  </si>
  <si>
    <t>OTR-PTO178</t>
  </si>
  <si>
    <t>Cable unipolar 10 mm N.IRAM (UF monos (220 ml en syntenax))</t>
  </si>
  <si>
    <t>OTR-PTO179</t>
  </si>
  <si>
    <t>RLLOX100M 1X 6,0MM NEGRO N.IRAM (UF trifasicas (222 ml en syntenax))</t>
  </si>
  <si>
    <t>OTR-PTO180</t>
  </si>
  <si>
    <t>RLLOX100M 1X 4,0MM NEGRO N.IRAM (Bombas PB + Bombas Pres. (45 ml))</t>
  </si>
  <si>
    <t>OTR-PTO181</t>
  </si>
  <si>
    <t>RLLOX100M 1X16 MM VD/ AM N.IRAM (UF trifasicas (25 ml en syntenax))</t>
  </si>
  <si>
    <t>OTR-PTO182</t>
  </si>
  <si>
    <t>RLLOX100M 1X 1,5MM NEGRO N.IRAM (Cable testigo)</t>
  </si>
  <si>
    <t>ELECT MontanteTV</t>
  </si>
  <si>
    <t>OTR-PTO183</t>
  </si>
  <si>
    <t>M SUBTERRANEO N IRAM 1X 120MM2 (1 x 120)</t>
  </si>
  <si>
    <t>ELECT ACOMETIDA</t>
  </si>
  <si>
    <t>OTR-PTO184</t>
  </si>
  <si>
    <t>[66039162] GAB 4 MED TRIF C/TM + DIF (EDENOR)</t>
  </si>
  <si>
    <t>OTR-PTO185</t>
  </si>
  <si>
    <t>[66039155] GAB 1 MED TRIF C/TM + DIF (EDENOR)</t>
  </si>
  <si>
    <t>OTR-PTO186</t>
  </si>
  <si>
    <t>[62009010] CAJA TOMA 500A C/ 6 BASES NH (EDENOR)</t>
  </si>
  <si>
    <t>OTR-PTO187</t>
  </si>
  <si>
    <t>Fusible NH 00 63 A</t>
  </si>
  <si>
    <t>OTR-PTO188</t>
  </si>
  <si>
    <t>Fusible NH 02 a 125 A</t>
  </si>
  <si>
    <t>OTR-PTO189</t>
  </si>
  <si>
    <t>M COBRE DESNUDO 7H 25MM (1 x 25 desnudo)</t>
  </si>
  <si>
    <t>ELECT Puesta tierra</t>
  </si>
  <si>
    <t>OTR-PTO190</t>
  </si>
  <si>
    <t>CONDUWELD JAB ST 3/4 1.5M (Jabalina 3/4" x 1,5 m)</t>
  </si>
  <si>
    <t>OTR-PTO191</t>
  </si>
  <si>
    <t>CAJA INSPECCION 15 x 15 PVC</t>
  </si>
  <si>
    <t>OTR-PTO192</t>
  </si>
  <si>
    <t>Tubo Ø 16 mm PEX, rollo por 240 m - HidroFlex Saladillo</t>
  </si>
  <si>
    <t>OTR-PTO193</t>
  </si>
  <si>
    <t>Membrana térmica HidroFlex, rollo 1x20 m, e: 10 mm - HidroFlex Saladillo</t>
  </si>
  <si>
    <t>OTR-PTO194</t>
  </si>
  <si>
    <t>Curva tubos Ø 16 mm - HidroFlex Saladillo</t>
  </si>
  <si>
    <t>OTR-PTO195</t>
  </si>
  <si>
    <t>Precintos 200 mm x paquete</t>
  </si>
  <si>
    <t>OTR-PTO196</t>
  </si>
  <si>
    <t>Codo c/rosca 3/4"</t>
  </si>
  <si>
    <t>OTR-PTO197</t>
  </si>
  <si>
    <t>H-3 TUBO AGUA CALIENTE 19X3.9X6</t>
  </si>
  <si>
    <t>tira</t>
  </si>
  <si>
    <t>OTR-PTO198</t>
  </si>
  <si>
    <t>Codo 3/4"</t>
  </si>
  <si>
    <t>OTR-PTO199</t>
  </si>
  <si>
    <t>Coverthor blanco 3/8" (Ø 16mm) - Coverthor Saladillo</t>
  </si>
  <si>
    <t>OTR-PTO200</t>
  </si>
  <si>
    <t>Malla N° 4 Liv 15x15 3x2 mt</t>
  </si>
  <si>
    <t>OTR-PTO201</t>
  </si>
  <si>
    <t>Kit flexible caldera</t>
  </si>
  <si>
    <t>OTR-PTO202</t>
  </si>
  <si>
    <t>Caño HG sin cupla 2 1/2 x 6,40 mts</t>
  </si>
  <si>
    <t>OTR-PTO203</t>
  </si>
  <si>
    <t>Codo HG a 90 HH 2 1/2</t>
  </si>
  <si>
    <t>OTR-PTO204</t>
  </si>
  <si>
    <t>Rosca con tuerca de 2 1/2</t>
  </si>
  <si>
    <t>OTR-PTO205</t>
  </si>
  <si>
    <t>Cupla HG 2 1/2</t>
  </si>
  <si>
    <t>OTR-PTO206</t>
  </si>
  <si>
    <t>Tee reduccion HG 2 1/2 x 2</t>
  </si>
  <si>
    <t>OTR-PTO207</t>
  </si>
  <si>
    <t>Valvula teatro 2 x 1 3/4</t>
  </si>
  <si>
    <t>OTR-PTO208</t>
  </si>
  <si>
    <t>Valvula de impulsion de 2 1/2</t>
  </si>
  <si>
    <t>OTR-PTO209</t>
  </si>
  <si>
    <t>VR 2 1/2 BR</t>
  </si>
  <si>
    <t>OTR-PTO210</t>
  </si>
  <si>
    <t>Llave de paso esférica de 20mm</t>
  </si>
  <si>
    <t>OTR-PTO211</t>
  </si>
  <si>
    <t>Llave de paso esférica de 32mm</t>
  </si>
  <si>
    <t>OTR-PTO212</t>
  </si>
  <si>
    <t>Codo a 90° de 20mm</t>
  </si>
  <si>
    <t>OTR-PTO213</t>
  </si>
  <si>
    <t>Codo a 90° de 32mm</t>
  </si>
  <si>
    <t>OTR-PTO214</t>
  </si>
  <si>
    <t>Cupla de reduccion de 32x20mm</t>
  </si>
  <si>
    <t>OTR-PTO215</t>
  </si>
  <si>
    <t>Niple corto con tope 32mm</t>
  </si>
  <si>
    <t>OTR-PTO216</t>
  </si>
  <si>
    <t>Te de reduccion central de 32x20mm</t>
  </si>
  <si>
    <t>OTR-PTO217</t>
  </si>
  <si>
    <t>Te normal de 32mm</t>
  </si>
  <si>
    <t>OTR-PTO218</t>
  </si>
  <si>
    <t>Tubo acero polietileno de 20mm L=4m</t>
  </si>
  <si>
    <t>OTR-PTO219</t>
  </si>
  <si>
    <t>Tubo acero polietileno de 32mm L=4m</t>
  </si>
  <si>
    <t>OTR-PTO220</t>
  </si>
  <si>
    <t>Codo a 90° de 20mm c/RH 1/2"</t>
  </si>
  <si>
    <t>OTR-PTO221</t>
  </si>
  <si>
    <t>Codo a 90° de 32mm c/RH 3/4"</t>
  </si>
  <si>
    <t>OTR-PTO222</t>
  </si>
  <si>
    <t>CAÑO EPOXI 1 1/4 x 6,40</t>
  </si>
  <si>
    <t>OTR-PTO223</t>
  </si>
  <si>
    <t>EPOXI TEE 1 1/4</t>
  </si>
  <si>
    <t>OTR-PTO224</t>
  </si>
  <si>
    <t>EPOXI CODO 90 HH 1 1/4</t>
  </si>
  <si>
    <t>OTR-PTO225</t>
  </si>
  <si>
    <t>BRONCE BUJE RED 1 1/4 x 1</t>
  </si>
  <si>
    <t>OTR-PTO226</t>
  </si>
  <si>
    <t>SUYAI ESFERICA P/GAS FORJADA 1 1/4</t>
  </si>
  <si>
    <t>OTR-PTO227</t>
  </si>
  <si>
    <t>FUSIOGAS TRANSICION HEMBRA 32 x 1</t>
  </si>
  <si>
    <t>OTR-PTO228</t>
  </si>
  <si>
    <t>REGULADOR GAS GS-25 N/M3H</t>
  </si>
  <si>
    <t>Salario/día $</t>
  </si>
  <si>
    <t>Coef. Cargas</t>
  </si>
  <si>
    <t>Costo Jornal $</t>
  </si>
  <si>
    <t>AYUDANTE</t>
  </si>
  <si>
    <t>Operativo</t>
  </si>
  <si>
    <t>MO-AYU02</t>
  </si>
  <si>
    <t>MO-AYCA</t>
  </si>
  <si>
    <t>MO-AYEL</t>
  </si>
  <si>
    <t>MO-MOFA</t>
  </si>
  <si>
    <t>MO-MOCA</t>
  </si>
  <si>
    <t>MO-MOPI</t>
  </si>
  <si>
    <t>MO-OFCO</t>
  </si>
  <si>
    <t>MO-OFA</t>
  </si>
  <si>
    <t>MO-OFAR</t>
  </si>
  <si>
    <t>MO-OFCA</t>
  </si>
  <si>
    <t>MO-OFEL</t>
  </si>
  <si>
    <t>MO-OFPI</t>
  </si>
  <si>
    <t>MO-TOP</t>
  </si>
  <si>
    <t>TOPOGRAFO</t>
  </si>
  <si>
    <t>*TOPOGRA</t>
  </si>
  <si>
    <t>EST-CAPA</t>
  </si>
  <si>
    <t>MO-EESPE</t>
  </si>
  <si>
    <t>ESPECIALIZADO</t>
  </si>
  <si>
    <t>EST-ESPE</t>
  </si>
  <si>
    <t>MO-EOFIC</t>
  </si>
  <si>
    <t>OFICIAL</t>
  </si>
  <si>
    <t>EST-OFIC</t>
  </si>
  <si>
    <t>MO-EMEDI</t>
  </si>
  <si>
    <t>MEDIO OFICIAL</t>
  </si>
  <si>
    <t>EST-MEDI</t>
  </si>
  <si>
    <t>MO-EAYUD</t>
  </si>
  <si>
    <t>EST-AYUD</t>
  </si>
  <si>
    <t>── ESTRUCTURA GERENCIAL — NO USAR EN APU ──</t>
  </si>
  <si>
    <t>MO-ESOBR</t>
  </si>
  <si>
    <t>SOBRESTANTE</t>
  </si>
  <si>
    <t>EST-SOBR</t>
  </si>
  <si>
    <t>MO-EJEFE</t>
  </si>
  <si>
    <t>JEFE DE OBRA</t>
  </si>
  <si>
    <t>EST-JEFE</t>
  </si>
  <si>
    <t>MO-ECOOR</t>
  </si>
  <si>
    <t>COORD OBRAS</t>
  </si>
  <si>
    <t>EST-COOR</t>
  </si>
  <si>
    <t>Costo Total Set $</t>
  </si>
  <si>
    <t>Vida (años)</t>
  </si>
  <si>
    <t>Vida (días)</t>
  </si>
  <si>
    <t>EQ-ANDAM0</t>
  </si>
  <si>
    <t>ANDAMIO TUBULAR DE UNO A TRES CUERPOS</t>
  </si>
  <si>
    <t>*ANDAM05</t>
  </si>
  <si>
    <t>EQ-EQALBA</t>
  </si>
  <si>
    <t>EQUIPO DE ALBAÑILERIA, carpetas, ladrillo</t>
  </si>
  <si>
    <t>EQALBA</t>
  </si>
  <si>
    <t>EQ-EQCERA</t>
  </si>
  <si>
    <t>EQUIPO PARA COLOCACION DE CERAMICA</t>
  </si>
  <si>
    <t>EQCERAMI</t>
  </si>
  <si>
    <t>EQ-EQUIP0</t>
  </si>
  <si>
    <t>EQUIPO PARA INSTALACION ELECTRICA</t>
  </si>
  <si>
    <t>*EQUIP09</t>
  </si>
  <si>
    <t>EQ-EQUIPI</t>
  </si>
  <si>
    <t>EQUIPO PARA PINTAR</t>
  </si>
  <si>
    <t>*EQUIPIN</t>
  </si>
  <si>
    <t>EQ-EQPLOM</t>
  </si>
  <si>
    <t>EQUIPO PARA PLOMERIA</t>
  </si>
  <si>
    <t>EQPLOME</t>
  </si>
  <si>
    <t>EQ-HORMI</t>
  </si>
  <si>
    <t>EQUIPO PARA HORMIGON</t>
  </si>
  <si>
    <t>*EQUIP02</t>
  </si>
  <si>
    <t>EQ-TROMPO</t>
  </si>
  <si>
    <t>Hormigonera De 150 Litros 1hp Con Rueda Maciza</t>
  </si>
  <si>
    <t>TROMPO</t>
  </si>
  <si>
    <t>EQ-SOLD00</t>
  </si>
  <si>
    <t>Soldador Soplete A Gas Techista Membrana 10 Kg Boca 50mm</t>
  </si>
  <si>
    <t>SOLD003</t>
  </si>
  <si>
    <t>EQ-CORTA</t>
  </si>
  <si>
    <t>CORTADORA CERAMICA PROFESIONAL 1200MM (PORCELANATO HASTA 16MM)</t>
  </si>
  <si>
    <t>EQCERAMI02</t>
  </si>
  <si>
    <t>EQ-ESCALE</t>
  </si>
  <si>
    <t>ESCALERA GLOSS ALUMINIO ARTICULADA 4 X 4 ESCALONES HASTA 150KG</t>
  </si>
  <si>
    <t>*ESCALE1</t>
  </si>
  <si>
    <t>EQ-SILLET</t>
  </si>
  <si>
    <t>Kit Complementario Silleta Descensor Conector Soga X 50 Mts</t>
  </si>
  <si>
    <t>SILLETA</t>
  </si>
  <si>
    <t>EQ-BALANC</t>
  </si>
  <si>
    <t>Balancin</t>
  </si>
  <si>
    <t>BALANCIN</t>
  </si>
  <si>
    <t>EQ-EQUIP04</t>
  </si>
  <si>
    <t>Equipo para contrapiso y carpetas</t>
  </si>
  <si>
    <t>*EQUIP04</t>
  </si>
  <si>
    <t>EQ-EQUIP20</t>
  </si>
  <si>
    <t>Equipo para impermeabilización</t>
  </si>
  <si>
    <t>*EQUIP20</t>
  </si>
  <si>
    <t>EQ-EQUIP52</t>
  </si>
  <si>
    <t>Equipo para colocación cerámicos</t>
  </si>
  <si>
    <t>*EQUIP52</t>
  </si>
  <si>
    <t>EQ-KITPIN</t>
  </si>
  <si>
    <t>Kit de pintura completo</t>
  </si>
  <si>
    <t>*KITPINT</t>
  </si>
  <si>
    <t>EQ-REVOC</t>
  </si>
  <si>
    <t>Máquina revocadora proyectable - Alquiler mensual</t>
  </si>
  <si>
    <t>SIN_COD</t>
  </si>
  <si>
    <t>EQ-FRAT36</t>
  </si>
  <si>
    <t>FRATACHADORA MASTERPAC PMT36H - Alq. X dia</t>
  </si>
  <si>
    <t>ALQ_DIARIO</t>
  </si>
  <si>
    <t>EQ-FRAT24</t>
  </si>
  <si>
    <t>FRATACHADORA MASALTA MT24-2 - Alq. X dia</t>
  </si>
  <si>
    <t>EQ-REVOC2</t>
  </si>
  <si>
    <t>Maquina revocadora Revoque/Yeso - Alq. X mes</t>
  </si>
  <si>
    <t>EQ-COMBB</t>
  </si>
  <si>
    <t>Combustible bobcat (36 lts)</t>
  </si>
  <si>
    <t>EQ-COMBPR</t>
  </si>
  <si>
    <t>Combustible Pala y Retro (60 lts)</t>
  </si>
  <si>
    <t>EQ-CARG2M</t>
  </si>
  <si>
    <t>Pala cargadora frontal (2 m) 936 - (c/ operario y combustible) - Alq. X dia</t>
  </si>
  <si>
    <t>EQ-CARG3M</t>
  </si>
  <si>
    <t>Pala cargadora frontal (3 m) 950 - (c/ operario y combustible) - Alq. X dia</t>
  </si>
  <si>
    <t>EQ-COMPCT</t>
  </si>
  <si>
    <t>Compactador pata de cabra 612H - (c/operario y combustible) - Alq. X dia</t>
  </si>
  <si>
    <t>EQ-EXCAV</t>
  </si>
  <si>
    <t>Excavador sobre orugas PC-200 - (c/operario y combustible) - Alq. X dia</t>
  </si>
  <si>
    <t>EQ-MOTON</t>
  </si>
  <si>
    <t>Motoniveladora 120H - (c/operario y combustible) - Alq. X dia</t>
  </si>
  <si>
    <t>EQ-VOLC</t>
  </si>
  <si>
    <t>Camion chasis volcador 170E22 - (c/ operario y combustible) - Alq. X dia</t>
  </si>
  <si>
    <t>EQ-BATEA</t>
  </si>
  <si>
    <t>Camion Batea o Tatu 170E22 - (c/ operario y combustible) - Alq. X dia</t>
  </si>
  <si>
    <t>EQ-COMBR</t>
  </si>
  <si>
    <t>Combustible Retroexcav (96 lts)</t>
  </si>
  <si>
    <t>EQ-MINIBOB</t>
  </si>
  <si>
    <t>MINI CARGADORA Bobcat S570 (c/ operario y combustible)</t>
  </si>
  <si>
    <t>EQ-PALA310</t>
  </si>
  <si>
    <t>Pala y retro 310J (c/ operario y combustible)</t>
  </si>
  <si>
    <t>EQ-PTO001</t>
  </si>
  <si>
    <t xml:space="preserve">Baño portatil / Ducha </t>
  </si>
  <si>
    <t>Cotizaciones D47</t>
  </si>
  <si>
    <t>EQ-PTO002</t>
  </si>
  <si>
    <t xml:space="preserve">Traslado flete entrega/ retiro </t>
  </si>
  <si>
    <t>Cotizaciones D48</t>
  </si>
  <si>
    <t>EQ-PTO003</t>
  </si>
  <si>
    <t>Alquiler vibropisson</t>
  </si>
  <si>
    <t>Tareas/2.02 alquiler</t>
  </si>
  <si>
    <t>EQ-PTO004</t>
  </si>
  <si>
    <t>Herramientas y consumibles Excavación manual para vigas de fundación</t>
  </si>
  <si>
    <t>PTO 2.03 (% s/MAT+MO)</t>
  </si>
  <si>
    <t>EQ-PTO005</t>
  </si>
  <si>
    <t>Herramientas y consumibles Tabique submuración - H35 (95 kg/m3 de hierro)</t>
  </si>
  <si>
    <t>PTO 3.03 (% s/MAT+MO)</t>
  </si>
  <si>
    <t>EQ-PTO006</t>
  </si>
  <si>
    <t>Herramientas y consumibles Zapata corrida tabique - H35 (120 kg/m3 de hierro)</t>
  </si>
  <si>
    <t>PTO 3.04 (% s/MAT+MO)</t>
  </si>
  <si>
    <t>EQ-PTO007</t>
  </si>
  <si>
    <t>Herramientas y consumibles Platea - H35 (95 kg/m3 de hierro)</t>
  </si>
  <si>
    <t>PTO 3.05 (% s/MAT+MO)</t>
  </si>
  <si>
    <t>EQ-PTO008</t>
  </si>
  <si>
    <t>Herramientas y consumibles Bases aisladas - (60 kg/m3 de hierro)</t>
  </si>
  <si>
    <t>PTO 3.06 (% s/MAT+MO)</t>
  </si>
  <si>
    <t>EQ-PTO009</t>
  </si>
  <si>
    <t>Herramientas y consumibles Troncos de columnas - H35 (240 kg/m3 de hierro)</t>
  </si>
  <si>
    <t>PTO 3.07 (% s/MAT+MO)</t>
  </si>
  <si>
    <t>EQ-PTO010</t>
  </si>
  <si>
    <t>Herramientas y consumibles Viga de encadenado - H35 (180 kg/m3 de hierro)</t>
  </si>
  <si>
    <t>PTO 3.08 (% s/MAT+MO)</t>
  </si>
  <si>
    <t>EQ-PTO011</t>
  </si>
  <si>
    <t>Herramientas y consumibles Losa maciza - H35 (100 kg/m3 de hierro)</t>
  </si>
  <si>
    <t>PTO 3.09 (% s/MAT+MO)</t>
  </si>
  <si>
    <t>EQ-PTO012</t>
  </si>
  <si>
    <t>Herramientas y consumibles Losa maciza de Hº visto - H35 (100 kg/m3 de hierro</t>
  </si>
  <si>
    <t>PTO 3.1 (% s/MAT+MO)</t>
  </si>
  <si>
    <t>EQ-PTO013</t>
  </si>
  <si>
    <t>Herramientas y consumibles Vigas - H35 (180 kg/m3 de hierro)</t>
  </si>
  <si>
    <t>PTO 3.11 (% s/MAT+MO)</t>
  </si>
  <si>
    <t>EQ-PTO014</t>
  </si>
  <si>
    <t xml:space="preserve">Herramientas y consumibles Vigas de H° visto - H35 (180 kg/m3 de hierro) </t>
  </si>
  <si>
    <t>PTO 3.12 (% s/MAT+MO)</t>
  </si>
  <si>
    <t>EQ-PTO015</t>
  </si>
  <si>
    <t>Herramientas y consumibles Tabiques - H35 (100 kg/m3 de hierro)</t>
  </si>
  <si>
    <t>PTO 3.13 (% s/MAT+MO)</t>
  </si>
  <si>
    <t>EQ-PTO016</t>
  </si>
  <si>
    <t>Herramientas y consumibles Columna - H35 (180 Kg/m3 de hierro)</t>
  </si>
  <si>
    <t>PTO 3.14 (% s/MAT+MO)</t>
  </si>
  <si>
    <t>EQ-PTO017</t>
  </si>
  <si>
    <t>Herramientas y consumibles Escaleras de Hº visto - H35 (105 kg/m3 de hierro)</t>
  </si>
  <si>
    <t>PTO 3.17 (% s/MAT+MO)</t>
  </si>
  <si>
    <t>EQ-PTO018</t>
  </si>
  <si>
    <t>Herramientas y consumibles Tanques de HºAº - H35 (100 kg/m3 de hierro) - Tanq</t>
  </si>
  <si>
    <t>PTO 3.18 (% s/MAT+MO)</t>
  </si>
  <si>
    <t>EQ-PTO019</t>
  </si>
  <si>
    <t>EQ Sistema de apuntalamiento y reapuntalamiento [ENCOFRADO]</t>
  </si>
  <si>
    <t>Hoja ENCOFRADO</t>
  </si>
  <si>
    <t>EQ-PTO020</t>
  </si>
  <si>
    <t>Tareas/8.02 alquiler</t>
  </si>
  <si>
    <t>EQ-PTO021</t>
  </si>
  <si>
    <t>Rodillo de bronce para cementista grande 17 cm</t>
  </si>
  <si>
    <t>APU P-50</t>
  </si>
  <si>
    <t>EQ-PTO022</t>
  </si>
  <si>
    <t>Tareas/11.04 alquiler</t>
  </si>
  <si>
    <t>EQ-PTO023</t>
  </si>
  <si>
    <t>Herramientas y consumibles Colocación de garden block, incluye provisión y co</t>
  </si>
  <si>
    <t>PTO 11.05 (% s/MAT+MO)</t>
  </si>
  <si>
    <t>EQ-PTO024</t>
  </si>
  <si>
    <t>EQUIPO DE CONSTRUCCION EN SECO</t>
  </si>
  <si>
    <t>APU P-60</t>
  </si>
  <si>
    <t>EQ-PTO025</t>
  </si>
  <si>
    <t>[EQ] Latex exterior mate en paredes, color bco., sin enduido, a mas de 3 m de altura - Medianeras</t>
  </si>
  <si>
    <t>EQ-PTO026</t>
  </si>
  <si>
    <t>ESCALERA MADERA PINTOR 8 ESCALONES</t>
  </si>
  <si>
    <t>APU P-137</t>
  </si>
  <si>
    <t>EQ-PTO027</t>
  </si>
  <si>
    <t>Herramientas y consumibles Armado y conexionado de desagües AA.CC</t>
  </si>
  <si>
    <t>PTO 19.12 (% s/MAT+MO)</t>
  </si>
  <si>
    <t>EQ-PTO028</t>
  </si>
  <si>
    <t>Herramientas menores y consumibles - Topógrafo - Visita de obra replanteo</t>
  </si>
  <si>
    <t>PTO 1.02 (1.5% s/MAT+MO)</t>
  </si>
  <si>
    <t>EQ-PTO029</t>
  </si>
  <si>
    <t>Herramientas menores y consumibles - Cerco de obra perimetral - En chapa C25 + Concerti</t>
  </si>
  <si>
    <t>PTO 1.04 (1.5% s/MAT+MO)</t>
  </si>
  <si>
    <t>EQ-PTO030</t>
  </si>
  <si>
    <t>Herramientas menores y consumibles - Obrador, pañol y ducha.</t>
  </si>
  <si>
    <t>PTO 1.05 (1.5% s/MAT+MO)</t>
  </si>
  <si>
    <t>EQ-PTO031</t>
  </si>
  <si>
    <t>Herramientas menores y consumibles - Conexión pilar y luz de obra + Tablero de obra</t>
  </si>
  <si>
    <t>PTO 1.07 (1.5% s/MAT+MO)</t>
  </si>
  <si>
    <t>EQ-PTO032</t>
  </si>
  <si>
    <t>Herramientas menores y consumibles - Conexión agua de obra, tanque + bomba</t>
  </si>
  <si>
    <t>PTO 1.08 (1.5% s/MAT+MO)</t>
  </si>
  <si>
    <t>EQ-PTO033</t>
  </si>
  <si>
    <t xml:space="preserve">Herramientas menores y consumibles - Excavación a maquina para submuración, subsuelo y </t>
  </si>
  <si>
    <t>PTO 2.01 (1.5% s/MAT+MO)</t>
  </si>
  <si>
    <t>EQ-PTO034</t>
  </si>
  <si>
    <t xml:space="preserve">Herramientas menores y consumibles - Perfilado manual de bases. Relleno y compactación </t>
  </si>
  <si>
    <t>PTO 2.02 (1.5% s/MAT+MO)</t>
  </si>
  <si>
    <t>EQ-PTO035</t>
  </si>
  <si>
    <t>Herramientas menores y consumibles - Hormigón de limpieza - e: 10 cm</t>
  </si>
  <si>
    <t>PTO 3.01 (1.5% s/MAT+MO)</t>
  </si>
  <si>
    <t>EQ-PTO036</t>
  </si>
  <si>
    <t>Herramientas menores y consumibles - Pilotes de tracción Ø 20 cm - (120 kg/m3 de hierro</t>
  </si>
  <si>
    <t>PTO 3.02 (1.5% s/MAT+MO)</t>
  </si>
  <si>
    <t>EQ-PTO037</t>
  </si>
  <si>
    <t>Herramientas menores y consumibles - Picado de medianeras para columnas y vigas - Cotiz</t>
  </si>
  <si>
    <t>PTO 3.22 (1.5% s/MAT+MO)</t>
  </si>
  <si>
    <t>EQ-PTO038</t>
  </si>
  <si>
    <t>Herramientas menores y consumibles - Muro tipo 5 - Bloque HCCA e: 7,5 cm</t>
  </si>
  <si>
    <t>PTO 4.05 (1.5% s/MAT+MO)</t>
  </si>
  <si>
    <t>EQ-PTO039</t>
  </si>
  <si>
    <t>Herramientas menores y consumibles - Cordón de hormigón en umbrales carpinterías</t>
  </si>
  <si>
    <t>PTO 4.08 (1.5% s/MAT+MO)</t>
  </si>
  <si>
    <t>EQ-PTO040</t>
  </si>
  <si>
    <t xml:space="preserve">Herramientas menores y consumibles - Banquina Sala tanque de bombeo </t>
  </si>
  <si>
    <t>PTO 4.09 (1.5% s/MAT+MO)</t>
  </si>
  <si>
    <t>EQ-PTO041</t>
  </si>
  <si>
    <t>Herramientas menores y consumibles - Banquina en parrillas</t>
  </si>
  <si>
    <t>PTO 4.1 (1.5% s/MAT+MO)</t>
  </si>
  <si>
    <t>EQ-PTO042</t>
  </si>
  <si>
    <t>Herramientas menores y consumibles - Excavación y amurado con Hº tanque de recuperación</t>
  </si>
  <si>
    <t>PTO 4.11 (1.5% s/MAT+MO)</t>
  </si>
  <si>
    <t>EQ-PTO043</t>
  </si>
  <si>
    <t>Herramientas menores y consumibles - Provisión y amurado de tapas de inspección para ta</t>
  </si>
  <si>
    <t>PTO 4.12 (1.5% s/MAT+MO)</t>
  </si>
  <si>
    <t>EQ-PTO044</t>
  </si>
  <si>
    <t>Herramientas menores y consumibles - Vigas de encadenado - Cuantía aprox. 60 kg/m3</t>
  </si>
  <si>
    <t>PTO 4.13 (1.5% s/MAT+MO)</t>
  </si>
  <si>
    <t>EQ-PTO045</t>
  </si>
  <si>
    <t xml:space="preserve">Herramientas menores y consumibles - Amurado de bañera </t>
  </si>
  <si>
    <t>PTO 4.14 (1.5% s/MAT+MO)</t>
  </si>
  <si>
    <t>EQ-PTO046</t>
  </si>
  <si>
    <t>Herramientas menores y consumibles - Babeta de chapa galvanizada en medianeras</t>
  </si>
  <si>
    <t>PTO 6.02 (1.5% s/MAT+MO)</t>
  </si>
  <si>
    <t>EQ-PTO047</t>
  </si>
  <si>
    <t>Herramientas menores y consumibles - Yeso interior</t>
  </si>
  <si>
    <t>PTO 7.03 (1.5% s/MAT+MO)</t>
  </si>
  <si>
    <t>EQ-PTO048</t>
  </si>
  <si>
    <t xml:space="preserve">Herramientas menores y consumibles - Arista en yeso </t>
  </si>
  <si>
    <t>PTO 7.04 (1.5% s/MAT+MO)</t>
  </si>
  <si>
    <t>EQ-PTO049</t>
  </si>
  <si>
    <t xml:space="preserve">Herramientas menores y consumibles - Provisión y colocación de guardacanto yesero </t>
  </si>
  <si>
    <t>PTO 7.05 (1.5% s/MAT+MO)</t>
  </si>
  <si>
    <t>EQ-PTO050</t>
  </si>
  <si>
    <t xml:space="preserve">Herramientas menores y consumibles - Contrapiso de Hº armado e: 18 cm, incluye malla Ø </t>
  </si>
  <si>
    <t>PTO 8.01 (1.5% s/MAT+MO)</t>
  </si>
  <si>
    <t>EQ-PTO051</t>
  </si>
  <si>
    <t>Herramientas menores y consumibles - Contrapiso de H13 subase bajo intertrabado y garde</t>
  </si>
  <si>
    <t>PTO 8.02 (1.5% s/MAT+MO)</t>
  </si>
  <si>
    <t>EQ-PTO052</t>
  </si>
  <si>
    <t>Herramientas menores y consumibles - Contrapiso alivianado en azoteas (RDC), e: 15 cm</t>
  </si>
  <si>
    <t>PTO 8.04 (1.5% s/MAT+MO)</t>
  </si>
  <si>
    <t>EQ-PTO053</t>
  </si>
  <si>
    <t>Herramientas menores y consumibles - Contrapiso con piedra binder e: 4/5 cm - En locale</t>
  </si>
  <si>
    <t>PTO 8.05 (1.5% s/MAT+MO)</t>
  </si>
  <si>
    <t>EQ-PTO054</t>
  </si>
  <si>
    <t>Herramientas menores y consumibles - Carpeta autonivelante e: 4/10 mm - En locales húme</t>
  </si>
  <si>
    <t>PTO 8.06 (1.5% s/MAT+MO)</t>
  </si>
  <si>
    <t>EQ-PTO055</t>
  </si>
  <si>
    <t>Herramientas menores y consumibles - Provisión y ejecución de cemento alisado arrodilla</t>
  </si>
  <si>
    <t>PTO 9.01 (1.5% s/MAT+MO)</t>
  </si>
  <si>
    <t>EQ-PTO056</t>
  </si>
  <si>
    <t>Herramientas menores y consumibles - Provisión nariz escalera, hierro angulo 5/8 x 1/8"</t>
  </si>
  <si>
    <t>PTO 9.02 (1.5% s/MAT+MO)</t>
  </si>
  <si>
    <t>EQ-PTO057</t>
  </si>
  <si>
    <t>Herramientas menores y consumibles - Ejecución de zócalo rampante de concreto h: 10 cm</t>
  </si>
  <si>
    <t>PTO 9.03 (1.5% s/MAT+MO)</t>
  </si>
  <si>
    <t>EQ-PTO058</t>
  </si>
  <si>
    <t>Herramientas menores y consumibles - Montaje de conductos de ventilación de baños C27 -</t>
  </si>
  <si>
    <t>PTO 10.01 (1.5% s/MAT+MO)</t>
  </si>
  <si>
    <t>EQ-PTO059</t>
  </si>
  <si>
    <t>Herramientas menores y consumibles - Montaje de conductos de ventilación de parrillas C</t>
  </si>
  <si>
    <t>PTO 10.02 (1.5% s/MAT+MO)</t>
  </si>
  <si>
    <t>EQ-PTO060</t>
  </si>
  <si>
    <t>Herramientas menores y consumibles - Montaje de campanas de parrillas C22 - Provisión a</t>
  </si>
  <si>
    <t>PTO 10.03 (1.5% s/MAT+MO)</t>
  </si>
  <si>
    <t>EQ-PTO061</t>
  </si>
  <si>
    <t>Herramientas menores y consumibles - Montaje de sombreretes en chapa prepintada C25 - P</t>
  </si>
  <si>
    <t>PTO 10.04 (1.5% s/MAT+MO)</t>
  </si>
  <si>
    <t>EQ-PTO062</t>
  </si>
  <si>
    <t>Herramientas menores y consumibles - Colocación de pavimento intertrabado de H°, incluy</t>
  </si>
  <si>
    <t>PTO 11.04 (1.5% s/MAT+MO)</t>
  </si>
  <si>
    <t>EQ-PTO063</t>
  </si>
  <si>
    <t>Herramientas menores y consumibles - Provisión y colocación de relleno de piedra binder</t>
  </si>
  <si>
    <t>PTO 11.06 (1.5% s/MAT+MO)</t>
  </si>
  <si>
    <t>EQ-PTO064</t>
  </si>
  <si>
    <t xml:space="preserve">Herramientas menores y consumibles - Colocación de baldoson granítico vereda 40 x 40 - </t>
  </si>
  <si>
    <t>PTO 11.07 (1.5% s/MAT+MO)</t>
  </si>
  <si>
    <t>EQ-PTO065</t>
  </si>
  <si>
    <t>Herramientas menores y consumibles - Provisión y colocación de zócalo de MDF prepintado</t>
  </si>
  <si>
    <t>PTO 12.02 (1.5% s/MAT+MO)</t>
  </si>
  <si>
    <t>EQ-PTO066</t>
  </si>
  <si>
    <t>Herramientas menores y consumibles - Colocación de listones refractarios en parrillas -</t>
  </si>
  <si>
    <t>PTO 13.03 (1.5% s/MAT+MO)</t>
  </si>
  <si>
    <t>EQ-PTO067</t>
  </si>
  <si>
    <t>Herramientas menores y consumibles - Aplicado de yeso</t>
  </si>
  <si>
    <t>PTO 14.01 (1.5% s/MAT+MO)</t>
  </si>
  <si>
    <t>EQ-PTO068</t>
  </si>
  <si>
    <t>Herramientas menores y consumibles - Buña Z en cielorraso suspendido</t>
  </si>
  <si>
    <t>PTO 14.05 (1.5% s/MAT+MO)</t>
  </si>
  <si>
    <t>EQ-PTO069</t>
  </si>
  <si>
    <t xml:space="preserve">Herramientas menores y consumibles - Cantonera / Cajón </t>
  </si>
  <si>
    <t>PTO 14.06 (1.5% s/MAT+MO)</t>
  </si>
  <si>
    <t>EQ-PTO070</t>
  </si>
  <si>
    <t>Herramientas menores y consumibles - Hormigon visto, maquillaje</t>
  </si>
  <si>
    <t>PTO 14.07 (1.5% s/MAT+MO)</t>
  </si>
  <si>
    <t>EQ-PTO071</t>
  </si>
  <si>
    <t xml:space="preserve">Herramientas menores y consumibles - Impermeabilizane de Hº, silicona transparente </t>
  </si>
  <si>
    <t>PTO 15.07 (1.5% s/MAT+MO)</t>
  </si>
  <si>
    <t>EQ-PTO072</t>
  </si>
  <si>
    <t>Herramientas menores y consumibles - Revestimiento tipo Tarquini hasta 3 m de altura</t>
  </si>
  <si>
    <t>PTO 15.08 (1.5% s/MAT+MO)</t>
  </si>
  <si>
    <t>EQ-PTO073</t>
  </si>
  <si>
    <t>Herramientas menores y consumibles - Revestimiento tipo Tarquini a mas de 3 m de altura</t>
  </si>
  <si>
    <t>PTO 15.09 (1.5% s/MAT+MO)</t>
  </si>
  <si>
    <t>EQ-PTO074</t>
  </si>
  <si>
    <t>Herramientas menores y consumibles - Franjas división cocheras</t>
  </si>
  <si>
    <t>PTO 15.1 (1.5% s/MAT+MO)</t>
  </si>
  <si>
    <t>EQ-PTO075</t>
  </si>
  <si>
    <t xml:space="preserve">Herramientas menores y consumibles - Esmalte sintetico en puertas color bco. - Puertas </t>
  </si>
  <si>
    <t>PTO 15.11 (1.5% s/MAT+MO)</t>
  </si>
  <si>
    <t>EQ-PTO076</t>
  </si>
  <si>
    <t>Herramientas menores y consumibles - Esmalte sintético convertidor antioxido color negr</t>
  </si>
  <si>
    <t>PTO 15.12 (1.5% s/MAT+MO)</t>
  </si>
  <si>
    <t>EQ-PTO077</t>
  </si>
  <si>
    <t>Herramientas menores y consumibles - Tablero servicios generales - TSG</t>
  </si>
  <si>
    <t>PTO 18.16 (1.5% s/MAT+MO)</t>
  </si>
  <si>
    <t>EQ-PTO078</t>
  </si>
  <si>
    <t>Herramientas menores y consumibles - Tablero seccional, bombas de elevación - TSBE</t>
  </si>
  <si>
    <t>PTO 18.17 (1.5% s/MAT+MO)</t>
  </si>
  <si>
    <t>EQ-PTO079</t>
  </si>
  <si>
    <t>Herramientas menores y consumibles - Tablero seccional ascensor - TSASC</t>
  </si>
  <si>
    <t>PTO 18.18 (1.5% s/MAT+MO)</t>
  </si>
  <si>
    <t>EQ-PTO080</t>
  </si>
  <si>
    <t>Herramientas menores y consumibles - Tablero seccional departamento - TSD</t>
  </si>
  <si>
    <t>PTO 18.19 (1.5% s/MAT+MO)</t>
  </si>
  <si>
    <t>EQ-PTO081</t>
  </si>
  <si>
    <t>Herramientas menores y consumibles - Montante eléctrica</t>
  </si>
  <si>
    <t>PTO 18.2 (1.5% s/MAT+MO)</t>
  </si>
  <si>
    <t>EQ-PTO082</t>
  </si>
  <si>
    <t>Herramientas menores y consumibles - Montante TV + Tablero TV - Cañería c/cable testigo</t>
  </si>
  <si>
    <t>PTO 18.21 (1.5% s/MAT+MO)</t>
  </si>
  <si>
    <t>EQ-PTO083</t>
  </si>
  <si>
    <t>Herramientas menores y consumibles - Montante PE + Tablero PE- Cañería c/cable testigo</t>
  </si>
  <si>
    <t>PTO 18.22 (1.5% s/MAT+MO)</t>
  </si>
  <si>
    <t>EQ-PTO084</t>
  </si>
  <si>
    <t>Herramientas menores y consumibles - Colocación de sensor de movimiento - Provisión a c</t>
  </si>
  <si>
    <t>PTO 18.23 (1.5% s/MAT+MO)</t>
  </si>
  <si>
    <t>EQ-PTO085</t>
  </si>
  <si>
    <t>Herramientas menores y consumibles - Colocación de teclas simples y/o combinadas, pulsa</t>
  </si>
  <si>
    <t>PTO 18.24 (1.5% s/MAT+MO)</t>
  </si>
  <si>
    <t>EQ-PTO086</t>
  </si>
  <si>
    <t xml:space="preserve">Herramientas menores y consumibles - Colocación de tomas simples/dobles/encapsulados - </t>
  </si>
  <si>
    <t>PTO 18.25 (1.5% s/MAT+MO)</t>
  </si>
  <si>
    <t>EQ-PTO087</t>
  </si>
  <si>
    <t xml:space="preserve">Herramientas menores y consumibles - Colocación de campanilla/zumbadores - Provisión a </t>
  </si>
  <si>
    <t>PTO 18.26 (1.5% s/MAT+MO)</t>
  </si>
  <si>
    <t>EQ-PTO088</t>
  </si>
  <si>
    <t>Herramientas menores y consumibles - Colocación de extractor de baño - Provisión a carg</t>
  </si>
  <si>
    <t>PTO 18.27 (1.5% s/MAT+MO)</t>
  </si>
  <si>
    <t>EQ-PTO089</t>
  </si>
  <si>
    <t>Herramientas menores y consumibles - Colocación de luz de emergencia - Provisión a carg</t>
  </si>
  <si>
    <t>PTO 18.28 (1.5% s/MAT+MO)</t>
  </si>
  <si>
    <t>EQ-PTO090</t>
  </si>
  <si>
    <t>Herramientas menores y consumibles - Colocación de semáforo - Provisión a cargo del com</t>
  </si>
  <si>
    <t>PTO 18.29 (1.5% s/MAT+MO)</t>
  </si>
  <si>
    <t>EQ-PTO091</t>
  </si>
  <si>
    <t>Herramientas menores y consumibles - Colocación artefactos en espacios comunes y balcon</t>
  </si>
  <si>
    <t>PTO 18.3 (1.5% s/MAT+MO)</t>
  </si>
  <si>
    <t>EQ-PTO092</t>
  </si>
  <si>
    <t xml:space="preserve">Herramientas menores y consumibles - Acometida y gabiente de medidores </t>
  </si>
  <si>
    <t>PTO 18.31 (1.5% s/MAT+MO)</t>
  </si>
  <si>
    <t>EQ-PTO093</t>
  </si>
  <si>
    <t>Herramientas menores y consumibles - Puesta a tierra, jabalinas y cableados</t>
  </si>
  <si>
    <t>PTO 18.32 (1.5% s/MAT+MO)</t>
  </si>
  <si>
    <t>EQ-PTO094</t>
  </si>
  <si>
    <t>Herramientas menores y consumibles - Tendido caño cloacal en planta baja</t>
  </si>
  <si>
    <t>PTO 19.01 (1.5% s/MAT+MO)</t>
  </si>
  <si>
    <t>EQ-PTO095</t>
  </si>
  <si>
    <t>Herramientas menores y consumibles - Por armar CDV en planta tipo</t>
  </si>
  <si>
    <t>PTO 19.02 (1.5% s/MAT+MO)</t>
  </si>
  <si>
    <t>EQ-PTO096</t>
  </si>
  <si>
    <t>Herramientas menores y consumibles - Montantes, remate y ventilación a los 4 vientos</t>
  </si>
  <si>
    <t>PTO 19.03 (1.5% s/MAT+MO)</t>
  </si>
  <si>
    <t>EQ-PTO097</t>
  </si>
  <si>
    <t xml:space="preserve">Herramientas menores y consumibles - Tendido caño pluvial en planta baja </t>
  </si>
  <si>
    <t>PTO 19.04 (1.5% s/MAT+MO)</t>
  </si>
  <si>
    <t>EQ-PTO098</t>
  </si>
  <si>
    <t>Herramientas menores y consumibles - Tendido caño pluvial por pisos</t>
  </si>
  <si>
    <t>PTO 19.05 (1.5% s/MAT+MO)</t>
  </si>
  <si>
    <t>EQ-PTO099</t>
  </si>
  <si>
    <t>Herramientas menores y consumibles - Instalación tanque de recupero y bombeo pluvial</t>
  </si>
  <si>
    <t>PTO 19.06 (1.5% s/MAT+MO)</t>
  </si>
  <si>
    <t>EQ-PTO100</t>
  </si>
  <si>
    <t>Herramientas menores y consumibles - Tendido caño de agua hasta TB. Colocación de TB, a</t>
  </si>
  <si>
    <t>PTO 19.07 (1.5% s/MAT+MO)</t>
  </si>
  <si>
    <t>EQ-PTO101</t>
  </si>
  <si>
    <t>Herramientas menores y consumibles - Armado de colector, subida y bajadas de AF</t>
  </si>
  <si>
    <t>PTO 19.08 (1.5% s/MAT+MO)</t>
  </si>
  <si>
    <t>EQ-PTO102</t>
  </si>
  <si>
    <t>Herramientas menores y consumibles - Colocación de bomba presurizadora, armado de colec</t>
  </si>
  <si>
    <t>PTO 19.09 (1.5% s/MAT+MO)</t>
  </si>
  <si>
    <t>EQ-PTO103</t>
  </si>
  <si>
    <t>Herramientas menores y consumibles - Distribución agua fria y caliente en planta tipo</t>
  </si>
  <si>
    <t>PTO 19.1 (1.5% s/MAT+MO)</t>
  </si>
  <si>
    <t>EQ-PTO104</t>
  </si>
  <si>
    <t>Herramientas menores y consumibles - Colocación de artefactos y griferias</t>
  </si>
  <si>
    <t>PTO 19.11 (1.5% s/MAT+MO)</t>
  </si>
  <si>
    <t>EQ-PTO105</t>
  </si>
  <si>
    <t>Herramientas menores y consumibles - Tendido de cañerías de piso radiante - Colectores,</t>
  </si>
  <si>
    <t>PTO 19.13 (1.5% s/MAT+MO)</t>
  </si>
  <si>
    <t>EQ-PTO106</t>
  </si>
  <si>
    <t xml:space="preserve">Herramientas menores y consumibles - Montaje de caldera y puesta en marcha - Provisión </t>
  </si>
  <si>
    <t>PTO 19.14 (1.5% s/MAT+MO)</t>
  </si>
  <si>
    <t>EQ-PTO107</t>
  </si>
  <si>
    <t>Herramientas menores y consumibles - Tendido cañeria de incendio - Gabinetes, tapas, ma</t>
  </si>
  <si>
    <t>PTO 19.15 (1.5% s/MAT+MO)</t>
  </si>
  <si>
    <t>EQ-PTO108</t>
  </si>
  <si>
    <t xml:space="preserve">Herramientas menores y consumibles - Albañilería parrilla completa - Losa y muros </t>
  </si>
  <si>
    <t>PTO 23.01 (1.5% s/MAT+MO)</t>
  </si>
  <si>
    <t>EQ-PTO109</t>
  </si>
  <si>
    <t>Herramientas menores y consumibles - Amure de tapas para pleno eléctricos y gas en pali</t>
  </si>
  <si>
    <t>PTO 23.02 (1.5% s/MAT+MO)</t>
  </si>
  <si>
    <t>EQ-PTO110</t>
  </si>
  <si>
    <t>Herramientas menores y consumibles - Demolición de vereda</t>
  </si>
  <si>
    <t>PTO 23.03 (1.5% s/MAT+MO)</t>
  </si>
  <si>
    <t>EQ-PTO111</t>
  </si>
  <si>
    <t>Herramientas menores y consumibles - Protecciones y defensas</t>
  </si>
  <si>
    <t>PTO 24.04 (1.5% s/MAT+MO)</t>
  </si>
  <si>
    <t>EQ-PTO112</t>
  </si>
  <si>
    <t>Herramientas menores y consumibles - Ayuda de gremios</t>
  </si>
  <si>
    <t>PTO 24.05 (1.5% s/MAT+MO)</t>
  </si>
  <si>
    <t>EQ-PTO113</t>
  </si>
  <si>
    <t xml:space="preserve">Herramientas menores y consumibles - Limpieza periodica </t>
  </si>
  <si>
    <t>PTO 24.06 (1.5% s/MAT+MO)</t>
  </si>
  <si>
    <t>EQ-PTO114</t>
  </si>
  <si>
    <t>Herramientas menores y consumibles - Limpieza final de Obra</t>
  </si>
  <si>
    <t>PTO 24.07 (1.5% s/MAT+MO)</t>
  </si>
  <si>
    <t>EQ-PTO115</t>
  </si>
  <si>
    <t>Herramientas y consumibles - PTO-1816 TSG</t>
  </si>
  <si>
    <t>PTO-1816 EQ 1.5% s/MAT+MO</t>
  </si>
  <si>
    <t>EQ-PTO116</t>
  </si>
  <si>
    <t>Herramientas y consumibles - PTO-1817 TSBI</t>
  </si>
  <si>
    <t>PTO-1817 EQ 1.5% s/MAT+MO</t>
  </si>
  <si>
    <t>EQ-PTO117</t>
  </si>
  <si>
    <t>Herramientas y consumibles - PTO-1818 TS.ASC</t>
  </si>
  <si>
    <t>PTO-1818 EQ 1.5% s/MAT+MO</t>
  </si>
  <si>
    <t>EQ-PTO118</t>
  </si>
  <si>
    <t>Herramientas y consumibles - PTO-1819 TUF</t>
  </si>
  <si>
    <t>PTO-1819 EQ 1.5% s/MAT+MO</t>
  </si>
  <si>
    <t>EQ-PTO119</t>
  </si>
  <si>
    <t>Herramientas y consumibles - PTO-1820 MONTANTE</t>
  </si>
  <si>
    <t>PTO-1820 EQ 1.5% s/MAT+MO</t>
  </si>
  <si>
    <t>EQ-PTO120</t>
  </si>
  <si>
    <t>Herramientas y consumibles - PTO-1821 MontanteTV</t>
  </si>
  <si>
    <t>PTO-1821 EQ 1.5% s/MAT+MO</t>
  </si>
  <si>
    <t>EQ-PTO121</t>
  </si>
  <si>
    <t>Herramientas y consumibles - PTO-1822 MontanteTV</t>
  </si>
  <si>
    <t>PTO-1822 EQ 1.5% s/MAT+MO</t>
  </si>
  <si>
    <t>EQ-PTO122</t>
  </si>
  <si>
    <t>Herramientas y consumibles - PTO-1831 ACOMETIDA</t>
  </si>
  <si>
    <t>PTO-1831 EQ 1.5% s/MAT+MO</t>
  </si>
  <si>
    <t>EQ-PTO123</t>
  </si>
  <si>
    <t>Herramientas y consumibles - PTO-1832 Puesta tierra</t>
  </si>
  <si>
    <t>PTO-1832 EQ 1.5% s/MAT+MO</t>
  </si>
  <si>
    <t>Tarea</t>
  </si>
  <si>
    <t>Contratista</t>
  </si>
  <si>
    <t>PU Actualizado $</t>
  </si>
  <si>
    <t>Fecha Act.</t>
  </si>
  <si>
    <t>PU Original</t>
  </si>
  <si>
    <t>Fecha Orig.</t>
  </si>
  <si>
    <t>Colocacion</t>
  </si>
  <si>
    <t>Ceramico en pisos y pared</t>
  </si>
  <si>
    <t>Zotelo</t>
  </si>
  <si>
    <t>2025-09-19</t>
  </si>
  <si>
    <t>2022-10-01</t>
  </si>
  <si>
    <t>Porcelanato en piso</t>
  </si>
  <si>
    <t>Latex Mate</t>
  </si>
  <si>
    <t>Lionel</t>
  </si>
  <si>
    <t>2022-12-01</t>
  </si>
  <si>
    <t>Latex Mate s/ Pared + Enduido</t>
  </si>
  <si>
    <t>Latex Mate s/ Cielorraso + Enduido</t>
  </si>
  <si>
    <t>Latex Satinado s/ Pared + Enduido</t>
  </si>
  <si>
    <t>Latex Satinado s/ Cielorraso + Enduido</t>
  </si>
  <si>
    <t>Esmalte Sintetico</t>
  </si>
  <si>
    <t>Esmalte sintetico en Herrerias</t>
  </si>
  <si>
    <t>Tarquini</t>
  </si>
  <si>
    <t>2023-04-01</t>
  </si>
  <si>
    <t>Durlock</t>
  </si>
  <si>
    <t>Tabique simple</t>
  </si>
  <si>
    <t>Mario Silva</t>
  </si>
  <si>
    <t>2022-08-01</t>
  </si>
  <si>
    <t>Medio Forro</t>
  </si>
  <si>
    <t>Cielorraso Junta Tomada</t>
  </si>
  <si>
    <t>Cielorraso Desmontable</t>
  </si>
  <si>
    <t>Cajon cielorraso</t>
  </si>
  <si>
    <t>Techos</t>
  </si>
  <si>
    <t>Cubierta Metalica c/Aislacion</t>
  </si>
  <si>
    <t>Acevedo</t>
  </si>
  <si>
    <t>2023-12-19</t>
  </si>
  <si>
    <t>Yeso</t>
  </si>
  <si>
    <t>Cielorraso aplicado yeso</t>
  </si>
  <si>
    <t>Miguel Galleguillo</t>
  </si>
  <si>
    <t>2022-11-25</t>
  </si>
  <si>
    <t>Cielorraso armado yeso</t>
  </si>
  <si>
    <t>Jorge Yesero (CDR)</t>
  </si>
  <si>
    <t>Aristas</t>
  </si>
  <si>
    <t>Enlucidos en paredes</t>
  </si>
  <si>
    <t>Buñas</t>
  </si>
  <si>
    <t>Electrico</t>
  </si>
  <si>
    <t>Cableado x boca</t>
  </si>
  <si>
    <t>Demian</t>
  </si>
  <si>
    <t>Cableado x bandeja (cable 4x10mm x ml)</t>
  </si>
  <si>
    <t>Cañeria PVC (x boca)</t>
  </si>
  <si>
    <t>Cañeria Metalica (x boca)</t>
  </si>
  <si>
    <t>Cañeria EXT</t>
  </si>
  <si>
    <t>Bandeja 450/600 (xml)</t>
  </si>
  <si>
    <t>Colocacion Interruptores / Tomas</t>
  </si>
  <si>
    <t>Colocacion de fichas / tomas de Telefono o TV</t>
  </si>
  <si>
    <t>Colocacion de Artefactos tipo (aplique, extractores, campanillas, etc)</t>
  </si>
  <si>
    <t>Armado de Tablero de Bombas</t>
  </si>
  <si>
    <t>Portero Electrico hasta 2m</t>
  </si>
  <si>
    <t>Cableado estructurado Red / Telefono / TV</t>
  </si>
  <si>
    <t>Colocacion Y armado de Tableros 1ID + 1 TM + 1 PAT</t>
  </si>
  <si>
    <t>Interruptor Diferencial Bipolar</t>
  </si>
  <si>
    <t>Interruptor Diferencial Tetrapolar</t>
  </si>
  <si>
    <t>Interruptor Termomagnetico Bipolar</t>
  </si>
  <si>
    <t>Interruptor Termomagnetico Tetrapolar</t>
  </si>
  <si>
    <t>Automatico de bomba</t>
  </si>
  <si>
    <t>Puesta a tierra: Jabalina + caja de inspeccion</t>
  </si>
  <si>
    <t>Cable subterraneo (1 boca cada 5 metros)</t>
  </si>
  <si>
    <t>Ud</t>
  </si>
  <si>
    <t>Precio Unitario Dic-24 ($)</t>
  </si>
  <si>
    <t>SUB-PRYELEC</t>
  </si>
  <si>
    <t>Proyecto instalacion electrica</t>
  </si>
  <si>
    <t>GESTOR ELECTRICO</t>
  </si>
  <si>
    <t>SUB-BAJASUM</t>
  </si>
  <si>
    <t>Baja de suministros</t>
  </si>
  <si>
    <t>SUB-CORDEM</t>
  </si>
  <si>
    <t>Corte por demolicion</t>
  </si>
  <si>
    <t>SUB-INSDES</t>
  </si>
  <si>
    <t>Instalacion electrica desenergizada</t>
  </si>
  <si>
    <t>SUB-TRASLA</t>
  </si>
  <si>
    <t>Traslado de alumbrado publico</t>
  </si>
  <si>
    <t>SUB-FACTIB</t>
  </si>
  <si>
    <t>Factibilidad y renovacion</t>
  </si>
  <si>
    <t>SUB-CERTLUZ</t>
  </si>
  <si>
    <t>Gestion suministros luz de obra</t>
  </si>
  <si>
    <t>SUB-SALAMED</t>
  </si>
  <si>
    <t>Sala de medidores / Camara transformadora</t>
  </si>
  <si>
    <t>SUB-CERTLUZ2</t>
  </si>
  <si>
    <t>Luz de Obra</t>
  </si>
  <si>
    <t>Certificados</t>
  </si>
  <si>
    <t>SUB-CERTSGT1</t>
  </si>
  <si>
    <t>Servicios grales T1</t>
  </si>
  <si>
    <t>SUB-CERTSGT2</t>
  </si>
  <si>
    <t>Servicios grales T2</t>
  </si>
  <si>
    <t>SUB-CERTRES</t>
  </si>
  <si>
    <t>Residencial</t>
  </si>
  <si>
    <t>SUB-MEDPATAD</t>
  </si>
  <si>
    <t>Medicion PAT adicional c/u tableros</t>
  </si>
  <si>
    <t>SUB-ENSAYO</t>
  </si>
  <si>
    <t>Ensayo probeta 15 x 30  x un</t>
  </si>
  <si>
    <t>ENSAYOS HORMIGON</t>
  </si>
  <si>
    <t>SUB-EXCAV</t>
  </si>
  <si>
    <t>Excavación por m3</t>
  </si>
  <si>
    <t>MOVIMIENTO DE SUELOS</t>
  </si>
  <si>
    <t>SUB-DESMON</t>
  </si>
  <si>
    <t>Desmonte de tosca, aporte y compactación. Retiro 50 cm, aporte 40 cm</t>
  </si>
  <si>
    <t>SUB-MONOLI</t>
  </si>
  <si>
    <t>Monolitico</t>
  </si>
  <si>
    <t>PROYECTABLE</t>
  </si>
  <si>
    <t>SUB-ALIVIA</t>
  </si>
  <si>
    <t>Alivianado</t>
  </si>
  <si>
    <t>SUB-YESOPR</t>
  </si>
  <si>
    <t>SUB-ARISTA</t>
  </si>
  <si>
    <t>Arista / Buña</t>
  </si>
  <si>
    <t>SUB-CANTON</t>
  </si>
  <si>
    <t>Cantonera</t>
  </si>
  <si>
    <t>SUB-REV3EN1</t>
  </si>
  <si>
    <t>Revoque 3 en 1</t>
  </si>
  <si>
    <t>SUB-ARISTA2</t>
  </si>
  <si>
    <t>Buña en revoque</t>
  </si>
  <si>
    <t>SUB-AACMAT</t>
  </si>
  <si>
    <t>Preinstalacion MAT</t>
  </si>
  <si>
    <t>AA.CC - PREINSTALACIONES</t>
  </si>
  <si>
    <t>SUB-AACMO</t>
  </si>
  <si>
    <t>Preinstalacion M.O</t>
  </si>
  <si>
    <t>SUB-AACINS</t>
  </si>
  <si>
    <t>Instalacion y puesta en marcha</t>
  </si>
  <si>
    <t>SUB-CANAL</t>
  </si>
  <si>
    <t>Canalización</t>
  </si>
  <si>
    <t>SUB-CABLE</t>
  </si>
  <si>
    <t>Cableado</t>
  </si>
  <si>
    <t>SUB-BOCAILU</t>
  </si>
  <si>
    <t>Boca completa de ilum/toma + punto/toma</t>
  </si>
  <si>
    <t>SUB-PUNTO</t>
  </si>
  <si>
    <t>Conexión de punto y toma</t>
  </si>
  <si>
    <t>SUB-COLART</t>
  </si>
  <si>
    <t>Colocación artefacto</t>
  </si>
  <si>
    <t>SUB-COLEXT</t>
  </si>
  <si>
    <t>Colocación extractor de aire en baño</t>
  </si>
  <si>
    <t>SUB-COLCAM</t>
  </si>
  <si>
    <t>Colocación Campana tipo Spar</t>
  </si>
  <si>
    <t>SUB-LUZEM</t>
  </si>
  <si>
    <t>Luz de emergencia</t>
  </si>
  <si>
    <t>SUB-TS8</t>
  </si>
  <si>
    <t>Tablero seccional de 8 a 36 polos</t>
  </si>
  <si>
    <t>SUB-TS36</t>
  </si>
  <si>
    <t>Tablero seccional de 36 a 54 polos</t>
  </si>
  <si>
    <t>SUB-BANDJ</t>
  </si>
  <si>
    <t>Bandeja portacable 300 mm</t>
  </si>
  <si>
    <t>SUB-CABSUB</t>
  </si>
  <si>
    <t>Tendido de cable subterraneo</t>
  </si>
  <si>
    <t>SUB-GAB4M</t>
  </si>
  <si>
    <t>Gabinete 4 medidores</t>
  </si>
  <si>
    <t>SUB-GAB1M</t>
  </si>
  <si>
    <t>Gabinete 1 medidor trif</t>
  </si>
  <si>
    <t>SUB-CACOM</t>
  </si>
  <si>
    <t>Caño de acometida</t>
  </si>
  <si>
    <t>SUB-CAJTOM</t>
  </si>
  <si>
    <t>Caja de toma</t>
  </si>
  <si>
    <t>SUB-PATSERV</t>
  </si>
  <si>
    <t>PAT de Servicio</t>
  </si>
  <si>
    <t>SUB-PISORAD</t>
  </si>
  <si>
    <t>Piso radiante + caldera</t>
  </si>
  <si>
    <t>CALEFACCION</t>
  </si>
  <si>
    <t>SUB-CAÑCAL</t>
  </si>
  <si>
    <t>Tendido de cañerías</t>
  </si>
  <si>
    <t>SUB-MARCAL</t>
  </si>
  <si>
    <t>Puesta en marcha de caldera</t>
  </si>
  <si>
    <t>SUB-PERFOR</t>
  </si>
  <si>
    <t>Perforación completa</t>
  </si>
  <si>
    <t>DEPRESION DE NAPAS</t>
  </si>
  <si>
    <t>SUB-PERF3</t>
  </si>
  <si>
    <t>Total de Obra (3 perforaciones)</t>
  </si>
  <si>
    <t>SUB-IMPBR</t>
  </si>
  <si>
    <t>Bajo recorrido</t>
  </si>
  <si>
    <t>IMPERMEABILIZACIÓN</t>
  </si>
  <si>
    <t>SUB-IMPTL</t>
  </si>
  <si>
    <t>Tabiques / Losa</t>
  </si>
  <si>
    <t>SUB-IMPTR</t>
  </si>
  <si>
    <t>Tanque de reserva</t>
  </si>
  <si>
    <t>SUB-JDOTOP</t>
  </si>
  <si>
    <t>Jefe de Obra / Topógrafo (jornal)</t>
  </si>
  <si>
    <t>Mano Obra Especializada</t>
  </si>
  <si>
    <t>SUB-MEDPAT</t>
  </si>
  <si>
    <t>Medicion PAT luz de obra</t>
  </si>
  <si>
    <t>Certificación Edenor</t>
  </si>
  <si>
    <t>SUB-PTO001</t>
  </si>
  <si>
    <t>M.Obra topografo</t>
  </si>
  <si>
    <t>Tareas/1.02 subcontrato</t>
  </si>
  <si>
    <t>SUB-PTO002</t>
  </si>
  <si>
    <t>Flete madera</t>
  </si>
  <si>
    <t>Tareas/1.05 subcontrato</t>
  </si>
  <si>
    <t>SUB-PTO003</t>
  </si>
  <si>
    <t>Flete retiro</t>
  </si>
  <si>
    <t>SUB-PTO004</t>
  </si>
  <si>
    <t>Gestion suministro luz de obra</t>
  </si>
  <si>
    <t>Tareas/1.09 subcontrato</t>
  </si>
  <si>
    <t>SUB-PTO005</t>
  </si>
  <si>
    <t>Subcontrato + 50%  - Celsi VIAL</t>
  </si>
  <si>
    <t>Tareas/2.01 subcontrato</t>
  </si>
  <si>
    <t>SUB-PTO006</t>
  </si>
  <si>
    <t>MO Excavación manual para vigas de fundación</t>
  </si>
  <si>
    <t>SUB-PTO007</t>
  </si>
  <si>
    <t>M.O</t>
  </si>
  <si>
    <t>Tareas/3.02 subcontrato</t>
  </si>
  <si>
    <t>SUB-PTO008</t>
  </si>
  <si>
    <t>MO Tabique submuración - H35 (95 kg/m3 de hierro)</t>
  </si>
  <si>
    <t>SUB-PTO009</t>
  </si>
  <si>
    <t>MO Zapata corrida tabique - H35 (120 kg/m3 de hierro)</t>
  </si>
  <si>
    <t>SUB-PTO010</t>
  </si>
  <si>
    <t>MO Platea - H35 (95 kg/m3 de hierro)</t>
  </si>
  <si>
    <t>SUB-PTO011</t>
  </si>
  <si>
    <t>MO Bases aisladas - (60 kg/m3 de hierro)</t>
  </si>
  <si>
    <t>SUB-PTO012</t>
  </si>
  <si>
    <t>MO Troncos de columnas - H35 (240 kg/m3 de hierro)</t>
  </si>
  <si>
    <t>SUB-PTO013</t>
  </si>
  <si>
    <t>MO Viga de encadenado - H35 (180 kg/m3 de hierro)</t>
  </si>
  <si>
    <t>SUB-PTO014</t>
  </si>
  <si>
    <t>MO Losa maciza - H35 (100 kg/m3 de hierro)</t>
  </si>
  <si>
    <t>SUB-PTO015</t>
  </si>
  <si>
    <t xml:space="preserve">MO Losa maciza de Hº visto - H35 (100 kg/m3 de hierro) </t>
  </si>
  <si>
    <t>SUB-PTO016</t>
  </si>
  <si>
    <t>MO Vigas - H35 (180 kg/m3 de hierro)</t>
  </si>
  <si>
    <t>SUB-PTO017</t>
  </si>
  <si>
    <t xml:space="preserve">MO Vigas de H° visto - H35 (180 kg/m3 de hierro) </t>
  </si>
  <si>
    <t>SUB-PTO018</t>
  </si>
  <si>
    <t>MO Tabiques - H35 (100 kg/m3 de hierro)</t>
  </si>
  <si>
    <t>SUB-PTO019</t>
  </si>
  <si>
    <t>MO Columna - H35 (180 Kg/m3 de hierro)</t>
  </si>
  <si>
    <t>SUB-PTO020</t>
  </si>
  <si>
    <t>MO Columna vista- H35 (180 Kg/m3 de hierro)</t>
  </si>
  <si>
    <t>SUB-PTO021</t>
  </si>
  <si>
    <t>MO Escaleras de Hº visto - H35 (105 kg/m3 de hierro)</t>
  </si>
  <si>
    <t>SUB-PTO022</t>
  </si>
  <si>
    <t>MO Tanques de HºAº - H35 (100 kg/m3 de hierro) - Tanque de reserva</t>
  </si>
  <si>
    <t>SUB-PTO023</t>
  </si>
  <si>
    <t xml:space="preserve">MO Ensayos de hormigon por etapas de hormigonado </t>
  </si>
  <si>
    <t>PTO 3.2</t>
  </si>
  <si>
    <t>SUB-PTO024</t>
  </si>
  <si>
    <t>MO Impermeabilización de tanque de reserva de HºAº [SUBCONTRATOS]</t>
  </si>
  <si>
    <t>Hoja SUBCONTRATOS</t>
  </si>
  <si>
    <t>SUB-PTO025</t>
  </si>
  <si>
    <t>Tareas/7.03 subcontrato</t>
  </si>
  <si>
    <t>SUB-PTO026</t>
  </si>
  <si>
    <t xml:space="preserve">Arista en yeso </t>
  </si>
  <si>
    <t>Tareas/7.04 subcontrato</t>
  </si>
  <si>
    <t>SUB-PTO027</t>
  </si>
  <si>
    <t>Tareas/7.05 subcontrato</t>
  </si>
  <si>
    <t>SUB-PTO028</t>
  </si>
  <si>
    <t>Combustible</t>
  </si>
  <si>
    <t>Tareas/11.04 subcontrato</t>
  </si>
  <si>
    <t>SUB-PTO029</t>
  </si>
  <si>
    <t>MO Colocación de garden block, incluye provisión y colocación de cama de arena + tomado de junta - Provisión a cargo del comitente</t>
  </si>
  <si>
    <t>SUB-PTO030</t>
  </si>
  <si>
    <t>MO Buña en yeso aplicado [SUBCONTRATOS]</t>
  </si>
  <si>
    <t>SUB-PTO031</t>
  </si>
  <si>
    <t>[MO] Latex exterior mate en paredes, color bco., sin enduido, a mas de 3 m de altura - Medianeras</t>
  </si>
  <si>
    <t>SUB-PTO032</t>
  </si>
  <si>
    <t>MO Revestimiento tipo Tarquini hasta 3 m de altura [SUBCONTRATOS]</t>
  </si>
  <si>
    <t>SUB-PTO033</t>
  </si>
  <si>
    <t>MO Revestimiento tipo Tarquini a mas de 3 m de altura [SUBCONTRATOS]</t>
  </si>
  <si>
    <t>SUB-PTO034</t>
  </si>
  <si>
    <t>Tareas/15.11 subcontrato</t>
  </si>
  <si>
    <t>SUB-PTO035</t>
  </si>
  <si>
    <t>MO Esmalte sintético sobre carpintería metálica</t>
  </si>
  <si>
    <t>Tareas/15.12 subcontrato</t>
  </si>
  <si>
    <t>SUB-PTO036</t>
  </si>
  <si>
    <t>MO Tablero servicios generales - TSG [SUBCONTRATOS]</t>
  </si>
  <si>
    <t>SUB-PTO037</t>
  </si>
  <si>
    <t>MO Tablero seccional, bombas de elevación - TSBE [SUBCONTRATOS]</t>
  </si>
  <si>
    <t>SUB-PTO038</t>
  </si>
  <si>
    <t>MO Tablero seccional ascensor - TSASC [SUBCONTRATOS]</t>
  </si>
  <si>
    <t>SUB-PTO039</t>
  </si>
  <si>
    <t>MO Tablero seccional departamento - TSD [SUBCONTRATOS]</t>
  </si>
  <si>
    <t>SUB-PTO040</t>
  </si>
  <si>
    <t>MO Colocación de sensor de movimiento - Provisión a cargo del comitente [SUBCONTRATOS]</t>
  </si>
  <si>
    <t>SUB-PTO041</t>
  </si>
  <si>
    <t>MO Colocación de teclas simples y/o combinadas, pulsadores - Provisión a cargo del comitente [SUBCONTRATOS]</t>
  </si>
  <si>
    <t>SUB-PTO042</t>
  </si>
  <si>
    <t>MO Colocación de tomas simples/dobles/encapsulados - Provisión a cargo del comitente [SUBCONTRATOS]</t>
  </si>
  <si>
    <t>SUB-PTO043</t>
  </si>
  <si>
    <t>MO Colocación de campanilla/zumbadores - Provisión a cargo del comitente [SUBCONTRATOS]</t>
  </si>
  <si>
    <t>SUB-PTO044</t>
  </si>
  <si>
    <t>MO Colocación de extractor de baño - Provisión a cargo del comitente [SUBCONTRATOS]</t>
  </si>
  <si>
    <t>SUB-PTO045</t>
  </si>
  <si>
    <t>MO Colocación de luz de emergencia - Provisión a cargo del comitente [SUBCONTRATOS]</t>
  </si>
  <si>
    <t>SUB-PTO046</t>
  </si>
  <si>
    <t>MO Colocación de semáforo - Provisión a cargo del comitente [SUBCONTRATOS]</t>
  </si>
  <si>
    <t>SUB-PTO047</t>
  </si>
  <si>
    <t>MO Colocación artefactos en espacios comunes y balcones - Provisión a cargo del comitente. NO incluye provisión, ni colocación de artefactos en interior de UF [SUBCONTRATOS]</t>
  </si>
  <si>
    <t>SUB-PTO048</t>
  </si>
  <si>
    <t xml:space="preserve">Gabinete columna 4 modulos trifasico Edesur </t>
  </si>
  <si>
    <t>Tareas/18.31 subcontrato</t>
  </si>
  <si>
    <t>SUB-PTO049</t>
  </si>
  <si>
    <t xml:space="preserve">Gabinete columna 2 modulos trifasico Edesur </t>
  </si>
  <si>
    <t>SUB-PTO050</t>
  </si>
  <si>
    <t xml:space="preserve">Puesta A TIERRA </t>
  </si>
  <si>
    <t>Tareas/18.32 subcontrato</t>
  </si>
  <si>
    <t>SUB-PTO051</t>
  </si>
  <si>
    <t>MO Certificado DCI para servicios generales [SUBCONTRATOS]</t>
  </si>
  <si>
    <t>SUB-PTO052</t>
  </si>
  <si>
    <t>MO Tendido caño cloacal en planta baja [CLOACAL]</t>
  </si>
  <si>
    <t>SUB-PTO053</t>
  </si>
  <si>
    <t>MO Por armar CDV en planta tipo [CLOACAL]</t>
  </si>
  <si>
    <t>SUB-PTO054</t>
  </si>
  <si>
    <t>MO Montantes, remate y ventilación a los 4 vientos [CLOACAL]</t>
  </si>
  <si>
    <t>SUB-PTO055</t>
  </si>
  <si>
    <t>MO Tendido caño pluvial en planta baja  [CLOACAL]</t>
  </si>
  <si>
    <t>SUB-PTO056</t>
  </si>
  <si>
    <t>MO Tendido caño pluvial por pisos [CLOACAL]</t>
  </si>
  <si>
    <t>SUB-PTO057</t>
  </si>
  <si>
    <t>MO Instalación tanque de recupero y bombeo pluvial [CLOACAL]</t>
  </si>
  <si>
    <t>SUB-PTO058</t>
  </si>
  <si>
    <t>MO Tendido caño de agua hasta TB. Colocación de TB, armado de colector y cuadro de bombas [AF.AC]</t>
  </si>
  <si>
    <t>SUB-PTO059</t>
  </si>
  <si>
    <t>MO Armado de colector, subida y bajadas de AF [AF.AC]</t>
  </si>
  <si>
    <t>SUB-PTO060</t>
  </si>
  <si>
    <t>MO Colocación de bomba presurizadora, armado de colector y montantes presurizadas (ultimo piso 4°) AF [AF.AC]</t>
  </si>
  <si>
    <t>SUB-PTO061</t>
  </si>
  <si>
    <t>MO Distribución agua fria y caliente en planta tipo [AF.AC]</t>
  </si>
  <si>
    <t>SUB-PTO062</t>
  </si>
  <si>
    <t>MO Colocación de artefactos y griferias [AF.AC]</t>
  </si>
  <si>
    <t>SUB-PTO063</t>
  </si>
  <si>
    <t>MO Armado y conexionado de desagües AA.CC</t>
  </si>
  <si>
    <t>SUB-PTO064</t>
  </si>
  <si>
    <t>MO Tendido de cañerías de piso radiante - Colectores, gabinetes y termostatos a cargo del comitente [SUBCONTRATOS]</t>
  </si>
  <si>
    <t>SUB-PTO065</t>
  </si>
  <si>
    <t>MO Montaje de caldera y puesta en marcha - Provisión a cargo del comitente, incluida las ventilaciones [SUBCONTRATOS]</t>
  </si>
  <si>
    <t>SUB-PTO066</t>
  </si>
  <si>
    <t>MO Colocación de anafes - Provisión a cargo del comitente</t>
  </si>
  <si>
    <t>SUB-PTO067</t>
  </si>
  <si>
    <t>MO Provisión y amure de rejillas de ventilación homologadas</t>
  </si>
  <si>
    <t>SUB-PTO068</t>
  </si>
  <si>
    <t>MO Tramites gas - Prefactibilidad, inspección parcial, final</t>
  </si>
  <si>
    <t>PTO 19.19</t>
  </si>
  <si>
    <t>SUB-PTO069</t>
  </si>
  <si>
    <t>MO Instalación de artefactos de cocina, hornos - Provisión a cargo del comitente [SUBCONTRATOS]</t>
  </si>
  <si>
    <t>SUB-PTO070</t>
  </si>
  <si>
    <t>MO Instalacion de extractores de baños - Provisión a cargo del comitente [SUBCONTRATOS]</t>
  </si>
  <si>
    <t>SUB-PTO071</t>
  </si>
  <si>
    <t>MO Sereno</t>
  </si>
  <si>
    <t>PTO 24.01</t>
  </si>
  <si>
    <t>SUB-PTO072</t>
  </si>
  <si>
    <t>MO Tecnico de seguridad &amp; higiene permanente en Obra</t>
  </si>
  <si>
    <t>PTO 24.02</t>
  </si>
  <si>
    <t>SUB-PTO073</t>
  </si>
  <si>
    <t>MO Higiene y seguridad Res 51</t>
  </si>
  <si>
    <t>PTO 24.03</t>
  </si>
  <si>
    <t>SUB-PTO074</t>
  </si>
  <si>
    <t>MO Fletes</t>
  </si>
  <si>
    <t>PTO 24.08</t>
  </si>
  <si>
    <t>SUB-PTO075</t>
  </si>
  <si>
    <t>MO Volquetes</t>
  </si>
  <si>
    <t>PTO 24.09</t>
  </si>
  <si>
    <t>SUB-PTO076</t>
  </si>
  <si>
    <t>MO Supervisión profesional de Obra</t>
  </si>
  <si>
    <t>PTO 25.01</t>
  </si>
  <si>
    <t>SUB-PTO077</t>
  </si>
  <si>
    <t>MO Movilidad y viaticos</t>
  </si>
  <si>
    <t>PTO 25.02</t>
  </si>
  <si>
    <t>SUB-PTO078</t>
  </si>
  <si>
    <t>Migrado desde EQ (EQ-PTO001) - MO_otro en GDR original</t>
  </si>
  <si>
    <t>SUB-PTO079</t>
  </si>
  <si>
    <t>Migrado desde EQ (EQ-PTO002) - MO_otro en GDR original</t>
  </si>
  <si>
    <t>SUB-PTO080</t>
  </si>
  <si>
    <t>MO adicional cálculo % s/MO (100%)</t>
  </si>
  <si>
    <t>PTO-0502 GDR % s/MO</t>
  </si>
  <si>
    <t>SUB-PTO081</t>
  </si>
  <si>
    <t>MO adicional cálculo % s/MO (60%)</t>
  </si>
  <si>
    <t>PTO-0506 GDR % s/MO</t>
  </si>
  <si>
    <t>SUB-PTO082</t>
  </si>
  <si>
    <t>MO adicional s/MO 100% - PTO-0502</t>
  </si>
  <si>
    <t>SUB-PTO083</t>
  </si>
  <si>
    <t>MO adicional s/MO 60% - PTO-0506</t>
  </si>
  <si>
    <t>SUB-PTO084</t>
  </si>
  <si>
    <t>Instalación eléctrica [ACOMETIDA]</t>
  </si>
  <si>
    <t>SUBCONTRATOS D51/52 ELECT ACOMETIDA</t>
  </si>
  <si>
    <t>SUB-PTO085</t>
  </si>
  <si>
    <t xml:space="preserve">MO Amure Puertas de Ascensor </t>
  </si>
  <si>
    <t>PTO 17.04</t>
  </si>
  <si>
    <t>SUB-PTO086</t>
  </si>
  <si>
    <t>MO Incendio</t>
  </si>
  <si>
    <t>PTO 19.15</t>
  </si>
  <si>
    <t>SUB-PTO087</t>
  </si>
  <si>
    <t>MO Provisión y tendido de cañerías de gas a cada UF</t>
  </si>
  <si>
    <t>PTO 19.16</t>
  </si>
  <si>
    <t>SUB-PTO088</t>
  </si>
  <si>
    <t>MO Tabique divisorio dormitorios</t>
  </si>
  <si>
    <t>PTO 23.04</t>
  </si>
  <si>
    <t>SUB-BOCACOMP</t>
  </si>
  <si>
    <t>Boca completa</t>
  </si>
  <si>
    <t>SUBCONTRATOS D44 GDR original</t>
  </si>
  <si>
    <t>SUB-VIBRO1</t>
  </si>
  <si>
    <t>MO/OTR PTO-0202</t>
  </si>
  <si>
    <t>SUB-VIBRO2</t>
  </si>
  <si>
    <t>MO/OTR PTO-0802</t>
  </si>
  <si>
    <t>SUB-VIBRO3</t>
  </si>
  <si>
    <t>MO/OTR PTO-1104/1105</t>
  </si>
  <si>
    <t>P#</t>
  </si>
  <si>
    <t>Rend.</t>
  </si>
  <si>
    <t>Cant Cons.</t>
  </si>
  <si>
    <t>% Cons. Desp.</t>
  </si>
  <si>
    <t>Grado Dif.</t>
  </si>
  <si>
    <t>MAT (sum/ud)</t>
  </si>
  <si>
    <t>MO (sum/día)</t>
  </si>
  <si>
    <t>EQ (sum/día)</t>
  </si>
  <si>
    <t># Comp.</t>
  </si>
  <si>
    <t>PRE-032</t>
  </si>
  <si>
    <t>32</t>
  </si>
  <si>
    <t>Movimiento de suelos para bases c/ aporte de tosca (e: 40 cm en 2 capas de 20 cm)</t>
  </si>
  <si>
    <t>ALB-033</t>
  </si>
  <si>
    <t>33</t>
  </si>
  <si>
    <t>Ladrillo común 12,5 x 5,5 x 25 (e:15 cm)</t>
  </si>
  <si>
    <t>34</t>
  </si>
  <si>
    <t>Ladrillo cerámico 8 x 18 x 33 cm</t>
  </si>
  <si>
    <t>35</t>
  </si>
  <si>
    <t xml:space="preserve">Ladrillo cerámico 12 x 18 x 33 cm </t>
  </si>
  <si>
    <t>36</t>
  </si>
  <si>
    <t>Ladrillo cerámico 18 x 18 x 33 cm</t>
  </si>
  <si>
    <t>ALB-037</t>
  </si>
  <si>
    <t>37</t>
  </si>
  <si>
    <t>Pared DOBLE Comun / 5 / LHC 08 - (ladrillo a la vista)</t>
  </si>
  <si>
    <t>38</t>
  </si>
  <si>
    <t>Ladrillo hueco portante 12 x 19 x 33</t>
  </si>
  <si>
    <t>ALB-039</t>
  </si>
  <si>
    <t>39</t>
  </si>
  <si>
    <t>Amure puertas tipo (0,90 x 2,00 m)</t>
  </si>
  <si>
    <t>ALB-040</t>
  </si>
  <si>
    <t>40</t>
  </si>
  <si>
    <t>Amure Premarcos</t>
  </si>
  <si>
    <t>ALB-041</t>
  </si>
  <si>
    <t>41</t>
  </si>
  <si>
    <t>Amure barandas (insertos c/1,00 m)</t>
  </si>
  <si>
    <t>ALB-042</t>
  </si>
  <si>
    <t>42</t>
  </si>
  <si>
    <t xml:space="preserve">Azotado hidrófugo </t>
  </si>
  <si>
    <t>ALB-043</t>
  </si>
  <si>
    <t>43</t>
  </si>
  <si>
    <t>Interior jaharro a la cal + Enlucido a la cal</t>
  </si>
  <si>
    <t>44</t>
  </si>
  <si>
    <t>Revoque Grueso impermeable Exterior hasta 3.00 m - Incl. Azotado hidrófugo</t>
  </si>
  <si>
    <t>ALB-045</t>
  </si>
  <si>
    <t>45</t>
  </si>
  <si>
    <t>Revoque Grueso impermeable Exterior a mas de 3.00 m - Incl. Azotado hidrófugo</t>
  </si>
  <si>
    <t>ALB-046</t>
  </si>
  <si>
    <t>46</t>
  </si>
  <si>
    <t>Contrapiso HHRP</t>
  </si>
  <si>
    <t>ALB-047</t>
  </si>
  <si>
    <t>47</t>
  </si>
  <si>
    <t>Carpeta MC 1:3 (e: 2cm)</t>
  </si>
  <si>
    <t>ALB-048</t>
  </si>
  <si>
    <t>48</t>
  </si>
  <si>
    <t>Carpeta monolítico h = 7 cm</t>
  </si>
  <si>
    <t>ALB-049</t>
  </si>
  <si>
    <t>49</t>
  </si>
  <si>
    <t>Carpeta hidrófuga (e: 2 cm)</t>
  </si>
  <si>
    <t>ALB-050</t>
  </si>
  <si>
    <t>50</t>
  </si>
  <si>
    <t>Cemento alisado o cilindrado (e: 3 cm)</t>
  </si>
  <si>
    <t>PIN-051</t>
  </si>
  <si>
    <t>51</t>
  </si>
  <si>
    <t>Látex interior para paredes (incl. enduido)</t>
  </si>
  <si>
    <t>PIN-052</t>
  </si>
  <si>
    <t>52</t>
  </si>
  <si>
    <t>látex para cielorrasos  (incl. enduido)</t>
  </si>
  <si>
    <t>PIN-053</t>
  </si>
  <si>
    <t>53</t>
  </si>
  <si>
    <t>látex exterior para paredes hasta 3.00 m de altura</t>
  </si>
  <si>
    <t>ALB-074</t>
  </si>
  <si>
    <t>PIN-054</t>
  </si>
  <si>
    <t>54</t>
  </si>
  <si>
    <t>Esmalte sintético sobre carpintería metálica , herrería (cuando es vacio x lleno contemplar MAT al 60%)</t>
  </si>
  <si>
    <t>PIN-055</t>
  </si>
  <si>
    <t>55</t>
  </si>
  <si>
    <t xml:space="preserve">Revestimiento plastico texturado tipo Quimtex fino </t>
  </si>
  <si>
    <t>56</t>
  </si>
  <si>
    <t>Colocación porcelanato en pisos (no incluye baños)</t>
  </si>
  <si>
    <t>57</t>
  </si>
  <si>
    <t>Revestimiento porcelanato en paredes y piso baños</t>
  </si>
  <si>
    <t>58</t>
  </si>
  <si>
    <t>Colocacion de zocalo porcelanato</t>
  </si>
  <si>
    <t>PIN-059</t>
  </si>
  <si>
    <t>59</t>
  </si>
  <si>
    <t>Látex interior satinado para paredes</t>
  </si>
  <si>
    <t>DUR-060</t>
  </si>
  <si>
    <t>60</t>
  </si>
  <si>
    <t>Cielorraso Durlock - Junta Tomada STD</t>
  </si>
  <si>
    <t>DUR-061</t>
  </si>
  <si>
    <t>61</t>
  </si>
  <si>
    <t>Cielorraso Durlock - Junta Tomada RH</t>
  </si>
  <si>
    <t>DUR-062</t>
  </si>
  <si>
    <t>62</t>
  </si>
  <si>
    <t>Cielorraso Durlock - Junta Tomada RF</t>
  </si>
  <si>
    <t>DUR-063</t>
  </si>
  <si>
    <t>63</t>
  </si>
  <si>
    <t xml:space="preserve">Cielorraso Desmontable 60x60 - sin provision </t>
  </si>
  <si>
    <t>DUR-064</t>
  </si>
  <si>
    <t>64</t>
  </si>
  <si>
    <t>Pared Durlock - Simple</t>
  </si>
  <si>
    <t>DUR-065</t>
  </si>
  <si>
    <t>65</t>
  </si>
  <si>
    <t xml:space="preserve">Pared Durlock - Doble placa STD ambas caras y asilación lana de vidrio </t>
  </si>
  <si>
    <t>DUR-066</t>
  </si>
  <si>
    <t>66</t>
  </si>
  <si>
    <t xml:space="preserve">Medio tabique espesor total 8,5 cm </t>
  </si>
  <si>
    <t>PIN-067</t>
  </si>
  <si>
    <t>67</t>
  </si>
  <si>
    <t>Esmalte sintetico para paredes</t>
  </si>
  <si>
    <t>ALB-068</t>
  </si>
  <si>
    <t>68</t>
  </si>
  <si>
    <t>Ladrillo Klimablock 27 x 19 x 30 cm</t>
  </si>
  <si>
    <t>ALB-070</t>
  </si>
  <si>
    <t>70</t>
  </si>
  <si>
    <t>Impermeabilización de cubierta transitable sobre carpeta horizontal con membrana Geotextil de 4mm, a soplete.</t>
  </si>
  <si>
    <t>PIN-071</t>
  </si>
  <si>
    <t>71</t>
  </si>
  <si>
    <t>Impermeabilización de cubierta con Malla no tejida de poliester y pintura poliuretánica</t>
  </si>
  <si>
    <t>REV-072</t>
  </si>
  <si>
    <t>72</t>
  </si>
  <si>
    <t>Revoque Exterior 3 en 1 hasta 3,00 m</t>
  </si>
  <si>
    <t>PIN-073</t>
  </si>
  <si>
    <t>73</t>
  </si>
  <si>
    <t>Pintura sobre pared existente</t>
  </si>
  <si>
    <t>ALB-075</t>
  </si>
  <si>
    <t>75</t>
  </si>
  <si>
    <t>Ladrillo hueco portante 18 x 19 x 33</t>
  </si>
  <si>
    <t>COL-080</t>
  </si>
  <si>
    <t>80</t>
  </si>
  <si>
    <t>Provision, preparacion y colocacion de acero de refuerzo en Vigas de Fundacion</t>
  </si>
  <si>
    <t>kgf</t>
  </si>
  <si>
    <t>COL-081</t>
  </si>
  <si>
    <t>81</t>
  </si>
  <si>
    <t>Provision, preparacion y colocacion de acero de refuerzo en Columnas</t>
  </si>
  <si>
    <t>COL-082</t>
  </si>
  <si>
    <t>82</t>
  </si>
  <si>
    <t>Provision, preparacion y colocacion de acero de refuerzo en Vigas</t>
  </si>
  <si>
    <t>COL-083</t>
  </si>
  <si>
    <t>83</t>
  </si>
  <si>
    <t>Provision, preparacion y colocacion de acero de refuerzo en Losa (arm inf)</t>
  </si>
  <si>
    <t>COL-084</t>
  </si>
  <si>
    <t>84</t>
  </si>
  <si>
    <t>Provision y colocacion de malla de acero de refuerzo Q335 en Losas (arm sup)</t>
  </si>
  <si>
    <t>COL-086</t>
  </si>
  <si>
    <t>86</t>
  </si>
  <si>
    <t>Provision, preparacion y colocacion de acero de refuerzo en Tabiques</t>
  </si>
  <si>
    <t>HOR-087</t>
  </si>
  <si>
    <t>87</t>
  </si>
  <si>
    <t>Encofrado de Madera - Acabado Normal en Vigas de Fundacion</t>
  </si>
  <si>
    <t>HOR-088</t>
  </si>
  <si>
    <t>88</t>
  </si>
  <si>
    <t>Encofrado de Madera - Acabado Normal en Losa</t>
  </si>
  <si>
    <t>HOR-089</t>
  </si>
  <si>
    <t>89</t>
  </si>
  <si>
    <t>Encofrado de Madera - Acabado Normal en Escalera</t>
  </si>
  <si>
    <t>HOR-090</t>
  </si>
  <si>
    <t>90</t>
  </si>
  <si>
    <t>Encofrado de Madera - Acabado VISTO en Losas</t>
  </si>
  <si>
    <t>DUR-091</t>
  </si>
  <si>
    <t>91</t>
  </si>
  <si>
    <t>Encofrado de Madera - Acabado VISTO en Tabiques</t>
  </si>
  <si>
    <t>HOR-106</t>
  </si>
  <si>
    <t>106</t>
  </si>
  <si>
    <t>Viga de Hormigon Armado - FE Doblado y Armado</t>
  </si>
  <si>
    <t>HOR-110</t>
  </si>
  <si>
    <t>110</t>
  </si>
  <si>
    <t>Viga de Hormigon Armado - Llenado</t>
  </si>
  <si>
    <t>113</t>
  </si>
  <si>
    <t>Impermeabilizacion de azotea con pintura asfaltica / Barrera de vapor</t>
  </si>
  <si>
    <t>AIS-114</t>
  </si>
  <si>
    <t>114</t>
  </si>
  <si>
    <t>Babeta en Azotea con membrana Geotextil Ormiflex de 4mm, a soplete.</t>
  </si>
  <si>
    <t>m</t>
  </si>
  <si>
    <t>ALB-115</t>
  </si>
  <si>
    <t>115</t>
  </si>
  <si>
    <t>Revoque Grueso Exterior S/hidrofugo hasta 3.00 m</t>
  </si>
  <si>
    <t>DUR-116</t>
  </si>
  <si>
    <t>116</t>
  </si>
  <si>
    <t>Cielorraso Desmontable 120x60 - incluye placa</t>
  </si>
  <si>
    <t>ALB-118</t>
  </si>
  <si>
    <t>118</t>
  </si>
  <si>
    <t>ALB-119</t>
  </si>
  <si>
    <t>119</t>
  </si>
  <si>
    <t>ELE-120</t>
  </si>
  <si>
    <t>120</t>
  </si>
  <si>
    <t>BOCA ILUMINACIÓN</t>
  </si>
  <si>
    <t>ELE-147</t>
  </si>
  <si>
    <t>BOCA ILUMINACIÓN (Profunda)</t>
  </si>
  <si>
    <t>ELE-148</t>
  </si>
  <si>
    <t xml:space="preserve">BOCA TOMACORRIENTE ESPECIAL </t>
  </si>
  <si>
    <t>ELE-121</t>
  </si>
  <si>
    <t>121</t>
  </si>
  <si>
    <t>BOCA TOMACORRIENTE</t>
  </si>
  <si>
    <t>ELE-149</t>
  </si>
  <si>
    <t>BOCA VACIA C/CABLE TESTIGO</t>
  </si>
  <si>
    <t>ELE-122</t>
  </si>
  <si>
    <t>122</t>
  </si>
  <si>
    <t>BANDEJA PORTACABLES 200</t>
  </si>
  <si>
    <t>HOR-123</t>
  </si>
  <si>
    <t>123</t>
  </si>
  <si>
    <t>COLUMNA HORMIGÓN RÚSTICO 85 kg/m3</t>
  </si>
  <si>
    <t>HOR-124</t>
  </si>
  <si>
    <t>124</t>
  </si>
  <si>
    <t>COLUMNA HORMIGÓN VISTO</t>
  </si>
  <si>
    <t>REV-134</t>
  </si>
  <si>
    <t>134</t>
  </si>
  <si>
    <t>Revoque grueso para interiores</t>
  </si>
  <si>
    <t>REV-135</t>
  </si>
  <si>
    <t>135</t>
  </si>
  <si>
    <t>Revoque fino a la cal</t>
  </si>
  <si>
    <t>136</t>
  </si>
  <si>
    <t>Carpeta cal reforzada (e: 1,5 cm)</t>
  </si>
  <si>
    <t>137</t>
  </si>
  <si>
    <t>Látex interior para paredes (enduido parcial)</t>
  </si>
  <si>
    <t>OBR-138</t>
  </si>
  <si>
    <t>PIN-146</t>
  </si>
  <si>
    <t>146</t>
  </si>
  <si>
    <t>Látex interior para paredes (s/enduido)</t>
  </si>
  <si>
    <t>PTO-0101</t>
  </si>
  <si>
    <t>Limpieza y preparación del terreno - No cotiza</t>
  </si>
  <si>
    <t>PTO/sin cotizar</t>
  </si>
  <si>
    <t>PTO/Tareas</t>
  </si>
  <si>
    <t>PTO-0103</t>
  </si>
  <si>
    <t>Cartel de Obra - No cotiza</t>
  </si>
  <si>
    <t>PTO/Cotizaciones</t>
  </si>
  <si>
    <t>PTO/lump</t>
  </si>
  <si>
    <t>PTO-0204</t>
  </si>
  <si>
    <t>Aporte y compactación de suelo seleccionado, e: 40 cm (2 capas de 20 cm) - Cotizado Hº Pobre en item 8,02</t>
  </si>
  <si>
    <t>PTO-0205</t>
  </si>
  <si>
    <t>Demolición de bases existentes - No cotiza</t>
  </si>
  <si>
    <t>PTO/aux</t>
  </si>
  <si>
    <t xml:space="preserve">Ensayos de hormigon por etapas de hormigonado </t>
  </si>
  <si>
    <t>PTO-0401</t>
  </si>
  <si>
    <t>PTO/APU P-34</t>
  </si>
  <si>
    <t>PTO-0402</t>
  </si>
  <si>
    <t xml:space="preserve">Muro tipo 2 - Ladrillo hueco 12 x 18 x 33 </t>
  </si>
  <si>
    <t>PTO/APU P-35</t>
  </si>
  <si>
    <t>PTO/APU P-33 MAT÷2 MO÷2 EQ÷1</t>
  </si>
  <si>
    <t>PTO-0404</t>
  </si>
  <si>
    <t>PTO/APU P-38</t>
  </si>
  <si>
    <t>PTO-0406</t>
  </si>
  <si>
    <t>PTO/APU P-36</t>
  </si>
  <si>
    <t>PTO/APU P-33 MAT÷4 MO÷2 EQ÷2</t>
  </si>
  <si>
    <t xml:space="preserve">Banquina Sala tanque de bombeo </t>
  </si>
  <si>
    <t xml:space="preserve">Amurado de bañera </t>
  </si>
  <si>
    <t>PTO/APU P-42</t>
  </si>
  <si>
    <t>PTO/APU P-70 + lump MAT(35%) MO(100%)</t>
  </si>
  <si>
    <t xml:space="preserve">Aislación térmica en terrazas, eps e:2,00 cm </t>
  </si>
  <si>
    <t>PTO-0505</t>
  </si>
  <si>
    <t>PTO/APU P-113</t>
  </si>
  <si>
    <t>PTO/APU P-70 + lump MAT(20%) MO(60%)</t>
  </si>
  <si>
    <t>PTO-0701</t>
  </si>
  <si>
    <t xml:space="preserve">Revoque Grueso Impermeable Exterior </t>
  </si>
  <si>
    <t>PTO/APU P-44</t>
  </si>
  <si>
    <t>PTO/APU P-45</t>
  </si>
  <si>
    <t xml:space="preserve">Provisión y colocación de guardacanto yesero </t>
  </si>
  <si>
    <t>PTO-0706</t>
  </si>
  <si>
    <t xml:space="preserve">Contrapiso de Hº armado e: 18 cm, incluye malla Ø 6 mm y film 200 mic. </t>
  </si>
  <si>
    <t xml:space="preserve">Monolítico e: 6 cm </t>
  </si>
  <si>
    <t>PTO/APU P-48</t>
  </si>
  <si>
    <t>PTO-0807</t>
  </si>
  <si>
    <t>PTO/APU P-136</t>
  </si>
  <si>
    <t>PTO-0808</t>
  </si>
  <si>
    <t xml:space="preserve">Provisión nariz escalera, hierro angulo 5/8 x 1/8" </t>
  </si>
  <si>
    <t>PTO/APU P-50</t>
  </si>
  <si>
    <t>PTO-1103</t>
  </si>
  <si>
    <t>PTO/APU P-56</t>
  </si>
  <si>
    <t>PTO-1105</t>
  </si>
  <si>
    <t>PTO-1108</t>
  </si>
  <si>
    <t>PTO-1109</t>
  </si>
  <si>
    <t>PTO/APU P-57</t>
  </si>
  <si>
    <t>PTO-1110</t>
  </si>
  <si>
    <t>PTO-1111</t>
  </si>
  <si>
    <t>PTO-1203</t>
  </si>
  <si>
    <t>PTO/APU P-58</t>
  </si>
  <si>
    <t>PTO-1301</t>
  </si>
  <si>
    <t>PTO-1302</t>
  </si>
  <si>
    <t>PTO/APU P-60</t>
  </si>
  <si>
    <t>PTO/APU P-61</t>
  </si>
  <si>
    <t>117</t>
  </si>
  <si>
    <t>PTO/APU P-117</t>
  </si>
  <si>
    <t>PTO-1406</t>
  </si>
  <si>
    <t xml:space="preserve">Cantonera / Cajón </t>
  </si>
  <si>
    <t>PTO-1501</t>
  </si>
  <si>
    <t>PTO/lump-no-apu</t>
  </si>
  <si>
    <t>PTO-1502</t>
  </si>
  <si>
    <t>PTO/APU P-137</t>
  </si>
  <si>
    <t>PTO/APU P-51</t>
  </si>
  <si>
    <t>PTO/APU P-146</t>
  </si>
  <si>
    <t>PTO-1505</t>
  </si>
  <si>
    <t>PTO/APU P-52</t>
  </si>
  <si>
    <t xml:space="preserve">Impermeabilizane de Hº, silicona transparente </t>
  </si>
  <si>
    <t>PTO/APU P-39</t>
  </si>
  <si>
    <t xml:space="preserve">Amure de puertas de chapa e ingresos depto </t>
  </si>
  <si>
    <t>PTO/APU P-40</t>
  </si>
  <si>
    <t xml:space="preserve">Amure Puertas de Ascensor </t>
  </si>
  <si>
    <t>147</t>
  </si>
  <si>
    <t>PTO-1803</t>
  </si>
  <si>
    <t>PTO-1804</t>
  </si>
  <si>
    <t>PTO-1805</t>
  </si>
  <si>
    <t xml:space="preserve">Tendido y cableado boca semáforo </t>
  </si>
  <si>
    <t>PTO-1806</t>
  </si>
  <si>
    <t>148</t>
  </si>
  <si>
    <t>PTO-1809</t>
  </si>
  <si>
    <t>PTO-1810</t>
  </si>
  <si>
    <t xml:space="preserve">Tendido y cableado boca de temostato </t>
  </si>
  <si>
    <t xml:space="preserve">Boca de TE - Cañería c/cable testigo </t>
  </si>
  <si>
    <t>PTO-1812</t>
  </si>
  <si>
    <t xml:space="preserve">Boca de TV - Cañería c/cable testigo </t>
  </si>
  <si>
    <t>PTO-1813</t>
  </si>
  <si>
    <t xml:space="preserve">Boca de PE - Cañería c/cable testigo </t>
  </si>
  <si>
    <t>PTO-1814</t>
  </si>
  <si>
    <t xml:space="preserve">Boca de DA - Cañería c/cable testigo </t>
  </si>
  <si>
    <t>PTO-1815</t>
  </si>
  <si>
    <t xml:space="preserve">Boca de CCTV - Cañería c/cable testigo </t>
  </si>
  <si>
    <t xml:space="preserve">Montante TV + Tablero TV - Cañería c/cable testigo </t>
  </si>
  <si>
    <t xml:space="preserve">Acometida y gabiente de medidores </t>
  </si>
  <si>
    <t xml:space="preserve">Tendido caño pluvial en planta baja </t>
  </si>
  <si>
    <t xml:space="preserve">Ascensores </t>
  </si>
  <si>
    <t xml:space="preserve">Tabique divisorio dormitorios - Tabique simple con aislacion de lana de vidrio </t>
  </si>
  <si>
    <t>PTO/APU P-64</t>
  </si>
  <si>
    <t xml:space="preserve">Limpieza periodica </t>
  </si>
  <si>
    <t>Partida</t>
  </si>
  <si>
    <t>Subtipo</t>
  </si>
  <si>
    <t>Cod_Insumo</t>
  </si>
  <si>
    <t>Unidad de medida</t>
  </si>
  <si>
    <t>Cant</t>
  </si>
  <si>
    <t>%Desp</t>
  </si>
  <si>
    <t>Precio</t>
  </si>
  <si>
    <t>Costo</t>
  </si>
  <si>
    <t>Clave</t>
  </si>
  <si>
    <t>Count</t>
  </si>
  <si>
    <t>Clave2</t>
  </si>
  <si>
    <t>EQ</t>
  </si>
  <si>
    <t>MAT</t>
  </si>
  <si>
    <t>OTR</t>
  </si>
  <si>
    <t>MO</t>
  </si>
  <si>
    <t>ALB</t>
  </si>
  <si>
    <t>j</t>
  </si>
  <si>
    <t>COR</t>
  </si>
  <si>
    <t>CONSULTA DE COMPOSICIÓN</t>
  </si>
  <si>
    <t>MT</t>
  </si>
  <si>
    <t>Partida (descripción):</t>
  </si>
  <si>
    <t>Código:</t>
  </si>
  <si>
    <t>Cantidad a ejecutar:</t>
  </si>
  <si>
    <t>Total</t>
  </si>
  <si>
    <t>Rendimiento:</t>
  </si>
  <si>
    <t>Total por ud</t>
  </si>
  <si>
    <t>MATERIALES</t>
  </si>
  <si>
    <t>Cant/ud</t>
  </si>
  <si>
    <t>% Desp.</t>
  </si>
  <si>
    <t>Cant. Req.</t>
  </si>
  <si>
    <t>Costo Est. $</t>
  </si>
  <si>
    <t>SUBTOTAL MAT:</t>
  </si>
  <si>
    <t>Base MAT $</t>
  </si>
  <si>
    <t>% Cons.</t>
  </si>
  <si>
    <t>% Desp.Cons.</t>
  </si>
  <si>
    <t>Cons. s/desp</t>
  </si>
  <si>
    <t>Cons. c/desp</t>
  </si>
  <si>
    <t>---</t>
  </si>
  <si>
    <t>CONSUMIBLES</t>
  </si>
  <si>
    <t>TOTAL MAT:</t>
  </si>
  <si>
    <t>MANO DE OBRA</t>
  </si>
  <si>
    <t>dividido rend.</t>
  </si>
  <si>
    <t>Cant/día</t>
  </si>
  <si>
    <t>Jornales Req.</t>
  </si>
  <si>
    <t>Sal./día $</t>
  </si>
  <si>
    <t>Costo $</t>
  </si>
  <si>
    <t>TOTAL MO:</t>
  </si>
  <si>
    <t>EQUIPOS</t>
  </si>
  <si>
    <t>Días-eq Req.</t>
  </si>
  <si>
    <t>TOTAL EQ:</t>
  </si>
  <si>
    <t>PLANIFICACIÓN INTEGRAL POR ETAPA / RUBRO</t>
  </si>
  <si>
    <t>Selecciona un rubro y un factor de ejecución para obtener el consolidado de materiales, mano de obra y equipos requeridos para esa etapa.</t>
  </si>
  <si>
    <t>Rubro / Etapa:</t>
  </si>
  <si>
    <t>RESUMEN EJECUTIVO</t>
  </si>
  <si>
    <t>Factor ejecución:</t>
  </si>
  <si>
    <t>Partidas activas</t>
  </si>
  <si>
    <t>Insumos MAT activos</t>
  </si>
  <si>
    <t>Costo total estimado</t>
  </si>
  <si>
    <t xml:space="preserve">  · Materiales</t>
  </si>
  <si>
    <t xml:space="preserve">  · Mano de Obra</t>
  </si>
  <si>
    <t xml:space="preserve">  · Equipos</t>
  </si>
  <si>
    <t>Precio venta (× K GGBB)</t>
  </si>
  <si>
    <t>🧱  MATERIALES — Consolidado por código</t>
  </si>
  <si>
    <t>Cant. requerida</t>
  </si>
  <si>
    <t>$ unitario</t>
  </si>
  <si>
    <t>Costo total $</t>
  </si>
  <si>
    <t>Subtipo (COR/OTR)</t>
  </si>
  <si>
    <t>Partidas en que participa</t>
  </si>
  <si>
    <t>TOTAL MATERIALES</t>
  </si>
  <si>
    <t>👷  MANO DE OBRA — Consolidado por categoría</t>
  </si>
  <si>
    <t>Tipo/Subtipo</t>
  </si>
  <si>
    <t>Jornales/cant req.</t>
  </si>
  <si>
    <t>$ Jornal/ud</t>
  </si>
  <si>
    <t>MO/ALB</t>
  </si>
  <si>
    <t>|</t>
  </si>
  <si>
    <t>MO/OTR</t>
  </si>
  <si>
    <t>x</t>
  </si>
  <si>
    <t>TOTAL MANO DE OBRA</t>
  </si>
  <si>
    <t>🚜  EQUIPOS — Consolidado por código</t>
  </si>
  <si>
    <t>Equipo-días req.</t>
  </si>
  <si>
    <t>TOTAL EQUIPOS</t>
  </si>
  <si>
    <t>NOTAS METODOLÓGICAS</t>
  </si>
  <si>
    <t>• Materiales: cantidad = (Cant/ud APU) × (1 + %Desp) × (Cant obra) × (Factor de ejecución)</t>
  </si>
  <si>
    <t>• Mano de obra: jornales = (Cant/día APU) × (Cant obra) × (Factor) × (Grado dif.) / Rendimiento</t>
  </si>
  <si>
    <t>• Equipos: equipo-días = (Cant/día APU) × (Cant obra) × (Factor) / Rendimiento</t>
  </si>
  <si>
    <t>• Fuente del rubro y cantidad de obra: hoja PPTO_GENERADOR (col B y E).</t>
  </si>
  <si>
    <t>• Las partidas APU sin entrada en PPTO_GENERADOR no se contabilizan (no son obra real).</t>
  </si>
  <si>
    <t>• Modelo formula-pure: 0 macros, 0 valores cacheados. Cualquier cambio en composición o precios se propaga automáticamente.</t>
  </si>
  <si>
    <t>• Staging: hoja oculta _PLAN_STG (una fila por cada fila de COMPOSICIÓN). Mostrar para auditoría: clic derecho en pestaña → Mostrar.</t>
  </si>
  <si>
    <t>• Para regenerar la lista de rubros: editar _PLAN_LISTAS!A2:A… (también oculta).</t>
  </si>
  <si>
    <t>PLANIFICACIÓN DE CUADRILLA</t>
  </si>
  <si>
    <t>Rendimiento (ud/día):</t>
  </si>
  <si>
    <t>Días de trabajo:</t>
  </si>
  <si>
    <t>Cuadrillas disponibles:</t>
  </si>
  <si>
    <t>Días con cuadrillas:</t>
  </si>
  <si>
    <t>Cód. MO</t>
  </si>
  <si>
    <t>Jornales Total</t>
  </si>
  <si>
    <t>Costo Total $</t>
  </si>
  <si>
    <t>TOTALES:</t>
  </si>
  <si>
    <t>Coeficiente de cargas MO:</t>
  </si>
  <si>
    <t>COSTO CON CARGAS (real):</t>
  </si>
  <si>
    <t>Nota: Costo sin cargas = APU/presupuesto. Con cargas = Tezamat.</t>
  </si>
  <si>
    <t>REQUERIMIENTO DE COMPRA — INPUT</t>
  </si>
  <si>
    <t>RQ #:</t>
  </si>
  <si>
    <t>Fecha:</t>
  </si>
  <si>
    <t>2026-04-24</t>
  </si>
  <si>
    <t>Partida:</t>
  </si>
  <si>
    <t>Rubro:</t>
  </si>
  <si>
    <t>Cantidad:</t>
  </si>
  <si>
    <t>Prioridad:</t>
  </si>
  <si>
    <t>Media</t>
  </si>
  <si>
    <t>MATERIALES DESDE APU</t>
  </si>
  <si>
    <t>TOTAL:</t>
  </si>
  <si>
    <t>Cód. Insumo</t>
  </si>
  <si>
    <t>% Desperdicio</t>
  </si>
  <si>
    <t>Cant. Sugerida</t>
  </si>
  <si>
    <t>Cant. Solicitada</t>
  </si>
  <si>
    <t>Ref 
Precio Unit $</t>
  </si>
  <si>
    <t>Ref 
Costo Est $</t>
  </si>
  <si>
    <t>MATERIALES ADICIONALES (manual)</t>
  </si>
  <si>
    <t>Cód. (libre)</t>
  </si>
  <si>
    <t>Precio Ref. $</t>
  </si>
  <si>
    <t>21</t>
  </si>
  <si>
    <t>22</t>
  </si>
  <si>
    <t>23</t>
  </si>
  <si>
    <t>24</t>
  </si>
  <si>
    <t>25</t>
  </si>
  <si>
    <t>REQUERIMIENTO DE COMPRA — SALIDA A COMPRAS</t>
  </si>
  <si>
    <t>Cant:</t>
  </si>
  <si>
    <t>Origen</t>
  </si>
  <si>
    <t>Estado</t>
  </si>
  <si>
    <t>OC #</t>
  </si>
  <si>
    <t>Pendiente</t>
  </si>
  <si>
    <t>REFERENCIA DE COLOR CODING</t>
  </si>
  <si>
    <t>Convención</t>
  </si>
  <si>
    <t>Ejemplo visual</t>
  </si>
  <si>
    <t>Texto AZUL</t>
  </si>
  <si>
    <t>Dato editable</t>
  </si>
  <si>
    <t>Inputs y supuestos cargados manualmente. El usuario puede y debe modificar estos valores cuando cambien las condiciones (precios, tasas, cantidades).</t>
  </si>
  <si>
    <t>Texto NEGRO</t>
  </si>
  <si>
    <t>'=SUM(A1:A10)</t>
  </si>
  <si>
    <t>Fórmulas y cálculos automáticos. NO modificar manualmente. Se recalculan solos cuando cambian los inputs.</t>
  </si>
  <si>
    <t>Texto VERDE</t>
  </si>
  <si>
    <t>'=VLOOKUP(...)</t>
  </si>
  <si>
    <t>Referencias entre hojas. Datos traídos de otras pestañas del archivo. NO modificar.</t>
  </si>
  <si>
    <t>Texto ROJO</t>
  </si>
  <si>
    <t>Dato inventado</t>
  </si>
  <si>
    <t>Datos que NO existían en el archivo original y fueron estimados para completar el modelo. Requieren validación del usuario.</t>
  </si>
  <si>
    <t>Fondo AMARILLO</t>
  </si>
  <si>
    <t>Celdas clave que requieren atención del usuario: datos inventados que necesitan verificación, o campos de input principales.</t>
  </si>
  <si>
    <t>Texto NEGRITA</t>
  </si>
  <si>
    <t>Subtotales, totales y líneas clave de resumen.</t>
  </si>
  <si>
    <t>Texto GRIS</t>
  </si>
  <si>
    <t>Valor original</t>
  </si>
  <si>
    <t>Valores del archivo APU original conservados como referencia de comparación (columnas P-S de PARTIDAS).</t>
  </si>
  <si>
    <t>RESUMEN DE MIGRACIÓN</t>
  </si>
  <si>
    <t>Materiales migrados</t>
  </si>
  <si>
    <t>145 del original + 7 inventados (maderas para encofrado)</t>
  </si>
  <si>
    <t>Categorías MO migradas</t>
  </si>
  <si>
    <t>28 categorías (19 operativas + 9 estructura)</t>
  </si>
  <si>
    <t>Sets de equipos migrados</t>
  </si>
  <si>
    <t>13 del original + 4 inventados</t>
  </si>
  <si>
    <t>Partidas migradas</t>
  </si>
  <si>
    <t>96 (77 activas + 19 vacías/con error)</t>
  </si>
  <si>
    <t>Líneas de composición</t>
  </si>
  <si>
    <t>851 filas (MAT + EQ + MO)</t>
  </si>
  <si>
    <t>Subcontratos</t>
  </si>
  <si>
    <t>41 precios de referencia</t>
  </si>
  <si>
    <t>Datos inventados (ROJO)</t>
  </si>
  <si>
    <t>7 materiales de madera + 4 sets de equipos + componentes del coeficiente de cargas MO</t>
  </si>
  <si>
    <t>Datos NO migrados</t>
  </si>
  <si>
    <t>Hojas Precio Equipos (absorbida en EQUIPOS), campos Obra/Cliente/Fecha de cada P-XX (no usados)</t>
  </si>
  <si>
    <t>VALIDACIÓN DE MIGRACIÓN</t>
  </si>
  <si>
    <t>Partidas exactas (&lt;2% desviación)</t>
  </si>
  <si>
    <t>49 de 77 activas (63.6%)</t>
  </si>
  <si>
    <t>Partidas cercanas (2-10%)</t>
  </si>
  <si>
    <t>14 de 77 — diferencias por redondeo de depreciación EQ o % desperdicio</t>
  </si>
  <si>
    <t>Partidas con &gt;10% desviación</t>
  </si>
  <si>
    <t>14 de 77 — ver columna Δ% en PARTIDAS para identificarlas</t>
  </si>
  <si>
    <t>CAUSAS DE DESVIACIÓN</t>
  </si>
  <si>
    <t>1. Equipos inventados: 4 sets de equipos no estaban en Rend. Equipos con datos completos. Se estimaron costos.</t>
  </si>
  <si>
    <t>2. % Desperdicio: en el original algunos % están como 3, 5, 10 (enteros) y otros como 0.03, 0.05 (decimales). La conversión puede diferir.</t>
  </si>
  <si>
    <t>3. Consumibles: la línea de consumibles del original era autoreferencial (% del total MAT). En el nuevo modelo es un % en PARTIDAS.</t>
  </si>
  <si>
    <t>4. Partidas de hormigón (P-80 a P-91, P-102, P-106, P-110, P-123, P-124): vacías en el original. Migradas sin datos.</t>
  </si>
  <si>
    <t>5. Grado de dificultad: en algunas partidas el grado no se pudo extraer correctamente del original.</t>
  </si>
  <si>
    <t>6. Materiales de madera (encofrado): 7 materiales usados en hormigón no existían en la tabla Materiales. Precios estimados.</t>
  </si>
  <si>
    <t>SUPUESTOS UTILIZADOS</t>
  </si>
  <si>
    <t>1. Coef. cargas MO: los componentes (ART 8.5%, ropa $85K/mes, viáticos $3,200/día, etc.) son ESTIMADOS y marcados en ROJO.</t>
  </si>
  <si>
    <t>2. El APU original usa salarios UOCRA sin coef. de cargas. COMPOSICIÓN replica esto (VLOOKUP a col. Salario, no Jornal).</t>
  </si>
  <si>
    <t>3. El coef. de cargas queda calculado en CONFIG para uso futuro (control de MO en obra), pero NO afecta los cálculos del APU.</t>
  </si>
  <si>
    <t>4. Códigos de partida: se asignaron prefijos por rubro (ALB, PIN, ELE, etc.) + número P original.</t>
  </si>
  <si>
    <t>5. Códigos de materiales: se asignaron por categoría (AGR, CER, ACE, etc.) + secuencial.</t>
  </si>
  <si>
    <t>6. La columna Δ% en PARTIDAS compara CD/ud nuevo vs. original para auditoría permanente.</t>
  </si>
  <si>
    <t>DATOS PENDIENTES DE VALIDACIÓN — REQUIEREN CONFIRMACIÓN DE ARQUINERING</t>
  </si>
  <si>
    <t>Hoja | Código</t>
  </si>
  <si>
    <t>Valor actual | Fuente</t>
  </si>
  <si>
    <t>MATERIALES | MAD-001..007</t>
  </si>
  <si>
    <t>Materiales de madera para encofrado (7 items)</t>
  </si>
  <si>
    <t>Precios estimados</t>
  </si>
  <si>
    <t>EQUIPOS | EQ-EQUIP04</t>
  </si>
  <si>
    <t>$2,800,000/3a | Estimado</t>
  </si>
  <si>
    <t>EQUIPOS | EQ-EQUIP20</t>
  </si>
  <si>
    <t>Equipo impermeabilización</t>
  </si>
  <si>
    <t>$1,500,000/3a | Estimado</t>
  </si>
  <si>
    <t>EQUIPOS | EQ-EQUIP52</t>
  </si>
  <si>
    <t>Equipo colocación cerámicos</t>
  </si>
  <si>
    <t>$2,200,000/3a | Estimado</t>
  </si>
  <si>
    <t>EQUIPOS | EQ-KITPIN</t>
  </si>
  <si>
    <t>Kit pintura completo</t>
  </si>
  <si>
    <t>$1,850,000/3a | Estimado</t>
  </si>
  <si>
    <t>EQUIPOS | EQ-REVOC</t>
  </si>
  <si>
    <t>Máquina revocadora alquiler</t>
  </si>
  <si>
    <t>$1,230,000/mes | APU orig.</t>
  </si>
  <si>
    <t>CONFIG | ART</t>
  </si>
  <si>
    <t>Componente coef. cargas MO</t>
  </si>
  <si>
    <t>8.5% | Estimado</t>
  </si>
  <si>
    <t>CONFIG | Ropa</t>
  </si>
  <si>
    <t>$85,000/mes | Estimado</t>
  </si>
  <si>
    <t>CONFIG | Viáticos</t>
  </si>
  <si>
    <t>$3,200/día | Estimado</t>
  </si>
  <si>
    <t>PARTIDAS | múltiples</t>
  </si>
  <si>
    <t>14 partidas con Δ%&gt;10%</t>
  </si>
  <si>
    <t>Ver col. Δ% en PARTIDAS</t>
  </si>
  <si>
    <t>EQUIPOS | EQ-ESCALE</t>
  </si>
  <si>
    <t>Escalera aluminio vs madera pintor</t>
  </si>
  <si>
    <t>Dif: $75/día (30% menor) | Pendiente</t>
  </si>
  <si>
    <t>Cant/ud APU</t>
  </si>
  <si>
    <t>Rubro PARTIDAS</t>
  </si>
  <si>
    <t>Rubro obra (1er)</t>
  </si>
  <si>
    <t>Cant obra (filtr.)</t>
  </si>
  <si>
    <t>Rend</t>
  </si>
  <si>
    <t>Grado</t>
  </si>
  <si>
    <t>¿En rubro sel?</t>
  </si>
  <si>
    <t>Cant req. total</t>
  </si>
  <si>
    <t>Costo req. total $</t>
  </si>
  <si>
    <t>Rubros disponibles</t>
  </si>
  <si>
    <t>Factores predefinidos</t>
  </si>
  <si>
    <t>(TODOS)</t>
  </si>
  <si>
    <t>Calefacción — AA.CC</t>
  </si>
  <si>
    <t>Electricidad — Gestión</t>
  </si>
  <si>
    <t>Electricidad — Instalación</t>
  </si>
  <si>
    <t>Calefacción — Piso radiante</t>
  </si>
  <si>
    <t>Movimiento de suelos</t>
  </si>
  <si>
    <t>Hormigón — Ensayos</t>
  </si>
  <si>
    <t>Impermeabilización</t>
  </si>
  <si>
    <t>Varios</t>
  </si>
  <si>
    <t>Depresión de napas</t>
  </si>
  <si>
    <t>Hormigón — Mano de obra</t>
  </si>
  <si>
    <t>Gastos generales</t>
  </si>
  <si>
    <t>Equipo propio</t>
  </si>
  <si>
    <t>Alquiler diario</t>
  </si>
  <si>
    <t>Herramientas — Preliminares</t>
  </si>
  <si>
    <t>Herramientas — Hormigón</t>
  </si>
  <si>
    <t>Herramientas — Albañilería</t>
  </si>
  <si>
    <t>Herramientas — Terminaciones</t>
  </si>
  <si>
    <t>Herramientas — Instalaciones</t>
  </si>
  <si>
    <t>EQUIPAMIENTO</t>
  </si>
  <si>
    <t>AYUDA DE GREMIOS Y GGBB</t>
  </si>
  <si>
    <t>HONORARIOS Y JEFATURA DE OBRA</t>
  </si>
  <si>
    <t>PRELIMINARES</t>
  </si>
  <si>
    <t>Amure de puertas placa</t>
  </si>
  <si>
    <t>MOVIMIENTO DE TIERRA</t>
  </si>
  <si>
    <t>ESTRUCTURA DE HORMIGÓN ARMADO</t>
  </si>
  <si>
    <t>IMPERMEABILIZACIONES Y AISLACIONES</t>
  </si>
  <si>
    <t>REVOQUES FINOS Y CIELORRASOS</t>
  </si>
  <si>
    <t>INSTALACIÓN ELÉCTRICA</t>
  </si>
  <si>
    <t>INSTALACIONES SANITARIAS</t>
  </si>
  <si>
    <t>AIRE ACONDICIONADO</t>
  </si>
  <si>
    <t>PISOS</t>
  </si>
  <si>
    <t>REVESTIMIENTOS</t>
  </si>
  <si>
    <t>VENTILACIONES</t>
  </si>
  <si>
    <t>MARMOLES Y GRANITOS</t>
  </si>
  <si>
    <t>CARPINTERIA</t>
  </si>
  <si>
    <t>ASCENSOR</t>
  </si>
  <si>
    <t>ZÓCALOS</t>
  </si>
  <si>
    <t>Rubro MO Alb</t>
  </si>
  <si>
    <t>Etapa</t>
  </si>
  <si>
    <t>Preliminares</t>
  </si>
  <si>
    <t>TAREAS PRELIMINARES</t>
  </si>
  <si>
    <t>-</t>
  </si>
  <si>
    <t>Hormigón</t>
  </si>
  <si>
    <t>MOVIMIENTO DE TIERRA, COMPACTACION Y RELLENO</t>
  </si>
  <si>
    <t>ESTRUCTURA RESISTENTE</t>
  </si>
  <si>
    <t>Albañilería</t>
  </si>
  <si>
    <t>AISLACIONES</t>
  </si>
  <si>
    <t>VENTILACIONES - PROVISION A CARGO DEL COMITENTE</t>
  </si>
  <si>
    <t>Revestimiento</t>
  </si>
  <si>
    <t>PISOS - PROVISION A CARGO DEL COMITENTE</t>
  </si>
  <si>
    <t>ZOCALOS Y SOLIAS - PROVISION A CARGO DEL COMITENTE</t>
  </si>
  <si>
    <t>REVESTIMIENTOS - PROVISION A CARGO DEL COMITENTE</t>
  </si>
  <si>
    <t>CIELORRASOS</t>
  </si>
  <si>
    <t>CARPINTERIA - PROVISION A CARGO DEL COMITENTE</t>
  </si>
  <si>
    <t>Eléctrico</t>
  </si>
  <si>
    <t>INSTALACION CLOACAL</t>
  </si>
  <si>
    <t>INSTALACION PLUVIAL</t>
  </si>
  <si>
    <t>INSTALACION AGUA FRIA Y CALIENTE</t>
  </si>
  <si>
    <t>INSTALACION DESCARGA SPLIT</t>
  </si>
  <si>
    <t>INSTALACION CALEFACCION</t>
  </si>
  <si>
    <t>INSTALACION DE INCENDIO</t>
  </si>
  <si>
    <t>INSTALACION DE GAS</t>
  </si>
  <si>
    <t>EQUIPAMIENTO - PROVISION A CARGO DEL COMITENTE</t>
  </si>
  <si>
    <t>AYUDA DE GREMIOS</t>
  </si>
  <si>
    <t>JEFATURA DE OBRA</t>
  </si>
  <si>
    <t>Cod.</t>
  </si>
  <si>
    <t>Rubro MO/ALB</t>
  </si>
  <si>
    <t>en PPTO?</t>
  </si>
  <si>
    <t>Cant. Ej. Part.</t>
  </si>
  <si>
    <t>Rend. Part.</t>
  </si>
  <si>
    <t>Cant MO/ALB Unit</t>
  </si>
  <si>
    <t>Cant MO/ALB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</si>
</sst>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0.0000"/>
    <numFmt numFmtId="166" formatCode="0.0"/>
    <numFmt numFmtId="167" formatCode="0.000"/>
    <numFmt numFmtId="168" formatCode="_(* #,##0_);_(* \(#,##0\);_(* \-??_);_(@_)"/>
    <numFmt numFmtId="169" formatCode="#,##0.00;\(#,##0.00\);\-"/>
    <numFmt numFmtId="170" formatCode="\$#,##0.00;&quot;($&quot;#,##0.00\);\-"/>
    <numFmt numFmtId="171" formatCode="\$#,##0;&quot;($&quot;#,##0\);\-"/>
    <numFmt numFmtId="172" formatCode="#,##0.0000;\(#,##0.0000\);\-"/>
    <numFmt numFmtId="173" formatCode="0.0%;\(0.0%\);\-"/>
    <numFmt numFmtId="174" formatCode="#,##0;\(#,##0\);\-"/>
    <numFmt numFmtId="175" formatCode="_(* #,##0_);_(* \(#,##0\);_(* &quot;-&quot;??_);_(@_)"/>
  </numFmts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12"/>
      <color rgb="FF1F4E79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1F4E78"/>
      <name val="Cambria"/>
      <family val="1"/>
      <charset val="1"/>
    </font>
    <font>
      <b/>
      <sz val="11"/>
      <color rgb="FF305496"/>
      <name val="Cambria"/>
      <family val="1"/>
      <charset val="1"/>
    </font>
    <font>
      <b/>
      <sz val="14"/>
      <color rgb="FF1B2A4A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1B2A4A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2"/>
      <color rgb="FF2E75B6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10"/>
      <color rgb="FF808080"/>
      <name val="Calibri"/>
      <family val="2"/>
      <charset val="1"/>
    </font>
    <font>
      <sz val="10"/>
      <color rgb="FF80808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name val="Cambria"/>
      <family val="1"/>
      <charset val="1"/>
    </font>
    <font>
      <sz val="11"/>
      <color rgb="FF008000"/>
      <name val="Cambria"/>
      <family val="1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name val="Arial"/>
      <family val="2"/>
      <charset val="1"/>
    </font>
    <font>
      <b/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FF"/>
      <name val="Calibri"/>
      <family val="2"/>
      <charset val="1"/>
    </font>
    <font>
      <b/>
      <sz val="10"/>
      <color rgb="FF008000"/>
      <name val="Calibri"/>
      <family val="2"/>
      <charset val="1"/>
    </font>
    <font>
      <b/>
      <sz val="10"/>
      <color theme="0"/>
      <name val="Calibri"/>
      <family val="2"/>
      <charset val="1"/>
    </font>
    <font>
      <i/>
      <sz val="11"/>
      <color theme="0" tint="-0.34998626667073579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1"/>
      <color rgb="FF0070C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F3864"/>
      <name val="Arial"/>
      <family val="2"/>
    </font>
    <font>
      <i/>
      <sz val="10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666666"/>
      <name val="Calibri"/>
      <family val="2"/>
      <charset val="1"/>
    </font>
    <font>
      <sz val="10"/>
      <color rgb="FF999999"/>
      <name val="Calibri"/>
      <family val="2"/>
      <charset val="1"/>
    </font>
    <font>
      <b/>
      <sz val="10"/>
      <color rgb="FF1B2A4A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0000FF"/>
      <name val="Aptos Narrow"/>
      <family val="2"/>
    </font>
    <font>
      <sz val="10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9E1F2"/>
        <bgColor rgb="FFD9E2F3"/>
      </patternFill>
    </fill>
    <fill>
      <patternFill patternType="solid">
        <fgColor rgb="FF1B2A4A"/>
        <bgColor rgb="FF1F3864"/>
      </patternFill>
    </fill>
    <fill>
      <patternFill patternType="solid">
        <fgColor rgb="FFFFFF00"/>
        <bgColor rgb="FFFFC000"/>
      </patternFill>
    </fill>
    <fill>
      <patternFill patternType="solid">
        <fgColor rgb="FFE8EDF3"/>
        <bgColor rgb="FFF2F2F2"/>
      </patternFill>
    </fill>
    <fill>
      <patternFill patternType="solid">
        <fgColor rgb="FF1F4E78"/>
        <bgColor rgb="FF1F4E79"/>
      </patternFill>
    </fill>
    <fill>
      <patternFill patternType="solid">
        <fgColor rgb="FFFFC000"/>
        <bgColor rgb="FFFAC090"/>
      </patternFill>
    </fill>
    <fill>
      <patternFill patternType="solid">
        <fgColor rgb="FFD9E2F3"/>
        <bgColor rgb="FFD9E1F2"/>
      </patternFill>
    </fill>
    <fill>
      <patternFill patternType="solid">
        <fgColor theme="8" tint="0.39957884456923126"/>
        <bgColor rgb="FFB4C7E7"/>
      </patternFill>
    </fill>
    <fill>
      <patternFill patternType="solid">
        <fgColor theme="0" tint="-0.249977111117893"/>
        <bgColor rgb="FFCCCCCC"/>
      </patternFill>
    </fill>
    <fill>
      <patternFill patternType="solid">
        <fgColor rgb="FFD9D9D9"/>
        <bgColor rgb="FFD9E1F2"/>
      </patternFill>
    </fill>
    <fill>
      <patternFill patternType="solid">
        <fgColor theme="0" tint="-4.9989318521683403E-2"/>
        <bgColor rgb="FFE8EDF3"/>
      </patternFill>
    </fill>
    <fill>
      <patternFill patternType="solid">
        <fgColor rgb="FF1F3864"/>
        <bgColor rgb="FF1B2A4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D9D9D9"/>
      </patternFill>
    </fill>
    <fill>
      <patternFill patternType="solid">
        <fgColor rgb="FF2E5BBA"/>
        <bgColor rgb="FF305496"/>
      </patternFill>
    </fill>
    <fill>
      <patternFill patternType="solid">
        <fgColor rgb="FFFFE699"/>
        <bgColor rgb="FFFFF2CC"/>
      </patternFill>
    </fill>
    <fill>
      <patternFill patternType="solid">
        <fgColor rgb="FFB4C7E7"/>
        <bgColor rgb="FFBFBFBF"/>
      </patternFill>
    </fill>
    <fill>
      <patternFill patternType="solid">
        <fgColor rgb="FF1B2A4A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rgb="FF1F3864"/>
      </patternFill>
    </fill>
  </fills>
  <borders count="3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499984740745262"/>
      </left>
      <right style="thin">
        <color rgb="FFCCCCCC"/>
      </right>
      <top style="medium">
        <color theme="0" tint="-0.499984740745262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theme="0" tint="-0.499984740745262"/>
      </top>
      <bottom style="thin">
        <color rgb="FFCCCCCC"/>
      </bottom>
      <diagonal/>
    </border>
    <border>
      <left style="thin">
        <color rgb="FFCCCCCC"/>
      </left>
      <right/>
      <top style="medium">
        <color theme="0" tint="-0.499984740745262"/>
      </top>
      <bottom style="thin">
        <color rgb="FFCCCCCC"/>
      </bottom>
      <diagonal/>
    </border>
    <border>
      <left style="thin">
        <color rgb="FFCCCCCC"/>
      </left>
      <right style="medium">
        <color theme="0" tint="-0.499984740745262"/>
      </right>
      <top style="medium">
        <color theme="0" tint="-0.499984740745262"/>
      </top>
      <bottom style="thin">
        <color rgb="FFCCCCCC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rgb="FFCCCCCC"/>
      </bottom>
      <diagonal/>
    </border>
    <border>
      <left/>
      <right style="thin">
        <color rgb="FFCCCCCC"/>
      </right>
      <top style="medium">
        <color theme="0" tint="-0.499984740745262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theme="0" tint="-0.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theme="0" tint="-0.499984740745262"/>
      </right>
      <top style="thin">
        <color rgb="FFCCCCCC"/>
      </top>
      <bottom style="thin">
        <color rgb="FFCCCCCC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theme="0" tint="-0.499984740745262"/>
      </left>
      <right style="thin">
        <color rgb="FFCCCCCC"/>
      </right>
      <top style="thin">
        <color rgb="FFCCCCCC"/>
      </top>
      <bottom style="medium">
        <color theme="0" tint="-0.49998474074526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0" tint="-0.499984740745262"/>
      </bottom>
      <diagonal/>
    </border>
    <border>
      <left style="thin">
        <color rgb="FFCCCCCC"/>
      </left>
      <right/>
      <top style="thin">
        <color rgb="FFCCCCCC"/>
      </top>
      <bottom style="medium">
        <color theme="0" tint="-0.499984740745262"/>
      </bottom>
      <diagonal/>
    </border>
    <border>
      <left style="thin">
        <color rgb="FFCCCCCC"/>
      </left>
      <right style="medium">
        <color theme="0" tint="-0.499984740745262"/>
      </right>
      <top style="thin">
        <color rgb="FFCCCCCC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rgb="FFCCCCCC"/>
      </top>
      <bottom style="medium">
        <color theme="0" tint="-0.499984740745262"/>
      </bottom>
      <diagonal/>
    </border>
    <border>
      <left/>
      <right style="thin">
        <color rgb="FFCCCCCC"/>
      </right>
      <top style="thin">
        <color rgb="FFCCCCCC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rgb="FFCCCCCC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CCCCCC"/>
      </left>
      <right style="thin">
        <color rgb="FFCCCCCC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CCCCCC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45" fillId="0" borderId="0" applyFont="0" applyFill="0" applyBorder="0" applyAlignment="0" applyProtection="0"/>
  </cellStyleXfs>
  <cellXfs count="293"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4" fontId="10" fillId="0" borderId="1" xfId="0" applyNumberFormat="1" applyFont="1" applyBorder="1" applyAlignment="1">
      <alignment horizontal="center"/>
    </xf>
    <xf numFmtId="0" fontId="9" fillId="0" borderId="0" xfId="0" applyFont="1"/>
    <xf numFmtId="4" fontId="10" fillId="0" borderId="0" xfId="0" applyNumberFormat="1" applyFont="1" applyAlignment="1">
      <alignment horizontal="center"/>
    </xf>
    <xf numFmtId="0" fontId="11" fillId="0" borderId="0" xfId="0" applyFont="1"/>
    <xf numFmtId="0" fontId="11" fillId="0" borderId="1" xfId="0" applyFont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/>
    </xf>
    <xf numFmtId="3" fontId="12" fillId="5" borderId="1" xfId="0" applyNumberFormat="1" applyFont="1" applyFill="1" applyBorder="1" applyAlignment="1">
      <alignment horizontal="center"/>
    </xf>
    <xf numFmtId="0" fontId="13" fillId="0" borderId="1" xfId="0" applyFont="1" applyBorder="1"/>
    <xf numFmtId="165" fontId="11" fillId="0" borderId="1" xfId="0" applyNumberFormat="1" applyFont="1" applyBorder="1" applyAlignment="1">
      <alignment horizontal="center"/>
    </xf>
    <xf numFmtId="0" fontId="0" fillId="0" borderId="1" xfId="0" applyBorder="1"/>
    <xf numFmtId="0" fontId="14" fillId="0" borderId="0" xfId="0" applyFont="1"/>
    <xf numFmtId="0" fontId="8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 wrapText="1"/>
    </xf>
    <xf numFmtId="0" fontId="12" fillId="0" borderId="0" xfId="0" applyFont="1"/>
    <xf numFmtId="165" fontId="15" fillId="0" borderId="1" xfId="0" applyNumberFormat="1" applyFont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left" vertical="center" wrapText="1"/>
    </xf>
    <xf numFmtId="165" fontId="17" fillId="0" borderId="1" xfId="0" applyNumberFormat="1" applyFont="1" applyBorder="1" applyAlignment="1">
      <alignment horizontal="left" vertical="center" wrapText="1"/>
    </xf>
    <xf numFmtId="0" fontId="19" fillId="0" borderId="0" xfId="0" applyFont="1"/>
    <xf numFmtId="0" fontId="10" fillId="0" borderId="1" xfId="0" applyFont="1" applyBorder="1"/>
    <xf numFmtId="2" fontId="10" fillId="0" borderId="1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3" fontId="11" fillId="0" borderId="1" xfId="0" applyNumberFormat="1" applyFont="1" applyBorder="1"/>
    <xf numFmtId="0" fontId="20" fillId="0" borderId="0" xfId="0" applyFont="1"/>
    <xf numFmtId="0" fontId="15" fillId="0" borderId="1" xfId="0" applyFont="1" applyBorder="1"/>
    <xf numFmtId="167" fontId="10" fillId="0" borderId="1" xfId="0" applyNumberFormat="1" applyFont="1" applyBorder="1"/>
    <xf numFmtId="164" fontId="10" fillId="0" borderId="1" xfId="0" applyNumberFormat="1" applyFont="1" applyBorder="1"/>
    <xf numFmtId="3" fontId="15" fillId="0" borderId="1" xfId="0" applyNumberFormat="1" applyFont="1" applyBorder="1"/>
    <xf numFmtId="0" fontId="23" fillId="0" borderId="0" xfId="0" applyFont="1"/>
    <xf numFmtId="168" fontId="24" fillId="0" borderId="0" xfId="0" applyNumberFormat="1" applyFont="1"/>
    <xf numFmtId="0" fontId="7" fillId="0" borderId="0" xfId="0" applyFont="1" applyAlignment="1">
      <alignment horizontal="center"/>
    </xf>
    <xf numFmtId="0" fontId="15" fillId="0" borderId="0" xfId="0" applyFont="1"/>
    <xf numFmtId="0" fontId="25" fillId="5" borderId="0" xfId="0" applyFont="1" applyFill="1"/>
    <xf numFmtId="4" fontId="10" fillId="5" borderId="0" xfId="0" applyNumberFormat="1" applyFont="1" applyFill="1"/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9" borderId="11" xfId="0" applyFont="1" applyFill="1" applyBorder="1"/>
    <xf numFmtId="0" fontId="0" fillId="9" borderId="1" xfId="0" applyFill="1" applyBorder="1"/>
    <xf numFmtId="0" fontId="9" fillId="9" borderId="1" xfId="0" applyFont="1" applyFill="1" applyBorder="1"/>
    <xf numFmtId="0" fontId="26" fillId="9" borderId="1" xfId="0" applyFont="1" applyFill="1" applyBorder="1" applyAlignment="1">
      <alignment horizontal="center"/>
    </xf>
    <xf numFmtId="0" fontId="26" fillId="9" borderId="2" xfId="0" applyFont="1" applyFill="1" applyBorder="1"/>
    <xf numFmtId="0" fontId="26" fillId="9" borderId="11" xfId="0" applyFont="1" applyFill="1" applyBorder="1"/>
    <xf numFmtId="0" fontId="26" fillId="9" borderId="1" xfId="0" applyFont="1" applyFill="1" applyBorder="1"/>
    <xf numFmtId="0" fontId="23" fillId="9" borderId="12" xfId="0" applyFont="1" applyFill="1" applyBorder="1"/>
    <xf numFmtId="0" fontId="23" fillId="9" borderId="13" xfId="0" applyFont="1" applyFill="1" applyBorder="1"/>
    <xf numFmtId="3" fontId="23" fillId="9" borderId="14" xfId="0" applyNumberFormat="1" applyFont="1" applyFill="1" applyBorder="1"/>
    <xf numFmtId="3" fontId="23" fillId="9" borderId="1" xfId="0" applyNumberFormat="1" applyFont="1" applyFill="1" applyBorder="1"/>
    <xf numFmtId="0" fontId="26" fillId="9" borderId="12" xfId="0" applyFont="1" applyFill="1" applyBorder="1"/>
    <xf numFmtId="0" fontId="11" fillId="0" borderId="11" xfId="0" applyFont="1" applyBorder="1"/>
    <xf numFmtId="4" fontId="10" fillId="0" borderId="2" xfId="0" applyNumberFormat="1" applyFont="1" applyBorder="1"/>
    <xf numFmtId="3" fontId="15" fillId="0" borderId="11" xfId="0" applyNumberFormat="1" applyFont="1" applyBorder="1"/>
    <xf numFmtId="3" fontId="13" fillId="0" borderId="12" xfId="0" applyNumberFormat="1" applyFont="1" applyBorder="1"/>
    <xf numFmtId="3" fontId="11" fillId="0" borderId="11" xfId="0" applyNumberFormat="1" applyFont="1" applyBorder="1"/>
    <xf numFmtId="3" fontId="13" fillId="0" borderId="13" xfId="0" applyNumberFormat="1" applyFont="1" applyBorder="1"/>
    <xf numFmtId="3" fontId="13" fillId="0" borderId="14" xfId="0" applyNumberFormat="1" applyFont="1" applyBorder="1"/>
    <xf numFmtId="3" fontId="13" fillId="0" borderId="1" xfId="0" applyNumberFormat="1" applyFont="1" applyBorder="1"/>
    <xf numFmtId="3" fontId="15" fillId="10" borderId="1" xfId="0" applyNumberFormat="1" applyFont="1" applyFill="1" applyBorder="1"/>
    <xf numFmtId="0" fontId="27" fillId="0" borderId="0" xfId="0" applyFont="1"/>
    <xf numFmtId="2" fontId="11" fillId="0" borderId="11" xfId="0" applyNumberFormat="1" applyFont="1" applyBorder="1"/>
    <xf numFmtId="3" fontId="15" fillId="10" borderId="11" xfId="0" applyNumberFormat="1" applyFont="1" applyFill="1" applyBorder="1"/>
    <xf numFmtId="0" fontId="23" fillId="9" borderId="1" xfId="0" applyFont="1" applyFill="1" applyBorder="1"/>
    <xf numFmtId="0" fontId="23" fillId="9" borderId="14" xfId="0" applyFont="1" applyFill="1" applyBorder="1"/>
    <xf numFmtId="2" fontId="11" fillId="0" borderId="15" xfId="0" applyNumberFormat="1" applyFont="1" applyBorder="1"/>
    <xf numFmtId="0" fontId="10" fillId="0" borderId="16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/>
    </xf>
    <xf numFmtId="4" fontId="10" fillId="0" borderId="17" xfId="0" applyNumberFormat="1" applyFont="1" applyBorder="1"/>
    <xf numFmtId="3" fontId="15" fillId="0" borderId="15" xfId="0" applyNumberFormat="1" applyFont="1" applyBorder="1"/>
    <xf numFmtId="3" fontId="15" fillId="0" borderId="16" xfId="0" applyNumberFormat="1" applyFont="1" applyBorder="1"/>
    <xf numFmtId="3" fontId="13" fillId="0" borderId="18" xfId="0" applyNumberFormat="1" applyFont="1" applyBorder="1"/>
    <xf numFmtId="3" fontId="11" fillId="0" borderId="15" xfId="0" applyNumberFormat="1" applyFont="1" applyBorder="1"/>
    <xf numFmtId="3" fontId="11" fillId="0" borderId="16" xfId="0" applyNumberFormat="1" applyFont="1" applyBorder="1"/>
    <xf numFmtId="3" fontId="13" fillId="0" borderId="19" xfId="0" applyNumberFormat="1" applyFont="1" applyBorder="1"/>
    <xf numFmtId="3" fontId="13" fillId="0" borderId="20" xfId="0" applyNumberFormat="1" applyFont="1" applyBorder="1"/>
    <xf numFmtId="3" fontId="13" fillId="0" borderId="16" xfId="0" applyNumberFormat="1" applyFont="1" applyBorder="1"/>
    <xf numFmtId="0" fontId="15" fillId="0" borderId="16" xfId="0" applyFont="1" applyBorder="1"/>
    <xf numFmtId="0" fontId="13" fillId="11" borderId="21" xfId="0" applyFont="1" applyFill="1" applyBorder="1"/>
    <xf numFmtId="0" fontId="28" fillId="11" borderId="22" xfId="0" applyFont="1" applyFill="1" applyBorder="1"/>
    <xf numFmtId="0" fontId="13" fillId="11" borderId="22" xfId="0" applyFont="1" applyFill="1" applyBorder="1"/>
    <xf numFmtId="0" fontId="13" fillId="11" borderId="22" xfId="0" applyFont="1" applyFill="1" applyBorder="1" applyAlignment="1">
      <alignment horizontal="center"/>
    </xf>
    <xf numFmtId="4" fontId="28" fillId="11" borderId="22" xfId="0" applyNumberFormat="1" applyFont="1" applyFill="1" applyBorder="1"/>
    <xf numFmtId="3" fontId="29" fillId="11" borderId="22" xfId="0" applyNumberFormat="1" applyFont="1" applyFill="1" applyBorder="1"/>
    <xf numFmtId="3" fontId="13" fillId="11" borderId="22" xfId="0" applyNumberFormat="1" applyFont="1" applyFill="1" applyBorder="1"/>
    <xf numFmtId="0" fontId="29" fillId="11" borderId="22" xfId="0" applyFont="1" applyFill="1" applyBorder="1"/>
    <xf numFmtId="0" fontId="13" fillId="11" borderId="23" xfId="0" applyFont="1" applyFill="1" applyBorder="1"/>
    <xf numFmtId="3" fontId="26" fillId="0" borderId="0" xfId="0" applyNumberFormat="1" applyFont="1"/>
    <xf numFmtId="10" fontId="24" fillId="0" borderId="0" xfId="0" applyNumberFormat="1" applyFont="1"/>
    <xf numFmtId="3" fontId="0" fillId="0" borderId="0" xfId="0" applyNumberForma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11" fillId="0" borderId="24" xfId="0" applyNumberFormat="1" applyFont="1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0" xfId="0" applyFont="1" applyAlignment="1">
      <alignment vertical="center"/>
    </xf>
    <xf numFmtId="3" fontId="11" fillId="0" borderId="26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15" fillId="0" borderId="0" xfId="0" applyFont="1" applyAlignment="1">
      <alignment horizontal="center" vertical="center"/>
    </xf>
    <xf numFmtId="3" fontId="11" fillId="0" borderId="28" xfId="0" applyNumberFormat="1" applyFont="1" applyBorder="1" applyAlignment="1">
      <alignment vertical="center"/>
    </xf>
    <xf numFmtId="3" fontId="10" fillId="5" borderId="0" xfId="0" applyNumberFormat="1" applyFont="1" applyFill="1" applyAlignment="1">
      <alignment horizontal="center" vertical="center"/>
    </xf>
    <xf numFmtId="3" fontId="13" fillId="11" borderId="26" xfId="0" applyNumberFormat="1" applyFont="1" applyFill="1" applyBorder="1" applyAlignment="1">
      <alignment vertical="center"/>
    </xf>
    <xf numFmtId="0" fontId="22" fillId="0" borderId="27" xfId="0" applyFont="1" applyBorder="1" applyAlignment="1">
      <alignment vertical="center"/>
    </xf>
    <xf numFmtId="3" fontId="13" fillId="11" borderId="29" xfId="0" applyNumberFormat="1" applyFont="1" applyFill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3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167" fontId="13" fillId="12" borderId="1" xfId="0" applyNumberFormat="1" applyFont="1" applyFill="1" applyBorder="1" applyAlignment="1">
      <alignment horizontal="center" vertical="center" wrapText="1"/>
    </xf>
    <xf numFmtId="4" fontId="13" fillId="12" borderId="1" xfId="0" applyNumberFormat="1" applyFont="1" applyFill="1" applyBorder="1" applyAlignment="1">
      <alignment horizontal="center" vertical="center" wrapText="1"/>
    </xf>
    <xf numFmtId="164" fontId="13" fillId="12" borderId="1" xfId="0" applyNumberFormat="1" applyFont="1" applyFill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vertical="center"/>
    </xf>
    <xf numFmtId="167" fontId="15" fillId="13" borderId="1" xfId="0" applyNumberFormat="1" applyFont="1" applyFill="1" applyBorder="1" applyAlignment="1">
      <alignment vertical="center"/>
    </xf>
    <xf numFmtId="164" fontId="15" fillId="13" borderId="1" xfId="0" applyNumberFormat="1" applyFont="1" applyFill="1" applyBorder="1" applyAlignment="1">
      <alignment vertical="center"/>
    </xf>
    <xf numFmtId="3" fontId="13" fillId="13" borderId="1" xfId="0" applyNumberFormat="1" applyFont="1" applyFill="1" applyBorder="1" applyAlignment="1">
      <alignment vertical="center"/>
    </xf>
    <xf numFmtId="3" fontId="15" fillId="13" borderId="1" xfId="0" applyNumberFormat="1" applyFont="1" applyFill="1" applyBorder="1" applyAlignment="1">
      <alignment vertical="center"/>
    </xf>
    <xf numFmtId="3" fontId="11" fillId="13" borderId="1" xfId="0" applyNumberFormat="1" applyFont="1" applyFill="1" applyBorder="1" applyAlignment="1">
      <alignment vertical="center"/>
    </xf>
    <xf numFmtId="4" fontId="13" fillId="13" borderId="1" xfId="0" applyNumberFormat="1" applyFont="1" applyFill="1" applyBorder="1" applyAlignment="1">
      <alignment vertical="center"/>
    </xf>
    <xf numFmtId="3" fontId="15" fillId="13" borderId="32" xfId="0" applyNumberFormat="1" applyFont="1" applyFill="1" applyBorder="1" applyAlignment="1">
      <alignment vertical="center"/>
    </xf>
    <xf numFmtId="3" fontId="11" fillId="13" borderId="32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3" fontId="13" fillId="11" borderId="0" xfId="0" applyNumberFormat="1" applyFont="1" applyFill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10" fontId="15" fillId="0" borderId="1" xfId="0" applyNumberFormat="1" applyFont="1" applyBorder="1" applyAlignment="1">
      <alignment vertical="center"/>
    </xf>
    <xf numFmtId="0" fontId="9" fillId="11" borderId="0" xfId="0" applyFont="1" applyFill="1" applyAlignment="1">
      <alignment horizontal="right" vertical="center"/>
    </xf>
    <xf numFmtId="3" fontId="13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2" fontId="15" fillId="13" borderId="1" xfId="0" applyNumberFormat="1" applyFont="1" applyFill="1" applyBorder="1" applyAlignment="1">
      <alignment vertical="center"/>
    </xf>
    <xf numFmtId="165" fontId="15" fillId="1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0" fillId="17" borderId="35" xfId="0" applyFont="1" applyFill="1" applyBorder="1" applyAlignment="1">
      <alignment horizontal="center" vertical="center" wrapText="1"/>
    </xf>
    <xf numFmtId="169" fontId="36" fillId="0" borderId="34" xfId="0" applyNumberFormat="1" applyFont="1" applyBorder="1" applyAlignment="1">
      <alignment horizontal="right" vertical="center"/>
    </xf>
    <xf numFmtId="170" fontId="36" fillId="0" borderId="34" xfId="0" applyNumberFormat="1" applyFont="1" applyBorder="1" applyAlignment="1">
      <alignment horizontal="right" vertical="center"/>
    </xf>
    <xf numFmtId="171" fontId="37" fillId="0" borderId="34" xfId="0" applyNumberFormat="1" applyFont="1" applyBorder="1" applyAlignment="1">
      <alignment horizontal="right" vertical="center"/>
    </xf>
    <xf numFmtId="0" fontId="38" fillId="0" borderId="0" xfId="0" applyFont="1" applyAlignment="1">
      <alignment horizontal="right" vertical="center"/>
    </xf>
    <xf numFmtId="171" fontId="38" fillId="16" borderId="35" xfId="0" applyNumberFormat="1" applyFont="1" applyFill="1" applyBorder="1" applyAlignment="1">
      <alignment horizontal="right" vertical="center"/>
    </xf>
    <xf numFmtId="171" fontId="38" fillId="18" borderId="35" xfId="0" applyNumberFormat="1" applyFont="1" applyFill="1" applyBorder="1" applyAlignment="1">
      <alignment horizontal="right" vertical="center"/>
    </xf>
    <xf numFmtId="171" fontId="38" fillId="19" borderId="35" xfId="0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5" fillId="13" borderId="1" xfId="0" applyFont="1" applyFill="1" applyBorder="1"/>
    <xf numFmtId="2" fontId="11" fillId="13" borderId="1" xfId="0" applyNumberFormat="1" applyFont="1" applyFill="1" applyBorder="1"/>
    <xf numFmtId="4" fontId="13" fillId="13" borderId="1" xfId="0" applyNumberFormat="1" applyFont="1" applyFill="1" applyBorder="1"/>
    <xf numFmtId="3" fontId="11" fillId="13" borderId="1" xfId="0" applyNumberFormat="1" applyFont="1" applyFill="1" applyBorder="1"/>
    <xf numFmtId="4" fontId="11" fillId="13" borderId="1" xfId="0" applyNumberFormat="1" applyFont="1" applyFill="1" applyBorder="1"/>
    <xf numFmtId="0" fontId="9" fillId="12" borderId="1" xfId="0" applyFont="1" applyFill="1" applyBorder="1"/>
    <xf numFmtId="4" fontId="13" fillId="12" borderId="1" xfId="0" applyNumberFormat="1" applyFont="1" applyFill="1" applyBorder="1"/>
    <xf numFmtId="0" fontId="0" fillId="12" borderId="1" xfId="0" applyFill="1" applyBorder="1"/>
    <xf numFmtId="3" fontId="13" fillId="12" borderId="1" xfId="0" applyNumberFormat="1" applyFont="1" applyFill="1" applyBorder="1"/>
    <xf numFmtId="165" fontId="15" fillId="0" borderId="1" xfId="0" applyNumberFormat="1" applyFont="1" applyBorder="1"/>
    <xf numFmtId="0" fontId="41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5" borderId="0" xfId="0" applyFont="1" applyFill="1"/>
    <xf numFmtId="0" fontId="9" fillId="12" borderId="0" xfId="0" applyFont="1" applyFill="1"/>
    <xf numFmtId="3" fontId="13" fillId="12" borderId="0" xfId="0" applyNumberFormat="1" applyFont="1" applyFill="1"/>
    <xf numFmtId="167" fontId="15" fillId="0" borderId="1" xfId="0" applyNumberFormat="1" applyFont="1" applyBorder="1"/>
    <xf numFmtId="164" fontId="15" fillId="0" borderId="1" xfId="0" applyNumberFormat="1" applyFont="1" applyBorder="1"/>
    <xf numFmtId="3" fontId="2" fillId="0" borderId="1" xfId="0" applyNumberFormat="1" applyFont="1" applyBorder="1"/>
    <xf numFmtId="3" fontId="10" fillId="0" borderId="1" xfId="0" applyNumberFormat="1" applyFont="1" applyBorder="1"/>
    <xf numFmtId="4" fontId="15" fillId="0" borderId="1" xfId="0" applyNumberFormat="1" applyFont="1" applyBorder="1"/>
    <xf numFmtId="167" fontId="11" fillId="0" borderId="1" xfId="0" applyNumberFormat="1" applyFont="1" applyBorder="1"/>
    <xf numFmtId="164" fontId="11" fillId="0" borderId="1" xfId="0" applyNumberFormat="1" applyFont="1" applyBorder="1"/>
    <xf numFmtId="4" fontId="11" fillId="0" borderId="1" xfId="0" applyNumberFormat="1" applyFont="1" applyBorder="1"/>
    <xf numFmtId="4" fontId="10" fillId="0" borderId="1" xfId="0" applyNumberFormat="1" applyFont="1" applyBorder="1"/>
    <xf numFmtId="4" fontId="2" fillId="0" borderId="1" xfId="0" applyNumberFormat="1" applyFont="1" applyBorder="1"/>
    <xf numFmtId="4" fontId="13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43" fillId="0" borderId="0" xfId="0" applyFont="1"/>
    <xf numFmtId="0" fontId="44" fillId="4" borderId="1" xfId="0" applyFont="1" applyFill="1" applyBorder="1"/>
    <xf numFmtId="0" fontId="18" fillId="0" borderId="1" xfId="0" applyFont="1" applyBorder="1"/>
    <xf numFmtId="0" fontId="36" fillId="0" borderId="34" xfId="0" applyFont="1" applyBorder="1"/>
    <xf numFmtId="172" fontId="36" fillId="0" borderId="34" xfId="0" applyNumberFormat="1" applyFont="1" applyBorder="1"/>
    <xf numFmtId="173" fontId="36" fillId="0" borderId="34" xfId="0" applyNumberFormat="1" applyFont="1" applyBorder="1"/>
    <xf numFmtId="170" fontId="36" fillId="0" borderId="34" xfId="0" applyNumberFormat="1" applyFont="1" applyBorder="1"/>
    <xf numFmtId="169" fontId="36" fillId="0" borderId="34" xfId="0" applyNumberFormat="1" applyFont="1" applyBorder="1"/>
    <xf numFmtId="1" fontId="36" fillId="0" borderId="34" xfId="0" applyNumberFormat="1" applyFont="1" applyBorder="1"/>
    <xf numFmtId="171" fontId="36" fillId="0" borderId="34" xfId="0" applyNumberFormat="1" applyFont="1" applyBorder="1"/>
    <xf numFmtId="0" fontId="34" fillId="0" borderId="0" xfId="0" applyFont="1"/>
    <xf numFmtId="0" fontId="34" fillId="0" borderId="0" xfId="0" applyFont="1" applyAlignment="1">
      <alignment horizontal="left" vertical="center"/>
    </xf>
    <xf numFmtId="0" fontId="40" fillId="17" borderId="35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6" fillId="0" borderId="34" xfId="0" applyFont="1" applyBorder="1" applyAlignment="1">
      <alignment horizontal="left" vertical="center"/>
    </xf>
    <xf numFmtId="0" fontId="36" fillId="0" borderId="34" xfId="0" applyFont="1" applyBorder="1" applyAlignment="1">
      <alignment horizontal="center" vertical="center"/>
    </xf>
    <xf numFmtId="174" fontId="36" fillId="0" borderId="34" xfId="0" applyNumberFormat="1" applyFont="1" applyBorder="1" applyAlignment="1">
      <alignment horizontal="center" vertical="center"/>
    </xf>
    <xf numFmtId="0" fontId="0" fillId="0" borderId="34" xfId="0" applyBorder="1"/>
    <xf numFmtId="174" fontId="21" fillId="0" borderId="34" xfId="0" applyNumberFormat="1" applyFont="1" applyBorder="1" applyAlignment="1">
      <alignment horizontal="center" vertical="center"/>
    </xf>
    <xf numFmtId="175" fontId="0" fillId="0" borderId="0" xfId="1" applyNumberFormat="1" applyFont="1"/>
    <xf numFmtId="0" fontId="47" fillId="0" borderId="0" xfId="0" applyFont="1"/>
    <xf numFmtId="0" fontId="48" fillId="0" borderId="0" xfId="0" applyFont="1"/>
    <xf numFmtId="175" fontId="48" fillId="0" borderId="0" xfId="1" applyNumberFormat="1" applyFont="1"/>
    <xf numFmtId="175" fontId="47" fillId="0" borderId="0" xfId="1" applyNumberFormat="1" applyFont="1"/>
    <xf numFmtId="0" fontId="46" fillId="7" borderId="3" xfId="0" applyFont="1" applyFill="1" applyBorder="1" applyAlignment="1">
      <alignment horizontal="center" vertical="center" wrapText="1"/>
    </xf>
    <xf numFmtId="175" fontId="46" fillId="7" borderId="3" xfId="1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 wrapText="1"/>
    </xf>
    <xf numFmtId="175" fontId="8" fillId="4" borderId="1" xfId="1" applyNumberFormat="1" applyFont="1" applyFill="1" applyBorder="1" applyAlignment="1">
      <alignment horizontal="center" vertical="center" wrapText="1"/>
    </xf>
    <xf numFmtId="175" fontId="10" fillId="0" borderId="1" xfId="1" applyNumberFormat="1" applyFont="1" applyFill="1" applyBorder="1" applyAlignment="1">
      <alignment horizontal="left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50" fillId="20" borderId="1" xfId="0" applyFont="1" applyFill="1" applyBorder="1" applyAlignment="1">
      <alignment horizontal="center" vertical="center"/>
    </xf>
    <xf numFmtId="2" fontId="11" fillId="21" borderId="11" xfId="0" applyNumberFormat="1" applyFont="1" applyFill="1" applyBorder="1"/>
    <xf numFmtId="2" fontId="8" fillId="4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Border="1"/>
    <xf numFmtId="2" fontId="0" fillId="0" borderId="0" xfId="0" applyNumberFormat="1"/>
    <xf numFmtId="0" fontId="8" fillId="22" borderId="7" xfId="0" applyFont="1" applyFill="1" applyBorder="1" applyAlignment="1">
      <alignment horizontal="center" vertical="center" wrapText="1"/>
    </xf>
    <xf numFmtId="0" fontId="10" fillId="0" borderId="12" xfId="0" applyFont="1" applyBorder="1"/>
    <xf numFmtId="0" fontId="10" fillId="9" borderId="12" xfId="0" applyFont="1" applyFill="1" applyBorder="1"/>
    <xf numFmtId="0" fontId="10" fillId="0" borderId="18" xfId="0" applyFont="1" applyBorder="1"/>
    <xf numFmtId="0" fontId="26" fillId="9" borderId="12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3" fillId="11" borderId="23" xfId="0" applyFont="1" applyFill="1" applyBorder="1" applyAlignment="1">
      <alignment horizontal="center"/>
    </xf>
    <xf numFmtId="0" fontId="15" fillId="0" borderId="12" xfId="0" applyFont="1" applyBorder="1"/>
    <xf numFmtId="0" fontId="15" fillId="9" borderId="12" xfId="0" applyFont="1" applyFill="1" applyBorder="1"/>
    <xf numFmtId="2" fontId="15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8" fillId="2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6" fillId="6" borderId="2" xfId="0" applyFont="1" applyFill="1" applyBorder="1"/>
    <xf numFmtId="0" fontId="0" fillId="0" borderId="36" xfId="0" applyBorder="1"/>
    <xf numFmtId="0" fontId="10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horizontal="left" vertical="center"/>
    </xf>
    <xf numFmtId="0" fontId="35" fillId="15" borderId="33" xfId="0" applyFont="1" applyFill="1" applyBorder="1" applyAlignment="1">
      <alignment horizontal="center" vertical="center"/>
    </xf>
    <xf numFmtId="0" fontId="0" fillId="0" borderId="37" xfId="0" applyBorder="1"/>
    <xf numFmtId="0" fontId="39" fillId="19" borderId="0" xfId="0" applyFont="1" applyFill="1" applyAlignment="1">
      <alignment horizontal="right" vertical="center"/>
    </xf>
    <xf numFmtId="0" fontId="38" fillId="19" borderId="0" xfId="0" applyFont="1" applyFill="1" applyAlignment="1">
      <alignment horizontal="left" vertical="center"/>
    </xf>
    <xf numFmtId="0" fontId="36" fillId="3" borderId="34" xfId="0" applyFont="1" applyFill="1" applyBorder="1" applyAlignment="1">
      <alignment horizontal="left" vertical="center"/>
    </xf>
    <xf numFmtId="0" fontId="0" fillId="0" borderId="38" xfId="0" applyBorder="1"/>
    <xf numFmtId="171" fontId="37" fillId="3" borderId="34" xfId="0" applyNumberFormat="1" applyFont="1" applyFill="1" applyBorder="1" applyAlignment="1">
      <alignment horizontal="right" vertical="center"/>
    </xf>
    <xf numFmtId="174" fontId="37" fillId="3" borderId="34" xfId="0" applyNumberFormat="1" applyFont="1" applyFill="1" applyBorder="1" applyAlignment="1">
      <alignment horizontal="right" vertical="center"/>
    </xf>
    <xf numFmtId="9" fontId="35" fillId="15" borderId="33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8" fillId="18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7" fillId="3" borderId="34" xfId="0" applyFont="1" applyFill="1" applyBorder="1" applyAlignment="1">
      <alignment horizontal="left" vertical="center"/>
    </xf>
    <xf numFmtId="171" fontId="38" fillId="3" borderId="34" xfId="0" applyNumberFormat="1" applyFont="1" applyFill="1" applyBorder="1" applyAlignment="1">
      <alignment horizontal="right" vertical="center"/>
    </xf>
    <xf numFmtId="0" fontId="39" fillId="16" borderId="0" xfId="0" applyFont="1" applyFill="1" applyAlignment="1">
      <alignment horizontal="right" vertical="center"/>
    </xf>
    <xf numFmtId="0" fontId="39" fillId="18" borderId="0" xfId="0" applyFont="1" applyFill="1" applyAlignment="1">
      <alignment horizontal="right" vertical="center"/>
    </xf>
    <xf numFmtId="0" fontId="32" fillId="14" borderId="0" xfId="0" applyFont="1" applyFill="1" applyAlignment="1">
      <alignment horizontal="center" vertical="center"/>
    </xf>
    <xf numFmtId="0" fontId="38" fillId="16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9" fillId="0" borderId="0" xfId="0" applyFont="1"/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14" xfId="0" applyBorder="1"/>
  </cellXfs>
  <cellStyles count="2">
    <cellStyle name="Comma" xfId="1" builtinId="3"/>
    <cellStyle name="Normal" xfId="0" builtinId="0"/>
  </cellStyles>
  <dxfs count="6">
    <dxf>
      <fill>
        <patternFill>
          <bgColor rgb="FFF2F2F2"/>
        </patternFill>
      </fill>
    </dxf>
    <dxf>
      <font>
        <sz val="10"/>
        <color rgb="FFFFFFFF"/>
        <name val="Arial"/>
        <charset val="1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F2F2F2"/>
        </patternFill>
      </fill>
    </dxf>
    <dxf>
      <font>
        <sz val="10"/>
        <color rgb="FFFFFFFF"/>
        <name val="Arial"/>
        <charset val="1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>
          <bgColor rgb="FFF2F2F2"/>
        </patternFill>
      </fill>
    </dxf>
    <dxf>
      <font>
        <sz val="10"/>
        <color rgb="FFFFFFFF"/>
        <name val="Arial"/>
        <charset val="1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9E2F3"/>
      <rgbColor rgb="FF800000"/>
      <rgbColor rgb="FF008000"/>
      <rgbColor rgb="FF000080"/>
      <rgbColor rgb="FFD9E1F2"/>
      <rgbColor rgb="FF800080"/>
      <rgbColor rgb="FF2E75B6"/>
      <rgbColor rgb="FFBFBFBF"/>
      <rgbColor rgb="FF808080"/>
      <rgbColor rgb="FF8EB4E3"/>
      <rgbColor rgb="FF595959"/>
      <rgbColor rgb="FFFFF2CC"/>
      <rgbColor rgb="FFE8EDF3"/>
      <rgbColor rgb="FF660066"/>
      <rgbColor rgb="FFA6A6A6"/>
      <rgbColor rgb="FF0070C0"/>
      <rgbColor rgb="FFB4C7E7"/>
      <rgbColor rgb="FF000080"/>
      <rgbColor rgb="FFFF00FF"/>
      <rgbColor rgb="FFFDEADA"/>
      <rgbColor rgb="FF00FFFF"/>
      <rgbColor rgb="FF800080"/>
      <rgbColor rgb="FF800000"/>
      <rgbColor rgb="FF1F4E79"/>
      <rgbColor rgb="FF0000FF"/>
      <rgbColor rgb="FFB7DEE8"/>
      <rgbColor rgb="FFF2F2F2"/>
      <rgbColor rgb="FFC6E0B4"/>
      <rgbColor rgb="FFFFE699"/>
      <rgbColor rgb="FF93CDDD"/>
      <rgbColor rgb="FFC4BD97"/>
      <rgbColor rgb="FFB3A2C7"/>
      <rgbColor rgb="FFFAC090"/>
      <rgbColor rgb="FF2E5BBA"/>
      <rgbColor rgb="FF95B3D7"/>
      <rgbColor rgb="FFCCCCCC"/>
      <rgbColor rgb="FFFFC000"/>
      <rgbColor rgb="FFD9D9D9"/>
      <rgbColor rgb="FFFF6600"/>
      <rgbColor rgb="FF666666"/>
      <rgbColor rgb="FF999999"/>
      <rgbColor rgb="FF1F3864"/>
      <rgbColor rgb="FF5B9BD5"/>
      <rgbColor rgb="FF003300"/>
      <rgbColor rgb="FF1F4E78"/>
      <rgbColor rgb="FF993300"/>
      <rgbColor rgb="FF993366"/>
      <rgbColor rgb="FF305496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2"/>
  <sheetViews>
    <sheetView topLeftCell="A95" zoomScaleNormal="100" workbookViewId="0">
      <selection activeCell="A118" sqref="A118"/>
    </sheetView>
  </sheetViews>
  <sheetFormatPr defaultColWidth="8.6328125" defaultRowHeight="14.5" x14ac:dyDescent="0.35"/>
  <cols>
    <col min="1" max="1" width="110" customWidth="1"/>
  </cols>
  <sheetData>
    <row r="1" spans="1:1" ht="27.75" customHeight="1" x14ac:dyDescent="0.35">
      <c r="A1" s="2" t="s">
        <v>400</v>
      </c>
    </row>
    <row r="2" spans="1:1" ht="14.25" customHeight="1" x14ac:dyDescent="0.35">
      <c r="A2" s="3"/>
    </row>
    <row r="3" spans="1:1" ht="21.75" customHeight="1" x14ac:dyDescent="0.35">
      <c r="A3" s="4" t="s">
        <v>401</v>
      </c>
    </row>
    <row r="4" spans="1:1" ht="14.25" customHeight="1" x14ac:dyDescent="0.35">
      <c r="A4" s="3" t="s">
        <v>402</v>
      </c>
    </row>
    <row r="5" spans="1:1" ht="14.25" customHeight="1" x14ac:dyDescent="0.35">
      <c r="A5" s="3" t="s">
        <v>403</v>
      </c>
    </row>
    <row r="6" spans="1:1" ht="14.25" customHeight="1" x14ac:dyDescent="0.35">
      <c r="A6" s="3" t="s">
        <v>404</v>
      </c>
    </row>
    <row r="7" spans="1:1" ht="14.25" customHeight="1" x14ac:dyDescent="0.35">
      <c r="A7" s="3"/>
    </row>
    <row r="8" spans="1:1" ht="15" customHeight="1" x14ac:dyDescent="0.35">
      <c r="A8" s="5" t="s">
        <v>405</v>
      </c>
    </row>
    <row r="9" spans="1:1" ht="14.25" customHeight="1" x14ac:dyDescent="0.35">
      <c r="A9" s="3" t="s">
        <v>406</v>
      </c>
    </row>
    <row r="10" spans="1:1" ht="14.25" customHeight="1" x14ac:dyDescent="0.35">
      <c r="A10" s="3" t="s">
        <v>407</v>
      </c>
    </row>
    <row r="11" spans="1:1" ht="14.25" customHeight="1" x14ac:dyDescent="0.35">
      <c r="A11" s="3"/>
    </row>
    <row r="12" spans="1:1" ht="21.75" customHeight="1" x14ac:dyDescent="0.35">
      <c r="A12" s="4" t="s">
        <v>408</v>
      </c>
    </row>
    <row r="13" spans="1:1" ht="14.25" customHeight="1" x14ac:dyDescent="0.35">
      <c r="A13" s="3"/>
    </row>
    <row r="14" spans="1:1" ht="18" customHeight="1" x14ac:dyDescent="0.35">
      <c r="A14" s="6" t="s">
        <v>409</v>
      </c>
    </row>
    <row r="15" spans="1:1" ht="14.25" customHeight="1" x14ac:dyDescent="0.35">
      <c r="A15" s="3" t="s">
        <v>410</v>
      </c>
    </row>
    <row r="16" spans="1:1" ht="14.25" customHeight="1" x14ac:dyDescent="0.35">
      <c r="A16" s="3" t="s">
        <v>411</v>
      </c>
    </row>
    <row r="17" spans="1:1" ht="14.25" customHeight="1" x14ac:dyDescent="0.35">
      <c r="A17" s="3" t="s">
        <v>412</v>
      </c>
    </row>
    <row r="18" spans="1:1" ht="14.25" customHeight="1" x14ac:dyDescent="0.35">
      <c r="A18" s="3" t="s">
        <v>413</v>
      </c>
    </row>
    <row r="19" spans="1:1" ht="14.25" customHeight="1" x14ac:dyDescent="0.35">
      <c r="A19" s="3" t="s">
        <v>414</v>
      </c>
    </row>
    <row r="20" spans="1:1" ht="14.25" customHeight="1" x14ac:dyDescent="0.35">
      <c r="A20" s="3" t="s">
        <v>415</v>
      </c>
    </row>
    <row r="21" spans="1:1" ht="15" customHeight="1" x14ac:dyDescent="0.35">
      <c r="A21" s="5" t="s">
        <v>416</v>
      </c>
    </row>
    <row r="22" spans="1:1" ht="15" customHeight="1" x14ac:dyDescent="0.35">
      <c r="A22" s="5"/>
    </row>
    <row r="23" spans="1:1" ht="18" customHeight="1" x14ac:dyDescent="0.35">
      <c r="A23" s="7" t="s">
        <v>417</v>
      </c>
    </row>
    <row r="24" spans="1:1" ht="14.25" customHeight="1" x14ac:dyDescent="0.35">
      <c r="A24" s="3" t="s">
        <v>418</v>
      </c>
    </row>
    <row r="25" spans="1:1" ht="14.25" customHeight="1" x14ac:dyDescent="0.35">
      <c r="A25" s="3" t="s">
        <v>419</v>
      </c>
    </row>
    <row r="26" spans="1:1" ht="14.25" customHeight="1" x14ac:dyDescent="0.35">
      <c r="A26" s="3" t="s">
        <v>420</v>
      </c>
    </row>
    <row r="27" spans="1:1" ht="14.25" customHeight="1" x14ac:dyDescent="0.35">
      <c r="A27" s="3"/>
    </row>
    <row r="28" spans="1:1" ht="18" customHeight="1" x14ac:dyDescent="0.35">
      <c r="A28" s="6" t="s">
        <v>421</v>
      </c>
    </row>
    <row r="29" spans="1:1" ht="14.25" customHeight="1" x14ac:dyDescent="0.35">
      <c r="A29" s="3" t="s">
        <v>422</v>
      </c>
    </row>
    <row r="30" spans="1:1" ht="14.25" customHeight="1" x14ac:dyDescent="0.35">
      <c r="A30" s="3" t="s">
        <v>423</v>
      </c>
    </row>
    <row r="31" spans="1:1" ht="14.25" customHeight="1" x14ac:dyDescent="0.35">
      <c r="A31" s="3"/>
    </row>
    <row r="32" spans="1:1" ht="18" customHeight="1" x14ac:dyDescent="0.35">
      <c r="A32" s="6" t="s">
        <v>424</v>
      </c>
    </row>
    <row r="33" spans="1:1" ht="14.25" customHeight="1" x14ac:dyDescent="0.35">
      <c r="A33" s="3" t="s">
        <v>425</v>
      </c>
    </row>
    <row r="34" spans="1:1" ht="14.25" customHeight="1" x14ac:dyDescent="0.35">
      <c r="A34" s="3" t="s">
        <v>426</v>
      </c>
    </row>
    <row r="35" spans="1:1" ht="14.25" customHeight="1" x14ac:dyDescent="0.35">
      <c r="A35" s="3" t="s">
        <v>427</v>
      </c>
    </row>
    <row r="36" spans="1:1" ht="14.25" customHeight="1" x14ac:dyDescent="0.35">
      <c r="A36" s="3" t="s">
        <v>428</v>
      </c>
    </row>
    <row r="37" spans="1:1" ht="14.25" customHeight="1" x14ac:dyDescent="0.35">
      <c r="A37" s="3" t="s">
        <v>429</v>
      </c>
    </row>
    <row r="38" spans="1:1" ht="14.25" customHeight="1" x14ac:dyDescent="0.35">
      <c r="A38" s="3" t="s">
        <v>430</v>
      </c>
    </row>
    <row r="39" spans="1:1" ht="14.25" customHeight="1" x14ac:dyDescent="0.35">
      <c r="A39" s="3"/>
    </row>
    <row r="40" spans="1:1" ht="18" customHeight="1" x14ac:dyDescent="0.35">
      <c r="A40" s="6" t="s">
        <v>431</v>
      </c>
    </row>
    <row r="41" spans="1:1" ht="14.25" customHeight="1" x14ac:dyDescent="0.35">
      <c r="A41" s="3" t="s">
        <v>432</v>
      </c>
    </row>
    <row r="42" spans="1:1" ht="14.25" customHeight="1" x14ac:dyDescent="0.35">
      <c r="A42" s="3" t="s">
        <v>433</v>
      </c>
    </row>
    <row r="43" spans="1:1" ht="14.25" customHeight="1" x14ac:dyDescent="0.35">
      <c r="A43" s="3" t="s">
        <v>434</v>
      </c>
    </row>
    <row r="44" spans="1:1" ht="14.25" customHeight="1" x14ac:dyDescent="0.35">
      <c r="A44" s="3" t="s">
        <v>435</v>
      </c>
    </row>
    <row r="45" spans="1:1" ht="14.25" customHeight="1" x14ac:dyDescent="0.35">
      <c r="A45" s="3" t="s">
        <v>436</v>
      </c>
    </row>
    <row r="46" spans="1:1" ht="14.25" customHeight="1" x14ac:dyDescent="0.35">
      <c r="A46" s="3" t="s">
        <v>437</v>
      </c>
    </row>
    <row r="47" spans="1:1" ht="14.25" customHeight="1" x14ac:dyDescent="0.35">
      <c r="A47" s="3"/>
    </row>
    <row r="48" spans="1:1" ht="18" customHeight="1" x14ac:dyDescent="0.35">
      <c r="A48" s="6" t="s">
        <v>438</v>
      </c>
    </row>
    <row r="49" spans="1:1" ht="14.25" customHeight="1" x14ac:dyDescent="0.35">
      <c r="A49" s="3" t="s">
        <v>439</v>
      </c>
    </row>
    <row r="50" spans="1:1" ht="14.25" customHeight="1" x14ac:dyDescent="0.35">
      <c r="A50" s="3" t="s">
        <v>440</v>
      </c>
    </row>
    <row r="51" spans="1:1" ht="14.25" customHeight="1" x14ac:dyDescent="0.35">
      <c r="A51" s="3" t="s">
        <v>441</v>
      </c>
    </row>
    <row r="52" spans="1:1" ht="14.25" customHeight="1" x14ac:dyDescent="0.35">
      <c r="A52" s="3" t="s">
        <v>442</v>
      </c>
    </row>
    <row r="53" spans="1:1" ht="14.25" customHeight="1" x14ac:dyDescent="0.35">
      <c r="A53" s="3"/>
    </row>
    <row r="54" spans="1:1" ht="18" customHeight="1" x14ac:dyDescent="0.35">
      <c r="A54" s="6" t="s">
        <v>443</v>
      </c>
    </row>
    <row r="55" spans="1:1" ht="14.25" customHeight="1" x14ac:dyDescent="0.35">
      <c r="A55" s="3" t="s">
        <v>444</v>
      </c>
    </row>
    <row r="56" spans="1:1" ht="14.25" customHeight="1" x14ac:dyDescent="0.35">
      <c r="A56" s="3" t="s">
        <v>445</v>
      </c>
    </row>
    <row r="57" spans="1:1" ht="14.25" customHeight="1" x14ac:dyDescent="0.35">
      <c r="A57" s="3"/>
    </row>
    <row r="58" spans="1:1" ht="21.75" customHeight="1" x14ac:dyDescent="0.35">
      <c r="A58" s="4" t="s">
        <v>446</v>
      </c>
    </row>
    <row r="59" spans="1:1" ht="14.25" customHeight="1" x14ac:dyDescent="0.35">
      <c r="A59" s="3"/>
    </row>
    <row r="60" spans="1:1" ht="14.25" customHeight="1" x14ac:dyDescent="0.35">
      <c r="A60" s="3" t="s">
        <v>447</v>
      </c>
    </row>
    <row r="61" spans="1:1" ht="14.25" customHeight="1" x14ac:dyDescent="0.35">
      <c r="A61" s="3" t="s">
        <v>448</v>
      </c>
    </row>
    <row r="62" spans="1:1" ht="14.25" customHeight="1" x14ac:dyDescent="0.35">
      <c r="A62" s="3" t="s">
        <v>449</v>
      </c>
    </row>
    <row r="63" spans="1:1" ht="14.25" customHeight="1" x14ac:dyDescent="0.35">
      <c r="A63" s="3" t="s">
        <v>450</v>
      </c>
    </row>
    <row r="64" spans="1:1" ht="14.25" customHeight="1" x14ac:dyDescent="0.35">
      <c r="A64" s="3" t="s">
        <v>451</v>
      </c>
    </row>
    <row r="65" spans="1:1" ht="14.25" customHeight="1" x14ac:dyDescent="0.35">
      <c r="A65" s="3" t="s">
        <v>452</v>
      </c>
    </row>
    <row r="66" spans="1:1" ht="14.25" customHeight="1" x14ac:dyDescent="0.35">
      <c r="A66" s="3" t="s">
        <v>453</v>
      </c>
    </row>
    <row r="67" spans="1:1" ht="14.25" customHeight="1" x14ac:dyDescent="0.35">
      <c r="A67" s="3" t="s">
        <v>454</v>
      </c>
    </row>
    <row r="68" spans="1:1" ht="14.25" customHeight="1" x14ac:dyDescent="0.35">
      <c r="A68" s="3" t="s">
        <v>455</v>
      </c>
    </row>
    <row r="69" spans="1:1" ht="14.25" customHeight="1" x14ac:dyDescent="0.35">
      <c r="A69" s="3" t="s">
        <v>456</v>
      </c>
    </row>
    <row r="70" spans="1:1" ht="14.25" customHeight="1" x14ac:dyDescent="0.35">
      <c r="A70" s="3" t="s">
        <v>457</v>
      </c>
    </row>
    <row r="71" spans="1:1" ht="14.25" customHeight="1" x14ac:dyDescent="0.35">
      <c r="A71" s="3" t="s">
        <v>458</v>
      </c>
    </row>
    <row r="72" spans="1:1" ht="14.25" customHeight="1" x14ac:dyDescent="0.35">
      <c r="A72" s="3" t="s">
        <v>459</v>
      </c>
    </row>
    <row r="73" spans="1:1" ht="14.25" customHeight="1" x14ac:dyDescent="0.35">
      <c r="A73" s="3" t="s">
        <v>460</v>
      </c>
    </row>
    <row r="74" spans="1:1" ht="14.25" customHeight="1" x14ac:dyDescent="0.35">
      <c r="A74" s="3" t="s">
        <v>461</v>
      </c>
    </row>
    <row r="75" spans="1:1" ht="14.25" customHeight="1" x14ac:dyDescent="0.35">
      <c r="A75" s="3" t="s">
        <v>462</v>
      </c>
    </row>
    <row r="76" spans="1:1" ht="14.25" customHeight="1" x14ac:dyDescent="0.35">
      <c r="A76" s="3" t="s">
        <v>463</v>
      </c>
    </row>
    <row r="77" spans="1:1" ht="14.25" customHeight="1" x14ac:dyDescent="0.35">
      <c r="A77" s="3"/>
    </row>
    <row r="78" spans="1:1" ht="21.75" customHeight="1" x14ac:dyDescent="0.35">
      <c r="A78" s="4" t="s">
        <v>464</v>
      </c>
    </row>
    <row r="79" spans="1:1" ht="14.25" customHeight="1" x14ac:dyDescent="0.35">
      <c r="A79" s="3"/>
    </row>
    <row r="80" spans="1:1" ht="14.25" customHeight="1" x14ac:dyDescent="0.35">
      <c r="A80" s="3" t="s">
        <v>465</v>
      </c>
    </row>
    <row r="81" spans="1:1" ht="14.25" customHeight="1" x14ac:dyDescent="0.35">
      <c r="A81" s="3" t="s">
        <v>466</v>
      </c>
    </row>
    <row r="82" spans="1:1" ht="14.25" customHeight="1" x14ac:dyDescent="0.35">
      <c r="A82" s="3"/>
    </row>
    <row r="83" spans="1:1" ht="14.25" customHeight="1" x14ac:dyDescent="0.35">
      <c r="A83" s="3" t="s">
        <v>467</v>
      </c>
    </row>
    <row r="84" spans="1:1" ht="14.25" customHeight="1" x14ac:dyDescent="0.35">
      <c r="A84" s="3" t="s">
        <v>468</v>
      </c>
    </row>
    <row r="85" spans="1:1" ht="15" customHeight="1" x14ac:dyDescent="0.35">
      <c r="A85" s="5" t="s">
        <v>469</v>
      </c>
    </row>
    <row r="86" spans="1:1" ht="15" customHeight="1" x14ac:dyDescent="0.35">
      <c r="A86" s="5"/>
    </row>
    <row r="87" spans="1:1" ht="21.75" customHeight="1" x14ac:dyDescent="0.35">
      <c r="A87" s="4" t="s">
        <v>470</v>
      </c>
    </row>
    <row r="88" spans="1:1" ht="14.25" customHeight="1" x14ac:dyDescent="0.35">
      <c r="A88" s="3"/>
    </row>
    <row r="89" spans="1:1" ht="14.25" customHeight="1" x14ac:dyDescent="0.35">
      <c r="A89" s="3" t="s">
        <v>471</v>
      </c>
    </row>
    <row r="90" spans="1:1" ht="14.25" customHeight="1" x14ac:dyDescent="0.35">
      <c r="A90" s="3" t="s">
        <v>472</v>
      </c>
    </row>
    <row r="91" spans="1:1" ht="14.25" customHeight="1" x14ac:dyDescent="0.35">
      <c r="A91" s="3" t="s">
        <v>473</v>
      </c>
    </row>
    <row r="92" spans="1:1" ht="14.25" customHeight="1" x14ac:dyDescent="0.35">
      <c r="A92" s="3"/>
    </row>
    <row r="93" spans="1:1" ht="14.25" customHeight="1" x14ac:dyDescent="0.35">
      <c r="A93" s="3" t="s">
        <v>474</v>
      </c>
    </row>
    <row r="94" spans="1:1" ht="14.25" customHeight="1" x14ac:dyDescent="0.35">
      <c r="A94" s="3" t="s">
        <v>475</v>
      </c>
    </row>
    <row r="95" spans="1:1" ht="14.25" customHeight="1" x14ac:dyDescent="0.35">
      <c r="A95" s="3" t="s">
        <v>476</v>
      </c>
    </row>
    <row r="96" spans="1:1" ht="14.25" customHeight="1" x14ac:dyDescent="0.35">
      <c r="A96" s="3" t="s">
        <v>477</v>
      </c>
    </row>
    <row r="97" spans="1:1" ht="14.25" customHeight="1" x14ac:dyDescent="0.35">
      <c r="A97" s="3"/>
    </row>
    <row r="98" spans="1:1" ht="21.75" customHeight="1" x14ac:dyDescent="0.35">
      <c r="A98" s="4" t="s">
        <v>478</v>
      </c>
    </row>
    <row r="99" spans="1:1" ht="14.25" customHeight="1" x14ac:dyDescent="0.35">
      <c r="A99" s="3"/>
    </row>
    <row r="100" spans="1:1" ht="18" customHeight="1" x14ac:dyDescent="0.35">
      <c r="A100" s="6" t="s">
        <v>479</v>
      </c>
    </row>
    <row r="101" spans="1:1" ht="14.25" customHeight="1" x14ac:dyDescent="0.35">
      <c r="A101" s="3" t="s">
        <v>480</v>
      </c>
    </row>
    <row r="102" spans="1:1" ht="14.25" customHeight="1" x14ac:dyDescent="0.35">
      <c r="A102" s="3" t="s">
        <v>481</v>
      </c>
    </row>
    <row r="103" spans="1:1" ht="14.25" customHeight="1" x14ac:dyDescent="0.35">
      <c r="A103" s="3" t="s">
        <v>482</v>
      </c>
    </row>
    <row r="104" spans="1:1" ht="14.25" customHeight="1" x14ac:dyDescent="0.35">
      <c r="A104" s="3" t="s">
        <v>483</v>
      </c>
    </row>
    <row r="105" spans="1:1" ht="14.25" customHeight="1" x14ac:dyDescent="0.35">
      <c r="A105" s="3" t="s">
        <v>484</v>
      </c>
    </row>
    <row r="106" spans="1:1" ht="14.25" customHeight="1" x14ac:dyDescent="0.35">
      <c r="A106" s="3"/>
    </row>
    <row r="107" spans="1:1" ht="18" customHeight="1" x14ac:dyDescent="0.35">
      <c r="A107" s="6" t="s">
        <v>485</v>
      </c>
    </row>
    <row r="108" spans="1:1" ht="14.25" customHeight="1" x14ac:dyDescent="0.35">
      <c r="A108" s="3" t="s">
        <v>486</v>
      </c>
    </row>
    <row r="109" spans="1:1" ht="14.25" customHeight="1" x14ac:dyDescent="0.35">
      <c r="A109" s="3" t="s">
        <v>487</v>
      </c>
    </row>
    <row r="110" spans="1:1" ht="14.25" customHeight="1" x14ac:dyDescent="0.35">
      <c r="A110" s="3" t="s">
        <v>488</v>
      </c>
    </row>
    <row r="111" spans="1:1" ht="14.25" customHeight="1" x14ac:dyDescent="0.35">
      <c r="A111" s="3" t="s">
        <v>489</v>
      </c>
    </row>
    <row r="112" spans="1:1" ht="14.25" customHeight="1" x14ac:dyDescent="0.35">
      <c r="A112" s="3" t="s">
        <v>490</v>
      </c>
    </row>
    <row r="113" spans="1:1" ht="14.25" customHeight="1" x14ac:dyDescent="0.35">
      <c r="A113" s="3" t="s">
        <v>491</v>
      </c>
    </row>
    <row r="114" spans="1:1" ht="14.25" customHeight="1" x14ac:dyDescent="0.35">
      <c r="A114" s="3" t="s">
        <v>492</v>
      </c>
    </row>
    <row r="115" spans="1:1" ht="14.25" customHeight="1" x14ac:dyDescent="0.35">
      <c r="A115" s="3"/>
    </row>
    <row r="116" spans="1:1" ht="21.75" customHeight="1" x14ac:dyDescent="0.35">
      <c r="A116" s="4" t="s">
        <v>493</v>
      </c>
    </row>
    <row r="117" spans="1:1" ht="15" customHeight="1" x14ac:dyDescent="0.35">
      <c r="A117" s="5"/>
    </row>
    <row r="118" spans="1:1" ht="15" customHeight="1" x14ac:dyDescent="0.35">
      <c r="A118" s="5" t="s">
        <v>494</v>
      </c>
    </row>
    <row r="119" spans="1:1" ht="15" customHeight="1" x14ac:dyDescent="0.35">
      <c r="A119" s="5" t="s">
        <v>495</v>
      </c>
    </row>
    <row r="120" spans="1:1" ht="14.25" customHeight="1" x14ac:dyDescent="0.35">
      <c r="A120" s="3" t="s">
        <v>496</v>
      </c>
    </row>
    <row r="121" spans="1:1" ht="14.25" customHeight="1" x14ac:dyDescent="0.35">
      <c r="A121" s="3" t="s">
        <v>497</v>
      </c>
    </row>
    <row r="122" spans="1:1" ht="14.25" customHeight="1" x14ac:dyDescent="0.35">
      <c r="A122" s="3" t="s">
        <v>498</v>
      </c>
    </row>
    <row r="123" spans="1:1" ht="14.25" customHeight="1" x14ac:dyDescent="0.35">
      <c r="A123" s="3" t="s">
        <v>499</v>
      </c>
    </row>
    <row r="124" spans="1:1" ht="14.25" customHeight="1" x14ac:dyDescent="0.35">
      <c r="A124" s="3" t="s">
        <v>500</v>
      </c>
    </row>
    <row r="125" spans="1:1" ht="14.25" customHeight="1" x14ac:dyDescent="0.35">
      <c r="A125" s="3" t="s">
        <v>501</v>
      </c>
    </row>
    <row r="126" spans="1:1" ht="14.25" customHeight="1" x14ac:dyDescent="0.35">
      <c r="A126" s="3"/>
    </row>
    <row r="127" spans="1:1" ht="14.25" customHeight="1" x14ac:dyDescent="0.35">
      <c r="A127" s="3" t="s">
        <v>502</v>
      </c>
    </row>
    <row r="128" spans="1:1" ht="14.25" customHeight="1" x14ac:dyDescent="0.35">
      <c r="A128" s="3" t="s">
        <v>503</v>
      </c>
    </row>
    <row r="129" spans="1:1" ht="14.25" customHeight="1" x14ac:dyDescent="0.35">
      <c r="A129" s="3" t="s">
        <v>504</v>
      </c>
    </row>
    <row r="130" spans="1:1" ht="14.25" customHeight="1" x14ac:dyDescent="0.35">
      <c r="A130" s="3" t="s">
        <v>505</v>
      </c>
    </row>
    <row r="131" spans="1:1" ht="14.25" customHeight="1" x14ac:dyDescent="0.35">
      <c r="A131" s="3" t="s">
        <v>506</v>
      </c>
    </row>
    <row r="132" spans="1:1" ht="14.25" customHeight="1" x14ac:dyDescent="0.35">
      <c r="A132" s="3" t="s">
        <v>507</v>
      </c>
    </row>
    <row r="133" spans="1:1" ht="14.25" customHeight="1" x14ac:dyDescent="0.35">
      <c r="A133" s="3" t="s">
        <v>508</v>
      </c>
    </row>
    <row r="134" spans="1:1" ht="14.25" customHeight="1" x14ac:dyDescent="0.35">
      <c r="A134" s="3" t="s">
        <v>509</v>
      </c>
    </row>
    <row r="135" spans="1:1" ht="14.25" customHeight="1" x14ac:dyDescent="0.35">
      <c r="A135" s="3"/>
    </row>
    <row r="136" spans="1:1" ht="21.75" customHeight="1" x14ac:dyDescent="0.35">
      <c r="A136" s="4" t="s">
        <v>510</v>
      </c>
    </row>
    <row r="137" spans="1:1" ht="14.25" customHeight="1" x14ac:dyDescent="0.35">
      <c r="A137" s="3"/>
    </row>
    <row r="138" spans="1:1" ht="14.25" customHeight="1" x14ac:dyDescent="0.35">
      <c r="A138" s="3" t="s">
        <v>511</v>
      </c>
    </row>
    <row r="139" spans="1:1" ht="14.25" customHeight="1" x14ac:dyDescent="0.35">
      <c r="A139" s="3" t="s">
        <v>512</v>
      </c>
    </row>
    <row r="140" spans="1:1" ht="14.25" customHeight="1" x14ac:dyDescent="0.35">
      <c r="A140" s="3" t="s">
        <v>513</v>
      </c>
    </row>
    <row r="141" spans="1:1" ht="14.25" customHeight="1" x14ac:dyDescent="0.35">
      <c r="A141" s="3" t="s">
        <v>514</v>
      </c>
    </row>
    <row r="142" spans="1:1" ht="14.25" customHeight="1" x14ac:dyDescent="0.35">
      <c r="A142" s="3" t="s">
        <v>515</v>
      </c>
    </row>
    <row r="143" spans="1:1" ht="15" customHeight="1" x14ac:dyDescent="0.35">
      <c r="A143" s="5" t="s">
        <v>516</v>
      </c>
    </row>
    <row r="144" spans="1:1" ht="15" customHeight="1" x14ac:dyDescent="0.35">
      <c r="A144" s="5" t="s">
        <v>517</v>
      </c>
    </row>
    <row r="145" spans="1:1" ht="15" customHeight="1" x14ac:dyDescent="0.35">
      <c r="A145" s="5" t="s">
        <v>518</v>
      </c>
    </row>
    <row r="146" spans="1:1" ht="14.25" customHeight="1" x14ac:dyDescent="0.35">
      <c r="A146" s="3"/>
    </row>
    <row r="147" spans="1:1" ht="14.25" customHeight="1" x14ac:dyDescent="0.35">
      <c r="A147" s="3" t="s">
        <v>519</v>
      </c>
    </row>
    <row r="148" spans="1:1" ht="14.25" customHeight="1" x14ac:dyDescent="0.35">
      <c r="A148" s="3" t="s">
        <v>520</v>
      </c>
    </row>
    <row r="149" spans="1:1" ht="14.25" customHeight="1" x14ac:dyDescent="0.35">
      <c r="A149" s="3" t="s">
        <v>521</v>
      </c>
    </row>
    <row r="150" spans="1:1" ht="14.25" customHeight="1" x14ac:dyDescent="0.35">
      <c r="A150" s="3" t="s">
        <v>522</v>
      </c>
    </row>
    <row r="151" spans="1:1" ht="14.25" customHeight="1" x14ac:dyDescent="0.35">
      <c r="A151" s="3" t="s">
        <v>523</v>
      </c>
    </row>
    <row r="152" spans="1:1" ht="14.25" customHeight="1" x14ac:dyDescent="0.35">
      <c r="A152" s="3" t="s">
        <v>524</v>
      </c>
    </row>
    <row r="153" spans="1:1" ht="14.25" customHeight="1" x14ac:dyDescent="0.35">
      <c r="A153" s="3" t="s">
        <v>525</v>
      </c>
    </row>
    <row r="154" spans="1:1" ht="14.25" customHeight="1" x14ac:dyDescent="0.35">
      <c r="A154" s="3" t="s">
        <v>526</v>
      </c>
    </row>
    <row r="155" spans="1:1" ht="14.25" customHeight="1" x14ac:dyDescent="0.35">
      <c r="A155" s="3" t="s">
        <v>527</v>
      </c>
    </row>
    <row r="156" spans="1:1" ht="14.25" customHeight="1" x14ac:dyDescent="0.35">
      <c r="A156" s="3"/>
    </row>
    <row r="157" spans="1:1" ht="14.25" customHeight="1" x14ac:dyDescent="0.35">
      <c r="A157" s="3" t="s">
        <v>528</v>
      </c>
    </row>
    <row r="158" spans="1:1" ht="14.25" customHeight="1" x14ac:dyDescent="0.35">
      <c r="A158" s="3" t="s">
        <v>529</v>
      </c>
    </row>
    <row r="159" spans="1:1" ht="14.25" customHeight="1" x14ac:dyDescent="0.35">
      <c r="A159" s="8"/>
    </row>
    <row r="160" spans="1:1" ht="14.25" customHeight="1" x14ac:dyDescent="0.35">
      <c r="A160" s="8"/>
    </row>
    <row r="161" spans="1:1" ht="14.25" customHeight="1" x14ac:dyDescent="0.35">
      <c r="A161" s="8"/>
    </row>
    <row r="162" spans="1:1" ht="14.25" customHeight="1" x14ac:dyDescent="0.35">
      <c r="A162" s="8"/>
    </row>
    <row r="163" spans="1:1" ht="14.25" customHeight="1" x14ac:dyDescent="0.35">
      <c r="A163" s="8"/>
    </row>
    <row r="164" spans="1:1" ht="14.25" customHeight="1" x14ac:dyDescent="0.35">
      <c r="A164" s="8"/>
    </row>
    <row r="165" spans="1:1" ht="14.25" customHeight="1" x14ac:dyDescent="0.35">
      <c r="A165" s="8"/>
    </row>
    <row r="166" spans="1:1" ht="14.25" customHeight="1" x14ac:dyDescent="0.35">
      <c r="A166" s="8"/>
    </row>
    <row r="167" spans="1:1" ht="15" customHeight="1" x14ac:dyDescent="0.35">
      <c r="A167" s="9"/>
    </row>
    <row r="168" spans="1:1" ht="15" customHeight="1" x14ac:dyDescent="0.35">
      <c r="A168" s="9"/>
    </row>
    <row r="169" spans="1:1" ht="15" customHeight="1" x14ac:dyDescent="0.35">
      <c r="A169" s="9"/>
    </row>
    <row r="170" spans="1:1" ht="14.25" customHeight="1" x14ac:dyDescent="0.35">
      <c r="A170" s="10"/>
    </row>
    <row r="171" spans="1:1" ht="14.25" customHeight="1" x14ac:dyDescent="0.35">
      <c r="A171" s="8"/>
    </row>
    <row r="172" spans="1:1" ht="14.25" customHeight="1" x14ac:dyDescent="0.35">
      <c r="A172" s="8"/>
    </row>
    <row r="173" spans="1:1" ht="14.25" customHeight="1" x14ac:dyDescent="0.35">
      <c r="A173" s="8"/>
    </row>
    <row r="174" spans="1:1" ht="14.25" customHeight="1" x14ac:dyDescent="0.35">
      <c r="A174" s="8"/>
    </row>
    <row r="175" spans="1:1" ht="14.25" customHeight="1" x14ac:dyDescent="0.35">
      <c r="A175" s="8"/>
    </row>
    <row r="176" spans="1:1" ht="14.25" customHeight="1" x14ac:dyDescent="0.35">
      <c r="A176" s="8"/>
    </row>
    <row r="177" spans="1:1" ht="14.25" customHeight="1" x14ac:dyDescent="0.35">
      <c r="A177" s="8"/>
    </row>
    <row r="178" spans="1:1" ht="14.25" customHeight="1" x14ac:dyDescent="0.35">
      <c r="A178" s="8"/>
    </row>
    <row r="179" spans="1:1" ht="14.25" customHeight="1" x14ac:dyDescent="0.35">
      <c r="A179" s="10"/>
    </row>
    <row r="180" spans="1:1" ht="14.25" customHeight="1" x14ac:dyDescent="0.35">
      <c r="A180" s="8"/>
    </row>
    <row r="181" spans="1:1" ht="14.25" customHeight="1" x14ac:dyDescent="0.35">
      <c r="A181" s="8"/>
    </row>
    <row r="182" spans="1:1" ht="14.25" customHeight="1" x14ac:dyDescent="0.35">
      <c r="A182" s="8"/>
    </row>
    <row r="183" spans="1:1" ht="14.25" customHeight="1" x14ac:dyDescent="0.35">
      <c r="A183" s="8"/>
    </row>
    <row r="184" spans="1:1" ht="14.25" customHeight="1" x14ac:dyDescent="0.35">
      <c r="A184" s="8"/>
    </row>
    <row r="185" spans="1:1" ht="14.25" customHeight="1" x14ac:dyDescent="0.35">
      <c r="A185" s="8"/>
    </row>
    <row r="186" spans="1:1" ht="14.25" customHeight="1" x14ac:dyDescent="0.35">
      <c r="A186" s="8"/>
    </row>
    <row r="187" spans="1:1" ht="14.25" customHeight="1" x14ac:dyDescent="0.35">
      <c r="A187" s="8"/>
    </row>
    <row r="188" spans="1:1" ht="14.25" customHeight="1" x14ac:dyDescent="0.35">
      <c r="A188" s="10"/>
    </row>
    <row r="189" spans="1:1" ht="14.25" customHeight="1" x14ac:dyDescent="0.35">
      <c r="A189" s="8"/>
    </row>
    <row r="190" spans="1:1" ht="14.25" customHeight="1" x14ac:dyDescent="0.35">
      <c r="A190" s="8"/>
    </row>
    <row r="191" spans="1:1" ht="14.25" customHeight="1" x14ac:dyDescent="0.35">
      <c r="A191" s="8"/>
    </row>
    <row r="192" spans="1:1" ht="14.25" customHeight="1" x14ac:dyDescent="0.35">
      <c r="A192" s="8"/>
    </row>
    <row r="193" spans="1:1" ht="14.25" customHeight="1" x14ac:dyDescent="0.35">
      <c r="A193" s="8"/>
    </row>
    <row r="194" spans="1:1" ht="14.25" customHeight="1" x14ac:dyDescent="0.35">
      <c r="A194" s="8"/>
    </row>
    <row r="195" spans="1:1" ht="15" customHeight="1" x14ac:dyDescent="0.35">
      <c r="A195" s="9"/>
    </row>
    <row r="196" spans="1:1" ht="15" customHeight="1" x14ac:dyDescent="0.35">
      <c r="A196" s="9"/>
    </row>
    <row r="197" spans="1:1" ht="15" customHeight="1" x14ac:dyDescent="0.35">
      <c r="A197" s="9"/>
    </row>
    <row r="198" spans="1:1" ht="14.25" customHeight="1" x14ac:dyDescent="0.35">
      <c r="A198" s="8"/>
    </row>
    <row r="199" spans="1:1" ht="14.25" customHeight="1" x14ac:dyDescent="0.35">
      <c r="A199" s="8"/>
    </row>
    <row r="200" spans="1:1" ht="14.25" customHeight="1" x14ac:dyDescent="0.35">
      <c r="A200" s="8"/>
    </row>
    <row r="201" spans="1:1" ht="14.25" customHeight="1" x14ac:dyDescent="0.35">
      <c r="A201" s="8"/>
    </row>
    <row r="202" spans="1:1" ht="14.25" customHeight="1" x14ac:dyDescent="0.35">
      <c r="A202" s="8"/>
    </row>
    <row r="203" spans="1:1" ht="14.25" customHeight="1" x14ac:dyDescent="0.35">
      <c r="A203" s="8"/>
    </row>
    <row r="204" spans="1:1" ht="14.25" customHeight="1" x14ac:dyDescent="0.35">
      <c r="A204" s="8"/>
    </row>
    <row r="205" spans="1:1" ht="14.25" customHeight="1" x14ac:dyDescent="0.35">
      <c r="A205" s="8"/>
    </row>
    <row r="206" spans="1:1" ht="14.25" customHeight="1" x14ac:dyDescent="0.35">
      <c r="A206" s="8"/>
    </row>
    <row r="207" spans="1:1" ht="14.25" customHeight="1" x14ac:dyDescent="0.35">
      <c r="A207" s="8"/>
    </row>
    <row r="208" spans="1:1" ht="14.25" customHeight="1" x14ac:dyDescent="0.35">
      <c r="A208" s="8"/>
    </row>
    <row r="209" spans="1:1" ht="14.25" customHeight="1" x14ac:dyDescent="0.35">
      <c r="A209" s="8"/>
    </row>
    <row r="210" spans="1:1" ht="14.25" customHeight="1" x14ac:dyDescent="0.35">
      <c r="A210" s="8"/>
    </row>
    <row r="211" spans="1:1" ht="14.25" customHeight="1" x14ac:dyDescent="0.35">
      <c r="A211" s="8"/>
    </row>
    <row r="212" spans="1:1" ht="14.25" customHeight="1" x14ac:dyDescent="0.35">
      <c r="A212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28" customWidth="1"/>
    <col min="2" max="2" width="20" style="11" customWidth="1"/>
    <col min="3" max="3" width="20" customWidth="1"/>
    <col min="4" max="4" width="28" customWidth="1"/>
  </cols>
  <sheetData>
    <row r="1" spans="1:4" ht="17.25" customHeight="1" x14ac:dyDescent="0.45">
      <c r="A1" s="262" t="s">
        <v>530</v>
      </c>
      <c r="B1" s="263"/>
      <c r="C1" s="264"/>
      <c r="D1" s="264"/>
    </row>
    <row r="3" spans="1:4" ht="15" customHeight="1" x14ac:dyDescent="0.35">
      <c r="A3" s="12" t="s">
        <v>531</v>
      </c>
      <c r="B3" s="12" t="s">
        <v>532</v>
      </c>
      <c r="C3" s="12" t="s">
        <v>533</v>
      </c>
    </row>
    <row r="4" spans="1:4" ht="15" customHeight="1" x14ac:dyDescent="0.35">
      <c r="A4" s="13" t="s">
        <v>534</v>
      </c>
      <c r="B4" s="14" t="s">
        <v>535</v>
      </c>
      <c r="C4" s="15" t="s">
        <v>536</v>
      </c>
    </row>
    <row r="5" spans="1:4" ht="15" customHeight="1" x14ac:dyDescent="0.35">
      <c r="A5" s="13" t="s">
        <v>537</v>
      </c>
      <c r="B5" s="14">
        <v>2024</v>
      </c>
      <c r="C5" s="15"/>
    </row>
    <row r="6" spans="1:4" ht="15" customHeight="1" x14ac:dyDescent="0.35">
      <c r="A6" s="13" t="s">
        <v>538</v>
      </c>
      <c r="B6" s="14" t="s">
        <v>539</v>
      </c>
      <c r="C6" s="15"/>
    </row>
    <row r="7" spans="1:4" ht="15" customHeight="1" x14ac:dyDescent="0.35">
      <c r="A7" s="13" t="s">
        <v>540</v>
      </c>
      <c r="B7" s="14">
        <v>0</v>
      </c>
      <c r="C7" s="15" t="s">
        <v>541</v>
      </c>
    </row>
    <row r="8" spans="1:4" ht="15" customHeight="1" x14ac:dyDescent="0.35">
      <c r="A8" s="13" t="s">
        <v>542</v>
      </c>
      <c r="B8" s="14">
        <v>0</v>
      </c>
      <c r="C8" s="15" t="s">
        <v>541</v>
      </c>
    </row>
    <row r="9" spans="1:4" ht="15" customHeight="1" x14ac:dyDescent="0.35">
      <c r="A9" s="13" t="s">
        <v>543</v>
      </c>
      <c r="B9" s="14">
        <v>1500</v>
      </c>
      <c r="C9" s="15" t="s">
        <v>544</v>
      </c>
    </row>
    <row r="10" spans="1:4" ht="15" customHeight="1" x14ac:dyDescent="0.35">
      <c r="A10" s="13" t="s">
        <v>545</v>
      </c>
      <c r="B10" s="14" t="s">
        <v>546</v>
      </c>
      <c r="C10" s="15" t="s">
        <v>547</v>
      </c>
    </row>
    <row r="11" spans="1:4" ht="15" customHeight="1" x14ac:dyDescent="0.35">
      <c r="A11" s="13" t="s">
        <v>548</v>
      </c>
      <c r="B11" s="14" t="s">
        <v>549</v>
      </c>
      <c r="C11" s="15" t="s">
        <v>550</v>
      </c>
    </row>
    <row r="12" spans="1:4" ht="15" customHeight="1" x14ac:dyDescent="0.35">
      <c r="A12" s="13" t="s">
        <v>551</v>
      </c>
      <c r="B12" s="16">
        <v>13278</v>
      </c>
      <c r="C12" s="15" t="s">
        <v>552</v>
      </c>
    </row>
    <row r="13" spans="1:4" ht="15" customHeight="1" x14ac:dyDescent="0.35">
      <c r="A13" s="17"/>
      <c r="B13" s="18"/>
      <c r="C13" s="19"/>
    </row>
    <row r="14" spans="1:4" ht="17.25" customHeight="1" x14ac:dyDescent="0.45">
      <c r="A14" s="262" t="s">
        <v>553</v>
      </c>
      <c r="B14" s="263"/>
      <c r="C14" s="264"/>
      <c r="D14" s="264"/>
    </row>
    <row r="15" spans="1:4" ht="15" customHeight="1" x14ac:dyDescent="0.35">
      <c r="A15" s="12" t="s">
        <v>554</v>
      </c>
      <c r="B15" s="12" t="s">
        <v>555</v>
      </c>
      <c r="C15" s="12" t="s">
        <v>532</v>
      </c>
      <c r="D15" s="12" t="s">
        <v>20</v>
      </c>
    </row>
    <row r="16" spans="1:4" ht="15" customHeight="1" x14ac:dyDescent="0.35">
      <c r="A16" s="15" t="s">
        <v>556</v>
      </c>
      <c r="B16" s="20" t="s">
        <v>557</v>
      </c>
      <c r="C16" s="21">
        <v>0.42</v>
      </c>
      <c r="D16" s="15" t="s">
        <v>558</v>
      </c>
    </row>
    <row r="17" spans="1:4" ht="15" customHeight="1" x14ac:dyDescent="0.35">
      <c r="A17" s="15" t="s">
        <v>559</v>
      </c>
      <c r="B17" s="20" t="s">
        <v>557</v>
      </c>
      <c r="C17" s="21">
        <v>8.5000000000000006E-2</v>
      </c>
      <c r="D17" s="15" t="s">
        <v>560</v>
      </c>
    </row>
    <row r="18" spans="1:4" ht="15" customHeight="1" x14ac:dyDescent="0.35">
      <c r="A18" s="15" t="s">
        <v>561</v>
      </c>
      <c r="B18" s="20" t="s">
        <v>562</v>
      </c>
      <c r="C18" s="22">
        <v>85000</v>
      </c>
      <c r="D18" s="15" t="s">
        <v>563</v>
      </c>
    </row>
    <row r="19" spans="1:4" ht="15" customHeight="1" x14ac:dyDescent="0.35">
      <c r="A19" s="15" t="s">
        <v>564</v>
      </c>
      <c r="B19" s="20" t="s">
        <v>565</v>
      </c>
      <c r="C19" s="22">
        <v>3200</v>
      </c>
      <c r="D19" s="15" t="s">
        <v>558</v>
      </c>
    </row>
    <row r="20" spans="1:4" ht="15" customHeight="1" x14ac:dyDescent="0.35">
      <c r="A20" s="15" t="s">
        <v>566</v>
      </c>
      <c r="B20" s="20" t="s">
        <v>557</v>
      </c>
      <c r="C20" s="21">
        <v>0.15</v>
      </c>
      <c r="D20" s="15" t="s">
        <v>567</v>
      </c>
    </row>
    <row r="21" spans="1:4" ht="14.25" customHeight="1" x14ac:dyDescent="0.35">
      <c r="C21" s="11"/>
    </row>
    <row r="22" spans="1:4" ht="15" customHeight="1" x14ac:dyDescent="0.35">
      <c r="A22" s="23" t="s">
        <v>568</v>
      </c>
      <c r="B22" s="20" t="s">
        <v>569</v>
      </c>
      <c r="C22" s="24">
        <f>1+C16+C17+C20+(C18/78291/22)+(C19/78291)</f>
        <v>1.7452228399641891</v>
      </c>
      <c r="D22" s="25"/>
    </row>
    <row r="24" spans="1:4" ht="17.25" customHeight="1" x14ac:dyDescent="0.45">
      <c r="A24" s="262" t="s">
        <v>570</v>
      </c>
      <c r="B24" s="263"/>
      <c r="C24" s="264"/>
    </row>
    <row r="25" spans="1:4" ht="14.25" customHeight="1" x14ac:dyDescent="0.35">
      <c r="A25" s="23" t="s">
        <v>571</v>
      </c>
      <c r="B25" s="20">
        <f>SUMPRODUCT((COUNTIF(MATERIALES!$A$2:$A$200,MATERIALES!$A$2:$A$200)&gt;1)*(MATERIALES!$A$2:$A$200&lt;&gt;""))</f>
        <v>0</v>
      </c>
      <c r="C25" s="15" t="str">
        <f>IF(B25&gt;0,"¡DUPLICADOS DETECTADOS!","OK")</f>
        <v>OK</v>
      </c>
    </row>
    <row r="26" spans="1:4" ht="14.25" customHeight="1" x14ac:dyDescent="0.35">
      <c r="A26" s="23" t="s">
        <v>572</v>
      </c>
      <c r="B26" s="20">
        <f>SUMPRODUCT((COUNTIF(MANO_DE_OBRA!$A$2:$A$11,MANO_DE_OBRA!$A$2:$A$11)&gt;1)*(MANO_DE_OBRA!$A$2:$A$11&lt;&gt;""))</f>
        <v>0</v>
      </c>
      <c r="C26" s="15" t="str">
        <f>IF(B26&gt;0,"¡DUPLICADOS DETECTADOS!","OK")</f>
        <v>OK</v>
      </c>
    </row>
    <row r="27" spans="1:4" ht="14.25" customHeight="1" x14ac:dyDescent="0.35">
      <c r="A27" s="23" t="s">
        <v>573</v>
      </c>
      <c r="B27" s="20">
        <f>SUMPRODUCT((COUNTIF(EQUIPOS!$A$2:$A$50,EQUIPOS!$A$2:$A$50)&gt;1)*(EQUIPOS!$A$2:$A$50&lt;&gt;""))</f>
        <v>0</v>
      </c>
      <c r="C27" s="15" t="str">
        <f>IF(B27&gt;0,"¡DUPLICADOS DETECTADOS!","OK")</f>
        <v>OK</v>
      </c>
    </row>
    <row r="28" spans="1:4" ht="14.25" customHeight="1" x14ac:dyDescent="0.35">
      <c r="A28" s="23" t="s">
        <v>574</v>
      </c>
      <c r="B28" s="20">
        <f>SUMPRODUCT((COUNTIF(PARTIDAS!$A$2:$A$198,PARTIDAS!$A$2:$A$198)&gt;1)*(PARTIDAS!$A$2:$A$198&lt;&gt;""))</f>
        <v>0</v>
      </c>
      <c r="C28" s="15" t="str">
        <f>IF(B28&gt;0,"¡DUPLICADOS DETECTADOS!","OK")</f>
        <v>OK</v>
      </c>
    </row>
    <row r="30" spans="1:4" ht="15" customHeight="1" x14ac:dyDescent="0.35">
      <c r="A30" s="26" t="s">
        <v>575</v>
      </c>
    </row>
    <row r="31" spans="1:4" ht="14.25" customHeight="1" x14ac:dyDescent="0.35">
      <c r="A31" s="23" t="s">
        <v>576</v>
      </c>
      <c r="B31" s="20">
        <f t="array" ref="B31">SUMPRODUCT((COMPOSICIÓN!B$2:B$1838="MAT")*(COMPOSICIÓN!C$2:C$1838&lt;&gt;"")*(ISNA(MATCH(COMPOSICIÓN!C$2:C$1838,MATERIALES!$A$2:$A$200,0))))</f>
        <v>1032</v>
      </c>
      <c r="C31" s="15" t="str">
        <f>IF(B31&gt;0,"¡REFS ROTAS!","OK")</f>
        <v>¡REFS ROTAS!</v>
      </c>
    </row>
    <row r="32" spans="1:4" ht="14.25" customHeight="1" x14ac:dyDescent="0.35">
      <c r="A32" s="23" t="s">
        <v>577</v>
      </c>
      <c r="B32" s="20">
        <f t="array" ref="B32">SUMPRODUCT((COMPOSICIÓN!B$2:B$1838="MO")*(COMPOSICIÓN!C$2:C$1838&lt;&gt;"")*(ISNA(MATCH(COMPOSICIÓN!C$2:C$1838,MANO_DE_OBRA!$A$2:$A$11,0))))</f>
        <v>432</v>
      </c>
      <c r="C32" s="15" t="str">
        <f>IF(B32&gt;0,"¡REFS ROTAS!","OK")</f>
        <v>¡REFS ROTAS!</v>
      </c>
    </row>
    <row r="33" spans="1:3" ht="14.25" customHeight="1" x14ac:dyDescent="0.35">
      <c r="A33" s="23" t="s">
        <v>578</v>
      </c>
      <c r="B33" s="20">
        <f t="array" ref="B33">SUMPRODUCT((COMPOSICIÓN!B$2:B$1838="EQ")*(COMPOSICIÓN!C$2:C$1838&lt;&gt;"")*(ISNA(MATCH(COMPOSICIÓN!C$2:C$1838,EQUIPOS!$A$2:$A$50,0))))</f>
        <v>0</v>
      </c>
      <c r="C33" s="15" t="str">
        <f>IF(B33&gt;0,"¡REFS ROTAS!","OK")</f>
        <v>OK</v>
      </c>
    </row>
  </sheetData>
  <mergeCells count="3">
    <mergeCell ref="A1:D1"/>
    <mergeCell ref="A24:C24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BD97"/>
  </sheetPr>
  <dimension ref="A1:J382"/>
  <sheetViews>
    <sheetView showGridLines="0" zoomScaleNormal="100" workbookViewId="0">
      <pane ySplit="1" topLeftCell="A272" activePane="bottomLeft" state="frozen"/>
      <selection pane="bottomLeft" activeCell="A272" sqref="A272"/>
    </sheetView>
  </sheetViews>
  <sheetFormatPr defaultColWidth="8.6328125" defaultRowHeight="14.5" x14ac:dyDescent="0.35"/>
  <cols>
    <col min="1" max="1" width="11.26953125" customWidth="1"/>
    <col min="2" max="2" width="46.36328125" customWidth="1"/>
    <col min="3" max="3" width="7" customWidth="1"/>
    <col min="4" max="4" width="14" customWidth="1"/>
    <col min="5" max="5" width="16" customWidth="1"/>
    <col min="6" max="6" width="12" customWidth="1"/>
    <col min="7" max="7" width="23.54296875" bestFit="1" customWidth="1"/>
    <col min="8" max="8" width="12" customWidth="1"/>
    <col min="9" max="9" width="46.90625" customWidth="1"/>
    <col min="10" max="10" width="11" customWidth="1"/>
  </cols>
  <sheetData>
    <row r="1" spans="1:10" ht="14.25" customHeight="1" x14ac:dyDescent="0.35">
      <c r="A1" s="12" t="s">
        <v>579</v>
      </c>
      <c r="B1" s="27" t="s">
        <v>6</v>
      </c>
      <c r="C1" s="12" t="s">
        <v>580</v>
      </c>
      <c r="D1" s="12" t="s">
        <v>581</v>
      </c>
      <c r="E1" s="12" t="s">
        <v>582</v>
      </c>
      <c r="F1" s="12" t="s">
        <v>583</v>
      </c>
      <c r="G1" s="12" t="s">
        <v>584</v>
      </c>
      <c r="H1" s="12" t="s">
        <v>585</v>
      </c>
      <c r="I1" s="27" t="s">
        <v>586</v>
      </c>
      <c r="J1" s="12" t="s">
        <v>587</v>
      </c>
    </row>
    <row r="2" spans="1:10" ht="14.25" customHeight="1" x14ac:dyDescent="0.35">
      <c r="A2" s="28" t="s">
        <v>588</v>
      </c>
      <c r="B2" s="29" t="s">
        <v>589</v>
      </c>
      <c r="C2" s="28" t="s">
        <v>43</v>
      </c>
      <c r="D2" s="30">
        <v>32399.77</v>
      </c>
      <c r="E2" s="28" t="s">
        <v>590</v>
      </c>
      <c r="F2" s="28" t="s">
        <v>591</v>
      </c>
      <c r="G2" s="28" t="s">
        <v>592</v>
      </c>
      <c r="H2" s="28" t="s">
        <v>593</v>
      </c>
      <c r="I2" s="29" t="s">
        <v>594</v>
      </c>
      <c r="J2" s="31" t="str">
        <f t="shared" ref="J2:J33" si="0">IF(F2="","SIN FECHA","")</f>
        <v/>
      </c>
    </row>
    <row r="3" spans="1:10" ht="14.25" customHeight="1" x14ac:dyDescent="0.35">
      <c r="A3" s="28" t="s">
        <v>595</v>
      </c>
      <c r="B3" s="29" t="s">
        <v>596</v>
      </c>
      <c r="C3" s="28" t="s">
        <v>43</v>
      </c>
      <c r="D3" s="30">
        <v>56202.3</v>
      </c>
      <c r="E3" s="28" t="s">
        <v>590</v>
      </c>
      <c r="F3" s="28" t="s">
        <v>591</v>
      </c>
      <c r="G3" s="28" t="s">
        <v>592</v>
      </c>
      <c r="H3" s="28"/>
      <c r="I3" s="29" t="s">
        <v>594</v>
      </c>
      <c r="J3" s="31" t="str">
        <f t="shared" si="0"/>
        <v/>
      </c>
    </row>
    <row r="4" spans="1:10" ht="14.25" customHeight="1" x14ac:dyDescent="0.35">
      <c r="A4" s="28" t="s">
        <v>597</v>
      </c>
      <c r="B4" s="29" t="s">
        <v>598</v>
      </c>
      <c r="C4" s="28" t="s">
        <v>43</v>
      </c>
      <c r="D4" s="30">
        <v>34246.800000000003</v>
      </c>
      <c r="E4" s="28" t="s">
        <v>590</v>
      </c>
      <c r="F4" s="28" t="s">
        <v>591</v>
      </c>
      <c r="G4" s="28" t="s">
        <v>592</v>
      </c>
      <c r="H4" s="28"/>
      <c r="I4" s="29" t="s">
        <v>594</v>
      </c>
      <c r="J4" s="31" t="str">
        <f t="shared" si="0"/>
        <v/>
      </c>
    </row>
    <row r="5" spans="1:10" ht="14.25" customHeight="1" x14ac:dyDescent="0.35">
      <c r="A5" s="28" t="s">
        <v>599</v>
      </c>
      <c r="B5" s="29" t="s">
        <v>600</v>
      </c>
      <c r="C5" s="28" t="s">
        <v>601</v>
      </c>
      <c r="D5" s="30">
        <v>7809.48</v>
      </c>
      <c r="E5" s="28" t="s">
        <v>590</v>
      </c>
      <c r="F5" s="28" t="s">
        <v>591</v>
      </c>
      <c r="G5" s="28" t="s">
        <v>592</v>
      </c>
      <c r="H5" s="28" t="s">
        <v>602</v>
      </c>
      <c r="I5" s="29" t="s">
        <v>603</v>
      </c>
      <c r="J5" s="31" t="str">
        <f t="shared" si="0"/>
        <v/>
      </c>
    </row>
    <row r="6" spans="1:10" ht="14.25" customHeight="1" x14ac:dyDescent="0.35">
      <c r="A6" s="28" t="s">
        <v>604</v>
      </c>
      <c r="B6" s="29" t="s">
        <v>605</v>
      </c>
      <c r="C6" s="28" t="s">
        <v>606</v>
      </c>
      <c r="D6" s="30">
        <v>3837.96</v>
      </c>
      <c r="E6" s="28" t="s">
        <v>590</v>
      </c>
      <c r="F6" s="28" t="s">
        <v>591</v>
      </c>
      <c r="G6" s="28" t="s">
        <v>592</v>
      </c>
      <c r="H6" s="28" t="s">
        <v>607</v>
      </c>
      <c r="I6" s="29"/>
      <c r="J6" s="31" t="str">
        <f t="shared" si="0"/>
        <v/>
      </c>
    </row>
    <row r="7" spans="1:10" ht="14.25" customHeight="1" x14ac:dyDescent="0.35">
      <c r="A7" s="28" t="s">
        <v>608</v>
      </c>
      <c r="B7" s="29" t="s">
        <v>609</v>
      </c>
      <c r="C7" s="28" t="s">
        <v>606</v>
      </c>
      <c r="D7" s="30">
        <v>10936.8</v>
      </c>
      <c r="E7" s="28" t="s">
        <v>590</v>
      </c>
      <c r="F7" s="28" t="s">
        <v>591</v>
      </c>
      <c r="G7" s="28" t="s">
        <v>592</v>
      </c>
      <c r="H7" s="28" t="s">
        <v>610</v>
      </c>
      <c r="I7" s="29"/>
      <c r="J7" s="31" t="str">
        <f t="shared" si="0"/>
        <v/>
      </c>
    </row>
    <row r="8" spans="1:10" ht="14.25" customHeight="1" x14ac:dyDescent="0.35">
      <c r="A8" s="28" t="s">
        <v>611</v>
      </c>
      <c r="B8" s="29" t="s">
        <v>612</v>
      </c>
      <c r="C8" s="28" t="s">
        <v>53</v>
      </c>
      <c r="D8" s="30">
        <v>3424.53</v>
      </c>
      <c r="E8" s="28" t="s">
        <v>590</v>
      </c>
      <c r="F8" s="28" t="s">
        <v>591</v>
      </c>
      <c r="G8" s="28" t="s">
        <v>592</v>
      </c>
      <c r="H8" s="28" t="s">
        <v>613</v>
      </c>
      <c r="I8" s="29"/>
      <c r="J8" s="31" t="str">
        <f t="shared" si="0"/>
        <v/>
      </c>
    </row>
    <row r="9" spans="1:10" ht="14.25" customHeight="1" x14ac:dyDescent="0.35">
      <c r="A9" s="28" t="s">
        <v>614</v>
      </c>
      <c r="B9" s="29" t="s">
        <v>615</v>
      </c>
      <c r="C9" s="28" t="s">
        <v>53</v>
      </c>
      <c r="D9" s="30">
        <v>6017.04</v>
      </c>
      <c r="E9" s="28" t="s">
        <v>590</v>
      </c>
      <c r="F9" s="28" t="s">
        <v>591</v>
      </c>
      <c r="G9" s="28" t="s">
        <v>592</v>
      </c>
      <c r="H9" s="28"/>
      <c r="I9" s="29"/>
      <c r="J9" s="31" t="str">
        <f t="shared" si="0"/>
        <v/>
      </c>
    </row>
    <row r="10" spans="1:10" ht="14.25" customHeight="1" x14ac:dyDescent="0.35">
      <c r="A10" s="28" t="s">
        <v>616</v>
      </c>
      <c r="B10" s="29" t="s">
        <v>617</v>
      </c>
      <c r="C10" s="28" t="s">
        <v>53</v>
      </c>
      <c r="D10" s="30">
        <v>9272.75</v>
      </c>
      <c r="E10" s="28" t="s">
        <v>590</v>
      </c>
      <c r="F10" s="28" t="s">
        <v>591</v>
      </c>
      <c r="G10" s="28" t="s">
        <v>592</v>
      </c>
      <c r="H10" s="28"/>
      <c r="I10" s="29"/>
      <c r="J10" s="31" t="str">
        <f t="shared" si="0"/>
        <v/>
      </c>
    </row>
    <row r="11" spans="1:10" ht="14.25" customHeight="1" x14ac:dyDescent="0.35">
      <c r="A11" s="28" t="s">
        <v>618</v>
      </c>
      <c r="B11" s="29" t="s">
        <v>619</v>
      </c>
      <c r="C11" s="28" t="s">
        <v>53</v>
      </c>
      <c r="D11" s="30">
        <v>13312.25</v>
      </c>
      <c r="E11" s="28" t="s">
        <v>590</v>
      </c>
      <c r="F11" s="28" t="s">
        <v>591</v>
      </c>
      <c r="G11" s="28" t="s">
        <v>592</v>
      </c>
      <c r="H11" s="28"/>
      <c r="I11" s="29"/>
      <c r="J11" s="31" t="str">
        <f t="shared" si="0"/>
        <v/>
      </c>
    </row>
    <row r="12" spans="1:10" ht="14.25" customHeight="1" x14ac:dyDescent="0.35">
      <c r="A12" s="28" t="s">
        <v>620</v>
      </c>
      <c r="B12" s="29" t="s">
        <v>621</v>
      </c>
      <c r="C12" s="28" t="s">
        <v>53</v>
      </c>
      <c r="D12" s="30">
        <v>23236.16</v>
      </c>
      <c r="E12" s="28" t="s">
        <v>590</v>
      </c>
      <c r="F12" s="28" t="s">
        <v>591</v>
      </c>
      <c r="G12" s="28" t="s">
        <v>592</v>
      </c>
      <c r="H12" s="28"/>
      <c r="I12" s="29"/>
      <c r="J12" s="31" t="str">
        <f t="shared" si="0"/>
        <v/>
      </c>
    </row>
    <row r="13" spans="1:10" ht="14.25" customHeight="1" x14ac:dyDescent="0.35">
      <c r="A13" s="28" t="s">
        <v>622</v>
      </c>
      <c r="B13" s="29" t="s">
        <v>623</v>
      </c>
      <c r="C13" s="28" t="s">
        <v>53</v>
      </c>
      <c r="D13" s="30">
        <v>36391.64</v>
      </c>
      <c r="E13" s="28" t="s">
        <v>590</v>
      </c>
      <c r="F13" s="28" t="s">
        <v>591</v>
      </c>
      <c r="G13" s="28" t="s">
        <v>592</v>
      </c>
      <c r="H13" s="28"/>
      <c r="I13" s="29"/>
      <c r="J13" s="31" t="str">
        <f t="shared" si="0"/>
        <v/>
      </c>
    </row>
    <row r="14" spans="1:10" ht="14.25" customHeight="1" x14ac:dyDescent="0.35">
      <c r="A14" s="28" t="s">
        <v>624</v>
      </c>
      <c r="B14" s="29" t="s">
        <v>625</v>
      </c>
      <c r="C14" s="28" t="s">
        <v>53</v>
      </c>
      <c r="D14" s="30">
        <v>56794.12</v>
      </c>
      <c r="E14" s="28" t="s">
        <v>590</v>
      </c>
      <c r="F14" s="28" t="s">
        <v>591</v>
      </c>
      <c r="G14" s="28" t="s">
        <v>592</v>
      </c>
      <c r="H14" s="28"/>
      <c r="I14" s="29"/>
      <c r="J14" s="31" t="str">
        <f t="shared" si="0"/>
        <v/>
      </c>
    </row>
    <row r="15" spans="1:10" ht="14.25" customHeight="1" x14ac:dyDescent="0.35">
      <c r="A15" s="28" t="s">
        <v>626</v>
      </c>
      <c r="B15" s="29" t="s">
        <v>627</v>
      </c>
      <c r="C15" s="28" t="s">
        <v>53</v>
      </c>
      <c r="D15" s="30">
        <v>233.44</v>
      </c>
      <c r="E15" s="28" t="s">
        <v>590</v>
      </c>
      <c r="F15" s="28" t="s">
        <v>591</v>
      </c>
      <c r="G15" s="28" t="s">
        <v>592</v>
      </c>
      <c r="H15" s="28" t="s">
        <v>628</v>
      </c>
      <c r="I15" s="29" t="s">
        <v>629</v>
      </c>
      <c r="J15" s="31" t="str">
        <f t="shared" si="0"/>
        <v/>
      </c>
    </row>
    <row r="16" spans="1:10" ht="14.25" customHeight="1" x14ac:dyDescent="0.35">
      <c r="A16" s="28" t="s">
        <v>630</v>
      </c>
      <c r="B16" s="29" t="s">
        <v>631</v>
      </c>
      <c r="C16" s="28" t="s">
        <v>53</v>
      </c>
      <c r="D16" s="30">
        <v>292.32</v>
      </c>
      <c r="E16" s="28" t="s">
        <v>590</v>
      </c>
      <c r="F16" s="28" t="s">
        <v>591</v>
      </c>
      <c r="G16" s="28" t="s">
        <v>592</v>
      </c>
      <c r="H16" s="28" t="s">
        <v>632</v>
      </c>
      <c r="I16" s="29"/>
      <c r="J16" s="31" t="str">
        <f t="shared" si="0"/>
        <v/>
      </c>
    </row>
    <row r="17" spans="1:10" ht="14.25" customHeight="1" x14ac:dyDescent="0.35">
      <c r="A17" s="28" t="s">
        <v>633</v>
      </c>
      <c r="B17" s="29" t="s">
        <v>634</v>
      </c>
      <c r="C17" s="28" t="s">
        <v>53</v>
      </c>
      <c r="D17" s="30">
        <v>365.4</v>
      </c>
      <c r="E17" s="28" t="s">
        <v>590</v>
      </c>
      <c r="F17" s="28" t="s">
        <v>591</v>
      </c>
      <c r="G17" s="28" t="s">
        <v>592</v>
      </c>
      <c r="H17" s="28" t="s">
        <v>635</v>
      </c>
      <c r="I17" s="29" t="s">
        <v>636</v>
      </c>
      <c r="J17" s="31" t="str">
        <f t="shared" si="0"/>
        <v/>
      </c>
    </row>
    <row r="18" spans="1:10" ht="14.25" customHeight="1" x14ac:dyDescent="0.35">
      <c r="A18" s="28" t="s">
        <v>637</v>
      </c>
      <c r="B18" s="29" t="s">
        <v>638</v>
      </c>
      <c r="C18" s="28" t="s">
        <v>53</v>
      </c>
      <c r="D18" s="30">
        <v>519.12</v>
      </c>
      <c r="E18" s="28" t="s">
        <v>590</v>
      </c>
      <c r="F18" s="28" t="s">
        <v>591</v>
      </c>
      <c r="G18" s="28" t="s">
        <v>592</v>
      </c>
      <c r="H18" s="28" t="s">
        <v>639</v>
      </c>
      <c r="I18" s="29"/>
      <c r="J18" s="31" t="str">
        <f t="shared" si="0"/>
        <v/>
      </c>
    </row>
    <row r="19" spans="1:10" ht="14.25" customHeight="1" x14ac:dyDescent="0.35">
      <c r="A19" s="28" t="s">
        <v>640</v>
      </c>
      <c r="B19" s="29" t="s">
        <v>641</v>
      </c>
      <c r="C19" s="28" t="s">
        <v>53</v>
      </c>
      <c r="D19" s="30">
        <v>132.30000000000001</v>
      </c>
      <c r="E19" s="28" t="s">
        <v>590</v>
      </c>
      <c r="F19" s="28" t="s">
        <v>591</v>
      </c>
      <c r="G19" s="28" t="s">
        <v>592</v>
      </c>
      <c r="H19" s="28" t="s">
        <v>642</v>
      </c>
      <c r="I19" s="29"/>
      <c r="J19" s="31" t="str">
        <f t="shared" si="0"/>
        <v/>
      </c>
    </row>
    <row r="20" spans="1:10" ht="14.25" customHeight="1" x14ac:dyDescent="0.35">
      <c r="A20" s="28" t="s">
        <v>643</v>
      </c>
      <c r="B20" s="29" t="s">
        <v>644</v>
      </c>
      <c r="C20" s="28" t="s">
        <v>53</v>
      </c>
      <c r="D20" s="30">
        <v>563.22</v>
      </c>
      <c r="E20" s="28" t="s">
        <v>590</v>
      </c>
      <c r="F20" s="28" t="s">
        <v>591</v>
      </c>
      <c r="G20" s="28" t="s">
        <v>592</v>
      </c>
      <c r="H20" s="28" t="s">
        <v>645</v>
      </c>
      <c r="I20" s="29"/>
      <c r="J20" s="31" t="str">
        <f t="shared" si="0"/>
        <v/>
      </c>
    </row>
    <row r="21" spans="1:10" ht="14.25" customHeight="1" x14ac:dyDescent="0.35">
      <c r="A21" s="28" t="s">
        <v>646</v>
      </c>
      <c r="B21" s="29" t="s">
        <v>647</v>
      </c>
      <c r="C21" s="28" t="s">
        <v>53</v>
      </c>
      <c r="D21" s="30">
        <v>694.26</v>
      </c>
      <c r="E21" s="28" t="s">
        <v>590</v>
      </c>
      <c r="F21" s="28" t="s">
        <v>591</v>
      </c>
      <c r="G21" s="28" t="s">
        <v>592</v>
      </c>
      <c r="H21" s="28"/>
      <c r="I21" s="29"/>
      <c r="J21" s="31" t="str">
        <f t="shared" si="0"/>
        <v/>
      </c>
    </row>
    <row r="22" spans="1:10" ht="14.25" customHeight="1" x14ac:dyDescent="0.35">
      <c r="A22" s="28" t="s">
        <v>648</v>
      </c>
      <c r="B22" s="29" t="s">
        <v>649</v>
      </c>
      <c r="C22" s="28" t="s">
        <v>53</v>
      </c>
      <c r="D22" s="30">
        <v>1016.6</v>
      </c>
      <c r="E22" s="28" t="s">
        <v>590</v>
      </c>
      <c r="F22" s="28" t="s">
        <v>591</v>
      </c>
      <c r="G22" s="28" t="s">
        <v>592</v>
      </c>
      <c r="H22" s="28"/>
      <c r="I22" s="29"/>
      <c r="J22" s="31" t="str">
        <f t="shared" si="0"/>
        <v/>
      </c>
    </row>
    <row r="23" spans="1:10" ht="14.25" customHeight="1" x14ac:dyDescent="0.35">
      <c r="A23" s="28" t="s">
        <v>650</v>
      </c>
      <c r="B23" s="29" t="s">
        <v>651</v>
      </c>
      <c r="C23" s="28" t="s">
        <v>53</v>
      </c>
      <c r="D23" s="30">
        <v>682.52</v>
      </c>
      <c r="E23" s="28" t="s">
        <v>590</v>
      </c>
      <c r="F23" s="28" t="s">
        <v>591</v>
      </c>
      <c r="G23" s="28" t="s">
        <v>592</v>
      </c>
      <c r="H23" s="28"/>
      <c r="I23" s="29"/>
      <c r="J23" s="31" t="str">
        <f t="shared" si="0"/>
        <v/>
      </c>
    </row>
    <row r="24" spans="1:10" ht="14.25" customHeight="1" x14ac:dyDescent="0.35">
      <c r="A24" s="28" t="s">
        <v>652</v>
      </c>
      <c r="B24" s="29" t="s">
        <v>653</v>
      </c>
      <c r="C24" s="28" t="s">
        <v>606</v>
      </c>
      <c r="D24" s="30">
        <v>18802.511999999999</v>
      </c>
      <c r="E24" s="28" t="s">
        <v>590</v>
      </c>
      <c r="F24" s="28" t="s">
        <v>591</v>
      </c>
      <c r="G24" s="28" t="s">
        <v>654</v>
      </c>
      <c r="H24" s="28" t="s">
        <v>655</v>
      </c>
      <c r="I24" s="29" t="s">
        <v>656</v>
      </c>
      <c r="J24" s="31" t="str">
        <f t="shared" si="0"/>
        <v/>
      </c>
    </row>
    <row r="25" spans="1:10" ht="14.25" customHeight="1" x14ac:dyDescent="0.35">
      <c r="A25" s="28" t="s">
        <v>657</v>
      </c>
      <c r="B25" s="29" t="s">
        <v>658</v>
      </c>
      <c r="C25" s="28" t="s">
        <v>606</v>
      </c>
      <c r="D25" s="30">
        <v>29811.732</v>
      </c>
      <c r="E25" s="28" t="s">
        <v>590</v>
      </c>
      <c r="F25" s="28" t="s">
        <v>591</v>
      </c>
      <c r="G25" s="28" t="s">
        <v>654</v>
      </c>
      <c r="H25" s="28"/>
      <c r="I25" s="29" t="s">
        <v>659</v>
      </c>
      <c r="J25" s="31" t="str">
        <f t="shared" si="0"/>
        <v/>
      </c>
    </row>
    <row r="26" spans="1:10" ht="14.25" customHeight="1" x14ac:dyDescent="0.35">
      <c r="A26" s="28" t="s">
        <v>660</v>
      </c>
      <c r="B26" s="29" t="s">
        <v>661</v>
      </c>
      <c r="C26" s="28" t="s">
        <v>662</v>
      </c>
      <c r="D26" s="30">
        <v>1256.1279999999999</v>
      </c>
      <c r="E26" s="28" t="s">
        <v>590</v>
      </c>
      <c r="F26" s="28" t="s">
        <v>591</v>
      </c>
      <c r="G26" s="28" t="s">
        <v>663</v>
      </c>
      <c r="H26" s="28" t="s">
        <v>664</v>
      </c>
      <c r="I26" s="29" t="s">
        <v>665</v>
      </c>
      <c r="J26" s="31" t="str">
        <f t="shared" si="0"/>
        <v/>
      </c>
    </row>
    <row r="27" spans="1:10" ht="14.25" customHeight="1" x14ac:dyDescent="0.35">
      <c r="A27" s="28" t="s">
        <v>666</v>
      </c>
      <c r="B27" s="29" t="s">
        <v>667</v>
      </c>
      <c r="C27" s="28" t="s">
        <v>668</v>
      </c>
      <c r="D27" s="30">
        <v>9639</v>
      </c>
      <c r="E27" s="28" t="s">
        <v>590</v>
      </c>
      <c r="F27" s="28" t="s">
        <v>591</v>
      </c>
      <c r="G27" s="28" t="s">
        <v>669</v>
      </c>
      <c r="H27" s="28" t="s">
        <v>670</v>
      </c>
      <c r="I27" s="29"/>
      <c r="J27" s="31" t="str">
        <f t="shared" si="0"/>
        <v/>
      </c>
    </row>
    <row r="28" spans="1:10" ht="14.25" customHeight="1" x14ac:dyDescent="0.35">
      <c r="A28" s="28" t="s">
        <v>671</v>
      </c>
      <c r="B28" s="29" t="s">
        <v>672</v>
      </c>
      <c r="C28" s="28" t="s">
        <v>53</v>
      </c>
      <c r="D28" s="30">
        <v>3214.35</v>
      </c>
      <c r="E28" s="28" t="s">
        <v>590</v>
      </c>
      <c r="F28" s="28" t="s">
        <v>591</v>
      </c>
      <c r="G28" s="28" t="s">
        <v>654</v>
      </c>
      <c r="H28" s="28"/>
      <c r="I28" s="29" t="s">
        <v>673</v>
      </c>
      <c r="J28" s="31" t="str">
        <f t="shared" si="0"/>
        <v/>
      </c>
    </row>
    <row r="29" spans="1:10" ht="14.25" customHeight="1" x14ac:dyDescent="0.35">
      <c r="A29" s="28" t="s">
        <v>674</v>
      </c>
      <c r="B29" s="29" t="s">
        <v>675</v>
      </c>
      <c r="C29" s="28" t="s">
        <v>606</v>
      </c>
      <c r="D29" s="30">
        <v>6683.37</v>
      </c>
      <c r="E29" s="28" t="s">
        <v>590</v>
      </c>
      <c r="F29" s="28" t="s">
        <v>676</v>
      </c>
      <c r="G29" s="28" t="s">
        <v>669</v>
      </c>
      <c r="H29" s="28"/>
      <c r="I29" s="29" t="s">
        <v>677</v>
      </c>
      <c r="J29" s="31" t="str">
        <f t="shared" si="0"/>
        <v/>
      </c>
    </row>
    <row r="30" spans="1:10" ht="14.25" customHeight="1" x14ac:dyDescent="0.35">
      <c r="A30" s="28" t="s">
        <v>678</v>
      </c>
      <c r="B30" s="29" t="s">
        <v>679</v>
      </c>
      <c r="C30" s="28" t="s">
        <v>606</v>
      </c>
      <c r="D30" s="30">
        <v>5260</v>
      </c>
      <c r="E30" s="28" t="s">
        <v>590</v>
      </c>
      <c r="F30" s="28" t="s">
        <v>676</v>
      </c>
      <c r="G30" s="28" t="s">
        <v>669</v>
      </c>
      <c r="H30" s="28"/>
      <c r="I30" s="29" t="s">
        <v>680</v>
      </c>
      <c r="J30" s="31" t="str">
        <f t="shared" si="0"/>
        <v/>
      </c>
    </row>
    <row r="31" spans="1:10" ht="14.25" customHeight="1" x14ac:dyDescent="0.35">
      <c r="A31" s="28" t="s">
        <v>681</v>
      </c>
      <c r="B31" s="29" t="s">
        <v>682</v>
      </c>
      <c r="C31" s="28" t="s">
        <v>53</v>
      </c>
      <c r="D31" s="30">
        <v>126755.8</v>
      </c>
      <c r="E31" s="28" t="s">
        <v>590</v>
      </c>
      <c r="F31" s="28" t="s">
        <v>591</v>
      </c>
      <c r="G31" s="28" t="s">
        <v>592</v>
      </c>
      <c r="H31" s="28"/>
      <c r="I31" s="29"/>
      <c r="J31" s="31" t="str">
        <f t="shared" si="0"/>
        <v/>
      </c>
    </row>
    <row r="32" spans="1:10" ht="14.25" customHeight="1" x14ac:dyDescent="0.35">
      <c r="A32" s="28" t="s">
        <v>683</v>
      </c>
      <c r="B32" s="29" t="s">
        <v>684</v>
      </c>
      <c r="C32" s="28" t="s">
        <v>53</v>
      </c>
      <c r="D32" s="30">
        <v>69985.789999999994</v>
      </c>
      <c r="E32" s="28" t="s">
        <v>590</v>
      </c>
      <c r="F32" s="28" t="s">
        <v>591</v>
      </c>
      <c r="G32" s="28" t="s">
        <v>592</v>
      </c>
      <c r="H32" s="28"/>
      <c r="I32" s="29"/>
      <c r="J32" s="31" t="str">
        <f t="shared" si="0"/>
        <v/>
      </c>
    </row>
    <row r="33" spans="1:10" ht="14.25" customHeight="1" x14ac:dyDescent="0.35">
      <c r="A33" s="28" t="s">
        <v>685</v>
      </c>
      <c r="B33" s="29" t="s">
        <v>686</v>
      </c>
      <c r="C33" s="28" t="s">
        <v>662</v>
      </c>
      <c r="D33" s="30">
        <v>2302.02</v>
      </c>
      <c r="E33" s="28" t="s">
        <v>590</v>
      </c>
      <c r="F33" s="28" t="s">
        <v>591</v>
      </c>
      <c r="G33" s="28" t="s">
        <v>592</v>
      </c>
      <c r="H33" s="28"/>
      <c r="I33" s="29" t="s">
        <v>687</v>
      </c>
      <c r="J33" s="31" t="str">
        <f t="shared" si="0"/>
        <v/>
      </c>
    </row>
    <row r="34" spans="1:10" ht="14.25" customHeight="1" x14ac:dyDescent="0.35">
      <c r="A34" s="28" t="s">
        <v>688</v>
      </c>
      <c r="B34" s="29" t="s">
        <v>689</v>
      </c>
      <c r="C34" s="28" t="s">
        <v>668</v>
      </c>
      <c r="D34" s="30">
        <v>252066.115702479</v>
      </c>
      <c r="E34" s="28" t="s">
        <v>690</v>
      </c>
      <c r="F34" s="28" t="s">
        <v>676</v>
      </c>
      <c r="G34" s="28" t="s">
        <v>663</v>
      </c>
      <c r="H34" s="28"/>
      <c r="I34" s="29" t="s">
        <v>691</v>
      </c>
      <c r="J34" s="31" t="str">
        <f t="shared" ref="J34:J65" si="1">IF(F34="","SIN FECHA","")</f>
        <v/>
      </c>
    </row>
    <row r="35" spans="1:10" ht="14.25" customHeight="1" x14ac:dyDescent="0.35">
      <c r="A35" s="28" t="s">
        <v>692</v>
      </c>
      <c r="B35" s="29" t="s">
        <v>693</v>
      </c>
      <c r="C35" s="28" t="s">
        <v>53</v>
      </c>
      <c r="D35" s="30">
        <v>1140.68</v>
      </c>
      <c r="E35" s="28" t="s">
        <v>590</v>
      </c>
      <c r="F35" s="28" t="s">
        <v>676</v>
      </c>
      <c r="G35" s="28" t="s">
        <v>592</v>
      </c>
      <c r="H35" s="28"/>
      <c r="I35" s="29" t="s">
        <v>694</v>
      </c>
      <c r="J35" s="31" t="str">
        <f t="shared" si="1"/>
        <v/>
      </c>
    </row>
    <row r="36" spans="1:10" ht="14.25" customHeight="1" x14ac:dyDescent="0.35">
      <c r="A36" s="28" t="s">
        <v>695</v>
      </c>
      <c r="B36" s="29" t="s">
        <v>696</v>
      </c>
      <c r="C36" s="28" t="s">
        <v>53</v>
      </c>
      <c r="D36" s="30">
        <v>1516.11</v>
      </c>
      <c r="E36" s="28" t="s">
        <v>590</v>
      </c>
      <c r="F36" s="28" t="s">
        <v>676</v>
      </c>
      <c r="G36" s="28" t="s">
        <v>592</v>
      </c>
      <c r="H36" s="28"/>
      <c r="I36" s="29" t="s">
        <v>697</v>
      </c>
      <c r="J36" s="31" t="str">
        <f t="shared" si="1"/>
        <v/>
      </c>
    </row>
    <row r="37" spans="1:10" ht="14.25" customHeight="1" x14ac:dyDescent="0.35">
      <c r="A37" s="28" t="s">
        <v>698</v>
      </c>
      <c r="B37" s="29" t="s">
        <v>699</v>
      </c>
      <c r="C37" s="28" t="s">
        <v>53</v>
      </c>
      <c r="D37" s="30">
        <v>2003.62</v>
      </c>
      <c r="E37" s="28" t="s">
        <v>590</v>
      </c>
      <c r="F37" s="28" t="s">
        <v>676</v>
      </c>
      <c r="G37" s="28" t="s">
        <v>592</v>
      </c>
      <c r="H37" s="28"/>
      <c r="I37" s="29" t="s">
        <v>700</v>
      </c>
      <c r="J37" s="31" t="str">
        <f t="shared" si="1"/>
        <v/>
      </c>
    </row>
    <row r="38" spans="1:10" ht="14.25" customHeight="1" x14ac:dyDescent="0.35">
      <c r="A38" s="28" t="s">
        <v>701</v>
      </c>
      <c r="B38" s="29" t="s">
        <v>702</v>
      </c>
      <c r="C38" s="28" t="s">
        <v>53</v>
      </c>
      <c r="D38" s="30">
        <v>2504.5300000000002</v>
      </c>
      <c r="E38" s="28" t="s">
        <v>590</v>
      </c>
      <c r="F38" s="28" t="s">
        <v>676</v>
      </c>
      <c r="G38" s="28" t="s">
        <v>592</v>
      </c>
      <c r="H38" s="28"/>
      <c r="I38" s="29" t="s">
        <v>703</v>
      </c>
      <c r="J38" s="31" t="str">
        <f t="shared" si="1"/>
        <v/>
      </c>
    </row>
    <row r="39" spans="1:10" ht="14.25" customHeight="1" x14ac:dyDescent="0.35">
      <c r="A39" s="28" t="s">
        <v>704</v>
      </c>
      <c r="B39" s="29" t="s">
        <v>705</v>
      </c>
      <c r="C39" s="28" t="s">
        <v>53</v>
      </c>
      <c r="D39" s="30">
        <v>3094.7</v>
      </c>
      <c r="E39" s="28" t="s">
        <v>590</v>
      </c>
      <c r="F39" s="28" t="s">
        <v>676</v>
      </c>
      <c r="G39" s="28" t="s">
        <v>592</v>
      </c>
      <c r="H39" s="28"/>
      <c r="I39" s="29" t="s">
        <v>706</v>
      </c>
      <c r="J39" s="31" t="str">
        <f t="shared" si="1"/>
        <v/>
      </c>
    </row>
    <row r="40" spans="1:10" ht="14.25" customHeight="1" x14ac:dyDescent="0.35">
      <c r="A40" s="28" t="s">
        <v>707</v>
      </c>
      <c r="B40" s="29" t="s">
        <v>708</v>
      </c>
      <c r="C40" s="28" t="s">
        <v>53</v>
      </c>
      <c r="D40" s="30">
        <v>3625.36</v>
      </c>
      <c r="E40" s="28" t="s">
        <v>590</v>
      </c>
      <c r="F40" s="28" t="s">
        <v>676</v>
      </c>
      <c r="G40" s="28" t="s">
        <v>592</v>
      </c>
      <c r="H40" s="28"/>
      <c r="I40" s="29" t="s">
        <v>709</v>
      </c>
      <c r="J40" s="31" t="str">
        <f t="shared" si="1"/>
        <v/>
      </c>
    </row>
    <row r="41" spans="1:10" ht="14.25" customHeight="1" x14ac:dyDescent="0.35">
      <c r="A41" s="28" t="s">
        <v>710</v>
      </c>
      <c r="B41" s="29" t="s">
        <v>711</v>
      </c>
      <c r="C41" s="28" t="s">
        <v>53</v>
      </c>
      <c r="D41" s="30">
        <v>4146.1099999999997</v>
      </c>
      <c r="E41" s="28" t="s">
        <v>590</v>
      </c>
      <c r="F41" s="28" t="s">
        <v>676</v>
      </c>
      <c r="G41" s="28" t="s">
        <v>592</v>
      </c>
      <c r="H41" s="28"/>
      <c r="I41" s="29" t="s">
        <v>712</v>
      </c>
      <c r="J41" s="31" t="str">
        <f t="shared" si="1"/>
        <v/>
      </c>
    </row>
    <row r="42" spans="1:10" ht="14.25" customHeight="1" x14ac:dyDescent="0.35">
      <c r="A42" s="28" t="s">
        <v>713</v>
      </c>
      <c r="B42" s="29" t="s">
        <v>714</v>
      </c>
      <c r="C42" s="28" t="s">
        <v>662</v>
      </c>
      <c r="D42" s="30">
        <v>1977.26</v>
      </c>
      <c r="E42" s="28" t="s">
        <v>590</v>
      </c>
      <c r="F42" s="28" t="s">
        <v>676</v>
      </c>
      <c r="G42" s="28" t="s">
        <v>592</v>
      </c>
      <c r="H42" s="28"/>
      <c r="I42" s="29" t="s">
        <v>680</v>
      </c>
      <c r="J42" s="31" t="str">
        <f t="shared" si="1"/>
        <v/>
      </c>
    </row>
    <row r="43" spans="1:10" ht="14.25" customHeight="1" x14ac:dyDescent="0.35">
      <c r="A43" s="28" t="s">
        <v>715</v>
      </c>
      <c r="B43" s="29" t="s">
        <v>716</v>
      </c>
      <c r="C43" s="28" t="s">
        <v>662</v>
      </c>
      <c r="D43" s="30">
        <v>1395.71</v>
      </c>
      <c r="E43" s="28" t="s">
        <v>590</v>
      </c>
      <c r="F43" s="28" t="s">
        <v>676</v>
      </c>
      <c r="G43" s="28" t="s">
        <v>592</v>
      </c>
      <c r="H43" s="28"/>
      <c r="I43" s="29" t="s">
        <v>680</v>
      </c>
      <c r="J43" s="31" t="str">
        <f t="shared" si="1"/>
        <v/>
      </c>
    </row>
    <row r="44" spans="1:10" ht="14.25" customHeight="1" x14ac:dyDescent="0.35">
      <c r="A44" s="28" t="s">
        <v>717</v>
      </c>
      <c r="B44" s="29" t="s">
        <v>718</v>
      </c>
      <c r="C44" s="28" t="s">
        <v>606</v>
      </c>
      <c r="D44" s="30">
        <v>6218.17</v>
      </c>
      <c r="E44" s="28" t="s">
        <v>590</v>
      </c>
      <c r="F44" s="28" t="s">
        <v>676</v>
      </c>
      <c r="G44" s="28" t="s">
        <v>592</v>
      </c>
      <c r="H44" s="28"/>
      <c r="I44" s="29" t="s">
        <v>680</v>
      </c>
      <c r="J44" s="31" t="str">
        <f t="shared" si="1"/>
        <v/>
      </c>
    </row>
    <row r="45" spans="1:10" ht="14.25" customHeight="1" x14ac:dyDescent="0.35">
      <c r="A45" s="28" t="s">
        <v>719</v>
      </c>
      <c r="B45" s="29" t="s">
        <v>720</v>
      </c>
      <c r="C45" s="28" t="s">
        <v>721</v>
      </c>
      <c r="D45" s="30">
        <v>32076.79</v>
      </c>
      <c r="E45" s="28" t="s">
        <v>590</v>
      </c>
      <c r="F45" s="28" t="s">
        <v>676</v>
      </c>
      <c r="G45" s="28" t="s">
        <v>592</v>
      </c>
      <c r="H45" s="28"/>
      <c r="I45" s="29" t="s">
        <v>680</v>
      </c>
      <c r="J45" s="31" t="str">
        <f t="shared" si="1"/>
        <v/>
      </c>
    </row>
    <row r="46" spans="1:10" ht="14.25" customHeight="1" x14ac:dyDescent="0.35">
      <c r="A46" s="28" t="s">
        <v>722</v>
      </c>
      <c r="B46" s="29" t="s">
        <v>723</v>
      </c>
      <c r="C46" s="28" t="s">
        <v>606</v>
      </c>
      <c r="D46" s="30">
        <v>12519.36</v>
      </c>
      <c r="E46" s="28" t="s">
        <v>590</v>
      </c>
      <c r="F46" s="28" t="s">
        <v>676</v>
      </c>
      <c r="G46" s="28" t="s">
        <v>592</v>
      </c>
      <c r="H46" s="28"/>
      <c r="I46" s="29" t="s">
        <v>680</v>
      </c>
      <c r="J46" s="31" t="str">
        <f t="shared" si="1"/>
        <v/>
      </c>
    </row>
    <row r="47" spans="1:10" ht="14.25" customHeight="1" x14ac:dyDescent="0.35">
      <c r="A47" s="28" t="s">
        <v>724</v>
      </c>
      <c r="B47" s="29" t="s">
        <v>725</v>
      </c>
      <c r="C47" s="28" t="s">
        <v>606</v>
      </c>
      <c r="D47" s="30">
        <v>7040.45</v>
      </c>
      <c r="E47" s="28" t="s">
        <v>590</v>
      </c>
      <c r="F47" s="28" t="s">
        <v>676</v>
      </c>
      <c r="G47" s="28" t="s">
        <v>669</v>
      </c>
      <c r="H47" s="28"/>
      <c r="I47" s="29" t="s">
        <v>680</v>
      </c>
      <c r="J47" s="31" t="str">
        <f t="shared" si="1"/>
        <v/>
      </c>
    </row>
    <row r="48" spans="1:10" ht="25.5" customHeight="1" x14ac:dyDescent="0.35">
      <c r="A48" s="28" t="s">
        <v>726</v>
      </c>
      <c r="B48" s="29" t="s">
        <v>727</v>
      </c>
      <c r="C48" s="28" t="s">
        <v>728</v>
      </c>
      <c r="D48" s="30">
        <v>120129.1</v>
      </c>
      <c r="E48" s="28" t="s">
        <v>729</v>
      </c>
      <c r="F48" s="28" t="s">
        <v>676</v>
      </c>
      <c r="G48" s="28" t="s">
        <v>669</v>
      </c>
      <c r="H48" s="28"/>
      <c r="I48" s="29" t="s">
        <v>680</v>
      </c>
      <c r="J48" s="31" t="str">
        <f t="shared" si="1"/>
        <v/>
      </c>
    </row>
    <row r="49" spans="1:10" ht="14.25" customHeight="1" x14ac:dyDescent="0.35">
      <c r="A49" s="28" t="s">
        <v>730</v>
      </c>
      <c r="B49" s="29" t="s">
        <v>731</v>
      </c>
      <c r="C49" s="28" t="s">
        <v>53</v>
      </c>
      <c r="D49" s="30">
        <v>2027.43</v>
      </c>
      <c r="E49" s="28" t="s">
        <v>590</v>
      </c>
      <c r="F49" s="28" t="s">
        <v>676</v>
      </c>
      <c r="G49" s="28" t="s">
        <v>732</v>
      </c>
      <c r="H49" s="28"/>
      <c r="I49" s="29" t="s">
        <v>680</v>
      </c>
      <c r="J49" s="31" t="str">
        <f t="shared" si="1"/>
        <v/>
      </c>
    </row>
    <row r="50" spans="1:10" ht="14.25" customHeight="1" x14ac:dyDescent="0.35">
      <c r="A50" s="28" t="s">
        <v>733</v>
      </c>
      <c r="B50" s="29" t="s">
        <v>734</v>
      </c>
      <c r="C50" s="28" t="s">
        <v>735</v>
      </c>
      <c r="D50" s="30">
        <v>8710.5</v>
      </c>
      <c r="E50" s="28" t="s">
        <v>590</v>
      </c>
      <c r="F50" s="28" t="s">
        <v>676</v>
      </c>
      <c r="G50" s="28" t="s">
        <v>592</v>
      </c>
      <c r="H50" s="28"/>
      <c r="I50" s="29" t="s">
        <v>680</v>
      </c>
      <c r="J50" s="31" t="str">
        <f t="shared" si="1"/>
        <v/>
      </c>
    </row>
    <row r="51" spans="1:10" ht="14.25" customHeight="1" x14ac:dyDescent="0.35">
      <c r="A51" s="28" t="s">
        <v>736</v>
      </c>
      <c r="B51" s="29" t="s">
        <v>737</v>
      </c>
      <c r="C51" s="28" t="s">
        <v>53</v>
      </c>
      <c r="D51" s="30">
        <v>2096.91</v>
      </c>
      <c r="E51" s="28" t="s">
        <v>590</v>
      </c>
      <c r="F51" s="28" t="s">
        <v>676</v>
      </c>
      <c r="G51" s="28" t="s">
        <v>592</v>
      </c>
      <c r="H51" s="28"/>
      <c r="I51" s="29" t="s">
        <v>680</v>
      </c>
      <c r="J51" s="31" t="str">
        <f t="shared" si="1"/>
        <v/>
      </c>
    </row>
    <row r="52" spans="1:10" ht="14.25" customHeight="1" x14ac:dyDescent="0.35">
      <c r="A52" s="28" t="s">
        <v>738</v>
      </c>
      <c r="B52" s="29" t="s">
        <v>739</v>
      </c>
      <c r="C52" s="28" t="s">
        <v>53</v>
      </c>
      <c r="D52" s="30">
        <v>1409.89</v>
      </c>
      <c r="E52" s="28" t="s">
        <v>590</v>
      </c>
      <c r="F52" s="28" t="s">
        <v>676</v>
      </c>
      <c r="G52" s="28" t="s">
        <v>669</v>
      </c>
      <c r="H52" s="28"/>
      <c r="I52" s="29" t="s">
        <v>680</v>
      </c>
      <c r="J52" s="31" t="str">
        <f t="shared" si="1"/>
        <v/>
      </c>
    </row>
    <row r="53" spans="1:10" ht="14.25" customHeight="1" x14ac:dyDescent="0.35">
      <c r="A53" s="28" t="s">
        <v>740</v>
      </c>
      <c r="B53" s="29" t="s">
        <v>741</v>
      </c>
      <c r="C53" s="28" t="s">
        <v>53</v>
      </c>
      <c r="D53" s="30">
        <v>2932.93</v>
      </c>
      <c r="E53" s="28" t="s">
        <v>590</v>
      </c>
      <c r="F53" s="28" t="s">
        <v>591</v>
      </c>
      <c r="G53" s="28" t="s">
        <v>742</v>
      </c>
      <c r="H53" s="28"/>
      <c r="I53" s="29"/>
      <c r="J53" s="31" t="str">
        <f t="shared" si="1"/>
        <v/>
      </c>
    </row>
    <row r="54" spans="1:10" ht="14.25" customHeight="1" x14ac:dyDescent="0.35">
      <c r="A54" s="28" t="s">
        <v>743</v>
      </c>
      <c r="B54" s="29" t="s">
        <v>744</v>
      </c>
      <c r="C54" s="28" t="s">
        <v>53</v>
      </c>
      <c r="D54" s="30">
        <v>3295.47</v>
      </c>
      <c r="E54" s="28" t="s">
        <v>590</v>
      </c>
      <c r="F54" s="28" t="s">
        <v>591</v>
      </c>
      <c r="G54" s="28" t="s">
        <v>742</v>
      </c>
      <c r="H54" s="28"/>
      <c r="I54" s="29"/>
      <c r="J54" s="31" t="str">
        <f t="shared" si="1"/>
        <v/>
      </c>
    </row>
    <row r="55" spans="1:10" ht="14.25" customHeight="1" x14ac:dyDescent="0.35">
      <c r="A55" s="28" t="s">
        <v>745</v>
      </c>
      <c r="B55" s="29" t="s">
        <v>746</v>
      </c>
      <c r="C55" s="28" t="s">
        <v>53</v>
      </c>
      <c r="D55" s="30">
        <v>2147.85</v>
      </c>
      <c r="E55" s="28" t="s">
        <v>590</v>
      </c>
      <c r="F55" s="28" t="s">
        <v>591</v>
      </c>
      <c r="G55" s="28" t="s">
        <v>742</v>
      </c>
      <c r="H55" s="28"/>
      <c r="I55" s="29"/>
      <c r="J55" s="31" t="str">
        <f t="shared" si="1"/>
        <v/>
      </c>
    </row>
    <row r="56" spans="1:10" ht="14.25" customHeight="1" x14ac:dyDescent="0.35">
      <c r="A56" s="28" t="s">
        <v>747</v>
      </c>
      <c r="B56" s="29" t="s">
        <v>748</v>
      </c>
      <c r="C56" s="28" t="s">
        <v>53</v>
      </c>
      <c r="D56" s="30">
        <v>2468.66</v>
      </c>
      <c r="E56" s="28" t="s">
        <v>590</v>
      </c>
      <c r="F56" s="28" t="s">
        <v>591</v>
      </c>
      <c r="G56" s="28" t="s">
        <v>742</v>
      </c>
      <c r="H56" s="28"/>
      <c r="I56" s="29"/>
      <c r="J56" s="31" t="str">
        <f t="shared" si="1"/>
        <v/>
      </c>
    </row>
    <row r="57" spans="1:10" ht="14.25" customHeight="1" x14ac:dyDescent="0.35">
      <c r="A57" s="28" t="s">
        <v>749</v>
      </c>
      <c r="B57" s="29" t="s">
        <v>750</v>
      </c>
      <c r="C57" s="28" t="s">
        <v>53</v>
      </c>
      <c r="D57" s="30">
        <v>32.707173553719002</v>
      </c>
      <c r="E57" s="28" t="s">
        <v>751</v>
      </c>
      <c r="F57" s="28" t="s">
        <v>676</v>
      </c>
      <c r="G57" s="28" t="s">
        <v>742</v>
      </c>
      <c r="H57" s="28"/>
      <c r="I57" s="29"/>
      <c r="J57" s="31" t="str">
        <f t="shared" si="1"/>
        <v/>
      </c>
    </row>
    <row r="58" spans="1:10" ht="14.25" customHeight="1" x14ac:dyDescent="0.35">
      <c r="A58" s="28" t="s">
        <v>752</v>
      </c>
      <c r="B58" s="29" t="s">
        <v>753</v>
      </c>
      <c r="C58" s="28" t="s">
        <v>53</v>
      </c>
      <c r="D58" s="30">
        <v>17.1963177226814</v>
      </c>
      <c r="E58" s="28" t="s">
        <v>751</v>
      </c>
      <c r="F58" s="28" t="s">
        <v>676</v>
      </c>
      <c r="G58" s="28" t="s">
        <v>742</v>
      </c>
      <c r="H58" s="28"/>
      <c r="I58" s="29"/>
      <c r="J58" s="31" t="str">
        <f t="shared" si="1"/>
        <v/>
      </c>
    </row>
    <row r="59" spans="1:10" ht="14.25" customHeight="1" x14ac:dyDescent="0.35">
      <c r="A59" s="28" t="s">
        <v>754</v>
      </c>
      <c r="B59" s="29" t="s">
        <v>755</v>
      </c>
      <c r="C59" s="28" t="s">
        <v>53</v>
      </c>
      <c r="D59" s="30">
        <v>41.375227272727301</v>
      </c>
      <c r="E59" s="28" t="s">
        <v>751</v>
      </c>
      <c r="F59" s="28" t="s">
        <v>676</v>
      </c>
      <c r="G59" s="28" t="s">
        <v>742</v>
      </c>
      <c r="H59" s="28"/>
      <c r="I59" s="29"/>
      <c r="J59" s="31" t="str">
        <f t="shared" si="1"/>
        <v/>
      </c>
    </row>
    <row r="60" spans="1:10" ht="14.25" customHeight="1" x14ac:dyDescent="0.35">
      <c r="A60" s="28" t="s">
        <v>756</v>
      </c>
      <c r="B60" s="29" t="s">
        <v>757</v>
      </c>
      <c r="C60" s="28" t="s">
        <v>53</v>
      </c>
      <c r="D60" s="30">
        <v>65.919008264462803</v>
      </c>
      <c r="E60" s="28" t="s">
        <v>751</v>
      </c>
      <c r="F60" s="28" t="s">
        <v>676</v>
      </c>
      <c r="G60" s="28" t="s">
        <v>742</v>
      </c>
      <c r="H60" s="28"/>
      <c r="I60" s="29"/>
      <c r="J60" s="31" t="str">
        <f t="shared" si="1"/>
        <v/>
      </c>
    </row>
    <row r="61" spans="1:10" ht="14.25" customHeight="1" x14ac:dyDescent="0.35">
      <c r="A61" s="28" t="s">
        <v>758</v>
      </c>
      <c r="B61" s="29" t="s">
        <v>759</v>
      </c>
      <c r="C61" s="28" t="s">
        <v>53</v>
      </c>
      <c r="D61" s="30">
        <v>4042.71</v>
      </c>
      <c r="E61" s="28" t="s">
        <v>590</v>
      </c>
      <c r="F61" s="28" t="s">
        <v>591</v>
      </c>
      <c r="G61" s="28" t="s">
        <v>742</v>
      </c>
      <c r="H61" s="28"/>
      <c r="I61" s="29"/>
      <c r="J61" s="31" t="str">
        <f t="shared" si="1"/>
        <v/>
      </c>
    </row>
    <row r="62" spans="1:10" ht="14.25" customHeight="1" x14ac:dyDescent="0.35">
      <c r="A62" s="28" t="s">
        <v>760</v>
      </c>
      <c r="B62" s="29" t="s">
        <v>761</v>
      </c>
      <c r="C62" s="28" t="s">
        <v>53</v>
      </c>
      <c r="D62" s="30">
        <v>5920.61</v>
      </c>
      <c r="E62" s="28" t="s">
        <v>590</v>
      </c>
      <c r="F62" s="28" t="s">
        <v>591</v>
      </c>
      <c r="G62" s="28" t="s">
        <v>742</v>
      </c>
      <c r="H62" s="28"/>
      <c r="I62" s="29" t="s">
        <v>762</v>
      </c>
      <c r="J62" s="31" t="str">
        <f t="shared" si="1"/>
        <v/>
      </c>
    </row>
    <row r="63" spans="1:10" ht="14.25" customHeight="1" x14ac:dyDescent="0.35">
      <c r="A63" s="28" t="s">
        <v>763</v>
      </c>
      <c r="B63" s="29" t="s">
        <v>764</v>
      </c>
      <c r="C63" s="28" t="s">
        <v>53</v>
      </c>
      <c r="D63" s="30">
        <v>26872.02</v>
      </c>
      <c r="E63" s="28" t="s">
        <v>590</v>
      </c>
      <c r="F63" s="28" t="s">
        <v>591</v>
      </c>
      <c r="G63" s="28" t="s">
        <v>742</v>
      </c>
      <c r="H63" s="28"/>
      <c r="I63" s="29"/>
      <c r="J63" s="31" t="str">
        <f t="shared" si="1"/>
        <v/>
      </c>
    </row>
    <row r="64" spans="1:10" ht="14.25" customHeight="1" x14ac:dyDescent="0.35">
      <c r="A64" s="28" t="s">
        <v>765</v>
      </c>
      <c r="B64" s="29" t="s">
        <v>766</v>
      </c>
      <c r="C64" s="28" t="s">
        <v>53</v>
      </c>
      <c r="D64" s="30">
        <v>10022.959999999999</v>
      </c>
      <c r="E64" s="28" t="s">
        <v>590</v>
      </c>
      <c r="F64" s="28" t="s">
        <v>591</v>
      </c>
      <c r="G64" s="28" t="s">
        <v>669</v>
      </c>
      <c r="H64" s="28"/>
      <c r="I64" s="29"/>
      <c r="J64" s="31" t="str">
        <f t="shared" si="1"/>
        <v/>
      </c>
    </row>
    <row r="65" spans="1:10" ht="14.25" customHeight="1" x14ac:dyDescent="0.35">
      <c r="A65" s="28" t="s">
        <v>767</v>
      </c>
      <c r="B65" s="29" t="s">
        <v>768</v>
      </c>
      <c r="C65" s="28" t="s">
        <v>53</v>
      </c>
      <c r="D65" s="30">
        <v>16160.1</v>
      </c>
      <c r="E65" s="28" t="s">
        <v>590</v>
      </c>
      <c r="F65" s="28" t="s">
        <v>591</v>
      </c>
      <c r="G65" s="28" t="s">
        <v>669</v>
      </c>
      <c r="H65" s="28"/>
      <c r="I65" s="29"/>
      <c r="J65" s="31" t="str">
        <f t="shared" si="1"/>
        <v/>
      </c>
    </row>
    <row r="66" spans="1:10" ht="14.25" customHeight="1" x14ac:dyDescent="0.35">
      <c r="A66" s="28" t="s">
        <v>769</v>
      </c>
      <c r="B66" s="29" t="s">
        <v>770</v>
      </c>
      <c r="C66" s="28" t="s">
        <v>53</v>
      </c>
      <c r="D66" s="30">
        <v>14217.87</v>
      </c>
      <c r="E66" s="28" t="s">
        <v>590</v>
      </c>
      <c r="F66" s="28" t="s">
        <v>591</v>
      </c>
      <c r="G66" s="28" t="s">
        <v>669</v>
      </c>
      <c r="H66" s="28"/>
      <c r="I66" s="29"/>
      <c r="J66" s="31" t="str">
        <f t="shared" ref="J66:J97" si="2">IF(F66="","SIN FECHA","")</f>
        <v/>
      </c>
    </row>
    <row r="67" spans="1:10" ht="14.25" customHeight="1" x14ac:dyDescent="0.35">
      <c r="A67" s="28" t="s">
        <v>771</v>
      </c>
      <c r="B67" s="29" t="s">
        <v>772</v>
      </c>
      <c r="C67" s="28" t="s">
        <v>53</v>
      </c>
      <c r="D67" s="30">
        <v>1421.47</v>
      </c>
      <c r="E67" s="28" t="s">
        <v>590</v>
      </c>
      <c r="F67" s="28" t="s">
        <v>591</v>
      </c>
      <c r="G67" s="28" t="s">
        <v>742</v>
      </c>
      <c r="H67" s="28"/>
      <c r="I67" s="29"/>
      <c r="J67" s="31" t="str">
        <f t="shared" si="2"/>
        <v/>
      </c>
    </row>
    <row r="68" spans="1:10" ht="14.25" customHeight="1" x14ac:dyDescent="0.35">
      <c r="A68" s="28" t="s">
        <v>773</v>
      </c>
      <c r="B68" s="29" t="s">
        <v>774</v>
      </c>
      <c r="C68" s="28" t="s">
        <v>53</v>
      </c>
      <c r="D68" s="30">
        <v>2351.29</v>
      </c>
      <c r="E68" s="28" t="s">
        <v>590</v>
      </c>
      <c r="F68" s="28" t="s">
        <v>591</v>
      </c>
      <c r="G68" s="28" t="s">
        <v>742</v>
      </c>
      <c r="H68" s="28"/>
      <c r="I68" s="29"/>
      <c r="J68" s="31" t="str">
        <f t="shared" si="2"/>
        <v/>
      </c>
    </row>
    <row r="69" spans="1:10" ht="14.25" customHeight="1" x14ac:dyDescent="0.35">
      <c r="A69" s="28" t="s">
        <v>775</v>
      </c>
      <c r="B69" s="29" t="s">
        <v>776</v>
      </c>
      <c r="C69" s="28" t="s">
        <v>53</v>
      </c>
      <c r="D69" s="30">
        <v>97970.9</v>
      </c>
      <c r="E69" s="28" t="s">
        <v>590</v>
      </c>
      <c r="F69" s="28" t="s">
        <v>591</v>
      </c>
      <c r="G69" s="28" t="s">
        <v>742</v>
      </c>
      <c r="H69" s="28"/>
      <c r="I69" s="29" t="s">
        <v>777</v>
      </c>
      <c r="J69" s="31" t="str">
        <f t="shared" si="2"/>
        <v/>
      </c>
    </row>
    <row r="70" spans="1:10" ht="14.25" customHeight="1" x14ac:dyDescent="0.35">
      <c r="A70" s="28" t="s">
        <v>778</v>
      </c>
      <c r="B70" s="29" t="s">
        <v>779</v>
      </c>
      <c r="C70" s="28" t="s">
        <v>53</v>
      </c>
      <c r="D70" s="30">
        <v>2470.5619834710801</v>
      </c>
      <c r="E70" s="28" t="s">
        <v>751</v>
      </c>
      <c r="F70" s="28" t="s">
        <v>676</v>
      </c>
      <c r="G70" s="28" t="s">
        <v>742</v>
      </c>
      <c r="H70" s="28"/>
      <c r="I70" s="29"/>
      <c r="J70" s="31" t="str">
        <f t="shared" si="2"/>
        <v/>
      </c>
    </row>
    <row r="71" spans="1:10" ht="14.25" customHeight="1" x14ac:dyDescent="0.35">
      <c r="A71" s="28" t="s">
        <v>780</v>
      </c>
      <c r="B71" s="29" t="s">
        <v>781</v>
      </c>
      <c r="C71" s="28" t="s">
        <v>53</v>
      </c>
      <c r="D71" s="30">
        <v>3894.6611570247901</v>
      </c>
      <c r="E71" s="28" t="s">
        <v>751</v>
      </c>
      <c r="F71" s="28" t="s">
        <v>676</v>
      </c>
      <c r="G71" s="28" t="s">
        <v>742</v>
      </c>
      <c r="H71" s="28"/>
      <c r="I71" s="29"/>
      <c r="J71" s="31" t="str">
        <f t="shared" si="2"/>
        <v/>
      </c>
    </row>
    <row r="72" spans="1:10" ht="14.25" customHeight="1" x14ac:dyDescent="0.35">
      <c r="A72" s="28" t="s">
        <v>782</v>
      </c>
      <c r="B72" s="29" t="s">
        <v>783</v>
      </c>
      <c r="C72" s="28" t="s">
        <v>53</v>
      </c>
      <c r="D72" s="30">
        <v>1262.17355371901</v>
      </c>
      <c r="E72" s="28" t="s">
        <v>751</v>
      </c>
      <c r="F72" s="28" t="s">
        <v>676</v>
      </c>
      <c r="G72" s="28" t="s">
        <v>742</v>
      </c>
      <c r="H72" s="28"/>
      <c r="I72" s="29"/>
      <c r="J72" s="31" t="str">
        <f t="shared" si="2"/>
        <v/>
      </c>
    </row>
    <row r="73" spans="1:10" ht="14.25" customHeight="1" x14ac:dyDescent="0.35">
      <c r="A73" s="28" t="s">
        <v>784</v>
      </c>
      <c r="B73" s="29" t="s">
        <v>785</v>
      </c>
      <c r="C73" s="28" t="s">
        <v>53</v>
      </c>
      <c r="D73" s="30">
        <v>647.24793388429805</v>
      </c>
      <c r="E73" s="28" t="s">
        <v>751</v>
      </c>
      <c r="F73" s="28" t="s">
        <v>676</v>
      </c>
      <c r="G73" s="28" t="s">
        <v>742</v>
      </c>
      <c r="H73" s="28"/>
      <c r="I73" s="29"/>
      <c r="J73" s="31" t="str">
        <f t="shared" si="2"/>
        <v/>
      </c>
    </row>
    <row r="74" spans="1:10" ht="14.25" customHeight="1" x14ac:dyDescent="0.35">
      <c r="A74" s="28" t="s">
        <v>786</v>
      </c>
      <c r="B74" s="29" t="s">
        <v>787</v>
      </c>
      <c r="C74" s="28" t="s">
        <v>53</v>
      </c>
      <c r="D74" s="30">
        <v>6538.6115702479301</v>
      </c>
      <c r="E74" s="28" t="s">
        <v>690</v>
      </c>
      <c r="F74" s="28" t="s">
        <v>676</v>
      </c>
      <c r="G74" s="28" t="s">
        <v>742</v>
      </c>
      <c r="H74" s="28"/>
      <c r="I74" s="29" t="s">
        <v>788</v>
      </c>
      <c r="J74" s="31" t="str">
        <f t="shared" si="2"/>
        <v/>
      </c>
    </row>
    <row r="75" spans="1:10" ht="14.25" customHeight="1" x14ac:dyDescent="0.35">
      <c r="A75" s="28" t="s">
        <v>789</v>
      </c>
      <c r="B75" s="29" t="s">
        <v>790</v>
      </c>
      <c r="C75" s="28" t="s">
        <v>53</v>
      </c>
      <c r="D75" s="30">
        <v>2474.34710743802</v>
      </c>
      <c r="E75" s="28" t="s">
        <v>751</v>
      </c>
      <c r="F75" s="28" t="s">
        <v>676</v>
      </c>
      <c r="G75" s="28" t="s">
        <v>592</v>
      </c>
      <c r="H75" s="28"/>
      <c r="I75" s="29"/>
      <c r="J75" s="31" t="str">
        <f t="shared" si="2"/>
        <v/>
      </c>
    </row>
    <row r="76" spans="1:10" ht="14.25" customHeight="1" x14ac:dyDescent="0.35">
      <c r="A76" s="28" t="s">
        <v>791</v>
      </c>
      <c r="B76" s="29" t="s">
        <v>792</v>
      </c>
      <c r="C76" s="28" t="s">
        <v>53</v>
      </c>
      <c r="D76" s="30">
        <v>4751.7078772422501</v>
      </c>
      <c r="E76" s="28" t="s">
        <v>690</v>
      </c>
      <c r="F76" s="28" t="s">
        <v>793</v>
      </c>
      <c r="G76" s="28" t="s">
        <v>742</v>
      </c>
      <c r="H76" s="28"/>
      <c r="I76" s="29" t="s">
        <v>794</v>
      </c>
      <c r="J76" s="31" t="str">
        <f t="shared" si="2"/>
        <v/>
      </c>
    </row>
    <row r="77" spans="1:10" ht="14.25" customHeight="1" x14ac:dyDescent="0.35">
      <c r="A77" s="28" t="s">
        <v>795</v>
      </c>
      <c r="B77" s="29" t="s">
        <v>796</v>
      </c>
      <c r="C77" s="28" t="s">
        <v>797</v>
      </c>
      <c r="D77" s="30">
        <v>120622.23</v>
      </c>
      <c r="E77" s="28" t="s">
        <v>798</v>
      </c>
      <c r="F77" s="28" t="s">
        <v>799</v>
      </c>
      <c r="G77" s="28" t="s">
        <v>800</v>
      </c>
      <c r="H77" s="28" t="s">
        <v>801</v>
      </c>
      <c r="I77" s="29"/>
      <c r="J77" s="31" t="str">
        <f t="shared" si="2"/>
        <v/>
      </c>
    </row>
    <row r="78" spans="1:10" ht="14.25" customHeight="1" x14ac:dyDescent="0.35">
      <c r="A78" s="28" t="s">
        <v>802</v>
      </c>
      <c r="B78" s="29" t="s">
        <v>803</v>
      </c>
      <c r="C78" s="28" t="s">
        <v>53</v>
      </c>
      <c r="D78" s="30">
        <v>237603.30578512399</v>
      </c>
      <c r="E78" s="28" t="s">
        <v>804</v>
      </c>
      <c r="F78" s="28" t="s">
        <v>805</v>
      </c>
      <c r="G78" s="28" t="s">
        <v>800</v>
      </c>
      <c r="H78" s="28"/>
      <c r="I78" s="29"/>
      <c r="J78" s="31" t="str">
        <f t="shared" si="2"/>
        <v/>
      </c>
    </row>
    <row r="79" spans="1:10" ht="14.25" customHeight="1" x14ac:dyDescent="0.35">
      <c r="A79" s="28" t="s">
        <v>806</v>
      </c>
      <c r="B79" s="29" t="s">
        <v>807</v>
      </c>
      <c r="C79" s="28" t="s">
        <v>53</v>
      </c>
      <c r="D79" s="30">
        <v>105657.74</v>
      </c>
      <c r="E79" s="28" t="s">
        <v>798</v>
      </c>
      <c r="F79" s="28" t="s">
        <v>799</v>
      </c>
      <c r="G79" s="28" t="s">
        <v>800</v>
      </c>
      <c r="H79" s="28"/>
      <c r="I79" s="29"/>
      <c r="J79" s="31" t="str">
        <f t="shared" si="2"/>
        <v/>
      </c>
    </row>
    <row r="80" spans="1:10" ht="14.25" customHeight="1" x14ac:dyDescent="0.35">
      <c r="A80" s="28" t="s">
        <v>808</v>
      </c>
      <c r="B80" s="29" t="s">
        <v>809</v>
      </c>
      <c r="C80" s="28" t="s">
        <v>668</v>
      </c>
      <c r="D80" s="30">
        <v>28011.57</v>
      </c>
      <c r="E80" s="28" t="s">
        <v>798</v>
      </c>
      <c r="F80" s="28" t="s">
        <v>799</v>
      </c>
      <c r="G80" s="28" t="s">
        <v>800</v>
      </c>
      <c r="H80" s="28" t="s">
        <v>810</v>
      </c>
      <c r="I80" s="29"/>
      <c r="J80" s="31" t="str">
        <f t="shared" si="2"/>
        <v/>
      </c>
    </row>
    <row r="81" spans="1:10" ht="14.25" customHeight="1" x14ac:dyDescent="0.35">
      <c r="A81" s="28" t="s">
        <v>811</v>
      </c>
      <c r="B81" s="29" t="s">
        <v>812</v>
      </c>
      <c r="C81" s="28" t="s">
        <v>668</v>
      </c>
      <c r="D81" s="30">
        <v>28011.57</v>
      </c>
      <c r="E81" s="28" t="s">
        <v>798</v>
      </c>
      <c r="F81" s="28" t="s">
        <v>799</v>
      </c>
      <c r="G81" s="28" t="s">
        <v>800</v>
      </c>
      <c r="H81" s="28" t="s">
        <v>810</v>
      </c>
      <c r="I81" s="29"/>
      <c r="J81" s="31" t="str">
        <f t="shared" si="2"/>
        <v/>
      </c>
    </row>
    <row r="82" spans="1:10" ht="14.25" customHeight="1" x14ac:dyDescent="0.35">
      <c r="A82" s="28" t="s">
        <v>813</v>
      </c>
      <c r="B82" s="29" t="s">
        <v>814</v>
      </c>
      <c r="C82" s="28" t="s">
        <v>668</v>
      </c>
      <c r="D82" s="30">
        <v>28011.57</v>
      </c>
      <c r="E82" s="28" t="s">
        <v>798</v>
      </c>
      <c r="F82" s="28" t="s">
        <v>799</v>
      </c>
      <c r="G82" s="28" t="s">
        <v>800</v>
      </c>
      <c r="H82" s="28" t="s">
        <v>810</v>
      </c>
      <c r="I82" s="29"/>
      <c r="J82" s="31" t="str">
        <f t="shared" si="2"/>
        <v/>
      </c>
    </row>
    <row r="83" spans="1:10" ht="14.25" customHeight="1" x14ac:dyDescent="0.35">
      <c r="A83" s="28" t="s">
        <v>815</v>
      </c>
      <c r="B83" s="29" t="s">
        <v>816</v>
      </c>
      <c r="C83" s="28" t="s">
        <v>797</v>
      </c>
      <c r="D83" s="30">
        <v>18735.77</v>
      </c>
      <c r="E83" s="28" t="s">
        <v>798</v>
      </c>
      <c r="F83" s="28" t="s">
        <v>799</v>
      </c>
      <c r="G83" s="28" t="s">
        <v>800</v>
      </c>
      <c r="H83" s="28" t="s">
        <v>817</v>
      </c>
      <c r="I83" s="29" t="s">
        <v>818</v>
      </c>
      <c r="J83" s="31" t="str">
        <f t="shared" si="2"/>
        <v/>
      </c>
    </row>
    <row r="84" spans="1:10" ht="14.25" customHeight="1" x14ac:dyDescent="0.35">
      <c r="A84" s="28" t="s">
        <v>819</v>
      </c>
      <c r="B84" s="29" t="s">
        <v>820</v>
      </c>
      <c r="C84" s="28" t="s">
        <v>53</v>
      </c>
      <c r="D84" s="30">
        <v>124188.429752066</v>
      </c>
      <c r="E84" s="28" t="s">
        <v>804</v>
      </c>
      <c r="F84" s="28" t="s">
        <v>805</v>
      </c>
      <c r="G84" s="28" t="s">
        <v>821</v>
      </c>
      <c r="H84" s="28"/>
      <c r="I84" s="29"/>
      <c r="J84" s="31" t="str">
        <f t="shared" si="2"/>
        <v/>
      </c>
    </row>
    <row r="85" spans="1:10" ht="14.25" customHeight="1" x14ac:dyDescent="0.35">
      <c r="A85" s="28" t="s">
        <v>822</v>
      </c>
      <c r="B85" s="29" t="s">
        <v>823</v>
      </c>
      <c r="C85" s="28" t="s">
        <v>668</v>
      </c>
      <c r="D85" s="30">
        <v>32845.78</v>
      </c>
      <c r="E85" s="28" t="s">
        <v>590</v>
      </c>
      <c r="F85" s="28" t="s">
        <v>591</v>
      </c>
      <c r="G85" s="28" t="s">
        <v>800</v>
      </c>
      <c r="H85" s="28"/>
      <c r="I85" s="29" t="s">
        <v>824</v>
      </c>
      <c r="J85" s="31" t="str">
        <f t="shared" si="2"/>
        <v/>
      </c>
    </row>
    <row r="86" spans="1:10" ht="14.25" customHeight="1" x14ac:dyDescent="0.35">
      <c r="A86" s="28" t="s">
        <v>825</v>
      </c>
      <c r="B86" s="29" t="s">
        <v>826</v>
      </c>
      <c r="C86" s="28" t="s">
        <v>53</v>
      </c>
      <c r="D86" s="30">
        <v>57033.884297520701</v>
      </c>
      <c r="E86" s="28" t="s">
        <v>827</v>
      </c>
      <c r="F86" s="28" t="s">
        <v>828</v>
      </c>
      <c r="G86" s="28" t="s">
        <v>669</v>
      </c>
      <c r="H86" s="28"/>
      <c r="I86" s="29"/>
      <c r="J86" s="31" t="str">
        <f t="shared" si="2"/>
        <v/>
      </c>
    </row>
    <row r="87" spans="1:10" ht="14.25" customHeight="1" x14ac:dyDescent="0.35">
      <c r="A87" s="28" t="s">
        <v>829</v>
      </c>
      <c r="B87" s="29" t="s">
        <v>830</v>
      </c>
      <c r="C87" s="28" t="s">
        <v>53</v>
      </c>
      <c r="D87" s="30">
        <v>93388.429752066106</v>
      </c>
      <c r="E87" s="28" t="s">
        <v>827</v>
      </c>
      <c r="F87" s="28" t="s">
        <v>828</v>
      </c>
      <c r="G87" s="28" t="s">
        <v>669</v>
      </c>
      <c r="H87" s="28"/>
      <c r="I87" s="29"/>
      <c r="J87" s="31" t="str">
        <f t="shared" si="2"/>
        <v/>
      </c>
    </row>
    <row r="88" spans="1:10" ht="14.25" customHeight="1" x14ac:dyDescent="0.35">
      <c r="A88" s="28" t="s">
        <v>831</v>
      </c>
      <c r="B88" s="29" t="s">
        <v>832</v>
      </c>
      <c r="C88" s="28" t="s">
        <v>53</v>
      </c>
      <c r="D88" s="30">
        <v>70192.210000000006</v>
      </c>
      <c r="E88" s="28" t="s">
        <v>590</v>
      </c>
      <c r="F88" s="28" t="s">
        <v>591</v>
      </c>
      <c r="G88" s="28" t="s">
        <v>663</v>
      </c>
      <c r="H88" s="28"/>
      <c r="I88" s="29" t="s">
        <v>833</v>
      </c>
      <c r="J88" s="31" t="str">
        <f t="shared" si="2"/>
        <v/>
      </c>
    </row>
    <row r="89" spans="1:10" ht="14.25" customHeight="1" x14ac:dyDescent="0.35">
      <c r="A89" s="28" t="s">
        <v>834</v>
      </c>
      <c r="B89" s="29" t="s">
        <v>835</v>
      </c>
      <c r="C89" s="28" t="s">
        <v>53</v>
      </c>
      <c r="D89" s="30">
        <v>66115.702479338797</v>
      </c>
      <c r="E89" s="28" t="s">
        <v>836</v>
      </c>
      <c r="F89" s="28" t="s">
        <v>805</v>
      </c>
      <c r="G89" s="28" t="s">
        <v>663</v>
      </c>
      <c r="H89" s="28"/>
      <c r="I89" s="29"/>
      <c r="J89" s="31" t="str">
        <f t="shared" si="2"/>
        <v/>
      </c>
    </row>
    <row r="90" spans="1:10" ht="14.25" customHeight="1" x14ac:dyDescent="0.35">
      <c r="A90" s="28" t="s">
        <v>837</v>
      </c>
      <c r="B90" s="29" t="s">
        <v>838</v>
      </c>
      <c r="C90" s="28" t="s">
        <v>797</v>
      </c>
      <c r="D90" s="30">
        <v>43017.107438016501</v>
      </c>
      <c r="E90" s="28" t="s">
        <v>839</v>
      </c>
      <c r="F90" s="28" t="s">
        <v>840</v>
      </c>
      <c r="G90" s="28" t="s">
        <v>800</v>
      </c>
      <c r="H90" s="28" t="s">
        <v>841</v>
      </c>
      <c r="I90" s="29"/>
      <c r="J90" s="31" t="str">
        <f t="shared" si="2"/>
        <v/>
      </c>
    </row>
    <row r="91" spans="1:10" ht="14.25" customHeight="1" x14ac:dyDescent="0.35">
      <c r="A91" s="28" t="s">
        <v>842</v>
      </c>
      <c r="B91" s="29" t="s">
        <v>843</v>
      </c>
      <c r="C91" s="28" t="s">
        <v>668</v>
      </c>
      <c r="D91" s="30">
        <v>30467.49</v>
      </c>
      <c r="E91" s="28" t="s">
        <v>798</v>
      </c>
      <c r="F91" s="28" t="s">
        <v>799</v>
      </c>
      <c r="G91" s="28" t="s">
        <v>800</v>
      </c>
      <c r="H91" s="28"/>
      <c r="I91" s="29" t="s">
        <v>844</v>
      </c>
      <c r="J91" s="31" t="str">
        <f t="shared" si="2"/>
        <v/>
      </c>
    </row>
    <row r="92" spans="1:10" ht="14.25" customHeight="1" x14ac:dyDescent="0.35">
      <c r="A92" s="28" t="s">
        <v>845</v>
      </c>
      <c r="B92" s="29" t="s">
        <v>846</v>
      </c>
      <c r="C92" s="28" t="s">
        <v>668</v>
      </c>
      <c r="D92" s="30">
        <v>26907.33</v>
      </c>
      <c r="E92" s="28" t="s">
        <v>798</v>
      </c>
      <c r="F92" s="28" t="s">
        <v>799</v>
      </c>
      <c r="G92" s="28" t="s">
        <v>800</v>
      </c>
      <c r="H92" s="28" t="s">
        <v>847</v>
      </c>
      <c r="I92" s="29"/>
      <c r="J92" s="31" t="str">
        <f t="shared" si="2"/>
        <v/>
      </c>
    </row>
    <row r="93" spans="1:10" ht="14.25" customHeight="1" x14ac:dyDescent="0.35">
      <c r="A93" s="28" t="s">
        <v>848</v>
      </c>
      <c r="B93" s="29" t="s">
        <v>849</v>
      </c>
      <c r="C93" s="28" t="s">
        <v>53</v>
      </c>
      <c r="D93" s="30">
        <v>5661.4</v>
      </c>
      <c r="E93" s="28" t="s">
        <v>798</v>
      </c>
      <c r="F93" s="28" t="s">
        <v>799</v>
      </c>
      <c r="G93" s="28" t="s">
        <v>800</v>
      </c>
      <c r="H93" s="28" t="s">
        <v>850</v>
      </c>
      <c r="I93" s="29"/>
      <c r="J93" s="31" t="str">
        <f t="shared" si="2"/>
        <v/>
      </c>
    </row>
    <row r="94" spans="1:10" ht="14.25" customHeight="1" x14ac:dyDescent="0.35">
      <c r="A94" s="28" t="s">
        <v>851</v>
      </c>
      <c r="B94" s="29" t="s">
        <v>852</v>
      </c>
      <c r="C94" s="28" t="s">
        <v>53</v>
      </c>
      <c r="D94" s="30">
        <v>3293.01</v>
      </c>
      <c r="E94" s="28" t="s">
        <v>798</v>
      </c>
      <c r="F94" s="28" t="s">
        <v>799</v>
      </c>
      <c r="G94" s="28" t="s">
        <v>800</v>
      </c>
      <c r="H94" s="28" t="s">
        <v>853</v>
      </c>
      <c r="I94" s="29" t="s">
        <v>854</v>
      </c>
      <c r="J94" s="31" t="str">
        <f t="shared" si="2"/>
        <v/>
      </c>
    </row>
    <row r="95" spans="1:10" ht="14.25" customHeight="1" x14ac:dyDescent="0.35">
      <c r="A95" s="28" t="s">
        <v>855</v>
      </c>
      <c r="B95" s="29" t="s">
        <v>856</v>
      </c>
      <c r="C95" s="28" t="s">
        <v>53</v>
      </c>
      <c r="D95" s="30">
        <v>735.06</v>
      </c>
      <c r="E95" s="28" t="s">
        <v>798</v>
      </c>
      <c r="F95" s="28" t="s">
        <v>799</v>
      </c>
      <c r="G95" s="28" t="s">
        <v>800</v>
      </c>
      <c r="H95" s="28" t="s">
        <v>857</v>
      </c>
      <c r="I95" s="29"/>
      <c r="J95" s="31" t="str">
        <f t="shared" si="2"/>
        <v/>
      </c>
    </row>
    <row r="96" spans="1:10" ht="14.25" customHeight="1" x14ac:dyDescent="0.35">
      <c r="A96" s="28" t="s">
        <v>858</v>
      </c>
      <c r="B96" s="29" t="s">
        <v>859</v>
      </c>
      <c r="C96" s="28" t="s">
        <v>53</v>
      </c>
      <c r="D96" s="30">
        <v>199110.12396694199</v>
      </c>
      <c r="E96" s="28" t="s">
        <v>839</v>
      </c>
      <c r="F96" s="28" t="s">
        <v>805</v>
      </c>
      <c r="G96" s="28" t="s">
        <v>669</v>
      </c>
      <c r="H96" s="28"/>
      <c r="I96" s="29" t="s">
        <v>860</v>
      </c>
      <c r="J96" s="31" t="str">
        <f t="shared" si="2"/>
        <v/>
      </c>
    </row>
    <row r="97" spans="1:10" ht="14.25" customHeight="1" x14ac:dyDescent="0.35">
      <c r="A97" s="28" t="s">
        <v>861</v>
      </c>
      <c r="B97" s="29" t="s">
        <v>862</v>
      </c>
      <c r="C97" s="28" t="s">
        <v>53</v>
      </c>
      <c r="D97" s="30">
        <v>6678.36</v>
      </c>
      <c r="E97" s="28" t="s">
        <v>798</v>
      </c>
      <c r="F97" s="28" t="s">
        <v>799</v>
      </c>
      <c r="G97" s="28" t="s">
        <v>800</v>
      </c>
      <c r="H97" s="28"/>
      <c r="I97" s="29"/>
      <c r="J97" s="31" t="str">
        <f t="shared" si="2"/>
        <v/>
      </c>
    </row>
    <row r="98" spans="1:10" ht="14.25" customHeight="1" x14ac:dyDescent="0.35">
      <c r="A98" s="28" t="s">
        <v>863</v>
      </c>
      <c r="B98" s="29" t="s">
        <v>864</v>
      </c>
      <c r="C98" s="28" t="s">
        <v>53</v>
      </c>
      <c r="D98" s="30">
        <v>6678.36</v>
      </c>
      <c r="E98" s="28" t="s">
        <v>798</v>
      </c>
      <c r="F98" s="28" t="s">
        <v>799</v>
      </c>
      <c r="G98" s="28" t="s">
        <v>800</v>
      </c>
      <c r="H98" s="28"/>
      <c r="I98" s="29"/>
      <c r="J98" s="31" t="str">
        <f t="shared" ref="J98:J129" si="3">IF(F98="","SIN FECHA","")</f>
        <v/>
      </c>
    </row>
    <row r="99" spans="1:10" ht="14.25" customHeight="1" x14ac:dyDescent="0.35">
      <c r="A99" s="28" t="s">
        <v>865</v>
      </c>
      <c r="B99" s="29" t="s">
        <v>866</v>
      </c>
      <c r="C99" s="28" t="s">
        <v>53</v>
      </c>
      <c r="D99" s="30">
        <v>5282.24</v>
      </c>
      <c r="E99" s="28" t="s">
        <v>798</v>
      </c>
      <c r="F99" s="28" t="s">
        <v>799</v>
      </c>
      <c r="G99" s="28" t="s">
        <v>800</v>
      </c>
      <c r="H99" s="28"/>
      <c r="I99" s="29" t="s">
        <v>867</v>
      </c>
      <c r="J99" s="31" t="str">
        <f t="shared" si="3"/>
        <v/>
      </c>
    </row>
    <row r="100" spans="1:10" ht="14.25" customHeight="1" x14ac:dyDescent="0.35">
      <c r="A100" s="28" t="s">
        <v>868</v>
      </c>
      <c r="B100" s="29" t="s">
        <v>869</v>
      </c>
      <c r="C100" s="28" t="s">
        <v>53</v>
      </c>
      <c r="D100" s="30">
        <v>7427.6</v>
      </c>
      <c r="E100" s="28" t="s">
        <v>798</v>
      </c>
      <c r="F100" s="28" t="s">
        <v>799</v>
      </c>
      <c r="G100" s="28" t="s">
        <v>742</v>
      </c>
      <c r="H100" s="28"/>
      <c r="I100" s="29"/>
      <c r="J100" s="31" t="str">
        <f t="shared" si="3"/>
        <v/>
      </c>
    </row>
    <row r="101" spans="1:10" ht="14.25" customHeight="1" x14ac:dyDescent="0.35">
      <c r="A101" s="28" t="s">
        <v>870</v>
      </c>
      <c r="B101" s="29" t="s">
        <v>871</v>
      </c>
      <c r="C101" s="28" t="s">
        <v>53</v>
      </c>
      <c r="D101" s="30">
        <v>12575.2066115703</v>
      </c>
      <c r="E101" s="28" t="s">
        <v>839</v>
      </c>
      <c r="F101" s="28" t="s">
        <v>805</v>
      </c>
      <c r="G101" s="28" t="s">
        <v>742</v>
      </c>
      <c r="H101" s="28"/>
      <c r="I101" s="29"/>
      <c r="J101" s="31" t="str">
        <f t="shared" si="3"/>
        <v/>
      </c>
    </row>
    <row r="102" spans="1:10" ht="14.25" customHeight="1" x14ac:dyDescent="0.35">
      <c r="A102" s="28" t="s">
        <v>872</v>
      </c>
      <c r="B102" s="29" t="s">
        <v>873</v>
      </c>
      <c r="C102" s="28" t="s">
        <v>874</v>
      </c>
      <c r="D102" s="30">
        <v>2130.1681250000001</v>
      </c>
      <c r="E102" s="28" t="s">
        <v>590</v>
      </c>
      <c r="F102" s="28" t="s">
        <v>591</v>
      </c>
      <c r="G102" s="28" t="s">
        <v>592</v>
      </c>
      <c r="H102" s="28" t="s">
        <v>875</v>
      </c>
      <c r="I102" s="29"/>
      <c r="J102" s="31" t="str">
        <f t="shared" si="3"/>
        <v/>
      </c>
    </row>
    <row r="103" spans="1:10" ht="14.25" customHeight="1" x14ac:dyDescent="0.35">
      <c r="A103" s="28" t="s">
        <v>876</v>
      </c>
      <c r="B103" s="29" t="s">
        <v>877</v>
      </c>
      <c r="C103" s="28" t="s">
        <v>878</v>
      </c>
      <c r="D103" s="30">
        <v>26322.68</v>
      </c>
      <c r="E103" s="28" t="s">
        <v>879</v>
      </c>
      <c r="F103" s="28" t="s">
        <v>880</v>
      </c>
      <c r="G103" s="28" t="s">
        <v>592</v>
      </c>
      <c r="H103" s="28" t="s">
        <v>881</v>
      </c>
      <c r="I103" s="29"/>
      <c r="J103" s="31" t="str">
        <f t="shared" si="3"/>
        <v/>
      </c>
    </row>
    <row r="104" spans="1:10" ht="14.25" customHeight="1" x14ac:dyDescent="0.35">
      <c r="A104" s="28" t="s">
        <v>882</v>
      </c>
      <c r="B104" s="29" t="s">
        <v>883</v>
      </c>
      <c r="C104" s="28" t="s">
        <v>884</v>
      </c>
      <c r="D104" s="30">
        <v>51752.74</v>
      </c>
      <c r="E104" s="28" t="s">
        <v>879</v>
      </c>
      <c r="F104" s="28" t="s">
        <v>885</v>
      </c>
      <c r="G104" s="28" t="s">
        <v>592</v>
      </c>
      <c r="H104" s="28" t="s">
        <v>886</v>
      </c>
      <c r="I104" s="29"/>
      <c r="J104" s="31" t="str">
        <f t="shared" si="3"/>
        <v/>
      </c>
    </row>
    <row r="105" spans="1:10" ht="14.25" customHeight="1" x14ac:dyDescent="0.35">
      <c r="A105" s="28" t="s">
        <v>887</v>
      </c>
      <c r="B105" s="29" t="s">
        <v>888</v>
      </c>
      <c r="C105" s="28" t="s">
        <v>28</v>
      </c>
      <c r="D105" s="30">
        <v>1213.73</v>
      </c>
      <c r="E105" s="28" t="s">
        <v>879</v>
      </c>
      <c r="F105" s="28" t="s">
        <v>880</v>
      </c>
      <c r="G105" s="28" t="s">
        <v>592</v>
      </c>
      <c r="H105" s="28" t="s">
        <v>889</v>
      </c>
      <c r="I105" s="29"/>
      <c r="J105" s="31" t="str">
        <f t="shared" si="3"/>
        <v/>
      </c>
    </row>
    <row r="106" spans="1:10" ht="14.25" customHeight="1" x14ac:dyDescent="0.35">
      <c r="A106" s="28" t="s">
        <v>890</v>
      </c>
      <c r="B106" s="29" t="s">
        <v>891</v>
      </c>
      <c r="C106" s="28" t="s">
        <v>151</v>
      </c>
      <c r="D106" s="30">
        <v>4442.2518</v>
      </c>
      <c r="E106" s="28" t="s">
        <v>879</v>
      </c>
      <c r="F106" s="28" t="s">
        <v>880</v>
      </c>
      <c r="G106" s="28" t="s">
        <v>592</v>
      </c>
      <c r="H106" s="28" t="s">
        <v>892</v>
      </c>
      <c r="I106" s="29"/>
      <c r="J106" s="31" t="str">
        <f t="shared" si="3"/>
        <v/>
      </c>
    </row>
    <row r="107" spans="1:10" ht="14.25" customHeight="1" x14ac:dyDescent="0.35">
      <c r="A107" s="28" t="s">
        <v>893</v>
      </c>
      <c r="B107" s="29" t="s">
        <v>894</v>
      </c>
      <c r="C107" s="28" t="s">
        <v>895</v>
      </c>
      <c r="D107" s="30">
        <v>1269.26</v>
      </c>
      <c r="E107" s="28" t="s">
        <v>590</v>
      </c>
      <c r="F107" s="28" t="s">
        <v>591</v>
      </c>
      <c r="G107" s="28" t="s">
        <v>592</v>
      </c>
      <c r="H107" s="28" t="s">
        <v>896</v>
      </c>
      <c r="I107" s="29"/>
      <c r="J107" s="31" t="str">
        <f t="shared" si="3"/>
        <v/>
      </c>
    </row>
    <row r="108" spans="1:10" ht="14.25" customHeight="1" x14ac:dyDescent="0.35">
      <c r="A108" s="28" t="s">
        <v>897</v>
      </c>
      <c r="B108" s="29" t="s">
        <v>898</v>
      </c>
      <c r="C108" s="28" t="s">
        <v>43</v>
      </c>
      <c r="D108" s="30">
        <v>137000</v>
      </c>
      <c r="E108" s="28" t="s">
        <v>899</v>
      </c>
      <c r="F108" s="28" t="s">
        <v>900</v>
      </c>
      <c r="G108" s="28" t="s">
        <v>901</v>
      </c>
      <c r="H108" s="28" t="s">
        <v>902</v>
      </c>
      <c r="I108" s="29"/>
      <c r="J108" s="31" t="str">
        <f t="shared" si="3"/>
        <v/>
      </c>
    </row>
    <row r="109" spans="1:10" ht="14.25" customHeight="1" x14ac:dyDescent="0.35">
      <c r="A109" s="28" t="s">
        <v>903</v>
      </c>
      <c r="B109" s="29" t="s">
        <v>904</v>
      </c>
      <c r="C109" s="28" t="s">
        <v>24</v>
      </c>
      <c r="D109" s="30">
        <v>500000</v>
      </c>
      <c r="E109" s="28" t="s">
        <v>899</v>
      </c>
      <c r="F109" s="28" t="s">
        <v>900</v>
      </c>
      <c r="G109" s="28" t="s">
        <v>905</v>
      </c>
      <c r="H109" s="28"/>
      <c r="I109" s="29"/>
      <c r="J109" s="31" t="str">
        <f t="shared" si="3"/>
        <v/>
      </c>
    </row>
    <row r="110" spans="1:10" ht="14.25" customHeight="1" x14ac:dyDescent="0.35">
      <c r="A110" s="28" t="s">
        <v>906</v>
      </c>
      <c r="B110" s="29" t="s">
        <v>907</v>
      </c>
      <c r="C110" s="28" t="s">
        <v>43</v>
      </c>
      <c r="D110" s="30">
        <v>5330</v>
      </c>
      <c r="E110" s="28" t="s">
        <v>899</v>
      </c>
      <c r="F110" s="28" t="s">
        <v>900</v>
      </c>
      <c r="G110" s="28" t="s">
        <v>905</v>
      </c>
      <c r="H110" s="28"/>
      <c r="I110" s="29"/>
      <c r="J110" s="31" t="str">
        <f t="shared" si="3"/>
        <v/>
      </c>
    </row>
    <row r="111" spans="1:10" ht="14.25" customHeight="1" x14ac:dyDescent="0.35">
      <c r="A111" s="28" t="s">
        <v>908</v>
      </c>
      <c r="B111" s="29" t="s">
        <v>909</v>
      </c>
      <c r="C111" s="28" t="s">
        <v>43</v>
      </c>
      <c r="D111" s="30">
        <v>11841.208665253</v>
      </c>
      <c r="E111" s="28" t="s">
        <v>910</v>
      </c>
      <c r="F111" s="28" t="s">
        <v>911</v>
      </c>
      <c r="G111" s="28" t="s">
        <v>592</v>
      </c>
      <c r="H111" s="28" t="s">
        <v>912</v>
      </c>
      <c r="I111" s="29"/>
      <c r="J111" s="31" t="str">
        <f t="shared" si="3"/>
        <v/>
      </c>
    </row>
    <row r="112" spans="1:10" ht="14.25" customHeight="1" x14ac:dyDescent="0.35">
      <c r="A112" s="28" t="s">
        <v>913</v>
      </c>
      <c r="B112" s="29" t="s">
        <v>914</v>
      </c>
      <c r="C112" s="28" t="s">
        <v>43</v>
      </c>
      <c r="D112" s="30">
        <v>9811.2871797810803</v>
      </c>
      <c r="E112" s="28" t="s">
        <v>915</v>
      </c>
      <c r="F112" s="28" t="s">
        <v>911</v>
      </c>
      <c r="G112" s="28" t="s">
        <v>592</v>
      </c>
      <c r="H112" s="28"/>
      <c r="I112" s="29"/>
      <c r="J112" s="31" t="str">
        <f t="shared" si="3"/>
        <v/>
      </c>
    </row>
    <row r="113" spans="1:10" ht="14.25" customHeight="1" x14ac:dyDescent="0.35">
      <c r="A113" s="28" t="s">
        <v>916</v>
      </c>
      <c r="B113" s="29" t="s">
        <v>917</v>
      </c>
      <c r="C113" s="28" t="s">
        <v>728</v>
      </c>
      <c r="D113" s="30">
        <v>89473.1233265872</v>
      </c>
      <c r="E113" s="28" t="s">
        <v>690</v>
      </c>
      <c r="F113" s="28" t="s">
        <v>911</v>
      </c>
      <c r="G113" s="28" t="s">
        <v>669</v>
      </c>
      <c r="H113" s="28"/>
      <c r="I113" s="29"/>
      <c r="J113" s="31" t="str">
        <f t="shared" si="3"/>
        <v/>
      </c>
    </row>
    <row r="114" spans="1:10" ht="14.25" customHeight="1" x14ac:dyDescent="0.35">
      <c r="A114" s="28" t="s">
        <v>918</v>
      </c>
      <c r="B114" s="29" t="s">
        <v>919</v>
      </c>
      <c r="C114" s="28" t="s">
        <v>28</v>
      </c>
      <c r="D114" s="30">
        <v>666.92666666666696</v>
      </c>
      <c r="E114" s="28" t="s">
        <v>920</v>
      </c>
      <c r="F114" s="28" t="s">
        <v>921</v>
      </c>
      <c r="G114" s="28" t="s">
        <v>821</v>
      </c>
      <c r="H114" s="28"/>
      <c r="I114" s="29"/>
      <c r="J114" s="31" t="str">
        <f t="shared" si="3"/>
        <v/>
      </c>
    </row>
    <row r="115" spans="1:10" ht="14.25" customHeight="1" x14ac:dyDescent="0.35">
      <c r="A115" s="28" t="s">
        <v>922</v>
      </c>
      <c r="B115" s="29" t="s">
        <v>923</v>
      </c>
      <c r="C115" s="28" t="s">
        <v>28</v>
      </c>
      <c r="D115" s="30">
        <v>635.55999999999995</v>
      </c>
      <c r="E115" s="28" t="s">
        <v>920</v>
      </c>
      <c r="F115" s="28" t="s">
        <v>921</v>
      </c>
      <c r="G115" s="28" t="s">
        <v>821</v>
      </c>
      <c r="H115" s="28"/>
      <c r="I115" s="29"/>
      <c r="J115" s="31" t="str">
        <f t="shared" si="3"/>
        <v/>
      </c>
    </row>
    <row r="116" spans="1:10" ht="14.25" customHeight="1" x14ac:dyDescent="0.35">
      <c r="A116" s="28" t="s">
        <v>924</v>
      </c>
      <c r="B116" s="29" t="s">
        <v>925</v>
      </c>
      <c r="C116" s="28" t="s">
        <v>28</v>
      </c>
      <c r="D116" s="30">
        <v>472.18</v>
      </c>
      <c r="E116" s="28" t="s">
        <v>920</v>
      </c>
      <c r="F116" s="28" t="s">
        <v>921</v>
      </c>
      <c r="G116" s="28" t="s">
        <v>821</v>
      </c>
      <c r="H116" s="28"/>
      <c r="I116" s="29"/>
      <c r="J116" s="31" t="str">
        <f t="shared" si="3"/>
        <v/>
      </c>
    </row>
    <row r="117" spans="1:10" ht="14.25" customHeight="1" x14ac:dyDescent="0.35">
      <c r="A117" s="28" t="s">
        <v>926</v>
      </c>
      <c r="B117" s="29" t="s">
        <v>927</v>
      </c>
      <c r="C117" s="28" t="s">
        <v>53</v>
      </c>
      <c r="D117" s="30">
        <v>225.83199999999999</v>
      </c>
      <c r="E117" s="28" t="s">
        <v>920</v>
      </c>
      <c r="F117" s="28" t="s">
        <v>921</v>
      </c>
      <c r="G117" s="28" t="s">
        <v>592</v>
      </c>
      <c r="H117" s="28"/>
      <c r="I117" s="29"/>
      <c r="J117" s="31" t="str">
        <f t="shared" si="3"/>
        <v/>
      </c>
    </row>
    <row r="118" spans="1:10" ht="14.25" customHeight="1" x14ac:dyDescent="0.35">
      <c r="A118" s="28" t="s">
        <v>928</v>
      </c>
      <c r="B118" s="29" t="s">
        <v>929</v>
      </c>
      <c r="C118" s="28" t="s">
        <v>53</v>
      </c>
      <c r="D118" s="30">
        <v>282.29000000000002</v>
      </c>
      <c r="E118" s="28" t="s">
        <v>920</v>
      </c>
      <c r="F118" s="28" t="s">
        <v>921</v>
      </c>
      <c r="G118" s="28" t="s">
        <v>592</v>
      </c>
      <c r="H118" s="28"/>
      <c r="I118" s="29"/>
      <c r="J118" s="31" t="str">
        <f t="shared" si="3"/>
        <v/>
      </c>
    </row>
    <row r="119" spans="1:10" ht="14.25" customHeight="1" x14ac:dyDescent="0.35">
      <c r="A119" s="28" t="s">
        <v>930</v>
      </c>
      <c r="B119" s="29" t="s">
        <v>931</v>
      </c>
      <c r="C119" s="28" t="s">
        <v>53</v>
      </c>
      <c r="D119" s="30">
        <v>351.14</v>
      </c>
      <c r="E119" s="28" t="s">
        <v>920</v>
      </c>
      <c r="F119" s="28" t="s">
        <v>921</v>
      </c>
      <c r="G119" s="28" t="s">
        <v>592</v>
      </c>
      <c r="H119" s="28"/>
      <c r="I119" s="29"/>
      <c r="J119" s="31" t="str">
        <f t="shared" si="3"/>
        <v/>
      </c>
    </row>
    <row r="120" spans="1:10" ht="14.25" customHeight="1" x14ac:dyDescent="0.35">
      <c r="A120" s="28" t="s">
        <v>932</v>
      </c>
      <c r="B120" s="29" t="s">
        <v>933</v>
      </c>
      <c r="C120" s="28" t="s">
        <v>53</v>
      </c>
      <c r="D120" s="30">
        <v>110.922</v>
      </c>
      <c r="E120" s="28" t="s">
        <v>920</v>
      </c>
      <c r="F120" s="28" t="s">
        <v>921</v>
      </c>
      <c r="G120" s="28" t="s">
        <v>821</v>
      </c>
      <c r="H120" s="28"/>
      <c r="I120" s="29" t="s">
        <v>934</v>
      </c>
      <c r="J120" s="31" t="str">
        <f t="shared" si="3"/>
        <v/>
      </c>
    </row>
    <row r="121" spans="1:10" ht="14.25" customHeight="1" x14ac:dyDescent="0.35">
      <c r="A121" s="28" t="s">
        <v>935</v>
      </c>
      <c r="B121" s="29" t="s">
        <v>936</v>
      </c>
      <c r="C121" s="28" t="s">
        <v>53</v>
      </c>
      <c r="D121" s="30">
        <v>184.87</v>
      </c>
      <c r="E121" s="28" t="s">
        <v>920</v>
      </c>
      <c r="F121" s="28" t="s">
        <v>921</v>
      </c>
      <c r="G121" s="28" t="s">
        <v>821</v>
      </c>
      <c r="H121" s="28"/>
      <c r="I121" s="29" t="s">
        <v>934</v>
      </c>
      <c r="J121" s="31" t="str">
        <f t="shared" si="3"/>
        <v/>
      </c>
    </row>
    <row r="122" spans="1:10" ht="14.25" customHeight="1" x14ac:dyDescent="0.35">
      <c r="A122" s="28" t="s">
        <v>937</v>
      </c>
      <c r="B122" s="29" t="s">
        <v>938</v>
      </c>
      <c r="C122" s="28" t="s">
        <v>53</v>
      </c>
      <c r="D122" s="30">
        <v>280.10000000000002</v>
      </c>
      <c r="E122" s="28" t="s">
        <v>920</v>
      </c>
      <c r="F122" s="28" t="s">
        <v>921</v>
      </c>
      <c r="G122" s="28" t="s">
        <v>821</v>
      </c>
      <c r="H122" s="28"/>
      <c r="I122" s="29" t="s">
        <v>934</v>
      </c>
      <c r="J122" s="31" t="str">
        <f t="shared" si="3"/>
        <v/>
      </c>
    </row>
    <row r="123" spans="1:10" ht="14.25" customHeight="1" x14ac:dyDescent="0.35">
      <c r="A123" s="28" t="s">
        <v>939</v>
      </c>
      <c r="B123" s="29" t="s">
        <v>940</v>
      </c>
      <c r="C123" s="28" t="s">
        <v>28</v>
      </c>
      <c r="D123" s="30">
        <v>316.44450000000001</v>
      </c>
      <c r="E123" s="28" t="s">
        <v>920</v>
      </c>
      <c r="F123" s="28" t="s">
        <v>921</v>
      </c>
      <c r="G123" s="28" t="s">
        <v>821</v>
      </c>
      <c r="H123" s="28"/>
      <c r="I123" s="29"/>
      <c r="J123" s="31" t="str">
        <f t="shared" si="3"/>
        <v/>
      </c>
    </row>
    <row r="124" spans="1:10" ht="14.25" customHeight="1" x14ac:dyDescent="0.35">
      <c r="A124" s="28" t="s">
        <v>941</v>
      </c>
      <c r="B124" s="29" t="s">
        <v>942</v>
      </c>
      <c r="C124" s="28" t="s">
        <v>28</v>
      </c>
      <c r="D124" s="30">
        <v>509.31490000000002</v>
      </c>
      <c r="E124" s="28" t="s">
        <v>920</v>
      </c>
      <c r="F124" s="28" t="s">
        <v>921</v>
      </c>
      <c r="G124" s="28" t="s">
        <v>821</v>
      </c>
      <c r="H124" s="28"/>
      <c r="I124" s="29"/>
      <c r="J124" s="31" t="str">
        <f t="shared" si="3"/>
        <v/>
      </c>
    </row>
    <row r="125" spans="1:10" ht="14.25" customHeight="1" x14ac:dyDescent="0.35">
      <c r="A125" s="28" t="s">
        <v>943</v>
      </c>
      <c r="B125" s="29" t="s">
        <v>944</v>
      </c>
      <c r="C125" s="28" t="s">
        <v>28</v>
      </c>
      <c r="D125" s="30">
        <v>509.31490000000002</v>
      </c>
      <c r="E125" s="28" t="s">
        <v>920</v>
      </c>
      <c r="F125" s="28" t="s">
        <v>921</v>
      </c>
      <c r="G125" s="28" t="s">
        <v>821</v>
      </c>
      <c r="H125" s="28"/>
      <c r="I125" s="29"/>
      <c r="J125" s="31" t="str">
        <f t="shared" si="3"/>
        <v/>
      </c>
    </row>
    <row r="126" spans="1:10" ht="14.25" customHeight="1" x14ac:dyDescent="0.35">
      <c r="A126" s="28" t="s">
        <v>945</v>
      </c>
      <c r="B126" s="29" t="s">
        <v>946</v>
      </c>
      <c r="C126" s="28" t="s">
        <v>28</v>
      </c>
      <c r="D126" s="30">
        <v>834.6</v>
      </c>
      <c r="E126" s="28" t="s">
        <v>920</v>
      </c>
      <c r="F126" s="28" t="s">
        <v>921</v>
      </c>
      <c r="G126" s="28" t="s">
        <v>821</v>
      </c>
      <c r="H126" s="28"/>
      <c r="I126" s="29"/>
      <c r="J126" s="31" t="str">
        <f t="shared" si="3"/>
        <v/>
      </c>
    </row>
    <row r="127" spans="1:10" ht="14.25" customHeight="1" x14ac:dyDescent="0.35">
      <c r="A127" s="28" t="s">
        <v>947</v>
      </c>
      <c r="B127" s="29" t="s">
        <v>948</v>
      </c>
      <c r="C127" s="28" t="s">
        <v>53</v>
      </c>
      <c r="D127" s="30">
        <v>202.42</v>
      </c>
      <c r="E127" s="28" t="s">
        <v>920</v>
      </c>
      <c r="F127" s="28" t="s">
        <v>921</v>
      </c>
      <c r="G127" s="28" t="s">
        <v>821</v>
      </c>
      <c r="H127" s="28"/>
      <c r="I127" s="29"/>
      <c r="J127" s="31" t="str">
        <f t="shared" si="3"/>
        <v/>
      </c>
    </row>
    <row r="128" spans="1:10" ht="14.25" customHeight="1" x14ac:dyDescent="0.35">
      <c r="A128" s="28" t="s">
        <v>949</v>
      </c>
      <c r="B128" s="29" t="s">
        <v>950</v>
      </c>
      <c r="C128" s="28" t="s">
        <v>53</v>
      </c>
      <c r="D128" s="30">
        <v>2148.7603305785101</v>
      </c>
      <c r="E128" s="28" t="s">
        <v>690</v>
      </c>
      <c r="F128" s="28" t="s">
        <v>805</v>
      </c>
      <c r="G128" s="28" t="s">
        <v>821</v>
      </c>
      <c r="H128" s="28"/>
      <c r="I128" s="29"/>
      <c r="J128" s="31" t="str">
        <f t="shared" si="3"/>
        <v/>
      </c>
    </row>
    <row r="129" spans="1:10" ht="14.25" customHeight="1" x14ac:dyDescent="0.35">
      <c r="A129" s="28" t="s">
        <v>951</v>
      </c>
      <c r="B129" s="29" t="s">
        <v>952</v>
      </c>
      <c r="C129" s="28" t="s">
        <v>53</v>
      </c>
      <c r="D129" s="30">
        <v>202.42</v>
      </c>
      <c r="E129" s="28" t="s">
        <v>920</v>
      </c>
      <c r="F129" s="28" t="s">
        <v>921</v>
      </c>
      <c r="G129" s="28" t="s">
        <v>821</v>
      </c>
      <c r="H129" s="28"/>
      <c r="I129" s="29"/>
      <c r="J129" s="31" t="str">
        <f t="shared" si="3"/>
        <v/>
      </c>
    </row>
    <row r="130" spans="1:10" ht="14.25" customHeight="1" x14ac:dyDescent="0.35">
      <c r="A130" s="28" t="s">
        <v>953</v>
      </c>
      <c r="B130" s="29" t="s">
        <v>954</v>
      </c>
      <c r="C130" s="28" t="s">
        <v>53</v>
      </c>
      <c r="D130" s="30">
        <v>23404.92</v>
      </c>
      <c r="E130" s="28" t="s">
        <v>920</v>
      </c>
      <c r="F130" s="28" t="s">
        <v>921</v>
      </c>
      <c r="G130" s="28" t="s">
        <v>821</v>
      </c>
      <c r="H130" s="28"/>
      <c r="I130" s="29" t="s">
        <v>955</v>
      </c>
      <c r="J130" s="31" t="str">
        <f t="shared" ref="J130:J153" si="4">IF(F130="","SIN FECHA","")</f>
        <v/>
      </c>
    </row>
    <row r="131" spans="1:10" ht="14.25" customHeight="1" x14ac:dyDescent="0.35">
      <c r="A131" s="28" t="s">
        <v>956</v>
      </c>
      <c r="B131" s="29" t="s">
        <v>957</v>
      </c>
      <c r="C131" s="28" t="s">
        <v>53</v>
      </c>
      <c r="D131" s="30">
        <v>15710.58</v>
      </c>
      <c r="E131" s="28" t="s">
        <v>920</v>
      </c>
      <c r="F131" s="28" t="s">
        <v>958</v>
      </c>
      <c r="G131" s="28" t="s">
        <v>821</v>
      </c>
      <c r="H131" s="28"/>
      <c r="I131" s="29"/>
      <c r="J131" s="31" t="str">
        <f t="shared" si="4"/>
        <v/>
      </c>
    </row>
    <row r="132" spans="1:10" ht="14.25" customHeight="1" x14ac:dyDescent="0.35">
      <c r="A132" s="28" t="s">
        <v>959</v>
      </c>
      <c r="B132" s="29" t="s">
        <v>960</v>
      </c>
      <c r="C132" s="28" t="s">
        <v>53</v>
      </c>
      <c r="D132" s="30">
        <v>13078.33</v>
      </c>
      <c r="E132" s="28" t="s">
        <v>920</v>
      </c>
      <c r="F132" s="28" t="s">
        <v>921</v>
      </c>
      <c r="G132" s="28" t="s">
        <v>821</v>
      </c>
      <c r="H132" s="28"/>
      <c r="I132" s="29"/>
      <c r="J132" s="31" t="str">
        <f t="shared" si="4"/>
        <v/>
      </c>
    </row>
    <row r="133" spans="1:10" ht="14.25" customHeight="1" x14ac:dyDescent="0.35">
      <c r="A133" s="28" t="s">
        <v>961</v>
      </c>
      <c r="B133" s="29" t="s">
        <v>962</v>
      </c>
      <c r="C133" s="28" t="s">
        <v>53</v>
      </c>
      <c r="D133" s="30">
        <v>1980.42</v>
      </c>
      <c r="E133" s="28" t="s">
        <v>920</v>
      </c>
      <c r="F133" s="28" t="s">
        <v>921</v>
      </c>
      <c r="G133" s="28" t="s">
        <v>821</v>
      </c>
      <c r="H133" s="28"/>
      <c r="I133" s="29"/>
      <c r="J133" s="31" t="str">
        <f t="shared" si="4"/>
        <v/>
      </c>
    </row>
    <row r="134" spans="1:10" ht="14.25" customHeight="1" x14ac:dyDescent="0.35">
      <c r="A134" s="28" t="s">
        <v>963</v>
      </c>
      <c r="B134" s="29" t="s">
        <v>964</v>
      </c>
      <c r="C134" s="28" t="s">
        <v>53</v>
      </c>
      <c r="D134" s="30">
        <v>6314.13</v>
      </c>
      <c r="E134" s="28" t="s">
        <v>920</v>
      </c>
      <c r="F134" s="28" t="s">
        <v>958</v>
      </c>
      <c r="G134" s="28" t="s">
        <v>821</v>
      </c>
      <c r="H134" s="28"/>
      <c r="I134" s="29"/>
      <c r="J134" s="31" t="str">
        <f t="shared" si="4"/>
        <v/>
      </c>
    </row>
    <row r="135" spans="1:10" ht="14.25" customHeight="1" x14ac:dyDescent="0.35">
      <c r="A135" s="28" t="s">
        <v>965</v>
      </c>
      <c r="B135" s="29" t="s">
        <v>966</v>
      </c>
      <c r="C135" s="28" t="s">
        <v>53</v>
      </c>
      <c r="D135" s="30">
        <v>6314.13</v>
      </c>
      <c r="E135" s="28" t="s">
        <v>920</v>
      </c>
      <c r="F135" s="28" t="s">
        <v>591</v>
      </c>
      <c r="G135" s="28" t="s">
        <v>821</v>
      </c>
      <c r="H135" s="28"/>
      <c r="I135" s="29"/>
      <c r="J135" s="31" t="str">
        <f t="shared" si="4"/>
        <v/>
      </c>
    </row>
    <row r="136" spans="1:10" ht="14.25" customHeight="1" x14ac:dyDescent="0.35">
      <c r="A136" s="28" t="s">
        <v>967</v>
      </c>
      <c r="B136" s="29" t="s">
        <v>968</v>
      </c>
      <c r="C136" s="28" t="s">
        <v>53</v>
      </c>
      <c r="D136" s="30">
        <v>1844.8</v>
      </c>
      <c r="E136" s="28" t="s">
        <v>920</v>
      </c>
      <c r="F136" s="28" t="s">
        <v>958</v>
      </c>
      <c r="G136" s="28" t="s">
        <v>821</v>
      </c>
      <c r="H136" s="28"/>
      <c r="I136" s="29"/>
      <c r="J136" s="31" t="str">
        <f t="shared" si="4"/>
        <v/>
      </c>
    </row>
    <row r="137" spans="1:10" ht="14.25" customHeight="1" x14ac:dyDescent="0.35">
      <c r="A137" s="28" t="s">
        <v>969</v>
      </c>
      <c r="B137" s="29" t="s">
        <v>970</v>
      </c>
      <c r="C137" s="28" t="s">
        <v>53</v>
      </c>
      <c r="D137" s="30">
        <v>771.12</v>
      </c>
      <c r="E137" s="28" t="s">
        <v>920</v>
      </c>
      <c r="F137" s="28" t="s">
        <v>921</v>
      </c>
      <c r="G137" s="28" t="s">
        <v>971</v>
      </c>
      <c r="H137" s="28"/>
      <c r="I137" s="29"/>
      <c r="J137" s="31" t="str">
        <f t="shared" si="4"/>
        <v/>
      </c>
    </row>
    <row r="138" spans="1:10" ht="14.25" customHeight="1" x14ac:dyDescent="0.35">
      <c r="A138" s="28" t="s">
        <v>972</v>
      </c>
      <c r="B138" s="29" t="s">
        <v>973</v>
      </c>
      <c r="C138" s="28" t="s">
        <v>53</v>
      </c>
      <c r="D138" s="30">
        <v>1747.6</v>
      </c>
      <c r="E138" s="28" t="s">
        <v>920</v>
      </c>
      <c r="F138" s="28" t="s">
        <v>921</v>
      </c>
      <c r="G138" s="28" t="s">
        <v>971</v>
      </c>
      <c r="H138" s="28"/>
      <c r="I138" s="29"/>
      <c r="J138" s="31" t="str">
        <f t="shared" si="4"/>
        <v/>
      </c>
    </row>
    <row r="139" spans="1:10" ht="14.25" customHeight="1" x14ac:dyDescent="0.35">
      <c r="A139" s="28" t="s">
        <v>974</v>
      </c>
      <c r="B139" s="29" t="s">
        <v>975</v>
      </c>
      <c r="C139" s="28" t="s">
        <v>53</v>
      </c>
      <c r="D139" s="30">
        <v>90.02</v>
      </c>
      <c r="E139" s="28" t="s">
        <v>920</v>
      </c>
      <c r="F139" s="28" t="s">
        <v>921</v>
      </c>
      <c r="G139" s="28" t="s">
        <v>971</v>
      </c>
      <c r="H139" s="28"/>
      <c r="I139" s="29"/>
      <c r="J139" s="31" t="str">
        <f t="shared" si="4"/>
        <v/>
      </c>
    </row>
    <row r="140" spans="1:10" ht="14.25" customHeight="1" x14ac:dyDescent="0.35">
      <c r="A140" s="28" t="s">
        <v>976</v>
      </c>
      <c r="B140" s="29" t="s">
        <v>977</v>
      </c>
      <c r="C140" s="28" t="s">
        <v>53</v>
      </c>
      <c r="D140" s="30">
        <v>20237</v>
      </c>
      <c r="E140" s="28" t="s">
        <v>978</v>
      </c>
      <c r="F140" s="28" t="s">
        <v>676</v>
      </c>
      <c r="G140" s="28" t="s">
        <v>971</v>
      </c>
      <c r="H140" s="28"/>
      <c r="I140" s="29"/>
      <c r="J140" s="31" t="str">
        <f t="shared" si="4"/>
        <v/>
      </c>
    </row>
    <row r="141" spans="1:10" ht="14.25" customHeight="1" x14ac:dyDescent="0.35">
      <c r="A141" s="28" t="s">
        <v>979</v>
      </c>
      <c r="B141" s="29" t="s">
        <v>980</v>
      </c>
      <c r="C141" s="28" t="s">
        <v>668</v>
      </c>
      <c r="D141" s="30">
        <v>44669.4214876033</v>
      </c>
      <c r="E141" s="28" t="s">
        <v>690</v>
      </c>
      <c r="F141" s="28" t="s">
        <v>676</v>
      </c>
      <c r="G141" s="28" t="s">
        <v>669</v>
      </c>
      <c r="H141" s="28"/>
      <c r="I141" s="29" t="s">
        <v>981</v>
      </c>
      <c r="J141" s="31" t="str">
        <f t="shared" si="4"/>
        <v/>
      </c>
    </row>
    <row r="142" spans="1:10" ht="14.25" customHeight="1" x14ac:dyDescent="0.35">
      <c r="A142" s="28" t="s">
        <v>982</v>
      </c>
      <c r="B142" s="29" t="s">
        <v>983</v>
      </c>
      <c r="C142" s="28" t="s">
        <v>984</v>
      </c>
      <c r="D142" s="30">
        <v>4842</v>
      </c>
      <c r="E142" s="28" t="s">
        <v>978</v>
      </c>
      <c r="F142" s="28" t="s">
        <v>676</v>
      </c>
      <c r="G142" s="28" t="s">
        <v>971</v>
      </c>
      <c r="H142" s="28"/>
      <c r="I142" s="29"/>
      <c r="J142" s="31" t="str">
        <f t="shared" si="4"/>
        <v/>
      </c>
    </row>
    <row r="143" spans="1:10" ht="14.25" customHeight="1" x14ac:dyDescent="0.35">
      <c r="A143" s="28" t="s">
        <v>985</v>
      </c>
      <c r="B143" s="29" t="s">
        <v>986</v>
      </c>
      <c r="C143" s="28" t="s">
        <v>53</v>
      </c>
      <c r="D143" s="30">
        <v>12396.694214876001</v>
      </c>
      <c r="E143" s="28" t="s">
        <v>987</v>
      </c>
      <c r="F143" s="28" t="s">
        <v>676</v>
      </c>
      <c r="G143" s="28" t="s">
        <v>971</v>
      </c>
      <c r="H143" s="28"/>
      <c r="I143" s="29"/>
      <c r="J143" s="31" t="str">
        <f t="shared" si="4"/>
        <v/>
      </c>
    </row>
    <row r="144" spans="1:10" ht="25.5" customHeight="1" x14ac:dyDescent="0.35">
      <c r="A144" s="28" t="s">
        <v>988</v>
      </c>
      <c r="B144" s="29" t="s">
        <v>989</v>
      </c>
      <c r="C144" s="28" t="s">
        <v>24</v>
      </c>
      <c r="D144" s="30">
        <v>465850</v>
      </c>
      <c r="E144" s="28" t="s">
        <v>729</v>
      </c>
      <c r="F144" s="28" t="s">
        <v>676</v>
      </c>
      <c r="G144" s="28" t="s">
        <v>669</v>
      </c>
      <c r="H144" s="28"/>
      <c r="I144" s="29"/>
      <c r="J144" s="31" t="str">
        <f t="shared" si="4"/>
        <v/>
      </c>
    </row>
    <row r="145" spans="1:10" ht="25.5" customHeight="1" x14ac:dyDescent="0.35">
      <c r="A145" s="28" t="s">
        <v>990</v>
      </c>
      <c r="B145" s="29" t="s">
        <v>991</v>
      </c>
      <c r="C145" s="28" t="s">
        <v>24</v>
      </c>
      <c r="D145" s="30">
        <v>240100.76</v>
      </c>
      <c r="E145" s="28" t="s">
        <v>729</v>
      </c>
      <c r="F145" s="28" t="s">
        <v>676</v>
      </c>
      <c r="G145" s="28" t="s">
        <v>732</v>
      </c>
      <c r="H145" s="28"/>
      <c r="I145" s="29" t="s">
        <v>680</v>
      </c>
      <c r="J145" s="31" t="str">
        <f t="shared" si="4"/>
        <v/>
      </c>
    </row>
    <row r="146" spans="1:10" ht="14.25" customHeight="1" x14ac:dyDescent="0.35">
      <c r="A146" s="28" t="s">
        <v>992</v>
      </c>
      <c r="B146" s="29" t="s">
        <v>993</v>
      </c>
      <c r="C146" s="28" t="s">
        <v>53</v>
      </c>
      <c r="D146" s="30">
        <v>6718.44</v>
      </c>
      <c r="E146" s="28" t="s">
        <v>590</v>
      </c>
      <c r="F146" s="28" t="s">
        <v>676</v>
      </c>
      <c r="G146" s="28" t="s">
        <v>663</v>
      </c>
      <c r="H146" s="28"/>
      <c r="I146" s="29" t="s">
        <v>680</v>
      </c>
      <c r="J146" s="31" t="str">
        <f t="shared" si="4"/>
        <v/>
      </c>
    </row>
    <row r="147" spans="1:10" ht="14.25" customHeight="1" x14ac:dyDescent="0.35">
      <c r="A147" s="28" t="s">
        <v>994</v>
      </c>
      <c r="B147" s="29" t="s">
        <v>995</v>
      </c>
      <c r="C147" s="28" t="s">
        <v>28</v>
      </c>
      <c r="D147" s="30">
        <v>1968.04</v>
      </c>
      <c r="E147" s="28" t="s">
        <v>996</v>
      </c>
      <c r="F147" s="28" t="s">
        <v>676</v>
      </c>
      <c r="G147" s="28" t="s">
        <v>592</v>
      </c>
      <c r="H147" s="28" t="s">
        <v>997</v>
      </c>
      <c r="I147" s="29" t="s">
        <v>680</v>
      </c>
      <c r="J147" s="31" t="str">
        <f t="shared" si="4"/>
        <v/>
      </c>
    </row>
    <row r="148" spans="1:10" ht="14.25" customHeight="1" x14ac:dyDescent="0.35">
      <c r="A148" s="28" t="s">
        <v>998</v>
      </c>
      <c r="B148" s="29" t="s">
        <v>999</v>
      </c>
      <c r="C148" s="28" t="s">
        <v>28</v>
      </c>
      <c r="D148" s="30">
        <v>2755.25</v>
      </c>
      <c r="E148" s="28" t="s">
        <v>996</v>
      </c>
      <c r="F148" s="28" t="s">
        <v>676</v>
      </c>
      <c r="G148" s="28" t="s">
        <v>592</v>
      </c>
      <c r="H148" s="28" t="s">
        <v>1000</v>
      </c>
      <c r="I148" s="29" t="s">
        <v>680</v>
      </c>
      <c r="J148" s="31" t="str">
        <f t="shared" si="4"/>
        <v/>
      </c>
    </row>
    <row r="149" spans="1:10" ht="14.25" customHeight="1" x14ac:dyDescent="0.35">
      <c r="A149" s="28" t="s">
        <v>1001</v>
      </c>
      <c r="B149" s="29" t="s">
        <v>1002</v>
      </c>
      <c r="C149" s="28" t="s">
        <v>28</v>
      </c>
      <c r="D149" s="30">
        <v>3148.86</v>
      </c>
      <c r="E149" s="28" t="s">
        <v>996</v>
      </c>
      <c r="F149" s="28" t="s">
        <v>676</v>
      </c>
      <c r="G149" s="28" t="s">
        <v>592</v>
      </c>
      <c r="H149" s="28"/>
      <c r="I149" s="29" t="s">
        <v>680</v>
      </c>
      <c r="J149" s="31" t="str">
        <f t="shared" si="4"/>
        <v/>
      </c>
    </row>
    <row r="150" spans="1:10" ht="14.25" customHeight="1" x14ac:dyDescent="0.35">
      <c r="A150" s="28" t="s">
        <v>1003</v>
      </c>
      <c r="B150" s="29" t="s">
        <v>1004</v>
      </c>
      <c r="C150" s="28" t="s">
        <v>53</v>
      </c>
      <c r="D150" s="30">
        <v>1180.82</v>
      </c>
      <c r="E150" s="28" t="s">
        <v>996</v>
      </c>
      <c r="F150" s="28" t="s">
        <v>676</v>
      </c>
      <c r="G150" s="28" t="s">
        <v>592</v>
      </c>
      <c r="H150" s="28"/>
      <c r="I150" s="29" t="s">
        <v>680</v>
      </c>
      <c r="J150" s="31" t="str">
        <f t="shared" si="4"/>
        <v/>
      </c>
    </row>
    <row r="151" spans="1:10" ht="14.25" customHeight="1" x14ac:dyDescent="0.35">
      <c r="A151" s="28" t="s">
        <v>1005</v>
      </c>
      <c r="B151" s="29" t="s">
        <v>1006</v>
      </c>
      <c r="C151" s="28" t="s">
        <v>92</v>
      </c>
      <c r="D151" s="30">
        <v>19680.39</v>
      </c>
      <c r="E151" s="28" t="s">
        <v>996</v>
      </c>
      <c r="F151" s="28" t="s">
        <v>676</v>
      </c>
      <c r="G151" s="28" t="s">
        <v>592</v>
      </c>
      <c r="H151" s="28"/>
      <c r="I151" s="29" t="s">
        <v>680</v>
      </c>
      <c r="J151" s="31" t="str">
        <f t="shared" si="4"/>
        <v/>
      </c>
    </row>
    <row r="152" spans="1:10" ht="14.25" customHeight="1" x14ac:dyDescent="0.35">
      <c r="A152" s="28" t="s">
        <v>1007</v>
      </c>
      <c r="B152" s="29" t="s">
        <v>1008</v>
      </c>
      <c r="C152" s="28" t="s">
        <v>92</v>
      </c>
      <c r="D152" s="30">
        <v>27552.55</v>
      </c>
      <c r="E152" s="28" t="s">
        <v>996</v>
      </c>
      <c r="F152" s="28" t="s">
        <v>676</v>
      </c>
      <c r="G152" s="28" t="s">
        <v>592</v>
      </c>
      <c r="H152" s="28"/>
      <c r="I152" s="29" t="s">
        <v>680</v>
      </c>
      <c r="J152" s="31" t="str">
        <f t="shared" si="4"/>
        <v/>
      </c>
    </row>
    <row r="153" spans="1:10" ht="14.25" customHeight="1" x14ac:dyDescent="0.35">
      <c r="A153" s="28" t="s">
        <v>1009</v>
      </c>
      <c r="B153" s="29" t="s">
        <v>1010</v>
      </c>
      <c r="C153" s="28" t="s">
        <v>28</v>
      </c>
      <c r="D153" s="30">
        <v>3936.08</v>
      </c>
      <c r="E153" s="28" t="s">
        <v>996</v>
      </c>
      <c r="F153" s="28" t="s">
        <v>676</v>
      </c>
      <c r="G153" s="28" t="s">
        <v>592</v>
      </c>
      <c r="H153" s="28"/>
      <c r="I153" s="29" t="s">
        <v>680</v>
      </c>
      <c r="J153" s="31" t="str">
        <f t="shared" si="4"/>
        <v/>
      </c>
    </row>
    <row r="154" spans="1:10" ht="14.25" customHeight="1" x14ac:dyDescent="0.35">
      <c r="A154" s="28" t="s">
        <v>1011</v>
      </c>
      <c r="B154" s="29" t="s">
        <v>1012</v>
      </c>
      <c r="C154" s="28" t="s">
        <v>24</v>
      </c>
      <c r="D154" s="30">
        <v>1</v>
      </c>
      <c r="E154" s="28" t="s">
        <v>1013</v>
      </c>
      <c r="F154" s="28"/>
      <c r="G154" s="28" t="s">
        <v>1014</v>
      </c>
      <c r="H154" s="28" t="s">
        <v>1015</v>
      </c>
      <c r="I154" s="29"/>
      <c r="J154" s="31"/>
    </row>
    <row r="155" spans="1:10" ht="14.25" customHeight="1" x14ac:dyDescent="0.35">
      <c r="A155" s="28" t="s">
        <v>1016</v>
      </c>
      <c r="B155" s="29" t="s">
        <v>1017</v>
      </c>
      <c r="C155" s="28" t="s">
        <v>92</v>
      </c>
      <c r="D155" s="30">
        <v>10167.5702479339</v>
      </c>
      <c r="E155" s="28" t="s">
        <v>1018</v>
      </c>
      <c r="F155" s="28"/>
      <c r="G155" s="28" t="s">
        <v>1019</v>
      </c>
      <c r="H155" s="28" t="s">
        <v>1015</v>
      </c>
      <c r="I155" s="29"/>
      <c r="J155" s="31"/>
    </row>
    <row r="156" spans="1:10" ht="14.25" customHeight="1" x14ac:dyDescent="0.35">
      <c r="A156" s="28" t="s">
        <v>1020</v>
      </c>
      <c r="B156" s="29" t="s">
        <v>1021</v>
      </c>
      <c r="C156" s="28" t="s">
        <v>151</v>
      </c>
      <c r="D156" s="30">
        <v>235448.016528926</v>
      </c>
      <c r="E156" s="28" t="s">
        <v>1018</v>
      </c>
      <c r="F156" s="28"/>
      <c r="G156" s="28" t="s">
        <v>1019</v>
      </c>
      <c r="H156" s="28" t="s">
        <v>1015</v>
      </c>
      <c r="I156" s="29"/>
      <c r="J156" s="31"/>
    </row>
    <row r="157" spans="1:10" ht="14.25" customHeight="1" x14ac:dyDescent="0.35">
      <c r="A157" s="28" t="s">
        <v>1022</v>
      </c>
      <c r="B157" s="29" t="s">
        <v>1023</v>
      </c>
      <c r="C157" s="28" t="s">
        <v>53</v>
      </c>
      <c r="D157" s="30">
        <v>22267.107438016501</v>
      </c>
      <c r="E157" s="28" t="s">
        <v>1018</v>
      </c>
      <c r="F157" s="28"/>
      <c r="G157" s="28" t="s">
        <v>1019</v>
      </c>
      <c r="H157" s="28" t="s">
        <v>1015</v>
      </c>
      <c r="I157" s="29"/>
      <c r="J157" s="31"/>
    </row>
    <row r="158" spans="1:10" ht="14.25" customHeight="1" x14ac:dyDescent="0.35">
      <c r="A158" s="28" t="s">
        <v>1024</v>
      </c>
      <c r="B158" s="29" t="s">
        <v>1025</v>
      </c>
      <c r="C158" s="28" t="s">
        <v>53</v>
      </c>
      <c r="D158" s="30">
        <v>81509.950413223094</v>
      </c>
      <c r="E158" s="28" t="s">
        <v>1018</v>
      </c>
      <c r="F158" s="28"/>
      <c r="G158" s="28" t="s">
        <v>1019</v>
      </c>
      <c r="H158" s="28" t="s">
        <v>1015</v>
      </c>
      <c r="I158" s="29"/>
      <c r="J158" s="31"/>
    </row>
    <row r="159" spans="1:10" ht="14.25" customHeight="1" x14ac:dyDescent="0.35">
      <c r="A159" s="28" t="s">
        <v>1026</v>
      </c>
      <c r="B159" s="29" t="s">
        <v>1027</v>
      </c>
      <c r="C159" s="28" t="s">
        <v>53</v>
      </c>
      <c r="D159" s="30">
        <v>12131.5619834711</v>
      </c>
      <c r="E159" s="28" t="s">
        <v>1018</v>
      </c>
      <c r="F159" s="28"/>
      <c r="G159" s="28" t="s">
        <v>1019</v>
      </c>
      <c r="H159" s="28" t="s">
        <v>1015</v>
      </c>
      <c r="I159" s="29"/>
      <c r="J159" s="31"/>
    </row>
    <row r="160" spans="1:10" ht="14.25" customHeight="1" x14ac:dyDescent="0.35">
      <c r="A160" s="28" t="s">
        <v>1028</v>
      </c>
      <c r="B160" s="29" t="s">
        <v>1029</v>
      </c>
      <c r="C160" s="28" t="s">
        <v>53</v>
      </c>
      <c r="D160" s="30">
        <v>120</v>
      </c>
      <c r="E160" s="28" t="s">
        <v>1018</v>
      </c>
      <c r="F160" s="28"/>
      <c r="G160" s="28" t="s">
        <v>971</v>
      </c>
      <c r="H160" s="28" t="s">
        <v>1015</v>
      </c>
      <c r="I160" s="29"/>
      <c r="J160" s="31"/>
    </row>
    <row r="161" spans="1:10" ht="14.25" customHeight="1" x14ac:dyDescent="0.35">
      <c r="A161" s="28" t="s">
        <v>1030</v>
      </c>
      <c r="B161" s="29" t="s">
        <v>1031</v>
      </c>
      <c r="C161" s="28" t="s">
        <v>721</v>
      </c>
      <c r="D161" s="30">
        <v>41322.314049586799</v>
      </c>
      <c r="E161" s="28" t="s">
        <v>1018</v>
      </c>
      <c r="F161" s="28"/>
      <c r="G161" s="28" t="s">
        <v>1019</v>
      </c>
      <c r="H161" s="28" t="s">
        <v>1015</v>
      </c>
      <c r="I161" s="29"/>
      <c r="J161" s="31"/>
    </row>
    <row r="162" spans="1:10" ht="14.25" customHeight="1" x14ac:dyDescent="0.35">
      <c r="A162" s="28" t="s">
        <v>1032</v>
      </c>
      <c r="B162" s="29" t="s">
        <v>1033</v>
      </c>
      <c r="C162" s="28" t="s">
        <v>92</v>
      </c>
      <c r="D162" s="30">
        <v>3389.1900826446299</v>
      </c>
      <c r="E162" s="28" t="s">
        <v>1034</v>
      </c>
      <c r="F162" s="28"/>
      <c r="G162" s="28" t="s">
        <v>732</v>
      </c>
      <c r="H162" s="28" t="s">
        <v>1015</v>
      </c>
      <c r="I162" s="29"/>
      <c r="J162" s="31"/>
    </row>
    <row r="163" spans="1:10" ht="14.25" customHeight="1" x14ac:dyDescent="0.35">
      <c r="A163" s="28" t="s">
        <v>1035</v>
      </c>
      <c r="B163" s="29" t="s">
        <v>1036</v>
      </c>
      <c r="C163" s="28" t="s">
        <v>53</v>
      </c>
      <c r="D163" s="30">
        <v>8774.2266666666692</v>
      </c>
      <c r="E163" s="28" t="s">
        <v>1034</v>
      </c>
      <c r="F163" s="28"/>
      <c r="G163" s="28" t="s">
        <v>732</v>
      </c>
      <c r="H163" s="28" t="s">
        <v>1015</v>
      </c>
      <c r="I163" s="29"/>
      <c r="J163" s="31"/>
    </row>
    <row r="164" spans="1:10" ht="14.25" customHeight="1" x14ac:dyDescent="0.35">
      <c r="A164" s="28" t="s">
        <v>1037</v>
      </c>
      <c r="B164" s="29" t="s">
        <v>1038</v>
      </c>
      <c r="C164" s="28" t="s">
        <v>53</v>
      </c>
      <c r="D164" s="30">
        <v>647.31600000000003</v>
      </c>
      <c r="E164" s="28" t="s">
        <v>1034</v>
      </c>
      <c r="F164" s="28"/>
      <c r="G164" s="28" t="s">
        <v>732</v>
      </c>
      <c r="H164" s="28" t="s">
        <v>1015</v>
      </c>
      <c r="I164" s="29"/>
      <c r="J164" s="31"/>
    </row>
    <row r="165" spans="1:10" ht="14.25" customHeight="1" x14ac:dyDescent="0.35">
      <c r="A165" s="28" t="s">
        <v>1039</v>
      </c>
      <c r="B165" s="29" t="s">
        <v>1040</v>
      </c>
      <c r="C165" s="28" t="s">
        <v>53</v>
      </c>
      <c r="D165" s="30">
        <v>1456.4760000000001</v>
      </c>
      <c r="E165" s="28" t="s">
        <v>1034</v>
      </c>
      <c r="F165" s="28"/>
      <c r="G165" s="28" t="s">
        <v>732</v>
      </c>
      <c r="H165" s="28" t="s">
        <v>1015</v>
      </c>
      <c r="I165" s="29"/>
      <c r="J165" s="31"/>
    </row>
    <row r="166" spans="1:10" ht="14.25" customHeight="1" x14ac:dyDescent="0.35">
      <c r="A166" s="28" t="s">
        <v>1041</v>
      </c>
      <c r="B166" s="29" t="s">
        <v>1042</v>
      </c>
      <c r="C166" s="28" t="s">
        <v>53</v>
      </c>
      <c r="D166" s="30">
        <v>2912.9520000000002</v>
      </c>
      <c r="E166" s="28" t="s">
        <v>1034</v>
      </c>
      <c r="F166" s="28"/>
      <c r="G166" s="28" t="s">
        <v>732</v>
      </c>
      <c r="H166" s="28" t="s">
        <v>1015</v>
      </c>
      <c r="I166" s="29"/>
      <c r="J166" s="31"/>
    </row>
    <row r="167" spans="1:10" ht="14.25" customHeight="1" x14ac:dyDescent="0.35">
      <c r="A167" s="28" t="s">
        <v>1043</v>
      </c>
      <c r="B167" s="29" t="s">
        <v>1044</v>
      </c>
      <c r="C167" s="28" t="s">
        <v>24</v>
      </c>
      <c r="D167" s="30">
        <v>168303.35999999999</v>
      </c>
      <c r="E167" s="28" t="s">
        <v>1034</v>
      </c>
      <c r="F167" s="28"/>
      <c r="G167" s="28" t="s">
        <v>732</v>
      </c>
      <c r="H167" s="28" t="s">
        <v>1015</v>
      </c>
      <c r="I167" s="29"/>
      <c r="J167" s="31"/>
    </row>
    <row r="168" spans="1:10" ht="14.25" customHeight="1" x14ac:dyDescent="0.35">
      <c r="A168" s="28" t="s">
        <v>1045</v>
      </c>
      <c r="B168" s="29" t="s">
        <v>1046</v>
      </c>
      <c r="C168" s="28" t="s">
        <v>24</v>
      </c>
      <c r="D168" s="30">
        <v>1</v>
      </c>
      <c r="E168" s="28" t="s">
        <v>1034</v>
      </c>
      <c r="F168" s="28"/>
      <c r="G168" s="28" t="s">
        <v>1047</v>
      </c>
      <c r="H168" s="28" t="s">
        <v>1015</v>
      </c>
      <c r="I168" s="29"/>
      <c r="J168" s="31"/>
    </row>
    <row r="169" spans="1:10" ht="14.25" customHeight="1" x14ac:dyDescent="0.35">
      <c r="A169" s="28" t="s">
        <v>1048</v>
      </c>
      <c r="B169" s="29" t="s">
        <v>1049</v>
      </c>
      <c r="C169" s="28" t="s">
        <v>1050</v>
      </c>
      <c r="D169" s="30">
        <v>214876.03305785099</v>
      </c>
      <c r="E169" s="28" t="s">
        <v>1034</v>
      </c>
      <c r="F169" s="28"/>
      <c r="G169" s="28" t="s">
        <v>821</v>
      </c>
      <c r="H169" s="28" t="s">
        <v>1015</v>
      </c>
      <c r="I169" s="29"/>
      <c r="J169" s="31"/>
    </row>
    <row r="170" spans="1:10" ht="14.25" customHeight="1" x14ac:dyDescent="0.35">
      <c r="A170" s="28" t="s">
        <v>1051</v>
      </c>
      <c r="B170" s="29" t="s">
        <v>1052</v>
      </c>
      <c r="C170" s="28" t="s">
        <v>53</v>
      </c>
      <c r="D170" s="30">
        <v>369.83471074380202</v>
      </c>
      <c r="E170" s="28" t="s">
        <v>1034</v>
      </c>
      <c r="F170" s="28"/>
      <c r="G170" s="28" t="s">
        <v>821</v>
      </c>
      <c r="H170" s="28" t="s">
        <v>1015</v>
      </c>
      <c r="I170" s="29"/>
      <c r="J170" s="31"/>
    </row>
    <row r="171" spans="1:10" ht="14.25" customHeight="1" x14ac:dyDescent="0.35">
      <c r="A171" s="28" t="s">
        <v>1053</v>
      </c>
      <c r="B171" s="29" t="s">
        <v>1054</v>
      </c>
      <c r="C171" s="28" t="s">
        <v>53</v>
      </c>
      <c r="D171" s="30">
        <v>2363.6363636363599</v>
      </c>
      <c r="E171" s="28" t="s">
        <v>1034</v>
      </c>
      <c r="F171" s="28"/>
      <c r="G171" s="28" t="s">
        <v>821</v>
      </c>
      <c r="H171" s="28" t="s">
        <v>1015</v>
      </c>
      <c r="I171" s="29"/>
      <c r="J171" s="31"/>
    </row>
    <row r="172" spans="1:10" ht="14.25" customHeight="1" x14ac:dyDescent="0.35">
      <c r="A172" s="28" t="s">
        <v>1055</v>
      </c>
      <c r="B172" s="29" t="s">
        <v>1056</v>
      </c>
      <c r="C172" s="28" t="s">
        <v>24</v>
      </c>
      <c r="D172" s="30">
        <v>242210.74380165301</v>
      </c>
      <c r="E172" s="28" t="s">
        <v>1034</v>
      </c>
      <c r="F172" s="28"/>
      <c r="G172" s="28" t="s">
        <v>821</v>
      </c>
      <c r="H172" s="28" t="s">
        <v>1015</v>
      </c>
      <c r="I172" s="29"/>
      <c r="J172" s="31"/>
    </row>
    <row r="173" spans="1:10" ht="14.25" customHeight="1" x14ac:dyDescent="0.35">
      <c r="A173" s="28" t="s">
        <v>1057</v>
      </c>
      <c r="B173" s="29" t="s">
        <v>1058</v>
      </c>
      <c r="C173" s="28" t="s">
        <v>24</v>
      </c>
      <c r="D173" s="30">
        <v>500000</v>
      </c>
      <c r="E173" s="28" t="s">
        <v>1034</v>
      </c>
      <c r="F173" s="28"/>
      <c r="G173" s="28" t="s">
        <v>1059</v>
      </c>
      <c r="H173" s="28" t="s">
        <v>1015</v>
      </c>
      <c r="I173" s="29"/>
      <c r="J173" s="31"/>
    </row>
    <row r="174" spans="1:10" ht="14.25" customHeight="1" x14ac:dyDescent="0.35">
      <c r="A174" s="28" t="s">
        <v>1060</v>
      </c>
      <c r="B174" s="29" t="s">
        <v>1061</v>
      </c>
      <c r="C174" s="28" t="s">
        <v>53</v>
      </c>
      <c r="D174" s="30">
        <v>100000</v>
      </c>
      <c r="E174" s="28" t="s">
        <v>1034</v>
      </c>
      <c r="F174" s="28"/>
      <c r="G174" s="28" t="s">
        <v>1059</v>
      </c>
      <c r="H174" s="28" t="s">
        <v>1015</v>
      </c>
      <c r="I174" s="29"/>
      <c r="J174" s="31"/>
    </row>
    <row r="175" spans="1:10" ht="14.25" customHeight="1" x14ac:dyDescent="0.35">
      <c r="A175" s="28" t="s">
        <v>1062</v>
      </c>
      <c r="B175" s="29" t="s">
        <v>1063</v>
      </c>
      <c r="C175" s="28" t="s">
        <v>53</v>
      </c>
      <c r="D175" s="30">
        <v>25000</v>
      </c>
      <c r="E175" s="28" t="s">
        <v>1034</v>
      </c>
      <c r="F175" s="28"/>
      <c r="G175" s="28" t="s">
        <v>1059</v>
      </c>
      <c r="H175" s="28" t="s">
        <v>1015</v>
      </c>
      <c r="I175" s="29"/>
      <c r="J175" s="31"/>
    </row>
    <row r="176" spans="1:10" ht="14.25" customHeight="1" x14ac:dyDescent="0.35">
      <c r="A176" s="28" t="s">
        <v>1064</v>
      </c>
      <c r="B176" s="29" t="s">
        <v>1065</v>
      </c>
      <c r="C176" s="28" t="s">
        <v>53</v>
      </c>
      <c r="D176" s="30">
        <v>24793.3884297521</v>
      </c>
      <c r="E176" s="28" t="s">
        <v>1034</v>
      </c>
      <c r="F176" s="28"/>
      <c r="G176" s="28" t="s">
        <v>1059</v>
      </c>
      <c r="H176" s="28" t="s">
        <v>1015</v>
      </c>
      <c r="I176" s="29"/>
      <c r="J176" s="31"/>
    </row>
    <row r="177" spans="1:10" ht="14.25" customHeight="1" x14ac:dyDescent="0.35">
      <c r="A177" s="28" t="s">
        <v>1066</v>
      </c>
      <c r="B177" s="29" t="s">
        <v>1067</v>
      </c>
      <c r="C177" s="28" t="s">
        <v>53</v>
      </c>
      <c r="D177" s="30">
        <v>200000</v>
      </c>
      <c r="E177" s="28" t="s">
        <v>1034</v>
      </c>
      <c r="F177" s="28"/>
      <c r="G177" s="28" t="s">
        <v>1059</v>
      </c>
      <c r="H177" s="28" t="s">
        <v>1015</v>
      </c>
      <c r="I177" s="29"/>
      <c r="J177" s="31"/>
    </row>
    <row r="178" spans="1:10" ht="14.25" customHeight="1" x14ac:dyDescent="0.35">
      <c r="A178" s="28" t="s">
        <v>1068</v>
      </c>
      <c r="B178" s="29" t="s">
        <v>1069</v>
      </c>
      <c r="C178" s="28" t="s">
        <v>1070</v>
      </c>
      <c r="D178" s="30">
        <v>25000</v>
      </c>
      <c r="E178" s="28" t="s">
        <v>1071</v>
      </c>
      <c r="F178" s="28"/>
      <c r="G178" s="28" t="s">
        <v>732</v>
      </c>
      <c r="H178" s="28" t="s">
        <v>1015</v>
      </c>
      <c r="I178" s="29"/>
      <c r="J178" s="31"/>
    </row>
    <row r="179" spans="1:10" ht="14.25" customHeight="1" x14ac:dyDescent="0.35">
      <c r="A179" s="28" t="s">
        <v>1072</v>
      </c>
      <c r="B179" s="29" t="s">
        <v>1073</v>
      </c>
      <c r="C179" s="28" t="s">
        <v>24</v>
      </c>
      <c r="D179" s="30">
        <v>150000</v>
      </c>
      <c r="E179" s="28" t="s">
        <v>1071</v>
      </c>
      <c r="F179" s="28"/>
      <c r="G179" s="28" t="s">
        <v>821</v>
      </c>
      <c r="H179" s="28" t="s">
        <v>1015</v>
      </c>
      <c r="I179" s="29"/>
      <c r="J179" s="31"/>
    </row>
    <row r="180" spans="1:10" ht="14.25" customHeight="1" x14ac:dyDescent="0.35">
      <c r="A180" s="28" t="s">
        <v>1074</v>
      </c>
      <c r="B180" s="29" t="s">
        <v>1075</v>
      </c>
      <c r="C180" s="28" t="s">
        <v>24</v>
      </c>
      <c r="D180" s="30">
        <v>15000</v>
      </c>
      <c r="E180" s="28" t="s">
        <v>1071</v>
      </c>
      <c r="F180" s="28"/>
      <c r="G180" s="28" t="s">
        <v>821</v>
      </c>
      <c r="H180" s="28" t="s">
        <v>1015</v>
      </c>
      <c r="I180" s="29"/>
      <c r="J180" s="31"/>
    </row>
    <row r="181" spans="1:10" ht="14.25" customHeight="1" x14ac:dyDescent="0.35">
      <c r="A181" s="28" t="s">
        <v>1076</v>
      </c>
      <c r="B181" s="29" t="s">
        <v>1077</v>
      </c>
      <c r="C181" s="28" t="s">
        <v>1078</v>
      </c>
      <c r="D181" s="30">
        <v>11500</v>
      </c>
      <c r="E181" s="28" t="s">
        <v>1071</v>
      </c>
      <c r="F181" s="28"/>
      <c r="G181" s="28" t="s">
        <v>821</v>
      </c>
      <c r="H181" s="28" t="s">
        <v>1015</v>
      </c>
      <c r="I181" s="29"/>
      <c r="J181" s="31"/>
    </row>
    <row r="182" spans="1:10" ht="14.25" customHeight="1" x14ac:dyDescent="0.35">
      <c r="A182" s="28" t="s">
        <v>1079</v>
      </c>
      <c r="B182" s="29" t="s">
        <v>1080</v>
      </c>
      <c r="C182" s="28" t="s">
        <v>24</v>
      </c>
      <c r="D182" s="30">
        <v>300000</v>
      </c>
      <c r="E182" s="28" t="s">
        <v>1071</v>
      </c>
      <c r="F182" s="28"/>
      <c r="G182" s="28" t="s">
        <v>821</v>
      </c>
      <c r="H182" s="28" t="s">
        <v>1015</v>
      </c>
      <c r="I182" s="29"/>
      <c r="J182" s="31"/>
    </row>
    <row r="183" spans="1:10" ht="14.25" customHeight="1" x14ac:dyDescent="0.35">
      <c r="A183" s="28" t="s">
        <v>1081</v>
      </c>
      <c r="B183" s="29" t="s">
        <v>1082</v>
      </c>
      <c r="C183" s="28" t="s">
        <v>53</v>
      </c>
      <c r="D183" s="30">
        <v>150000</v>
      </c>
      <c r="E183" s="28" t="s">
        <v>1083</v>
      </c>
      <c r="F183" s="28"/>
      <c r="G183" s="28" t="s">
        <v>1059</v>
      </c>
      <c r="H183" s="28" t="s">
        <v>1015</v>
      </c>
      <c r="I183" s="29"/>
      <c r="J183" s="31"/>
    </row>
    <row r="184" spans="1:10" ht="14.25" customHeight="1" x14ac:dyDescent="0.35">
      <c r="A184" s="28" t="s">
        <v>1084</v>
      </c>
      <c r="B184" s="29" t="s">
        <v>1085</v>
      </c>
      <c r="C184" s="28" t="s">
        <v>53</v>
      </c>
      <c r="D184" s="30">
        <v>200000</v>
      </c>
      <c r="E184" s="28" t="s">
        <v>1083</v>
      </c>
      <c r="F184" s="28"/>
      <c r="G184" s="28" t="s">
        <v>1059</v>
      </c>
      <c r="H184" s="28" t="s">
        <v>1015</v>
      </c>
      <c r="I184" s="29"/>
      <c r="J184" s="31"/>
    </row>
    <row r="185" spans="1:10" ht="14.25" customHeight="1" x14ac:dyDescent="0.35">
      <c r="A185" s="28" t="s">
        <v>1086</v>
      </c>
      <c r="B185" s="29" t="s">
        <v>1087</v>
      </c>
      <c r="C185" s="28" t="s">
        <v>53</v>
      </c>
      <c r="D185" s="30">
        <v>50000</v>
      </c>
      <c r="E185" s="28" t="s">
        <v>1083</v>
      </c>
      <c r="F185" s="28"/>
      <c r="G185" s="28" t="s">
        <v>1059</v>
      </c>
      <c r="H185" s="28" t="s">
        <v>1015</v>
      </c>
      <c r="I185" s="29"/>
      <c r="J185" s="31"/>
    </row>
    <row r="186" spans="1:10" ht="14.25" customHeight="1" x14ac:dyDescent="0.35">
      <c r="A186" s="28" t="s">
        <v>1088</v>
      </c>
      <c r="B186" s="29" t="s">
        <v>1089</v>
      </c>
      <c r="C186" s="28" t="s">
        <v>53</v>
      </c>
      <c r="D186" s="30">
        <v>10000</v>
      </c>
      <c r="E186" s="28" t="s">
        <v>1083</v>
      </c>
      <c r="F186" s="28"/>
      <c r="G186" s="28" t="s">
        <v>1059</v>
      </c>
      <c r="H186" s="28" t="s">
        <v>1015</v>
      </c>
      <c r="I186" s="29"/>
      <c r="J186" s="31"/>
    </row>
    <row r="187" spans="1:10" ht="14.25" customHeight="1" x14ac:dyDescent="0.35">
      <c r="A187" s="28" t="s">
        <v>1090</v>
      </c>
      <c r="B187" s="29" t="s">
        <v>1091</v>
      </c>
      <c r="C187" s="28" t="s">
        <v>53</v>
      </c>
      <c r="D187" s="30">
        <v>10000</v>
      </c>
      <c r="E187" s="28" t="s">
        <v>1083</v>
      </c>
      <c r="F187" s="28"/>
      <c r="G187" s="28" t="s">
        <v>1059</v>
      </c>
      <c r="H187" s="28" t="s">
        <v>1015</v>
      </c>
      <c r="I187" s="29"/>
      <c r="J187" s="31"/>
    </row>
    <row r="188" spans="1:10" ht="14.25" customHeight="1" x14ac:dyDescent="0.35">
      <c r="A188" s="28" t="s">
        <v>1092</v>
      </c>
      <c r="B188" s="29" t="s">
        <v>1093</v>
      </c>
      <c r="C188" s="28" t="s">
        <v>53</v>
      </c>
      <c r="D188" s="30">
        <v>15000</v>
      </c>
      <c r="E188" s="28" t="s">
        <v>1083</v>
      </c>
      <c r="F188" s="28"/>
      <c r="G188" s="28" t="s">
        <v>1059</v>
      </c>
      <c r="H188" s="28" t="s">
        <v>1015</v>
      </c>
      <c r="I188" s="29"/>
      <c r="J188" s="31"/>
    </row>
    <row r="189" spans="1:10" ht="14.25" customHeight="1" x14ac:dyDescent="0.35">
      <c r="A189" s="28" t="s">
        <v>1094</v>
      </c>
      <c r="B189" s="29" t="s">
        <v>1095</v>
      </c>
      <c r="C189" s="28" t="s">
        <v>53</v>
      </c>
      <c r="D189" s="30">
        <v>2000</v>
      </c>
      <c r="E189" s="28" t="s">
        <v>1083</v>
      </c>
      <c r="F189" s="28"/>
      <c r="G189" s="28" t="s">
        <v>905</v>
      </c>
      <c r="H189" s="28" t="s">
        <v>1015</v>
      </c>
      <c r="I189" s="29"/>
      <c r="J189" s="31"/>
    </row>
    <row r="190" spans="1:10" ht="14.25" customHeight="1" x14ac:dyDescent="0.35">
      <c r="A190" s="28" t="s">
        <v>1096</v>
      </c>
      <c r="B190" s="29" t="s">
        <v>1097</v>
      </c>
      <c r="C190" s="28" t="s">
        <v>24</v>
      </c>
      <c r="D190" s="30">
        <v>571000</v>
      </c>
      <c r="E190" s="28" t="s">
        <v>1083</v>
      </c>
      <c r="F190" s="28"/>
      <c r="G190" s="28" t="s">
        <v>905</v>
      </c>
      <c r="H190" s="28" t="s">
        <v>1015</v>
      </c>
      <c r="I190" s="29"/>
      <c r="J190" s="31"/>
    </row>
    <row r="191" spans="1:10" ht="14.25" customHeight="1" x14ac:dyDescent="0.35">
      <c r="A191" s="28" t="s">
        <v>1098</v>
      </c>
      <c r="B191" s="29" t="s">
        <v>1099</v>
      </c>
      <c r="C191" s="28" t="s">
        <v>1070</v>
      </c>
      <c r="D191" s="30">
        <v>15000</v>
      </c>
      <c r="E191" s="28" t="s">
        <v>1100</v>
      </c>
      <c r="F191" s="28"/>
      <c r="G191" s="28" t="s">
        <v>905</v>
      </c>
      <c r="H191" s="28" t="s">
        <v>1015</v>
      </c>
      <c r="I191" s="29"/>
      <c r="J191" s="31"/>
    </row>
    <row r="192" spans="1:10" ht="14.25" customHeight="1" x14ac:dyDescent="0.35">
      <c r="A192" s="28" t="s">
        <v>1101</v>
      </c>
      <c r="B192" s="29" t="s">
        <v>47</v>
      </c>
      <c r="C192" s="28" t="s">
        <v>43</v>
      </c>
      <c r="D192" s="30">
        <v>26000</v>
      </c>
      <c r="E192" s="28" t="s">
        <v>1102</v>
      </c>
      <c r="F192" s="28"/>
      <c r="G192" s="28" t="s">
        <v>905</v>
      </c>
      <c r="H192" s="28" t="s">
        <v>1015</v>
      </c>
      <c r="I192" s="29"/>
      <c r="J192" s="31"/>
    </row>
    <row r="193" spans="1:10" ht="14.25" customHeight="1" x14ac:dyDescent="0.35">
      <c r="A193" s="28" t="s">
        <v>1103</v>
      </c>
      <c r="B193" s="29" t="s">
        <v>1104</v>
      </c>
      <c r="C193" s="28" t="s">
        <v>43</v>
      </c>
      <c r="D193" s="30">
        <v>115100</v>
      </c>
      <c r="E193" s="28" t="s">
        <v>1105</v>
      </c>
      <c r="F193" s="28"/>
      <c r="G193" s="28" t="s">
        <v>592</v>
      </c>
      <c r="H193" s="28" t="s">
        <v>1015</v>
      </c>
      <c r="I193" s="29"/>
      <c r="J193" s="31"/>
    </row>
    <row r="194" spans="1:10" ht="14.25" customHeight="1" x14ac:dyDescent="0.35">
      <c r="A194" s="28" t="s">
        <v>1106</v>
      </c>
      <c r="B194" s="29" t="s">
        <v>1107</v>
      </c>
      <c r="C194" s="28" t="s">
        <v>53</v>
      </c>
      <c r="D194" s="30">
        <v>533000</v>
      </c>
      <c r="E194" s="28" t="s">
        <v>1105</v>
      </c>
      <c r="F194" s="28"/>
      <c r="G194" s="28" t="s">
        <v>905</v>
      </c>
      <c r="H194" s="28" t="s">
        <v>1015</v>
      </c>
      <c r="I194" s="29"/>
      <c r="J194" s="31"/>
    </row>
    <row r="195" spans="1:10" ht="14.25" customHeight="1" x14ac:dyDescent="0.35">
      <c r="A195" s="28" t="s">
        <v>1108</v>
      </c>
      <c r="B195" s="29" t="s">
        <v>1109</v>
      </c>
      <c r="C195" s="28" t="s">
        <v>662</v>
      </c>
      <c r="D195" s="30">
        <v>1704.41</v>
      </c>
      <c r="E195" s="28" t="s">
        <v>1110</v>
      </c>
      <c r="F195" s="28"/>
      <c r="G195" s="28" t="s">
        <v>592</v>
      </c>
      <c r="H195" s="28" t="s">
        <v>1015</v>
      </c>
      <c r="I195" s="29"/>
      <c r="J195" s="31"/>
    </row>
    <row r="196" spans="1:10" ht="14.25" customHeight="1" x14ac:dyDescent="0.35">
      <c r="A196" s="28" t="s">
        <v>1111</v>
      </c>
      <c r="B196" s="29" t="s">
        <v>1112</v>
      </c>
      <c r="C196" s="28" t="s">
        <v>606</v>
      </c>
      <c r="D196" s="30">
        <v>7809.48</v>
      </c>
      <c r="E196" s="28" t="s">
        <v>1110</v>
      </c>
      <c r="F196" s="28"/>
      <c r="G196" s="28" t="s">
        <v>592</v>
      </c>
      <c r="H196" s="28" t="s">
        <v>1015</v>
      </c>
      <c r="I196" s="29"/>
      <c r="J196" s="31"/>
    </row>
    <row r="197" spans="1:10" ht="14.25" customHeight="1" x14ac:dyDescent="0.35">
      <c r="A197" s="28" t="s">
        <v>1113</v>
      </c>
      <c r="B197" s="29" t="s">
        <v>55</v>
      </c>
      <c r="C197" s="28" t="s">
        <v>43</v>
      </c>
      <c r="D197" s="30">
        <v>402072.54172518197</v>
      </c>
      <c r="E197" s="28" t="s">
        <v>1114</v>
      </c>
      <c r="F197" s="28"/>
      <c r="G197" s="28" t="s">
        <v>901</v>
      </c>
      <c r="H197" s="28" t="s">
        <v>1015</v>
      </c>
      <c r="I197" s="29"/>
      <c r="J197" s="31"/>
    </row>
    <row r="198" spans="1:10" ht="14.25" customHeight="1" x14ac:dyDescent="0.35">
      <c r="A198" s="28" t="s">
        <v>1115</v>
      </c>
      <c r="B198" s="29" t="s">
        <v>57</v>
      </c>
      <c r="C198" s="28" t="s">
        <v>43</v>
      </c>
      <c r="D198" s="30">
        <v>428196.58025620203</v>
      </c>
      <c r="E198" s="28" t="s">
        <v>1116</v>
      </c>
      <c r="F198" s="28"/>
      <c r="G198" s="28" t="s">
        <v>901</v>
      </c>
      <c r="H198" s="28" t="s">
        <v>1015</v>
      </c>
      <c r="I198" s="29"/>
      <c r="J198" s="31"/>
    </row>
    <row r="199" spans="1:10" ht="14.25" customHeight="1" x14ac:dyDescent="0.35">
      <c r="A199" s="28" t="s">
        <v>1117</v>
      </c>
      <c r="B199" s="29" t="s">
        <v>59</v>
      </c>
      <c r="C199" s="28" t="s">
        <v>43</v>
      </c>
      <c r="D199" s="30">
        <v>333700.50579037803</v>
      </c>
      <c r="E199" s="28" t="s">
        <v>1118</v>
      </c>
      <c r="F199" s="28"/>
      <c r="G199" s="28" t="s">
        <v>901</v>
      </c>
      <c r="H199" s="28" t="s">
        <v>1015</v>
      </c>
      <c r="I199" s="29"/>
      <c r="J199" s="31"/>
    </row>
    <row r="200" spans="1:10" ht="14.25" customHeight="1" x14ac:dyDescent="0.35">
      <c r="A200" s="28" t="s">
        <v>1119</v>
      </c>
      <c r="B200" s="29" t="s">
        <v>61</v>
      </c>
      <c r="C200" s="28" t="s">
        <v>43</v>
      </c>
      <c r="D200" s="30">
        <v>275042.37829037802</v>
      </c>
      <c r="E200" s="28" t="s">
        <v>1120</v>
      </c>
      <c r="F200" s="28"/>
      <c r="G200" s="28" t="s">
        <v>901</v>
      </c>
      <c r="H200" s="28" t="s">
        <v>1015</v>
      </c>
      <c r="I200" s="29"/>
      <c r="J200" s="31"/>
    </row>
    <row r="201" spans="1:10" ht="14.25" customHeight="1" x14ac:dyDescent="0.35">
      <c r="A201" s="28" t="s">
        <v>1121</v>
      </c>
      <c r="B201" s="29" t="s">
        <v>63</v>
      </c>
      <c r="C201" s="28" t="s">
        <v>43</v>
      </c>
      <c r="D201" s="30">
        <v>635192.71722613997</v>
      </c>
      <c r="E201" s="28" t="s">
        <v>1122</v>
      </c>
      <c r="F201" s="28"/>
      <c r="G201" s="28" t="s">
        <v>901</v>
      </c>
      <c r="H201" s="28" t="s">
        <v>1015</v>
      </c>
      <c r="I201" s="29"/>
      <c r="J201" s="31"/>
    </row>
    <row r="202" spans="1:10" ht="14.25" customHeight="1" x14ac:dyDescent="0.35">
      <c r="A202" s="28" t="s">
        <v>1123</v>
      </c>
      <c r="B202" s="29" t="s">
        <v>65</v>
      </c>
      <c r="C202" s="28" t="s">
        <v>43</v>
      </c>
      <c r="D202" s="30">
        <v>528753.37025620299</v>
      </c>
      <c r="E202" s="28" t="s">
        <v>1124</v>
      </c>
      <c r="F202" s="28"/>
      <c r="G202" s="28" t="s">
        <v>901</v>
      </c>
      <c r="H202" s="28" t="s">
        <v>1015</v>
      </c>
      <c r="I202" s="29"/>
      <c r="J202" s="31"/>
    </row>
    <row r="203" spans="1:10" ht="14.25" customHeight="1" x14ac:dyDescent="0.35">
      <c r="A203" s="28" t="s">
        <v>1125</v>
      </c>
      <c r="B203" s="29" t="s">
        <v>67</v>
      </c>
      <c r="C203" s="28" t="s">
        <v>43</v>
      </c>
      <c r="D203" s="30">
        <v>372584.32994905498</v>
      </c>
      <c r="E203" s="28" t="s">
        <v>1126</v>
      </c>
      <c r="F203" s="28"/>
      <c r="G203" s="28" t="s">
        <v>901</v>
      </c>
      <c r="H203" s="28" t="s">
        <v>1015</v>
      </c>
      <c r="I203" s="29"/>
      <c r="J203" s="31"/>
    </row>
    <row r="204" spans="1:10" ht="14.25" customHeight="1" x14ac:dyDescent="0.35">
      <c r="A204" s="28" t="s">
        <v>1127</v>
      </c>
      <c r="B204" s="29" t="s">
        <v>1128</v>
      </c>
      <c r="C204" s="28" t="s">
        <v>43</v>
      </c>
      <c r="D204" s="30">
        <v>379758.83388002298</v>
      </c>
      <c r="E204" s="28" t="s">
        <v>1129</v>
      </c>
      <c r="F204" s="28"/>
      <c r="G204" s="28" t="s">
        <v>901</v>
      </c>
      <c r="H204" s="28" t="s">
        <v>1015</v>
      </c>
      <c r="I204" s="29"/>
      <c r="J204" s="31"/>
    </row>
    <row r="205" spans="1:10" ht="14.25" customHeight="1" x14ac:dyDescent="0.35">
      <c r="A205" s="28" t="s">
        <v>1130</v>
      </c>
      <c r="B205" s="29" t="s">
        <v>71</v>
      </c>
      <c r="C205" s="28" t="s">
        <v>43</v>
      </c>
      <c r="D205" s="30">
        <v>567913.50664448505</v>
      </c>
      <c r="E205" s="28" t="s">
        <v>1131</v>
      </c>
      <c r="F205" s="28"/>
      <c r="G205" s="28" t="s">
        <v>901</v>
      </c>
      <c r="H205" s="28" t="s">
        <v>1015</v>
      </c>
      <c r="I205" s="29"/>
      <c r="J205" s="31"/>
    </row>
    <row r="206" spans="1:10" ht="14.25" customHeight="1" x14ac:dyDescent="0.35">
      <c r="A206" s="28" t="s">
        <v>1132</v>
      </c>
      <c r="B206" s="29" t="s">
        <v>1133</v>
      </c>
      <c r="C206" s="28" t="s">
        <v>43</v>
      </c>
      <c r="D206" s="30">
        <v>565756.86506570596</v>
      </c>
      <c r="E206" s="28" t="s">
        <v>1134</v>
      </c>
      <c r="F206" s="28"/>
      <c r="G206" s="28" t="s">
        <v>901</v>
      </c>
      <c r="H206" s="28" t="s">
        <v>1015</v>
      </c>
      <c r="I206" s="29"/>
      <c r="J206" s="31"/>
    </row>
    <row r="207" spans="1:10" ht="14.25" customHeight="1" x14ac:dyDescent="0.35">
      <c r="A207" s="28" t="s">
        <v>1135</v>
      </c>
      <c r="B207" s="29" t="s">
        <v>75</v>
      </c>
      <c r="C207" s="28" t="s">
        <v>43</v>
      </c>
      <c r="D207" s="30">
        <v>410452.27422518202</v>
      </c>
      <c r="E207" s="28" t="s">
        <v>1136</v>
      </c>
      <c r="F207" s="28"/>
      <c r="G207" s="28" t="s">
        <v>901</v>
      </c>
      <c r="H207" s="28" t="s">
        <v>1015</v>
      </c>
      <c r="I207" s="29"/>
      <c r="J207" s="31"/>
    </row>
    <row r="208" spans="1:10" ht="14.25" customHeight="1" x14ac:dyDescent="0.35">
      <c r="A208" s="28" t="s">
        <v>1137</v>
      </c>
      <c r="B208" s="29" t="s">
        <v>77</v>
      </c>
      <c r="C208" s="28" t="s">
        <v>43</v>
      </c>
      <c r="D208" s="30">
        <v>534635.92722614005</v>
      </c>
      <c r="E208" s="28" t="s">
        <v>1138</v>
      </c>
      <c r="F208" s="28"/>
      <c r="G208" s="28" t="s">
        <v>901</v>
      </c>
      <c r="H208" s="28" t="s">
        <v>1015</v>
      </c>
      <c r="I208" s="29"/>
      <c r="J208" s="31"/>
    </row>
    <row r="209" spans="1:10" ht="14.25" customHeight="1" x14ac:dyDescent="0.35">
      <c r="A209" s="28" t="s">
        <v>1139</v>
      </c>
      <c r="B209" s="29" t="s">
        <v>79</v>
      </c>
      <c r="C209" s="28" t="s">
        <v>43</v>
      </c>
      <c r="D209" s="30">
        <v>543657.96059143299</v>
      </c>
      <c r="E209" s="28" t="s">
        <v>1140</v>
      </c>
      <c r="F209" s="28"/>
      <c r="G209" s="28" t="s">
        <v>901</v>
      </c>
      <c r="H209" s="28" t="s">
        <v>1015</v>
      </c>
      <c r="I209" s="29"/>
      <c r="J209" s="31"/>
    </row>
    <row r="210" spans="1:10" ht="14.25" customHeight="1" x14ac:dyDescent="0.35">
      <c r="A210" s="28" t="s">
        <v>1141</v>
      </c>
      <c r="B210" s="29" t="s">
        <v>81</v>
      </c>
      <c r="C210" s="28" t="s">
        <v>43</v>
      </c>
      <c r="D210" s="30">
        <v>416173.60204176803</v>
      </c>
      <c r="E210" s="28" t="s">
        <v>1142</v>
      </c>
      <c r="F210" s="28"/>
      <c r="G210" s="28" t="s">
        <v>901</v>
      </c>
      <c r="H210" s="28" t="s">
        <v>1015</v>
      </c>
      <c r="I210" s="29"/>
      <c r="J210" s="31"/>
    </row>
    <row r="211" spans="1:10" ht="14.25" customHeight="1" x14ac:dyDescent="0.35">
      <c r="A211" s="28" t="s">
        <v>1143</v>
      </c>
      <c r="B211" s="29" t="s">
        <v>83</v>
      </c>
      <c r="C211" s="28" t="s">
        <v>43</v>
      </c>
      <c r="D211" s="30">
        <v>410452.27422518202</v>
      </c>
      <c r="E211" s="28" t="s">
        <v>1144</v>
      </c>
      <c r="F211" s="28"/>
      <c r="G211" s="28" t="s">
        <v>901</v>
      </c>
      <c r="H211" s="28" t="s">
        <v>1015</v>
      </c>
      <c r="I211" s="29"/>
      <c r="J211" s="31"/>
    </row>
    <row r="212" spans="1:10" ht="14.25" customHeight="1" x14ac:dyDescent="0.35">
      <c r="A212" s="28" t="s">
        <v>1145</v>
      </c>
      <c r="B212" s="29" t="s">
        <v>89</v>
      </c>
      <c r="C212" s="28" t="s">
        <v>24</v>
      </c>
      <c r="D212" s="30">
        <v>51239.669421487597</v>
      </c>
      <c r="E212" s="28" t="s">
        <v>1146</v>
      </c>
      <c r="F212" s="28"/>
      <c r="G212" s="28" t="s">
        <v>905</v>
      </c>
      <c r="H212" s="28" t="s">
        <v>1015</v>
      </c>
      <c r="I212" s="29"/>
      <c r="J212" s="31"/>
    </row>
    <row r="213" spans="1:10" ht="14.25" customHeight="1" x14ac:dyDescent="0.35">
      <c r="A213" s="28" t="s">
        <v>1147</v>
      </c>
      <c r="B213" s="29" t="s">
        <v>1148</v>
      </c>
      <c r="C213" s="28" t="s">
        <v>24</v>
      </c>
      <c r="D213" s="30">
        <v>150000</v>
      </c>
      <c r="E213" s="28" t="s">
        <v>1149</v>
      </c>
      <c r="F213" s="28"/>
      <c r="G213" s="28" t="s">
        <v>1014</v>
      </c>
      <c r="H213" s="28" t="s">
        <v>1015</v>
      </c>
      <c r="I213" s="29"/>
      <c r="J213" s="31"/>
    </row>
    <row r="214" spans="1:10" ht="14.25" customHeight="1" x14ac:dyDescent="0.35">
      <c r="A214" s="28" t="s">
        <v>1150</v>
      </c>
      <c r="B214" s="29" t="s">
        <v>393</v>
      </c>
      <c r="C214" s="28" t="s">
        <v>53</v>
      </c>
      <c r="D214" s="30">
        <v>100000</v>
      </c>
      <c r="E214" s="28" t="s">
        <v>1149</v>
      </c>
      <c r="F214" s="28"/>
      <c r="G214" s="28" t="s">
        <v>905</v>
      </c>
      <c r="H214" s="28" t="s">
        <v>1015</v>
      </c>
      <c r="I214" s="29"/>
      <c r="J214" s="31"/>
    </row>
    <row r="215" spans="1:10" ht="14.25" customHeight="1" x14ac:dyDescent="0.35">
      <c r="A215" s="28" t="s">
        <v>1151</v>
      </c>
      <c r="B215" s="29" t="s">
        <v>1152</v>
      </c>
      <c r="C215" s="28" t="s">
        <v>606</v>
      </c>
      <c r="D215" s="30">
        <v>9778.66</v>
      </c>
      <c r="E215" s="28" t="s">
        <v>1153</v>
      </c>
      <c r="F215" s="28"/>
      <c r="G215" s="28" t="s">
        <v>592</v>
      </c>
      <c r="H215" s="28" t="s">
        <v>1015</v>
      </c>
      <c r="I215" s="29"/>
      <c r="J215" s="31"/>
    </row>
    <row r="216" spans="1:10" ht="14.25" customHeight="1" x14ac:dyDescent="0.35">
      <c r="A216" s="28" t="s">
        <v>1154</v>
      </c>
      <c r="B216" s="29" t="s">
        <v>1155</v>
      </c>
      <c r="C216" s="28" t="s">
        <v>43</v>
      </c>
      <c r="D216" s="30">
        <v>125000</v>
      </c>
      <c r="E216" s="28" t="s">
        <v>1156</v>
      </c>
      <c r="F216" s="28"/>
      <c r="G216" s="28" t="s">
        <v>901</v>
      </c>
      <c r="H216" s="28" t="s">
        <v>1015</v>
      </c>
      <c r="I216" s="29"/>
      <c r="J216" s="31"/>
    </row>
    <row r="217" spans="1:10" ht="14.25" customHeight="1" x14ac:dyDescent="0.35">
      <c r="A217" s="28" t="s">
        <v>1157</v>
      </c>
      <c r="B217" s="29" t="s">
        <v>1158</v>
      </c>
      <c r="C217" s="28" t="s">
        <v>53</v>
      </c>
      <c r="D217" s="30">
        <v>60000</v>
      </c>
      <c r="E217" s="28" t="s">
        <v>1156</v>
      </c>
      <c r="F217" s="28"/>
      <c r="G217" s="28" t="s">
        <v>971</v>
      </c>
      <c r="H217" s="28" t="s">
        <v>1015</v>
      </c>
      <c r="I217" s="29"/>
      <c r="J217" s="31"/>
    </row>
    <row r="218" spans="1:10" ht="14.25" customHeight="1" x14ac:dyDescent="0.35">
      <c r="A218" s="28" t="s">
        <v>1159</v>
      </c>
      <c r="B218" s="29" t="s">
        <v>1160</v>
      </c>
      <c r="C218" s="28" t="s">
        <v>43</v>
      </c>
      <c r="D218" s="30">
        <v>67465.638888999994</v>
      </c>
      <c r="E218" s="28" t="s">
        <v>1161</v>
      </c>
      <c r="F218" s="28"/>
      <c r="G218" s="28" t="s">
        <v>592</v>
      </c>
      <c r="H218" s="28" t="s">
        <v>1015</v>
      </c>
      <c r="I218" s="29"/>
      <c r="J218" s="31"/>
    </row>
    <row r="219" spans="1:10" ht="14.25" customHeight="1" x14ac:dyDescent="0.35">
      <c r="A219" s="28" t="s">
        <v>1162</v>
      </c>
      <c r="B219" s="29" t="s">
        <v>1163</v>
      </c>
      <c r="C219" s="28" t="s">
        <v>92</v>
      </c>
      <c r="D219" s="30">
        <v>3388.60797</v>
      </c>
      <c r="E219" s="28" t="s">
        <v>1161</v>
      </c>
      <c r="F219" s="28"/>
      <c r="G219" s="28" t="s">
        <v>592</v>
      </c>
      <c r="H219" s="28" t="s">
        <v>1015</v>
      </c>
      <c r="I219" s="29"/>
      <c r="J219" s="31"/>
    </row>
    <row r="220" spans="1:10" ht="14.25" customHeight="1" x14ac:dyDescent="0.35">
      <c r="A220" s="28" t="s">
        <v>1164</v>
      </c>
      <c r="B220" s="29" t="s">
        <v>1165</v>
      </c>
      <c r="C220" s="28" t="s">
        <v>43</v>
      </c>
      <c r="D220" s="30">
        <v>125000</v>
      </c>
      <c r="E220" s="28" t="s">
        <v>1166</v>
      </c>
      <c r="F220" s="28"/>
      <c r="G220" s="28" t="s">
        <v>901</v>
      </c>
      <c r="H220" s="28" t="s">
        <v>1015</v>
      </c>
      <c r="I220" s="29"/>
      <c r="J220" s="31"/>
    </row>
    <row r="221" spans="1:10" ht="14.25" customHeight="1" x14ac:dyDescent="0.35">
      <c r="A221" s="28" t="s">
        <v>1167</v>
      </c>
      <c r="B221" s="29" t="s">
        <v>1168</v>
      </c>
      <c r="C221" s="28" t="s">
        <v>53</v>
      </c>
      <c r="D221" s="30">
        <v>69985.789999999994</v>
      </c>
      <c r="E221" s="28" t="s">
        <v>1166</v>
      </c>
      <c r="F221" s="28"/>
      <c r="G221" s="28" t="s">
        <v>592</v>
      </c>
      <c r="H221" s="28" t="s">
        <v>1015</v>
      </c>
      <c r="I221" s="29"/>
      <c r="J221" s="31"/>
    </row>
    <row r="222" spans="1:10" ht="14.25" customHeight="1" x14ac:dyDescent="0.35">
      <c r="A222" s="28" t="s">
        <v>1169</v>
      </c>
      <c r="B222" s="29" t="s">
        <v>1170</v>
      </c>
      <c r="C222" s="28" t="s">
        <v>53</v>
      </c>
      <c r="D222" s="30">
        <v>121487.603305785</v>
      </c>
      <c r="E222" s="28" t="s">
        <v>1171</v>
      </c>
      <c r="F222" s="28"/>
      <c r="G222" s="28" t="s">
        <v>1059</v>
      </c>
      <c r="H222" s="28" t="s">
        <v>1015</v>
      </c>
      <c r="I222" s="29"/>
      <c r="J222" s="31"/>
    </row>
    <row r="223" spans="1:10" ht="14.25" customHeight="1" x14ac:dyDescent="0.35">
      <c r="A223" s="28" t="s">
        <v>1172</v>
      </c>
      <c r="B223" s="29" t="s">
        <v>1173</v>
      </c>
      <c r="C223" s="28" t="s">
        <v>53</v>
      </c>
      <c r="D223" s="30">
        <v>100000</v>
      </c>
      <c r="E223" s="28" t="s">
        <v>1174</v>
      </c>
      <c r="F223" s="28"/>
      <c r="G223" s="28" t="s">
        <v>905</v>
      </c>
      <c r="H223" s="28" t="s">
        <v>1015</v>
      </c>
      <c r="I223" s="29"/>
      <c r="J223" s="31"/>
    </row>
    <row r="224" spans="1:10" ht="14.25" customHeight="1" x14ac:dyDescent="0.35">
      <c r="A224" s="28" t="s">
        <v>1175</v>
      </c>
      <c r="B224" s="29" t="s">
        <v>1176</v>
      </c>
      <c r="C224" s="28" t="s">
        <v>92</v>
      </c>
      <c r="D224" s="30">
        <v>6590.9962250622002</v>
      </c>
      <c r="E224" s="28" t="s">
        <v>1177</v>
      </c>
      <c r="F224" s="28"/>
      <c r="G224" s="28" t="s">
        <v>592</v>
      </c>
      <c r="H224" s="28" t="s">
        <v>1015</v>
      </c>
      <c r="I224" s="29"/>
      <c r="J224" s="31"/>
    </row>
    <row r="225" spans="1:10" ht="14.25" customHeight="1" x14ac:dyDescent="0.35">
      <c r="A225" s="28" t="s">
        <v>1178</v>
      </c>
      <c r="B225" s="29" t="s">
        <v>1179</v>
      </c>
      <c r="C225" s="28" t="s">
        <v>92</v>
      </c>
      <c r="D225" s="30">
        <v>4009.2266140000002</v>
      </c>
      <c r="E225" s="28" t="s">
        <v>1177</v>
      </c>
      <c r="F225" s="28"/>
      <c r="G225" s="28" t="s">
        <v>592</v>
      </c>
      <c r="H225" s="28" t="s">
        <v>1015</v>
      </c>
      <c r="I225" s="29"/>
      <c r="J225" s="31"/>
    </row>
    <row r="226" spans="1:10" ht="14.25" customHeight="1" x14ac:dyDescent="0.35">
      <c r="A226" s="28" t="s">
        <v>1180</v>
      </c>
      <c r="B226" s="29" t="s">
        <v>1181</v>
      </c>
      <c r="C226" s="28" t="s">
        <v>53</v>
      </c>
      <c r="D226" s="30">
        <v>15000</v>
      </c>
      <c r="E226" s="28" t="s">
        <v>1177</v>
      </c>
      <c r="F226" s="28"/>
      <c r="G226" s="28" t="s">
        <v>663</v>
      </c>
      <c r="H226" s="28" t="s">
        <v>1015</v>
      </c>
      <c r="I226" s="29"/>
      <c r="J226" s="31"/>
    </row>
    <row r="227" spans="1:10" ht="14.25" customHeight="1" x14ac:dyDescent="0.35">
      <c r="A227" s="28" t="s">
        <v>1182</v>
      </c>
      <c r="B227" s="29" t="s">
        <v>1183</v>
      </c>
      <c r="C227" s="28" t="s">
        <v>24</v>
      </c>
      <c r="D227" s="30">
        <v>174154.633388096</v>
      </c>
      <c r="E227" s="28" t="s">
        <v>1177</v>
      </c>
      <c r="F227" s="28"/>
      <c r="G227" s="28" t="s">
        <v>1014</v>
      </c>
      <c r="H227" s="28" t="s">
        <v>1015</v>
      </c>
      <c r="I227" s="29"/>
      <c r="J227" s="31"/>
    </row>
    <row r="228" spans="1:10" ht="14.25" customHeight="1" x14ac:dyDescent="0.35">
      <c r="A228" s="28" t="s">
        <v>1184</v>
      </c>
      <c r="B228" s="29" t="s">
        <v>1185</v>
      </c>
      <c r="C228" s="28" t="s">
        <v>53</v>
      </c>
      <c r="D228" s="30">
        <v>3625.4</v>
      </c>
      <c r="E228" s="28" t="s">
        <v>1186</v>
      </c>
      <c r="F228" s="28"/>
      <c r="G228" s="28" t="s">
        <v>592</v>
      </c>
      <c r="H228" s="28" t="s">
        <v>1015</v>
      </c>
      <c r="I228" s="29"/>
      <c r="J228" s="31"/>
    </row>
    <row r="229" spans="1:10" ht="14.25" customHeight="1" x14ac:dyDescent="0.35">
      <c r="A229" s="28" t="s">
        <v>1187</v>
      </c>
      <c r="B229" s="29" t="s">
        <v>1188</v>
      </c>
      <c r="C229" s="28" t="s">
        <v>53</v>
      </c>
      <c r="D229" s="30">
        <v>18595.0413223141</v>
      </c>
      <c r="E229" s="28" t="s">
        <v>1189</v>
      </c>
      <c r="F229" s="28"/>
      <c r="G229" s="28" t="s">
        <v>1019</v>
      </c>
      <c r="H229" s="28" t="s">
        <v>1015</v>
      </c>
      <c r="I229" s="29"/>
      <c r="J229" s="31"/>
    </row>
    <row r="230" spans="1:10" ht="14.25" customHeight="1" x14ac:dyDescent="0.35">
      <c r="A230" s="28" t="s">
        <v>1190</v>
      </c>
      <c r="B230" s="29" t="s">
        <v>1191</v>
      </c>
      <c r="C230" s="28" t="s">
        <v>53</v>
      </c>
      <c r="D230" s="30">
        <v>25454.5454545455</v>
      </c>
      <c r="E230" s="28" t="s">
        <v>1189</v>
      </c>
      <c r="F230" s="28"/>
      <c r="G230" s="28" t="s">
        <v>663</v>
      </c>
      <c r="H230" s="28" t="s">
        <v>1015</v>
      </c>
      <c r="I230" s="29"/>
      <c r="J230" s="31"/>
    </row>
    <row r="231" spans="1:10" ht="14.25" customHeight="1" x14ac:dyDescent="0.35">
      <c r="A231" s="28" t="s">
        <v>1192</v>
      </c>
      <c r="B231" s="29" t="s">
        <v>1193</v>
      </c>
      <c r="C231" s="28" t="s">
        <v>606</v>
      </c>
      <c r="D231" s="30">
        <v>6965.28</v>
      </c>
      <c r="E231" s="28" t="s">
        <v>1194</v>
      </c>
      <c r="F231" s="28"/>
      <c r="G231" s="28" t="s">
        <v>669</v>
      </c>
      <c r="H231" s="28" t="s">
        <v>1015</v>
      </c>
      <c r="I231" s="29"/>
      <c r="J231" s="31"/>
    </row>
    <row r="232" spans="1:10" ht="14.25" customHeight="1" x14ac:dyDescent="0.35">
      <c r="A232" s="28" t="s">
        <v>1195</v>
      </c>
      <c r="B232" s="29" t="s">
        <v>1196</v>
      </c>
      <c r="C232" s="28" t="s">
        <v>728</v>
      </c>
      <c r="D232" s="30">
        <v>127350</v>
      </c>
      <c r="E232" s="28" t="s">
        <v>1194</v>
      </c>
      <c r="F232" s="28"/>
      <c r="G232" s="28" t="s">
        <v>669</v>
      </c>
      <c r="H232" s="28" t="s">
        <v>1015</v>
      </c>
      <c r="I232" s="29"/>
      <c r="J232" s="31"/>
    </row>
    <row r="233" spans="1:10" ht="14.25" customHeight="1" x14ac:dyDescent="0.35">
      <c r="A233" s="28" t="s">
        <v>1197</v>
      </c>
      <c r="B233" s="29" t="s">
        <v>1198</v>
      </c>
      <c r="C233" s="28" t="s">
        <v>721</v>
      </c>
      <c r="D233" s="30">
        <v>35210.699999999997</v>
      </c>
      <c r="E233" s="28" t="s">
        <v>1194</v>
      </c>
      <c r="F233" s="28"/>
      <c r="G233" s="28" t="s">
        <v>669</v>
      </c>
      <c r="H233" s="28" t="s">
        <v>1015</v>
      </c>
      <c r="I233" s="29"/>
      <c r="J233" s="31"/>
    </row>
    <row r="234" spans="1:10" ht="14.25" customHeight="1" x14ac:dyDescent="0.35">
      <c r="A234" s="28" t="s">
        <v>1199</v>
      </c>
      <c r="B234" s="29" t="s">
        <v>1200</v>
      </c>
      <c r="C234" s="28" t="s">
        <v>53</v>
      </c>
      <c r="D234" s="30">
        <v>1108.49</v>
      </c>
      <c r="E234" s="28" t="s">
        <v>1201</v>
      </c>
      <c r="F234" s="28"/>
      <c r="G234" s="28" t="s">
        <v>669</v>
      </c>
      <c r="H234" s="28" t="s">
        <v>1015</v>
      </c>
      <c r="I234" s="29"/>
      <c r="J234" s="31"/>
    </row>
    <row r="235" spans="1:10" ht="14.25" customHeight="1" x14ac:dyDescent="0.35">
      <c r="A235" s="28" t="s">
        <v>1202</v>
      </c>
      <c r="B235" s="29" t="s">
        <v>1203</v>
      </c>
      <c r="C235" s="28" t="s">
        <v>721</v>
      </c>
      <c r="D235" s="30">
        <v>27000</v>
      </c>
      <c r="E235" s="28" t="s">
        <v>1204</v>
      </c>
      <c r="F235" s="28"/>
      <c r="G235" s="28" t="s">
        <v>592</v>
      </c>
      <c r="H235" s="28" t="s">
        <v>1015</v>
      </c>
      <c r="I235" s="29"/>
      <c r="J235" s="31"/>
    </row>
    <row r="236" spans="1:10" ht="14.25" customHeight="1" x14ac:dyDescent="0.35">
      <c r="A236" s="28" t="s">
        <v>1205</v>
      </c>
      <c r="B236" s="29" t="s">
        <v>1206</v>
      </c>
      <c r="C236" s="28" t="s">
        <v>151</v>
      </c>
      <c r="D236" s="30">
        <v>69985.789999999994</v>
      </c>
      <c r="E236" s="28" t="s">
        <v>1204</v>
      </c>
      <c r="F236" s="28"/>
      <c r="G236" s="28" t="s">
        <v>592</v>
      </c>
      <c r="H236" s="28" t="s">
        <v>1015</v>
      </c>
      <c r="I236" s="29"/>
      <c r="J236" s="31"/>
    </row>
    <row r="237" spans="1:10" ht="14.25" customHeight="1" x14ac:dyDescent="0.35">
      <c r="A237" s="28" t="s">
        <v>1207</v>
      </c>
      <c r="B237" s="29" t="s">
        <v>1208</v>
      </c>
      <c r="C237" s="28" t="s">
        <v>43</v>
      </c>
      <c r="D237" s="30">
        <v>115100</v>
      </c>
      <c r="E237" s="28" t="s">
        <v>1204</v>
      </c>
      <c r="F237" s="28"/>
      <c r="G237" s="28" t="s">
        <v>901</v>
      </c>
      <c r="H237" s="28" t="s">
        <v>1015</v>
      </c>
      <c r="I237" s="29"/>
      <c r="J237" s="31"/>
    </row>
    <row r="238" spans="1:10" ht="14.25" customHeight="1" x14ac:dyDescent="0.35">
      <c r="A238" s="28" t="s">
        <v>1209</v>
      </c>
      <c r="B238" s="29" t="s">
        <v>1210</v>
      </c>
      <c r="C238" s="28" t="s">
        <v>24</v>
      </c>
      <c r="D238" s="30">
        <v>533000</v>
      </c>
      <c r="E238" s="28" t="s">
        <v>1211</v>
      </c>
      <c r="F238" s="28"/>
      <c r="G238" s="28" t="s">
        <v>905</v>
      </c>
      <c r="H238" s="28" t="s">
        <v>1015</v>
      </c>
      <c r="I238" s="29"/>
      <c r="J238" s="31"/>
    </row>
    <row r="239" spans="1:10" ht="14.25" customHeight="1" x14ac:dyDescent="0.35">
      <c r="A239" s="28" t="s">
        <v>1212</v>
      </c>
      <c r="B239" s="29" t="s">
        <v>1099</v>
      </c>
      <c r="C239" s="28" t="s">
        <v>1213</v>
      </c>
      <c r="D239" s="30">
        <v>25000</v>
      </c>
      <c r="E239" s="28" t="s">
        <v>1211</v>
      </c>
      <c r="F239" s="28"/>
      <c r="G239" s="28" t="s">
        <v>905</v>
      </c>
      <c r="H239" s="28" t="s">
        <v>1015</v>
      </c>
      <c r="I239" s="29"/>
      <c r="J239" s="31"/>
    </row>
    <row r="240" spans="1:10" ht="14.25" customHeight="1" x14ac:dyDescent="0.35">
      <c r="A240" s="28" t="s">
        <v>1214</v>
      </c>
      <c r="B240" s="29" t="s">
        <v>1215</v>
      </c>
      <c r="C240" s="28" t="s">
        <v>1070</v>
      </c>
      <c r="D240" s="30">
        <v>20000</v>
      </c>
      <c r="E240" s="28" t="s">
        <v>1216</v>
      </c>
      <c r="F240" s="28"/>
      <c r="G240" s="28" t="s">
        <v>905</v>
      </c>
      <c r="H240" s="28" t="s">
        <v>1015</v>
      </c>
      <c r="I240" s="29"/>
      <c r="J240" s="31"/>
    </row>
    <row r="241" spans="1:10" ht="14.25" customHeight="1" x14ac:dyDescent="0.35">
      <c r="A241" s="28" t="s">
        <v>1217</v>
      </c>
      <c r="B241" s="29" t="s">
        <v>1218</v>
      </c>
      <c r="C241" s="28" t="s">
        <v>43</v>
      </c>
      <c r="D241" s="30">
        <v>125000</v>
      </c>
      <c r="E241" s="28" t="s">
        <v>1216</v>
      </c>
      <c r="F241" s="28"/>
      <c r="G241" s="28" t="s">
        <v>905</v>
      </c>
      <c r="H241" s="28" t="s">
        <v>1015</v>
      </c>
      <c r="I241" s="29"/>
      <c r="J241" s="31"/>
    </row>
    <row r="242" spans="1:10" ht="14.25" customHeight="1" x14ac:dyDescent="0.35">
      <c r="A242" s="28" t="s">
        <v>1219</v>
      </c>
      <c r="B242" s="29" t="s">
        <v>1220</v>
      </c>
      <c r="C242" s="28" t="s">
        <v>24</v>
      </c>
      <c r="D242" s="30">
        <v>57771</v>
      </c>
      <c r="E242" s="28" t="s">
        <v>1221</v>
      </c>
      <c r="F242" s="28"/>
      <c r="G242" s="28" t="s">
        <v>592</v>
      </c>
      <c r="H242" s="28" t="s">
        <v>1015</v>
      </c>
      <c r="I242" s="29"/>
      <c r="J242" s="31"/>
    </row>
    <row r="243" spans="1:10" ht="14.25" customHeight="1" x14ac:dyDescent="0.35">
      <c r="A243" s="28" t="s">
        <v>1222</v>
      </c>
      <c r="B243" s="29" t="s">
        <v>1223</v>
      </c>
      <c r="C243" s="28" t="s">
        <v>43</v>
      </c>
      <c r="D243" s="30">
        <v>32399.77</v>
      </c>
      <c r="E243" s="28" t="s">
        <v>1221</v>
      </c>
      <c r="F243" s="28"/>
      <c r="G243" s="28" t="s">
        <v>592</v>
      </c>
      <c r="H243" s="28" t="s">
        <v>1015</v>
      </c>
      <c r="I243" s="29"/>
      <c r="J243" s="31"/>
    </row>
    <row r="244" spans="1:10" ht="14.25" customHeight="1" x14ac:dyDescent="0.35">
      <c r="A244" s="28" t="s">
        <v>1224</v>
      </c>
      <c r="B244" s="29" t="s">
        <v>1225</v>
      </c>
      <c r="C244" s="28" t="s">
        <v>606</v>
      </c>
      <c r="D244" s="30">
        <v>4958.6776859504098</v>
      </c>
      <c r="E244" s="28" t="s">
        <v>1226</v>
      </c>
      <c r="F244" s="28"/>
      <c r="G244" s="28" t="s">
        <v>669</v>
      </c>
      <c r="H244" s="28" t="s">
        <v>1015</v>
      </c>
      <c r="I244" s="29"/>
      <c r="J244" s="31"/>
    </row>
    <row r="245" spans="1:10" ht="14.25" customHeight="1" x14ac:dyDescent="0.35">
      <c r="A245" s="28" t="s">
        <v>1227</v>
      </c>
      <c r="B245" s="29" t="s">
        <v>1228</v>
      </c>
      <c r="C245" s="28" t="s">
        <v>728</v>
      </c>
      <c r="D245" s="30">
        <v>66115.702479338797</v>
      </c>
      <c r="E245" s="28" t="s">
        <v>1226</v>
      </c>
      <c r="F245" s="28"/>
      <c r="G245" s="28" t="s">
        <v>669</v>
      </c>
      <c r="H245" s="28" t="s">
        <v>1015</v>
      </c>
      <c r="I245" s="29"/>
      <c r="J245" s="31"/>
    </row>
    <row r="246" spans="1:10" ht="14.25" customHeight="1" x14ac:dyDescent="0.35">
      <c r="A246" s="28" t="s">
        <v>1229</v>
      </c>
      <c r="B246" s="29" t="s">
        <v>1230</v>
      </c>
      <c r="C246" s="28" t="s">
        <v>92</v>
      </c>
      <c r="D246" s="30">
        <v>4066.3295640000001</v>
      </c>
      <c r="E246" s="28" t="s">
        <v>1231</v>
      </c>
      <c r="F246" s="28"/>
      <c r="G246" s="28" t="s">
        <v>592</v>
      </c>
      <c r="H246" s="28" t="s">
        <v>1015</v>
      </c>
      <c r="I246" s="29"/>
      <c r="J246" s="31"/>
    </row>
    <row r="247" spans="1:10" ht="14.25" customHeight="1" x14ac:dyDescent="0.35">
      <c r="A247" s="28" t="s">
        <v>1232</v>
      </c>
      <c r="B247" s="29" t="s">
        <v>1233</v>
      </c>
      <c r="C247" s="28" t="s">
        <v>53</v>
      </c>
      <c r="D247" s="30">
        <v>8951.7603305785105</v>
      </c>
      <c r="E247" s="28" t="s">
        <v>1234</v>
      </c>
      <c r="F247" s="28"/>
      <c r="G247" s="28" t="s">
        <v>971</v>
      </c>
      <c r="H247" s="28" t="s">
        <v>1015</v>
      </c>
      <c r="I247" s="29"/>
      <c r="J247" s="31"/>
    </row>
    <row r="248" spans="1:10" ht="14.25" customHeight="1" x14ac:dyDescent="0.35">
      <c r="A248" s="28" t="s">
        <v>1235</v>
      </c>
      <c r="B248" s="29" t="s">
        <v>1236</v>
      </c>
      <c r="C248" s="28" t="s">
        <v>1237</v>
      </c>
      <c r="D248" s="30">
        <v>12396.694214876001</v>
      </c>
      <c r="E248" s="28" t="s">
        <v>1234</v>
      </c>
      <c r="F248" s="28"/>
      <c r="G248" s="28" t="s">
        <v>800</v>
      </c>
      <c r="H248" s="28" t="s">
        <v>1015</v>
      </c>
      <c r="I248" s="29"/>
      <c r="J248" s="31"/>
    </row>
    <row r="249" spans="1:10" ht="14.25" customHeight="1" x14ac:dyDescent="0.35">
      <c r="A249" s="28" t="s">
        <v>1238</v>
      </c>
      <c r="B249" s="29" t="s">
        <v>1239</v>
      </c>
      <c r="C249" s="28" t="s">
        <v>662</v>
      </c>
      <c r="D249" s="30">
        <v>6611.5702479338797</v>
      </c>
      <c r="E249" s="28" t="s">
        <v>1234</v>
      </c>
      <c r="F249" s="28"/>
      <c r="G249" s="28" t="s">
        <v>800</v>
      </c>
      <c r="H249" s="28" t="s">
        <v>1015</v>
      </c>
      <c r="I249" s="29"/>
      <c r="J249" s="31"/>
    </row>
    <row r="250" spans="1:10" ht="14.25" customHeight="1" x14ac:dyDescent="0.35">
      <c r="A250" s="28" t="s">
        <v>1240</v>
      </c>
      <c r="B250" s="29" t="s">
        <v>193</v>
      </c>
      <c r="C250" s="28" t="s">
        <v>92</v>
      </c>
      <c r="D250" s="30">
        <v>1303.43902298851</v>
      </c>
      <c r="E250" s="28" t="s">
        <v>1241</v>
      </c>
      <c r="F250" s="28"/>
      <c r="G250" s="28" t="s">
        <v>905</v>
      </c>
      <c r="H250" s="28" t="s">
        <v>1015</v>
      </c>
      <c r="I250" s="29"/>
      <c r="J250" s="31"/>
    </row>
    <row r="251" spans="1:10" ht="14.25" customHeight="1" x14ac:dyDescent="0.35">
      <c r="A251" s="28" t="s">
        <v>1242</v>
      </c>
      <c r="B251" s="29" t="s">
        <v>1243</v>
      </c>
      <c r="C251" s="28" t="s">
        <v>606</v>
      </c>
      <c r="D251" s="30">
        <v>10936.8</v>
      </c>
      <c r="E251" s="28" t="s">
        <v>1244</v>
      </c>
      <c r="F251" s="28"/>
      <c r="G251" s="28" t="s">
        <v>592</v>
      </c>
      <c r="H251" s="28" t="s">
        <v>1015</v>
      </c>
      <c r="I251" s="29"/>
      <c r="J251" s="31"/>
    </row>
    <row r="252" spans="1:10" ht="14.25" customHeight="1" x14ac:dyDescent="0.35">
      <c r="A252" s="28" t="s">
        <v>1245</v>
      </c>
      <c r="B252" s="29" t="s">
        <v>1246</v>
      </c>
      <c r="C252" s="28" t="s">
        <v>606</v>
      </c>
      <c r="D252" s="30">
        <v>6428.7</v>
      </c>
      <c r="E252" s="28" t="s">
        <v>1244</v>
      </c>
      <c r="F252" s="28"/>
      <c r="G252" s="28" t="s">
        <v>654</v>
      </c>
      <c r="H252" s="28" t="s">
        <v>1015</v>
      </c>
      <c r="I252" s="29"/>
      <c r="J252" s="31"/>
    </row>
    <row r="253" spans="1:10" ht="14.25" customHeight="1" x14ac:dyDescent="0.35">
      <c r="A253" s="28" t="s">
        <v>1247</v>
      </c>
      <c r="B253" s="29" t="s">
        <v>1248</v>
      </c>
      <c r="C253" s="28" t="s">
        <v>28</v>
      </c>
      <c r="D253" s="30">
        <v>2000</v>
      </c>
      <c r="E253" s="28" t="s">
        <v>1249</v>
      </c>
      <c r="F253" s="28"/>
      <c r="G253" s="28" t="s">
        <v>592</v>
      </c>
      <c r="H253" s="28" t="s">
        <v>1015</v>
      </c>
      <c r="I253" s="29"/>
      <c r="J253" s="31"/>
    </row>
    <row r="254" spans="1:10" ht="14.25" customHeight="1" x14ac:dyDescent="0.35">
      <c r="A254" s="28" t="s">
        <v>1250</v>
      </c>
      <c r="B254" s="29" t="s">
        <v>1251</v>
      </c>
      <c r="C254" s="28" t="s">
        <v>606</v>
      </c>
      <c r="D254" s="30">
        <v>16594.68</v>
      </c>
      <c r="E254" s="28" t="s">
        <v>1252</v>
      </c>
      <c r="F254" s="28"/>
      <c r="G254" s="28" t="s">
        <v>669</v>
      </c>
      <c r="H254" s="28" t="s">
        <v>1015</v>
      </c>
      <c r="I254" s="29"/>
      <c r="J254" s="31"/>
    </row>
    <row r="255" spans="1:10" ht="14.25" customHeight="1" x14ac:dyDescent="0.35">
      <c r="A255" s="28" t="s">
        <v>1253</v>
      </c>
      <c r="B255" s="29" t="s">
        <v>1254</v>
      </c>
      <c r="C255" s="28" t="s">
        <v>728</v>
      </c>
      <c r="D255" s="30">
        <v>127350</v>
      </c>
      <c r="E255" s="28" t="s">
        <v>1255</v>
      </c>
      <c r="F255" s="28"/>
      <c r="G255" s="28" t="s">
        <v>669</v>
      </c>
      <c r="H255" s="28" t="s">
        <v>1015</v>
      </c>
      <c r="I255" s="29"/>
      <c r="J255" s="31"/>
    </row>
    <row r="256" spans="1:10" ht="14.25" customHeight="1" x14ac:dyDescent="0.35">
      <c r="A256" s="28" t="s">
        <v>1256</v>
      </c>
      <c r="B256" s="29" t="s">
        <v>1257</v>
      </c>
      <c r="C256" s="28" t="s">
        <v>92</v>
      </c>
      <c r="D256" s="30">
        <v>1824.926273</v>
      </c>
      <c r="E256" s="28" t="s">
        <v>1258</v>
      </c>
      <c r="F256" s="28"/>
      <c r="G256" s="28" t="s">
        <v>800</v>
      </c>
      <c r="H256" s="28" t="s">
        <v>1015</v>
      </c>
      <c r="I256" s="29"/>
      <c r="J256" s="31"/>
    </row>
    <row r="257" spans="1:10" ht="14.25" customHeight="1" x14ac:dyDescent="0.35">
      <c r="A257" s="28" t="s">
        <v>1259</v>
      </c>
      <c r="B257" s="29" t="s">
        <v>1260</v>
      </c>
      <c r="C257" s="28" t="s">
        <v>728</v>
      </c>
      <c r="D257" s="30">
        <v>200000</v>
      </c>
      <c r="E257" s="28" t="s">
        <v>1261</v>
      </c>
      <c r="F257" s="28"/>
      <c r="G257" s="28" t="s">
        <v>663</v>
      </c>
      <c r="H257" s="28" t="s">
        <v>1015</v>
      </c>
      <c r="I257" s="29"/>
      <c r="J257" s="31"/>
    </row>
    <row r="258" spans="1:10" ht="14.25" customHeight="1" x14ac:dyDescent="0.35">
      <c r="A258" s="28" t="s">
        <v>1262</v>
      </c>
      <c r="B258" s="29" t="s">
        <v>1263</v>
      </c>
      <c r="C258" s="28" t="s">
        <v>728</v>
      </c>
      <c r="D258" s="30">
        <v>50000</v>
      </c>
      <c r="E258" s="28" t="s">
        <v>1264</v>
      </c>
      <c r="F258" s="28"/>
      <c r="G258" s="28" t="s">
        <v>905</v>
      </c>
      <c r="H258" s="28" t="s">
        <v>1015</v>
      </c>
      <c r="I258" s="29"/>
      <c r="J258" s="31"/>
    </row>
    <row r="259" spans="1:10" ht="14.25" customHeight="1" x14ac:dyDescent="0.35">
      <c r="A259" s="28" t="s">
        <v>1265</v>
      </c>
      <c r="B259" s="29" t="s">
        <v>92</v>
      </c>
      <c r="C259" s="28" t="s">
        <v>92</v>
      </c>
      <c r="D259" s="30">
        <v>1551.0509595000001</v>
      </c>
      <c r="E259" s="28" t="s">
        <v>1266</v>
      </c>
      <c r="F259" s="28"/>
      <c r="G259" s="28" t="s">
        <v>1047</v>
      </c>
      <c r="H259" s="28" t="s">
        <v>1015</v>
      </c>
      <c r="I259" s="29"/>
      <c r="J259" s="31"/>
    </row>
    <row r="260" spans="1:10" ht="14.25" customHeight="1" x14ac:dyDescent="0.35">
      <c r="A260" s="28" t="s">
        <v>1267</v>
      </c>
      <c r="B260" s="29" t="s">
        <v>1268</v>
      </c>
      <c r="C260" s="28" t="s">
        <v>53</v>
      </c>
      <c r="D260" s="30">
        <v>1310987.02036364</v>
      </c>
      <c r="E260" s="28" t="s">
        <v>1269</v>
      </c>
      <c r="F260" s="28"/>
      <c r="G260" s="28" t="s">
        <v>1270</v>
      </c>
      <c r="H260" s="28" t="s">
        <v>1015</v>
      </c>
      <c r="I260" s="29"/>
      <c r="J260" s="31"/>
    </row>
    <row r="261" spans="1:10" ht="14.25" customHeight="1" x14ac:dyDescent="0.35">
      <c r="A261" s="28" t="s">
        <v>1271</v>
      </c>
      <c r="B261" s="29" t="s">
        <v>1272</v>
      </c>
      <c r="C261" s="28" t="s">
        <v>53</v>
      </c>
      <c r="D261" s="30">
        <v>592217.14204958698</v>
      </c>
      <c r="E261" s="28" t="s">
        <v>1269</v>
      </c>
      <c r="F261" s="28"/>
      <c r="G261" s="28" t="s">
        <v>1270</v>
      </c>
      <c r="H261" s="28" t="s">
        <v>1015</v>
      </c>
      <c r="I261" s="29"/>
      <c r="J261" s="31"/>
    </row>
    <row r="262" spans="1:10" ht="14.25" customHeight="1" x14ac:dyDescent="0.35">
      <c r="A262" s="28" t="s">
        <v>1273</v>
      </c>
      <c r="B262" s="29" t="s">
        <v>1274</v>
      </c>
      <c r="C262" s="28" t="s">
        <v>53</v>
      </c>
      <c r="D262" s="30">
        <v>159726.77404958699</v>
      </c>
      <c r="E262" s="28" t="s">
        <v>1269</v>
      </c>
      <c r="F262" s="28"/>
      <c r="G262" s="28" t="s">
        <v>1270</v>
      </c>
      <c r="H262" s="28" t="s">
        <v>1015</v>
      </c>
      <c r="I262" s="29"/>
      <c r="J262" s="31"/>
    </row>
    <row r="263" spans="1:10" ht="14.25" customHeight="1" x14ac:dyDescent="0.35">
      <c r="A263" s="28" t="s">
        <v>1275</v>
      </c>
      <c r="B263" s="29" t="s">
        <v>1276</v>
      </c>
      <c r="C263" s="28" t="s">
        <v>53</v>
      </c>
      <c r="D263" s="30">
        <v>207344.83199999999</v>
      </c>
      <c r="E263" s="28" t="s">
        <v>1269</v>
      </c>
      <c r="F263" s="28"/>
      <c r="G263" s="28" t="s">
        <v>1270</v>
      </c>
      <c r="H263" s="28" t="s">
        <v>1015</v>
      </c>
      <c r="I263" s="29"/>
      <c r="J263" s="31"/>
    </row>
    <row r="264" spans="1:10" ht="14.25" customHeight="1" x14ac:dyDescent="0.35">
      <c r="A264" s="28" t="s">
        <v>1277</v>
      </c>
      <c r="B264" s="29" t="s">
        <v>1278</v>
      </c>
      <c r="C264" s="28" t="s">
        <v>24</v>
      </c>
      <c r="D264" s="30">
        <v>3200954.2587479302</v>
      </c>
      <c r="E264" s="28" t="s">
        <v>1279</v>
      </c>
      <c r="F264" s="28"/>
      <c r="G264" s="28" t="s">
        <v>1047</v>
      </c>
      <c r="H264" s="28" t="s">
        <v>1015</v>
      </c>
      <c r="I264" s="29"/>
      <c r="J264" s="31"/>
    </row>
    <row r="265" spans="1:10" ht="14.25" customHeight="1" x14ac:dyDescent="0.35">
      <c r="A265" s="28" t="s">
        <v>1280</v>
      </c>
      <c r="B265" s="29" t="s">
        <v>1281</v>
      </c>
      <c r="C265" s="28" t="s">
        <v>24</v>
      </c>
      <c r="D265" s="30">
        <v>3075822.2459999998</v>
      </c>
      <c r="E265" s="28" t="s">
        <v>1282</v>
      </c>
      <c r="F265" s="28"/>
      <c r="G265" s="28" t="s">
        <v>1047</v>
      </c>
      <c r="H265" s="28" t="s">
        <v>1015</v>
      </c>
      <c r="I265" s="29"/>
      <c r="J265" s="31"/>
    </row>
    <row r="266" spans="1:10" ht="14.25" customHeight="1" x14ac:dyDescent="0.35">
      <c r="A266" s="28" t="s">
        <v>1283</v>
      </c>
      <c r="B266" s="29" t="s">
        <v>1284</v>
      </c>
      <c r="C266" s="28" t="s">
        <v>24</v>
      </c>
      <c r="D266" s="30">
        <v>2201631.50655</v>
      </c>
      <c r="E266" s="28" t="s">
        <v>1285</v>
      </c>
      <c r="F266" s="28"/>
      <c r="G266" s="28" t="s">
        <v>1059</v>
      </c>
      <c r="H266" s="28" t="s">
        <v>1015</v>
      </c>
      <c r="I266" s="29"/>
      <c r="J266" s="31"/>
    </row>
    <row r="267" spans="1:10" ht="14.25" customHeight="1" x14ac:dyDescent="0.35">
      <c r="A267" s="28" t="s">
        <v>1286</v>
      </c>
      <c r="B267" s="29" t="s">
        <v>1287</v>
      </c>
      <c r="C267" s="28" t="s">
        <v>24</v>
      </c>
      <c r="D267" s="30">
        <v>2830669.0798499999</v>
      </c>
      <c r="E267" s="28" t="s">
        <v>1285</v>
      </c>
      <c r="F267" s="28"/>
      <c r="G267" s="28" t="s">
        <v>1059</v>
      </c>
      <c r="H267" s="28" t="s">
        <v>1015</v>
      </c>
      <c r="I267" s="29"/>
      <c r="J267" s="31"/>
    </row>
    <row r="268" spans="1:10" ht="14.25" customHeight="1" x14ac:dyDescent="0.35">
      <c r="A268" s="28" t="s">
        <v>1288</v>
      </c>
      <c r="B268" s="29" t="s">
        <v>1289</v>
      </c>
      <c r="C268" s="28" t="s">
        <v>24</v>
      </c>
      <c r="D268" s="30">
        <v>1258075.1466000001</v>
      </c>
      <c r="E268" s="28" t="s">
        <v>1285</v>
      </c>
      <c r="F268" s="28"/>
      <c r="G268" s="28" t="s">
        <v>1059</v>
      </c>
      <c r="H268" s="28" t="s">
        <v>1015</v>
      </c>
      <c r="I268" s="29"/>
      <c r="J268" s="31"/>
    </row>
    <row r="269" spans="1:10" ht="14.25" customHeight="1" x14ac:dyDescent="0.35">
      <c r="A269" s="28" t="s">
        <v>1290</v>
      </c>
      <c r="B269" s="29" t="s">
        <v>1291</v>
      </c>
      <c r="C269" s="28" t="s">
        <v>24</v>
      </c>
      <c r="D269" s="30">
        <v>733877.16885000002</v>
      </c>
      <c r="E269" s="28" t="s">
        <v>1285</v>
      </c>
      <c r="F269" s="28"/>
      <c r="G269" s="28" t="s">
        <v>1059</v>
      </c>
      <c r="H269" s="28" t="s">
        <v>1015</v>
      </c>
      <c r="I269" s="29"/>
      <c r="J269" s="31"/>
    </row>
    <row r="270" spans="1:10" ht="14.25" customHeight="1" x14ac:dyDescent="0.35">
      <c r="A270" s="28" t="s">
        <v>1292</v>
      </c>
      <c r="B270" s="29" t="s">
        <v>1293</v>
      </c>
      <c r="C270" s="28" t="s">
        <v>24</v>
      </c>
      <c r="D270" s="30">
        <v>1048395.9555</v>
      </c>
      <c r="E270" s="28" t="s">
        <v>1285</v>
      </c>
      <c r="F270" s="28"/>
      <c r="G270" s="28" t="s">
        <v>1059</v>
      </c>
      <c r="H270" s="28" t="s">
        <v>1015</v>
      </c>
      <c r="I270" s="29"/>
      <c r="J270" s="31"/>
    </row>
    <row r="271" spans="1:10" ht="14.25" customHeight="1" x14ac:dyDescent="0.35">
      <c r="A271" s="28" t="s">
        <v>1294</v>
      </c>
      <c r="B271" s="29" t="s">
        <v>1295</v>
      </c>
      <c r="C271" s="28" t="s">
        <v>24</v>
      </c>
      <c r="D271" s="30">
        <v>314518.78665000002</v>
      </c>
      <c r="E271" s="28" t="s">
        <v>1285</v>
      </c>
      <c r="F271" s="28"/>
      <c r="G271" s="28" t="s">
        <v>1059</v>
      </c>
      <c r="H271" s="28" t="s">
        <v>1015</v>
      </c>
      <c r="I271" s="29"/>
      <c r="J271" s="31"/>
    </row>
    <row r="272" spans="1:10" ht="14.25" customHeight="1" x14ac:dyDescent="0.35">
      <c r="A272" s="28" t="s">
        <v>1296</v>
      </c>
      <c r="B272" s="29" t="s">
        <v>1297</v>
      </c>
      <c r="C272" s="28" t="s">
        <v>24</v>
      </c>
      <c r="D272" s="30">
        <v>892886.95565999998</v>
      </c>
      <c r="E272" s="28" t="s">
        <v>1298</v>
      </c>
      <c r="F272" s="28"/>
      <c r="G272" s="28" t="s">
        <v>1059</v>
      </c>
      <c r="H272" s="28" t="s">
        <v>1015</v>
      </c>
      <c r="I272" s="29"/>
      <c r="J272" s="31"/>
    </row>
    <row r="273" spans="1:10" ht="14.25" customHeight="1" x14ac:dyDescent="0.35">
      <c r="A273" s="28" t="s">
        <v>1299</v>
      </c>
      <c r="B273" s="29" t="s">
        <v>1300</v>
      </c>
      <c r="C273" s="28" t="s">
        <v>24</v>
      </c>
      <c r="D273" s="30">
        <v>1190515.9408799999</v>
      </c>
      <c r="E273" s="28" t="s">
        <v>1298</v>
      </c>
      <c r="F273" s="28"/>
      <c r="G273" s="28" t="s">
        <v>1059</v>
      </c>
      <c r="H273" s="28" t="s">
        <v>1015</v>
      </c>
      <c r="I273" s="29"/>
      <c r="J273" s="31"/>
    </row>
    <row r="274" spans="1:10" ht="14.25" customHeight="1" x14ac:dyDescent="0.35">
      <c r="A274" s="28" t="s">
        <v>1301</v>
      </c>
      <c r="B274" s="29" t="s">
        <v>1302</v>
      </c>
      <c r="C274" s="28" t="s">
        <v>24</v>
      </c>
      <c r="D274" s="30">
        <v>892886.95565999998</v>
      </c>
      <c r="E274" s="28" t="s">
        <v>1298</v>
      </c>
      <c r="F274" s="28"/>
      <c r="G274" s="28" t="s">
        <v>1059</v>
      </c>
      <c r="H274" s="28" t="s">
        <v>1015</v>
      </c>
      <c r="I274" s="29"/>
      <c r="J274" s="31"/>
    </row>
    <row r="275" spans="1:10" ht="14.25" customHeight="1" x14ac:dyDescent="0.35">
      <c r="A275" s="28" t="s">
        <v>1303</v>
      </c>
      <c r="B275" s="29" t="s">
        <v>1304</v>
      </c>
      <c r="C275" s="28" t="s">
        <v>24</v>
      </c>
      <c r="D275" s="30">
        <v>2976289.8522000001</v>
      </c>
      <c r="E275" s="28" t="s">
        <v>1298</v>
      </c>
      <c r="F275" s="28"/>
      <c r="G275" s="28" t="s">
        <v>1059</v>
      </c>
      <c r="H275" s="28" t="s">
        <v>1015</v>
      </c>
      <c r="I275" s="29"/>
      <c r="J275" s="31"/>
    </row>
    <row r="276" spans="1:10" ht="14.25" customHeight="1" x14ac:dyDescent="0.35">
      <c r="A276" s="28" t="s">
        <v>1305</v>
      </c>
      <c r="B276" s="29" t="s">
        <v>1306</v>
      </c>
      <c r="C276" s="28" t="s">
        <v>24</v>
      </c>
      <c r="D276" s="30">
        <v>2023467.36</v>
      </c>
      <c r="E276" s="28" t="s">
        <v>1298</v>
      </c>
      <c r="F276" s="28"/>
      <c r="G276" s="28" t="s">
        <v>1059</v>
      </c>
      <c r="H276" s="28" t="s">
        <v>1015</v>
      </c>
      <c r="I276" s="29"/>
      <c r="J276" s="31"/>
    </row>
    <row r="277" spans="1:10" ht="14.25" customHeight="1" x14ac:dyDescent="0.35">
      <c r="A277" s="28" t="s">
        <v>1307</v>
      </c>
      <c r="B277" s="29" t="s">
        <v>342</v>
      </c>
      <c r="C277" s="28" t="s">
        <v>24</v>
      </c>
      <c r="D277" s="30">
        <v>450000</v>
      </c>
      <c r="E277" s="28" t="s">
        <v>1308</v>
      </c>
      <c r="F277" s="28"/>
      <c r="G277" s="28" t="s">
        <v>1309</v>
      </c>
      <c r="H277" s="28" t="s">
        <v>1015</v>
      </c>
      <c r="I277" s="29"/>
      <c r="J277" s="31"/>
    </row>
    <row r="278" spans="1:10" ht="14.25" customHeight="1" x14ac:dyDescent="0.35">
      <c r="A278" s="28" t="s">
        <v>1310</v>
      </c>
      <c r="B278" s="29" t="s">
        <v>1311</v>
      </c>
      <c r="C278" s="28" t="s">
        <v>24</v>
      </c>
      <c r="D278" s="30">
        <v>6864779.6540000001</v>
      </c>
      <c r="E278" s="28" t="s">
        <v>1312</v>
      </c>
      <c r="F278" s="28"/>
      <c r="G278" s="28" t="s">
        <v>1309</v>
      </c>
      <c r="H278" s="28" t="s">
        <v>1015</v>
      </c>
      <c r="I278" s="29"/>
      <c r="J278" s="31"/>
    </row>
    <row r="279" spans="1:10" ht="14.25" customHeight="1" x14ac:dyDescent="0.35">
      <c r="A279" s="28" t="s">
        <v>1313</v>
      </c>
      <c r="B279" s="29" t="s">
        <v>1314</v>
      </c>
      <c r="C279" s="28" t="s">
        <v>24</v>
      </c>
      <c r="D279" s="30">
        <v>601141.68000000005</v>
      </c>
      <c r="E279" s="28" t="s">
        <v>1312</v>
      </c>
      <c r="F279" s="28"/>
      <c r="G279" s="28" t="s">
        <v>1309</v>
      </c>
      <c r="H279" s="28" t="s">
        <v>1015</v>
      </c>
      <c r="I279" s="29"/>
      <c r="J279" s="31"/>
    </row>
    <row r="280" spans="1:10" ht="14.25" customHeight="1" x14ac:dyDescent="0.35">
      <c r="A280" s="28" t="s">
        <v>1315</v>
      </c>
      <c r="B280" s="29" t="s">
        <v>1316</v>
      </c>
      <c r="C280" s="28" t="s">
        <v>24</v>
      </c>
      <c r="D280" s="30">
        <v>2943433.7760000001</v>
      </c>
      <c r="E280" s="28" t="s">
        <v>1317</v>
      </c>
      <c r="F280" s="28"/>
      <c r="G280" s="28" t="s">
        <v>1318</v>
      </c>
      <c r="H280" s="28" t="s">
        <v>1015</v>
      </c>
      <c r="I280" s="29"/>
      <c r="J280" s="31"/>
    </row>
    <row r="281" spans="1:10" ht="14.25" customHeight="1" x14ac:dyDescent="0.35">
      <c r="A281" s="28" t="s">
        <v>1319</v>
      </c>
      <c r="B281" s="29" t="s">
        <v>1320</v>
      </c>
      <c r="C281" s="28" t="s">
        <v>24</v>
      </c>
      <c r="D281" s="30">
        <v>5213745.5347999996</v>
      </c>
      <c r="E281" s="28" t="s">
        <v>1321</v>
      </c>
      <c r="F281" s="28"/>
      <c r="G281" s="28" t="s">
        <v>1322</v>
      </c>
      <c r="H281" s="28" t="s">
        <v>1015</v>
      </c>
      <c r="I281" s="29"/>
      <c r="J281" s="31"/>
    </row>
    <row r="282" spans="1:10" ht="14.25" customHeight="1" x14ac:dyDescent="0.35">
      <c r="A282" s="28" t="s">
        <v>1323</v>
      </c>
      <c r="B282" s="29" t="s">
        <v>352</v>
      </c>
      <c r="C282" s="28" t="s">
        <v>53</v>
      </c>
      <c r="D282" s="30">
        <v>15000</v>
      </c>
      <c r="E282" s="28" t="s">
        <v>1324</v>
      </c>
      <c r="F282" s="28"/>
      <c r="G282" s="28" t="s">
        <v>1322</v>
      </c>
      <c r="H282" s="28" t="s">
        <v>1015</v>
      </c>
      <c r="I282" s="29"/>
      <c r="J282" s="31"/>
    </row>
    <row r="283" spans="1:10" ht="14.25" customHeight="1" x14ac:dyDescent="0.35">
      <c r="A283" s="28" t="s">
        <v>1325</v>
      </c>
      <c r="B283" s="29" t="s">
        <v>354</v>
      </c>
      <c r="C283" s="28" t="s">
        <v>24</v>
      </c>
      <c r="D283" s="30">
        <v>1500</v>
      </c>
      <c r="E283" s="28" t="s">
        <v>1326</v>
      </c>
      <c r="F283" s="28"/>
      <c r="G283" s="28" t="s">
        <v>1322</v>
      </c>
      <c r="H283" s="28" t="s">
        <v>1015</v>
      </c>
      <c r="I283" s="29"/>
      <c r="J283" s="31"/>
    </row>
    <row r="284" spans="1:10" ht="14.25" customHeight="1" x14ac:dyDescent="0.35">
      <c r="A284" s="28" t="s">
        <v>1327</v>
      </c>
      <c r="B284" s="29" t="s">
        <v>1328</v>
      </c>
      <c r="C284" s="28" t="s">
        <v>24</v>
      </c>
      <c r="D284" s="30">
        <v>100000</v>
      </c>
      <c r="E284" s="28" t="s">
        <v>1329</v>
      </c>
      <c r="F284" s="28"/>
      <c r="G284" s="28" t="s">
        <v>592</v>
      </c>
      <c r="H284" s="28" t="s">
        <v>1015</v>
      </c>
      <c r="I284" s="29"/>
      <c r="J284" s="31"/>
    </row>
    <row r="285" spans="1:10" ht="14.25" customHeight="1" x14ac:dyDescent="0.35">
      <c r="A285" s="28" t="s">
        <v>1330</v>
      </c>
      <c r="B285" s="29" t="s">
        <v>1331</v>
      </c>
      <c r="C285" s="28" t="s">
        <v>24</v>
      </c>
      <c r="D285" s="30">
        <v>50000</v>
      </c>
      <c r="E285" s="28" t="s">
        <v>1329</v>
      </c>
      <c r="F285" s="28"/>
      <c r="G285" s="28" t="s">
        <v>592</v>
      </c>
      <c r="H285" s="28" t="s">
        <v>1015</v>
      </c>
      <c r="I285" s="29"/>
      <c r="J285" s="31"/>
    </row>
    <row r="286" spans="1:10" ht="14.25" customHeight="1" x14ac:dyDescent="0.35">
      <c r="A286" s="28" t="s">
        <v>1332</v>
      </c>
      <c r="B286" s="29" t="s">
        <v>1333</v>
      </c>
      <c r="C286" s="28" t="s">
        <v>24</v>
      </c>
      <c r="D286" s="30">
        <v>30000</v>
      </c>
      <c r="E286" s="28" t="s">
        <v>1329</v>
      </c>
      <c r="F286" s="28"/>
      <c r="G286" s="28" t="s">
        <v>592</v>
      </c>
      <c r="H286" s="28" t="s">
        <v>1015</v>
      </c>
      <c r="I286" s="29"/>
      <c r="J286" s="31"/>
    </row>
    <row r="287" spans="1:10" ht="14.25" customHeight="1" x14ac:dyDescent="0.35">
      <c r="A287" s="28" t="s">
        <v>1334</v>
      </c>
      <c r="B287" s="29" t="s">
        <v>1335</v>
      </c>
      <c r="C287" s="28" t="s">
        <v>24</v>
      </c>
      <c r="D287" s="30">
        <v>25000</v>
      </c>
      <c r="E287" s="28" t="s">
        <v>1329</v>
      </c>
      <c r="F287" s="28"/>
      <c r="G287" s="28" t="s">
        <v>1014</v>
      </c>
      <c r="H287" s="28" t="s">
        <v>1015</v>
      </c>
      <c r="I287" s="29"/>
      <c r="J287" s="31"/>
    </row>
    <row r="288" spans="1:10" ht="14.25" customHeight="1" x14ac:dyDescent="0.35">
      <c r="A288" s="28" t="s">
        <v>1336</v>
      </c>
      <c r="B288" s="29" t="s">
        <v>1337</v>
      </c>
      <c r="C288" s="28" t="s">
        <v>1070</v>
      </c>
      <c r="D288" s="30">
        <v>10000</v>
      </c>
      <c r="E288" s="28" t="s">
        <v>1338</v>
      </c>
      <c r="F288" s="28"/>
      <c r="G288" s="28" t="s">
        <v>1047</v>
      </c>
      <c r="H288" s="28" t="s">
        <v>1015</v>
      </c>
      <c r="I288" s="29"/>
      <c r="J288" s="31"/>
    </row>
    <row r="289" spans="1:10" ht="14.25" customHeight="1" x14ac:dyDescent="0.35">
      <c r="A289" s="28" t="s">
        <v>1339</v>
      </c>
      <c r="B289" s="29" t="s">
        <v>1340</v>
      </c>
      <c r="C289" s="28" t="s">
        <v>24</v>
      </c>
      <c r="D289" s="30">
        <v>100000</v>
      </c>
      <c r="E289" s="28" t="s">
        <v>1341</v>
      </c>
      <c r="F289" s="28"/>
      <c r="G289" s="28" t="s">
        <v>1014</v>
      </c>
      <c r="H289" s="28" t="s">
        <v>1015</v>
      </c>
      <c r="I289" s="29"/>
      <c r="J289" s="31"/>
    </row>
    <row r="290" spans="1:10" ht="14.25" customHeight="1" x14ac:dyDescent="0.35">
      <c r="A290" s="28" t="s">
        <v>1342</v>
      </c>
      <c r="B290" s="29" t="s">
        <v>1343</v>
      </c>
      <c r="C290" s="28" t="s">
        <v>28</v>
      </c>
      <c r="D290" s="30">
        <v>25783.917333333298</v>
      </c>
      <c r="E290" s="28" t="s">
        <v>1344</v>
      </c>
      <c r="F290" s="28"/>
      <c r="G290" s="28" t="s">
        <v>971</v>
      </c>
      <c r="H290" s="28" t="s">
        <v>1015</v>
      </c>
      <c r="I290" s="29"/>
      <c r="J290" s="31"/>
    </row>
    <row r="291" spans="1:10" ht="14.25" customHeight="1" x14ac:dyDescent="0.35">
      <c r="A291" s="28" t="s">
        <v>1345</v>
      </c>
      <c r="B291" s="29" t="s">
        <v>1346</v>
      </c>
      <c r="C291" s="28" t="s">
        <v>53</v>
      </c>
      <c r="D291" s="30">
        <v>1294.6320000000001</v>
      </c>
      <c r="E291" s="28" t="s">
        <v>1344</v>
      </c>
      <c r="F291" s="28"/>
      <c r="G291" s="28" t="s">
        <v>592</v>
      </c>
      <c r="H291" s="28" t="s">
        <v>1015</v>
      </c>
      <c r="I291" s="29"/>
      <c r="J291" s="31"/>
    </row>
    <row r="292" spans="1:10" ht="14.25" customHeight="1" x14ac:dyDescent="0.35">
      <c r="A292" s="28" t="s">
        <v>1347</v>
      </c>
      <c r="B292" s="29" t="s">
        <v>1348</v>
      </c>
      <c r="C292" s="28" t="s">
        <v>53</v>
      </c>
      <c r="D292" s="30">
        <v>2912.9520000000002</v>
      </c>
      <c r="E292" s="28" t="s">
        <v>1344</v>
      </c>
      <c r="F292" s="28"/>
      <c r="G292" s="28" t="s">
        <v>592</v>
      </c>
      <c r="H292" s="28" t="s">
        <v>1015</v>
      </c>
      <c r="I292" s="29"/>
      <c r="J292" s="31"/>
    </row>
    <row r="293" spans="1:10" ht="14.25" customHeight="1" x14ac:dyDescent="0.35">
      <c r="A293" s="28" t="s">
        <v>1349</v>
      </c>
      <c r="B293" s="29" t="s">
        <v>1350</v>
      </c>
      <c r="C293" s="28" t="s">
        <v>33</v>
      </c>
      <c r="D293" s="30">
        <v>50000</v>
      </c>
      <c r="E293" s="28" t="s">
        <v>1351</v>
      </c>
      <c r="F293" s="28"/>
      <c r="G293" s="28" t="s">
        <v>1047</v>
      </c>
      <c r="H293" s="28" t="s">
        <v>1015</v>
      </c>
      <c r="I293" s="29"/>
      <c r="J293" s="31"/>
    </row>
    <row r="294" spans="1:10" ht="14.25" customHeight="1" x14ac:dyDescent="0.35">
      <c r="A294" s="28" t="s">
        <v>1352</v>
      </c>
      <c r="B294" s="29" t="s">
        <v>1353</v>
      </c>
      <c r="C294" s="28" t="s">
        <v>53</v>
      </c>
      <c r="D294" s="30">
        <v>10000</v>
      </c>
      <c r="E294" s="28" t="s">
        <v>1354</v>
      </c>
      <c r="F294" s="28"/>
      <c r="G294" s="28" t="s">
        <v>669</v>
      </c>
      <c r="H294" s="28" t="s">
        <v>1015</v>
      </c>
      <c r="I294" s="29"/>
      <c r="J294" s="31"/>
    </row>
    <row r="295" spans="1:10" ht="14.25" customHeight="1" x14ac:dyDescent="0.35">
      <c r="A295" s="28" t="s">
        <v>1355</v>
      </c>
      <c r="B295" s="29" t="s">
        <v>1356</v>
      </c>
      <c r="C295" s="28" t="s">
        <v>92</v>
      </c>
      <c r="D295" s="30">
        <v>34.1920382267378</v>
      </c>
      <c r="E295" s="28" t="s">
        <v>1357</v>
      </c>
      <c r="F295" s="28"/>
      <c r="G295" s="28" t="s">
        <v>1014</v>
      </c>
      <c r="H295" s="28" t="s">
        <v>1015</v>
      </c>
      <c r="I295" s="29"/>
      <c r="J295" s="31"/>
    </row>
    <row r="296" spans="1:10" ht="14.25" customHeight="1" x14ac:dyDescent="0.35">
      <c r="A296" s="28" t="s">
        <v>1358</v>
      </c>
      <c r="B296" s="29" t="s">
        <v>1359</v>
      </c>
      <c r="C296" s="28" t="s">
        <v>92</v>
      </c>
      <c r="D296" s="30">
        <v>19.538307558135902</v>
      </c>
      <c r="E296" s="28" t="s">
        <v>1360</v>
      </c>
      <c r="F296" s="28"/>
      <c r="G296" s="28" t="s">
        <v>1014</v>
      </c>
      <c r="H296" s="28" t="s">
        <v>1015</v>
      </c>
      <c r="I296" s="29"/>
      <c r="J296" s="31"/>
    </row>
    <row r="297" spans="1:10" ht="14.25" customHeight="1" x14ac:dyDescent="0.35">
      <c r="A297" s="28" t="s">
        <v>1361</v>
      </c>
      <c r="B297" s="29" t="s">
        <v>1014</v>
      </c>
      <c r="C297" s="28" t="s">
        <v>24</v>
      </c>
      <c r="D297" s="30">
        <v>1</v>
      </c>
      <c r="E297" s="28" t="s">
        <v>1362</v>
      </c>
      <c r="F297" s="28"/>
      <c r="G297" s="28" t="s">
        <v>1014</v>
      </c>
      <c r="H297" s="28" t="s">
        <v>1363</v>
      </c>
      <c r="I297" s="29"/>
      <c r="J297" s="31"/>
    </row>
    <row r="298" spans="1:10" ht="14.25" customHeight="1" x14ac:dyDescent="0.35">
      <c r="A298" s="28" t="s">
        <v>1364</v>
      </c>
      <c r="B298" s="29" t="s">
        <v>1365</v>
      </c>
      <c r="C298" s="28" t="s">
        <v>24</v>
      </c>
      <c r="D298" s="30">
        <v>25000</v>
      </c>
      <c r="E298" s="28" t="s">
        <v>1366</v>
      </c>
      <c r="F298" s="28"/>
      <c r="G298" s="28" t="s">
        <v>1014</v>
      </c>
      <c r="H298" s="28" t="s">
        <v>1015</v>
      </c>
      <c r="I298" s="29"/>
      <c r="J298" s="31"/>
    </row>
    <row r="299" spans="1:10" ht="14.25" customHeight="1" x14ac:dyDescent="0.35">
      <c r="A299" s="28" t="s">
        <v>1367</v>
      </c>
      <c r="B299" s="29" t="s">
        <v>1368</v>
      </c>
      <c r="C299" s="28" t="s">
        <v>92</v>
      </c>
      <c r="D299" s="30">
        <v>3419.20382267378</v>
      </c>
      <c r="E299" s="28" t="s">
        <v>1369</v>
      </c>
      <c r="F299" s="28"/>
      <c r="G299" s="28" t="s">
        <v>1014</v>
      </c>
      <c r="H299" s="28" t="s">
        <v>1015</v>
      </c>
      <c r="I299" s="29"/>
      <c r="J299" s="31"/>
    </row>
    <row r="300" spans="1:10" ht="14.25" customHeight="1" x14ac:dyDescent="0.35">
      <c r="A300" s="28" t="s">
        <v>1370</v>
      </c>
      <c r="B300" s="29" t="s">
        <v>1371</v>
      </c>
      <c r="C300" s="28" t="s">
        <v>92</v>
      </c>
      <c r="D300" s="30">
        <v>1953.83075581359</v>
      </c>
      <c r="E300" s="28" t="s">
        <v>1372</v>
      </c>
      <c r="F300" s="28"/>
      <c r="G300" s="28" t="s">
        <v>1014</v>
      </c>
      <c r="H300" s="28" t="s">
        <v>1015</v>
      </c>
      <c r="I300" s="29"/>
      <c r="J300" s="31"/>
    </row>
    <row r="301" spans="1:10" ht="14.25" customHeight="1" x14ac:dyDescent="0.35">
      <c r="A301" s="28" t="s">
        <v>1373</v>
      </c>
      <c r="B301" s="29" t="s">
        <v>1374</v>
      </c>
      <c r="C301" s="28" t="s">
        <v>53</v>
      </c>
      <c r="D301" s="30">
        <v>3656.19834710744</v>
      </c>
      <c r="E301" s="28" t="s">
        <v>1375</v>
      </c>
      <c r="F301" s="28"/>
      <c r="G301" s="28" t="s">
        <v>821</v>
      </c>
      <c r="H301" s="28" t="s">
        <v>1376</v>
      </c>
      <c r="I301" s="29"/>
      <c r="J301" s="31"/>
    </row>
    <row r="302" spans="1:10" ht="14.25" customHeight="1" x14ac:dyDescent="0.35">
      <c r="A302" s="28" t="s">
        <v>1377</v>
      </c>
      <c r="B302" s="29" t="s">
        <v>1378</v>
      </c>
      <c r="C302" s="28" t="s">
        <v>53</v>
      </c>
      <c r="D302" s="30">
        <v>35881.19</v>
      </c>
      <c r="E302" s="28" t="s">
        <v>1375</v>
      </c>
      <c r="F302" s="28"/>
      <c r="G302" s="28" t="s">
        <v>821</v>
      </c>
      <c r="H302" s="28" t="s">
        <v>1376</v>
      </c>
      <c r="I302" s="29"/>
      <c r="J302" s="31"/>
    </row>
    <row r="303" spans="1:10" ht="14.25" customHeight="1" x14ac:dyDescent="0.35">
      <c r="A303" s="28" t="s">
        <v>1379</v>
      </c>
      <c r="B303" s="29" t="s">
        <v>1380</v>
      </c>
      <c r="C303" s="28" t="s">
        <v>53</v>
      </c>
      <c r="D303" s="30">
        <v>18770.66</v>
      </c>
      <c r="E303" s="28" t="s">
        <v>1375</v>
      </c>
      <c r="F303" s="28"/>
      <c r="G303" s="28" t="s">
        <v>821</v>
      </c>
      <c r="H303" s="28" t="s">
        <v>1376</v>
      </c>
      <c r="I303" s="29"/>
      <c r="J303" s="31"/>
    </row>
    <row r="304" spans="1:10" ht="14.25" customHeight="1" x14ac:dyDescent="0.35">
      <c r="A304" s="28" t="s">
        <v>1381</v>
      </c>
      <c r="B304" s="29" t="s">
        <v>1382</v>
      </c>
      <c r="C304" s="28" t="s">
        <v>53</v>
      </c>
      <c r="D304" s="30">
        <v>11960.81</v>
      </c>
      <c r="E304" s="28" t="s">
        <v>1375</v>
      </c>
      <c r="F304" s="28"/>
      <c r="G304" s="28" t="s">
        <v>821</v>
      </c>
      <c r="H304" s="28" t="s">
        <v>1376</v>
      </c>
      <c r="I304" s="29"/>
      <c r="J304" s="31"/>
    </row>
    <row r="305" spans="1:10" ht="14.25" customHeight="1" x14ac:dyDescent="0.35">
      <c r="A305" s="28" t="s">
        <v>1383</v>
      </c>
      <c r="B305" s="29" t="s">
        <v>1384</v>
      </c>
      <c r="C305" s="28" t="s">
        <v>53</v>
      </c>
      <c r="D305" s="30">
        <v>11163.59</v>
      </c>
      <c r="E305" s="28" t="s">
        <v>1375</v>
      </c>
      <c r="F305" s="28"/>
      <c r="G305" s="28" t="s">
        <v>821</v>
      </c>
      <c r="H305" s="28" t="s">
        <v>1376</v>
      </c>
      <c r="I305" s="29"/>
      <c r="J305" s="31"/>
    </row>
    <row r="306" spans="1:10" ht="14.25" customHeight="1" x14ac:dyDescent="0.35">
      <c r="A306" s="28" t="s">
        <v>1385</v>
      </c>
      <c r="B306" s="29" t="s">
        <v>1386</v>
      </c>
      <c r="C306" s="28" t="s">
        <v>53</v>
      </c>
      <c r="D306" s="30">
        <v>5287.23</v>
      </c>
      <c r="E306" s="28" t="s">
        <v>1375</v>
      </c>
      <c r="F306" s="28"/>
      <c r="G306" s="28" t="s">
        <v>821</v>
      </c>
      <c r="H306" s="28" t="s">
        <v>1376</v>
      </c>
      <c r="I306" s="29"/>
      <c r="J306" s="31"/>
    </row>
    <row r="307" spans="1:10" ht="14.25" customHeight="1" x14ac:dyDescent="0.35">
      <c r="A307" s="28" t="s">
        <v>1387</v>
      </c>
      <c r="B307" s="29" t="s">
        <v>1388</v>
      </c>
      <c r="C307" s="28" t="s">
        <v>53</v>
      </c>
      <c r="D307" s="30">
        <v>5287.23</v>
      </c>
      <c r="E307" s="28" t="s">
        <v>1375</v>
      </c>
      <c r="F307" s="28"/>
      <c r="G307" s="28" t="s">
        <v>821</v>
      </c>
      <c r="H307" s="28" t="s">
        <v>1376</v>
      </c>
      <c r="I307" s="29"/>
      <c r="J307" s="31"/>
    </row>
    <row r="308" spans="1:10" ht="14.25" customHeight="1" x14ac:dyDescent="0.35">
      <c r="A308" s="28" t="s">
        <v>1389</v>
      </c>
      <c r="B308" s="29" t="s">
        <v>1390</v>
      </c>
      <c r="C308" s="28" t="s">
        <v>53</v>
      </c>
      <c r="D308" s="30">
        <v>267503.51</v>
      </c>
      <c r="E308" s="28" t="s">
        <v>1375</v>
      </c>
      <c r="F308" s="28"/>
      <c r="G308" s="28" t="s">
        <v>821</v>
      </c>
      <c r="H308" s="28" t="s">
        <v>1376</v>
      </c>
      <c r="I308" s="29"/>
      <c r="J308" s="31"/>
    </row>
    <row r="309" spans="1:10" ht="14.25" customHeight="1" x14ac:dyDescent="0.35">
      <c r="A309" s="28" t="s">
        <v>1391</v>
      </c>
      <c r="B309" s="29" t="s">
        <v>1392</v>
      </c>
      <c r="C309" s="28" t="s">
        <v>53</v>
      </c>
      <c r="D309" s="30">
        <v>96123.97</v>
      </c>
      <c r="E309" s="28" t="s">
        <v>1375</v>
      </c>
      <c r="F309" s="28"/>
      <c r="G309" s="28" t="s">
        <v>821</v>
      </c>
      <c r="H309" s="28" t="s">
        <v>1376</v>
      </c>
      <c r="I309" s="29"/>
      <c r="J309" s="31"/>
    </row>
    <row r="310" spans="1:10" ht="14.25" customHeight="1" x14ac:dyDescent="0.35">
      <c r="A310" s="28" t="s">
        <v>1393</v>
      </c>
      <c r="B310" s="29" t="s">
        <v>1394</v>
      </c>
      <c r="C310" s="28" t="s">
        <v>53</v>
      </c>
      <c r="D310" s="30">
        <v>9297.0300000000007</v>
      </c>
      <c r="E310" s="28" t="s">
        <v>1375</v>
      </c>
      <c r="F310" s="28"/>
      <c r="G310" s="28" t="s">
        <v>821</v>
      </c>
      <c r="H310" s="28" t="s">
        <v>1376</v>
      </c>
      <c r="I310" s="29"/>
      <c r="J310" s="31"/>
    </row>
    <row r="311" spans="1:10" ht="14.25" customHeight="1" x14ac:dyDescent="0.35">
      <c r="A311" s="28" t="s">
        <v>1395</v>
      </c>
      <c r="B311" s="29" t="s">
        <v>1396</v>
      </c>
      <c r="C311" s="28" t="s">
        <v>53</v>
      </c>
      <c r="D311" s="30">
        <v>14702.99</v>
      </c>
      <c r="E311" s="28" t="s">
        <v>1375</v>
      </c>
      <c r="F311" s="28"/>
      <c r="G311" s="28" t="s">
        <v>821</v>
      </c>
      <c r="H311" s="28" t="s">
        <v>1376</v>
      </c>
      <c r="I311" s="29"/>
      <c r="J311" s="31"/>
    </row>
    <row r="312" spans="1:10" ht="14.25" customHeight="1" x14ac:dyDescent="0.35">
      <c r="A312" s="28" t="s">
        <v>1397</v>
      </c>
      <c r="B312" s="29" t="s">
        <v>1398</v>
      </c>
      <c r="C312" s="28" t="s">
        <v>53</v>
      </c>
      <c r="D312" s="30">
        <v>113610.28</v>
      </c>
      <c r="E312" s="28" t="s">
        <v>1375</v>
      </c>
      <c r="F312" s="28"/>
      <c r="G312" s="28" t="s">
        <v>821</v>
      </c>
      <c r="H312" s="28" t="s">
        <v>1376</v>
      </c>
      <c r="I312" s="29"/>
      <c r="J312" s="31"/>
    </row>
    <row r="313" spans="1:10" ht="14.25" customHeight="1" x14ac:dyDescent="0.35">
      <c r="A313" s="28" t="s">
        <v>1399</v>
      </c>
      <c r="B313" s="29" t="s">
        <v>1400</v>
      </c>
      <c r="C313" s="28" t="s">
        <v>53</v>
      </c>
      <c r="D313" s="30">
        <v>95867.7685950413</v>
      </c>
      <c r="E313" s="28" t="s">
        <v>1375</v>
      </c>
      <c r="F313" s="28"/>
      <c r="G313" s="28" t="s">
        <v>821</v>
      </c>
      <c r="H313" s="28" t="s">
        <v>1376</v>
      </c>
      <c r="I313" s="29"/>
      <c r="J313" s="31"/>
    </row>
    <row r="314" spans="1:10" ht="14.25" customHeight="1" x14ac:dyDescent="0.35">
      <c r="A314" s="28" t="s">
        <v>1401</v>
      </c>
      <c r="B314" s="29" t="s">
        <v>1402</v>
      </c>
      <c r="C314" s="28" t="s">
        <v>53</v>
      </c>
      <c r="D314" s="30">
        <v>51844.93</v>
      </c>
      <c r="E314" s="28" t="s">
        <v>1403</v>
      </c>
      <c r="F314" s="28"/>
      <c r="G314" s="28" t="s">
        <v>821</v>
      </c>
      <c r="H314" s="28" t="s">
        <v>1376</v>
      </c>
      <c r="I314" s="29"/>
      <c r="J314" s="31"/>
    </row>
    <row r="315" spans="1:10" ht="14.25" customHeight="1" x14ac:dyDescent="0.35">
      <c r="A315" s="28" t="s">
        <v>1404</v>
      </c>
      <c r="B315" s="29" t="s">
        <v>1405</v>
      </c>
      <c r="C315" s="28" t="s">
        <v>53</v>
      </c>
      <c r="D315" s="30">
        <v>33851.08</v>
      </c>
      <c r="E315" s="28" t="s">
        <v>1403</v>
      </c>
      <c r="F315" s="28"/>
      <c r="G315" s="28" t="s">
        <v>821</v>
      </c>
      <c r="H315" s="28" t="s">
        <v>1376</v>
      </c>
      <c r="I315" s="29"/>
      <c r="J315" s="31"/>
    </row>
    <row r="316" spans="1:10" ht="14.25" customHeight="1" x14ac:dyDescent="0.35">
      <c r="A316" s="28" t="s">
        <v>1406</v>
      </c>
      <c r="B316" s="29" t="s">
        <v>1407</v>
      </c>
      <c r="C316" s="28" t="s">
        <v>53</v>
      </c>
      <c r="D316" s="30">
        <v>129189.81</v>
      </c>
      <c r="E316" s="28" t="s">
        <v>1403</v>
      </c>
      <c r="F316" s="28"/>
      <c r="G316" s="28" t="s">
        <v>821</v>
      </c>
      <c r="H316" s="28" t="s">
        <v>1376</v>
      </c>
      <c r="I316" s="29"/>
      <c r="J316" s="31"/>
    </row>
    <row r="317" spans="1:10" ht="14.25" customHeight="1" x14ac:dyDescent="0.35">
      <c r="A317" s="28" t="s">
        <v>1408</v>
      </c>
      <c r="B317" s="29" t="s">
        <v>1409</v>
      </c>
      <c r="C317" s="28" t="s">
        <v>53</v>
      </c>
      <c r="D317" s="30">
        <v>40000</v>
      </c>
      <c r="E317" s="28" t="s">
        <v>1403</v>
      </c>
      <c r="F317" s="28"/>
      <c r="G317" s="28" t="s">
        <v>821</v>
      </c>
      <c r="H317" s="28" t="s">
        <v>1376</v>
      </c>
      <c r="I317" s="29"/>
      <c r="J317" s="31"/>
    </row>
    <row r="318" spans="1:10" ht="14.25" customHeight="1" x14ac:dyDescent="0.35">
      <c r="A318" s="28" t="s">
        <v>1410</v>
      </c>
      <c r="B318" s="29" t="s">
        <v>1411</v>
      </c>
      <c r="C318" s="28" t="s">
        <v>53</v>
      </c>
      <c r="D318" s="30">
        <v>85894.23</v>
      </c>
      <c r="E318" s="28" t="s">
        <v>1403</v>
      </c>
      <c r="F318" s="28"/>
      <c r="G318" s="28" t="s">
        <v>821</v>
      </c>
      <c r="H318" s="28" t="s">
        <v>1376</v>
      </c>
      <c r="I318" s="29"/>
      <c r="J318" s="31"/>
    </row>
    <row r="319" spans="1:10" ht="14.25" customHeight="1" x14ac:dyDescent="0.35">
      <c r="A319" s="28" t="s">
        <v>1412</v>
      </c>
      <c r="B319" s="29" t="s">
        <v>1413</v>
      </c>
      <c r="C319" s="28" t="s">
        <v>53</v>
      </c>
      <c r="D319" s="30">
        <v>11163.59</v>
      </c>
      <c r="E319" s="28" t="s">
        <v>1414</v>
      </c>
      <c r="F319" s="28"/>
      <c r="G319" s="28" t="s">
        <v>821</v>
      </c>
      <c r="H319" s="28" t="s">
        <v>1376</v>
      </c>
      <c r="I319" s="29"/>
      <c r="J319" s="31"/>
    </row>
    <row r="320" spans="1:10" ht="14.25" customHeight="1" x14ac:dyDescent="0.35">
      <c r="A320" s="28" t="s">
        <v>1415</v>
      </c>
      <c r="B320" s="29" t="s">
        <v>1416</v>
      </c>
      <c r="C320" s="28" t="s">
        <v>53</v>
      </c>
      <c r="D320" s="30">
        <v>18770.66</v>
      </c>
      <c r="E320" s="28" t="s">
        <v>1417</v>
      </c>
      <c r="F320" s="28"/>
      <c r="G320" s="28" t="s">
        <v>821</v>
      </c>
      <c r="H320" s="28" t="s">
        <v>1376</v>
      </c>
      <c r="I320" s="29"/>
      <c r="J320" s="31"/>
    </row>
    <row r="321" spans="1:10" ht="14.25" customHeight="1" x14ac:dyDescent="0.35">
      <c r="A321" s="28" t="s">
        <v>1418</v>
      </c>
      <c r="B321" s="29" t="s">
        <v>1419</v>
      </c>
      <c r="C321" s="28" t="s">
        <v>53</v>
      </c>
      <c r="D321" s="30">
        <v>5287.23</v>
      </c>
      <c r="E321" s="28" t="s">
        <v>1417</v>
      </c>
      <c r="F321" s="28"/>
      <c r="G321" s="28" t="s">
        <v>821</v>
      </c>
      <c r="H321" s="28" t="s">
        <v>1376</v>
      </c>
      <c r="I321" s="29"/>
      <c r="J321" s="31"/>
    </row>
    <row r="322" spans="1:10" ht="14.25" customHeight="1" x14ac:dyDescent="0.35">
      <c r="A322" s="28" t="s">
        <v>1420</v>
      </c>
      <c r="B322" s="29" t="s">
        <v>1421</v>
      </c>
      <c r="C322" s="28" t="s">
        <v>53</v>
      </c>
      <c r="D322" s="30">
        <v>5287.23</v>
      </c>
      <c r="E322" s="28" t="s">
        <v>1417</v>
      </c>
      <c r="F322" s="28"/>
      <c r="G322" s="28" t="s">
        <v>821</v>
      </c>
      <c r="H322" s="28" t="s">
        <v>1376</v>
      </c>
      <c r="I322" s="29"/>
      <c r="J322" s="31"/>
    </row>
    <row r="323" spans="1:10" ht="14.25" customHeight="1" x14ac:dyDescent="0.35">
      <c r="A323" s="28" t="s">
        <v>1422</v>
      </c>
      <c r="B323" s="29" t="s">
        <v>1423</v>
      </c>
      <c r="C323" s="28" t="s">
        <v>53</v>
      </c>
      <c r="D323" s="30">
        <v>27320.39</v>
      </c>
      <c r="E323" s="28" t="s">
        <v>1417</v>
      </c>
      <c r="F323" s="28"/>
      <c r="G323" s="28" t="s">
        <v>821</v>
      </c>
      <c r="H323" s="28" t="s">
        <v>1376</v>
      </c>
      <c r="I323" s="29"/>
      <c r="J323" s="31"/>
    </row>
    <row r="324" spans="1:10" ht="14.25" customHeight="1" x14ac:dyDescent="0.35">
      <c r="A324" s="28" t="s">
        <v>1424</v>
      </c>
      <c r="B324" s="29" t="s">
        <v>1425</v>
      </c>
      <c r="C324" s="28" t="s">
        <v>53</v>
      </c>
      <c r="D324" s="30">
        <v>5099.6000000000004</v>
      </c>
      <c r="E324" s="28" t="s">
        <v>1417</v>
      </c>
      <c r="F324" s="28"/>
      <c r="G324" s="28" t="s">
        <v>821</v>
      </c>
      <c r="H324" s="28" t="s">
        <v>1376</v>
      </c>
      <c r="I324" s="29"/>
      <c r="J324" s="31"/>
    </row>
    <row r="325" spans="1:10" ht="14.25" customHeight="1" x14ac:dyDescent="0.35">
      <c r="A325" s="28" t="s">
        <v>1426</v>
      </c>
      <c r="B325" s="29" t="s">
        <v>1427</v>
      </c>
      <c r="C325" s="28" t="s">
        <v>53</v>
      </c>
      <c r="D325" s="30">
        <v>1836.01</v>
      </c>
      <c r="E325" s="28" t="s">
        <v>1428</v>
      </c>
      <c r="F325" s="28"/>
      <c r="G325" s="28" t="s">
        <v>821</v>
      </c>
      <c r="H325" s="28" t="s">
        <v>1376</v>
      </c>
      <c r="I325" s="29"/>
      <c r="J325" s="31"/>
    </row>
    <row r="326" spans="1:10" ht="14.25" customHeight="1" x14ac:dyDescent="0.35">
      <c r="A326" s="28" t="s">
        <v>1429</v>
      </c>
      <c r="B326" s="29" t="s">
        <v>1430</v>
      </c>
      <c r="C326" s="28" t="s">
        <v>53</v>
      </c>
      <c r="D326" s="30">
        <v>5067.59</v>
      </c>
      <c r="E326" s="28" t="s">
        <v>1428</v>
      </c>
      <c r="F326" s="28"/>
      <c r="G326" s="28" t="s">
        <v>821</v>
      </c>
      <c r="H326" s="28" t="s">
        <v>1376</v>
      </c>
      <c r="I326" s="29"/>
      <c r="J326" s="31"/>
    </row>
    <row r="327" spans="1:10" ht="14.25" customHeight="1" x14ac:dyDescent="0.35">
      <c r="A327" s="28" t="s">
        <v>1431</v>
      </c>
      <c r="B327" s="29" t="s">
        <v>1432</v>
      </c>
      <c r="C327" s="28" t="s">
        <v>53</v>
      </c>
      <c r="D327" s="30">
        <v>70761.600000000006</v>
      </c>
      <c r="E327" s="28" t="s">
        <v>1428</v>
      </c>
      <c r="F327" s="28"/>
      <c r="G327" s="28" t="s">
        <v>821</v>
      </c>
      <c r="H327" s="28" t="s">
        <v>1376</v>
      </c>
      <c r="I327" s="29"/>
      <c r="J327" s="31"/>
    </row>
    <row r="328" spans="1:10" ht="14.25" customHeight="1" x14ac:dyDescent="0.35">
      <c r="A328" s="28" t="s">
        <v>1433</v>
      </c>
      <c r="B328" s="29" t="s">
        <v>1434</v>
      </c>
      <c r="C328" s="28" t="s">
        <v>53</v>
      </c>
      <c r="D328" s="30">
        <v>954.29</v>
      </c>
      <c r="E328" s="28" t="s">
        <v>1428</v>
      </c>
      <c r="F328" s="28"/>
      <c r="G328" s="28" t="s">
        <v>821</v>
      </c>
      <c r="H328" s="28" t="s">
        <v>1376</v>
      </c>
      <c r="I328" s="29"/>
      <c r="J328" s="31"/>
    </row>
    <row r="329" spans="1:10" ht="14.25" customHeight="1" x14ac:dyDescent="0.35">
      <c r="A329" s="28" t="s">
        <v>1435</v>
      </c>
      <c r="B329" s="29" t="s">
        <v>1436</v>
      </c>
      <c r="C329" s="28" t="s">
        <v>53</v>
      </c>
      <c r="D329" s="30">
        <v>670.34</v>
      </c>
      <c r="E329" s="28" t="s">
        <v>1428</v>
      </c>
      <c r="F329" s="28"/>
      <c r="G329" s="28" t="s">
        <v>821</v>
      </c>
      <c r="H329" s="28" t="s">
        <v>1376</v>
      </c>
      <c r="I329" s="29"/>
      <c r="J329" s="31"/>
    </row>
    <row r="330" spans="1:10" ht="14.25" customHeight="1" x14ac:dyDescent="0.35">
      <c r="A330" s="28" t="s">
        <v>1437</v>
      </c>
      <c r="B330" s="29" t="s">
        <v>1438</v>
      </c>
      <c r="C330" s="28" t="s">
        <v>53</v>
      </c>
      <c r="D330" s="30">
        <v>16656.23</v>
      </c>
      <c r="E330" s="28" t="s">
        <v>1428</v>
      </c>
      <c r="F330" s="28"/>
      <c r="G330" s="28" t="s">
        <v>821</v>
      </c>
      <c r="H330" s="28" t="s">
        <v>1376</v>
      </c>
      <c r="I330" s="29"/>
      <c r="J330" s="31"/>
    </row>
    <row r="331" spans="1:10" ht="14.25" customHeight="1" x14ac:dyDescent="0.35">
      <c r="A331" s="28" t="s">
        <v>1439</v>
      </c>
      <c r="B331" s="29" t="s">
        <v>1440</v>
      </c>
      <c r="C331" s="28" t="s">
        <v>53</v>
      </c>
      <c r="D331" s="30">
        <v>237.27</v>
      </c>
      <c r="E331" s="28" t="s">
        <v>1428</v>
      </c>
      <c r="F331" s="28"/>
      <c r="G331" s="28" t="s">
        <v>821</v>
      </c>
      <c r="H331" s="28" t="s">
        <v>1376</v>
      </c>
      <c r="I331" s="29"/>
      <c r="J331" s="31"/>
    </row>
    <row r="332" spans="1:10" ht="14.25" customHeight="1" x14ac:dyDescent="0.35">
      <c r="A332" s="28" t="s">
        <v>1441</v>
      </c>
      <c r="B332" s="29" t="s">
        <v>1442</v>
      </c>
      <c r="C332" s="28" t="s">
        <v>28</v>
      </c>
      <c r="D332" s="30">
        <v>1654.54545454546</v>
      </c>
      <c r="E332" s="28" t="s">
        <v>1428</v>
      </c>
      <c r="F332" s="28"/>
      <c r="G332" s="28" t="s">
        <v>821</v>
      </c>
      <c r="H332" s="28" t="s">
        <v>1376</v>
      </c>
      <c r="I332" s="29"/>
      <c r="J332" s="31"/>
    </row>
    <row r="333" spans="1:10" ht="14.25" customHeight="1" x14ac:dyDescent="0.35">
      <c r="A333" s="28" t="s">
        <v>1443</v>
      </c>
      <c r="B333" s="29" t="s">
        <v>1444</v>
      </c>
      <c r="C333" s="28" t="s">
        <v>721</v>
      </c>
      <c r="D333" s="30">
        <v>95867.7685950413</v>
      </c>
      <c r="E333" s="28" t="s">
        <v>1428</v>
      </c>
      <c r="F333" s="28"/>
      <c r="G333" s="28" t="s">
        <v>821</v>
      </c>
      <c r="H333" s="28" t="s">
        <v>1376</v>
      </c>
      <c r="I333" s="29"/>
      <c r="J333" s="31"/>
    </row>
    <row r="334" spans="1:10" ht="14.25" customHeight="1" x14ac:dyDescent="0.35">
      <c r="A334" s="28" t="s">
        <v>1445</v>
      </c>
      <c r="B334" s="29" t="s">
        <v>1446</v>
      </c>
      <c r="C334" s="28" t="s">
        <v>721</v>
      </c>
      <c r="D334" s="30">
        <v>66520.479999999996</v>
      </c>
      <c r="E334" s="28" t="s">
        <v>1428</v>
      </c>
      <c r="F334" s="28"/>
      <c r="G334" s="28" t="s">
        <v>821</v>
      </c>
      <c r="H334" s="28" t="s">
        <v>1376</v>
      </c>
      <c r="I334" s="29"/>
      <c r="J334" s="31"/>
    </row>
    <row r="335" spans="1:10" ht="14.25" customHeight="1" x14ac:dyDescent="0.35">
      <c r="A335" s="28" t="s">
        <v>1447</v>
      </c>
      <c r="B335" s="29" t="s">
        <v>1448</v>
      </c>
      <c r="C335" s="28" t="s">
        <v>721</v>
      </c>
      <c r="D335" s="30">
        <v>268385.86</v>
      </c>
      <c r="E335" s="28" t="s">
        <v>1428</v>
      </c>
      <c r="F335" s="28"/>
      <c r="G335" s="28" t="s">
        <v>821</v>
      </c>
      <c r="H335" s="28" t="s">
        <v>1376</v>
      </c>
      <c r="I335" s="29"/>
      <c r="J335" s="31"/>
    </row>
    <row r="336" spans="1:10" ht="14.25" customHeight="1" x14ac:dyDescent="0.35">
      <c r="A336" s="28" t="s">
        <v>1449</v>
      </c>
      <c r="B336" s="29" t="s">
        <v>1450</v>
      </c>
      <c r="C336" s="28" t="s">
        <v>721</v>
      </c>
      <c r="D336" s="30">
        <v>26467.32</v>
      </c>
      <c r="E336" s="28" t="s">
        <v>1451</v>
      </c>
      <c r="F336" s="28"/>
      <c r="G336" s="28" t="s">
        <v>821</v>
      </c>
      <c r="H336" s="28" t="s">
        <v>1376</v>
      </c>
      <c r="I336" s="29"/>
      <c r="J336" s="31"/>
    </row>
    <row r="337" spans="1:10" ht="14.25" customHeight="1" x14ac:dyDescent="0.35">
      <c r="A337" s="28" t="s">
        <v>1452</v>
      </c>
      <c r="B337" s="29" t="s">
        <v>1453</v>
      </c>
      <c r="C337" s="28" t="s">
        <v>28</v>
      </c>
      <c r="D337" s="30">
        <v>20537.45</v>
      </c>
      <c r="E337" s="28" t="s">
        <v>1454</v>
      </c>
      <c r="F337" s="28"/>
      <c r="G337" s="28" t="s">
        <v>821</v>
      </c>
      <c r="H337" s="28" t="s">
        <v>1376</v>
      </c>
      <c r="I337" s="29"/>
      <c r="J337" s="31"/>
    </row>
    <row r="338" spans="1:10" ht="14.25" customHeight="1" x14ac:dyDescent="0.35">
      <c r="A338" s="28" t="s">
        <v>1455</v>
      </c>
      <c r="B338" s="29" t="s">
        <v>1456</v>
      </c>
      <c r="C338" s="28" t="s">
        <v>53</v>
      </c>
      <c r="D338" s="30">
        <v>832346.42</v>
      </c>
      <c r="E338" s="28" t="s">
        <v>1454</v>
      </c>
      <c r="F338" s="28"/>
      <c r="G338" s="28" t="s">
        <v>821</v>
      </c>
      <c r="H338" s="28" t="s">
        <v>1376</v>
      </c>
      <c r="I338" s="29"/>
      <c r="J338" s="31"/>
    </row>
    <row r="339" spans="1:10" ht="14.25" customHeight="1" x14ac:dyDescent="0.35">
      <c r="A339" s="28" t="s">
        <v>1457</v>
      </c>
      <c r="B339" s="29" t="s">
        <v>1458</v>
      </c>
      <c r="C339" s="28" t="s">
        <v>53</v>
      </c>
      <c r="D339" s="30">
        <v>210583.05</v>
      </c>
      <c r="E339" s="28" t="s">
        <v>1454</v>
      </c>
      <c r="F339" s="28"/>
      <c r="G339" s="28" t="s">
        <v>821</v>
      </c>
      <c r="H339" s="28" t="s">
        <v>1376</v>
      </c>
      <c r="I339" s="29"/>
      <c r="J339" s="31"/>
    </row>
    <row r="340" spans="1:10" ht="14.25" customHeight="1" x14ac:dyDescent="0.35">
      <c r="A340" s="28" t="s">
        <v>1459</v>
      </c>
      <c r="B340" s="29" t="s">
        <v>1460</v>
      </c>
      <c r="C340" s="28" t="s">
        <v>53</v>
      </c>
      <c r="D340" s="30">
        <v>462872.16</v>
      </c>
      <c r="E340" s="28" t="s">
        <v>1454</v>
      </c>
      <c r="F340" s="28"/>
      <c r="G340" s="28" t="s">
        <v>821</v>
      </c>
      <c r="H340" s="28" t="s">
        <v>1376</v>
      </c>
      <c r="I340" s="29"/>
      <c r="J340" s="31"/>
    </row>
    <row r="341" spans="1:10" ht="14.25" customHeight="1" x14ac:dyDescent="0.35">
      <c r="A341" s="28" t="s">
        <v>1461</v>
      </c>
      <c r="B341" s="29" t="s">
        <v>1462</v>
      </c>
      <c r="C341" s="28" t="s">
        <v>53</v>
      </c>
      <c r="D341" s="30">
        <v>3784.33</v>
      </c>
      <c r="E341" s="28" t="s">
        <v>1454</v>
      </c>
      <c r="F341" s="28"/>
      <c r="G341" s="28" t="s">
        <v>821</v>
      </c>
      <c r="H341" s="28" t="s">
        <v>1376</v>
      </c>
      <c r="I341" s="29"/>
      <c r="J341" s="31"/>
    </row>
    <row r="342" spans="1:10" ht="14.25" customHeight="1" x14ac:dyDescent="0.35">
      <c r="A342" s="28" t="s">
        <v>1463</v>
      </c>
      <c r="B342" s="29" t="s">
        <v>1464</v>
      </c>
      <c r="C342" s="28" t="s">
        <v>53</v>
      </c>
      <c r="D342" s="30">
        <v>9642.86</v>
      </c>
      <c r="E342" s="28" t="s">
        <v>1454</v>
      </c>
      <c r="F342" s="28"/>
      <c r="G342" s="28" t="s">
        <v>821</v>
      </c>
      <c r="H342" s="28" t="s">
        <v>1376</v>
      </c>
      <c r="I342" s="29"/>
      <c r="J342" s="31"/>
    </row>
    <row r="343" spans="1:10" ht="14.25" customHeight="1" x14ac:dyDescent="0.35">
      <c r="A343" s="28" t="s">
        <v>1465</v>
      </c>
      <c r="B343" s="29" t="s">
        <v>1466</v>
      </c>
      <c r="C343" s="28" t="s">
        <v>28</v>
      </c>
      <c r="D343" s="30">
        <v>4462.8099173553701</v>
      </c>
      <c r="E343" s="28" t="s">
        <v>1467</v>
      </c>
      <c r="F343" s="28"/>
      <c r="G343" s="28" t="s">
        <v>821</v>
      </c>
      <c r="H343" s="28" t="s">
        <v>1376</v>
      </c>
      <c r="I343" s="29"/>
      <c r="J343" s="31"/>
    </row>
    <row r="344" spans="1:10" ht="14.25" customHeight="1" x14ac:dyDescent="0.35">
      <c r="A344" s="28" t="s">
        <v>1468</v>
      </c>
      <c r="B344" s="29" t="s">
        <v>1469</v>
      </c>
      <c r="C344" s="28" t="s">
        <v>53</v>
      </c>
      <c r="D344" s="30">
        <v>26981.95</v>
      </c>
      <c r="E344" s="28" t="s">
        <v>1467</v>
      </c>
      <c r="F344" s="28"/>
      <c r="G344" s="28" t="s">
        <v>821</v>
      </c>
      <c r="H344" s="28" t="s">
        <v>1376</v>
      </c>
      <c r="I344" s="29"/>
      <c r="J344" s="31"/>
    </row>
    <row r="345" spans="1:10" ht="14.25" customHeight="1" x14ac:dyDescent="0.35">
      <c r="A345" s="28" t="s">
        <v>1470</v>
      </c>
      <c r="B345" s="29" t="s">
        <v>1471</v>
      </c>
      <c r="C345" s="28" t="s">
        <v>53</v>
      </c>
      <c r="D345" s="30">
        <v>1085.56</v>
      </c>
      <c r="E345" s="28" t="s">
        <v>1467</v>
      </c>
      <c r="F345" s="28"/>
      <c r="G345" s="28" t="s">
        <v>821</v>
      </c>
      <c r="H345" s="28" t="s">
        <v>1376</v>
      </c>
      <c r="I345" s="29"/>
      <c r="J345" s="31"/>
    </row>
    <row r="346" spans="1:10" ht="14.25" customHeight="1" x14ac:dyDescent="0.35">
      <c r="A346" s="28" t="s">
        <v>1472</v>
      </c>
      <c r="B346" s="29" t="s">
        <v>1473</v>
      </c>
      <c r="C346" s="28" t="s">
        <v>721</v>
      </c>
      <c r="D346" s="30">
        <v>190020.54</v>
      </c>
      <c r="E346" s="28"/>
      <c r="F346" s="28"/>
      <c r="G346" s="28" t="s">
        <v>1309</v>
      </c>
      <c r="H346" s="28" t="s">
        <v>1015</v>
      </c>
      <c r="I346" s="29"/>
      <c r="J346" s="31"/>
    </row>
    <row r="347" spans="1:10" ht="14.25" customHeight="1" x14ac:dyDescent="0.35">
      <c r="A347" s="28" t="s">
        <v>1474</v>
      </c>
      <c r="B347" s="29" t="s">
        <v>1475</v>
      </c>
      <c r="C347" s="28" t="s">
        <v>721</v>
      </c>
      <c r="D347" s="30">
        <v>56674.81</v>
      </c>
      <c r="E347" s="28"/>
      <c r="F347" s="28"/>
      <c r="G347" s="28" t="s">
        <v>1309</v>
      </c>
      <c r="H347" s="28" t="s">
        <v>1015</v>
      </c>
      <c r="I347" s="29"/>
      <c r="J347" s="31"/>
    </row>
    <row r="348" spans="1:10" ht="14.25" customHeight="1" x14ac:dyDescent="0.35">
      <c r="A348" s="28" t="s">
        <v>1476</v>
      </c>
      <c r="B348" s="29" t="s">
        <v>1477</v>
      </c>
      <c r="C348" s="28" t="s">
        <v>53</v>
      </c>
      <c r="D348" s="30">
        <v>1234.1199999999999</v>
      </c>
      <c r="E348" s="28"/>
      <c r="F348" s="28"/>
      <c r="G348" s="28" t="s">
        <v>1309</v>
      </c>
      <c r="H348" s="28" t="s">
        <v>1015</v>
      </c>
      <c r="I348" s="29"/>
      <c r="J348" s="31"/>
    </row>
    <row r="349" spans="1:10" ht="14.25" customHeight="1" x14ac:dyDescent="0.35">
      <c r="A349" s="28" t="s">
        <v>1478</v>
      </c>
      <c r="B349" s="29" t="s">
        <v>1479</v>
      </c>
      <c r="C349" s="28" t="s">
        <v>735</v>
      </c>
      <c r="D349" s="30">
        <v>4158.84</v>
      </c>
      <c r="E349" s="28"/>
      <c r="F349" s="28"/>
      <c r="G349" s="28" t="s">
        <v>1309</v>
      </c>
      <c r="H349" s="28" t="s">
        <v>1015</v>
      </c>
      <c r="I349" s="29"/>
      <c r="J349" s="31"/>
    </row>
    <row r="350" spans="1:10" ht="14.25" customHeight="1" x14ac:dyDescent="0.35">
      <c r="A350" s="28" t="s">
        <v>1480</v>
      </c>
      <c r="B350" s="29" t="s">
        <v>1481</v>
      </c>
      <c r="C350" s="28" t="s">
        <v>53</v>
      </c>
      <c r="D350" s="30">
        <v>1943.21</v>
      </c>
      <c r="E350" s="28"/>
      <c r="F350" s="28"/>
      <c r="G350" s="28" t="s">
        <v>1309</v>
      </c>
      <c r="H350" s="28" t="s">
        <v>1015</v>
      </c>
      <c r="I350" s="29"/>
      <c r="J350" s="31"/>
    </row>
    <row r="351" spans="1:10" ht="14.25" customHeight="1" x14ac:dyDescent="0.35">
      <c r="A351" s="28" t="s">
        <v>1482</v>
      </c>
      <c r="B351" s="29" t="s">
        <v>1483</v>
      </c>
      <c r="C351" s="28" t="s">
        <v>1484</v>
      </c>
      <c r="D351" s="30">
        <v>10449.84</v>
      </c>
      <c r="E351" s="28"/>
      <c r="F351" s="28"/>
      <c r="G351" s="28" t="s">
        <v>1309</v>
      </c>
      <c r="H351" s="28" t="s">
        <v>1015</v>
      </c>
      <c r="I351" s="29"/>
      <c r="J351" s="31"/>
    </row>
    <row r="352" spans="1:10" ht="14.25" customHeight="1" x14ac:dyDescent="0.35">
      <c r="A352" s="28" t="s">
        <v>1485</v>
      </c>
      <c r="B352" s="29" t="s">
        <v>1486</v>
      </c>
      <c r="C352" s="28" t="s">
        <v>53</v>
      </c>
      <c r="D352" s="30">
        <v>429.89</v>
      </c>
      <c r="E352" s="28"/>
      <c r="F352" s="28"/>
      <c r="G352" s="28" t="s">
        <v>1309</v>
      </c>
      <c r="H352" s="28" t="s">
        <v>1015</v>
      </c>
      <c r="I352" s="29"/>
      <c r="J352" s="31"/>
    </row>
    <row r="353" spans="1:10" ht="14.25" customHeight="1" x14ac:dyDescent="0.35">
      <c r="A353" s="28" t="s">
        <v>1487</v>
      </c>
      <c r="B353" s="29" t="s">
        <v>1488</v>
      </c>
      <c r="C353" s="28" t="s">
        <v>1484</v>
      </c>
      <c r="D353" s="30">
        <v>852.41</v>
      </c>
      <c r="E353" s="28"/>
      <c r="F353" s="28"/>
      <c r="G353" s="28" t="s">
        <v>1309</v>
      </c>
      <c r="H353" s="28" t="s">
        <v>1015</v>
      </c>
      <c r="I353" s="29"/>
      <c r="J353" s="31"/>
    </row>
    <row r="354" spans="1:10" ht="14.25" customHeight="1" x14ac:dyDescent="0.35">
      <c r="A354" s="28" t="s">
        <v>1489</v>
      </c>
      <c r="B354" s="29" t="s">
        <v>1490</v>
      </c>
      <c r="C354" s="28" t="s">
        <v>151</v>
      </c>
      <c r="D354" s="30">
        <v>10695.63</v>
      </c>
      <c r="E354" s="28"/>
      <c r="F354" s="28"/>
      <c r="G354" s="28" t="s">
        <v>1309</v>
      </c>
      <c r="H354" s="28" t="s">
        <v>1015</v>
      </c>
      <c r="I354" s="29"/>
      <c r="J354" s="31"/>
    </row>
    <row r="355" spans="1:10" ht="14.25" customHeight="1" x14ac:dyDescent="0.35">
      <c r="A355" s="28" t="s">
        <v>1491</v>
      </c>
      <c r="B355" s="29" t="s">
        <v>1492</v>
      </c>
      <c r="C355" s="28" t="s">
        <v>53</v>
      </c>
      <c r="D355" s="30">
        <v>75142.710000000006</v>
      </c>
      <c r="E355" s="28"/>
      <c r="F355" s="28"/>
      <c r="G355" s="28" t="s">
        <v>1309</v>
      </c>
      <c r="H355" s="28" t="s">
        <v>1015</v>
      </c>
      <c r="I355" s="29"/>
      <c r="J355" s="31"/>
    </row>
    <row r="356" spans="1:10" ht="14.25" customHeight="1" x14ac:dyDescent="0.35">
      <c r="A356" s="28" t="s">
        <v>1493</v>
      </c>
      <c r="B356" s="29" t="s">
        <v>1494</v>
      </c>
      <c r="C356" s="28" t="s">
        <v>53</v>
      </c>
      <c r="D356" s="30">
        <v>226738.89</v>
      </c>
      <c r="E356" s="28"/>
      <c r="F356" s="28"/>
      <c r="G356" s="28" t="s">
        <v>1309</v>
      </c>
      <c r="H356" s="28" t="s">
        <v>1015</v>
      </c>
      <c r="I356" s="29"/>
      <c r="J356" s="31"/>
    </row>
    <row r="357" spans="1:10" ht="14.25" customHeight="1" x14ac:dyDescent="0.35">
      <c r="A357" s="28" t="s">
        <v>1495</v>
      </c>
      <c r="B357" s="29" t="s">
        <v>1496</v>
      </c>
      <c r="C357" s="28" t="s">
        <v>53</v>
      </c>
      <c r="D357" s="30">
        <v>16952.66</v>
      </c>
      <c r="E357" s="28"/>
      <c r="F357" s="28"/>
      <c r="G357" s="28" t="s">
        <v>1309</v>
      </c>
      <c r="H357" s="28" t="s">
        <v>1015</v>
      </c>
      <c r="I357" s="29"/>
      <c r="J357" s="31"/>
    </row>
    <row r="358" spans="1:10" ht="14.25" customHeight="1" x14ac:dyDescent="0.35">
      <c r="A358" s="28" t="s">
        <v>1497</v>
      </c>
      <c r="B358" s="29" t="s">
        <v>1498</v>
      </c>
      <c r="C358" s="28" t="s">
        <v>53</v>
      </c>
      <c r="D358" s="30">
        <v>9333.2000000000007</v>
      </c>
      <c r="E358" s="28"/>
      <c r="F358" s="28"/>
      <c r="G358" s="28" t="s">
        <v>1309</v>
      </c>
      <c r="H358" s="28" t="s">
        <v>1015</v>
      </c>
      <c r="I358" s="29"/>
      <c r="J358" s="31"/>
    </row>
    <row r="359" spans="1:10" ht="14.25" customHeight="1" x14ac:dyDescent="0.35">
      <c r="A359" s="28" t="s">
        <v>1499</v>
      </c>
      <c r="B359" s="29" t="s">
        <v>1500</v>
      </c>
      <c r="C359" s="28" t="s">
        <v>53</v>
      </c>
      <c r="D359" s="30">
        <v>15339.5</v>
      </c>
      <c r="E359" s="28"/>
      <c r="F359" s="28"/>
      <c r="G359" s="28" t="s">
        <v>1309</v>
      </c>
      <c r="H359" s="28" t="s">
        <v>1015</v>
      </c>
      <c r="I359" s="29"/>
      <c r="J359" s="31"/>
    </row>
    <row r="360" spans="1:10" ht="14.25" customHeight="1" x14ac:dyDescent="0.35">
      <c r="A360" s="28" t="s">
        <v>1501</v>
      </c>
      <c r="B360" s="29" t="s">
        <v>1502</v>
      </c>
      <c r="C360" s="28" t="s">
        <v>53</v>
      </c>
      <c r="D360" s="30">
        <v>21808.23</v>
      </c>
      <c r="E360" s="28"/>
      <c r="F360" s="28"/>
      <c r="G360" s="28" t="s">
        <v>1309</v>
      </c>
      <c r="H360" s="28" t="s">
        <v>1015</v>
      </c>
      <c r="I360" s="29"/>
      <c r="J360" s="31"/>
    </row>
    <row r="361" spans="1:10" ht="14.25" customHeight="1" x14ac:dyDescent="0.35">
      <c r="A361" s="28" t="s">
        <v>1503</v>
      </c>
      <c r="B361" s="29" t="s">
        <v>1504</v>
      </c>
      <c r="C361" s="28" t="s">
        <v>53</v>
      </c>
      <c r="D361" s="30">
        <v>39120</v>
      </c>
      <c r="E361" s="28"/>
      <c r="F361" s="28"/>
      <c r="G361" s="28" t="s">
        <v>1309</v>
      </c>
      <c r="H361" s="28" t="s">
        <v>1015</v>
      </c>
      <c r="I361" s="29"/>
      <c r="J361" s="31"/>
    </row>
    <row r="362" spans="1:10" ht="14.25" customHeight="1" x14ac:dyDescent="0.35">
      <c r="A362" s="28" t="s">
        <v>1505</v>
      </c>
      <c r="B362" s="29" t="s">
        <v>1506</v>
      </c>
      <c r="C362" s="28" t="s">
        <v>53</v>
      </c>
      <c r="D362" s="30">
        <v>79361</v>
      </c>
      <c r="E362" s="28"/>
      <c r="F362" s="28"/>
      <c r="G362" s="28" t="s">
        <v>1309</v>
      </c>
      <c r="H362" s="28" t="s">
        <v>1015</v>
      </c>
      <c r="I362" s="29"/>
      <c r="J362" s="31"/>
    </row>
    <row r="363" spans="1:10" ht="14.25" customHeight="1" x14ac:dyDescent="0.35">
      <c r="A363" s="28" t="s">
        <v>1507</v>
      </c>
      <c r="B363" s="29" t="s">
        <v>1508</v>
      </c>
      <c r="C363" s="28" t="s">
        <v>53</v>
      </c>
      <c r="D363" s="30">
        <v>79361</v>
      </c>
      <c r="E363" s="28"/>
      <c r="F363" s="28"/>
      <c r="G363" s="28" t="s">
        <v>1309</v>
      </c>
      <c r="H363" s="28" t="s">
        <v>1015</v>
      </c>
      <c r="I363" s="29"/>
      <c r="J363" s="31"/>
    </row>
    <row r="364" spans="1:10" ht="14.25" customHeight="1" x14ac:dyDescent="0.35">
      <c r="A364" s="28" t="s">
        <v>1509</v>
      </c>
      <c r="B364" s="29" t="s">
        <v>1510</v>
      </c>
      <c r="C364" s="28" t="s">
        <v>53</v>
      </c>
      <c r="D364" s="30">
        <v>18420.5</v>
      </c>
      <c r="E364" s="28"/>
      <c r="F364" s="28"/>
      <c r="G364" s="28" t="s">
        <v>1309</v>
      </c>
      <c r="H364" s="28" t="s">
        <v>1015</v>
      </c>
      <c r="I364" s="29"/>
      <c r="J364" s="31"/>
    </row>
    <row r="365" spans="1:10" ht="14.25" customHeight="1" x14ac:dyDescent="0.35">
      <c r="A365" s="28" t="s">
        <v>1511</v>
      </c>
      <c r="B365" s="29" t="s">
        <v>1512</v>
      </c>
      <c r="C365" s="28" t="s">
        <v>53</v>
      </c>
      <c r="D365" s="30">
        <v>40497.366000000002</v>
      </c>
      <c r="E365" s="28"/>
      <c r="F365" s="28"/>
      <c r="G365" s="28" t="s">
        <v>1309</v>
      </c>
      <c r="H365" s="28" t="s">
        <v>1015</v>
      </c>
      <c r="I365" s="29"/>
      <c r="J365" s="31"/>
    </row>
    <row r="366" spans="1:10" ht="14.25" customHeight="1" x14ac:dyDescent="0.35">
      <c r="A366" s="28" t="s">
        <v>1513</v>
      </c>
      <c r="B366" s="29" t="s">
        <v>1514</v>
      </c>
      <c r="C366" s="28" t="s">
        <v>53</v>
      </c>
      <c r="D366" s="30">
        <v>2140.61</v>
      </c>
      <c r="E366" s="28"/>
      <c r="F366" s="28"/>
      <c r="G366" s="28" t="s">
        <v>1309</v>
      </c>
      <c r="H366" s="28" t="s">
        <v>1015</v>
      </c>
      <c r="I366" s="29"/>
      <c r="J366" s="31"/>
    </row>
    <row r="367" spans="1:10" ht="14.25" customHeight="1" x14ac:dyDescent="0.35">
      <c r="A367" s="28" t="s">
        <v>1515</v>
      </c>
      <c r="B367" s="29" t="s">
        <v>1516</v>
      </c>
      <c r="C367" s="28" t="s">
        <v>53</v>
      </c>
      <c r="D367" s="30">
        <v>3659.23</v>
      </c>
      <c r="E367" s="28"/>
      <c r="F367" s="28"/>
      <c r="G367" s="28" t="s">
        <v>1309</v>
      </c>
      <c r="H367" s="28" t="s">
        <v>1015</v>
      </c>
      <c r="I367" s="29"/>
      <c r="J367" s="31"/>
    </row>
    <row r="368" spans="1:10" ht="14.25" customHeight="1" x14ac:dyDescent="0.35">
      <c r="A368" s="28" t="s">
        <v>1517</v>
      </c>
      <c r="B368" s="29" t="s">
        <v>1518</v>
      </c>
      <c r="C368" s="28" t="s">
        <v>53</v>
      </c>
      <c r="D368" s="30">
        <v>1826.31</v>
      </c>
      <c r="E368" s="28"/>
      <c r="F368" s="28"/>
      <c r="G368" s="28" t="s">
        <v>1309</v>
      </c>
      <c r="H368" s="28" t="s">
        <v>1015</v>
      </c>
      <c r="I368" s="29"/>
      <c r="J368" s="31"/>
    </row>
    <row r="369" spans="1:10" ht="14.25" customHeight="1" x14ac:dyDescent="0.35">
      <c r="A369" s="28" t="s">
        <v>1519</v>
      </c>
      <c r="B369" s="29" t="s">
        <v>1520</v>
      </c>
      <c r="C369" s="28" t="s">
        <v>53</v>
      </c>
      <c r="D369" s="30">
        <v>1291.29</v>
      </c>
      <c r="E369" s="28"/>
      <c r="F369" s="28"/>
      <c r="G369" s="28" t="s">
        <v>1309</v>
      </c>
      <c r="H369" s="28" t="s">
        <v>1015</v>
      </c>
      <c r="I369" s="29"/>
      <c r="J369" s="31"/>
    </row>
    <row r="370" spans="1:10" ht="14.25" customHeight="1" x14ac:dyDescent="0.35">
      <c r="A370" s="28" t="s">
        <v>1521</v>
      </c>
      <c r="B370" s="29" t="s">
        <v>1522</v>
      </c>
      <c r="C370" s="28" t="s">
        <v>53</v>
      </c>
      <c r="D370" s="30">
        <v>4980.91</v>
      </c>
      <c r="E370" s="28"/>
      <c r="F370" s="28"/>
      <c r="G370" s="28" t="s">
        <v>1309</v>
      </c>
      <c r="H370" s="28" t="s">
        <v>1015</v>
      </c>
      <c r="I370" s="29"/>
      <c r="J370" s="31"/>
    </row>
    <row r="371" spans="1:10" ht="14.25" customHeight="1" x14ac:dyDescent="0.35">
      <c r="A371" s="28" t="s">
        <v>1523</v>
      </c>
      <c r="B371" s="29" t="s">
        <v>1524</v>
      </c>
      <c r="C371" s="28" t="s">
        <v>53</v>
      </c>
      <c r="D371" s="30">
        <v>5575.48</v>
      </c>
      <c r="E371" s="28"/>
      <c r="F371" s="28"/>
      <c r="G371" s="28" t="s">
        <v>1309</v>
      </c>
      <c r="H371" s="28" t="s">
        <v>1015</v>
      </c>
      <c r="I371" s="29"/>
      <c r="J371" s="31"/>
    </row>
    <row r="372" spans="1:10" ht="14.25" customHeight="1" x14ac:dyDescent="0.35">
      <c r="A372" s="28" t="s">
        <v>1525</v>
      </c>
      <c r="B372" s="29" t="s">
        <v>1526</v>
      </c>
      <c r="C372" s="28" t="s">
        <v>53</v>
      </c>
      <c r="D372" s="30">
        <v>18516.939999999999</v>
      </c>
      <c r="E372" s="28"/>
      <c r="F372" s="28"/>
      <c r="G372" s="28" t="s">
        <v>1309</v>
      </c>
      <c r="H372" s="28" t="s">
        <v>1015</v>
      </c>
      <c r="I372" s="29"/>
      <c r="J372" s="31"/>
    </row>
    <row r="373" spans="1:10" ht="14.25" customHeight="1" x14ac:dyDescent="0.35">
      <c r="A373" s="28" t="s">
        <v>1527</v>
      </c>
      <c r="B373" s="29" t="s">
        <v>1528</v>
      </c>
      <c r="C373" s="28" t="s">
        <v>53</v>
      </c>
      <c r="D373" s="30">
        <v>36584.29</v>
      </c>
      <c r="E373" s="28"/>
      <c r="F373" s="28"/>
      <c r="G373" s="28" t="s">
        <v>1309</v>
      </c>
      <c r="H373" s="28" t="s">
        <v>1015</v>
      </c>
      <c r="I373" s="29"/>
      <c r="J373" s="31"/>
    </row>
    <row r="374" spans="1:10" ht="14.25" customHeight="1" x14ac:dyDescent="0.35">
      <c r="A374" s="28" t="s">
        <v>1529</v>
      </c>
      <c r="B374" s="29" t="s">
        <v>1530</v>
      </c>
      <c r="C374" s="28" t="s">
        <v>53</v>
      </c>
      <c r="D374" s="30">
        <v>4181</v>
      </c>
      <c r="E374" s="28"/>
      <c r="F374" s="28"/>
      <c r="G374" s="28" t="s">
        <v>1309</v>
      </c>
      <c r="H374" s="28" t="s">
        <v>1015</v>
      </c>
      <c r="I374" s="29"/>
      <c r="J374" s="31"/>
    </row>
    <row r="375" spans="1:10" ht="14.25" customHeight="1" x14ac:dyDescent="0.35">
      <c r="A375" s="28" t="s">
        <v>1531</v>
      </c>
      <c r="B375" s="29" t="s">
        <v>1532</v>
      </c>
      <c r="C375" s="28" t="s">
        <v>53</v>
      </c>
      <c r="D375" s="30">
        <v>8559</v>
      </c>
      <c r="E375" s="28"/>
      <c r="F375" s="28"/>
      <c r="G375" s="28" t="s">
        <v>1309</v>
      </c>
      <c r="H375" s="28" t="s">
        <v>1015</v>
      </c>
      <c r="I375" s="29"/>
      <c r="J375" s="31"/>
    </row>
    <row r="376" spans="1:10" ht="14.25" customHeight="1" x14ac:dyDescent="0.35">
      <c r="A376" s="28" t="s">
        <v>1533</v>
      </c>
      <c r="B376" s="29" t="s">
        <v>1534</v>
      </c>
      <c r="C376" s="28" t="s">
        <v>1484</v>
      </c>
      <c r="D376" s="30">
        <v>79820.73</v>
      </c>
      <c r="E376" s="28"/>
      <c r="F376" s="28"/>
      <c r="G376" s="28" t="s">
        <v>1322</v>
      </c>
      <c r="H376" s="28" t="s">
        <v>1015</v>
      </c>
      <c r="I376" s="29"/>
      <c r="J376" s="31"/>
    </row>
    <row r="377" spans="1:10" ht="14.25" customHeight="1" x14ac:dyDescent="0.35">
      <c r="A377" s="28" t="s">
        <v>1535</v>
      </c>
      <c r="B377" s="29" t="s">
        <v>1536</v>
      </c>
      <c r="C377" s="28" t="s">
        <v>53</v>
      </c>
      <c r="D377" s="30">
        <v>5026.22</v>
      </c>
      <c r="E377" s="28"/>
      <c r="F377" s="28"/>
      <c r="G377" s="28" t="s">
        <v>1322</v>
      </c>
      <c r="H377" s="28" t="s">
        <v>1015</v>
      </c>
      <c r="I377" s="29"/>
      <c r="J377" s="31"/>
    </row>
    <row r="378" spans="1:10" ht="14.25" customHeight="1" x14ac:dyDescent="0.35">
      <c r="A378" s="28" t="s">
        <v>1537</v>
      </c>
      <c r="B378" s="29" t="s">
        <v>1538</v>
      </c>
      <c r="C378" s="28" t="s">
        <v>53</v>
      </c>
      <c r="D378" s="30">
        <v>3592.22</v>
      </c>
      <c r="E378" s="28"/>
      <c r="F378" s="28"/>
      <c r="G378" s="28" t="s">
        <v>1322</v>
      </c>
      <c r="H378" s="28" t="s">
        <v>1015</v>
      </c>
      <c r="I378" s="29"/>
      <c r="J378" s="31"/>
    </row>
    <row r="379" spans="1:10" ht="14.25" customHeight="1" x14ac:dyDescent="0.35">
      <c r="A379" s="28" t="s">
        <v>1539</v>
      </c>
      <c r="B379" s="29" t="s">
        <v>1540</v>
      </c>
      <c r="C379" s="28" t="s">
        <v>53</v>
      </c>
      <c r="D379" s="30">
        <v>4009.17</v>
      </c>
      <c r="E379" s="28"/>
      <c r="F379" s="28"/>
      <c r="G379" s="28" t="s">
        <v>1322</v>
      </c>
      <c r="H379" s="28" t="s">
        <v>1015</v>
      </c>
      <c r="I379" s="29"/>
      <c r="J379" s="31"/>
    </row>
    <row r="380" spans="1:10" ht="14.25" customHeight="1" x14ac:dyDescent="0.35">
      <c r="A380" s="28" t="s">
        <v>1541</v>
      </c>
      <c r="B380" s="29" t="s">
        <v>1542</v>
      </c>
      <c r="C380" s="28" t="s">
        <v>53</v>
      </c>
      <c r="D380" s="30">
        <v>88241.07</v>
      </c>
      <c r="E380" s="28"/>
      <c r="F380" s="28"/>
      <c r="G380" s="28" t="s">
        <v>1322</v>
      </c>
      <c r="H380" s="28" t="s">
        <v>1015</v>
      </c>
      <c r="I380" s="29"/>
      <c r="J380" s="31"/>
    </row>
    <row r="381" spans="1:10" ht="14.25" customHeight="1" x14ac:dyDescent="0.35">
      <c r="A381" s="28" t="s">
        <v>1543</v>
      </c>
      <c r="B381" s="29" t="s">
        <v>1544</v>
      </c>
      <c r="C381" s="28" t="s">
        <v>53</v>
      </c>
      <c r="D381" s="30">
        <v>4114.5200000000004</v>
      </c>
      <c r="E381" s="28"/>
      <c r="F381" s="28"/>
      <c r="G381" s="28" t="s">
        <v>1322</v>
      </c>
      <c r="H381" s="28" t="s">
        <v>1015</v>
      </c>
      <c r="I381" s="29"/>
      <c r="J381" s="31"/>
    </row>
    <row r="382" spans="1:10" ht="14.25" customHeight="1" x14ac:dyDescent="0.35">
      <c r="A382" s="28" t="s">
        <v>1545</v>
      </c>
      <c r="B382" s="29" t="s">
        <v>1546</v>
      </c>
      <c r="C382" s="28" t="s">
        <v>53</v>
      </c>
      <c r="D382" s="30">
        <v>130062.5</v>
      </c>
      <c r="E382" s="28"/>
      <c r="F382" s="28"/>
      <c r="G382" s="28" t="s">
        <v>1322</v>
      </c>
      <c r="H382" s="28" t="s">
        <v>1015</v>
      </c>
      <c r="I382" s="29"/>
      <c r="J382" s="31"/>
    </row>
  </sheetData>
  <autoFilter ref="A1:J34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BD97"/>
  </sheetPr>
  <dimension ref="A1:G11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defaultColWidth="8.6328125" defaultRowHeight="14.5" x14ac:dyDescent="0.35"/>
  <cols>
    <col min="1" max="1" width="12" customWidth="1"/>
    <col min="2" max="2" width="38" customWidth="1"/>
    <col min="3" max="3" width="15" customWidth="1"/>
    <col min="4" max="4" width="13" customWidth="1"/>
    <col min="5" max="5" width="15" customWidth="1"/>
    <col min="6" max="6" width="12" customWidth="1"/>
    <col min="7" max="7" width="14" customWidth="1"/>
  </cols>
  <sheetData>
    <row r="1" spans="1:7" ht="15" customHeight="1" x14ac:dyDescent="0.35">
      <c r="A1" s="12" t="s">
        <v>579</v>
      </c>
      <c r="B1" s="12" t="s">
        <v>6</v>
      </c>
      <c r="C1" s="12" t="s">
        <v>1547</v>
      </c>
      <c r="D1" s="12" t="s">
        <v>1548</v>
      </c>
      <c r="E1" s="12" t="s">
        <v>1549</v>
      </c>
      <c r="F1" s="12" t="s">
        <v>555</v>
      </c>
      <c r="G1" s="12" t="s">
        <v>585</v>
      </c>
    </row>
    <row r="2" spans="1:7" ht="15" customHeight="1" x14ac:dyDescent="0.35">
      <c r="A2" s="28" t="s">
        <v>1564</v>
      </c>
      <c r="B2" s="28" t="s">
        <v>1565</v>
      </c>
      <c r="C2" s="30">
        <v>171854.19431314399</v>
      </c>
      <c r="D2" s="32">
        <f>CONFIG!C22</f>
        <v>1.7452228399641891</v>
      </c>
      <c r="E2" s="33">
        <f t="shared" ref="E2" si="0">C2*D2</f>
        <v>299923.86505894276</v>
      </c>
      <c r="F2" s="28" t="s">
        <v>1551</v>
      </c>
      <c r="G2" s="28" t="s">
        <v>1566</v>
      </c>
    </row>
    <row r="3" spans="1:7" ht="15" customHeight="1" x14ac:dyDescent="0.35">
      <c r="A3" s="28" t="s">
        <v>1568</v>
      </c>
      <c r="B3" s="28" t="s">
        <v>1569</v>
      </c>
      <c r="C3" s="30">
        <v>85927.097156571996</v>
      </c>
      <c r="D3" s="32">
        <f>CONFIG!C22</f>
        <v>1.7452228399641891</v>
      </c>
      <c r="E3" s="33">
        <f>C3*D3</f>
        <v>149961.93252947138</v>
      </c>
      <c r="F3" s="28" t="s">
        <v>49</v>
      </c>
      <c r="G3" s="28" t="s">
        <v>1570</v>
      </c>
    </row>
    <row r="4" spans="1:7" ht="15" customHeight="1" x14ac:dyDescent="0.35">
      <c r="A4" s="28" t="s">
        <v>1571</v>
      </c>
      <c r="B4" s="28" t="s">
        <v>1572</v>
      </c>
      <c r="C4" s="30">
        <v>76955.079706571996</v>
      </c>
      <c r="D4" s="32">
        <f>CONFIG!C22</f>
        <v>1.7452228399641891</v>
      </c>
      <c r="E4" s="33">
        <f>C4*D4</f>
        <v>134303.76275517413</v>
      </c>
      <c r="F4" s="28" t="s">
        <v>49</v>
      </c>
      <c r="G4" s="28" t="s">
        <v>1573</v>
      </c>
    </row>
    <row r="5" spans="1:7" ht="15" customHeight="1" x14ac:dyDescent="0.35">
      <c r="A5" s="28" t="s">
        <v>1574</v>
      </c>
      <c r="B5" s="28" t="s">
        <v>1575</v>
      </c>
      <c r="C5" s="30">
        <v>65493.071636572</v>
      </c>
      <c r="D5" s="32">
        <f>CONFIG!C22</f>
        <v>1.7452228399641891</v>
      </c>
      <c r="E5" s="33">
        <f>C5*D5</f>
        <v>114300.00447955627</v>
      </c>
      <c r="F5" s="28" t="s">
        <v>49</v>
      </c>
      <c r="G5" s="28" t="s">
        <v>1576</v>
      </c>
    </row>
    <row r="6" spans="1:7" ht="15" customHeight="1" x14ac:dyDescent="0.35">
      <c r="A6" s="28" t="s">
        <v>1577</v>
      </c>
      <c r="B6" s="28" t="s">
        <v>1550</v>
      </c>
      <c r="C6" s="30">
        <v>60860.580776572002</v>
      </c>
      <c r="D6" s="32">
        <f>CONFIG!C22</f>
        <v>1.7452228399641891</v>
      </c>
      <c r="E6" s="33">
        <f>C6*D6</f>
        <v>106215.27562475893</v>
      </c>
      <c r="F6" s="28" t="s">
        <v>49</v>
      </c>
      <c r="G6" s="28" t="s">
        <v>1578</v>
      </c>
    </row>
    <row r="7" spans="1:7" ht="15" customHeight="1" x14ac:dyDescent="0.35">
      <c r="A7" s="265" t="s">
        <v>1579</v>
      </c>
      <c r="B7" s="266"/>
      <c r="C7" s="266"/>
      <c r="D7" s="266"/>
      <c r="E7" s="266"/>
      <c r="F7" s="266"/>
      <c r="G7" s="266"/>
    </row>
    <row r="8" spans="1:7" ht="15" customHeight="1" x14ac:dyDescent="0.35">
      <c r="A8" s="34" t="s">
        <v>1580</v>
      </c>
      <c r="B8" s="34" t="s">
        <v>1581</v>
      </c>
      <c r="C8" s="35">
        <v>3009340.5819999999</v>
      </c>
      <c r="D8" s="36">
        <f>CONFIG!C22</f>
        <v>1.7452228399641891</v>
      </c>
      <c r="E8" s="35">
        <f>C8*D8</f>
        <v>5251969.9169375254</v>
      </c>
      <c r="F8" s="34" t="s">
        <v>49</v>
      </c>
      <c r="G8" s="34" t="s">
        <v>1582</v>
      </c>
    </row>
    <row r="9" spans="1:7" ht="15" customHeight="1" x14ac:dyDescent="0.35">
      <c r="A9" s="34" t="s">
        <v>1583</v>
      </c>
      <c r="B9" s="34" t="s">
        <v>1584</v>
      </c>
      <c r="C9" s="35">
        <v>4372210.5820000004</v>
      </c>
      <c r="D9" s="36">
        <f>CONFIG!C22</f>
        <v>1.7452228399641891</v>
      </c>
      <c r="E9" s="35">
        <f>C9*D9</f>
        <v>7630481.7688395213</v>
      </c>
      <c r="F9" s="34" t="s">
        <v>49</v>
      </c>
      <c r="G9" s="34" t="s">
        <v>1585</v>
      </c>
    </row>
    <row r="10" spans="1:7" ht="15" customHeight="1" x14ac:dyDescent="0.35">
      <c r="A10" s="34" t="s">
        <v>1586</v>
      </c>
      <c r="B10" s="34" t="s">
        <v>1587</v>
      </c>
      <c r="C10" s="35">
        <v>5273644.0999999996</v>
      </c>
      <c r="D10" s="36">
        <f>CONFIG!C22</f>
        <v>1.7452228399641891</v>
      </c>
      <c r="E10" s="35">
        <f>C10*D10</f>
        <v>9203684.1331623904</v>
      </c>
      <c r="F10" s="34" t="s">
        <v>49</v>
      </c>
      <c r="G10" s="34" t="s">
        <v>1588</v>
      </c>
    </row>
    <row r="11" spans="1:7" ht="14.25" customHeight="1" x14ac:dyDescent="0.35">
      <c r="A11" s="34"/>
      <c r="B11" s="34"/>
      <c r="C11" s="35"/>
      <c r="D11" s="36"/>
      <c r="E11" s="35"/>
      <c r="F11" s="34" t="s">
        <v>49</v>
      </c>
      <c r="G11" s="34" t="s">
        <v>1567</v>
      </c>
    </row>
  </sheetData>
  <mergeCells count="1"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BD97"/>
  </sheetPr>
  <dimension ref="A1:H157"/>
  <sheetViews>
    <sheetView showGridLines="0" zoomScaleNormal="100" workbookViewId="0">
      <pane ySplit="1" topLeftCell="A2" activePane="bottomLeft" state="frozen"/>
      <selection pane="bottomLeft" activeCell="D2" sqref="D2"/>
    </sheetView>
  </sheetViews>
  <sheetFormatPr defaultColWidth="8.6328125" defaultRowHeight="14.5" x14ac:dyDescent="0.35"/>
  <cols>
    <col min="1" max="1" width="16.54296875" customWidth="1"/>
    <col min="2" max="2" width="61.453125" customWidth="1"/>
    <col min="3" max="3" width="14.26953125" style="229" customWidth="1"/>
    <col min="4" max="7" width="14.26953125" style="11" customWidth="1"/>
    <col min="8" max="8" width="26.1796875" customWidth="1"/>
  </cols>
  <sheetData>
    <row r="1" spans="1:8" ht="23.25" customHeight="1" x14ac:dyDescent="0.35">
      <c r="A1" s="12" t="s">
        <v>579</v>
      </c>
      <c r="B1" s="27" t="s">
        <v>6</v>
      </c>
      <c r="C1" s="240" t="s">
        <v>1589</v>
      </c>
      <c r="D1" s="12" t="s">
        <v>1590</v>
      </c>
      <c r="E1" s="12" t="s">
        <v>1591</v>
      </c>
      <c r="F1" s="12" t="s">
        <v>565</v>
      </c>
      <c r="G1" s="244" t="s">
        <v>584</v>
      </c>
      <c r="H1" s="12" t="s">
        <v>585</v>
      </c>
    </row>
    <row r="2" spans="1:8" ht="14.25" customHeight="1" x14ac:dyDescent="0.35">
      <c r="A2" s="237" t="s">
        <v>1592</v>
      </c>
      <c r="B2" s="238" t="s">
        <v>1593</v>
      </c>
      <c r="C2" s="241">
        <v>1028123.08376537</v>
      </c>
      <c r="D2" s="242">
        <v>5</v>
      </c>
      <c r="E2" s="243">
        <f t="shared" ref="E2:E18" si="0">D2*360</f>
        <v>1800</v>
      </c>
      <c r="F2" s="243">
        <f t="shared" ref="F2:F34" si="1">IF(E2=0,0,C2/E2)</f>
        <v>571.1794909807611</v>
      </c>
      <c r="G2" s="243" t="s">
        <v>3011</v>
      </c>
      <c r="H2" s="28" t="s">
        <v>1594</v>
      </c>
    </row>
    <row r="3" spans="1:8" ht="14.25" customHeight="1" x14ac:dyDescent="0.35">
      <c r="A3" s="237" t="s">
        <v>1595</v>
      </c>
      <c r="B3" s="238" t="s">
        <v>1596</v>
      </c>
      <c r="C3" s="241">
        <v>2470106.60470455</v>
      </c>
      <c r="D3" s="242">
        <v>3</v>
      </c>
      <c r="E3" s="243">
        <f t="shared" si="0"/>
        <v>1080</v>
      </c>
      <c r="F3" s="243">
        <f t="shared" si="1"/>
        <v>2287.1357450968057</v>
      </c>
      <c r="G3" s="243" t="s">
        <v>3011</v>
      </c>
      <c r="H3" s="28" t="s">
        <v>1597</v>
      </c>
    </row>
    <row r="4" spans="1:8" ht="14.25" customHeight="1" x14ac:dyDescent="0.35">
      <c r="A4" s="237" t="s">
        <v>1598</v>
      </c>
      <c r="B4" s="238" t="s">
        <v>1599</v>
      </c>
      <c r="C4" s="241">
        <v>1424056.59602455</v>
      </c>
      <c r="D4" s="242">
        <v>1.5</v>
      </c>
      <c r="E4" s="243">
        <f t="shared" si="0"/>
        <v>540</v>
      </c>
      <c r="F4" s="243">
        <f t="shared" si="1"/>
        <v>2637.1418444899073</v>
      </c>
      <c r="G4" s="243" t="s">
        <v>3011</v>
      </c>
      <c r="H4" s="28" t="s">
        <v>1600</v>
      </c>
    </row>
    <row r="5" spans="1:8" ht="14.25" customHeight="1" x14ac:dyDescent="0.35">
      <c r="A5" s="237" t="s">
        <v>1601</v>
      </c>
      <c r="B5" s="238" t="s">
        <v>1602</v>
      </c>
      <c r="C5" s="241">
        <v>2734071.1873955498</v>
      </c>
      <c r="D5" s="242">
        <v>1.5</v>
      </c>
      <c r="E5" s="243">
        <f t="shared" si="0"/>
        <v>540</v>
      </c>
      <c r="F5" s="243">
        <f t="shared" si="1"/>
        <v>5063.0947914732405</v>
      </c>
      <c r="G5" s="243" t="s">
        <v>3011</v>
      </c>
      <c r="H5" s="28" t="s">
        <v>1603</v>
      </c>
    </row>
    <row r="6" spans="1:8" ht="14.25" customHeight="1" x14ac:dyDescent="0.35">
      <c r="A6" s="237" t="s">
        <v>1604</v>
      </c>
      <c r="B6" s="238" t="s">
        <v>1605</v>
      </c>
      <c r="C6" s="241">
        <v>1241010.6908793901</v>
      </c>
      <c r="D6" s="242">
        <v>2</v>
      </c>
      <c r="E6" s="243">
        <f t="shared" si="0"/>
        <v>720</v>
      </c>
      <c r="F6" s="243">
        <f t="shared" si="1"/>
        <v>1723.6259595547085</v>
      </c>
      <c r="G6" s="243" t="s">
        <v>3011</v>
      </c>
      <c r="H6" s="28" t="s">
        <v>1606</v>
      </c>
    </row>
    <row r="7" spans="1:8" ht="13" customHeight="1" x14ac:dyDescent="0.35">
      <c r="A7" s="237" t="s">
        <v>1607</v>
      </c>
      <c r="B7" s="238" t="s">
        <v>1608</v>
      </c>
      <c r="C7" s="241">
        <v>2058253.9915327299</v>
      </c>
      <c r="D7" s="242">
        <v>2</v>
      </c>
      <c r="E7" s="243">
        <f t="shared" si="0"/>
        <v>720</v>
      </c>
      <c r="F7" s="243">
        <f t="shared" si="1"/>
        <v>2858.6860993510136</v>
      </c>
      <c r="G7" s="243" t="s">
        <v>3011</v>
      </c>
      <c r="H7" s="28" t="s">
        <v>1609</v>
      </c>
    </row>
    <row r="8" spans="1:8" ht="14.25" customHeight="1" x14ac:dyDescent="0.35">
      <c r="A8" s="239" t="s">
        <v>1610</v>
      </c>
      <c r="B8" s="238" t="s">
        <v>1611</v>
      </c>
      <c r="C8" s="241">
        <v>3739856.6524543799</v>
      </c>
      <c r="D8" s="242">
        <v>1.5</v>
      </c>
      <c r="E8" s="243">
        <f t="shared" si="0"/>
        <v>540</v>
      </c>
      <c r="F8" s="243">
        <f t="shared" si="1"/>
        <v>6925.6604675081107</v>
      </c>
      <c r="G8" s="243" t="s">
        <v>3011</v>
      </c>
      <c r="H8" s="28" t="s">
        <v>1612</v>
      </c>
    </row>
    <row r="9" spans="1:8" ht="14.25" customHeight="1" x14ac:dyDescent="0.35">
      <c r="A9" s="237" t="s">
        <v>1613</v>
      </c>
      <c r="B9" s="238" t="s">
        <v>1614</v>
      </c>
      <c r="C9" s="241">
        <v>689222.30122796202</v>
      </c>
      <c r="D9" s="242">
        <v>2</v>
      </c>
      <c r="E9" s="243">
        <f t="shared" si="0"/>
        <v>720</v>
      </c>
      <c r="F9" s="243">
        <f t="shared" si="1"/>
        <v>957.25319614994726</v>
      </c>
      <c r="G9" s="243" t="s">
        <v>3011</v>
      </c>
      <c r="H9" s="28" t="s">
        <v>1615</v>
      </c>
    </row>
    <row r="10" spans="1:8" ht="14.25" customHeight="1" x14ac:dyDescent="0.35">
      <c r="A10" s="237" t="s">
        <v>1616</v>
      </c>
      <c r="B10" s="238" t="s">
        <v>1617</v>
      </c>
      <c r="C10" s="241">
        <v>579244.09475606401</v>
      </c>
      <c r="D10" s="242">
        <v>2</v>
      </c>
      <c r="E10" s="243">
        <f t="shared" si="0"/>
        <v>720</v>
      </c>
      <c r="F10" s="243">
        <f t="shared" si="1"/>
        <v>804.50568716120006</v>
      </c>
      <c r="G10" s="243" t="s">
        <v>3011</v>
      </c>
      <c r="H10" s="28" t="s">
        <v>1618</v>
      </c>
    </row>
    <row r="11" spans="1:8" ht="14.25" customHeight="1" x14ac:dyDescent="0.35">
      <c r="A11" s="239" t="s">
        <v>1619</v>
      </c>
      <c r="B11" s="238" t="s">
        <v>1620</v>
      </c>
      <c r="C11" s="241">
        <v>537162.918445491</v>
      </c>
      <c r="D11" s="242">
        <v>5</v>
      </c>
      <c r="E11" s="243">
        <f t="shared" si="0"/>
        <v>1800</v>
      </c>
      <c r="F11" s="243">
        <f t="shared" si="1"/>
        <v>298.42384358082836</v>
      </c>
      <c r="G11" s="243" t="s">
        <v>3011</v>
      </c>
      <c r="H11" s="28" t="s">
        <v>1621</v>
      </c>
    </row>
    <row r="12" spans="1:8" ht="14.25" customHeight="1" x14ac:dyDescent="0.35">
      <c r="A12" s="237" t="s">
        <v>1622</v>
      </c>
      <c r="B12" s="238" t="s">
        <v>1623</v>
      </c>
      <c r="C12" s="241">
        <v>201885.253335805</v>
      </c>
      <c r="D12" s="242">
        <v>4</v>
      </c>
      <c r="E12" s="243">
        <f t="shared" si="0"/>
        <v>1440</v>
      </c>
      <c r="F12" s="243">
        <f t="shared" si="1"/>
        <v>140.19809259430903</v>
      </c>
      <c r="G12" s="243" t="s">
        <v>3011</v>
      </c>
      <c r="H12" s="28" t="s">
        <v>1624</v>
      </c>
    </row>
    <row r="13" spans="1:8" ht="14.25" customHeight="1" x14ac:dyDescent="0.35">
      <c r="A13" s="237" t="s">
        <v>1625</v>
      </c>
      <c r="B13" s="238" t="s">
        <v>1626</v>
      </c>
      <c r="C13" s="241">
        <v>683705.75118924095</v>
      </c>
      <c r="D13" s="242">
        <v>1</v>
      </c>
      <c r="E13" s="243">
        <f t="shared" si="0"/>
        <v>360</v>
      </c>
      <c r="F13" s="243">
        <f t="shared" si="1"/>
        <v>1899.1826421923361</v>
      </c>
      <c r="G13" s="243" t="s">
        <v>3011</v>
      </c>
      <c r="H13" s="28" t="s">
        <v>1627</v>
      </c>
    </row>
    <row r="14" spans="1:8" ht="14.25" customHeight="1" x14ac:dyDescent="0.35">
      <c r="A14" s="237" t="s">
        <v>1628</v>
      </c>
      <c r="B14" s="238" t="s">
        <v>1629</v>
      </c>
      <c r="C14" s="241">
        <v>10476479.4</v>
      </c>
      <c r="D14" s="242">
        <v>10</v>
      </c>
      <c r="E14" s="243">
        <f t="shared" si="0"/>
        <v>3600</v>
      </c>
      <c r="F14" s="243">
        <f t="shared" si="1"/>
        <v>2910.133166666667</v>
      </c>
      <c r="G14" s="243" t="s">
        <v>3011</v>
      </c>
      <c r="H14" s="28" t="s">
        <v>1630</v>
      </c>
    </row>
    <row r="15" spans="1:8" ht="14.25" customHeight="1" x14ac:dyDescent="0.35">
      <c r="A15" s="237" t="s">
        <v>1631</v>
      </c>
      <c r="B15" s="238" t="s">
        <v>1632</v>
      </c>
      <c r="C15" s="241">
        <v>2222045.87</v>
      </c>
      <c r="D15" s="242">
        <v>3</v>
      </c>
      <c r="E15" s="243">
        <f t="shared" si="0"/>
        <v>1080</v>
      </c>
      <c r="F15" s="243">
        <f t="shared" si="1"/>
        <v>2057.4498796296298</v>
      </c>
      <c r="G15" s="243" t="s">
        <v>3011</v>
      </c>
      <c r="H15" s="28" t="s">
        <v>1633</v>
      </c>
    </row>
    <row r="16" spans="1:8" ht="14.25" customHeight="1" x14ac:dyDescent="0.35">
      <c r="A16" s="237" t="s">
        <v>1634</v>
      </c>
      <c r="B16" s="238" t="s">
        <v>1635</v>
      </c>
      <c r="C16" s="241">
        <v>1190381.72</v>
      </c>
      <c r="D16" s="242">
        <v>3</v>
      </c>
      <c r="E16" s="243">
        <f t="shared" si="0"/>
        <v>1080</v>
      </c>
      <c r="F16" s="243">
        <f t="shared" si="1"/>
        <v>1102.2052962962962</v>
      </c>
      <c r="G16" s="243" t="s">
        <v>3011</v>
      </c>
      <c r="H16" s="28" t="s">
        <v>1636</v>
      </c>
    </row>
    <row r="17" spans="1:8" ht="14.25" customHeight="1" x14ac:dyDescent="0.35">
      <c r="A17" s="237" t="s">
        <v>1637</v>
      </c>
      <c r="B17" s="238" t="s">
        <v>1638</v>
      </c>
      <c r="C17" s="241">
        <v>1745893.18</v>
      </c>
      <c r="D17" s="242">
        <v>3</v>
      </c>
      <c r="E17" s="243">
        <f t="shared" si="0"/>
        <v>1080</v>
      </c>
      <c r="F17" s="243">
        <f t="shared" si="1"/>
        <v>1616.5677592592592</v>
      </c>
      <c r="G17" s="243" t="s">
        <v>3011</v>
      </c>
      <c r="H17" s="28" t="s">
        <v>1639</v>
      </c>
    </row>
    <row r="18" spans="1:8" ht="14.25" customHeight="1" x14ac:dyDescent="0.35">
      <c r="A18" s="237" t="s">
        <v>1640</v>
      </c>
      <c r="B18" s="238" t="s">
        <v>1641</v>
      </c>
      <c r="C18" s="241">
        <v>1468137.45</v>
      </c>
      <c r="D18" s="242">
        <v>3</v>
      </c>
      <c r="E18" s="243">
        <f t="shared" si="0"/>
        <v>1080</v>
      </c>
      <c r="F18" s="243">
        <f t="shared" si="1"/>
        <v>1359.3865277777777</v>
      </c>
      <c r="G18" s="243" t="s">
        <v>3011</v>
      </c>
      <c r="H18" s="28" t="s">
        <v>1642</v>
      </c>
    </row>
    <row r="19" spans="1:8" ht="14.25" customHeight="1" x14ac:dyDescent="0.35">
      <c r="A19" s="237" t="s">
        <v>1643</v>
      </c>
      <c r="B19" s="238" t="s">
        <v>1644</v>
      </c>
      <c r="C19" s="241">
        <v>976113.01</v>
      </c>
      <c r="D19" s="242"/>
      <c r="E19" s="243">
        <v>30</v>
      </c>
      <c r="F19" s="243">
        <f t="shared" si="1"/>
        <v>32537.100333333332</v>
      </c>
      <c r="G19" s="243" t="s">
        <v>3011</v>
      </c>
      <c r="H19" s="28" t="s">
        <v>1645</v>
      </c>
    </row>
    <row r="20" spans="1:8" ht="14.25" customHeight="1" x14ac:dyDescent="0.35">
      <c r="A20" s="237" t="s">
        <v>1646</v>
      </c>
      <c r="B20" s="238" t="s">
        <v>1647</v>
      </c>
      <c r="C20" s="241">
        <v>61876.7</v>
      </c>
      <c r="D20" s="242"/>
      <c r="E20" s="243">
        <v>1</v>
      </c>
      <c r="F20" s="243">
        <f t="shared" si="1"/>
        <v>61876.7</v>
      </c>
      <c r="G20" s="243" t="s">
        <v>3012</v>
      </c>
      <c r="H20" s="28" t="s">
        <v>1648</v>
      </c>
    </row>
    <row r="21" spans="1:8" ht="14.25" customHeight="1" x14ac:dyDescent="0.35">
      <c r="A21" s="237" t="s">
        <v>1649</v>
      </c>
      <c r="B21" s="238" t="s">
        <v>1650</v>
      </c>
      <c r="C21" s="241">
        <v>72723.199999999997</v>
      </c>
      <c r="D21" s="242"/>
      <c r="E21" s="243">
        <v>1</v>
      </c>
      <c r="F21" s="243">
        <f t="shared" si="1"/>
        <v>72723.199999999997</v>
      </c>
      <c r="G21" s="243" t="s">
        <v>3012</v>
      </c>
      <c r="H21" s="28" t="s">
        <v>1648</v>
      </c>
    </row>
    <row r="22" spans="1:8" ht="14.25" customHeight="1" x14ac:dyDescent="0.35">
      <c r="A22" s="237" t="s">
        <v>1651</v>
      </c>
      <c r="B22" s="238" t="s">
        <v>1652</v>
      </c>
      <c r="C22" s="241">
        <v>1230000</v>
      </c>
      <c r="D22" s="242"/>
      <c r="E22" s="243">
        <v>30</v>
      </c>
      <c r="F22" s="243">
        <f t="shared" si="1"/>
        <v>41000</v>
      </c>
      <c r="G22" s="243" t="s">
        <v>3011</v>
      </c>
      <c r="H22" s="28" t="s">
        <v>1648</v>
      </c>
    </row>
    <row r="23" spans="1:8" ht="14.25" customHeight="1" x14ac:dyDescent="0.35">
      <c r="A23" s="237" t="s">
        <v>1653</v>
      </c>
      <c r="B23" s="238" t="s">
        <v>1654</v>
      </c>
      <c r="C23" s="241">
        <v>40428</v>
      </c>
      <c r="D23" s="242"/>
      <c r="E23" s="243">
        <v>1</v>
      </c>
      <c r="F23" s="243">
        <f t="shared" si="1"/>
        <v>40428</v>
      </c>
      <c r="G23" s="243" t="s">
        <v>3012</v>
      </c>
      <c r="H23" s="28" t="s">
        <v>1648</v>
      </c>
    </row>
    <row r="24" spans="1:8" ht="14.25" customHeight="1" x14ac:dyDescent="0.35">
      <c r="A24" s="237" t="s">
        <v>1655</v>
      </c>
      <c r="B24" s="238" t="s">
        <v>1656</v>
      </c>
      <c r="C24" s="241">
        <v>67380</v>
      </c>
      <c r="D24" s="242"/>
      <c r="E24" s="243">
        <v>1</v>
      </c>
      <c r="F24" s="243">
        <f t="shared" si="1"/>
        <v>67380</v>
      </c>
      <c r="G24" s="243" t="s">
        <v>3012</v>
      </c>
      <c r="H24" s="28" t="s">
        <v>1648</v>
      </c>
    </row>
    <row r="25" spans="1:8" ht="14.25" customHeight="1" x14ac:dyDescent="0.35">
      <c r="A25" s="237" t="s">
        <v>1657</v>
      </c>
      <c r="B25" s="238" t="s">
        <v>1658</v>
      </c>
      <c r="C25" s="241">
        <v>506170</v>
      </c>
      <c r="D25" s="242"/>
      <c r="E25" s="243">
        <v>1</v>
      </c>
      <c r="F25" s="243">
        <f t="shared" si="1"/>
        <v>506170</v>
      </c>
      <c r="G25" s="243" t="s">
        <v>3012</v>
      </c>
      <c r="H25" s="28" t="s">
        <v>1648</v>
      </c>
    </row>
    <row r="26" spans="1:8" ht="14.25" customHeight="1" x14ac:dyDescent="0.35">
      <c r="A26" s="237" t="s">
        <v>1659</v>
      </c>
      <c r="B26" s="238" t="s">
        <v>1660</v>
      </c>
      <c r="C26" s="241">
        <v>588810</v>
      </c>
      <c r="D26" s="242"/>
      <c r="E26" s="243">
        <v>1</v>
      </c>
      <c r="F26" s="243">
        <f t="shared" si="1"/>
        <v>588810</v>
      </c>
      <c r="G26" s="243" t="s">
        <v>3012</v>
      </c>
      <c r="H26" s="28" t="s">
        <v>1648</v>
      </c>
    </row>
    <row r="27" spans="1:8" ht="14.25" customHeight="1" x14ac:dyDescent="0.35">
      <c r="A27" s="237" t="s">
        <v>1661</v>
      </c>
      <c r="B27" s="238" t="s">
        <v>1662</v>
      </c>
      <c r="C27" s="241">
        <v>568150</v>
      </c>
      <c r="D27" s="242"/>
      <c r="E27" s="243">
        <v>1</v>
      </c>
      <c r="F27" s="243">
        <f t="shared" si="1"/>
        <v>568150</v>
      </c>
      <c r="G27" s="243" t="s">
        <v>3012</v>
      </c>
      <c r="H27" s="28" t="s">
        <v>1648</v>
      </c>
    </row>
    <row r="28" spans="1:8" ht="14.25" customHeight="1" x14ac:dyDescent="0.35">
      <c r="A28" s="237" t="s">
        <v>1663</v>
      </c>
      <c r="B28" s="238" t="s">
        <v>1664</v>
      </c>
      <c r="C28" s="241">
        <v>878050</v>
      </c>
      <c r="D28" s="242"/>
      <c r="E28" s="243">
        <v>1</v>
      </c>
      <c r="F28" s="243">
        <f t="shared" si="1"/>
        <v>878050</v>
      </c>
      <c r="G28" s="243" t="s">
        <v>3012</v>
      </c>
      <c r="H28" s="28" t="s">
        <v>1648</v>
      </c>
    </row>
    <row r="29" spans="1:8" ht="14.25" customHeight="1" x14ac:dyDescent="0.35">
      <c r="A29" s="237" t="s">
        <v>1665</v>
      </c>
      <c r="B29" s="238" t="s">
        <v>1666</v>
      </c>
      <c r="C29" s="241">
        <v>929700</v>
      </c>
      <c r="D29" s="242"/>
      <c r="E29" s="243">
        <v>1</v>
      </c>
      <c r="F29" s="243">
        <f t="shared" si="1"/>
        <v>929700</v>
      </c>
      <c r="G29" s="243" t="s">
        <v>3012</v>
      </c>
      <c r="H29" s="28" t="s">
        <v>1648</v>
      </c>
    </row>
    <row r="30" spans="1:8" ht="14.25" customHeight="1" x14ac:dyDescent="0.35">
      <c r="A30" s="237" t="s">
        <v>1667</v>
      </c>
      <c r="B30" s="238" t="s">
        <v>1668</v>
      </c>
      <c r="C30" s="241">
        <v>258250</v>
      </c>
      <c r="D30" s="242"/>
      <c r="E30" s="243">
        <v>1</v>
      </c>
      <c r="F30" s="243">
        <f t="shared" si="1"/>
        <v>258250</v>
      </c>
      <c r="G30" s="243" t="s">
        <v>3012</v>
      </c>
      <c r="H30" s="28" t="s">
        <v>1648</v>
      </c>
    </row>
    <row r="31" spans="1:8" ht="14.25" customHeight="1" x14ac:dyDescent="0.35">
      <c r="A31" s="237" t="s">
        <v>1669</v>
      </c>
      <c r="B31" s="238" t="s">
        <v>1670</v>
      </c>
      <c r="C31" s="241">
        <v>402870</v>
      </c>
      <c r="D31" s="242"/>
      <c r="E31" s="243">
        <v>1</v>
      </c>
      <c r="F31" s="243">
        <f t="shared" si="1"/>
        <v>402870</v>
      </c>
      <c r="G31" s="243" t="s">
        <v>3012</v>
      </c>
      <c r="H31" s="28" t="s">
        <v>1648</v>
      </c>
    </row>
    <row r="32" spans="1:8" ht="14.25" customHeight="1" x14ac:dyDescent="0.35">
      <c r="A32" s="237" t="s">
        <v>1671</v>
      </c>
      <c r="B32" s="238" t="s">
        <v>1672</v>
      </c>
      <c r="C32" s="241">
        <v>107808</v>
      </c>
      <c r="D32" s="242"/>
      <c r="E32" s="243">
        <v>1</v>
      </c>
      <c r="F32" s="243">
        <f t="shared" si="1"/>
        <v>107808</v>
      </c>
      <c r="G32" s="243" t="s">
        <v>3012</v>
      </c>
      <c r="H32" s="28" t="s">
        <v>1648</v>
      </c>
    </row>
    <row r="33" spans="1:8" ht="14.25" customHeight="1" x14ac:dyDescent="0.35">
      <c r="A33" s="237" t="s">
        <v>1673</v>
      </c>
      <c r="B33" s="238" t="s">
        <v>1674</v>
      </c>
      <c r="C33" s="241">
        <v>309900</v>
      </c>
      <c r="D33" s="242"/>
      <c r="E33" s="243">
        <v>1</v>
      </c>
      <c r="F33" s="243">
        <f t="shared" si="1"/>
        <v>309900</v>
      </c>
      <c r="G33" s="243" t="s">
        <v>3012</v>
      </c>
      <c r="H33" s="28" t="s">
        <v>1648</v>
      </c>
    </row>
    <row r="34" spans="1:8" ht="14.25" customHeight="1" x14ac:dyDescent="0.35">
      <c r="A34" s="237" t="s">
        <v>1675</v>
      </c>
      <c r="B34" s="238" t="s">
        <v>1676</v>
      </c>
      <c r="C34" s="241">
        <v>464850</v>
      </c>
      <c r="D34" s="242"/>
      <c r="E34" s="243">
        <v>1</v>
      </c>
      <c r="F34" s="243">
        <f t="shared" si="1"/>
        <v>464850</v>
      </c>
      <c r="G34" s="243" t="s">
        <v>3012</v>
      </c>
      <c r="H34" s="28" t="s">
        <v>1648</v>
      </c>
    </row>
    <row r="35" spans="1:8" ht="14.25" customHeight="1" x14ac:dyDescent="0.35">
      <c r="A35" s="237" t="s">
        <v>1677</v>
      </c>
      <c r="B35" s="238" t="s">
        <v>1678</v>
      </c>
      <c r="C35" s="241">
        <v>1</v>
      </c>
      <c r="D35" s="242"/>
      <c r="E35" s="243">
        <v>1</v>
      </c>
      <c r="F35" s="243">
        <v>79748.530293941207</v>
      </c>
      <c r="G35" s="243" t="s">
        <v>3013</v>
      </c>
      <c r="H35" s="28" t="s">
        <v>1679</v>
      </c>
    </row>
    <row r="36" spans="1:8" ht="14.25" customHeight="1" x14ac:dyDescent="0.35">
      <c r="A36" s="237" t="s">
        <v>1680</v>
      </c>
      <c r="B36" s="238" t="s">
        <v>1681</v>
      </c>
      <c r="C36" s="241">
        <v>1</v>
      </c>
      <c r="D36" s="242"/>
      <c r="E36" s="243">
        <v>1</v>
      </c>
      <c r="F36" s="243">
        <v>13291.421715656899</v>
      </c>
      <c r="G36" s="243" t="s">
        <v>3013</v>
      </c>
      <c r="H36" s="28" t="s">
        <v>1682</v>
      </c>
    </row>
    <row r="37" spans="1:8" ht="14.25" customHeight="1" x14ac:dyDescent="0.35">
      <c r="A37" s="237" t="s">
        <v>1683</v>
      </c>
      <c r="B37" s="238" t="s">
        <v>1684</v>
      </c>
      <c r="C37" s="241">
        <v>1</v>
      </c>
      <c r="D37" s="242"/>
      <c r="E37" s="243">
        <v>1</v>
      </c>
      <c r="F37" s="243">
        <v>65000</v>
      </c>
      <c r="G37" s="243" t="s">
        <v>3014</v>
      </c>
      <c r="H37" s="28" t="s">
        <v>1685</v>
      </c>
    </row>
    <row r="38" spans="1:8" ht="14.25" customHeight="1" x14ac:dyDescent="0.35">
      <c r="A38" s="237" t="s">
        <v>1686</v>
      </c>
      <c r="B38" s="238" t="s">
        <v>1687</v>
      </c>
      <c r="C38" s="241">
        <v>1</v>
      </c>
      <c r="D38" s="242"/>
      <c r="E38" s="243">
        <v>1</v>
      </c>
      <c r="F38" s="243">
        <v>1302.90871164858</v>
      </c>
      <c r="G38" s="243" t="s">
        <v>3014</v>
      </c>
      <c r="H38" s="28" t="s">
        <v>1688</v>
      </c>
    </row>
    <row r="39" spans="1:8" ht="14.25" customHeight="1" x14ac:dyDescent="0.35">
      <c r="A39" s="237" t="s">
        <v>1689</v>
      </c>
      <c r="B39" s="238" t="s">
        <v>1690</v>
      </c>
      <c r="C39" s="241">
        <v>1</v>
      </c>
      <c r="D39" s="242"/>
      <c r="E39" s="243">
        <v>1</v>
      </c>
      <c r="F39" s="243">
        <v>11395.701623995201</v>
      </c>
      <c r="G39" s="243" t="s">
        <v>3014</v>
      </c>
      <c r="H39" s="28" t="s">
        <v>1691</v>
      </c>
    </row>
    <row r="40" spans="1:8" ht="14.25" customHeight="1" x14ac:dyDescent="0.35">
      <c r="A40" s="237" t="s">
        <v>1692</v>
      </c>
      <c r="B40" s="238" t="s">
        <v>1693</v>
      </c>
      <c r="C40" s="241">
        <v>1</v>
      </c>
      <c r="D40" s="242"/>
      <c r="E40" s="243">
        <v>1</v>
      </c>
      <c r="F40" s="243">
        <v>10647.458136473801</v>
      </c>
      <c r="G40" s="243" t="s">
        <v>3014</v>
      </c>
      <c r="H40" s="28" t="s">
        <v>1694</v>
      </c>
    </row>
    <row r="41" spans="1:8" ht="14.25" customHeight="1" x14ac:dyDescent="0.35">
      <c r="A41" s="237" t="s">
        <v>1695</v>
      </c>
      <c r="B41" s="238" t="s">
        <v>1696</v>
      </c>
      <c r="C41" s="241">
        <v>1</v>
      </c>
      <c r="D41" s="242"/>
      <c r="E41" s="243">
        <v>1</v>
      </c>
      <c r="F41" s="243">
        <v>7920.4190953709203</v>
      </c>
      <c r="G41" s="243" t="s">
        <v>3014</v>
      </c>
      <c r="H41" s="28" t="s">
        <v>1697</v>
      </c>
    </row>
    <row r="42" spans="1:8" ht="14.25" customHeight="1" x14ac:dyDescent="0.35">
      <c r="A42" s="237" t="s">
        <v>1698</v>
      </c>
      <c r="B42" s="238" t="s">
        <v>1699</v>
      </c>
      <c r="C42" s="241">
        <v>1</v>
      </c>
      <c r="D42" s="242"/>
      <c r="E42" s="243">
        <v>1</v>
      </c>
      <c r="F42" s="243">
        <v>7040.5471828709196</v>
      </c>
      <c r="G42" s="243" t="s">
        <v>3014</v>
      </c>
      <c r="H42" s="28" t="s">
        <v>1700</v>
      </c>
    </row>
    <row r="43" spans="1:8" ht="14.25" customHeight="1" x14ac:dyDescent="0.35">
      <c r="A43" s="237" t="s">
        <v>1701</v>
      </c>
      <c r="B43" s="238" t="s">
        <v>1702</v>
      </c>
      <c r="C43" s="241">
        <v>1</v>
      </c>
      <c r="D43" s="242"/>
      <c r="E43" s="243">
        <v>1</v>
      </c>
      <c r="F43" s="243">
        <v>14296.601471079201</v>
      </c>
      <c r="G43" s="243" t="s">
        <v>3014</v>
      </c>
      <c r="H43" s="28" t="s">
        <v>1703</v>
      </c>
    </row>
    <row r="44" spans="1:8" ht="14.25" customHeight="1" x14ac:dyDescent="0.35">
      <c r="A44" s="237" t="s">
        <v>1704</v>
      </c>
      <c r="B44" s="238" t="s">
        <v>1705</v>
      </c>
      <c r="C44" s="241">
        <v>1</v>
      </c>
      <c r="D44" s="242"/>
      <c r="E44" s="243">
        <v>1</v>
      </c>
      <c r="F44" s="243">
        <v>12155.8099864738</v>
      </c>
      <c r="G44" s="243" t="s">
        <v>3014</v>
      </c>
      <c r="H44" s="28" t="s">
        <v>1706</v>
      </c>
    </row>
    <row r="45" spans="1:8" ht="14.25" customHeight="1" x14ac:dyDescent="0.35">
      <c r="A45" s="237" t="s">
        <v>1707</v>
      </c>
      <c r="B45" s="238" t="s">
        <v>1708</v>
      </c>
      <c r="C45" s="241">
        <v>1</v>
      </c>
      <c r="D45" s="242"/>
      <c r="E45" s="243">
        <v>1</v>
      </c>
      <c r="F45" s="243">
        <v>8915.6268732254393</v>
      </c>
      <c r="G45" s="243" t="s">
        <v>3014</v>
      </c>
      <c r="H45" s="28" t="s">
        <v>1709</v>
      </c>
    </row>
    <row r="46" spans="1:8" ht="14.25" customHeight="1" x14ac:dyDescent="0.35">
      <c r="A46" s="237" t="s">
        <v>1710</v>
      </c>
      <c r="B46" s="238" t="s">
        <v>1711</v>
      </c>
      <c r="C46" s="241">
        <v>1</v>
      </c>
      <c r="D46" s="242"/>
      <c r="E46" s="243">
        <v>1</v>
      </c>
      <c r="F46" s="243">
        <v>9854.9599131873692</v>
      </c>
      <c r="G46" s="243" t="s">
        <v>3014</v>
      </c>
      <c r="H46" s="28" t="s">
        <v>1712</v>
      </c>
    </row>
    <row r="47" spans="1:8" ht="14.25" customHeight="1" x14ac:dyDescent="0.35">
      <c r="A47" s="237" t="s">
        <v>1713</v>
      </c>
      <c r="B47" s="238" t="s">
        <v>1714</v>
      </c>
      <c r="C47" s="241">
        <v>1</v>
      </c>
      <c r="D47" s="242"/>
      <c r="E47" s="243">
        <v>1</v>
      </c>
      <c r="F47" s="243">
        <v>16574.254700785801</v>
      </c>
      <c r="G47" s="243" t="s">
        <v>3014</v>
      </c>
      <c r="H47" s="28" t="s">
        <v>1715</v>
      </c>
    </row>
    <row r="48" spans="1:8" ht="14.25" customHeight="1" x14ac:dyDescent="0.35">
      <c r="A48" s="237" t="s">
        <v>1716</v>
      </c>
      <c r="B48" s="238" t="s">
        <v>1717</v>
      </c>
      <c r="C48" s="241">
        <v>1</v>
      </c>
      <c r="D48" s="242"/>
      <c r="E48" s="243">
        <v>1</v>
      </c>
      <c r="F48" s="243">
        <v>18555.793102383701</v>
      </c>
      <c r="G48" s="243" t="s">
        <v>3014</v>
      </c>
      <c r="H48" s="28" t="s">
        <v>1718</v>
      </c>
    </row>
    <row r="49" spans="1:8" ht="14.25" customHeight="1" x14ac:dyDescent="0.35">
      <c r="A49" s="237" t="s">
        <v>1719</v>
      </c>
      <c r="B49" s="238" t="s">
        <v>1720</v>
      </c>
      <c r="C49" s="241">
        <v>1</v>
      </c>
      <c r="D49" s="242"/>
      <c r="E49" s="243">
        <v>1</v>
      </c>
      <c r="F49" s="243">
        <v>11521.3976114952</v>
      </c>
      <c r="G49" s="243" t="s">
        <v>3014</v>
      </c>
      <c r="H49" s="28" t="s">
        <v>1721</v>
      </c>
    </row>
    <row r="50" spans="1:8" ht="14.25" customHeight="1" x14ac:dyDescent="0.35">
      <c r="A50" s="237" t="s">
        <v>1722</v>
      </c>
      <c r="B50" s="238" t="s">
        <v>1723</v>
      </c>
      <c r="C50" s="241">
        <v>1</v>
      </c>
      <c r="D50" s="242"/>
      <c r="E50" s="243">
        <v>1</v>
      </c>
      <c r="F50" s="243">
        <v>12788.2496210792</v>
      </c>
      <c r="G50" s="243" t="s">
        <v>3014</v>
      </c>
      <c r="H50" s="28" t="s">
        <v>1724</v>
      </c>
    </row>
    <row r="51" spans="1:8" ht="14.25" customHeight="1" x14ac:dyDescent="0.35">
      <c r="A51" s="237" t="s">
        <v>1725</v>
      </c>
      <c r="B51" s="238" t="s">
        <v>1726</v>
      </c>
      <c r="C51" s="241">
        <v>1</v>
      </c>
      <c r="D51" s="242"/>
      <c r="E51" s="243">
        <v>1</v>
      </c>
      <c r="F51" s="243">
        <v>12325.562186123399</v>
      </c>
      <c r="G51" s="243" t="s">
        <v>3014</v>
      </c>
      <c r="H51" s="28" t="s">
        <v>1727</v>
      </c>
    </row>
    <row r="52" spans="1:8" ht="14.25" customHeight="1" x14ac:dyDescent="0.35">
      <c r="A52" s="237" t="s">
        <v>1728</v>
      </c>
      <c r="B52" s="238" t="s">
        <v>1729</v>
      </c>
      <c r="C52" s="241">
        <v>1</v>
      </c>
      <c r="D52" s="242"/>
      <c r="E52" s="243">
        <v>1</v>
      </c>
      <c r="F52" s="243">
        <v>11521.3976114952</v>
      </c>
      <c r="G52" s="243" t="s">
        <v>3014</v>
      </c>
      <c r="H52" s="28" t="s">
        <v>1730</v>
      </c>
    </row>
    <row r="53" spans="1:8" ht="14.25" customHeight="1" x14ac:dyDescent="0.35">
      <c r="A53" s="237" t="s">
        <v>1731</v>
      </c>
      <c r="B53" s="238" t="s">
        <v>1732</v>
      </c>
      <c r="C53" s="241">
        <v>1</v>
      </c>
      <c r="D53" s="242"/>
      <c r="E53" s="243">
        <v>1</v>
      </c>
      <c r="F53" s="243">
        <v>8458556.625</v>
      </c>
      <c r="G53" s="243" t="s">
        <v>3014</v>
      </c>
      <c r="H53" s="28" t="s">
        <v>1733</v>
      </c>
    </row>
    <row r="54" spans="1:8" ht="14.25" customHeight="1" x14ac:dyDescent="0.35">
      <c r="A54" s="237" t="s">
        <v>1734</v>
      </c>
      <c r="B54" s="238" t="s">
        <v>1099</v>
      </c>
      <c r="C54" s="241">
        <v>1</v>
      </c>
      <c r="D54" s="242"/>
      <c r="E54" s="243">
        <v>1</v>
      </c>
      <c r="F54" s="243">
        <v>230000</v>
      </c>
      <c r="G54" s="243" t="s">
        <v>3015</v>
      </c>
      <c r="H54" s="28" t="s">
        <v>1735</v>
      </c>
    </row>
    <row r="55" spans="1:8" ht="14.25" customHeight="1" x14ac:dyDescent="0.35">
      <c r="A55" s="237" t="s">
        <v>1736</v>
      </c>
      <c r="B55" s="238" t="s">
        <v>1737</v>
      </c>
      <c r="C55" s="241">
        <v>1</v>
      </c>
      <c r="D55" s="242"/>
      <c r="E55" s="243">
        <v>1</v>
      </c>
      <c r="F55" s="243">
        <v>1</v>
      </c>
      <c r="G55" s="243" t="s">
        <v>3015</v>
      </c>
      <c r="H55" s="28" t="s">
        <v>1738</v>
      </c>
    </row>
    <row r="56" spans="1:8" ht="14.25" customHeight="1" x14ac:dyDescent="0.35">
      <c r="A56" s="237" t="s">
        <v>1739</v>
      </c>
      <c r="B56" s="238" t="s">
        <v>1099</v>
      </c>
      <c r="C56" s="241">
        <v>1</v>
      </c>
      <c r="D56" s="242"/>
      <c r="E56" s="243">
        <v>1</v>
      </c>
      <c r="F56" s="243">
        <v>250000</v>
      </c>
      <c r="G56" s="243" t="s">
        <v>3015</v>
      </c>
      <c r="H56" s="28" t="s">
        <v>1740</v>
      </c>
    </row>
    <row r="57" spans="1:8" ht="14.25" customHeight="1" x14ac:dyDescent="0.35">
      <c r="A57" s="237" t="s">
        <v>1741</v>
      </c>
      <c r="B57" s="238" t="s">
        <v>1742</v>
      </c>
      <c r="C57" s="241">
        <v>1</v>
      </c>
      <c r="D57" s="242"/>
      <c r="E57" s="243">
        <v>1</v>
      </c>
      <c r="F57" s="243">
        <v>212.50168340278501</v>
      </c>
      <c r="G57" s="243" t="s">
        <v>3015</v>
      </c>
      <c r="H57" s="28" t="s">
        <v>1743</v>
      </c>
    </row>
    <row r="58" spans="1:8" ht="14.25" customHeight="1" x14ac:dyDescent="0.35">
      <c r="A58" s="237" t="s">
        <v>1744</v>
      </c>
      <c r="B58" s="238" t="s">
        <v>1745</v>
      </c>
      <c r="C58" s="241">
        <v>1</v>
      </c>
      <c r="D58" s="242"/>
      <c r="E58" s="243">
        <v>1</v>
      </c>
      <c r="F58" s="243">
        <v>2365.2381485799501</v>
      </c>
      <c r="G58" s="243" t="s">
        <v>3015</v>
      </c>
      <c r="H58" s="28" t="s">
        <v>1746</v>
      </c>
    </row>
    <row r="59" spans="1:8" ht="14.25" customHeight="1" x14ac:dyDescent="0.35">
      <c r="A59" s="237" t="s">
        <v>1747</v>
      </c>
      <c r="B59" s="238" t="s">
        <v>1748</v>
      </c>
      <c r="C59" s="241">
        <v>1</v>
      </c>
      <c r="D59" s="242"/>
      <c r="E59" s="243">
        <v>1</v>
      </c>
      <c r="F59" s="243">
        <v>234.442307493812</v>
      </c>
      <c r="G59" s="243" t="s">
        <v>3016</v>
      </c>
      <c r="H59" s="28" t="s">
        <v>1258</v>
      </c>
    </row>
    <row r="60" spans="1:8" ht="14.25" customHeight="1" x14ac:dyDescent="0.35">
      <c r="A60" s="237" t="s">
        <v>1749</v>
      </c>
      <c r="B60" s="238" t="s">
        <v>1750</v>
      </c>
      <c r="C60" s="241">
        <v>1</v>
      </c>
      <c r="D60" s="242"/>
      <c r="E60" s="243">
        <v>1</v>
      </c>
      <c r="F60" s="243">
        <v>200.25307946474501</v>
      </c>
      <c r="G60" s="243" t="s">
        <v>3016</v>
      </c>
      <c r="H60" s="28" t="s">
        <v>1751</v>
      </c>
    </row>
    <row r="61" spans="1:8" ht="14.25" customHeight="1" x14ac:dyDescent="0.35">
      <c r="A61" s="237" t="s">
        <v>1752</v>
      </c>
      <c r="B61" s="238" t="s">
        <v>1753</v>
      </c>
      <c r="C61" s="241">
        <v>1</v>
      </c>
      <c r="D61" s="242"/>
      <c r="E61" s="243">
        <v>1</v>
      </c>
      <c r="F61" s="243">
        <v>29250</v>
      </c>
      <c r="G61" s="243" t="s">
        <v>3017</v>
      </c>
      <c r="H61" s="28" t="s">
        <v>1754</v>
      </c>
    </row>
    <row r="62" spans="1:8" ht="14.25" customHeight="1" x14ac:dyDescent="0.35">
      <c r="A62" s="237" t="s">
        <v>1755</v>
      </c>
      <c r="B62" s="238" t="s">
        <v>1756</v>
      </c>
      <c r="C62" s="241">
        <v>1</v>
      </c>
      <c r="D62" s="242"/>
      <c r="E62" s="243">
        <v>1</v>
      </c>
      <c r="F62" s="243">
        <v>4268.9613811940299</v>
      </c>
      <c r="G62" s="243" t="s">
        <v>3013</v>
      </c>
      <c r="H62" s="28" t="s">
        <v>1757</v>
      </c>
    </row>
    <row r="63" spans="1:8" ht="14.25" customHeight="1" x14ac:dyDescent="0.35">
      <c r="A63" s="237" t="s">
        <v>1758</v>
      </c>
      <c r="B63" s="238" t="s">
        <v>1759</v>
      </c>
      <c r="C63" s="241">
        <v>1</v>
      </c>
      <c r="D63" s="242"/>
      <c r="E63" s="243">
        <v>1</v>
      </c>
      <c r="F63" s="243">
        <v>2849.7760330466299</v>
      </c>
      <c r="G63" s="243" t="s">
        <v>3013</v>
      </c>
      <c r="H63" s="28" t="s">
        <v>1760</v>
      </c>
    </row>
    <row r="64" spans="1:8" ht="14.25" customHeight="1" x14ac:dyDescent="0.35">
      <c r="A64" s="237" t="s">
        <v>1761</v>
      </c>
      <c r="B64" s="238" t="s">
        <v>1762</v>
      </c>
      <c r="C64" s="241">
        <v>1</v>
      </c>
      <c r="D64" s="242"/>
      <c r="E64" s="243">
        <v>1</v>
      </c>
      <c r="F64" s="243">
        <v>108806.813322348</v>
      </c>
      <c r="G64" s="243" t="s">
        <v>3013</v>
      </c>
      <c r="H64" s="28" t="s">
        <v>1763</v>
      </c>
    </row>
    <row r="65" spans="1:8" ht="14.25" customHeight="1" x14ac:dyDescent="0.35">
      <c r="A65" s="237" t="s">
        <v>1764</v>
      </c>
      <c r="B65" s="238" t="s">
        <v>1765</v>
      </c>
      <c r="C65" s="241">
        <v>1</v>
      </c>
      <c r="D65" s="242"/>
      <c r="E65" s="243">
        <v>1</v>
      </c>
      <c r="F65" s="243">
        <v>25370.9351203886</v>
      </c>
      <c r="G65" s="243" t="s">
        <v>3013</v>
      </c>
      <c r="H65" s="28" t="s">
        <v>1766</v>
      </c>
    </row>
    <row r="66" spans="1:8" ht="14.25" customHeight="1" x14ac:dyDescent="0.35">
      <c r="A66" s="237" t="s">
        <v>1767</v>
      </c>
      <c r="B66" s="238" t="s">
        <v>1768</v>
      </c>
      <c r="C66" s="241">
        <v>1</v>
      </c>
      <c r="D66" s="242"/>
      <c r="E66" s="243">
        <v>1</v>
      </c>
      <c r="F66" s="243">
        <v>20050.930611788601</v>
      </c>
      <c r="G66" s="243" t="s">
        <v>3013</v>
      </c>
      <c r="H66" s="28" t="s">
        <v>1769</v>
      </c>
    </row>
    <row r="67" spans="1:8" ht="14.25" customHeight="1" x14ac:dyDescent="0.35">
      <c r="A67" s="237" t="s">
        <v>1770</v>
      </c>
      <c r="B67" s="238" t="s">
        <v>1771</v>
      </c>
      <c r="C67" s="241">
        <v>1</v>
      </c>
      <c r="D67" s="242"/>
      <c r="E67" s="243">
        <v>1</v>
      </c>
      <c r="F67" s="243">
        <v>97.811647676633498</v>
      </c>
      <c r="G67" s="243" t="s">
        <v>3014</v>
      </c>
      <c r="H67" s="28" t="s">
        <v>1772</v>
      </c>
    </row>
    <row r="68" spans="1:8" ht="14.25" customHeight="1" x14ac:dyDescent="0.35">
      <c r="A68" s="237" t="s">
        <v>1773</v>
      </c>
      <c r="B68" s="238" t="s">
        <v>1774</v>
      </c>
      <c r="C68" s="241">
        <v>1</v>
      </c>
      <c r="D68" s="242"/>
      <c r="E68" s="243">
        <v>1</v>
      </c>
      <c r="F68" s="243">
        <v>128903.949937613</v>
      </c>
      <c r="G68" s="243" t="s">
        <v>3014</v>
      </c>
      <c r="H68" s="28" t="s">
        <v>1775</v>
      </c>
    </row>
    <row r="69" spans="1:8" ht="14.25" customHeight="1" x14ac:dyDescent="0.35">
      <c r="A69" s="237" t="s">
        <v>1776</v>
      </c>
      <c r="B69" s="238" t="s">
        <v>1777</v>
      </c>
      <c r="C69" s="241">
        <v>1</v>
      </c>
      <c r="D69" s="242"/>
      <c r="E69" s="243">
        <v>1</v>
      </c>
      <c r="F69" s="243">
        <v>3250.5537282478099</v>
      </c>
      <c r="G69" s="243" t="s">
        <v>3014</v>
      </c>
      <c r="H69" s="28" t="s">
        <v>1778</v>
      </c>
    </row>
    <row r="70" spans="1:8" ht="14.25" customHeight="1" x14ac:dyDescent="0.35">
      <c r="A70" s="237" t="s">
        <v>1779</v>
      </c>
      <c r="B70" s="238" t="s">
        <v>1780</v>
      </c>
      <c r="C70" s="241">
        <v>1</v>
      </c>
      <c r="D70" s="242"/>
      <c r="E70" s="243">
        <v>1</v>
      </c>
      <c r="F70" s="243">
        <v>5108.5619451599996</v>
      </c>
      <c r="G70" s="243" t="s">
        <v>3014</v>
      </c>
      <c r="H70" s="28" t="s">
        <v>1781</v>
      </c>
    </row>
    <row r="71" spans="1:8" ht="14.25" customHeight="1" x14ac:dyDescent="0.35">
      <c r="A71" s="237" t="s">
        <v>1782</v>
      </c>
      <c r="B71" s="238" t="s">
        <v>1783</v>
      </c>
      <c r="C71" s="241">
        <v>1</v>
      </c>
      <c r="D71" s="242"/>
      <c r="E71" s="243">
        <v>1</v>
      </c>
      <c r="F71" s="243">
        <v>373.21801708038703</v>
      </c>
      <c r="G71" s="243" t="s">
        <v>3014</v>
      </c>
      <c r="H71" s="28" t="s">
        <v>1784</v>
      </c>
    </row>
    <row r="72" spans="1:8" ht="14.25" customHeight="1" x14ac:dyDescent="0.35">
      <c r="A72" s="237" t="s">
        <v>1785</v>
      </c>
      <c r="B72" s="238" t="s">
        <v>1786</v>
      </c>
      <c r="C72" s="241">
        <v>1</v>
      </c>
      <c r="D72" s="242"/>
      <c r="E72" s="243">
        <v>1</v>
      </c>
      <c r="F72" s="243">
        <v>409.54162235694002</v>
      </c>
      <c r="G72" s="243" t="s">
        <v>3015</v>
      </c>
      <c r="H72" s="28" t="s">
        <v>1787</v>
      </c>
    </row>
    <row r="73" spans="1:8" ht="14.25" customHeight="1" x14ac:dyDescent="0.35">
      <c r="A73" s="237" t="s">
        <v>1788</v>
      </c>
      <c r="B73" s="238" t="s">
        <v>1789</v>
      </c>
      <c r="C73" s="241">
        <v>1</v>
      </c>
      <c r="D73" s="242"/>
      <c r="E73" s="243">
        <v>1</v>
      </c>
      <c r="F73" s="243">
        <v>316.88644749976697</v>
      </c>
      <c r="G73" s="243" t="s">
        <v>3015</v>
      </c>
      <c r="H73" s="28" t="s">
        <v>1790</v>
      </c>
    </row>
    <row r="74" spans="1:8" ht="14.25" customHeight="1" x14ac:dyDescent="0.35">
      <c r="A74" s="237" t="s">
        <v>1791</v>
      </c>
      <c r="B74" s="238" t="s">
        <v>1792</v>
      </c>
      <c r="C74" s="241">
        <v>1</v>
      </c>
      <c r="D74" s="242"/>
      <c r="E74" s="243">
        <v>1</v>
      </c>
      <c r="F74" s="243">
        <v>3113.9806362981599</v>
      </c>
      <c r="G74" s="243" t="s">
        <v>3015</v>
      </c>
      <c r="H74" s="28" t="s">
        <v>1793</v>
      </c>
    </row>
    <row r="75" spans="1:8" ht="14.25" customHeight="1" x14ac:dyDescent="0.35">
      <c r="A75" s="237" t="s">
        <v>1794</v>
      </c>
      <c r="B75" s="238" t="s">
        <v>1795</v>
      </c>
      <c r="C75" s="241">
        <v>1</v>
      </c>
      <c r="D75" s="242"/>
      <c r="E75" s="243">
        <v>1</v>
      </c>
      <c r="F75" s="243">
        <v>8884.4798329444802</v>
      </c>
      <c r="G75" s="243" t="s">
        <v>3015</v>
      </c>
      <c r="H75" s="28" t="s">
        <v>1796</v>
      </c>
    </row>
    <row r="76" spans="1:8" ht="14.25" customHeight="1" x14ac:dyDescent="0.35">
      <c r="A76" s="237" t="s">
        <v>1797</v>
      </c>
      <c r="B76" s="238" t="s">
        <v>1798</v>
      </c>
      <c r="C76" s="241">
        <v>1</v>
      </c>
      <c r="D76" s="242"/>
      <c r="E76" s="243">
        <v>1</v>
      </c>
      <c r="F76" s="243">
        <v>5824.1957555443196</v>
      </c>
      <c r="G76" s="243" t="s">
        <v>3015</v>
      </c>
      <c r="H76" s="28" t="s">
        <v>1799</v>
      </c>
    </row>
    <row r="77" spans="1:8" ht="14.25" customHeight="1" x14ac:dyDescent="0.35">
      <c r="A77" s="237" t="s">
        <v>1800</v>
      </c>
      <c r="B77" s="238" t="s">
        <v>1801</v>
      </c>
      <c r="C77" s="241">
        <v>1</v>
      </c>
      <c r="D77" s="242"/>
      <c r="E77" s="243">
        <v>1</v>
      </c>
      <c r="F77" s="243">
        <v>2636.7249339025002</v>
      </c>
      <c r="G77" s="243" t="s">
        <v>3015</v>
      </c>
      <c r="H77" s="28" t="s">
        <v>1802</v>
      </c>
    </row>
    <row r="78" spans="1:8" ht="14.25" customHeight="1" x14ac:dyDescent="0.35">
      <c r="A78" s="237" t="s">
        <v>1803</v>
      </c>
      <c r="B78" s="238" t="s">
        <v>1804</v>
      </c>
      <c r="C78" s="241">
        <v>1</v>
      </c>
      <c r="D78" s="242"/>
      <c r="E78" s="243">
        <v>1</v>
      </c>
      <c r="F78" s="243">
        <v>1086.9845825454699</v>
      </c>
      <c r="G78" s="243" t="s">
        <v>3015</v>
      </c>
      <c r="H78" s="28" t="s">
        <v>1805</v>
      </c>
    </row>
    <row r="79" spans="1:8" ht="14.25" customHeight="1" x14ac:dyDescent="0.35">
      <c r="A79" s="237" t="s">
        <v>1806</v>
      </c>
      <c r="B79" s="238" t="s">
        <v>1807</v>
      </c>
      <c r="C79" s="241">
        <v>1</v>
      </c>
      <c r="D79" s="242"/>
      <c r="E79" s="243">
        <v>1</v>
      </c>
      <c r="F79" s="243">
        <v>1969.9744827858201</v>
      </c>
      <c r="G79" s="243" t="s">
        <v>3015</v>
      </c>
      <c r="H79" s="28" t="s">
        <v>1808</v>
      </c>
    </row>
    <row r="80" spans="1:8" ht="14.25" customHeight="1" x14ac:dyDescent="0.35">
      <c r="A80" s="237" t="s">
        <v>1809</v>
      </c>
      <c r="B80" s="238" t="s">
        <v>1810</v>
      </c>
      <c r="C80" s="241">
        <v>1</v>
      </c>
      <c r="D80" s="242"/>
      <c r="E80" s="243">
        <v>1</v>
      </c>
      <c r="F80" s="243">
        <v>347.35203892992803</v>
      </c>
      <c r="G80" s="243" t="s">
        <v>3015</v>
      </c>
      <c r="H80" s="28" t="s">
        <v>1811</v>
      </c>
    </row>
    <row r="81" spans="1:8" ht="14.25" customHeight="1" x14ac:dyDescent="0.35">
      <c r="A81" s="237" t="s">
        <v>1812</v>
      </c>
      <c r="B81" s="238" t="s">
        <v>1813</v>
      </c>
      <c r="C81" s="241">
        <v>1</v>
      </c>
      <c r="D81" s="242"/>
      <c r="E81" s="243">
        <v>1</v>
      </c>
      <c r="F81" s="243">
        <v>254.63084667573</v>
      </c>
      <c r="G81" s="243" t="s">
        <v>3015</v>
      </c>
      <c r="H81" s="28" t="s">
        <v>1814</v>
      </c>
    </row>
    <row r="82" spans="1:8" ht="14.25" customHeight="1" x14ac:dyDescent="0.35">
      <c r="A82" s="237" t="s">
        <v>1815</v>
      </c>
      <c r="B82" s="238" t="s">
        <v>1816</v>
      </c>
      <c r="C82" s="241">
        <v>1</v>
      </c>
      <c r="D82" s="242"/>
      <c r="E82" s="243">
        <v>1</v>
      </c>
      <c r="F82" s="243">
        <v>187.4920973566</v>
      </c>
      <c r="G82" s="243" t="s">
        <v>3015</v>
      </c>
      <c r="H82" s="28" t="s">
        <v>1817</v>
      </c>
    </row>
    <row r="83" spans="1:8" ht="14.25" customHeight="1" x14ac:dyDescent="0.35">
      <c r="A83" s="237" t="s">
        <v>1818</v>
      </c>
      <c r="B83" s="238" t="s">
        <v>1819</v>
      </c>
      <c r="C83" s="241">
        <v>1</v>
      </c>
      <c r="D83" s="242"/>
      <c r="E83" s="243">
        <v>1</v>
      </c>
      <c r="F83" s="243">
        <v>214.94396350429901</v>
      </c>
      <c r="G83" s="243" t="s">
        <v>3015</v>
      </c>
      <c r="H83" s="28" t="s">
        <v>1820</v>
      </c>
    </row>
    <row r="84" spans="1:8" ht="14.25" customHeight="1" x14ac:dyDescent="0.35">
      <c r="A84" s="237" t="s">
        <v>1821</v>
      </c>
      <c r="B84" s="238" t="s">
        <v>1822</v>
      </c>
      <c r="C84" s="241">
        <v>1</v>
      </c>
      <c r="D84" s="242"/>
      <c r="E84" s="243">
        <v>1</v>
      </c>
      <c r="F84" s="243">
        <v>649.57350320066905</v>
      </c>
      <c r="G84" s="243" t="s">
        <v>3015</v>
      </c>
      <c r="H84" s="28" t="s">
        <v>1823</v>
      </c>
    </row>
    <row r="85" spans="1:8" ht="14.25" customHeight="1" x14ac:dyDescent="0.35">
      <c r="A85" s="237" t="s">
        <v>1824</v>
      </c>
      <c r="B85" s="238" t="s">
        <v>1825</v>
      </c>
      <c r="C85" s="241">
        <v>1</v>
      </c>
      <c r="D85" s="242"/>
      <c r="E85" s="243">
        <v>1</v>
      </c>
      <c r="F85" s="243">
        <v>429.44656213747601</v>
      </c>
      <c r="G85" s="243" t="s">
        <v>3015</v>
      </c>
      <c r="H85" s="28" t="s">
        <v>1826</v>
      </c>
    </row>
    <row r="86" spans="1:8" ht="14.25" customHeight="1" x14ac:dyDescent="0.35">
      <c r="A86" s="237" t="s">
        <v>1827</v>
      </c>
      <c r="B86" s="238" t="s">
        <v>1828</v>
      </c>
      <c r="C86" s="241">
        <v>1</v>
      </c>
      <c r="D86" s="242"/>
      <c r="E86" s="243">
        <v>1</v>
      </c>
      <c r="F86" s="243">
        <v>447.47765896838598</v>
      </c>
      <c r="G86" s="243" t="s">
        <v>3015</v>
      </c>
      <c r="H86" s="28" t="s">
        <v>1829</v>
      </c>
    </row>
    <row r="87" spans="1:8" ht="14.25" customHeight="1" x14ac:dyDescent="0.35">
      <c r="A87" s="237" t="s">
        <v>1830</v>
      </c>
      <c r="B87" s="238" t="s">
        <v>1831</v>
      </c>
      <c r="C87" s="241">
        <v>1</v>
      </c>
      <c r="D87" s="242"/>
      <c r="E87" s="243">
        <v>1</v>
      </c>
      <c r="F87" s="243">
        <v>349.45779149966802</v>
      </c>
      <c r="G87" s="243" t="s">
        <v>3015</v>
      </c>
      <c r="H87" s="28" t="s">
        <v>1832</v>
      </c>
    </row>
    <row r="88" spans="1:8" ht="14.25" customHeight="1" x14ac:dyDescent="0.35">
      <c r="A88" s="237" t="s">
        <v>1833</v>
      </c>
      <c r="B88" s="238" t="s">
        <v>1834</v>
      </c>
      <c r="C88" s="241">
        <v>1</v>
      </c>
      <c r="D88" s="242"/>
      <c r="E88" s="243">
        <v>1</v>
      </c>
      <c r="F88" s="243">
        <v>218.25069175782201</v>
      </c>
      <c r="G88" s="243" t="s">
        <v>3015</v>
      </c>
      <c r="H88" s="28" t="s">
        <v>1835</v>
      </c>
    </row>
    <row r="89" spans="1:8" ht="14.25" customHeight="1" x14ac:dyDescent="0.35">
      <c r="A89" s="237" t="s">
        <v>1836</v>
      </c>
      <c r="B89" s="238" t="s">
        <v>1837</v>
      </c>
      <c r="C89" s="241">
        <v>1</v>
      </c>
      <c r="D89" s="242"/>
      <c r="E89" s="243">
        <v>1</v>
      </c>
      <c r="F89" s="243">
        <v>23389.673803614602</v>
      </c>
      <c r="G89" s="243" t="s">
        <v>3015</v>
      </c>
      <c r="H89" s="28" t="s">
        <v>1838</v>
      </c>
    </row>
    <row r="90" spans="1:8" ht="14.25" customHeight="1" x14ac:dyDescent="0.35">
      <c r="A90" s="237" t="s">
        <v>1839</v>
      </c>
      <c r="B90" s="238" t="s">
        <v>1840</v>
      </c>
      <c r="C90" s="241">
        <v>1</v>
      </c>
      <c r="D90" s="242"/>
      <c r="E90" s="243">
        <v>1</v>
      </c>
      <c r="F90" s="243">
        <v>310.723693448277</v>
      </c>
      <c r="G90" s="243" t="s">
        <v>3015</v>
      </c>
      <c r="H90" s="28" t="s">
        <v>1841</v>
      </c>
    </row>
    <row r="91" spans="1:8" ht="14.25" customHeight="1" x14ac:dyDescent="0.35">
      <c r="A91" s="237" t="s">
        <v>1842</v>
      </c>
      <c r="B91" s="238" t="s">
        <v>1843</v>
      </c>
      <c r="C91" s="241">
        <v>1</v>
      </c>
      <c r="D91" s="242"/>
      <c r="E91" s="243">
        <v>1</v>
      </c>
      <c r="F91" s="243">
        <v>114.200147046578</v>
      </c>
      <c r="G91" s="243" t="s">
        <v>3015</v>
      </c>
      <c r="H91" s="28" t="s">
        <v>1844</v>
      </c>
    </row>
    <row r="92" spans="1:8" ht="14.25" customHeight="1" x14ac:dyDescent="0.35">
      <c r="A92" s="237" t="s">
        <v>1845</v>
      </c>
      <c r="B92" s="238" t="s">
        <v>1846</v>
      </c>
      <c r="C92" s="241">
        <v>1</v>
      </c>
      <c r="D92" s="242"/>
      <c r="E92" s="243">
        <v>1</v>
      </c>
      <c r="F92" s="243">
        <v>20453.608131728699</v>
      </c>
      <c r="G92" s="243" t="s">
        <v>3015</v>
      </c>
      <c r="H92" s="28" t="s">
        <v>1847</v>
      </c>
    </row>
    <row r="93" spans="1:8" ht="14.25" customHeight="1" x14ac:dyDescent="0.35">
      <c r="A93" s="237" t="s">
        <v>1848</v>
      </c>
      <c r="B93" s="238" t="s">
        <v>1849</v>
      </c>
      <c r="C93" s="241">
        <v>1</v>
      </c>
      <c r="D93" s="242"/>
      <c r="E93" s="243">
        <v>1</v>
      </c>
      <c r="F93" s="243">
        <v>13472.1648790372</v>
      </c>
      <c r="G93" s="243" t="s">
        <v>3015</v>
      </c>
      <c r="H93" s="28" t="s">
        <v>1850</v>
      </c>
    </row>
    <row r="94" spans="1:8" ht="14.25" customHeight="1" x14ac:dyDescent="0.35">
      <c r="A94" s="237" t="s">
        <v>1851</v>
      </c>
      <c r="B94" s="238" t="s">
        <v>1852</v>
      </c>
      <c r="C94" s="241">
        <v>1</v>
      </c>
      <c r="D94" s="242"/>
      <c r="E94" s="243">
        <v>1</v>
      </c>
      <c r="F94" s="243">
        <v>5986.08243951861</v>
      </c>
      <c r="G94" s="243" t="s">
        <v>3015</v>
      </c>
      <c r="H94" s="28" t="s">
        <v>1853</v>
      </c>
    </row>
    <row r="95" spans="1:8" ht="14.25" customHeight="1" x14ac:dyDescent="0.35">
      <c r="A95" s="237" t="s">
        <v>1854</v>
      </c>
      <c r="B95" s="238" t="s">
        <v>1855</v>
      </c>
      <c r="C95" s="241">
        <v>1</v>
      </c>
      <c r="D95" s="242"/>
      <c r="E95" s="243">
        <v>1</v>
      </c>
      <c r="F95" s="243">
        <v>649.07216263457406</v>
      </c>
      <c r="G95" s="243" t="s">
        <v>3015</v>
      </c>
      <c r="H95" s="28" t="s">
        <v>1856</v>
      </c>
    </row>
    <row r="96" spans="1:8" ht="14.25" customHeight="1" x14ac:dyDescent="0.35">
      <c r="A96" s="237" t="s">
        <v>1857</v>
      </c>
      <c r="B96" s="238" t="s">
        <v>1858</v>
      </c>
      <c r="C96" s="241">
        <v>1</v>
      </c>
      <c r="D96" s="242"/>
      <c r="E96" s="243">
        <v>1</v>
      </c>
      <c r="F96" s="243">
        <v>212.50168340278501</v>
      </c>
      <c r="G96" s="243" t="s">
        <v>3015</v>
      </c>
      <c r="H96" s="28" t="s">
        <v>1859</v>
      </c>
    </row>
    <row r="97" spans="1:8" ht="14.25" customHeight="1" x14ac:dyDescent="0.35">
      <c r="A97" s="237" t="s">
        <v>1860</v>
      </c>
      <c r="B97" s="238" t="s">
        <v>1861</v>
      </c>
      <c r="C97" s="241">
        <v>1</v>
      </c>
      <c r="D97" s="242"/>
      <c r="E97" s="243">
        <v>1</v>
      </c>
      <c r="F97" s="243">
        <v>155.708708956072</v>
      </c>
      <c r="G97" s="243" t="s">
        <v>3015</v>
      </c>
      <c r="H97" s="28" t="s">
        <v>1862</v>
      </c>
    </row>
    <row r="98" spans="1:8" ht="14.25" customHeight="1" x14ac:dyDescent="0.35">
      <c r="A98" s="237" t="s">
        <v>1863</v>
      </c>
      <c r="B98" s="238" t="s">
        <v>1864</v>
      </c>
      <c r="C98" s="241">
        <v>1</v>
      </c>
      <c r="D98" s="242"/>
      <c r="E98" s="243">
        <v>1</v>
      </c>
      <c r="F98" s="243">
        <v>295.286480531927</v>
      </c>
      <c r="G98" s="243" t="s">
        <v>3015</v>
      </c>
      <c r="H98" s="28" t="s">
        <v>1865</v>
      </c>
    </row>
    <row r="99" spans="1:8" ht="14.25" customHeight="1" x14ac:dyDescent="0.35">
      <c r="A99" s="237" t="s">
        <v>1866</v>
      </c>
      <c r="B99" s="238" t="s">
        <v>1867</v>
      </c>
      <c r="C99" s="241">
        <v>1</v>
      </c>
      <c r="D99" s="242"/>
      <c r="E99" s="243">
        <v>1</v>
      </c>
      <c r="F99" s="243">
        <v>100.443260520069</v>
      </c>
      <c r="G99" s="243" t="s">
        <v>3015</v>
      </c>
      <c r="H99" s="28" t="s">
        <v>1868</v>
      </c>
    </row>
    <row r="100" spans="1:8" ht="14.25" customHeight="1" x14ac:dyDescent="0.35">
      <c r="A100" s="237" t="s">
        <v>1869</v>
      </c>
      <c r="B100" s="238" t="s">
        <v>1870</v>
      </c>
      <c r="C100" s="241">
        <v>1</v>
      </c>
      <c r="D100" s="242"/>
      <c r="E100" s="243">
        <v>1</v>
      </c>
      <c r="F100" s="243">
        <v>1030.8586054268601</v>
      </c>
      <c r="G100" s="243" t="s">
        <v>3015</v>
      </c>
      <c r="H100" s="28" t="s">
        <v>1871</v>
      </c>
    </row>
    <row r="101" spans="1:8" ht="14.25" customHeight="1" x14ac:dyDescent="0.35">
      <c r="A101" s="237" t="s">
        <v>1872</v>
      </c>
      <c r="B101" s="238" t="s">
        <v>1873</v>
      </c>
      <c r="C101" s="241">
        <v>1</v>
      </c>
      <c r="D101" s="242"/>
      <c r="E101" s="243">
        <v>1</v>
      </c>
      <c r="F101" s="243">
        <v>261.95176772476799</v>
      </c>
      <c r="G101" s="243" t="s">
        <v>3016</v>
      </c>
      <c r="H101" s="28" t="s">
        <v>1874</v>
      </c>
    </row>
    <row r="102" spans="1:8" ht="14.25" customHeight="1" x14ac:dyDescent="0.35">
      <c r="A102" s="237" t="s">
        <v>1875</v>
      </c>
      <c r="B102" s="238" t="s">
        <v>1876</v>
      </c>
      <c r="C102" s="241">
        <v>1</v>
      </c>
      <c r="D102" s="242"/>
      <c r="E102" s="243">
        <v>1</v>
      </c>
      <c r="F102" s="243">
        <v>167.02908274495101</v>
      </c>
      <c r="G102" s="243" t="s">
        <v>3016</v>
      </c>
      <c r="H102" s="28" t="s">
        <v>1877</v>
      </c>
    </row>
    <row r="103" spans="1:8" ht="14.25" customHeight="1" x14ac:dyDescent="0.35">
      <c r="A103" s="237" t="s">
        <v>1878</v>
      </c>
      <c r="B103" s="238" t="s">
        <v>1879</v>
      </c>
      <c r="C103" s="241">
        <v>1</v>
      </c>
      <c r="D103" s="242"/>
      <c r="E103" s="243">
        <v>1</v>
      </c>
      <c r="F103" s="243">
        <v>167.02908274495101</v>
      </c>
      <c r="G103" s="243" t="s">
        <v>3016</v>
      </c>
      <c r="H103" s="28" t="s">
        <v>1880</v>
      </c>
    </row>
    <row r="104" spans="1:8" ht="14.25" customHeight="1" x14ac:dyDescent="0.35">
      <c r="A104" s="237" t="s">
        <v>1881</v>
      </c>
      <c r="B104" s="238" t="s">
        <v>1882</v>
      </c>
      <c r="C104" s="241">
        <v>1</v>
      </c>
      <c r="D104" s="242"/>
      <c r="E104" s="243">
        <v>1</v>
      </c>
      <c r="F104" s="243">
        <v>59.159286192318298</v>
      </c>
      <c r="G104" s="243" t="s">
        <v>3016</v>
      </c>
      <c r="H104" s="28" t="s">
        <v>1883</v>
      </c>
    </row>
    <row r="105" spans="1:8" ht="14.25" customHeight="1" x14ac:dyDescent="0.35">
      <c r="A105" s="237" t="s">
        <v>1884</v>
      </c>
      <c r="B105" s="238" t="s">
        <v>1885</v>
      </c>
      <c r="C105" s="241">
        <v>1</v>
      </c>
      <c r="D105" s="242"/>
      <c r="E105" s="243">
        <v>1</v>
      </c>
      <c r="F105" s="243">
        <v>190.21390119046501</v>
      </c>
      <c r="G105" s="243" t="s">
        <v>3016</v>
      </c>
      <c r="H105" s="28" t="s">
        <v>1886</v>
      </c>
    </row>
    <row r="106" spans="1:8" ht="14.25" customHeight="1" x14ac:dyDescent="0.35">
      <c r="A106" s="237" t="s">
        <v>1887</v>
      </c>
      <c r="B106" s="238" t="s">
        <v>1888</v>
      </c>
      <c r="C106" s="241">
        <v>1</v>
      </c>
      <c r="D106" s="242"/>
      <c r="E106" s="243">
        <v>1</v>
      </c>
      <c r="F106" s="243">
        <v>294.22469027430799</v>
      </c>
      <c r="G106" s="243" t="s">
        <v>3016</v>
      </c>
      <c r="H106" s="28" t="s">
        <v>1889</v>
      </c>
    </row>
    <row r="107" spans="1:8" ht="14.25" customHeight="1" x14ac:dyDescent="0.35">
      <c r="A107" s="237" t="s">
        <v>1890</v>
      </c>
      <c r="B107" s="238" t="s">
        <v>1891</v>
      </c>
      <c r="C107" s="241">
        <v>1</v>
      </c>
      <c r="D107" s="242"/>
      <c r="E107" s="243">
        <v>1</v>
      </c>
      <c r="F107" s="243">
        <v>351.91456638403099</v>
      </c>
      <c r="G107" s="243" t="s">
        <v>3016</v>
      </c>
      <c r="H107" s="28" t="s">
        <v>1892</v>
      </c>
    </row>
    <row r="108" spans="1:8" ht="14.25" customHeight="1" x14ac:dyDescent="0.35">
      <c r="A108" s="237" t="s">
        <v>1893</v>
      </c>
      <c r="B108" s="238" t="s">
        <v>1894</v>
      </c>
      <c r="C108" s="241">
        <v>1</v>
      </c>
      <c r="D108" s="242"/>
      <c r="E108" s="243">
        <v>1</v>
      </c>
      <c r="F108" s="243">
        <v>9813.9075956914803</v>
      </c>
      <c r="G108" s="243" t="s">
        <v>3016</v>
      </c>
      <c r="H108" s="28" t="s">
        <v>1895</v>
      </c>
    </row>
    <row r="109" spans="1:8" ht="14.25" customHeight="1" x14ac:dyDescent="0.35">
      <c r="A109" s="237" t="s">
        <v>1896</v>
      </c>
      <c r="B109" s="238" t="s">
        <v>1897</v>
      </c>
      <c r="C109" s="241">
        <v>1</v>
      </c>
      <c r="D109" s="242"/>
      <c r="E109" s="243">
        <v>1</v>
      </c>
      <c r="F109" s="243">
        <v>924.64231650722797</v>
      </c>
      <c r="G109" s="243" t="s">
        <v>3016</v>
      </c>
      <c r="H109" s="28" t="s">
        <v>1898</v>
      </c>
    </row>
    <row r="110" spans="1:8" ht="14.25" customHeight="1" x14ac:dyDescent="0.35">
      <c r="A110" s="237" t="s">
        <v>1899</v>
      </c>
      <c r="B110" s="238" t="s">
        <v>1900</v>
      </c>
      <c r="C110" s="241">
        <v>1</v>
      </c>
      <c r="D110" s="242"/>
      <c r="E110" s="243">
        <v>1</v>
      </c>
      <c r="F110" s="243">
        <v>47531.971299682802</v>
      </c>
      <c r="G110" s="243" t="s">
        <v>3016</v>
      </c>
      <c r="H110" s="28" t="s">
        <v>1901</v>
      </c>
    </row>
    <row r="111" spans="1:8" ht="14.25" customHeight="1" x14ac:dyDescent="0.35">
      <c r="A111" s="237" t="s">
        <v>1902</v>
      </c>
      <c r="B111" s="238" t="s">
        <v>1903</v>
      </c>
      <c r="C111" s="241">
        <v>1</v>
      </c>
      <c r="D111" s="242"/>
      <c r="E111" s="243">
        <v>1</v>
      </c>
      <c r="F111" s="243">
        <v>24902.845805454501</v>
      </c>
      <c r="G111" s="243" t="s">
        <v>3017</v>
      </c>
      <c r="H111" s="28" t="s">
        <v>1904</v>
      </c>
    </row>
    <row r="112" spans="1:8" ht="14.25" customHeight="1" x14ac:dyDescent="0.35">
      <c r="A112" s="237" t="s">
        <v>1905</v>
      </c>
      <c r="B112" s="238" t="s">
        <v>1906</v>
      </c>
      <c r="C112" s="241">
        <v>1</v>
      </c>
      <c r="D112" s="242"/>
      <c r="E112" s="243">
        <v>1</v>
      </c>
      <c r="F112" s="243">
        <v>12375.4438807438</v>
      </c>
      <c r="G112" s="243" t="s">
        <v>3017</v>
      </c>
      <c r="H112" s="28" t="s">
        <v>1907</v>
      </c>
    </row>
    <row r="113" spans="1:8" ht="14.25" customHeight="1" x14ac:dyDescent="0.35">
      <c r="A113" s="237" t="s">
        <v>1908</v>
      </c>
      <c r="B113" s="238" t="s">
        <v>1909</v>
      </c>
      <c r="C113" s="241">
        <v>1</v>
      </c>
      <c r="D113" s="242"/>
      <c r="E113" s="243">
        <v>1</v>
      </c>
      <c r="F113" s="243">
        <v>5888.0883607438</v>
      </c>
      <c r="G113" s="243" t="s">
        <v>3017</v>
      </c>
      <c r="H113" s="28" t="s">
        <v>1910</v>
      </c>
    </row>
    <row r="114" spans="1:8" ht="14.25" customHeight="1" x14ac:dyDescent="0.35">
      <c r="A114" s="237" t="s">
        <v>1911</v>
      </c>
      <c r="B114" s="238" t="s">
        <v>1912</v>
      </c>
      <c r="C114" s="241">
        <v>1</v>
      </c>
      <c r="D114" s="242"/>
      <c r="E114" s="243">
        <v>1</v>
      </c>
      <c r="F114" s="243">
        <v>6602.35923</v>
      </c>
      <c r="G114" s="243" t="s">
        <v>3017</v>
      </c>
      <c r="H114" s="28" t="s">
        <v>1913</v>
      </c>
    </row>
    <row r="115" spans="1:8" ht="14.25" customHeight="1" x14ac:dyDescent="0.35">
      <c r="A115" s="237" t="s">
        <v>1914</v>
      </c>
      <c r="B115" s="238" t="s">
        <v>1915</v>
      </c>
      <c r="C115" s="241">
        <v>1</v>
      </c>
      <c r="D115" s="242"/>
      <c r="E115" s="243">
        <v>1</v>
      </c>
      <c r="F115" s="243">
        <v>70727.339200190603</v>
      </c>
      <c r="G115" s="243" t="s">
        <v>3017</v>
      </c>
      <c r="H115" s="28" t="s">
        <v>1916</v>
      </c>
    </row>
    <row r="116" spans="1:8" ht="14.25" customHeight="1" x14ac:dyDescent="0.35">
      <c r="A116" s="237" t="s">
        <v>1917</v>
      </c>
      <c r="B116" s="238" t="s">
        <v>1918</v>
      </c>
      <c r="C116" s="241">
        <v>1</v>
      </c>
      <c r="D116" s="242"/>
      <c r="E116" s="243">
        <v>1</v>
      </c>
      <c r="F116" s="243">
        <v>18803.5301934858</v>
      </c>
      <c r="G116" s="243" t="s">
        <v>3017</v>
      </c>
      <c r="H116" s="28" t="s">
        <v>1919</v>
      </c>
    </row>
    <row r="117" spans="1:8" ht="14.25" customHeight="1" x14ac:dyDescent="0.35">
      <c r="A117" s="237" t="s">
        <v>1920</v>
      </c>
      <c r="B117" s="238" t="s">
        <v>1921</v>
      </c>
      <c r="C117" s="241">
        <v>1</v>
      </c>
      <c r="D117" s="242"/>
      <c r="E117" s="243">
        <v>1</v>
      </c>
      <c r="F117" s="243">
        <v>18803.5301934858</v>
      </c>
      <c r="G117" s="243" t="s">
        <v>3017</v>
      </c>
      <c r="H117" s="28" t="s">
        <v>1922</v>
      </c>
    </row>
    <row r="118" spans="1:8" ht="14.25" customHeight="1" x14ac:dyDescent="0.35">
      <c r="A118" s="237" t="s">
        <v>1923</v>
      </c>
      <c r="B118" s="238" t="s">
        <v>1924</v>
      </c>
      <c r="C118" s="241">
        <v>1</v>
      </c>
      <c r="D118" s="242"/>
      <c r="E118" s="243">
        <v>1</v>
      </c>
      <c r="F118" s="243">
        <v>177.24</v>
      </c>
      <c r="G118" s="243" t="s">
        <v>3017</v>
      </c>
      <c r="H118" s="28" t="s">
        <v>1925</v>
      </c>
    </row>
    <row r="119" spans="1:8" ht="14.25" customHeight="1" x14ac:dyDescent="0.35">
      <c r="A119" s="237" t="s">
        <v>1926</v>
      </c>
      <c r="B119" s="238" t="s">
        <v>1927</v>
      </c>
      <c r="C119" s="241">
        <v>1</v>
      </c>
      <c r="D119" s="242"/>
      <c r="E119" s="243">
        <v>1</v>
      </c>
      <c r="F119" s="243">
        <v>115.5</v>
      </c>
      <c r="G119" s="243" t="s">
        <v>3017</v>
      </c>
      <c r="H119" s="28" t="s">
        <v>1928</v>
      </c>
    </row>
    <row r="120" spans="1:8" ht="14.25" customHeight="1" x14ac:dyDescent="0.35">
      <c r="A120" s="237" t="s">
        <v>1929</v>
      </c>
      <c r="B120" s="238" t="s">
        <v>1930</v>
      </c>
      <c r="C120" s="241">
        <v>1</v>
      </c>
      <c r="D120" s="242"/>
      <c r="E120" s="243">
        <v>1</v>
      </c>
      <c r="F120" s="243">
        <v>115.5</v>
      </c>
      <c r="G120" s="243" t="s">
        <v>3017</v>
      </c>
      <c r="H120" s="28" t="s">
        <v>1931</v>
      </c>
    </row>
    <row r="121" spans="1:8" ht="14.25" customHeight="1" x14ac:dyDescent="0.35">
      <c r="A121" s="237" t="s">
        <v>1932</v>
      </c>
      <c r="B121" s="238" t="s">
        <v>1933</v>
      </c>
      <c r="C121" s="241">
        <v>1</v>
      </c>
      <c r="D121" s="242"/>
      <c r="E121" s="243">
        <v>1</v>
      </c>
      <c r="F121" s="243">
        <v>281.39999999999998</v>
      </c>
      <c r="G121" s="243" t="s">
        <v>3017</v>
      </c>
      <c r="H121" s="28" t="s">
        <v>1934</v>
      </c>
    </row>
    <row r="122" spans="1:8" ht="14.25" customHeight="1" x14ac:dyDescent="0.35">
      <c r="A122" s="237" t="s">
        <v>1935</v>
      </c>
      <c r="B122" s="238" t="s">
        <v>1936</v>
      </c>
      <c r="C122" s="241">
        <v>1</v>
      </c>
      <c r="D122" s="242"/>
      <c r="E122" s="243">
        <v>1</v>
      </c>
      <c r="F122" s="243">
        <v>1032.1500000000001</v>
      </c>
      <c r="G122" s="243" t="s">
        <v>3017</v>
      </c>
      <c r="H122" s="28" t="s">
        <v>1937</v>
      </c>
    </row>
    <row r="123" spans="1:8" ht="14.25" customHeight="1" x14ac:dyDescent="0.35">
      <c r="A123" s="237" t="s">
        <v>1938</v>
      </c>
      <c r="B123" s="238" t="s">
        <v>1939</v>
      </c>
      <c r="C123" s="241">
        <v>1</v>
      </c>
      <c r="D123" s="242"/>
      <c r="E123" s="243">
        <v>1</v>
      </c>
      <c r="F123" s="243">
        <v>281.39999999999998</v>
      </c>
      <c r="G123" s="243" t="s">
        <v>3017</v>
      </c>
      <c r="H123" s="28" t="s">
        <v>1940</v>
      </c>
    </row>
    <row r="124" spans="1:8" ht="14.25" customHeight="1" x14ac:dyDescent="0.35">
      <c r="A124" s="237" t="s">
        <v>1941</v>
      </c>
      <c r="B124" s="238" t="s">
        <v>1942</v>
      </c>
      <c r="C124" s="241">
        <v>1</v>
      </c>
      <c r="D124" s="242"/>
      <c r="E124" s="243">
        <v>1</v>
      </c>
      <c r="F124" s="243">
        <v>281.39999999999998</v>
      </c>
      <c r="G124" s="243" t="s">
        <v>3017</v>
      </c>
      <c r="H124" s="28" t="s">
        <v>1943</v>
      </c>
    </row>
    <row r="125" spans="1:8" ht="14.25" customHeight="1" x14ac:dyDescent="0.35">
      <c r="A125" s="237" t="s">
        <v>1944</v>
      </c>
      <c r="B125" s="238" t="s">
        <v>1945</v>
      </c>
      <c r="C125" s="241">
        <v>1</v>
      </c>
      <c r="D125" s="242"/>
      <c r="E125" s="243">
        <v>1</v>
      </c>
      <c r="F125" s="243">
        <v>177.24</v>
      </c>
      <c r="G125" s="243" t="s">
        <v>3017</v>
      </c>
      <c r="H125" s="28" t="s">
        <v>1946</v>
      </c>
    </row>
    <row r="126" spans="1:8" ht="14.25" customHeight="1" x14ac:dyDescent="0.35">
      <c r="A126" s="237" t="s">
        <v>1947</v>
      </c>
      <c r="B126" s="238" t="s">
        <v>1948</v>
      </c>
      <c r="C126" s="241">
        <v>1</v>
      </c>
      <c r="D126" s="242"/>
      <c r="E126" s="243">
        <v>1</v>
      </c>
      <c r="F126" s="243">
        <v>61176.021690000001</v>
      </c>
      <c r="G126" s="243" t="s">
        <v>3017</v>
      </c>
      <c r="H126" s="28" t="s">
        <v>1949</v>
      </c>
    </row>
    <row r="127" spans="1:8" ht="14.25" customHeight="1" x14ac:dyDescent="0.35">
      <c r="A127" s="237" t="s">
        <v>1950</v>
      </c>
      <c r="B127" s="238" t="s">
        <v>1951</v>
      </c>
      <c r="C127" s="241">
        <v>1</v>
      </c>
      <c r="D127" s="242"/>
      <c r="E127" s="243">
        <v>1</v>
      </c>
      <c r="F127" s="243">
        <v>10618.1041956769</v>
      </c>
      <c r="G127" s="243" t="s">
        <v>3017</v>
      </c>
      <c r="H127" s="28" t="s">
        <v>1952</v>
      </c>
    </row>
    <row r="128" spans="1:8" ht="14.25" customHeight="1" x14ac:dyDescent="0.35">
      <c r="A128" s="237" t="s">
        <v>1953</v>
      </c>
      <c r="B128" s="238" t="s">
        <v>1954</v>
      </c>
      <c r="C128" s="241">
        <v>1</v>
      </c>
      <c r="D128" s="242"/>
      <c r="E128" s="243">
        <v>1</v>
      </c>
      <c r="F128" s="243">
        <v>75335.457966240298</v>
      </c>
      <c r="G128" s="243" t="s">
        <v>3017</v>
      </c>
      <c r="H128" s="28" t="s">
        <v>1955</v>
      </c>
    </row>
    <row r="129" spans="1:8" ht="14.25" customHeight="1" x14ac:dyDescent="0.35">
      <c r="A129" s="237" t="s">
        <v>1956</v>
      </c>
      <c r="B129" s="238" t="s">
        <v>1957</v>
      </c>
      <c r="C129" s="241">
        <v>1</v>
      </c>
      <c r="D129" s="242"/>
      <c r="E129" s="243">
        <v>1</v>
      </c>
      <c r="F129" s="243">
        <v>105926.51424973601</v>
      </c>
      <c r="G129" s="243" t="s">
        <v>3017</v>
      </c>
      <c r="H129" s="28" t="s">
        <v>1958</v>
      </c>
    </row>
    <row r="130" spans="1:8" ht="14.25" customHeight="1" x14ac:dyDescent="0.35">
      <c r="A130" s="237" t="s">
        <v>1959</v>
      </c>
      <c r="B130" s="238" t="s">
        <v>1960</v>
      </c>
      <c r="C130" s="241">
        <v>1</v>
      </c>
      <c r="D130" s="242"/>
      <c r="E130" s="243">
        <v>1</v>
      </c>
      <c r="F130" s="243">
        <v>54130.281672325298</v>
      </c>
      <c r="G130" s="243" t="s">
        <v>3017</v>
      </c>
      <c r="H130" s="28" t="s">
        <v>1961</v>
      </c>
    </row>
    <row r="131" spans="1:8" ht="14.25" customHeight="1" x14ac:dyDescent="0.35">
      <c r="A131" s="237" t="s">
        <v>1962</v>
      </c>
      <c r="B131" s="238" t="s">
        <v>1963</v>
      </c>
      <c r="C131" s="241">
        <v>1</v>
      </c>
      <c r="D131" s="242"/>
      <c r="E131" s="243">
        <v>1</v>
      </c>
      <c r="F131" s="243">
        <v>27462.429620301798</v>
      </c>
      <c r="G131" s="243" t="s">
        <v>3017</v>
      </c>
      <c r="H131" s="28" t="s">
        <v>1964</v>
      </c>
    </row>
    <row r="132" spans="1:8" ht="14.25" customHeight="1" x14ac:dyDescent="0.35">
      <c r="A132" s="237" t="s">
        <v>1965</v>
      </c>
      <c r="B132" s="238" t="s">
        <v>1966</v>
      </c>
      <c r="C132" s="241">
        <v>1</v>
      </c>
      <c r="D132" s="242"/>
      <c r="E132" s="243">
        <v>1</v>
      </c>
      <c r="F132" s="243">
        <v>39232.042314716797</v>
      </c>
      <c r="G132" s="243" t="s">
        <v>3017</v>
      </c>
      <c r="H132" s="28" t="s">
        <v>1967</v>
      </c>
    </row>
    <row r="133" spans="1:8" ht="14.25" customHeight="1" x14ac:dyDescent="0.35">
      <c r="A133" s="237" t="s">
        <v>1968</v>
      </c>
      <c r="B133" s="238" t="s">
        <v>1969</v>
      </c>
      <c r="C133" s="241">
        <v>1</v>
      </c>
      <c r="D133" s="242"/>
      <c r="E133" s="243">
        <v>1</v>
      </c>
      <c r="F133" s="243">
        <v>11769.6126944151</v>
      </c>
      <c r="G133" s="243" t="s">
        <v>3017</v>
      </c>
      <c r="H133" s="28" t="s">
        <v>1970</v>
      </c>
    </row>
    <row r="134" spans="1:8" ht="14.25" customHeight="1" x14ac:dyDescent="0.35">
      <c r="A134" s="237" t="s">
        <v>1971</v>
      </c>
      <c r="B134" s="238" t="s">
        <v>1972</v>
      </c>
      <c r="C134" s="241">
        <v>1</v>
      </c>
      <c r="D134" s="242"/>
      <c r="E134" s="243">
        <v>1</v>
      </c>
      <c r="F134" s="243">
        <v>36185.167983590203</v>
      </c>
      <c r="G134" s="243" t="s">
        <v>3017</v>
      </c>
      <c r="H134" s="28" t="s">
        <v>1973</v>
      </c>
    </row>
    <row r="135" spans="1:8" ht="14.25" customHeight="1" x14ac:dyDescent="0.35">
      <c r="A135" s="237" t="s">
        <v>1974</v>
      </c>
      <c r="B135" s="238" t="s">
        <v>1975</v>
      </c>
      <c r="C135" s="241">
        <v>1</v>
      </c>
      <c r="D135" s="242"/>
      <c r="E135" s="243">
        <v>1</v>
      </c>
      <c r="F135" s="243">
        <v>40649.602761890201</v>
      </c>
      <c r="G135" s="243" t="s">
        <v>3017</v>
      </c>
      <c r="H135" s="28" t="s">
        <v>1976</v>
      </c>
    </row>
    <row r="136" spans="1:8" ht="14.25" customHeight="1" x14ac:dyDescent="0.35">
      <c r="A136" s="237" t="s">
        <v>1977</v>
      </c>
      <c r="B136" s="238" t="s">
        <v>1978</v>
      </c>
      <c r="C136" s="241">
        <v>1</v>
      </c>
      <c r="D136" s="242"/>
      <c r="E136" s="243">
        <v>1</v>
      </c>
      <c r="F136" s="243">
        <v>36185.167983590203</v>
      </c>
      <c r="G136" s="243" t="s">
        <v>3017</v>
      </c>
      <c r="H136" s="28" t="s">
        <v>1979</v>
      </c>
    </row>
    <row r="137" spans="1:8" ht="14.25" customHeight="1" x14ac:dyDescent="0.35">
      <c r="A137" s="237" t="s">
        <v>1980</v>
      </c>
      <c r="B137" s="238" t="s">
        <v>1981</v>
      </c>
      <c r="C137" s="241">
        <v>1</v>
      </c>
      <c r="D137" s="242"/>
      <c r="E137" s="243">
        <v>1</v>
      </c>
      <c r="F137" s="243">
        <v>204187.39332383199</v>
      </c>
      <c r="G137" s="243" t="s">
        <v>3017</v>
      </c>
      <c r="H137" s="28" t="s">
        <v>1982</v>
      </c>
    </row>
    <row r="138" spans="1:8" ht="14.25" customHeight="1" x14ac:dyDescent="0.35">
      <c r="A138" s="237" t="s">
        <v>1983</v>
      </c>
      <c r="B138" s="238" t="s">
        <v>1984</v>
      </c>
      <c r="C138" s="241">
        <v>1</v>
      </c>
      <c r="D138" s="242"/>
      <c r="E138" s="243">
        <v>1</v>
      </c>
      <c r="F138" s="243">
        <v>69010.743634148894</v>
      </c>
      <c r="G138" s="243" t="s">
        <v>3017</v>
      </c>
      <c r="H138" s="28" t="s">
        <v>1985</v>
      </c>
    </row>
    <row r="139" spans="1:8" ht="14.25" customHeight="1" x14ac:dyDescent="0.35">
      <c r="A139" s="237" t="s">
        <v>1986</v>
      </c>
      <c r="B139" s="238" t="s">
        <v>1987</v>
      </c>
      <c r="C139" s="241">
        <v>1</v>
      </c>
      <c r="D139" s="242"/>
      <c r="E139" s="243">
        <v>1</v>
      </c>
      <c r="F139" s="243">
        <v>399227.87518155301</v>
      </c>
      <c r="G139" s="243" t="s">
        <v>3017</v>
      </c>
      <c r="H139" s="28" t="s">
        <v>1988</v>
      </c>
    </row>
    <row r="140" spans="1:8" ht="14.25" customHeight="1" x14ac:dyDescent="0.35">
      <c r="A140" s="237" t="s">
        <v>1989</v>
      </c>
      <c r="B140" s="238" t="s">
        <v>1990</v>
      </c>
      <c r="C140" s="241">
        <v>1</v>
      </c>
      <c r="D140" s="242"/>
      <c r="E140" s="243">
        <v>1</v>
      </c>
      <c r="F140" s="243">
        <v>41934.478574617002</v>
      </c>
      <c r="G140" s="243" t="s">
        <v>3017</v>
      </c>
      <c r="H140" s="28" t="s">
        <v>1991</v>
      </c>
    </row>
    <row r="141" spans="1:8" ht="14.25" customHeight="1" x14ac:dyDescent="0.35">
      <c r="A141" s="237" t="s">
        <v>1992</v>
      </c>
      <c r="B141" s="238" t="s">
        <v>1993</v>
      </c>
      <c r="C141" s="241">
        <v>1</v>
      </c>
      <c r="D141" s="242"/>
      <c r="E141" s="243">
        <v>1</v>
      </c>
      <c r="F141" s="243">
        <v>71400.7442527518</v>
      </c>
      <c r="G141" s="243" t="s">
        <v>3017</v>
      </c>
      <c r="H141" s="28" t="s">
        <v>1994</v>
      </c>
    </row>
    <row r="142" spans="1:8" ht="14.25" customHeight="1" x14ac:dyDescent="0.35">
      <c r="A142" s="237" t="s">
        <v>1995</v>
      </c>
      <c r="B142" s="238" t="s">
        <v>1996</v>
      </c>
      <c r="C142" s="241">
        <v>1</v>
      </c>
      <c r="D142" s="242"/>
      <c r="E142" s="243">
        <v>1</v>
      </c>
      <c r="F142" s="243">
        <v>2872.6870049034101</v>
      </c>
      <c r="G142" s="243" t="s">
        <v>3017</v>
      </c>
      <c r="H142" s="28" t="s">
        <v>1997</v>
      </c>
    </row>
    <row r="143" spans="1:8" ht="14.25" customHeight="1" x14ac:dyDescent="0.35">
      <c r="A143" s="237" t="s">
        <v>1998</v>
      </c>
      <c r="B143" s="238" t="s">
        <v>1999</v>
      </c>
      <c r="C143" s="241">
        <v>1</v>
      </c>
      <c r="D143" s="242"/>
      <c r="E143" s="243">
        <v>1</v>
      </c>
      <c r="F143" s="243">
        <v>8803.9027571143397</v>
      </c>
      <c r="G143" s="243" t="s">
        <v>3017</v>
      </c>
      <c r="H143" s="28" t="s">
        <v>2000</v>
      </c>
    </row>
    <row r="144" spans="1:8" ht="14.25" customHeight="1" x14ac:dyDescent="0.35">
      <c r="A144" s="237" t="s">
        <v>2001</v>
      </c>
      <c r="B144" s="238" t="s">
        <v>2002</v>
      </c>
      <c r="C144" s="241">
        <v>1</v>
      </c>
      <c r="D144" s="242"/>
      <c r="E144" s="243">
        <v>1</v>
      </c>
      <c r="F144" s="243">
        <v>300.22927085357298</v>
      </c>
      <c r="G144" s="243" t="s">
        <v>3017</v>
      </c>
      <c r="H144" s="28" t="s">
        <v>2003</v>
      </c>
    </row>
    <row r="145" spans="1:8" ht="14.25" customHeight="1" x14ac:dyDescent="0.35">
      <c r="A145" s="237" t="s">
        <v>2004</v>
      </c>
      <c r="B145" s="238" t="s">
        <v>2005</v>
      </c>
      <c r="C145" s="241">
        <v>1</v>
      </c>
      <c r="D145" s="242"/>
      <c r="E145" s="243">
        <v>1</v>
      </c>
      <c r="F145" s="243">
        <v>69686.966825754498</v>
      </c>
      <c r="G145" s="243" t="s">
        <v>3017</v>
      </c>
      <c r="H145" s="28" t="s">
        <v>2006</v>
      </c>
    </row>
    <row r="146" spans="1:8" ht="14.25" customHeight="1" x14ac:dyDescent="0.35">
      <c r="A146" s="237" t="s">
        <v>2007</v>
      </c>
      <c r="B146" s="238" t="s">
        <v>2008</v>
      </c>
      <c r="C146" s="241">
        <v>1</v>
      </c>
      <c r="D146" s="242"/>
      <c r="E146" s="243">
        <v>1</v>
      </c>
      <c r="F146" s="243">
        <v>9690.4308566872205</v>
      </c>
      <c r="G146" s="243" t="s">
        <v>3017</v>
      </c>
      <c r="H146" s="28" t="s">
        <v>2009</v>
      </c>
    </row>
    <row r="147" spans="1:8" ht="14.25" customHeight="1" x14ac:dyDescent="0.35">
      <c r="A147" s="237" t="s">
        <v>2010</v>
      </c>
      <c r="B147" s="238" t="s">
        <v>2011</v>
      </c>
      <c r="C147" s="241">
        <v>1</v>
      </c>
      <c r="D147" s="242"/>
      <c r="E147" s="243">
        <v>1</v>
      </c>
      <c r="F147" s="243">
        <v>6400.1974968806198</v>
      </c>
      <c r="G147" s="243" t="s">
        <v>3017</v>
      </c>
      <c r="H147" s="28" t="s">
        <v>2012</v>
      </c>
    </row>
    <row r="148" spans="1:8" ht="14.25" customHeight="1" x14ac:dyDescent="0.35">
      <c r="A148" s="237" t="s">
        <v>2013</v>
      </c>
      <c r="B148" s="238" t="s">
        <v>2014</v>
      </c>
      <c r="C148" s="241">
        <v>1</v>
      </c>
      <c r="D148" s="242"/>
      <c r="E148" s="243">
        <v>1</v>
      </c>
      <c r="F148" s="243">
        <v>58524.5226989148</v>
      </c>
      <c r="G148" s="243" t="s">
        <v>3017</v>
      </c>
      <c r="H148" s="28" t="s">
        <v>2015</v>
      </c>
    </row>
    <row r="149" spans="1:8" ht="14.25" customHeight="1" x14ac:dyDescent="0.35">
      <c r="A149" s="237" t="s">
        <v>2016</v>
      </c>
      <c r="B149" s="238" t="s">
        <v>2017</v>
      </c>
      <c r="C149" s="241">
        <v>1</v>
      </c>
      <c r="D149" s="242"/>
      <c r="E149" s="243">
        <v>1</v>
      </c>
      <c r="F149" s="243">
        <v>24902.845805454501</v>
      </c>
      <c r="G149" s="243" t="s">
        <v>3017</v>
      </c>
      <c r="H149" s="28" t="s">
        <v>2018</v>
      </c>
    </row>
    <row r="150" spans="1:8" ht="14.25" customHeight="1" x14ac:dyDescent="0.35">
      <c r="A150" s="237" t="s">
        <v>2019</v>
      </c>
      <c r="B150" s="238" t="s">
        <v>2020</v>
      </c>
      <c r="C150" s="241">
        <v>1</v>
      </c>
      <c r="D150" s="242"/>
      <c r="E150" s="243">
        <v>1</v>
      </c>
      <c r="F150" s="243">
        <v>12375.4438807438</v>
      </c>
      <c r="G150" s="243" t="s">
        <v>3017</v>
      </c>
      <c r="H150" s="28" t="s">
        <v>2021</v>
      </c>
    </row>
    <row r="151" spans="1:8" ht="14.25" customHeight="1" x14ac:dyDescent="0.35">
      <c r="A151" s="237" t="s">
        <v>2022</v>
      </c>
      <c r="B151" s="238" t="s">
        <v>2023</v>
      </c>
      <c r="C151" s="241">
        <v>1</v>
      </c>
      <c r="D151" s="242"/>
      <c r="E151" s="243">
        <v>1</v>
      </c>
      <c r="F151" s="243">
        <v>5888.0883607438</v>
      </c>
      <c r="G151" s="243" t="s">
        <v>3017</v>
      </c>
      <c r="H151" s="28" t="s">
        <v>2024</v>
      </c>
    </row>
    <row r="152" spans="1:8" ht="14.25" customHeight="1" x14ac:dyDescent="0.35">
      <c r="A152" s="237" t="s">
        <v>2025</v>
      </c>
      <c r="B152" s="238" t="s">
        <v>2026</v>
      </c>
      <c r="C152" s="241">
        <v>1</v>
      </c>
      <c r="D152" s="242"/>
      <c r="E152" s="243">
        <v>1</v>
      </c>
      <c r="F152" s="243">
        <v>6602.35923</v>
      </c>
      <c r="G152" s="243" t="s">
        <v>3017</v>
      </c>
      <c r="H152" s="28" t="s">
        <v>2027</v>
      </c>
    </row>
    <row r="153" spans="1:8" ht="14.25" customHeight="1" x14ac:dyDescent="0.35">
      <c r="A153" s="237" t="s">
        <v>2028</v>
      </c>
      <c r="B153" s="238" t="s">
        <v>2029</v>
      </c>
      <c r="C153" s="241">
        <v>1</v>
      </c>
      <c r="D153" s="242"/>
      <c r="E153" s="243">
        <v>1</v>
      </c>
      <c r="F153" s="243">
        <v>70727.339200190603</v>
      </c>
      <c r="G153" s="243" t="s">
        <v>3017</v>
      </c>
      <c r="H153" s="28" t="s">
        <v>2030</v>
      </c>
    </row>
    <row r="154" spans="1:8" ht="14.25" customHeight="1" x14ac:dyDescent="0.35">
      <c r="A154" s="237" t="s">
        <v>2031</v>
      </c>
      <c r="B154" s="238" t="s">
        <v>2032</v>
      </c>
      <c r="C154" s="241">
        <v>1</v>
      </c>
      <c r="D154" s="242"/>
      <c r="E154" s="243">
        <v>1</v>
      </c>
      <c r="F154" s="243">
        <v>18803.5301934858</v>
      </c>
      <c r="G154" s="243" t="s">
        <v>3017</v>
      </c>
      <c r="H154" s="28" t="s">
        <v>2033</v>
      </c>
    </row>
    <row r="155" spans="1:8" ht="14.25" customHeight="1" x14ac:dyDescent="0.35">
      <c r="A155" s="237" t="s">
        <v>2034</v>
      </c>
      <c r="B155" s="238" t="s">
        <v>2035</v>
      </c>
      <c r="C155" s="241">
        <v>1</v>
      </c>
      <c r="D155" s="242"/>
      <c r="E155" s="243">
        <v>1</v>
      </c>
      <c r="F155" s="243">
        <v>18803.5301934858</v>
      </c>
      <c r="G155" s="243" t="s">
        <v>3017</v>
      </c>
      <c r="H155" s="28" t="s">
        <v>2036</v>
      </c>
    </row>
    <row r="156" spans="1:8" ht="14.25" customHeight="1" x14ac:dyDescent="0.35">
      <c r="A156" s="237" t="s">
        <v>2037</v>
      </c>
      <c r="B156" s="238" t="s">
        <v>2038</v>
      </c>
      <c r="C156" s="241">
        <v>1</v>
      </c>
      <c r="D156" s="242"/>
      <c r="E156" s="243">
        <v>1</v>
      </c>
      <c r="F156" s="243">
        <v>61176.021690000001</v>
      </c>
      <c r="G156" s="243" t="s">
        <v>3017</v>
      </c>
      <c r="H156" s="28" t="s">
        <v>2039</v>
      </c>
    </row>
    <row r="157" spans="1:8" ht="14.25" customHeight="1" x14ac:dyDescent="0.35">
      <c r="A157" s="237" t="s">
        <v>2040</v>
      </c>
      <c r="B157" s="238" t="s">
        <v>2041</v>
      </c>
      <c r="C157" s="241">
        <v>1</v>
      </c>
      <c r="D157" s="242"/>
      <c r="E157" s="243">
        <v>1</v>
      </c>
      <c r="F157" s="243">
        <v>10618.1041956769</v>
      </c>
      <c r="G157" s="243" t="s">
        <v>3017</v>
      </c>
      <c r="H157" s="28" t="s">
        <v>2042</v>
      </c>
    </row>
  </sheetData>
  <autoFilter ref="A1:H15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4BD97"/>
  </sheetPr>
  <dimension ref="A1:H42"/>
  <sheetViews>
    <sheetView showGridLines="0" zoomScaleNormal="100" workbookViewId="0">
      <pane ySplit="1" topLeftCell="A2" activePane="bottomLeft" state="frozen"/>
      <selection pane="bottomLeft" activeCell="A11" sqref="A11"/>
    </sheetView>
  </sheetViews>
  <sheetFormatPr defaultColWidth="8.6328125" defaultRowHeight="14.5" x14ac:dyDescent="0.35"/>
  <cols>
    <col min="1" max="1" width="14" customWidth="1"/>
    <col min="2" max="2" width="40" customWidth="1"/>
    <col min="3" max="3" width="18" customWidth="1"/>
    <col min="4" max="4" width="6" customWidth="1"/>
    <col min="5" max="5" width="16" customWidth="1"/>
    <col min="6" max="6" width="12" customWidth="1"/>
    <col min="7" max="7" width="14" customWidth="1"/>
    <col min="8" max="8" width="12" customWidth="1"/>
  </cols>
  <sheetData>
    <row r="1" spans="1:8" ht="15" customHeight="1" x14ac:dyDescent="0.35">
      <c r="A1" s="12" t="s">
        <v>5</v>
      </c>
      <c r="B1" s="12" t="s">
        <v>2043</v>
      </c>
      <c r="C1" s="12" t="s">
        <v>2044</v>
      </c>
      <c r="D1" s="12" t="s">
        <v>7</v>
      </c>
      <c r="E1" s="12" t="s">
        <v>2045</v>
      </c>
      <c r="F1" s="12" t="s">
        <v>2046</v>
      </c>
      <c r="G1" s="12" t="s">
        <v>2047</v>
      </c>
      <c r="H1" s="12" t="s">
        <v>2048</v>
      </c>
    </row>
    <row r="2" spans="1:8" ht="15" customHeight="1" x14ac:dyDescent="0.35">
      <c r="A2" s="28" t="s">
        <v>2049</v>
      </c>
      <c r="B2" s="28" t="s">
        <v>2050</v>
      </c>
      <c r="C2" s="28" t="s">
        <v>2051</v>
      </c>
      <c r="D2" s="28" t="s">
        <v>92</v>
      </c>
      <c r="E2" s="33">
        <v>19490.498735326499</v>
      </c>
      <c r="F2" s="28" t="s">
        <v>2052</v>
      </c>
      <c r="G2" s="33">
        <v>2000</v>
      </c>
      <c r="H2" s="28" t="s">
        <v>2053</v>
      </c>
    </row>
    <row r="3" spans="1:8" ht="15" customHeight="1" x14ac:dyDescent="0.35">
      <c r="A3" s="28" t="s">
        <v>2049</v>
      </c>
      <c r="B3" s="28" t="s">
        <v>2054</v>
      </c>
      <c r="C3" s="28" t="s">
        <v>2051</v>
      </c>
      <c r="D3" s="28" t="s">
        <v>92</v>
      </c>
      <c r="E3" s="33">
        <v>17541.448861793899</v>
      </c>
      <c r="F3" s="28" t="s">
        <v>2052</v>
      </c>
      <c r="G3" s="33">
        <v>1800</v>
      </c>
      <c r="H3" s="28" t="s">
        <v>2053</v>
      </c>
    </row>
    <row r="4" spans="1:8" ht="15" customHeight="1" x14ac:dyDescent="0.35">
      <c r="A4" s="28" t="s">
        <v>230</v>
      </c>
      <c r="B4" s="28" t="s">
        <v>2055</v>
      </c>
      <c r="C4" s="28" t="s">
        <v>2056</v>
      </c>
      <c r="D4" s="28" t="s">
        <v>92</v>
      </c>
      <c r="E4" s="33">
        <v>6620.5650713223604</v>
      </c>
      <c r="F4" s="28" t="s">
        <v>2052</v>
      </c>
      <c r="G4" s="33">
        <v>800</v>
      </c>
      <c r="H4" s="28" t="s">
        <v>2057</v>
      </c>
    </row>
    <row r="5" spans="1:8" ht="15" customHeight="1" x14ac:dyDescent="0.35">
      <c r="A5" s="28" t="s">
        <v>230</v>
      </c>
      <c r="B5" s="28" t="s">
        <v>2058</v>
      </c>
      <c r="C5" s="28" t="s">
        <v>2056</v>
      </c>
      <c r="D5" s="28" t="s">
        <v>92</v>
      </c>
      <c r="E5" s="33">
        <v>8275.7063391529391</v>
      </c>
      <c r="F5" s="28" t="s">
        <v>2052</v>
      </c>
      <c r="G5" s="33">
        <v>1000</v>
      </c>
      <c r="H5" s="28" t="s">
        <v>2057</v>
      </c>
    </row>
    <row r="6" spans="1:8" ht="15" customHeight="1" x14ac:dyDescent="0.35">
      <c r="A6" s="28" t="s">
        <v>230</v>
      </c>
      <c r="B6" s="28" t="s">
        <v>2059</v>
      </c>
      <c r="C6" s="28" t="s">
        <v>2056</v>
      </c>
      <c r="D6" s="28" t="s">
        <v>92</v>
      </c>
      <c r="E6" s="33">
        <v>8275.7063391529391</v>
      </c>
      <c r="F6" s="28" t="s">
        <v>2052</v>
      </c>
      <c r="G6" s="33">
        <v>1000</v>
      </c>
      <c r="H6" s="28" t="s">
        <v>2057</v>
      </c>
    </row>
    <row r="7" spans="1:8" ht="15" customHeight="1" x14ac:dyDescent="0.35">
      <c r="A7" s="28" t="s">
        <v>230</v>
      </c>
      <c r="B7" s="28" t="s">
        <v>2060</v>
      </c>
      <c r="C7" s="28" t="s">
        <v>2056</v>
      </c>
      <c r="D7" s="28" t="s">
        <v>92</v>
      </c>
      <c r="E7" s="33">
        <v>16551.4126783059</v>
      </c>
      <c r="F7" s="28" t="s">
        <v>2052</v>
      </c>
      <c r="G7" s="33">
        <v>2000</v>
      </c>
      <c r="H7" s="28" t="s">
        <v>2057</v>
      </c>
    </row>
    <row r="8" spans="1:8" ht="15" customHeight="1" x14ac:dyDescent="0.35">
      <c r="A8" s="28" t="s">
        <v>230</v>
      </c>
      <c r="B8" s="28" t="s">
        <v>2061</v>
      </c>
      <c r="C8" s="28" t="s">
        <v>2056</v>
      </c>
      <c r="D8" s="28" t="s">
        <v>92</v>
      </c>
      <c r="E8" s="33">
        <v>16551.4126783059</v>
      </c>
      <c r="F8" s="28" t="s">
        <v>2052</v>
      </c>
      <c r="G8" s="33">
        <v>2000</v>
      </c>
      <c r="H8" s="28" t="s">
        <v>2057</v>
      </c>
    </row>
    <row r="9" spans="1:8" ht="15" customHeight="1" x14ac:dyDescent="0.35">
      <c r="A9" s="28" t="s">
        <v>230</v>
      </c>
      <c r="B9" s="28" t="s">
        <v>2062</v>
      </c>
      <c r="C9" s="28" t="s">
        <v>2056</v>
      </c>
      <c r="D9" s="28" t="s">
        <v>92</v>
      </c>
      <c r="E9" s="33">
        <v>10758.4182408988</v>
      </c>
      <c r="F9" s="28" t="s">
        <v>2052</v>
      </c>
      <c r="G9" s="33">
        <v>1300</v>
      </c>
      <c r="H9" s="28" t="s">
        <v>2057</v>
      </c>
    </row>
    <row r="10" spans="1:8" ht="15" customHeight="1" x14ac:dyDescent="0.35">
      <c r="A10" s="28" t="s">
        <v>230</v>
      </c>
      <c r="B10" s="28" t="s">
        <v>2063</v>
      </c>
      <c r="C10" s="28" t="s">
        <v>2056</v>
      </c>
      <c r="D10" s="28" t="s">
        <v>92</v>
      </c>
      <c r="E10" s="33">
        <v>10758.4182408988</v>
      </c>
      <c r="F10" s="28" t="s">
        <v>2052</v>
      </c>
      <c r="G10" s="33">
        <v>1300</v>
      </c>
      <c r="H10" s="28" t="s">
        <v>2057</v>
      </c>
    </row>
    <row r="11" spans="1:8" ht="15" customHeight="1" x14ac:dyDescent="0.35">
      <c r="A11" s="28" t="s">
        <v>230</v>
      </c>
      <c r="B11" s="28" t="s">
        <v>2064</v>
      </c>
      <c r="C11" s="28" t="s">
        <v>2056</v>
      </c>
      <c r="D11" s="28" t="s">
        <v>92</v>
      </c>
      <c r="E11" s="33">
        <v>12413.5595087294</v>
      </c>
      <c r="F11" s="28" t="s">
        <v>2052</v>
      </c>
      <c r="G11" s="33">
        <v>1500</v>
      </c>
      <c r="H11" s="28" t="s">
        <v>2065</v>
      </c>
    </row>
    <row r="12" spans="1:8" ht="15" customHeight="1" x14ac:dyDescent="0.35">
      <c r="A12" s="28" t="s">
        <v>2066</v>
      </c>
      <c r="B12" s="28" t="s">
        <v>2067</v>
      </c>
      <c r="C12" s="28" t="s">
        <v>2068</v>
      </c>
      <c r="D12" s="28" t="s">
        <v>92</v>
      </c>
      <c r="E12" s="33">
        <v>28402.7672765764</v>
      </c>
      <c r="F12" s="28" t="s">
        <v>2052</v>
      </c>
      <c r="G12" s="33">
        <v>2500</v>
      </c>
      <c r="H12" s="28" t="s">
        <v>2069</v>
      </c>
    </row>
    <row r="13" spans="1:8" ht="15" customHeight="1" x14ac:dyDescent="0.35">
      <c r="A13" s="28" t="s">
        <v>2066</v>
      </c>
      <c r="B13" s="28" t="s">
        <v>2070</v>
      </c>
      <c r="C13" s="28" t="s">
        <v>2068</v>
      </c>
      <c r="D13" s="28" t="s">
        <v>92</v>
      </c>
      <c r="E13" s="33">
        <v>20449.992439135</v>
      </c>
      <c r="F13" s="28" t="s">
        <v>2052</v>
      </c>
      <c r="G13" s="33">
        <v>1800</v>
      </c>
      <c r="H13" s="28" t="s">
        <v>2069</v>
      </c>
    </row>
    <row r="14" spans="1:8" ht="15" customHeight="1" x14ac:dyDescent="0.35">
      <c r="A14" s="28" t="s">
        <v>2066</v>
      </c>
      <c r="B14" s="28" t="s">
        <v>2071</v>
      </c>
      <c r="C14" s="28" t="s">
        <v>2068</v>
      </c>
      <c r="D14" s="28" t="s">
        <v>92</v>
      </c>
      <c r="E14" s="33">
        <v>20449.992439135</v>
      </c>
      <c r="F14" s="28" t="s">
        <v>2052</v>
      </c>
      <c r="G14" s="33">
        <v>1800</v>
      </c>
      <c r="H14" s="28" t="s">
        <v>2069</v>
      </c>
    </row>
    <row r="15" spans="1:8" ht="15" customHeight="1" x14ac:dyDescent="0.35">
      <c r="A15" s="28" t="s">
        <v>2066</v>
      </c>
      <c r="B15" s="28" t="s">
        <v>2072</v>
      </c>
      <c r="C15" s="28" t="s">
        <v>2068</v>
      </c>
      <c r="D15" s="28" t="s">
        <v>92</v>
      </c>
      <c r="E15" s="33">
        <v>18177.7710570089</v>
      </c>
      <c r="F15" s="28" t="s">
        <v>2052</v>
      </c>
      <c r="G15" s="33">
        <v>1600</v>
      </c>
      <c r="H15" s="28" t="s">
        <v>2069</v>
      </c>
    </row>
    <row r="16" spans="1:8" ht="15" customHeight="1" x14ac:dyDescent="0.35">
      <c r="A16" s="28" t="s">
        <v>2066</v>
      </c>
      <c r="B16" s="28" t="s">
        <v>2073</v>
      </c>
      <c r="C16" s="28" t="s">
        <v>2068</v>
      </c>
      <c r="D16" s="28" t="s">
        <v>92</v>
      </c>
      <c r="E16" s="33">
        <v>22722.213821261201</v>
      </c>
      <c r="F16" s="28" t="s">
        <v>2052</v>
      </c>
      <c r="G16" s="33">
        <v>2000</v>
      </c>
      <c r="H16" s="28" t="s">
        <v>2069</v>
      </c>
    </row>
    <row r="17" spans="1:8" ht="15" customHeight="1" x14ac:dyDescent="0.35">
      <c r="A17" s="28" t="s">
        <v>2074</v>
      </c>
      <c r="B17" s="28" t="s">
        <v>2075</v>
      </c>
      <c r="C17" s="28" t="s">
        <v>2076</v>
      </c>
      <c r="D17" s="28" t="s">
        <v>92</v>
      </c>
      <c r="E17" s="33">
        <v>57929.944374070597</v>
      </c>
      <c r="F17" s="28" t="s">
        <v>2052</v>
      </c>
      <c r="G17" s="33">
        <v>7000</v>
      </c>
      <c r="H17" s="28" t="s">
        <v>2077</v>
      </c>
    </row>
    <row r="18" spans="1:8" ht="15" customHeight="1" x14ac:dyDescent="0.35">
      <c r="A18" s="28" t="s">
        <v>2078</v>
      </c>
      <c r="B18" s="28" t="s">
        <v>2079</v>
      </c>
      <c r="C18" s="28" t="s">
        <v>2080</v>
      </c>
      <c r="D18" s="28" t="s">
        <v>92</v>
      </c>
      <c r="E18" s="33">
        <v>13241.130142644701</v>
      </c>
      <c r="F18" s="28" t="s">
        <v>2052</v>
      </c>
      <c r="G18" s="33">
        <v>1600</v>
      </c>
      <c r="H18" s="28" t="s">
        <v>2081</v>
      </c>
    </row>
    <row r="19" spans="1:8" ht="15" customHeight="1" x14ac:dyDescent="0.35">
      <c r="A19" s="28" t="s">
        <v>2078</v>
      </c>
      <c r="B19" s="28" t="s">
        <v>2082</v>
      </c>
      <c r="C19" s="28" t="s">
        <v>2083</v>
      </c>
      <c r="D19" s="28" t="s">
        <v>92</v>
      </c>
      <c r="E19" s="33">
        <v>20689.265847882401</v>
      </c>
      <c r="F19" s="28" t="s">
        <v>2052</v>
      </c>
      <c r="G19" s="33">
        <v>2500</v>
      </c>
      <c r="H19" s="28" t="s">
        <v>2081</v>
      </c>
    </row>
    <row r="20" spans="1:8" ht="15" customHeight="1" x14ac:dyDescent="0.35">
      <c r="A20" s="28" t="s">
        <v>2078</v>
      </c>
      <c r="B20" s="28" t="s">
        <v>2084</v>
      </c>
      <c r="C20" s="28" t="s">
        <v>2080</v>
      </c>
      <c r="D20" s="28" t="s">
        <v>28</v>
      </c>
      <c r="E20" s="33">
        <v>6620.5650713223604</v>
      </c>
      <c r="F20" s="28" t="s">
        <v>2052</v>
      </c>
      <c r="G20" s="33">
        <v>750</v>
      </c>
      <c r="H20" s="28" t="s">
        <v>2081</v>
      </c>
    </row>
    <row r="21" spans="1:8" ht="15" customHeight="1" x14ac:dyDescent="0.35">
      <c r="A21" s="28" t="s">
        <v>2078</v>
      </c>
      <c r="B21" s="28" t="s">
        <v>2085</v>
      </c>
      <c r="C21" s="28" t="s">
        <v>2080</v>
      </c>
      <c r="D21" s="28" t="s">
        <v>92</v>
      </c>
      <c r="E21" s="33">
        <v>13241.130142644701</v>
      </c>
      <c r="F21" s="28" t="s">
        <v>2052</v>
      </c>
      <c r="G21" s="33"/>
      <c r="H21" s="28"/>
    </row>
    <row r="22" spans="1:8" ht="15" customHeight="1" x14ac:dyDescent="0.35">
      <c r="A22" s="28" t="s">
        <v>2078</v>
      </c>
      <c r="B22" s="28" t="s">
        <v>2086</v>
      </c>
      <c r="C22" s="28" t="s">
        <v>2083</v>
      </c>
      <c r="D22" s="28" t="s">
        <v>28</v>
      </c>
      <c r="E22" s="33">
        <v>6620.5650713223604</v>
      </c>
      <c r="F22" s="28" t="s">
        <v>2052</v>
      </c>
      <c r="G22" s="33">
        <v>750</v>
      </c>
      <c r="H22" s="28" t="s">
        <v>2081</v>
      </c>
    </row>
    <row r="23" spans="1:8" ht="15" customHeight="1" x14ac:dyDescent="0.35">
      <c r="A23" s="28" t="s">
        <v>2087</v>
      </c>
      <c r="B23" s="28" t="s">
        <v>2088</v>
      </c>
      <c r="C23" s="28" t="s">
        <v>2089</v>
      </c>
      <c r="D23" s="28" t="s">
        <v>53</v>
      </c>
      <c r="E23" s="33">
        <v>14617.8740514949</v>
      </c>
      <c r="F23" s="28" t="s">
        <v>2052</v>
      </c>
      <c r="G23" s="33">
        <v>1500</v>
      </c>
      <c r="H23" s="28" t="s">
        <v>2053</v>
      </c>
    </row>
    <row r="24" spans="1:8" ht="15" customHeight="1" x14ac:dyDescent="0.35">
      <c r="A24" s="28" t="s">
        <v>2087</v>
      </c>
      <c r="B24" s="28" t="s">
        <v>2090</v>
      </c>
      <c r="C24" s="28" t="s">
        <v>2089</v>
      </c>
      <c r="D24" s="28" t="s">
        <v>28</v>
      </c>
      <c r="E24" s="33">
        <v>14617.8740514949</v>
      </c>
      <c r="F24" s="28" t="s">
        <v>2052</v>
      </c>
      <c r="G24" s="33">
        <v>1500</v>
      </c>
      <c r="H24" s="28" t="s">
        <v>2053</v>
      </c>
    </row>
    <row r="25" spans="1:8" ht="15" customHeight="1" x14ac:dyDescent="0.35">
      <c r="A25" s="28" t="s">
        <v>2087</v>
      </c>
      <c r="B25" s="28" t="s">
        <v>2091</v>
      </c>
      <c r="C25" s="28" t="s">
        <v>2089</v>
      </c>
      <c r="D25" s="28" t="s">
        <v>53</v>
      </c>
      <c r="E25" s="33">
        <v>29235.748102989801</v>
      </c>
      <c r="F25" s="28" t="s">
        <v>2052</v>
      </c>
      <c r="G25" s="33">
        <v>3000</v>
      </c>
      <c r="H25" s="28" t="s">
        <v>2053</v>
      </c>
    </row>
    <row r="26" spans="1:8" ht="15" customHeight="1" x14ac:dyDescent="0.35">
      <c r="A26" s="28" t="s">
        <v>2087</v>
      </c>
      <c r="B26" s="28" t="s">
        <v>2092</v>
      </c>
      <c r="C26" s="28" t="s">
        <v>2089</v>
      </c>
      <c r="D26" s="28" t="s">
        <v>53</v>
      </c>
      <c r="E26" s="33">
        <v>29235.748102989801</v>
      </c>
      <c r="F26" s="28" t="s">
        <v>2052</v>
      </c>
      <c r="G26" s="33">
        <v>3000</v>
      </c>
      <c r="H26" s="28" t="s">
        <v>2053</v>
      </c>
    </row>
    <row r="27" spans="1:8" ht="15" customHeight="1" x14ac:dyDescent="0.35">
      <c r="A27" s="28" t="s">
        <v>2087</v>
      </c>
      <c r="B27" s="28" t="s">
        <v>2093</v>
      </c>
      <c r="C27" s="28" t="s">
        <v>2089</v>
      </c>
      <c r="D27" s="28" t="s">
        <v>28</v>
      </c>
      <c r="E27" s="33">
        <v>29235.748102989801</v>
      </c>
      <c r="F27" s="28" t="s">
        <v>2052</v>
      </c>
      <c r="G27" s="33">
        <v>3000</v>
      </c>
      <c r="H27" s="28" t="s">
        <v>2053</v>
      </c>
    </row>
    <row r="28" spans="1:8" ht="15" customHeight="1" x14ac:dyDescent="0.35">
      <c r="A28" s="28" t="s">
        <v>2087</v>
      </c>
      <c r="B28" s="28" t="s">
        <v>2094</v>
      </c>
      <c r="C28" s="28" t="s">
        <v>2089</v>
      </c>
      <c r="D28" s="28" t="s">
        <v>28</v>
      </c>
      <c r="E28" s="33">
        <v>13156.0866463454</v>
      </c>
      <c r="F28" s="28" t="s">
        <v>2052</v>
      </c>
      <c r="G28" s="33">
        <v>1350</v>
      </c>
      <c r="H28" s="28" t="s">
        <v>2053</v>
      </c>
    </row>
    <row r="29" spans="1:8" ht="15" customHeight="1" x14ac:dyDescent="0.35">
      <c r="A29" s="28" t="s">
        <v>2087</v>
      </c>
      <c r="B29" s="28" t="s">
        <v>2095</v>
      </c>
      <c r="C29" s="28" t="s">
        <v>2089</v>
      </c>
      <c r="D29" s="28" t="s">
        <v>53</v>
      </c>
      <c r="E29" s="33">
        <v>4872.6246838316401</v>
      </c>
      <c r="F29" s="28" t="s">
        <v>2052</v>
      </c>
      <c r="G29" s="33">
        <v>500</v>
      </c>
      <c r="H29" s="28" t="s">
        <v>2053</v>
      </c>
    </row>
    <row r="30" spans="1:8" ht="15" customHeight="1" x14ac:dyDescent="0.35">
      <c r="A30" s="28" t="s">
        <v>2087</v>
      </c>
      <c r="B30" s="28" t="s">
        <v>2096</v>
      </c>
      <c r="C30" s="28" t="s">
        <v>2089</v>
      </c>
      <c r="D30" s="28" t="s">
        <v>53</v>
      </c>
      <c r="E30" s="33">
        <v>4872.6246838316401</v>
      </c>
      <c r="F30" s="28" t="s">
        <v>2052</v>
      </c>
      <c r="G30" s="33">
        <v>500</v>
      </c>
      <c r="H30" s="28" t="s">
        <v>2053</v>
      </c>
    </row>
    <row r="31" spans="1:8" ht="23.25" customHeight="1" x14ac:dyDescent="0.35">
      <c r="A31" s="28" t="s">
        <v>2087</v>
      </c>
      <c r="B31" s="28" t="s">
        <v>2097</v>
      </c>
      <c r="C31" s="28" t="s">
        <v>2089</v>
      </c>
      <c r="D31" s="28" t="s">
        <v>53</v>
      </c>
      <c r="E31" s="33">
        <v>14617.8740514949</v>
      </c>
      <c r="F31" s="28" t="s">
        <v>2052</v>
      </c>
      <c r="G31" s="33">
        <v>1500</v>
      </c>
      <c r="H31" s="28" t="s">
        <v>2053</v>
      </c>
    </row>
    <row r="32" spans="1:8" ht="15" customHeight="1" x14ac:dyDescent="0.35">
      <c r="A32" s="28" t="s">
        <v>2087</v>
      </c>
      <c r="B32" s="28" t="s">
        <v>2098</v>
      </c>
      <c r="C32" s="28" t="s">
        <v>2089</v>
      </c>
      <c r="D32" s="28" t="s">
        <v>53</v>
      </c>
      <c r="E32" s="33">
        <v>194904.98735326499</v>
      </c>
      <c r="F32" s="28" t="s">
        <v>2052</v>
      </c>
      <c r="G32" s="33">
        <v>20000</v>
      </c>
      <c r="H32" s="28" t="s">
        <v>2053</v>
      </c>
    </row>
    <row r="33" spans="1:8" ht="15" customHeight="1" x14ac:dyDescent="0.35">
      <c r="A33" s="28" t="s">
        <v>2087</v>
      </c>
      <c r="B33" s="28" t="s">
        <v>2099</v>
      </c>
      <c r="C33" s="28" t="s">
        <v>2089</v>
      </c>
      <c r="D33" s="28" t="s">
        <v>53</v>
      </c>
      <c r="E33" s="33">
        <v>43853.622154484699</v>
      </c>
      <c r="F33" s="28" t="s">
        <v>2052</v>
      </c>
      <c r="G33" s="33">
        <v>4500</v>
      </c>
      <c r="H33" s="28" t="s">
        <v>2053</v>
      </c>
    </row>
    <row r="34" spans="1:8" ht="15" customHeight="1" x14ac:dyDescent="0.35">
      <c r="A34" s="28" t="s">
        <v>2087</v>
      </c>
      <c r="B34" s="28" t="s">
        <v>2100</v>
      </c>
      <c r="C34" s="28" t="s">
        <v>2089</v>
      </c>
      <c r="D34" s="28" t="s">
        <v>28</v>
      </c>
      <c r="E34" s="33">
        <v>14617.8740514949</v>
      </c>
      <c r="F34" s="28" t="s">
        <v>2052</v>
      </c>
      <c r="G34" s="33">
        <v>1500</v>
      </c>
      <c r="H34" s="28" t="s">
        <v>2053</v>
      </c>
    </row>
    <row r="35" spans="1:8" ht="23.25" customHeight="1" x14ac:dyDescent="0.35">
      <c r="A35" s="28" t="s">
        <v>2087</v>
      </c>
      <c r="B35" s="28" t="s">
        <v>2101</v>
      </c>
      <c r="C35" s="28" t="s">
        <v>2089</v>
      </c>
      <c r="D35" s="28" t="s">
        <v>53</v>
      </c>
      <c r="E35" s="33">
        <v>194904.98735326499</v>
      </c>
      <c r="F35" s="28" t="s">
        <v>2052</v>
      </c>
      <c r="G35" s="33">
        <v>20000</v>
      </c>
      <c r="H35" s="28" t="s">
        <v>2053</v>
      </c>
    </row>
    <row r="36" spans="1:8" ht="15" customHeight="1" x14ac:dyDescent="0.35">
      <c r="A36" s="28" t="s">
        <v>2087</v>
      </c>
      <c r="B36" s="28" t="s">
        <v>2102</v>
      </c>
      <c r="C36" s="28" t="s">
        <v>2089</v>
      </c>
      <c r="D36" s="28" t="s">
        <v>53</v>
      </c>
      <c r="E36" s="33">
        <v>43853.622154484699</v>
      </c>
      <c r="F36" s="28" t="s">
        <v>2052</v>
      </c>
      <c r="G36" s="33">
        <v>4500</v>
      </c>
      <c r="H36" s="28" t="s">
        <v>2053</v>
      </c>
    </row>
    <row r="37" spans="1:8" ht="15" customHeight="1" x14ac:dyDescent="0.35">
      <c r="A37" s="28" t="s">
        <v>2087</v>
      </c>
      <c r="B37" s="28" t="s">
        <v>2103</v>
      </c>
      <c r="C37" s="28" t="s">
        <v>2089</v>
      </c>
      <c r="D37" s="28" t="s">
        <v>53</v>
      </c>
      <c r="E37" s="33">
        <v>87707.244308969399</v>
      </c>
      <c r="F37" s="28" t="s">
        <v>2052</v>
      </c>
      <c r="G37" s="33">
        <v>9000</v>
      </c>
      <c r="H37" s="28" t="s">
        <v>2053</v>
      </c>
    </row>
    <row r="38" spans="1:8" ht="15" customHeight="1" x14ac:dyDescent="0.35">
      <c r="A38" s="28" t="s">
        <v>2087</v>
      </c>
      <c r="B38" s="28" t="s">
        <v>2104</v>
      </c>
      <c r="C38" s="28" t="s">
        <v>2089</v>
      </c>
      <c r="D38" s="28" t="s">
        <v>53</v>
      </c>
      <c r="E38" s="33">
        <v>43853.622154484699</v>
      </c>
      <c r="F38" s="28" t="s">
        <v>2052</v>
      </c>
      <c r="G38" s="33">
        <v>4500</v>
      </c>
      <c r="H38" s="28" t="s">
        <v>2053</v>
      </c>
    </row>
    <row r="39" spans="1:8" ht="15" customHeight="1" x14ac:dyDescent="0.35">
      <c r="A39" s="28" t="s">
        <v>2087</v>
      </c>
      <c r="B39" s="28" t="s">
        <v>2105</v>
      </c>
      <c r="C39" s="28" t="s">
        <v>2089</v>
      </c>
      <c r="D39" s="28" t="s">
        <v>53</v>
      </c>
      <c r="E39" s="33">
        <v>87707.244308969399</v>
      </c>
      <c r="F39" s="28" t="s">
        <v>2052</v>
      </c>
      <c r="G39" s="33">
        <v>9000</v>
      </c>
      <c r="H39" s="28" t="s">
        <v>2053</v>
      </c>
    </row>
    <row r="40" spans="1:8" ht="15" customHeight="1" x14ac:dyDescent="0.35">
      <c r="A40" s="28" t="s">
        <v>2087</v>
      </c>
      <c r="B40" s="28" t="s">
        <v>2106</v>
      </c>
      <c r="C40" s="28" t="s">
        <v>2089</v>
      </c>
      <c r="D40" s="28" t="s">
        <v>53</v>
      </c>
      <c r="E40" s="33">
        <v>58471.496205979602</v>
      </c>
      <c r="F40" s="28" t="s">
        <v>2052</v>
      </c>
      <c r="G40" s="33">
        <v>6000</v>
      </c>
      <c r="H40" s="28" t="s">
        <v>2053</v>
      </c>
    </row>
    <row r="41" spans="1:8" ht="15" customHeight="1" x14ac:dyDescent="0.35">
      <c r="A41" s="28" t="s">
        <v>2087</v>
      </c>
      <c r="B41" s="28" t="s">
        <v>2107</v>
      </c>
      <c r="C41" s="28" t="s">
        <v>2089</v>
      </c>
      <c r="D41" s="28" t="s">
        <v>53</v>
      </c>
      <c r="E41" s="33">
        <v>68216.745573642896</v>
      </c>
      <c r="F41" s="28" t="s">
        <v>2052</v>
      </c>
      <c r="G41" s="33">
        <v>7000</v>
      </c>
      <c r="H41" s="28" t="s">
        <v>2053</v>
      </c>
    </row>
    <row r="42" spans="1:8" ht="15" customHeight="1" x14ac:dyDescent="0.35">
      <c r="A42" s="28" t="s">
        <v>2087</v>
      </c>
      <c r="B42" s="28" t="s">
        <v>2108</v>
      </c>
      <c r="C42" s="28" t="s">
        <v>2089</v>
      </c>
      <c r="D42" s="28" t="s">
        <v>668</v>
      </c>
      <c r="E42" s="33">
        <v>34108.372786821499</v>
      </c>
      <c r="F42" s="28" t="s">
        <v>2052</v>
      </c>
      <c r="G42" s="33">
        <v>3500</v>
      </c>
      <c r="H42" s="28" t="s">
        <v>2053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6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6.90625" style="230" customWidth="1"/>
    <col min="2" max="2" width="49.453125" style="230" customWidth="1"/>
    <col min="3" max="3" width="7.453125" style="230" bestFit="1" customWidth="1"/>
    <col min="4" max="4" width="19.54296875" style="233" customWidth="1"/>
    <col min="5" max="5" width="25.08984375" style="230" bestFit="1" customWidth="1"/>
    <col min="6" max="6" width="21.90625" style="230" bestFit="1" customWidth="1"/>
    <col min="7" max="16384" width="8.6328125" style="230"/>
  </cols>
  <sheetData>
    <row r="1" spans="1:6" s="236" customFormat="1" ht="29" x14ac:dyDescent="0.35">
      <c r="A1" s="234" t="s">
        <v>579</v>
      </c>
      <c r="B1" s="234" t="s">
        <v>6</v>
      </c>
      <c r="C1" s="234" t="s">
        <v>2109</v>
      </c>
      <c r="D1" s="235" t="s">
        <v>2110</v>
      </c>
      <c r="E1" s="234" t="s">
        <v>584</v>
      </c>
      <c r="F1" s="234" t="s">
        <v>533</v>
      </c>
    </row>
    <row r="2" spans="1:6" ht="15" customHeight="1" x14ac:dyDescent="0.35">
      <c r="A2" s="231" t="s">
        <v>2111</v>
      </c>
      <c r="B2" s="231" t="s">
        <v>2112</v>
      </c>
      <c r="C2" s="231" t="s">
        <v>24</v>
      </c>
      <c r="D2" s="232">
        <v>1204015.4873681201</v>
      </c>
      <c r="E2" s="231" t="s">
        <v>3001</v>
      </c>
      <c r="F2" s="231" t="s">
        <v>2113</v>
      </c>
    </row>
    <row r="3" spans="1:6" ht="15" customHeight="1" x14ac:dyDescent="0.35">
      <c r="A3" s="231" t="s">
        <v>2114</v>
      </c>
      <c r="B3" s="231" t="s">
        <v>2115</v>
      </c>
      <c r="C3" s="231" t="s">
        <v>24</v>
      </c>
      <c r="D3" s="232">
        <v>49052.482818700999</v>
      </c>
      <c r="E3" s="231" t="s">
        <v>3001</v>
      </c>
      <c r="F3" s="231" t="s">
        <v>2113</v>
      </c>
    </row>
    <row r="4" spans="1:6" ht="15" customHeight="1" x14ac:dyDescent="0.35">
      <c r="A4" s="231" t="s">
        <v>2116</v>
      </c>
      <c r="B4" s="231" t="s">
        <v>2117</v>
      </c>
      <c r="C4" s="231" t="s">
        <v>24</v>
      </c>
      <c r="D4" s="232">
        <v>109996.476623754</v>
      </c>
      <c r="E4" s="231" t="s">
        <v>3001</v>
      </c>
      <c r="F4" s="231" t="s">
        <v>2113</v>
      </c>
    </row>
    <row r="5" spans="1:6" ht="15" customHeight="1" x14ac:dyDescent="0.35">
      <c r="A5" s="231" t="s">
        <v>2118</v>
      </c>
      <c r="B5" s="231" t="s">
        <v>2119</v>
      </c>
      <c r="C5" s="231" t="s">
        <v>24</v>
      </c>
      <c r="D5" s="232">
        <v>135265.93746975099</v>
      </c>
      <c r="E5" s="231" t="s">
        <v>3001</v>
      </c>
      <c r="F5" s="231" t="s">
        <v>2113</v>
      </c>
    </row>
    <row r="6" spans="1:6" ht="15" customHeight="1" x14ac:dyDescent="0.35">
      <c r="A6" s="231" t="s">
        <v>2120</v>
      </c>
      <c r="B6" s="231" t="s">
        <v>2121</v>
      </c>
      <c r="C6" s="231" t="s">
        <v>24</v>
      </c>
      <c r="D6" s="232">
        <v>114455.793243636</v>
      </c>
      <c r="E6" s="231" t="s">
        <v>3001</v>
      </c>
      <c r="F6" s="231" t="s">
        <v>2113</v>
      </c>
    </row>
    <row r="7" spans="1:6" ht="15" customHeight="1" x14ac:dyDescent="0.35">
      <c r="A7" s="231" t="s">
        <v>2122</v>
      </c>
      <c r="B7" s="231" t="s">
        <v>2123</v>
      </c>
      <c r="C7" s="231" t="s">
        <v>24</v>
      </c>
      <c r="D7" s="232">
        <v>245262.41409350501</v>
      </c>
      <c r="E7" s="231" t="s">
        <v>3001</v>
      </c>
      <c r="F7" s="231" t="s">
        <v>2113</v>
      </c>
    </row>
    <row r="8" spans="1:6" ht="15" customHeight="1" x14ac:dyDescent="0.35">
      <c r="A8" s="231" t="s">
        <v>2124</v>
      </c>
      <c r="B8" s="231" t="s">
        <v>2125</v>
      </c>
      <c r="C8" s="231" t="s">
        <v>24</v>
      </c>
      <c r="D8" s="232">
        <v>148643.887329397</v>
      </c>
      <c r="E8" s="231" t="s">
        <v>3001</v>
      </c>
      <c r="F8" s="231" t="s">
        <v>2113</v>
      </c>
    </row>
    <row r="9" spans="1:6" ht="15" customHeight="1" x14ac:dyDescent="0.35">
      <c r="A9" s="231" t="s">
        <v>2126</v>
      </c>
      <c r="B9" s="231" t="s">
        <v>2127</v>
      </c>
      <c r="C9" s="231" t="s">
        <v>24</v>
      </c>
      <c r="D9" s="232">
        <v>520253.605652889</v>
      </c>
      <c r="E9" s="231" t="s">
        <v>3001</v>
      </c>
      <c r="F9" s="231" t="s">
        <v>2113</v>
      </c>
    </row>
    <row r="10" spans="1:6" ht="15" customHeight="1" x14ac:dyDescent="0.35">
      <c r="A10" s="231" t="s">
        <v>2128</v>
      </c>
      <c r="B10" s="231" t="s">
        <v>2129</v>
      </c>
      <c r="C10" s="231" t="s">
        <v>53</v>
      </c>
      <c r="D10" s="232">
        <v>107023.598877166</v>
      </c>
      <c r="E10" s="231" t="s">
        <v>3001</v>
      </c>
      <c r="F10" s="231" t="s">
        <v>2130</v>
      </c>
    </row>
    <row r="11" spans="1:6" ht="15" customHeight="1" x14ac:dyDescent="0.35">
      <c r="A11" s="231" t="s">
        <v>2131</v>
      </c>
      <c r="B11" s="231" t="s">
        <v>2132</v>
      </c>
      <c r="C11" s="231" t="s">
        <v>53</v>
      </c>
      <c r="D11" s="232">
        <v>107023.598877166</v>
      </c>
      <c r="E11" s="231" t="s">
        <v>3001</v>
      </c>
      <c r="F11" s="231" t="s">
        <v>2130</v>
      </c>
    </row>
    <row r="12" spans="1:6" ht="15" customHeight="1" x14ac:dyDescent="0.35">
      <c r="A12" s="231" t="s">
        <v>2133</v>
      </c>
      <c r="B12" s="231" t="s">
        <v>2134</v>
      </c>
      <c r="C12" s="231" t="s">
        <v>53</v>
      </c>
      <c r="D12" s="232">
        <v>157562.52056916099</v>
      </c>
      <c r="E12" s="231" t="s">
        <v>3001</v>
      </c>
      <c r="F12" s="231" t="s">
        <v>2130</v>
      </c>
    </row>
    <row r="13" spans="1:6" ht="15" customHeight="1" x14ac:dyDescent="0.35">
      <c r="A13" s="231" t="s">
        <v>2135</v>
      </c>
      <c r="B13" s="231" t="s">
        <v>2136</v>
      </c>
      <c r="C13" s="231" t="s">
        <v>53</v>
      </c>
      <c r="D13" s="232">
        <v>74321.943664698498</v>
      </c>
      <c r="E13" s="231" t="s">
        <v>3001</v>
      </c>
      <c r="F13" s="231" t="s">
        <v>2130</v>
      </c>
    </row>
    <row r="14" spans="1:6" ht="15" customHeight="1" x14ac:dyDescent="0.35">
      <c r="A14" s="231" t="s">
        <v>2137</v>
      </c>
      <c r="B14" s="231" t="s">
        <v>2138</v>
      </c>
      <c r="C14" s="231" t="s">
        <v>53</v>
      </c>
      <c r="D14" s="232">
        <v>46822.824508760001</v>
      </c>
      <c r="E14" s="231" t="s">
        <v>3001</v>
      </c>
      <c r="F14" s="231" t="s">
        <v>2130</v>
      </c>
    </row>
    <row r="15" spans="1:6" ht="15" customHeight="1" x14ac:dyDescent="0.35">
      <c r="A15" s="231" t="s">
        <v>2139</v>
      </c>
      <c r="B15" s="231" t="s">
        <v>2140</v>
      </c>
      <c r="C15" s="231" t="s">
        <v>24</v>
      </c>
      <c r="D15" s="232">
        <v>37290</v>
      </c>
      <c r="E15" s="231" t="s">
        <v>3005</v>
      </c>
      <c r="F15" s="231" t="s">
        <v>2141</v>
      </c>
    </row>
    <row r="16" spans="1:6" ht="15" customHeight="1" x14ac:dyDescent="0.35">
      <c r="A16" s="231" t="s">
        <v>2142</v>
      </c>
      <c r="B16" s="231" t="s">
        <v>2143</v>
      </c>
      <c r="C16" s="231" t="s">
        <v>43</v>
      </c>
      <c r="D16" s="232">
        <v>22000</v>
      </c>
      <c r="E16" s="231" t="s">
        <v>3004</v>
      </c>
      <c r="F16" s="231" t="s">
        <v>2144</v>
      </c>
    </row>
    <row r="17" spans="1:6" ht="15" customHeight="1" x14ac:dyDescent="0.35">
      <c r="A17" s="231" t="s">
        <v>2145</v>
      </c>
      <c r="B17" s="231" t="s">
        <v>2146</v>
      </c>
      <c r="C17" s="231" t="s">
        <v>43</v>
      </c>
      <c r="D17" s="232">
        <v>21411.111111111099</v>
      </c>
      <c r="E17" s="231" t="s">
        <v>3004</v>
      </c>
      <c r="F17" s="231" t="s">
        <v>2144</v>
      </c>
    </row>
    <row r="18" spans="1:6" ht="15" customHeight="1" x14ac:dyDescent="0.35">
      <c r="A18" s="231" t="s">
        <v>2147</v>
      </c>
      <c r="B18" s="231" t="s">
        <v>2148</v>
      </c>
      <c r="C18" s="231" t="s">
        <v>92</v>
      </c>
      <c r="D18" s="232">
        <v>8653.4814164584805</v>
      </c>
      <c r="E18" s="231" t="s">
        <v>669</v>
      </c>
      <c r="F18" s="231" t="s">
        <v>2149</v>
      </c>
    </row>
    <row r="19" spans="1:6" ht="15" customHeight="1" x14ac:dyDescent="0.35">
      <c r="A19" s="231" t="s">
        <v>2150</v>
      </c>
      <c r="B19" s="231" t="s">
        <v>2151</v>
      </c>
      <c r="C19" s="231" t="s">
        <v>92</v>
      </c>
      <c r="D19" s="232">
        <v>7691.98348129643</v>
      </c>
      <c r="E19" s="231" t="s">
        <v>669</v>
      </c>
      <c r="F19" s="231" t="s">
        <v>2149</v>
      </c>
    </row>
    <row r="20" spans="1:6" ht="15" customHeight="1" x14ac:dyDescent="0.35">
      <c r="A20" s="231" t="s">
        <v>2152</v>
      </c>
      <c r="B20" s="231" t="s">
        <v>2078</v>
      </c>
      <c r="C20" s="231" t="s">
        <v>92</v>
      </c>
      <c r="D20" s="232">
        <v>11651.218312086001</v>
      </c>
      <c r="E20" s="231" t="s">
        <v>669</v>
      </c>
      <c r="F20" s="231" t="s">
        <v>2149</v>
      </c>
    </row>
    <row r="21" spans="1:6" ht="15" customHeight="1" x14ac:dyDescent="0.35">
      <c r="A21" s="231" t="s">
        <v>2153</v>
      </c>
      <c r="B21" s="231" t="s">
        <v>2154</v>
      </c>
      <c r="C21" s="231" t="s">
        <v>28</v>
      </c>
      <c r="D21" s="232">
        <v>12499.4731571067</v>
      </c>
      <c r="E21" s="231" t="s">
        <v>669</v>
      </c>
      <c r="F21" s="231" t="s">
        <v>2149</v>
      </c>
    </row>
    <row r="22" spans="1:6" ht="15" customHeight="1" x14ac:dyDescent="0.35">
      <c r="A22" s="231" t="s">
        <v>2155</v>
      </c>
      <c r="B22" s="231" t="s">
        <v>2156</v>
      </c>
      <c r="C22" s="231" t="s">
        <v>53</v>
      </c>
      <c r="D22" s="232">
        <v>12499.4731571067</v>
      </c>
      <c r="E22" s="231" t="s">
        <v>669</v>
      </c>
      <c r="F22" s="231" t="s">
        <v>2149</v>
      </c>
    </row>
    <row r="23" spans="1:6" ht="15" customHeight="1" x14ac:dyDescent="0.35">
      <c r="A23" s="231" t="s">
        <v>2157</v>
      </c>
      <c r="B23" s="231" t="s">
        <v>2158</v>
      </c>
      <c r="C23" s="231" t="s">
        <v>92</v>
      </c>
      <c r="D23" s="232">
        <v>21152.954573565199</v>
      </c>
      <c r="E23" s="231" t="s">
        <v>669</v>
      </c>
      <c r="F23" s="231" t="s">
        <v>2149</v>
      </c>
    </row>
    <row r="24" spans="1:6" ht="15" customHeight="1" x14ac:dyDescent="0.35">
      <c r="A24" s="231" t="s">
        <v>2159</v>
      </c>
      <c r="B24" s="231" t="s">
        <v>2160</v>
      </c>
      <c r="C24" s="231" t="s">
        <v>28</v>
      </c>
      <c r="D24" s="232">
        <v>10576.4772867826</v>
      </c>
      <c r="E24" s="231" t="s">
        <v>669</v>
      </c>
      <c r="F24" s="231" t="s">
        <v>2149</v>
      </c>
    </row>
    <row r="25" spans="1:6" ht="15" customHeight="1" x14ac:dyDescent="0.35">
      <c r="A25" s="231" t="s">
        <v>2161</v>
      </c>
      <c r="B25" s="231" t="s">
        <v>2162</v>
      </c>
      <c r="C25" s="231" t="s">
        <v>53</v>
      </c>
      <c r="D25" s="232">
        <v>375000</v>
      </c>
      <c r="E25" s="231" t="s">
        <v>3000</v>
      </c>
      <c r="F25" s="231" t="s">
        <v>2163</v>
      </c>
    </row>
    <row r="26" spans="1:6" ht="15" customHeight="1" x14ac:dyDescent="0.35">
      <c r="A26" s="231" t="s">
        <v>2164</v>
      </c>
      <c r="B26" s="231" t="s">
        <v>2165</v>
      </c>
      <c r="C26" s="231" t="s">
        <v>53</v>
      </c>
      <c r="D26" s="232">
        <v>213888.88888888899</v>
      </c>
      <c r="E26" s="231" t="s">
        <v>3000</v>
      </c>
      <c r="F26" s="231" t="s">
        <v>2163</v>
      </c>
    </row>
    <row r="27" spans="1:6" ht="15" customHeight="1" x14ac:dyDescent="0.35">
      <c r="A27" s="231" t="s">
        <v>2166</v>
      </c>
      <c r="B27" s="231" t="s">
        <v>2167</v>
      </c>
      <c r="C27" s="231" t="s">
        <v>53</v>
      </c>
      <c r="D27" s="232">
        <v>189000</v>
      </c>
      <c r="E27" s="231" t="s">
        <v>3000</v>
      </c>
      <c r="F27" s="231" t="s">
        <v>2163</v>
      </c>
    </row>
    <row r="28" spans="1:6" ht="15" customHeight="1" x14ac:dyDescent="0.35">
      <c r="A28" s="231" t="s">
        <v>2168</v>
      </c>
      <c r="B28" s="231" t="s">
        <v>2169</v>
      </c>
      <c r="C28" s="231" t="s">
        <v>668</v>
      </c>
      <c r="D28" s="232">
        <v>24807.3</v>
      </c>
      <c r="E28" s="231" t="s">
        <v>3002</v>
      </c>
      <c r="F28" s="231" t="s">
        <v>262</v>
      </c>
    </row>
    <row r="29" spans="1:6" ht="15" customHeight="1" x14ac:dyDescent="0.35">
      <c r="A29" s="231" t="s">
        <v>2170</v>
      </c>
      <c r="B29" s="231" t="s">
        <v>2171</v>
      </c>
      <c r="C29" s="231" t="s">
        <v>668</v>
      </c>
      <c r="D29" s="232">
        <v>10609.2</v>
      </c>
      <c r="E29" s="231" t="s">
        <v>3002</v>
      </c>
      <c r="F29" s="231" t="s">
        <v>262</v>
      </c>
    </row>
    <row r="30" spans="1:6" ht="15" customHeight="1" x14ac:dyDescent="0.35">
      <c r="A30" s="231" t="s">
        <v>2172</v>
      </c>
      <c r="B30" s="231" t="s">
        <v>2173</v>
      </c>
      <c r="C30" s="231" t="s">
        <v>668</v>
      </c>
      <c r="D30" s="232">
        <v>43117.2</v>
      </c>
      <c r="E30" s="231" t="s">
        <v>3002</v>
      </c>
      <c r="F30" s="231" t="s">
        <v>262</v>
      </c>
    </row>
    <row r="31" spans="1:6" ht="15" customHeight="1" x14ac:dyDescent="0.35">
      <c r="A31" s="231" t="s">
        <v>2174</v>
      </c>
      <c r="B31" s="231" t="s">
        <v>2175</v>
      </c>
      <c r="C31" s="231" t="s">
        <v>668</v>
      </c>
      <c r="D31" s="232">
        <v>7700</v>
      </c>
      <c r="E31" s="231" t="s">
        <v>3002</v>
      </c>
      <c r="F31" s="231" t="s">
        <v>262</v>
      </c>
    </row>
    <row r="32" spans="1:6" ht="15" customHeight="1" x14ac:dyDescent="0.35">
      <c r="A32" s="231" t="s">
        <v>2176</v>
      </c>
      <c r="B32" s="231" t="s">
        <v>2177</v>
      </c>
      <c r="C32" s="231" t="s">
        <v>53</v>
      </c>
      <c r="D32" s="232">
        <v>11816</v>
      </c>
      <c r="E32" s="231" t="s">
        <v>3002</v>
      </c>
      <c r="F32" s="231" t="s">
        <v>262</v>
      </c>
    </row>
    <row r="33" spans="1:6" ht="15" customHeight="1" x14ac:dyDescent="0.35">
      <c r="A33" s="231" t="s">
        <v>2178</v>
      </c>
      <c r="B33" s="231" t="s">
        <v>2179</v>
      </c>
      <c r="C33" s="231" t="s">
        <v>53</v>
      </c>
      <c r="D33" s="232">
        <v>68810</v>
      </c>
      <c r="E33" s="231" t="s">
        <v>3002</v>
      </c>
      <c r="F33" s="231" t="s">
        <v>262</v>
      </c>
    </row>
    <row r="34" spans="1:6" ht="15" customHeight="1" x14ac:dyDescent="0.35">
      <c r="A34" s="231" t="s">
        <v>2180</v>
      </c>
      <c r="B34" s="231" t="s">
        <v>2181</v>
      </c>
      <c r="C34" s="231" t="s">
        <v>53</v>
      </c>
      <c r="D34" s="232">
        <v>63910</v>
      </c>
      <c r="E34" s="231" t="s">
        <v>3002</v>
      </c>
      <c r="F34" s="231" t="s">
        <v>262</v>
      </c>
    </row>
    <row r="35" spans="1:6" ht="15" customHeight="1" x14ac:dyDescent="0.35">
      <c r="A35" s="231" t="s">
        <v>2182</v>
      </c>
      <c r="B35" s="231" t="s">
        <v>2183</v>
      </c>
      <c r="C35" s="231" t="s">
        <v>53</v>
      </c>
      <c r="D35" s="232">
        <v>18760</v>
      </c>
      <c r="E35" s="231" t="s">
        <v>3002</v>
      </c>
      <c r="F35" s="231" t="s">
        <v>262</v>
      </c>
    </row>
    <row r="36" spans="1:6" ht="15" customHeight="1" x14ac:dyDescent="0.35">
      <c r="A36" s="231" t="s">
        <v>2184</v>
      </c>
      <c r="B36" s="231" t="s">
        <v>2185</v>
      </c>
      <c r="C36" s="231" t="s">
        <v>53</v>
      </c>
      <c r="D36" s="232">
        <v>232812.45</v>
      </c>
      <c r="E36" s="231" t="s">
        <v>3002</v>
      </c>
      <c r="F36" s="231" t="s">
        <v>262</v>
      </c>
    </row>
    <row r="37" spans="1:6" ht="15" customHeight="1" x14ac:dyDescent="0.35">
      <c r="A37" s="231" t="s">
        <v>2186</v>
      </c>
      <c r="B37" s="231" t="s">
        <v>2187</v>
      </c>
      <c r="C37" s="231" t="s">
        <v>53</v>
      </c>
      <c r="D37" s="232">
        <v>349202.7</v>
      </c>
      <c r="E37" s="231" t="s">
        <v>3002</v>
      </c>
      <c r="F37" s="231" t="s">
        <v>262</v>
      </c>
    </row>
    <row r="38" spans="1:6" ht="15" customHeight="1" x14ac:dyDescent="0.35">
      <c r="A38" s="231" t="s">
        <v>2188</v>
      </c>
      <c r="B38" s="231" t="s">
        <v>2189</v>
      </c>
      <c r="C38" s="231" t="s">
        <v>53</v>
      </c>
      <c r="D38" s="232">
        <v>23730</v>
      </c>
      <c r="E38" s="231" t="s">
        <v>3002</v>
      </c>
      <c r="F38" s="231" t="s">
        <v>262</v>
      </c>
    </row>
    <row r="39" spans="1:6" ht="15" customHeight="1" x14ac:dyDescent="0.35">
      <c r="A39" s="231" t="s">
        <v>2190</v>
      </c>
      <c r="B39" s="231" t="s">
        <v>2191</v>
      </c>
      <c r="C39" s="231" t="s">
        <v>28</v>
      </c>
      <c r="D39" s="232">
        <v>21576.799999999999</v>
      </c>
      <c r="E39" s="231" t="s">
        <v>3002</v>
      </c>
      <c r="F39" s="231" t="s">
        <v>262</v>
      </c>
    </row>
    <row r="40" spans="1:6" ht="15" customHeight="1" x14ac:dyDescent="0.35">
      <c r="A40" s="231" t="s">
        <v>2192</v>
      </c>
      <c r="B40" s="231" t="s">
        <v>2193</v>
      </c>
      <c r="C40" s="231" t="s">
        <v>53</v>
      </c>
      <c r="D40" s="232">
        <v>344928.5</v>
      </c>
      <c r="E40" s="231" t="s">
        <v>3002</v>
      </c>
      <c r="F40" s="231" t="s">
        <v>262</v>
      </c>
    </row>
    <row r="41" spans="1:6" ht="15" customHeight="1" x14ac:dyDescent="0.35">
      <c r="A41" s="231" t="s">
        <v>2194</v>
      </c>
      <c r="B41" s="231" t="s">
        <v>2195</v>
      </c>
      <c r="C41" s="231" t="s">
        <v>53</v>
      </c>
      <c r="D41" s="232">
        <v>92822.1</v>
      </c>
      <c r="E41" s="231" t="s">
        <v>3002</v>
      </c>
      <c r="F41" s="231" t="s">
        <v>262</v>
      </c>
    </row>
    <row r="42" spans="1:6" ht="15" customHeight="1" x14ac:dyDescent="0.35">
      <c r="A42" s="231" t="s">
        <v>2196</v>
      </c>
      <c r="B42" s="231" t="s">
        <v>2197</v>
      </c>
      <c r="C42" s="231" t="s">
        <v>53</v>
      </c>
      <c r="D42" s="232">
        <v>90526.8</v>
      </c>
      <c r="E42" s="231" t="s">
        <v>3002</v>
      </c>
      <c r="F42" s="231" t="s">
        <v>262</v>
      </c>
    </row>
    <row r="43" spans="1:6" ht="15" customHeight="1" x14ac:dyDescent="0.35">
      <c r="A43" s="231" t="s">
        <v>2198</v>
      </c>
      <c r="B43" s="231" t="s">
        <v>2199</v>
      </c>
      <c r="C43" s="231" t="s">
        <v>53</v>
      </c>
      <c r="D43" s="232">
        <v>129373.3</v>
      </c>
      <c r="E43" s="231" t="s">
        <v>3002</v>
      </c>
      <c r="F43" s="231" t="s">
        <v>262</v>
      </c>
    </row>
    <row r="44" spans="1:6" ht="15" customHeight="1" x14ac:dyDescent="0.35">
      <c r="A44" s="231" t="s">
        <v>2200</v>
      </c>
      <c r="B44" s="231" t="s">
        <v>2201</v>
      </c>
      <c r="C44" s="231" t="s">
        <v>53</v>
      </c>
      <c r="D44" s="232">
        <v>64652.7</v>
      </c>
      <c r="E44" s="231" t="s">
        <v>3002</v>
      </c>
      <c r="F44" s="231" t="s">
        <v>262</v>
      </c>
    </row>
    <row r="45" spans="1:6" ht="15" customHeight="1" x14ac:dyDescent="0.35">
      <c r="A45" s="231" t="s">
        <v>2202</v>
      </c>
      <c r="B45" s="231" t="s">
        <v>2203</v>
      </c>
      <c r="C45" s="231" t="s">
        <v>24</v>
      </c>
      <c r="D45" s="232">
        <v>21944902.249744698</v>
      </c>
      <c r="E45" s="231" t="s">
        <v>3003</v>
      </c>
      <c r="F45" s="231" t="s">
        <v>2204</v>
      </c>
    </row>
    <row r="46" spans="1:6" ht="15" customHeight="1" x14ac:dyDescent="0.35">
      <c r="A46" s="231" t="s">
        <v>2205</v>
      </c>
      <c r="B46" s="231" t="s">
        <v>2206</v>
      </c>
      <c r="C46" s="231" t="s">
        <v>53</v>
      </c>
      <c r="D46" s="232">
        <v>19750412.0247702</v>
      </c>
      <c r="E46" s="231" t="s">
        <v>3003</v>
      </c>
      <c r="F46" s="231" t="s">
        <v>2204</v>
      </c>
    </row>
    <row r="47" spans="1:6" ht="15" customHeight="1" x14ac:dyDescent="0.35">
      <c r="A47" s="231" t="s">
        <v>2207</v>
      </c>
      <c r="B47" s="231" t="s">
        <v>2208</v>
      </c>
      <c r="C47" s="231" t="s">
        <v>53</v>
      </c>
      <c r="D47" s="232">
        <v>2194490.2249744702</v>
      </c>
      <c r="E47" s="231" t="s">
        <v>3003</v>
      </c>
      <c r="F47" s="231" t="s">
        <v>2204</v>
      </c>
    </row>
    <row r="48" spans="1:6" ht="15" customHeight="1" x14ac:dyDescent="0.35">
      <c r="A48" s="231" t="s">
        <v>2209</v>
      </c>
      <c r="B48" s="231" t="s">
        <v>2210</v>
      </c>
      <c r="C48" s="231" t="s">
        <v>24</v>
      </c>
      <c r="D48" s="232">
        <v>2860000</v>
      </c>
      <c r="E48" s="231" t="s">
        <v>3008</v>
      </c>
      <c r="F48" s="231" t="s">
        <v>2211</v>
      </c>
    </row>
    <row r="49" spans="1:6" ht="15" customHeight="1" x14ac:dyDescent="0.35">
      <c r="A49" s="231" t="s">
        <v>2212</v>
      </c>
      <c r="B49" s="231" t="s">
        <v>2213</v>
      </c>
      <c r="C49" s="231" t="s">
        <v>24</v>
      </c>
      <c r="D49" s="232">
        <v>5720000</v>
      </c>
      <c r="E49" s="231" t="s">
        <v>3008</v>
      </c>
      <c r="F49" s="231" t="s">
        <v>2211</v>
      </c>
    </row>
    <row r="50" spans="1:6" ht="15" customHeight="1" x14ac:dyDescent="0.35">
      <c r="A50" s="231" t="s">
        <v>2214</v>
      </c>
      <c r="B50" s="231" t="s">
        <v>2215</v>
      </c>
      <c r="C50" s="231" t="s">
        <v>24</v>
      </c>
      <c r="D50" s="232">
        <v>914955.79422143998</v>
      </c>
      <c r="E50" s="231" t="s">
        <v>3006</v>
      </c>
      <c r="F50" s="231" t="s">
        <v>2216</v>
      </c>
    </row>
    <row r="51" spans="1:6" ht="15" customHeight="1" x14ac:dyDescent="0.35">
      <c r="A51" s="231" t="s">
        <v>2217</v>
      </c>
      <c r="B51" s="231" t="s">
        <v>2218</v>
      </c>
      <c r="C51" s="231" t="s">
        <v>92</v>
      </c>
      <c r="D51" s="232">
        <v>12730.284473338001</v>
      </c>
      <c r="E51" s="231" t="s">
        <v>3006</v>
      </c>
      <c r="F51" s="231" t="s">
        <v>2216</v>
      </c>
    </row>
    <row r="52" spans="1:6" ht="15" customHeight="1" x14ac:dyDescent="0.35">
      <c r="A52" s="231" t="s">
        <v>2219</v>
      </c>
      <c r="B52" s="231" t="s">
        <v>2220</v>
      </c>
      <c r="C52" s="231" t="s">
        <v>24</v>
      </c>
      <c r="D52" s="232">
        <v>1829911.58844288</v>
      </c>
      <c r="E52" s="231" t="s">
        <v>3006</v>
      </c>
      <c r="F52" s="231" t="s">
        <v>2216</v>
      </c>
    </row>
    <row r="53" spans="1:6" ht="15" customHeight="1" x14ac:dyDescent="0.35">
      <c r="A53" s="231" t="s">
        <v>2221</v>
      </c>
      <c r="B53" s="231" t="s">
        <v>2222</v>
      </c>
      <c r="C53" s="231" t="s">
        <v>1070</v>
      </c>
      <c r="D53" s="232">
        <v>198736.844636364</v>
      </c>
      <c r="E53" s="231" t="s">
        <v>3007</v>
      </c>
      <c r="F53" s="231" t="s">
        <v>2223</v>
      </c>
    </row>
    <row r="54" spans="1:6" ht="15" customHeight="1" x14ac:dyDescent="0.35">
      <c r="A54" s="231" t="s">
        <v>2224</v>
      </c>
      <c r="B54" s="231" t="s">
        <v>2225</v>
      </c>
      <c r="C54" s="231" t="s">
        <v>24</v>
      </c>
      <c r="D54" s="232">
        <v>93645.649017520103</v>
      </c>
      <c r="E54" s="231" t="s">
        <v>3001</v>
      </c>
      <c r="F54" s="231" t="s">
        <v>2226</v>
      </c>
    </row>
    <row r="55" spans="1:6" ht="14.25" customHeight="1" x14ac:dyDescent="0.35">
      <c r="A55" s="231" t="s">
        <v>2227</v>
      </c>
      <c r="B55" s="231" t="s">
        <v>2228</v>
      </c>
      <c r="C55" s="231" t="s">
        <v>1070</v>
      </c>
      <c r="D55" s="232">
        <v>198736.844636364</v>
      </c>
      <c r="E55" s="231" t="s">
        <v>3007</v>
      </c>
      <c r="F55" s="231" t="s">
        <v>2229</v>
      </c>
    </row>
    <row r="56" spans="1:6" ht="14.25" customHeight="1" x14ac:dyDescent="0.35">
      <c r="A56" s="231" t="s">
        <v>2230</v>
      </c>
      <c r="B56" s="231" t="s">
        <v>2231</v>
      </c>
      <c r="C56" s="231" t="s">
        <v>53</v>
      </c>
      <c r="D56" s="232">
        <v>250000</v>
      </c>
      <c r="E56" s="231" t="s">
        <v>3007</v>
      </c>
      <c r="F56" s="231" t="s">
        <v>2232</v>
      </c>
    </row>
    <row r="57" spans="1:6" ht="14.25" customHeight="1" x14ac:dyDescent="0.35">
      <c r="A57" s="231" t="s">
        <v>2233</v>
      </c>
      <c r="B57" s="231" t="s">
        <v>2234</v>
      </c>
      <c r="C57" s="231" t="s">
        <v>24</v>
      </c>
      <c r="D57" s="232">
        <v>250000</v>
      </c>
      <c r="E57" s="231" t="s">
        <v>3007</v>
      </c>
      <c r="F57" s="231" t="s">
        <v>2232</v>
      </c>
    </row>
    <row r="58" spans="1:6" ht="14.25" customHeight="1" x14ac:dyDescent="0.35">
      <c r="A58" s="231" t="s">
        <v>2235</v>
      </c>
      <c r="B58" s="231" t="s">
        <v>2236</v>
      </c>
      <c r="C58" s="231" t="s">
        <v>53</v>
      </c>
      <c r="D58" s="232">
        <v>148643.887329397</v>
      </c>
      <c r="E58" s="231" t="s">
        <v>3007</v>
      </c>
      <c r="F58" s="231" t="s">
        <v>2237</v>
      </c>
    </row>
    <row r="59" spans="1:6" ht="14.25" customHeight="1" x14ac:dyDescent="0.35">
      <c r="A59" s="231" t="s">
        <v>2238</v>
      </c>
      <c r="B59" s="231" t="s">
        <v>2239</v>
      </c>
      <c r="C59" s="231" t="s">
        <v>24</v>
      </c>
      <c r="D59" s="232">
        <v>22000</v>
      </c>
      <c r="E59" s="231" t="s">
        <v>3004</v>
      </c>
      <c r="F59" s="231" t="s">
        <v>2240</v>
      </c>
    </row>
    <row r="60" spans="1:6" ht="14.25" customHeight="1" x14ac:dyDescent="0.35">
      <c r="A60" s="231" t="s">
        <v>2241</v>
      </c>
      <c r="B60" s="231" t="s">
        <v>2242</v>
      </c>
      <c r="C60" s="231" t="s">
        <v>43</v>
      </c>
      <c r="D60" s="232">
        <v>60860.580776572002</v>
      </c>
      <c r="E60" s="231" t="s">
        <v>3004</v>
      </c>
      <c r="F60" s="231" t="s">
        <v>1102</v>
      </c>
    </row>
    <row r="61" spans="1:6" ht="14.25" customHeight="1" x14ac:dyDescent="0.35">
      <c r="A61" s="231" t="s">
        <v>2243</v>
      </c>
      <c r="B61" s="231" t="s">
        <v>2244</v>
      </c>
      <c r="C61" s="231" t="s">
        <v>24</v>
      </c>
      <c r="D61" s="232">
        <v>4500000</v>
      </c>
      <c r="E61" s="231" t="s">
        <v>3009</v>
      </c>
      <c r="F61" s="231" t="s">
        <v>2245</v>
      </c>
    </row>
    <row r="62" spans="1:6" ht="14.25" customHeight="1" x14ac:dyDescent="0.35">
      <c r="A62" s="231" t="s">
        <v>2246</v>
      </c>
      <c r="B62" s="231" t="s">
        <v>2247</v>
      </c>
      <c r="C62" s="231" t="s">
        <v>43</v>
      </c>
      <c r="D62" s="232">
        <v>357640.8998745</v>
      </c>
      <c r="E62" s="231" t="s">
        <v>3009</v>
      </c>
      <c r="F62" s="231" t="s">
        <v>1114</v>
      </c>
    </row>
    <row r="63" spans="1:6" ht="14.25" customHeight="1" x14ac:dyDescent="0.35">
      <c r="A63" s="231" t="s">
        <v>2248</v>
      </c>
      <c r="B63" s="231" t="s">
        <v>2249</v>
      </c>
      <c r="C63" s="231" t="s">
        <v>43</v>
      </c>
      <c r="D63" s="232">
        <v>281633.96217538603</v>
      </c>
      <c r="E63" s="231" t="s">
        <v>3009</v>
      </c>
      <c r="F63" s="231" t="s">
        <v>1116</v>
      </c>
    </row>
    <row r="64" spans="1:6" ht="14.25" customHeight="1" x14ac:dyDescent="0.35">
      <c r="A64" s="231" t="s">
        <v>2250</v>
      </c>
      <c r="B64" s="231" t="s">
        <v>2251</v>
      </c>
      <c r="C64" s="231" t="s">
        <v>43</v>
      </c>
      <c r="D64" s="232">
        <v>194327.43390101599</v>
      </c>
      <c r="E64" s="231" t="s">
        <v>3009</v>
      </c>
      <c r="F64" s="231" t="s">
        <v>1118</v>
      </c>
    </row>
    <row r="65" spans="1:6" ht="14.25" customHeight="1" x14ac:dyDescent="0.35">
      <c r="A65" s="231" t="s">
        <v>2252</v>
      </c>
      <c r="B65" s="231" t="s">
        <v>2253</v>
      </c>
      <c r="C65" s="231" t="s">
        <v>43</v>
      </c>
      <c r="D65" s="232">
        <v>194327.43390101599</v>
      </c>
      <c r="E65" s="231" t="s">
        <v>3009</v>
      </c>
      <c r="F65" s="231" t="s">
        <v>1120</v>
      </c>
    </row>
    <row r="66" spans="1:6" ht="14.25" customHeight="1" x14ac:dyDescent="0.35">
      <c r="A66" s="231" t="s">
        <v>2254</v>
      </c>
      <c r="B66" s="231" t="s">
        <v>2255</v>
      </c>
      <c r="C66" s="231" t="s">
        <v>43</v>
      </c>
      <c r="D66" s="232">
        <v>317914.04751247499</v>
      </c>
      <c r="E66" s="231" t="s">
        <v>3009</v>
      </c>
      <c r="F66" s="231" t="s">
        <v>1122</v>
      </c>
    </row>
    <row r="67" spans="1:6" ht="14.25" customHeight="1" x14ac:dyDescent="0.35">
      <c r="A67" s="231" t="s">
        <v>2256</v>
      </c>
      <c r="B67" s="231" t="s">
        <v>2257</v>
      </c>
      <c r="C67" s="231" t="s">
        <v>43</v>
      </c>
      <c r="D67" s="232">
        <v>281633.96217538603</v>
      </c>
      <c r="E67" s="231" t="s">
        <v>3009</v>
      </c>
      <c r="F67" s="231" t="s">
        <v>1124</v>
      </c>
    </row>
    <row r="68" spans="1:6" ht="14.25" customHeight="1" x14ac:dyDescent="0.35">
      <c r="A68" s="231" t="s">
        <v>2258</v>
      </c>
      <c r="B68" s="231" t="s">
        <v>2259</v>
      </c>
      <c r="C68" s="231" t="s">
        <v>43</v>
      </c>
      <c r="D68" s="232">
        <v>221790.794932641</v>
      </c>
      <c r="E68" s="231" t="s">
        <v>3009</v>
      </c>
      <c r="F68" s="231" t="s">
        <v>1126</v>
      </c>
    </row>
    <row r="69" spans="1:6" ht="14.25" customHeight="1" x14ac:dyDescent="0.35">
      <c r="A69" s="231" t="s">
        <v>2260</v>
      </c>
      <c r="B69" s="231" t="s">
        <v>2261</v>
      </c>
      <c r="C69" s="231" t="s">
        <v>43</v>
      </c>
      <c r="D69" s="232">
        <v>277238.49366580101</v>
      </c>
      <c r="E69" s="231" t="s">
        <v>3009</v>
      </c>
      <c r="F69" s="231" t="s">
        <v>1129</v>
      </c>
    </row>
    <row r="70" spans="1:6" ht="14.25" customHeight="1" x14ac:dyDescent="0.35">
      <c r="A70" s="231" t="s">
        <v>2262</v>
      </c>
      <c r="B70" s="231" t="s">
        <v>2263</v>
      </c>
      <c r="C70" s="231" t="s">
        <v>43</v>
      </c>
      <c r="D70" s="232">
        <v>537036.80674123298</v>
      </c>
      <c r="E70" s="231" t="s">
        <v>3009</v>
      </c>
      <c r="F70" s="231" t="s">
        <v>1131</v>
      </c>
    </row>
    <row r="71" spans="1:6" ht="14.25" customHeight="1" x14ac:dyDescent="0.35">
      <c r="A71" s="231" t="s">
        <v>2264</v>
      </c>
      <c r="B71" s="231" t="s">
        <v>2265</v>
      </c>
      <c r="C71" s="231" t="s">
        <v>43</v>
      </c>
      <c r="D71" s="232">
        <v>671296.008426541</v>
      </c>
      <c r="E71" s="231" t="s">
        <v>3009</v>
      </c>
      <c r="F71" s="231" t="s">
        <v>1134</v>
      </c>
    </row>
    <row r="72" spans="1:6" ht="14.25" customHeight="1" x14ac:dyDescent="0.35">
      <c r="A72" s="231" t="s">
        <v>2266</v>
      </c>
      <c r="B72" s="231" t="s">
        <v>2267</v>
      </c>
      <c r="C72" s="231" t="s">
        <v>43</v>
      </c>
      <c r="D72" s="232">
        <v>357640.8998745</v>
      </c>
      <c r="E72" s="231" t="s">
        <v>3009</v>
      </c>
      <c r="F72" s="231" t="s">
        <v>1136</v>
      </c>
    </row>
    <row r="73" spans="1:6" ht="14.25" customHeight="1" x14ac:dyDescent="0.35">
      <c r="A73" s="231" t="s">
        <v>2268</v>
      </c>
      <c r="B73" s="231" t="s">
        <v>2269</v>
      </c>
      <c r="C73" s="231" t="s">
        <v>43</v>
      </c>
      <c r="D73" s="232">
        <v>317914.04751247499</v>
      </c>
      <c r="E73" s="231" t="s">
        <v>3009</v>
      </c>
      <c r="F73" s="231" t="s">
        <v>1138</v>
      </c>
    </row>
    <row r="74" spans="1:6" ht="14.25" customHeight="1" x14ac:dyDescent="0.35">
      <c r="A74" s="231" t="s">
        <v>2270</v>
      </c>
      <c r="B74" s="231" t="s">
        <v>2271</v>
      </c>
      <c r="C74" s="231" t="s">
        <v>43</v>
      </c>
      <c r="D74" s="232">
        <v>397392.55939059303</v>
      </c>
      <c r="E74" s="231" t="s">
        <v>3009</v>
      </c>
      <c r="F74" s="231" t="s">
        <v>1140</v>
      </c>
    </row>
    <row r="75" spans="1:6" ht="14.25" customHeight="1" x14ac:dyDescent="0.35">
      <c r="A75" s="231" t="s">
        <v>2272</v>
      </c>
      <c r="B75" s="231" t="s">
        <v>2273</v>
      </c>
      <c r="C75" s="231" t="s">
        <v>43</v>
      </c>
      <c r="D75" s="232">
        <v>405530.54369979398</v>
      </c>
      <c r="E75" s="231" t="s">
        <v>3009</v>
      </c>
      <c r="F75" s="231" t="s">
        <v>1142</v>
      </c>
    </row>
    <row r="76" spans="1:6" ht="14.25" customHeight="1" x14ac:dyDescent="0.35">
      <c r="A76" s="231" t="s">
        <v>2274</v>
      </c>
      <c r="B76" s="231" t="s">
        <v>2275</v>
      </c>
      <c r="C76" s="231" t="s">
        <v>43</v>
      </c>
      <c r="D76" s="232">
        <v>357640.8998745</v>
      </c>
      <c r="E76" s="231" t="s">
        <v>3009</v>
      </c>
      <c r="F76" s="231" t="s">
        <v>1144</v>
      </c>
    </row>
    <row r="77" spans="1:6" ht="14.25" customHeight="1" x14ac:dyDescent="0.35">
      <c r="A77" s="231" t="s">
        <v>2276</v>
      </c>
      <c r="B77" s="231" t="s">
        <v>2277</v>
      </c>
      <c r="C77" s="231" t="s">
        <v>53</v>
      </c>
      <c r="D77" s="232">
        <v>228712</v>
      </c>
      <c r="E77" s="231" t="s">
        <v>3005</v>
      </c>
      <c r="F77" s="231" t="s">
        <v>2278</v>
      </c>
    </row>
    <row r="78" spans="1:6" ht="14.25" customHeight="1" x14ac:dyDescent="0.35">
      <c r="A78" s="231" t="s">
        <v>2279</v>
      </c>
      <c r="B78" s="231" t="s">
        <v>2280</v>
      </c>
      <c r="C78" s="231" t="s">
        <v>24</v>
      </c>
      <c r="D78" s="232">
        <v>1829911.58844288</v>
      </c>
      <c r="E78" s="231" t="s">
        <v>3006</v>
      </c>
      <c r="F78" s="231" t="s">
        <v>2281</v>
      </c>
    </row>
    <row r="79" spans="1:6" ht="14.25" customHeight="1" x14ac:dyDescent="0.35">
      <c r="A79" s="231" t="s">
        <v>2282</v>
      </c>
      <c r="B79" s="231" t="s">
        <v>1337</v>
      </c>
      <c r="C79" s="231" t="s">
        <v>92</v>
      </c>
      <c r="D79" s="232">
        <v>11651.218312086001</v>
      </c>
      <c r="E79" s="231" t="s">
        <v>669</v>
      </c>
      <c r="F79" s="231" t="s">
        <v>2283</v>
      </c>
    </row>
    <row r="80" spans="1:6" ht="14.25" customHeight="1" x14ac:dyDescent="0.35">
      <c r="A80" s="231" t="s">
        <v>2284</v>
      </c>
      <c r="B80" s="231" t="s">
        <v>2285</v>
      </c>
      <c r="C80" s="231" t="s">
        <v>28</v>
      </c>
      <c r="D80" s="232">
        <v>12499.4731571067</v>
      </c>
      <c r="E80" s="231" t="s">
        <v>669</v>
      </c>
      <c r="F80" s="231" t="s">
        <v>2286</v>
      </c>
    </row>
    <row r="81" spans="1:6" ht="14.25" customHeight="1" x14ac:dyDescent="0.35">
      <c r="A81" s="231" t="s">
        <v>2287</v>
      </c>
      <c r="B81" s="231" t="s">
        <v>1200</v>
      </c>
      <c r="C81" s="231" t="s">
        <v>53</v>
      </c>
      <c r="D81" s="232">
        <v>12499.4731571067</v>
      </c>
      <c r="E81" s="231" t="s">
        <v>669</v>
      </c>
      <c r="F81" s="231" t="s">
        <v>2288</v>
      </c>
    </row>
    <row r="82" spans="1:6" ht="14.25" customHeight="1" x14ac:dyDescent="0.35">
      <c r="A82" s="231" t="s">
        <v>2289</v>
      </c>
      <c r="B82" s="231" t="s">
        <v>2290</v>
      </c>
      <c r="C82" s="231" t="s">
        <v>1237</v>
      </c>
      <c r="D82" s="232">
        <v>1500</v>
      </c>
      <c r="E82" s="231" t="s">
        <v>3007</v>
      </c>
      <c r="F82" s="231" t="s">
        <v>2291</v>
      </c>
    </row>
    <row r="83" spans="1:6" ht="14.25" customHeight="1" x14ac:dyDescent="0.35">
      <c r="A83" s="231" t="s">
        <v>2292</v>
      </c>
      <c r="B83" s="231" t="s">
        <v>2293</v>
      </c>
      <c r="C83" s="231" t="s">
        <v>92</v>
      </c>
      <c r="D83" s="232">
        <v>12863.339870530501</v>
      </c>
      <c r="E83" s="231" t="s">
        <v>3007</v>
      </c>
      <c r="F83" s="231" t="s">
        <v>1241</v>
      </c>
    </row>
    <row r="84" spans="1:6" ht="14.25" customHeight="1" x14ac:dyDescent="0.35">
      <c r="A84" s="231" t="s">
        <v>2294</v>
      </c>
      <c r="B84" s="231" t="s">
        <v>2295</v>
      </c>
      <c r="C84" s="231" t="s">
        <v>28</v>
      </c>
      <c r="D84" s="232">
        <v>12499.4731571067</v>
      </c>
      <c r="E84" s="231" t="s">
        <v>669</v>
      </c>
      <c r="F84" s="231" t="s">
        <v>2281</v>
      </c>
    </row>
    <row r="85" spans="1:6" ht="14.25" customHeight="1" x14ac:dyDescent="0.35">
      <c r="A85" s="231" t="s">
        <v>2296</v>
      </c>
      <c r="B85" s="231" t="s">
        <v>2297</v>
      </c>
      <c r="C85" s="231" t="s">
        <v>92</v>
      </c>
      <c r="D85" s="232">
        <v>14504.129532884899</v>
      </c>
      <c r="E85" s="231" t="s">
        <v>800</v>
      </c>
      <c r="F85" s="231" t="s">
        <v>1258</v>
      </c>
    </row>
    <row r="86" spans="1:6" ht="14.25" customHeight="1" x14ac:dyDescent="0.35">
      <c r="A86" s="231" t="s">
        <v>2298</v>
      </c>
      <c r="B86" s="231" t="s">
        <v>2299</v>
      </c>
      <c r="C86" s="231" t="s">
        <v>92</v>
      </c>
      <c r="D86" s="232">
        <v>9614.97935162053</v>
      </c>
      <c r="E86" s="231" t="s">
        <v>669</v>
      </c>
      <c r="F86" s="231" t="s">
        <v>2281</v>
      </c>
    </row>
    <row r="87" spans="1:6" ht="14.25" customHeight="1" x14ac:dyDescent="0.35">
      <c r="A87" s="231" t="s">
        <v>2300</v>
      </c>
      <c r="B87" s="231" t="s">
        <v>2301</v>
      </c>
      <c r="C87" s="231" t="s">
        <v>92</v>
      </c>
      <c r="D87" s="232">
        <v>13460.971092268701</v>
      </c>
      <c r="E87" s="231" t="s">
        <v>669</v>
      </c>
      <c r="F87" s="231" t="s">
        <v>2281</v>
      </c>
    </row>
    <row r="88" spans="1:6" ht="14.25" customHeight="1" x14ac:dyDescent="0.35">
      <c r="A88" s="231" t="s">
        <v>2302</v>
      </c>
      <c r="B88" s="231" t="s">
        <v>1236</v>
      </c>
      <c r="C88" s="231" t="s">
        <v>92</v>
      </c>
      <c r="D88" s="232">
        <v>10981.3720244489</v>
      </c>
      <c r="E88" s="231" t="s">
        <v>800</v>
      </c>
      <c r="F88" s="231" t="s">
        <v>2303</v>
      </c>
    </row>
    <row r="89" spans="1:6" ht="14.25" customHeight="1" x14ac:dyDescent="0.35">
      <c r="A89" s="231" t="s">
        <v>2304</v>
      </c>
      <c r="B89" s="231" t="s">
        <v>2305</v>
      </c>
      <c r="C89" s="231" t="s">
        <v>92</v>
      </c>
      <c r="D89" s="232">
        <v>10981.3720244489</v>
      </c>
      <c r="E89" s="231" t="s">
        <v>800</v>
      </c>
      <c r="F89" s="231" t="s">
        <v>2306</v>
      </c>
    </row>
    <row r="90" spans="1:6" ht="14.25" customHeight="1" x14ac:dyDescent="0.35">
      <c r="A90" s="231" t="s">
        <v>2307</v>
      </c>
      <c r="B90" s="231" t="s">
        <v>2308</v>
      </c>
      <c r="C90" s="231" t="s">
        <v>53</v>
      </c>
      <c r="D90" s="232">
        <v>349202.7</v>
      </c>
      <c r="E90" s="231" t="s">
        <v>3002</v>
      </c>
      <c r="F90" s="231" t="s">
        <v>2281</v>
      </c>
    </row>
    <row r="91" spans="1:6" ht="14.25" customHeight="1" x14ac:dyDescent="0.35">
      <c r="A91" s="231" t="s">
        <v>2309</v>
      </c>
      <c r="B91" s="231" t="s">
        <v>2310</v>
      </c>
      <c r="C91" s="231" t="s">
        <v>53</v>
      </c>
      <c r="D91" s="232">
        <v>232812.45</v>
      </c>
      <c r="E91" s="231" t="s">
        <v>3002</v>
      </c>
      <c r="F91" s="231" t="s">
        <v>2281</v>
      </c>
    </row>
    <row r="92" spans="1:6" ht="14.25" customHeight="1" x14ac:dyDescent="0.35">
      <c r="A92" s="231" t="s">
        <v>2311</v>
      </c>
      <c r="B92" s="231" t="s">
        <v>2312</v>
      </c>
      <c r="C92" s="231" t="s">
        <v>53</v>
      </c>
      <c r="D92" s="232">
        <v>232812.45</v>
      </c>
      <c r="E92" s="231" t="s">
        <v>3002</v>
      </c>
      <c r="F92" s="231" t="s">
        <v>2281</v>
      </c>
    </row>
    <row r="93" spans="1:6" ht="14.25" customHeight="1" x14ac:dyDescent="0.35">
      <c r="A93" s="231" t="s">
        <v>2313</v>
      </c>
      <c r="B93" s="231" t="s">
        <v>2314</v>
      </c>
      <c r="C93" s="231" t="s">
        <v>53</v>
      </c>
      <c r="D93" s="232">
        <v>232812.45</v>
      </c>
      <c r="E93" s="231" t="s">
        <v>3002</v>
      </c>
      <c r="F93" s="231" t="s">
        <v>2281</v>
      </c>
    </row>
    <row r="94" spans="1:6" ht="14.25" customHeight="1" x14ac:dyDescent="0.35">
      <c r="A94" s="231" t="s">
        <v>2315</v>
      </c>
      <c r="B94" s="231" t="s">
        <v>2316</v>
      </c>
      <c r="C94" s="231" t="s">
        <v>53</v>
      </c>
      <c r="D94" s="232">
        <v>11816</v>
      </c>
      <c r="E94" s="231" t="s">
        <v>3002</v>
      </c>
      <c r="F94" s="231" t="s">
        <v>2281</v>
      </c>
    </row>
    <row r="95" spans="1:6" ht="14.25" customHeight="1" x14ac:dyDescent="0.35">
      <c r="A95" s="231" t="s">
        <v>2317</v>
      </c>
      <c r="B95" s="231" t="s">
        <v>2318</v>
      </c>
      <c r="C95" s="231" t="s">
        <v>53</v>
      </c>
      <c r="D95" s="232">
        <v>7700</v>
      </c>
      <c r="E95" s="231" t="s">
        <v>3002</v>
      </c>
      <c r="F95" s="231" t="s">
        <v>2281</v>
      </c>
    </row>
    <row r="96" spans="1:6" ht="14.25" customHeight="1" x14ac:dyDescent="0.35">
      <c r="A96" s="231" t="s">
        <v>2319</v>
      </c>
      <c r="B96" s="231" t="s">
        <v>2320</v>
      </c>
      <c r="C96" s="231" t="s">
        <v>53</v>
      </c>
      <c r="D96" s="232">
        <v>7700</v>
      </c>
      <c r="E96" s="231" t="s">
        <v>3002</v>
      </c>
      <c r="F96" s="231" t="s">
        <v>2281</v>
      </c>
    </row>
    <row r="97" spans="1:6" ht="14.25" customHeight="1" x14ac:dyDescent="0.35">
      <c r="A97" s="231" t="s">
        <v>2321</v>
      </c>
      <c r="B97" s="231" t="s">
        <v>2322</v>
      </c>
      <c r="C97" s="231" t="s">
        <v>53</v>
      </c>
      <c r="D97" s="232">
        <v>18760</v>
      </c>
      <c r="E97" s="231" t="s">
        <v>3002</v>
      </c>
      <c r="F97" s="231" t="s">
        <v>2281</v>
      </c>
    </row>
    <row r="98" spans="1:6" ht="14.25" customHeight="1" x14ac:dyDescent="0.35">
      <c r="A98" s="231" t="s">
        <v>2323</v>
      </c>
      <c r="B98" s="231" t="s">
        <v>2324</v>
      </c>
      <c r="C98" s="231" t="s">
        <v>53</v>
      </c>
      <c r="D98" s="232">
        <v>68810</v>
      </c>
      <c r="E98" s="231" t="s">
        <v>3002</v>
      </c>
      <c r="F98" s="231" t="s">
        <v>2281</v>
      </c>
    </row>
    <row r="99" spans="1:6" ht="14.25" customHeight="1" x14ac:dyDescent="0.35">
      <c r="A99" s="231" t="s">
        <v>2325</v>
      </c>
      <c r="B99" s="231" t="s">
        <v>2326</v>
      </c>
      <c r="C99" s="231" t="s">
        <v>53</v>
      </c>
      <c r="D99" s="232">
        <v>18760</v>
      </c>
      <c r="E99" s="231" t="s">
        <v>3002</v>
      </c>
      <c r="F99" s="231" t="s">
        <v>2281</v>
      </c>
    </row>
    <row r="100" spans="1:6" ht="14.25" customHeight="1" x14ac:dyDescent="0.35">
      <c r="A100" s="231" t="s">
        <v>2327</v>
      </c>
      <c r="B100" s="231" t="s">
        <v>2328</v>
      </c>
      <c r="C100" s="231" t="s">
        <v>53</v>
      </c>
      <c r="D100" s="232">
        <v>18760</v>
      </c>
      <c r="E100" s="231" t="s">
        <v>3002</v>
      </c>
      <c r="F100" s="231" t="s">
        <v>2281</v>
      </c>
    </row>
    <row r="101" spans="1:6" ht="14.25" customHeight="1" x14ac:dyDescent="0.35">
      <c r="A101" s="231" t="s">
        <v>2329</v>
      </c>
      <c r="B101" s="231" t="s">
        <v>2330</v>
      </c>
      <c r="C101" s="231" t="s">
        <v>53</v>
      </c>
      <c r="D101" s="232">
        <v>11816</v>
      </c>
      <c r="E101" s="231" t="s">
        <v>3002</v>
      </c>
      <c r="F101" s="231" t="s">
        <v>2281</v>
      </c>
    </row>
    <row r="102" spans="1:6" ht="14.25" customHeight="1" x14ac:dyDescent="0.35">
      <c r="A102" s="231" t="s">
        <v>2331</v>
      </c>
      <c r="B102" s="231" t="s">
        <v>2332</v>
      </c>
      <c r="C102" s="231" t="s">
        <v>53</v>
      </c>
      <c r="D102" s="232">
        <v>344928.5</v>
      </c>
      <c r="E102" s="231" t="s">
        <v>3002</v>
      </c>
      <c r="F102" s="231" t="s">
        <v>2333</v>
      </c>
    </row>
    <row r="103" spans="1:6" ht="14.25" customHeight="1" x14ac:dyDescent="0.35">
      <c r="A103" s="231" t="s">
        <v>2334</v>
      </c>
      <c r="B103" s="231" t="s">
        <v>2335</v>
      </c>
      <c r="C103" s="231" t="s">
        <v>53</v>
      </c>
      <c r="D103" s="232">
        <v>92822.1</v>
      </c>
      <c r="E103" s="231" t="s">
        <v>3002</v>
      </c>
      <c r="F103" s="231" t="s">
        <v>2333</v>
      </c>
    </row>
    <row r="104" spans="1:6" ht="14.25" customHeight="1" x14ac:dyDescent="0.35">
      <c r="A104" s="231" t="s">
        <v>2336</v>
      </c>
      <c r="B104" s="231" t="s">
        <v>2337</v>
      </c>
      <c r="C104" s="231" t="s">
        <v>53</v>
      </c>
      <c r="D104" s="232">
        <v>64652.7</v>
      </c>
      <c r="E104" s="231" t="s">
        <v>3002</v>
      </c>
      <c r="F104" s="231" t="s">
        <v>2338</v>
      </c>
    </row>
    <row r="105" spans="1:6" ht="14.25" customHeight="1" x14ac:dyDescent="0.35">
      <c r="A105" s="231" t="s">
        <v>2339</v>
      </c>
      <c r="B105" s="231" t="s">
        <v>2340</v>
      </c>
      <c r="C105" s="231" t="s">
        <v>24</v>
      </c>
      <c r="D105" s="232">
        <v>107023.598877166</v>
      </c>
      <c r="E105" s="231" t="s">
        <v>3001</v>
      </c>
      <c r="F105" s="231" t="s">
        <v>2281</v>
      </c>
    </row>
    <row r="106" spans="1:6" ht="14.25" customHeight="1" x14ac:dyDescent="0.35">
      <c r="A106" s="231" t="s">
        <v>2341</v>
      </c>
      <c r="B106" s="231" t="s">
        <v>2342</v>
      </c>
      <c r="C106" s="231" t="s">
        <v>24</v>
      </c>
      <c r="D106" s="232">
        <v>2820732.3578660199</v>
      </c>
      <c r="E106" s="231" t="s">
        <v>1059</v>
      </c>
      <c r="F106" s="231" t="s">
        <v>1285</v>
      </c>
    </row>
    <row r="107" spans="1:6" ht="14.25" customHeight="1" x14ac:dyDescent="0.35">
      <c r="A107" s="231" t="s">
        <v>2343</v>
      </c>
      <c r="B107" s="231" t="s">
        <v>2344</v>
      </c>
      <c r="C107" s="231" t="s">
        <v>24</v>
      </c>
      <c r="D107" s="232">
        <v>4231098.5367990304</v>
      </c>
      <c r="E107" s="231" t="s">
        <v>1059</v>
      </c>
      <c r="F107" s="231" t="s">
        <v>1285</v>
      </c>
    </row>
    <row r="108" spans="1:6" ht="14.25" customHeight="1" x14ac:dyDescent="0.35">
      <c r="A108" s="231" t="s">
        <v>2345</v>
      </c>
      <c r="B108" s="231" t="s">
        <v>2346</v>
      </c>
      <c r="C108" s="231" t="s">
        <v>24</v>
      </c>
      <c r="D108" s="232">
        <v>2350610.2982216901</v>
      </c>
      <c r="E108" s="231" t="s">
        <v>1059</v>
      </c>
      <c r="F108" s="231" t="s">
        <v>1285</v>
      </c>
    </row>
    <row r="109" spans="1:6" ht="14.25" customHeight="1" x14ac:dyDescent="0.35">
      <c r="A109" s="231" t="s">
        <v>2347</v>
      </c>
      <c r="B109" s="231" t="s">
        <v>2348</v>
      </c>
      <c r="C109" s="231" t="s">
        <v>24</v>
      </c>
      <c r="D109" s="232">
        <v>1096951.47250345</v>
      </c>
      <c r="E109" s="231" t="s">
        <v>1059</v>
      </c>
      <c r="F109" s="231" t="s">
        <v>1285</v>
      </c>
    </row>
    <row r="110" spans="1:6" ht="14.25" customHeight="1" x14ac:dyDescent="0.35">
      <c r="A110" s="231" t="s">
        <v>2349</v>
      </c>
      <c r="B110" s="231" t="s">
        <v>2350</v>
      </c>
      <c r="C110" s="231" t="s">
        <v>24</v>
      </c>
      <c r="D110" s="232">
        <v>1567073.5321477901</v>
      </c>
      <c r="E110" s="231" t="s">
        <v>1059</v>
      </c>
      <c r="F110" s="231" t="s">
        <v>1285</v>
      </c>
    </row>
    <row r="111" spans="1:6" ht="14.25" customHeight="1" x14ac:dyDescent="0.35">
      <c r="A111" s="231" t="s">
        <v>2351</v>
      </c>
      <c r="B111" s="231" t="s">
        <v>2352</v>
      </c>
      <c r="C111" s="231" t="s">
        <v>24</v>
      </c>
      <c r="D111" s="232">
        <v>470122.05964433699</v>
      </c>
      <c r="E111" s="231" t="s">
        <v>1059</v>
      </c>
      <c r="F111" s="231" t="s">
        <v>1285</v>
      </c>
    </row>
    <row r="112" spans="1:6" ht="14.25" customHeight="1" x14ac:dyDescent="0.35">
      <c r="A112" s="231" t="s">
        <v>2353</v>
      </c>
      <c r="B112" s="231" t="s">
        <v>2354</v>
      </c>
      <c r="C112" s="231" t="s">
        <v>24</v>
      </c>
      <c r="D112" s="232">
        <v>1519457.57657935</v>
      </c>
      <c r="E112" s="231" t="s">
        <v>1059</v>
      </c>
      <c r="F112" s="231" t="s">
        <v>1298</v>
      </c>
    </row>
    <row r="113" spans="1:6" ht="14.25" customHeight="1" x14ac:dyDescent="0.35">
      <c r="A113" s="231" t="s">
        <v>2355</v>
      </c>
      <c r="B113" s="231" t="s">
        <v>2356</v>
      </c>
      <c r="C113" s="231" t="s">
        <v>24</v>
      </c>
      <c r="D113" s="232">
        <v>1519457.57657935</v>
      </c>
      <c r="E113" s="231" t="s">
        <v>1059</v>
      </c>
      <c r="F113" s="231" t="s">
        <v>1298</v>
      </c>
    </row>
    <row r="114" spans="1:6" ht="14.25" customHeight="1" x14ac:dyDescent="0.35">
      <c r="A114" s="231" t="s">
        <v>2357</v>
      </c>
      <c r="B114" s="231" t="s">
        <v>2358</v>
      </c>
      <c r="C114" s="231" t="s">
        <v>24</v>
      </c>
      <c r="D114" s="232">
        <v>1519457.57657935</v>
      </c>
      <c r="E114" s="231" t="s">
        <v>1059</v>
      </c>
      <c r="F114" s="231" t="s">
        <v>1298</v>
      </c>
    </row>
    <row r="115" spans="1:6" ht="14.25" customHeight="1" x14ac:dyDescent="0.35">
      <c r="A115" s="231" t="s">
        <v>2359</v>
      </c>
      <c r="B115" s="231" t="s">
        <v>2360</v>
      </c>
      <c r="C115" s="231" t="s">
        <v>24</v>
      </c>
      <c r="D115" s="232">
        <v>10636203.036055399</v>
      </c>
      <c r="E115" s="231" t="s">
        <v>1059</v>
      </c>
      <c r="F115" s="231" t="s">
        <v>1298</v>
      </c>
    </row>
    <row r="116" spans="1:6" ht="14.25" customHeight="1" x14ac:dyDescent="0.35">
      <c r="A116" s="231" t="s">
        <v>2361</v>
      </c>
      <c r="B116" s="231" t="s">
        <v>2362</v>
      </c>
      <c r="C116" s="231" t="s">
        <v>24</v>
      </c>
      <c r="D116" s="232">
        <v>2577248.88227659</v>
      </c>
      <c r="E116" s="231" t="s">
        <v>1059</v>
      </c>
      <c r="F116" s="231" t="s">
        <v>1298</v>
      </c>
    </row>
    <row r="117" spans="1:6" ht="14.25" customHeight="1" x14ac:dyDescent="0.35">
      <c r="A117" s="231" t="s">
        <v>2363</v>
      </c>
      <c r="B117" s="231" t="s">
        <v>2364</v>
      </c>
      <c r="C117" s="231" t="s">
        <v>24</v>
      </c>
      <c r="D117" s="232">
        <v>1500000</v>
      </c>
      <c r="E117" s="231" t="s">
        <v>3000</v>
      </c>
      <c r="F117" s="231" t="s">
        <v>1308</v>
      </c>
    </row>
    <row r="118" spans="1:6" ht="14.25" customHeight="1" x14ac:dyDescent="0.35">
      <c r="A118" s="231" t="s">
        <v>2365</v>
      </c>
      <c r="B118" s="231" t="s">
        <v>2366</v>
      </c>
      <c r="C118" s="231" t="s">
        <v>24</v>
      </c>
      <c r="D118" s="232">
        <v>19750412.0247702</v>
      </c>
      <c r="E118" s="231" t="s">
        <v>3003</v>
      </c>
      <c r="F118" s="231" t="s">
        <v>2281</v>
      </c>
    </row>
    <row r="119" spans="1:6" ht="14.25" customHeight="1" x14ac:dyDescent="0.35">
      <c r="A119" s="231" t="s">
        <v>2367</v>
      </c>
      <c r="B119" s="231" t="s">
        <v>2368</v>
      </c>
      <c r="C119" s="231" t="s">
        <v>24</v>
      </c>
      <c r="D119" s="232">
        <v>2194490.2249744702</v>
      </c>
      <c r="E119" s="231" t="s">
        <v>3003</v>
      </c>
      <c r="F119" s="231" t="s">
        <v>2281</v>
      </c>
    </row>
    <row r="120" spans="1:6" ht="14.25" customHeight="1" x14ac:dyDescent="0.35">
      <c r="A120" s="231" t="s">
        <v>2369</v>
      </c>
      <c r="B120" s="231" t="s">
        <v>2370</v>
      </c>
      <c r="C120" s="231" t="s">
        <v>53</v>
      </c>
      <c r="D120" s="232">
        <v>30000</v>
      </c>
      <c r="E120" s="231" t="s">
        <v>1322</v>
      </c>
      <c r="F120" s="231" t="s">
        <v>1324</v>
      </c>
    </row>
    <row r="121" spans="1:6" ht="14.25" customHeight="1" x14ac:dyDescent="0.35">
      <c r="A121" s="231" t="s">
        <v>2371</v>
      </c>
      <c r="B121" s="231" t="s">
        <v>2372</v>
      </c>
      <c r="C121" s="231" t="s">
        <v>24</v>
      </c>
      <c r="D121" s="232">
        <v>19238.769926642999</v>
      </c>
      <c r="E121" s="231" t="s">
        <v>1322</v>
      </c>
      <c r="F121" s="231" t="s">
        <v>1326</v>
      </c>
    </row>
    <row r="122" spans="1:6" ht="14.25" customHeight="1" x14ac:dyDescent="0.35">
      <c r="A122" s="231" t="s">
        <v>2373</v>
      </c>
      <c r="B122" s="231" t="s">
        <v>2374</v>
      </c>
      <c r="C122" s="231" t="s">
        <v>24</v>
      </c>
      <c r="D122" s="232">
        <v>3510000</v>
      </c>
      <c r="E122" s="231" t="s">
        <v>1322</v>
      </c>
      <c r="F122" s="231" t="s">
        <v>2375</v>
      </c>
    </row>
    <row r="123" spans="1:6" ht="14.25" customHeight="1" x14ac:dyDescent="0.35">
      <c r="A123" s="231" t="s">
        <v>2376</v>
      </c>
      <c r="B123" s="231" t="s">
        <v>2377</v>
      </c>
      <c r="C123" s="231" t="s">
        <v>53</v>
      </c>
      <c r="D123" s="232">
        <v>68810</v>
      </c>
      <c r="E123" s="231" t="s">
        <v>3007</v>
      </c>
      <c r="F123" s="231" t="s">
        <v>2281</v>
      </c>
    </row>
    <row r="124" spans="1:6" ht="14.25" customHeight="1" x14ac:dyDescent="0.35">
      <c r="A124" s="231" t="s">
        <v>2378</v>
      </c>
      <c r="B124" s="231" t="s">
        <v>2379</v>
      </c>
      <c r="C124" s="231" t="s">
        <v>53</v>
      </c>
      <c r="D124" s="232">
        <v>68810</v>
      </c>
      <c r="E124" s="231" t="s">
        <v>3007</v>
      </c>
      <c r="F124" s="231" t="s">
        <v>2281</v>
      </c>
    </row>
    <row r="125" spans="1:6" ht="14.25" customHeight="1" x14ac:dyDescent="0.35">
      <c r="A125" s="231" t="s">
        <v>2380</v>
      </c>
      <c r="B125" s="231" t="s">
        <v>2381</v>
      </c>
      <c r="C125" s="231" t="s">
        <v>33</v>
      </c>
      <c r="D125" s="232">
        <v>730326.96931886405</v>
      </c>
      <c r="E125" s="231" t="s">
        <v>3010</v>
      </c>
      <c r="F125" s="231" t="s">
        <v>2382</v>
      </c>
    </row>
    <row r="126" spans="1:6" ht="14.25" customHeight="1" x14ac:dyDescent="0.35">
      <c r="A126" s="231" t="s">
        <v>2383</v>
      </c>
      <c r="B126" s="231" t="s">
        <v>2384</v>
      </c>
      <c r="C126" s="231" t="s">
        <v>33</v>
      </c>
      <c r="D126" s="232">
        <v>1504670.291</v>
      </c>
      <c r="E126" s="231" t="s">
        <v>3010</v>
      </c>
      <c r="F126" s="231" t="s">
        <v>2385</v>
      </c>
    </row>
    <row r="127" spans="1:6" ht="14.25" customHeight="1" x14ac:dyDescent="0.35">
      <c r="A127" s="231" t="s">
        <v>2386</v>
      </c>
      <c r="B127" s="231" t="s">
        <v>2387</v>
      </c>
      <c r="C127" s="231" t="s">
        <v>33</v>
      </c>
      <c r="D127" s="232">
        <v>150000</v>
      </c>
      <c r="E127" s="231" t="s">
        <v>3010</v>
      </c>
      <c r="F127" s="231" t="s">
        <v>2388</v>
      </c>
    </row>
    <row r="128" spans="1:6" ht="14.25" customHeight="1" x14ac:dyDescent="0.35">
      <c r="A128" s="231" t="s">
        <v>2389</v>
      </c>
      <c r="B128" s="231" t="s">
        <v>2390</v>
      </c>
      <c r="C128" s="231" t="s">
        <v>33</v>
      </c>
      <c r="D128" s="232">
        <v>300000</v>
      </c>
      <c r="E128" s="231" t="s">
        <v>3010</v>
      </c>
      <c r="F128" s="231" t="s">
        <v>2391</v>
      </c>
    </row>
    <row r="129" spans="1:6" ht="14.25" customHeight="1" x14ac:dyDescent="0.35">
      <c r="A129" s="231" t="s">
        <v>2392</v>
      </c>
      <c r="B129" s="231" t="s">
        <v>2393</v>
      </c>
      <c r="C129" s="231" t="s">
        <v>33</v>
      </c>
      <c r="D129" s="232">
        <v>60860.580776572002</v>
      </c>
      <c r="E129" s="231" t="s">
        <v>3010</v>
      </c>
      <c r="F129" s="231" t="s">
        <v>2394</v>
      </c>
    </row>
    <row r="130" spans="1:6" ht="14.25" customHeight="1" x14ac:dyDescent="0.35">
      <c r="A130" s="231" t="s">
        <v>2395</v>
      </c>
      <c r="B130" s="231" t="s">
        <v>2396</v>
      </c>
      <c r="C130" s="231" t="s">
        <v>33</v>
      </c>
      <c r="D130" s="232">
        <v>4372210.5820000004</v>
      </c>
      <c r="E130" s="231" t="s">
        <v>3010</v>
      </c>
      <c r="F130" s="231" t="s">
        <v>2397</v>
      </c>
    </row>
    <row r="131" spans="1:6" ht="14.25" customHeight="1" x14ac:dyDescent="0.35">
      <c r="A131" s="231" t="s">
        <v>2398</v>
      </c>
      <c r="B131" s="231" t="s">
        <v>2399</v>
      </c>
      <c r="C131" s="231" t="s">
        <v>33</v>
      </c>
      <c r="D131" s="232">
        <v>500000</v>
      </c>
      <c r="E131" s="231" t="s">
        <v>3010</v>
      </c>
      <c r="F131" s="231" t="s">
        <v>2400</v>
      </c>
    </row>
    <row r="132" spans="1:6" ht="14.25" customHeight="1" x14ac:dyDescent="0.35">
      <c r="A132" s="231" t="s">
        <v>2401</v>
      </c>
      <c r="B132" s="231" t="s">
        <v>1678</v>
      </c>
      <c r="C132" s="231" t="s">
        <v>24</v>
      </c>
      <c r="D132" s="232">
        <v>79748.530293941207</v>
      </c>
      <c r="E132" s="231" t="s">
        <v>3007</v>
      </c>
      <c r="F132" s="231" t="s">
        <v>2402</v>
      </c>
    </row>
    <row r="133" spans="1:6" ht="14.25" customHeight="1" x14ac:dyDescent="0.35">
      <c r="A133" s="231" t="s">
        <v>2403</v>
      </c>
      <c r="B133" s="231" t="s">
        <v>1681</v>
      </c>
      <c r="C133" s="231" t="s">
        <v>24</v>
      </c>
      <c r="D133" s="232">
        <v>13291.421715656899</v>
      </c>
      <c r="E133" s="231" t="s">
        <v>3007</v>
      </c>
      <c r="F133" s="231" t="s">
        <v>2404</v>
      </c>
    </row>
    <row r="134" spans="1:6" ht="14.25" customHeight="1" x14ac:dyDescent="0.35">
      <c r="A134" s="231" t="s">
        <v>2405</v>
      </c>
      <c r="B134" s="231" t="s">
        <v>2406</v>
      </c>
      <c r="C134" s="231" t="s">
        <v>92</v>
      </c>
      <c r="D134" s="232">
        <v>1467.87677933144</v>
      </c>
      <c r="E134" s="231" t="s">
        <v>3007</v>
      </c>
      <c r="F134" s="231" t="s">
        <v>2407</v>
      </c>
    </row>
    <row r="135" spans="1:6" ht="14.25" customHeight="1" x14ac:dyDescent="0.35">
      <c r="A135" s="231" t="s">
        <v>2408</v>
      </c>
      <c r="B135" s="231" t="s">
        <v>2409</v>
      </c>
      <c r="C135" s="231" t="s">
        <v>92</v>
      </c>
      <c r="D135" s="232">
        <v>880.72606759886401</v>
      </c>
      <c r="E135" s="231" t="s">
        <v>3007</v>
      </c>
      <c r="F135" s="231" t="s">
        <v>2410</v>
      </c>
    </row>
    <row r="136" spans="1:6" ht="14.25" customHeight="1" x14ac:dyDescent="0.35">
      <c r="A136" s="231" t="s">
        <v>2411</v>
      </c>
      <c r="B136" s="231" t="s">
        <v>2412</v>
      </c>
      <c r="C136" s="231" t="s">
        <v>92</v>
      </c>
      <c r="D136" s="232">
        <v>146787.677933144</v>
      </c>
      <c r="E136" s="231" t="s">
        <v>3007</v>
      </c>
      <c r="F136" s="231" t="s">
        <v>1369</v>
      </c>
    </row>
    <row r="137" spans="1:6" ht="14.25" customHeight="1" x14ac:dyDescent="0.35">
      <c r="A137" s="231" t="s">
        <v>2413</v>
      </c>
      <c r="B137" s="231" t="s">
        <v>2414</v>
      </c>
      <c r="C137" s="231" t="s">
        <v>92</v>
      </c>
      <c r="D137" s="232">
        <v>88072.606759886403</v>
      </c>
      <c r="E137" s="231" t="s">
        <v>3007</v>
      </c>
      <c r="F137" s="231" t="s">
        <v>1372</v>
      </c>
    </row>
    <row r="138" spans="1:6" ht="14.25" customHeight="1" x14ac:dyDescent="0.35">
      <c r="A138" s="231" t="s">
        <v>2415</v>
      </c>
      <c r="B138" s="231" t="s">
        <v>2416</v>
      </c>
      <c r="C138" s="231" t="s">
        <v>24</v>
      </c>
      <c r="D138" s="232">
        <v>1002579.2</v>
      </c>
      <c r="E138" s="231" t="s">
        <v>3002</v>
      </c>
      <c r="F138" s="231" t="s">
        <v>2417</v>
      </c>
    </row>
    <row r="139" spans="1:6" ht="14.25" customHeight="1" x14ac:dyDescent="0.35">
      <c r="A139" s="231" t="s">
        <v>2418</v>
      </c>
      <c r="B139" s="231" t="s">
        <v>2419</v>
      </c>
      <c r="C139" s="231" t="s">
        <v>53</v>
      </c>
      <c r="D139" s="232">
        <v>27522.689612464499</v>
      </c>
      <c r="E139" s="231" t="s">
        <v>3007</v>
      </c>
      <c r="F139" s="231" t="s">
        <v>2420</v>
      </c>
    </row>
    <row r="140" spans="1:6" ht="14.25" customHeight="1" x14ac:dyDescent="0.35">
      <c r="A140" s="231" t="s">
        <v>2421</v>
      </c>
      <c r="B140" s="231" t="s">
        <v>2422</v>
      </c>
      <c r="C140" s="231" t="s">
        <v>53</v>
      </c>
      <c r="D140" s="232">
        <v>1816615.8408501199</v>
      </c>
      <c r="E140" s="231" t="s">
        <v>1318</v>
      </c>
      <c r="F140" s="231" t="s">
        <v>2423</v>
      </c>
    </row>
    <row r="141" spans="1:6" ht="14.25" customHeight="1" x14ac:dyDescent="0.35">
      <c r="A141" s="231" t="s">
        <v>2424</v>
      </c>
      <c r="B141" s="231" t="s">
        <v>2425</v>
      </c>
      <c r="C141" s="231" t="s">
        <v>53</v>
      </c>
      <c r="D141" s="232">
        <v>15641236.6044</v>
      </c>
      <c r="E141" s="231" t="s">
        <v>1318</v>
      </c>
      <c r="F141" s="231" t="s">
        <v>2426</v>
      </c>
    </row>
    <row r="142" spans="1:6" ht="14.25" customHeight="1" x14ac:dyDescent="0.35">
      <c r="A142" s="231" t="s">
        <v>2427</v>
      </c>
      <c r="B142" s="231" t="s">
        <v>2428</v>
      </c>
      <c r="C142" s="231" t="s">
        <v>53</v>
      </c>
      <c r="D142" s="232">
        <v>5407.8631711837097</v>
      </c>
      <c r="E142" s="231" t="s">
        <v>742</v>
      </c>
      <c r="F142" s="231" t="s">
        <v>2429</v>
      </c>
    </row>
    <row r="143" spans="1:6" ht="14.25" customHeight="1" x14ac:dyDescent="0.35">
      <c r="A143" s="231" t="s">
        <v>2430</v>
      </c>
      <c r="B143" s="231" t="s">
        <v>2431</v>
      </c>
      <c r="C143" s="231" t="s">
        <v>53</v>
      </c>
      <c r="D143" s="232">
        <v>35416.5</v>
      </c>
      <c r="E143" s="231" t="s">
        <v>3002</v>
      </c>
      <c r="F143" s="231" t="s">
        <v>2432</v>
      </c>
    </row>
    <row r="144" spans="1:6" ht="14.25" customHeight="1" x14ac:dyDescent="0.35">
      <c r="A144" s="231" t="s">
        <v>2433</v>
      </c>
      <c r="B144" s="231" t="s">
        <v>1684</v>
      </c>
      <c r="C144" s="231" t="s">
        <v>1070</v>
      </c>
      <c r="D144" s="232">
        <v>65000</v>
      </c>
      <c r="E144" s="231" t="s">
        <v>3007</v>
      </c>
      <c r="F144" s="231" t="s">
        <v>2434</v>
      </c>
    </row>
    <row r="145" spans="1:6" ht="14.25" customHeight="1" x14ac:dyDescent="0.35">
      <c r="A145" s="231" t="s">
        <v>2435</v>
      </c>
      <c r="B145" s="231" t="s">
        <v>1099</v>
      </c>
      <c r="C145" s="231" t="s">
        <v>1213</v>
      </c>
      <c r="D145" s="232">
        <v>230000</v>
      </c>
      <c r="E145" s="231" t="s">
        <v>3007</v>
      </c>
      <c r="F145" s="231" t="s">
        <v>2436</v>
      </c>
    </row>
    <row r="146" spans="1:6" ht="14.25" customHeight="1" x14ac:dyDescent="0.35">
      <c r="A146" s="231" t="s">
        <v>2437</v>
      </c>
      <c r="B146" s="231" t="s">
        <v>1099</v>
      </c>
      <c r="C146" s="231" t="s">
        <v>1213</v>
      </c>
      <c r="D146" s="232">
        <v>250000</v>
      </c>
      <c r="E146" s="231" t="s">
        <v>3007</v>
      </c>
      <c r="F146" s="231" t="s">
        <v>2438</v>
      </c>
    </row>
  </sheetData>
  <autoFilter ref="A1:F139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5B3D7"/>
  </sheetPr>
  <dimension ref="A1:R269"/>
  <sheetViews>
    <sheetView showGridLines="0" topLeftCell="XEL1" zoomScaleNormal="100" workbookViewId="0">
      <pane ySplit="1" topLeftCell="A2" activePane="bottomLeft" state="frozen"/>
      <selection pane="bottomLeft" activeCell="XFD2" sqref="XFD2"/>
    </sheetView>
  </sheetViews>
  <sheetFormatPr defaultColWidth="8.6328125" defaultRowHeight="14.5" x14ac:dyDescent="0.35"/>
  <cols>
    <col min="1" max="1" width="12" customWidth="1"/>
    <col min="2" max="2" width="6" customWidth="1"/>
    <col min="3" max="3" width="14" customWidth="1"/>
    <col min="4" max="4" width="45" customWidth="1"/>
    <col min="5" max="5" width="6" customWidth="1"/>
    <col min="6" max="6" width="8" style="11" customWidth="1"/>
    <col min="7" max="8" width="7" style="11" customWidth="1"/>
    <col min="9" max="9" width="9.36328125" style="11" customWidth="1"/>
    <col min="10" max="10" width="14" customWidth="1"/>
    <col min="11" max="14" width="12" customWidth="1"/>
    <col min="15" max="15" width="14" customWidth="1"/>
    <col min="16" max="17" width="12" customWidth="1"/>
  </cols>
  <sheetData>
    <row r="1" spans="1:18" ht="23.25" customHeight="1" x14ac:dyDescent="0.35">
      <c r="A1" s="12" t="s">
        <v>579</v>
      </c>
      <c r="B1" s="12" t="s">
        <v>2439</v>
      </c>
      <c r="C1" s="12" t="s">
        <v>5</v>
      </c>
      <c r="D1" s="12" t="s">
        <v>6</v>
      </c>
      <c r="E1" s="12" t="s">
        <v>7</v>
      </c>
      <c r="F1" s="12" t="s">
        <v>2440</v>
      </c>
      <c r="G1" s="12" t="s">
        <v>2441</v>
      </c>
      <c r="H1" s="12" t="s">
        <v>2442</v>
      </c>
      <c r="I1" s="12" t="s">
        <v>2443</v>
      </c>
      <c r="J1" s="12" t="s">
        <v>2444</v>
      </c>
      <c r="K1" s="12" t="s">
        <v>2445</v>
      </c>
      <c r="L1" s="12" t="s">
        <v>2446</v>
      </c>
      <c r="M1" s="12" t="s">
        <v>9</v>
      </c>
      <c r="N1" s="12" t="s">
        <v>10</v>
      </c>
      <c r="O1" s="12" t="s">
        <v>11</v>
      </c>
      <c r="P1" s="12" t="s">
        <v>12</v>
      </c>
      <c r="Q1" s="27" t="s">
        <v>2447</v>
      </c>
      <c r="R1" s="37" t="s">
        <v>20</v>
      </c>
    </row>
    <row r="2" spans="1:18" ht="15" customHeight="1" x14ac:dyDescent="0.35">
      <c r="A2" s="38" t="s">
        <v>2448</v>
      </c>
      <c r="B2" s="38" t="s">
        <v>2449</v>
      </c>
      <c r="C2" s="38" t="s">
        <v>3023</v>
      </c>
      <c r="D2" s="38" t="s">
        <v>2450</v>
      </c>
      <c r="E2" s="38" t="s">
        <v>43</v>
      </c>
      <c r="F2" s="39">
        <v>25</v>
      </c>
      <c r="G2" s="40">
        <v>0</v>
      </c>
      <c r="H2" s="41">
        <v>0</v>
      </c>
      <c r="I2" s="14">
        <v>1</v>
      </c>
      <c r="J2" s="42">
        <f>SUMIFS(COMPOSICIÓN!J$2:J$1879,COMPOSICIÓN!A$2:A$1879,A2,COMPOSICIÓN!B$2:B$1879,"MAT")</f>
        <v>12754.673333715406</v>
      </c>
      <c r="K2" s="42">
        <f>SUMIFS(COMPOSICIÓN!J$2:J$1879,COMPOSICIÓN!A$2:A$1879,A2,COMPOSICIÓN!B$2:B$1879,"MO")*I2</f>
        <v>151420.168793144</v>
      </c>
      <c r="L2" s="42">
        <f>SUMIFS(COMPOSICIÓN!J$2:J$1879,COMPOSICIÓN!A$2:A$1879,A2,COMPOSICIÓN!B$2:B$1879,"EQ")</f>
        <v>865137.5</v>
      </c>
      <c r="M2" s="42">
        <f t="shared" ref="M2:M65" si="0">J2</f>
        <v>12754.673333715406</v>
      </c>
      <c r="N2" s="42">
        <f t="shared" ref="N2:N65" si="1">IF(F2=0,0,K2/F2)</f>
        <v>6056.8067517257596</v>
      </c>
      <c r="O2" s="42">
        <f t="shared" ref="O2:O65" si="2">IF(F2=0,0,L2/F2)</f>
        <v>34605.5</v>
      </c>
      <c r="P2" s="42">
        <f t="shared" ref="P2:P65" si="3">M2+N2+O2</f>
        <v>53416.980085441166</v>
      </c>
      <c r="Q2" s="15">
        <f>COUNTIF(COMPOSICIÓN!$A:$A,A2)</f>
        <v>6</v>
      </c>
      <c r="R2" s="43" t="s">
        <v>97</v>
      </c>
    </row>
    <row r="3" spans="1:18" ht="15" customHeight="1" x14ac:dyDescent="0.35">
      <c r="A3" s="38" t="s">
        <v>2451</v>
      </c>
      <c r="B3" s="38" t="s">
        <v>2452</v>
      </c>
      <c r="C3" s="38" t="s">
        <v>94</v>
      </c>
      <c r="D3" s="38" t="s">
        <v>2453</v>
      </c>
      <c r="E3" s="38" t="s">
        <v>92</v>
      </c>
      <c r="F3" s="39">
        <v>7</v>
      </c>
      <c r="G3" s="40">
        <v>0</v>
      </c>
      <c r="H3" s="41">
        <v>0</v>
      </c>
      <c r="I3" s="14">
        <v>1</v>
      </c>
      <c r="J3" s="42">
        <f>SUMIFS(COMPOSICIÓN!J$2:J$1879,COMPOSICIÓN!A$2:A$1879,A3,COMPOSICIÓN!B$2:B$1879,"MAT")</f>
        <v>12779.085365230001</v>
      </c>
      <c r="K3" s="42">
        <f>SUMIFS(COMPOSICIÓN!J$2:J$1879,COMPOSICIÓN!A$2:A$1879,A3,COMPOSICIÓN!B$2:B$1879,"MO")*I3</f>
        <v>146787.677933144</v>
      </c>
      <c r="L3" s="42">
        <f>SUMIFS(COMPOSICIÓN!J$2:J$1879,COMPOSICIÓN!A$2:A$1879,A3,COMPOSICIÓN!B$2:B$1879,"EQ")</f>
        <v>3529.9786867371336</v>
      </c>
      <c r="M3" s="42">
        <f t="shared" si="0"/>
        <v>12779.085365230001</v>
      </c>
      <c r="N3" s="42">
        <f t="shared" si="1"/>
        <v>20969.668276163429</v>
      </c>
      <c r="O3" s="42">
        <f t="shared" si="2"/>
        <v>504.28266953387623</v>
      </c>
      <c r="P3" s="42">
        <f t="shared" si="3"/>
        <v>34253.036310927302</v>
      </c>
      <c r="Q3" s="15">
        <f>COUNTIF(COMPOSICIÓN!$A:$A,A3)</f>
        <v>11</v>
      </c>
      <c r="R3" s="43" t="s">
        <v>97</v>
      </c>
    </row>
    <row r="4" spans="1:18" ht="15" customHeight="1" x14ac:dyDescent="0.35">
      <c r="A4" s="38" t="s">
        <v>96</v>
      </c>
      <c r="B4" s="38" t="s">
        <v>2454</v>
      </c>
      <c r="C4" s="38" t="s">
        <v>94</v>
      </c>
      <c r="D4" s="38" t="s">
        <v>2455</v>
      </c>
      <c r="E4" s="38" t="s">
        <v>92</v>
      </c>
      <c r="F4" s="39">
        <v>15</v>
      </c>
      <c r="G4" s="40">
        <v>0</v>
      </c>
      <c r="H4" s="41">
        <v>0</v>
      </c>
      <c r="I4" s="14">
        <v>1</v>
      </c>
      <c r="J4" s="42">
        <f>SUMIFS(COMPOSICIÓN!J$2:J$1879,COMPOSICIÓN!A$2:A$1879,A4,COMPOSICIÓN!B$2:B$1879,"MAT")</f>
        <v>6590.9962250622002</v>
      </c>
      <c r="K4" s="42">
        <f>SUMIFS(COMPOSICIÓN!J$2:J$1879,COMPOSICIÓN!A$2:A$1879,A4,COMPOSICIÓN!B$2:B$1879,"MO")*I4</f>
        <v>146787.677933144</v>
      </c>
      <c r="L4" s="42">
        <f>SUMIFS(COMPOSICIÓN!J$2:J$1879,COMPOSICIÓN!A$2:A$1879,A4,COMPOSICIÓN!B$2:B$1879,"EQ")</f>
        <v>3529.9786867371336</v>
      </c>
      <c r="M4" s="42">
        <f t="shared" si="0"/>
        <v>6590.9962250622002</v>
      </c>
      <c r="N4" s="42">
        <f t="shared" si="1"/>
        <v>9785.8451955429337</v>
      </c>
      <c r="O4" s="42">
        <f t="shared" si="2"/>
        <v>235.33191244914224</v>
      </c>
      <c r="P4" s="42">
        <f t="shared" si="3"/>
        <v>16612.173333054277</v>
      </c>
      <c r="Q4" s="15">
        <f>COUNTIF(COMPOSICIÓN!$A:$A,A4)</f>
        <v>11</v>
      </c>
      <c r="R4" s="43" t="s">
        <v>97</v>
      </c>
    </row>
    <row r="5" spans="1:18" ht="15" customHeight="1" x14ac:dyDescent="0.35">
      <c r="A5" s="38" t="s">
        <v>99</v>
      </c>
      <c r="B5" s="38" t="s">
        <v>2456</v>
      </c>
      <c r="C5" s="38" t="s">
        <v>94</v>
      </c>
      <c r="D5" s="38" t="s">
        <v>2457</v>
      </c>
      <c r="E5" s="38" t="s">
        <v>92</v>
      </c>
      <c r="F5" s="39">
        <v>15</v>
      </c>
      <c r="G5" s="40">
        <v>0</v>
      </c>
      <c r="H5" s="41">
        <v>0</v>
      </c>
      <c r="I5" s="14">
        <v>1</v>
      </c>
      <c r="J5" s="42">
        <f>SUMIFS(COMPOSICIÓN!J$2:J$1879,COMPOSICIÓN!A$2:A$1879,A5,COMPOSICIÓN!B$2:B$1879,"MAT")</f>
        <v>8400.1373859768009</v>
      </c>
      <c r="K5" s="42">
        <f>SUMIFS(COMPOSICIÓN!J$2:J$1879,COMPOSICIÓN!A$2:A$1879,A5,COMPOSICIÓN!B$2:B$1879,"MO")*I5</f>
        <v>146787.677933144</v>
      </c>
      <c r="L5" s="42">
        <f>SUMIFS(COMPOSICIÓN!J$2:J$1879,COMPOSICIÓN!A$2:A$1879,A5,COMPOSICIÓN!B$2:B$1879,"EQ")</f>
        <v>3529.9786867371336</v>
      </c>
      <c r="M5" s="42">
        <f t="shared" si="0"/>
        <v>8400.1373859768009</v>
      </c>
      <c r="N5" s="42">
        <f t="shared" si="1"/>
        <v>9785.8451955429337</v>
      </c>
      <c r="O5" s="42">
        <f t="shared" si="2"/>
        <v>235.33191244914224</v>
      </c>
      <c r="P5" s="42">
        <f t="shared" si="3"/>
        <v>18421.314493968875</v>
      </c>
      <c r="Q5" s="15">
        <f>COUNTIF(COMPOSICIÓN!$A:$A,A5)</f>
        <v>11</v>
      </c>
      <c r="R5" s="43" t="s">
        <v>97</v>
      </c>
    </row>
    <row r="6" spans="1:18" ht="15" customHeight="1" x14ac:dyDescent="0.35">
      <c r="A6" s="38" t="s">
        <v>107</v>
      </c>
      <c r="B6" s="38" t="s">
        <v>2458</v>
      </c>
      <c r="C6" s="38" t="s">
        <v>94</v>
      </c>
      <c r="D6" s="38" t="s">
        <v>2459</v>
      </c>
      <c r="E6" s="38" t="s">
        <v>92</v>
      </c>
      <c r="F6" s="39">
        <v>15</v>
      </c>
      <c r="G6" s="40">
        <v>0</v>
      </c>
      <c r="H6" s="41">
        <v>0</v>
      </c>
      <c r="I6" s="14">
        <v>1</v>
      </c>
      <c r="J6" s="42">
        <f>SUMIFS(COMPOSICIÓN!J$2:J$1879,COMPOSICIÓN!A$2:A$1879,A6,COMPOSICIÓN!B$2:B$1879,"MAT")</f>
        <v>11492.4403708914</v>
      </c>
      <c r="K6" s="42">
        <f>SUMIFS(COMPOSICIÓN!J$2:J$1879,COMPOSICIÓN!A$2:A$1879,A6,COMPOSICIÓN!B$2:B$1879,"MO")*I6</f>
        <v>146787.677933144</v>
      </c>
      <c r="L6" s="42">
        <f>SUMIFS(COMPOSICIÓN!J$2:J$1879,COMPOSICIÓN!A$2:A$1879,A6,COMPOSICIÓN!B$2:B$1879,"EQ")</f>
        <v>3529.9786867371336</v>
      </c>
      <c r="M6" s="42">
        <f t="shared" si="0"/>
        <v>11492.4403708914</v>
      </c>
      <c r="N6" s="42">
        <f t="shared" si="1"/>
        <v>9785.8451955429337</v>
      </c>
      <c r="O6" s="42">
        <f t="shared" si="2"/>
        <v>235.33191244914224</v>
      </c>
      <c r="P6" s="42">
        <f t="shared" si="3"/>
        <v>21513.617478883476</v>
      </c>
      <c r="Q6" s="15">
        <f>COUNTIF(COMPOSICIÓN!$A:$A,A6)</f>
        <v>11</v>
      </c>
      <c r="R6" s="43" t="s">
        <v>97</v>
      </c>
    </row>
    <row r="7" spans="1:18" ht="15" customHeight="1" x14ac:dyDescent="0.35">
      <c r="A7" s="38" t="s">
        <v>2460</v>
      </c>
      <c r="B7" s="38" t="s">
        <v>2461</v>
      </c>
      <c r="C7" s="38" t="s">
        <v>94</v>
      </c>
      <c r="D7" s="38" t="s">
        <v>2462</v>
      </c>
      <c r="E7" s="38" t="s">
        <v>92</v>
      </c>
      <c r="F7" s="39">
        <v>4</v>
      </c>
      <c r="G7" s="40">
        <v>0</v>
      </c>
      <c r="H7" s="41">
        <v>0</v>
      </c>
      <c r="I7" s="14">
        <v>1</v>
      </c>
      <c r="J7" s="42">
        <f>SUMIFS(COMPOSICIÓN!J$2:J$1879,COMPOSICIÓN!A$2:A$1879,A7,COMPOSICIÓN!B$2:B$1879,"MAT")</f>
        <v>27983.302681055553</v>
      </c>
      <c r="K7" s="42">
        <f>SUMIFS(COMPOSICIÓN!J$2:J$1879,COMPOSICIÓN!A$2:A$1879,A7,COMPOSICIÓN!B$2:B$1879,"MO")*I7</f>
        <v>141310.22566325252</v>
      </c>
      <c r="L7" s="42">
        <f>SUMIFS(COMPOSICIÓN!J$2:J$1879,COMPOSICIÓN!A$2:A$1879,A7,COMPOSICIÓN!B$2:B$1879,"EQ")</f>
        <v>3529.9786867371336</v>
      </c>
      <c r="M7" s="42">
        <f t="shared" si="0"/>
        <v>27983.302681055553</v>
      </c>
      <c r="N7" s="42">
        <f t="shared" si="1"/>
        <v>35327.556415813131</v>
      </c>
      <c r="O7" s="42">
        <f t="shared" si="2"/>
        <v>882.49467168428339</v>
      </c>
      <c r="P7" s="42">
        <f t="shared" si="3"/>
        <v>64193.353768552966</v>
      </c>
      <c r="Q7" s="15">
        <f>COUNTIF(COMPOSICIÓN!$A:$A,A7)</f>
        <v>16</v>
      </c>
      <c r="R7" s="43" t="s">
        <v>97</v>
      </c>
    </row>
    <row r="8" spans="1:18" ht="15" customHeight="1" x14ac:dyDescent="0.35">
      <c r="A8" s="38" t="s">
        <v>103</v>
      </c>
      <c r="B8" s="38" t="s">
        <v>2463</v>
      </c>
      <c r="C8" s="38" t="s">
        <v>94</v>
      </c>
      <c r="D8" s="38" t="s">
        <v>2464</v>
      </c>
      <c r="E8" s="38" t="s">
        <v>92</v>
      </c>
      <c r="F8" s="39">
        <v>15</v>
      </c>
      <c r="G8" s="40">
        <v>0</v>
      </c>
      <c r="H8" s="41">
        <v>0</v>
      </c>
      <c r="I8" s="14">
        <v>1</v>
      </c>
      <c r="J8" s="42">
        <f>SUMIFS(COMPOSICIÓN!J$2:J$1879,COMPOSICIÓN!A$2:A$1879,A8,COMPOSICIÓN!B$2:B$1879,"MAT")</f>
        <v>11547.8937354768</v>
      </c>
      <c r="K8" s="42">
        <f>SUMIFS(COMPOSICIÓN!J$2:J$1879,COMPOSICIÓN!A$2:A$1879,A8,COMPOSICIÓN!B$2:B$1879,"MO")*I8</f>
        <v>146787.677933144</v>
      </c>
      <c r="L8" s="42">
        <f>SUMIFS(COMPOSICIÓN!J$2:J$1879,COMPOSICIÓN!A$2:A$1879,A8,COMPOSICIÓN!B$2:B$1879,"EQ")</f>
        <v>3529.9786867371336</v>
      </c>
      <c r="M8" s="42">
        <f t="shared" si="0"/>
        <v>11547.8937354768</v>
      </c>
      <c r="N8" s="42">
        <f t="shared" si="1"/>
        <v>9785.8451955429337</v>
      </c>
      <c r="O8" s="42">
        <f t="shared" si="2"/>
        <v>235.33191244914224</v>
      </c>
      <c r="P8" s="42">
        <f t="shared" si="3"/>
        <v>21569.070843468875</v>
      </c>
      <c r="Q8" s="15">
        <f>COUNTIF(COMPOSICIÓN!$A:$A,A8)</f>
        <v>11</v>
      </c>
      <c r="R8" s="43" t="s">
        <v>97</v>
      </c>
    </row>
    <row r="9" spans="1:18" ht="15" customHeight="1" x14ac:dyDescent="0.35">
      <c r="A9" s="38" t="s">
        <v>2465</v>
      </c>
      <c r="B9" s="38" t="s">
        <v>2466</v>
      </c>
      <c r="C9" s="38" t="s">
        <v>94</v>
      </c>
      <c r="D9" s="38" t="s">
        <v>2467</v>
      </c>
      <c r="E9" s="38" t="s">
        <v>53</v>
      </c>
      <c r="F9" s="39">
        <v>2</v>
      </c>
      <c r="G9" s="40">
        <v>0</v>
      </c>
      <c r="H9" s="41">
        <v>0</v>
      </c>
      <c r="I9" s="14">
        <v>1</v>
      </c>
      <c r="J9" s="42">
        <f>SUMIFS(COMPOSICIÓN!J$2:J$1879,COMPOSICIÓN!A$2:A$1879,A9,COMPOSICIÓN!B$2:B$1879,"MAT")</f>
        <v>4066.3295639999997</v>
      </c>
      <c r="K9" s="42">
        <f>SUMIFS(COMPOSICIÓN!J$2:J$1879,COMPOSICIÓN!A$2:A$1879,A9,COMPOSICIÓN!B$2:B$1879,"MO")*I9</f>
        <v>110090.758449858</v>
      </c>
      <c r="L9" s="42">
        <f>SUMIFS(COMPOSICIÓN!J$2:J$1879,COMPOSICIÓN!A$2:A$1879,A9,COMPOSICIÓN!B$2:B$1879,"EQ")</f>
        <v>811.09723531168822</v>
      </c>
      <c r="M9" s="42">
        <f t="shared" si="0"/>
        <v>4066.3295639999997</v>
      </c>
      <c r="N9" s="42">
        <f t="shared" si="1"/>
        <v>55045.379224928998</v>
      </c>
      <c r="O9" s="42">
        <f t="shared" si="2"/>
        <v>405.54861765584411</v>
      </c>
      <c r="P9" s="42">
        <f t="shared" si="3"/>
        <v>59517.257406584838</v>
      </c>
      <c r="Q9" s="15">
        <f>COUNTIF(COMPOSICIÓN!$A:$A,A9)</f>
        <v>6</v>
      </c>
      <c r="R9" s="43" t="s">
        <v>97</v>
      </c>
    </row>
    <row r="10" spans="1:18" ht="15" customHeight="1" x14ac:dyDescent="0.35">
      <c r="A10" s="38" t="s">
        <v>2468</v>
      </c>
      <c r="B10" s="38" t="s">
        <v>2469</v>
      </c>
      <c r="C10" s="38" t="s">
        <v>94</v>
      </c>
      <c r="D10" s="38" t="s">
        <v>2470</v>
      </c>
      <c r="E10" s="38" t="s">
        <v>53</v>
      </c>
      <c r="F10" s="39">
        <v>4</v>
      </c>
      <c r="G10" s="40">
        <v>0</v>
      </c>
      <c r="H10" s="41">
        <v>0</v>
      </c>
      <c r="I10" s="14">
        <v>1</v>
      </c>
      <c r="J10" s="42">
        <f>SUMIFS(COMPOSICIÓN!J$2:J$1879,COMPOSICIÓN!A$2:A$1879,A10,COMPOSICIÓN!B$2:B$1879,"MAT")</f>
        <v>1487.9069540999999</v>
      </c>
      <c r="K10" s="42">
        <f>SUMIFS(COMPOSICIÓN!J$2:J$1879,COMPOSICIÓN!A$2:A$1879,A10,COMPOSICIÓN!B$2:B$1879,"MO")*I10</f>
        <v>146787.677933144</v>
      </c>
      <c r="L10" s="42">
        <f>SUMIFS(COMPOSICIÓN!J$2:J$1879,COMPOSICIÓN!A$2:A$1879,A10,COMPOSICIÓN!B$2:B$1879,"EQ")</f>
        <v>811.09723531168822</v>
      </c>
      <c r="M10" s="42">
        <f t="shared" si="0"/>
        <v>1487.9069540999999</v>
      </c>
      <c r="N10" s="42">
        <f t="shared" si="1"/>
        <v>36696.919483286001</v>
      </c>
      <c r="O10" s="42">
        <f t="shared" si="2"/>
        <v>202.77430882792206</v>
      </c>
      <c r="P10" s="42">
        <f t="shared" si="3"/>
        <v>38387.600746213924</v>
      </c>
      <c r="Q10" s="15">
        <f>COUNTIF(COMPOSICIÓN!$A:$A,A10)</f>
        <v>6</v>
      </c>
      <c r="R10" s="43" t="s">
        <v>97</v>
      </c>
    </row>
    <row r="11" spans="1:18" ht="15" customHeight="1" x14ac:dyDescent="0.35">
      <c r="A11" s="38" t="s">
        <v>2471</v>
      </c>
      <c r="B11" s="38" t="s">
        <v>2472</v>
      </c>
      <c r="C11" s="38" t="s">
        <v>94</v>
      </c>
      <c r="D11" s="38" t="s">
        <v>2473</v>
      </c>
      <c r="E11" s="38" t="s">
        <v>28</v>
      </c>
      <c r="F11" s="39">
        <v>5</v>
      </c>
      <c r="G11" s="40">
        <v>0</v>
      </c>
      <c r="H11" s="41">
        <v>0</v>
      </c>
      <c r="I11" s="14">
        <v>1</v>
      </c>
      <c r="J11" s="42">
        <f>SUMIFS(COMPOSICIÓN!J$2:J$1879,COMPOSICIÓN!A$2:A$1879,A11,COMPOSICIÓN!B$2:B$1879,"MAT")</f>
        <v>204.36355806</v>
      </c>
      <c r="K11" s="42">
        <f>SUMIFS(COMPOSICIÓN!J$2:J$1879,COMPOSICIÓN!A$2:A$1879,A11,COMPOSICIÓN!B$2:B$1879,"MO")*I11</f>
        <v>146787.677933144</v>
      </c>
      <c r="L11" s="42">
        <f>SUMIFS(COMPOSICIÓN!J$2:J$1879,COMPOSICIÓN!A$2:A$1879,A11,COMPOSICIÓN!B$2:B$1879,"EQ")</f>
        <v>1382.8811715858897</v>
      </c>
      <c r="M11" s="42">
        <f t="shared" si="0"/>
        <v>204.36355806</v>
      </c>
      <c r="N11" s="42">
        <f t="shared" si="1"/>
        <v>29357.535586628801</v>
      </c>
      <c r="O11" s="42">
        <f t="shared" si="2"/>
        <v>276.57623431717792</v>
      </c>
      <c r="P11" s="42">
        <f t="shared" si="3"/>
        <v>29838.475379005977</v>
      </c>
      <c r="Q11" s="15">
        <f>COUNTIF(COMPOSICIÓN!$A:$A,A11)</f>
        <v>7</v>
      </c>
      <c r="R11" s="43" t="s">
        <v>97</v>
      </c>
    </row>
    <row r="12" spans="1:18" ht="15" customHeight="1" x14ac:dyDescent="0.35">
      <c r="A12" s="38" t="s">
        <v>2474</v>
      </c>
      <c r="B12" s="38" t="s">
        <v>2475</v>
      </c>
      <c r="C12" s="38" t="s">
        <v>94</v>
      </c>
      <c r="D12" s="38" t="s">
        <v>2476</v>
      </c>
      <c r="E12" s="38" t="s">
        <v>92</v>
      </c>
      <c r="F12" s="39">
        <v>28</v>
      </c>
      <c r="G12" s="40">
        <v>0</v>
      </c>
      <c r="H12" s="41">
        <v>0</v>
      </c>
      <c r="I12" s="14">
        <v>1</v>
      </c>
      <c r="J12" s="42">
        <f>SUMIFS(COMPOSICIÓN!J$2:J$1879,COMPOSICIÓN!A$2:A$1879,A12,COMPOSICIÓN!B$2:B$1879,"MAT")</f>
        <v>809.61503399999992</v>
      </c>
      <c r="K12" s="42">
        <f>SUMIFS(COMPOSICIÓN!J$2:J$1879,COMPOSICIÓN!A$2:A$1879,A12,COMPOSICIÓN!B$2:B$1879,"MO")*I12</f>
        <v>110271.32946720079</v>
      </c>
      <c r="L12" s="42">
        <f>SUMIFS(COMPOSICIÓN!J$2:J$1879,COMPOSICIÓN!A$2:A$1879,A12,COMPOSICIÓN!B$2:B$1879,"EQ")</f>
        <v>3529.9786867371336</v>
      </c>
      <c r="M12" s="42">
        <f t="shared" si="0"/>
        <v>809.61503399999992</v>
      </c>
      <c r="N12" s="42">
        <f t="shared" si="1"/>
        <v>3938.2617666857427</v>
      </c>
      <c r="O12" s="42">
        <f t="shared" si="2"/>
        <v>126.07066738346906</v>
      </c>
      <c r="P12" s="42">
        <f t="shared" si="3"/>
        <v>4873.9474680692119</v>
      </c>
      <c r="Q12" s="15">
        <f>COUNTIF(COMPOSICIÓN!$A:$A,A12)</f>
        <v>8</v>
      </c>
      <c r="R12" s="43" t="s">
        <v>97</v>
      </c>
    </row>
    <row r="13" spans="1:18" ht="15" customHeight="1" x14ac:dyDescent="0.35">
      <c r="A13" s="38" t="s">
        <v>2477</v>
      </c>
      <c r="B13" s="38" t="s">
        <v>2478</v>
      </c>
      <c r="C13" s="38" t="s">
        <v>94</v>
      </c>
      <c r="D13" s="38" t="s">
        <v>2479</v>
      </c>
      <c r="E13" s="38" t="s">
        <v>92</v>
      </c>
      <c r="F13" s="39">
        <v>6</v>
      </c>
      <c r="G13" s="40">
        <v>0</v>
      </c>
      <c r="H13" s="41">
        <v>0</v>
      </c>
      <c r="I13" s="14">
        <v>1</v>
      </c>
      <c r="J13" s="42">
        <f>SUMIFS(COMPOSICIÓN!J$2:J$1879,COMPOSICIÓN!A$2:A$1879,A13,COMPOSICIÓN!B$2:B$1879,"MAT")</f>
        <v>2735.3164410000004</v>
      </c>
      <c r="K13" s="42">
        <f>SUMIFS(COMPOSICIÓN!J$2:J$1879,COMPOSICIÓN!A$2:A$1879,A13,COMPOSICIÓN!B$2:B$1879,"MO")*I13</f>
        <v>125486.47466134379</v>
      </c>
      <c r="L13" s="42">
        <f>SUMIFS(COMPOSICIÓN!J$2:J$1879,COMPOSICIÓN!A$2:A$1879,A13,COMPOSICIÓN!B$2:B$1879,"EQ")</f>
        <v>3529.9786867371336</v>
      </c>
      <c r="M13" s="42">
        <f t="shared" si="0"/>
        <v>2735.3164410000004</v>
      </c>
      <c r="N13" s="42">
        <f t="shared" si="1"/>
        <v>20914.412443557299</v>
      </c>
      <c r="O13" s="42">
        <f t="shared" si="2"/>
        <v>588.32978112285559</v>
      </c>
      <c r="P13" s="42">
        <f t="shared" si="3"/>
        <v>24238.058665680153</v>
      </c>
      <c r="Q13" s="15">
        <f>COUNTIF(COMPOSICIÓN!$A:$A,A13)</f>
        <v>9</v>
      </c>
      <c r="R13" s="43" t="s">
        <v>97</v>
      </c>
    </row>
    <row r="14" spans="1:18" ht="15" customHeight="1" x14ac:dyDescent="0.35">
      <c r="A14" s="38" t="s">
        <v>143</v>
      </c>
      <c r="B14" s="38" t="s">
        <v>2480</v>
      </c>
      <c r="C14" s="38" t="s">
        <v>94</v>
      </c>
      <c r="D14" s="38" t="s">
        <v>2481</v>
      </c>
      <c r="E14" s="38" t="s">
        <v>92</v>
      </c>
      <c r="F14" s="39">
        <v>11.5</v>
      </c>
      <c r="G14" s="40">
        <v>0</v>
      </c>
      <c r="H14" s="41">
        <v>0</v>
      </c>
      <c r="I14" s="14">
        <v>1</v>
      </c>
      <c r="J14" s="42">
        <f>SUMIFS(COMPOSICIÓN!J$2:J$1879,COMPOSICIÓN!A$2:A$1879,A14,COMPOSICIÓN!B$2:B$1879,"MAT")</f>
        <v>4009.2266139999997</v>
      </c>
      <c r="K14" s="42">
        <f>SUMIFS(COMPOSICIÓN!J$2:J$1879,COMPOSICIÓN!A$2:A$1879,A14,COMPOSICIÓN!B$2:B$1879,"MO")*I14</f>
        <v>122443.4456225152</v>
      </c>
      <c r="L14" s="42">
        <f>SUMIFS(COMPOSICIÓN!J$2:J$1879,COMPOSICIÓN!A$2:A$1879,A14,COMPOSICIÓN!B$2:B$1879,"EQ")</f>
        <v>3529.9786867371336</v>
      </c>
      <c r="M14" s="42">
        <f t="shared" si="0"/>
        <v>4009.2266139999997</v>
      </c>
      <c r="N14" s="42">
        <f t="shared" si="1"/>
        <v>10647.256141088277</v>
      </c>
      <c r="O14" s="42">
        <f t="shared" si="2"/>
        <v>306.95466841192467</v>
      </c>
      <c r="P14" s="42">
        <f t="shared" si="3"/>
        <v>14963.437423500201</v>
      </c>
      <c r="Q14" s="15">
        <f>COUNTIF(COMPOSICIÓN!$A:$A,A14)</f>
        <v>9</v>
      </c>
      <c r="R14" s="43" t="s">
        <v>97</v>
      </c>
    </row>
    <row r="15" spans="1:18" ht="15" customHeight="1" x14ac:dyDescent="0.35">
      <c r="A15" s="38" t="s">
        <v>2482</v>
      </c>
      <c r="B15" s="38" t="s">
        <v>2483</v>
      </c>
      <c r="C15" s="38" t="s">
        <v>94</v>
      </c>
      <c r="D15" s="38" t="s">
        <v>2484</v>
      </c>
      <c r="E15" s="38" t="s">
        <v>92</v>
      </c>
      <c r="F15" s="39">
        <v>8</v>
      </c>
      <c r="G15" s="40">
        <v>0</v>
      </c>
      <c r="H15" s="41">
        <v>0</v>
      </c>
      <c r="I15" s="14">
        <v>1</v>
      </c>
      <c r="J15" s="42">
        <f>SUMIFS(COMPOSICIÓN!J$2:J$1879,COMPOSICIÓN!A$2:A$1879,A15,COMPOSICIÓN!B$2:B$1879,"MAT")</f>
        <v>4009.2266139999997</v>
      </c>
      <c r="K15" s="42">
        <f>SUMIFS(COMPOSICIÓN!J$2:J$1879,COMPOSICIÓN!A$2:A$1879,A15,COMPOSICIÓN!B$2:B$1879,"MO")*I15</f>
        <v>122443.4456225152</v>
      </c>
      <c r="L15" s="42">
        <f>SUMIFS(COMPOSICIÓN!J$2:J$1879,COMPOSICIÓN!A$2:A$1879,A15,COMPOSICIÓN!B$2:B$1879,"EQ")</f>
        <v>6154.5221079134199</v>
      </c>
      <c r="M15" s="42">
        <f t="shared" si="0"/>
        <v>4009.2266139999997</v>
      </c>
      <c r="N15" s="42">
        <f t="shared" si="1"/>
        <v>15305.430702814399</v>
      </c>
      <c r="O15" s="42">
        <f t="shared" si="2"/>
        <v>769.31526348917748</v>
      </c>
      <c r="P15" s="42">
        <f t="shared" si="3"/>
        <v>20083.972580303576</v>
      </c>
      <c r="Q15" s="15">
        <f>COUNTIF(COMPOSICIÓN!$A:$A,A15)</f>
        <v>9</v>
      </c>
      <c r="R15" s="43" t="s">
        <v>97</v>
      </c>
    </row>
    <row r="16" spans="1:18" ht="15" customHeight="1" x14ac:dyDescent="0.35">
      <c r="A16" s="38" t="s">
        <v>2485</v>
      </c>
      <c r="B16" s="38" t="s">
        <v>2486</v>
      </c>
      <c r="C16" s="38" t="s">
        <v>94</v>
      </c>
      <c r="D16" s="38" t="s">
        <v>2487</v>
      </c>
      <c r="E16" s="38" t="s">
        <v>43</v>
      </c>
      <c r="F16" s="39">
        <v>1.4</v>
      </c>
      <c r="G16" s="40">
        <v>0</v>
      </c>
      <c r="H16" s="41">
        <v>0</v>
      </c>
      <c r="I16" s="14">
        <v>1</v>
      </c>
      <c r="J16" s="42">
        <f>SUMIFS(COMPOSICIÓN!J$2:J$1879,COMPOSICIÓN!A$2:A$1879,A16,COMPOSICIÓN!B$2:B$1879,"MAT")</f>
        <v>67465.638889000009</v>
      </c>
      <c r="K16" s="42">
        <f>SUMIFS(COMPOSICIÓN!J$2:J$1879,COMPOSICIÓN!A$2:A$1879,A16,COMPOSICIÓN!B$2:B$1879,"MO")*I16</f>
        <v>125305.90364400099</v>
      </c>
      <c r="L16" s="42">
        <f>SUMIFS(COMPOSICIÓN!J$2:J$1879,COMPOSICIÓN!A$2:A$1879,A16,COMPOSICIÓN!B$2:B$1879,"EQ")</f>
        <v>3244.3889412467529</v>
      </c>
      <c r="M16" s="42">
        <f t="shared" si="0"/>
        <v>67465.638889000009</v>
      </c>
      <c r="N16" s="42">
        <f t="shared" si="1"/>
        <v>89504.216888572148</v>
      </c>
      <c r="O16" s="42">
        <f t="shared" si="2"/>
        <v>2317.4206723191091</v>
      </c>
      <c r="P16" s="42">
        <f t="shared" si="3"/>
        <v>159287.27644989124</v>
      </c>
      <c r="Q16" s="15">
        <f>COUNTIF(COMPOSICIÓN!$A:$A,A16)</f>
        <v>8</v>
      </c>
      <c r="R16" s="43" t="s">
        <v>97</v>
      </c>
    </row>
    <row r="17" spans="1:18" ht="15" customHeight="1" x14ac:dyDescent="0.35">
      <c r="A17" s="38" t="s">
        <v>2488</v>
      </c>
      <c r="B17" s="38" t="s">
        <v>2489</v>
      </c>
      <c r="C17" s="38" t="s">
        <v>94</v>
      </c>
      <c r="D17" s="38" t="s">
        <v>2490</v>
      </c>
      <c r="E17" s="38" t="s">
        <v>92</v>
      </c>
      <c r="F17" s="39">
        <v>15</v>
      </c>
      <c r="G17" s="40">
        <v>0</v>
      </c>
      <c r="H17" s="41">
        <v>0</v>
      </c>
      <c r="I17" s="14">
        <v>1</v>
      </c>
      <c r="J17" s="42">
        <f>SUMIFS(COMPOSICIÓN!J$2:J$1879,COMPOSICIÓN!A$2:A$1879,A17,COMPOSICIÓN!B$2:B$1879,"MAT")</f>
        <v>3388.6079700000005</v>
      </c>
      <c r="K17" s="42">
        <f>SUMIFS(COMPOSICIÓN!J$2:J$1879,COMPOSICIÓN!A$2:A$1879,A17,COMPOSICIÓN!B$2:B$1879,"MO")*I17</f>
        <v>113314.3585060294</v>
      </c>
      <c r="L17" s="42">
        <f>SUMIFS(COMPOSICIÓN!J$2:J$1879,COMPOSICIÓN!A$2:A$1879,A17,COMPOSICIÓN!B$2:B$1879,"EQ")</f>
        <v>3244.3889412467529</v>
      </c>
      <c r="M17" s="42">
        <f t="shared" si="0"/>
        <v>3388.6079700000005</v>
      </c>
      <c r="N17" s="42">
        <f t="shared" si="1"/>
        <v>7554.2905670686268</v>
      </c>
      <c r="O17" s="42">
        <f t="shared" si="2"/>
        <v>216.29259608311685</v>
      </c>
      <c r="P17" s="42">
        <f t="shared" si="3"/>
        <v>11159.191133151744</v>
      </c>
      <c r="Q17" s="15">
        <f>COUNTIF(COMPOSICIÓN!$A:$A,A17)</f>
        <v>6</v>
      </c>
      <c r="R17" s="43" t="s">
        <v>97</v>
      </c>
    </row>
    <row r="18" spans="1:18" ht="15" customHeight="1" x14ac:dyDescent="0.35">
      <c r="A18" s="38" t="s">
        <v>2491</v>
      </c>
      <c r="B18" s="38" t="s">
        <v>2492</v>
      </c>
      <c r="C18" s="38" t="s">
        <v>94</v>
      </c>
      <c r="D18" s="38" t="s">
        <v>2493</v>
      </c>
      <c r="E18" s="38" t="s">
        <v>92</v>
      </c>
      <c r="F18" s="39">
        <v>35</v>
      </c>
      <c r="G18" s="40">
        <v>0</v>
      </c>
      <c r="H18" s="41">
        <v>0</v>
      </c>
      <c r="I18" s="14">
        <v>1</v>
      </c>
      <c r="J18" s="42">
        <f>SUMIFS(COMPOSICIÓN!J$2:J$1879,COMPOSICIÓN!A$2:A$1879,A18,COMPOSICIÓN!B$2:B$1879,"MAT")</f>
        <v>6968.0306291446268</v>
      </c>
      <c r="K18" s="42">
        <f>SUMIFS(COMPOSICIÓN!J$2:J$1879,COMPOSICIÓN!A$2:A$1879,A18,COMPOSICIÓN!B$2:B$1879,"MO")*I18</f>
        <v>354435.93664286</v>
      </c>
      <c r="L18" s="42">
        <f>SUMIFS(COMPOSICIÓN!J$2:J$1879,COMPOSICIÓN!A$2:A$1879,A18,COMPOSICIÓN!B$2:B$1879,"EQ")</f>
        <v>4201.6421373967005</v>
      </c>
      <c r="M18" s="42">
        <f t="shared" si="0"/>
        <v>6968.0306291446268</v>
      </c>
      <c r="N18" s="42">
        <f t="shared" si="1"/>
        <v>10126.741046938858</v>
      </c>
      <c r="O18" s="42">
        <f t="shared" si="2"/>
        <v>120.0469182113343</v>
      </c>
      <c r="P18" s="42">
        <f t="shared" si="3"/>
        <v>17214.818594294818</v>
      </c>
      <c r="Q18" s="15">
        <f>COUNTIF(COMPOSICIÓN!$A:$A,A18)</f>
        <v>8</v>
      </c>
      <c r="R18" s="43" t="s">
        <v>97</v>
      </c>
    </row>
    <row r="19" spans="1:18" ht="15" customHeight="1" x14ac:dyDescent="0.35">
      <c r="A19" s="38" t="s">
        <v>2494</v>
      </c>
      <c r="B19" s="38" t="s">
        <v>2495</v>
      </c>
      <c r="C19" s="38" t="s">
        <v>94</v>
      </c>
      <c r="D19" s="38" t="s">
        <v>2496</v>
      </c>
      <c r="E19" s="38" t="s">
        <v>92</v>
      </c>
      <c r="F19" s="39">
        <v>15</v>
      </c>
      <c r="G19" s="40">
        <v>0</v>
      </c>
      <c r="H19" s="41">
        <v>0</v>
      </c>
      <c r="I19" s="14">
        <v>1</v>
      </c>
      <c r="J19" s="42">
        <f>SUMIFS(COMPOSICIÓN!J$2:J$1879,COMPOSICIÓN!A$2:A$1879,A19,COMPOSICIÓN!B$2:B$1879,"MAT")</f>
        <v>4048.0751700000005</v>
      </c>
      <c r="K19" s="42">
        <f>SUMIFS(COMPOSICIÓN!J$2:J$1879,COMPOSICIÓN!A$2:A$1879,A19,COMPOSICIÓN!B$2:B$1879,"MO")*I19</f>
        <v>113314.3585060294</v>
      </c>
      <c r="L19" s="42">
        <f>SUMIFS(COMPOSICIÓN!J$2:J$1879,COMPOSICIÓN!A$2:A$1879,A19,COMPOSICIÓN!B$2:B$1879,"EQ")</f>
        <v>3244.3889412467529</v>
      </c>
      <c r="M19" s="42">
        <f t="shared" si="0"/>
        <v>4048.0751700000005</v>
      </c>
      <c r="N19" s="42">
        <f t="shared" si="1"/>
        <v>7554.2905670686268</v>
      </c>
      <c r="O19" s="42">
        <f t="shared" si="2"/>
        <v>216.29259608311685</v>
      </c>
      <c r="P19" s="42">
        <f t="shared" si="3"/>
        <v>11818.658333151743</v>
      </c>
      <c r="Q19" s="15">
        <f>COUNTIF(COMPOSICIÓN!$A:$A,A19)</f>
        <v>7</v>
      </c>
      <c r="R19" s="43" t="s">
        <v>97</v>
      </c>
    </row>
    <row r="20" spans="1:18" ht="15" customHeight="1" x14ac:dyDescent="0.35">
      <c r="A20" s="38" t="s">
        <v>2497</v>
      </c>
      <c r="B20" s="38" t="s">
        <v>2498</v>
      </c>
      <c r="C20" s="38" t="s">
        <v>94</v>
      </c>
      <c r="D20" s="38" t="s">
        <v>2499</v>
      </c>
      <c r="E20" s="38" t="s">
        <v>92</v>
      </c>
      <c r="F20" s="39">
        <v>11.5</v>
      </c>
      <c r="G20" s="40">
        <v>0</v>
      </c>
      <c r="H20" s="41">
        <v>0</v>
      </c>
      <c r="I20" s="14">
        <v>1</v>
      </c>
      <c r="J20" s="42">
        <f>SUMIFS(COMPOSICIÓN!J$2:J$1879,COMPOSICIÓN!A$2:A$1879,A20,COMPOSICIÓN!B$2:B$1879,"MAT")</f>
        <v>4066.3295639999997</v>
      </c>
      <c r="K20" s="42">
        <f>SUMIFS(COMPOSICIÓN!J$2:J$1879,COMPOSICIÓN!A$2:A$1879,A20,COMPOSICIÓN!B$2:B$1879,"MO")*I20</f>
        <v>116357.38754485799</v>
      </c>
      <c r="L20" s="42">
        <f>SUMIFS(COMPOSICIÓN!J$2:J$1879,COMPOSICIÓN!A$2:A$1879,A20,COMPOSICIÓN!B$2:B$1879,"EQ")</f>
        <v>3244.3889412467529</v>
      </c>
      <c r="M20" s="42">
        <f t="shared" si="0"/>
        <v>4066.3295639999997</v>
      </c>
      <c r="N20" s="42">
        <f t="shared" si="1"/>
        <v>10118.033699552869</v>
      </c>
      <c r="O20" s="42">
        <f t="shared" si="2"/>
        <v>282.12077749971763</v>
      </c>
      <c r="P20" s="42">
        <f t="shared" si="3"/>
        <v>14466.484041052587</v>
      </c>
      <c r="Q20" s="15">
        <f>COUNTIF(COMPOSICIÓN!$A:$A,A20)</f>
        <v>6</v>
      </c>
      <c r="R20" s="43" t="s">
        <v>97</v>
      </c>
    </row>
    <row r="21" spans="1:18" ht="15" customHeight="1" x14ac:dyDescent="0.35">
      <c r="A21" s="38" t="s">
        <v>2500</v>
      </c>
      <c r="B21" s="38" t="s">
        <v>2501</v>
      </c>
      <c r="C21" s="38" t="s">
        <v>229</v>
      </c>
      <c r="D21" s="38" t="s">
        <v>2502</v>
      </c>
      <c r="E21" s="38" t="s">
        <v>92</v>
      </c>
      <c r="F21" s="39">
        <v>22</v>
      </c>
      <c r="G21" s="40">
        <v>0</v>
      </c>
      <c r="H21" s="41">
        <v>0</v>
      </c>
      <c r="I21" s="14">
        <v>1</v>
      </c>
      <c r="J21" s="42">
        <f>SUMIFS(COMPOSICIÓN!J$2:J$1879,COMPOSICIÓN!A$2:A$1879,A21,COMPOSICIÓN!B$2:B$1879,"MAT")</f>
        <v>2923.7665455000001</v>
      </c>
      <c r="K21" s="42">
        <f>SUMIFS(COMPOSICIÓN!J$2:J$1879,COMPOSICIÓN!A$2:A$1879,A21,COMPOSICIÓN!B$2:B$1879,"MO")*I21</f>
        <v>167793.436702287</v>
      </c>
      <c r="L21" s="42">
        <f>SUMIFS(COMPOSICIÓN!J$2:J$1879,COMPOSICIÓN!A$2:A$1879,A21,COMPOSICIÓN!B$2:B$1879,"EQ")</f>
        <v>3847.7580780389071</v>
      </c>
      <c r="M21" s="42">
        <f t="shared" si="0"/>
        <v>2923.7665455000001</v>
      </c>
      <c r="N21" s="42">
        <f t="shared" si="1"/>
        <v>7626.9743955585</v>
      </c>
      <c r="O21" s="42">
        <f t="shared" si="2"/>
        <v>174.89809445631397</v>
      </c>
      <c r="P21" s="42">
        <f t="shared" si="3"/>
        <v>10725.639035514814</v>
      </c>
      <c r="Q21" s="15">
        <f>COUNTIF(COMPOSICIÓN!$A:$A,A21)</f>
        <v>14</v>
      </c>
      <c r="R21" s="43" t="s">
        <v>97</v>
      </c>
    </row>
    <row r="22" spans="1:18" ht="15" customHeight="1" x14ac:dyDescent="0.35">
      <c r="A22" s="38" t="s">
        <v>2503</v>
      </c>
      <c r="B22" s="38" t="s">
        <v>2504</v>
      </c>
      <c r="C22" s="38" t="s">
        <v>229</v>
      </c>
      <c r="D22" s="38" t="s">
        <v>2505</v>
      </c>
      <c r="E22" s="38" t="s">
        <v>92</v>
      </c>
      <c r="F22" s="39">
        <v>17.5</v>
      </c>
      <c r="G22" s="40">
        <v>0</v>
      </c>
      <c r="H22" s="41">
        <v>0</v>
      </c>
      <c r="I22" s="14">
        <v>1</v>
      </c>
      <c r="J22" s="42">
        <f>SUMIFS(COMPOSICIÓN!J$2:J$1879,COMPOSICIÓN!A$2:A$1879,A22,COMPOSICIÓN!B$2:B$1879,"MAT")</f>
        <v>2923.7665455000001</v>
      </c>
      <c r="K22" s="42">
        <f>SUMIFS(COMPOSICIÓN!J$2:J$1879,COMPOSICIÓN!A$2:A$1879,A22,COMPOSICIÓN!B$2:B$1879,"MO")*I22</f>
        <v>151420.168793144</v>
      </c>
      <c r="L22" s="42">
        <f>SUMIFS(COMPOSICIÓN!J$2:J$1879,COMPOSICIÓN!A$2:A$1879,A22,COMPOSICIÓN!B$2:B$1879,"EQ")</f>
        <v>4218.6844895549229</v>
      </c>
      <c r="M22" s="42">
        <f t="shared" si="0"/>
        <v>2923.7665455000001</v>
      </c>
      <c r="N22" s="42">
        <f t="shared" si="1"/>
        <v>8652.5810738939417</v>
      </c>
      <c r="O22" s="42">
        <f t="shared" si="2"/>
        <v>241.06768511742416</v>
      </c>
      <c r="P22" s="42">
        <f t="shared" si="3"/>
        <v>11817.415304511367</v>
      </c>
      <c r="Q22" s="15">
        <f>COUNTIF(COMPOSICIÓN!$A:$A,A22)</f>
        <v>15</v>
      </c>
      <c r="R22" s="43" t="s">
        <v>97</v>
      </c>
    </row>
    <row r="23" spans="1:18" ht="15" customHeight="1" x14ac:dyDescent="0.35">
      <c r="A23" s="38" t="s">
        <v>2506</v>
      </c>
      <c r="B23" s="38" t="s">
        <v>2507</v>
      </c>
      <c r="C23" s="38" t="s">
        <v>229</v>
      </c>
      <c r="D23" s="38" t="s">
        <v>2508</v>
      </c>
      <c r="E23" s="38" t="s">
        <v>92</v>
      </c>
      <c r="F23" s="39">
        <v>15.5</v>
      </c>
      <c r="G23" s="40">
        <v>0</v>
      </c>
      <c r="H23" s="41">
        <v>0</v>
      </c>
      <c r="I23" s="14">
        <v>1</v>
      </c>
      <c r="J23" s="42">
        <f>SUMIFS(COMPOSICIÓN!J$2:J$1879,COMPOSICIÓN!A$2:A$1879,A23,COMPOSICIÓN!B$2:B$1879,"MAT")</f>
        <v>2030.6880105000002</v>
      </c>
      <c r="K23" s="42">
        <f>SUMIFS(COMPOSICIÓN!J$2:J$1879,COMPOSICIÓN!A$2:A$1879,A23,COMPOSICIÓN!B$2:B$1879,"MO")*I23</f>
        <v>85927.097156571996</v>
      </c>
      <c r="L23" s="42">
        <f>SUMIFS(COMPOSICIÓN!J$2:J$1879,COMPOSICIÓN!A$2:A$1879,A23,COMPOSICIÓN!B$2:B$1879,"EQ")</f>
        <v>1923.8790390194536</v>
      </c>
      <c r="M23" s="42">
        <f t="shared" si="0"/>
        <v>2030.6880105000002</v>
      </c>
      <c r="N23" s="42">
        <f t="shared" si="1"/>
        <v>5543.6836875207737</v>
      </c>
      <c r="O23" s="42">
        <f t="shared" si="2"/>
        <v>124.12122832383571</v>
      </c>
      <c r="P23" s="42">
        <f t="shared" si="3"/>
        <v>7698.4929263446093</v>
      </c>
      <c r="Q23" s="15">
        <f>COUNTIF(COMPOSICIÓN!$A:$A,A23)</f>
        <v>11</v>
      </c>
      <c r="R23" s="43" t="s">
        <v>97</v>
      </c>
    </row>
    <row r="24" spans="1:18" ht="15" customHeight="1" x14ac:dyDescent="0.35">
      <c r="A24" s="38" t="s">
        <v>232</v>
      </c>
      <c r="B24" s="38" t="s">
        <v>2507</v>
      </c>
      <c r="C24" s="38" t="s">
        <v>229</v>
      </c>
      <c r="D24" s="38" t="s">
        <v>2508</v>
      </c>
      <c r="E24" s="38" t="s">
        <v>92</v>
      </c>
      <c r="F24" s="39">
        <v>15.5</v>
      </c>
      <c r="G24" s="40">
        <v>0</v>
      </c>
      <c r="H24" s="41">
        <v>0</v>
      </c>
      <c r="I24" s="14">
        <v>1</v>
      </c>
      <c r="J24" s="42">
        <f>SUMIFS(COMPOSICIÓN!J$2:J$1879,COMPOSICIÓN!A$2:A$1879,A24,COMPOSICIÓN!B$2:B$1879,"MAT")</f>
        <v>1824.9262730000005</v>
      </c>
      <c r="K24" s="42">
        <f>SUMIFS(COMPOSICIÓN!J$2:J$1879,COMPOSICIÓN!A$2:A$1879,A24,COMPOSICIÓN!B$2:B$1879,"MO")*I24</f>
        <v>224814.00775971601</v>
      </c>
      <c r="L24" s="42">
        <f>SUMIFS(COMPOSICIÓN!J$2:J$1879,COMPOSICIÓN!A$2:A$1879,A24,COMPOSICIÓN!B$2:B$1879,"EQ")</f>
        <v>3633.8557661540863</v>
      </c>
      <c r="M24" s="42">
        <f t="shared" si="0"/>
        <v>1824.9262730000005</v>
      </c>
      <c r="N24" s="42">
        <f t="shared" si="1"/>
        <v>14504.129532884905</v>
      </c>
      <c r="O24" s="42">
        <f t="shared" si="2"/>
        <v>234.44230749381202</v>
      </c>
      <c r="P24" s="42">
        <f t="shared" si="3"/>
        <v>16563.498113378719</v>
      </c>
      <c r="Q24" s="15">
        <f>COUNTIF(COMPOSICIÓN!$A:$A,A24)</f>
        <v>15</v>
      </c>
      <c r="R24" s="43" t="s">
        <v>97</v>
      </c>
    </row>
    <row r="25" spans="1:18" ht="15" customHeight="1" x14ac:dyDescent="0.35">
      <c r="A25" s="38" t="s">
        <v>2509</v>
      </c>
      <c r="B25" s="38" t="s">
        <v>2507</v>
      </c>
      <c r="C25" s="38" t="s">
        <v>94</v>
      </c>
      <c r="D25" s="38" t="s">
        <v>2508</v>
      </c>
      <c r="E25" s="38" t="s">
        <v>92</v>
      </c>
      <c r="F25" s="39">
        <v>15.5</v>
      </c>
      <c r="G25" s="40">
        <v>0</v>
      </c>
      <c r="H25" s="41">
        <v>0</v>
      </c>
      <c r="I25" s="14">
        <v>1</v>
      </c>
      <c r="J25" s="42">
        <f>SUMIFS(COMPOSICIÓN!J$2:J$1879,COMPOSICIÓN!A$2:A$1879,A25,COMPOSICIÓN!B$2:B$1879,"MAT")</f>
        <v>2030.6880105000002</v>
      </c>
      <c r="K25" s="42">
        <f>SUMIFS(COMPOSICIÓN!J$2:J$1879,COMPOSICIÓN!A$2:A$1879,A25,COMPOSICIÓN!B$2:B$1879,"MO")*I25</f>
        <v>85927.097156571996</v>
      </c>
      <c r="L25" s="42">
        <f>SUMIFS(COMPOSICIÓN!J$2:J$1879,COMPOSICIÓN!A$2:A$1879,A25,COMPOSICIÓN!B$2:B$1879,"EQ")</f>
        <v>1923.8790390194536</v>
      </c>
      <c r="M25" s="42">
        <f t="shared" si="0"/>
        <v>2030.6880105000002</v>
      </c>
      <c r="N25" s="42">
        <f t="shared" si="1"/>
        <v>5543.6836875207737</v>
      </c>
      <c r="O25" s="42">
        <f t="shared" si="2"/>
        <v>124.12122832383571</v>
      </c>
      <c r="P25" s="42">
        <f t="shared" si="3"/>
        <v>7698.4929263446093</v>
      </c>
      <c r="Q25" s="15">
        <f>COUNTIF(COMPOSICIÓN!$A:$A,A25)</f>
        <v>11</v>
      </c>
      <c r="R25" s="43" t="s">
        <v>97</v>
      </c>
    </row>
    <row r="26" spans="1:18" ht="15" customHeight="1" x14ac:dyDescent="0.35">
      <c r="A26" s="38" t="s">
        <v>2510</v>
      </c>
      <c r="B26" s="38" t="s">
        <v>2511</v>
      </c>
      <c r="C26" s="38" t="s">
        <v>229</v>
      </c>
      <c r="D26" s="38" t="s">
        <v>2512</v>
      </c>
      <c r="E26" s="38" t="s">
        <v>92</v>
      </c>
      <c r="F26" s="39">
        <v>8</v>
      </c>
      <c r="G26" s="40">
        <v>0</v>
      </c>
      <c r="H26" s="41">
        <v>0</v>
      </c>
      <c r="I26" s="14">
        <v>1</v>
      </c>
      <c r="J26" s="42">
        <f>SUMIFS(COMPOSICIÓN!J$2:J$1879,COMPOSICIÓN!A$2:A$1879,A26,COMPOSICIÓN!B$2:B$1879,"MAT")</f>
        <v>2585.0849325000004</v>
      </c>
      <c r="K26" s="42">
        <f>SUMIFS(COMPOSICIÓN!J$2:J$1879,COMPOSICIÓN!A$2:A$1879,A26,COMPOSICIÓN!B$2:B$1879,"MO")*I26</f>
        <v>85927.097156571996</v>
      </c>
      <c r="L26" s="42">
        <f>SUMIFS(COMPOSICIÓN!J$2:J$1879,COMPOSICIÓN!A$2:A$1879,A26,COMPOSICIÓN!B$2:B$1879,"EQ")</f>
        <v>1923.8790390194536</v>
      </c>
      <c r="M26" s="42">
        <f t="shared" si="0"/>
        <v>2585.0849325000004</v>
      </c>
      <c r="N26" s="42">
        <f t="shared" si="1"/>
        <v>10740.887144571499</v>
      </c>
      <c r="O26" s="42">
        <f t="shared" si="2"/>
        <v>240.48487987743169</v>
      </c>
      <c r="P26" s="42">
        <f t="shared" si="3"/>
        <v>13566.45695694893</v>
      </c>
      <c r="Q26" s="15">
        <f>COUNTIF(COMPOSICIÓN!$A:$A,A26)</f>
        <v>11</v>
      </c>
      <c r="R26" s="43" t="s">
        <v>97</v>
      </c>
    </row>
    <row r="27" spans="1:18" ht="15" customHeight="1" x14ac:dyDescent="0.35">
      <c r="A27" s="38" t="s">
        <v>2513</v>
      </c>
      <c r="B27" s="38" t="s">
        <v>2514</v>
      </c>
      <c r="C27" s="38" t="s">
        <v>229</v>
      </c>
      <c r="D27" s="38" t="s">
        <v>2515</v>
      </c>
      <c r="E27" s="38" t="s">
        <v>92</v>
      </c>
      <c r="F27" s="39">
        <v>20</v>
      </c>
      <c r="G27" s="40">
        <v>0</v>
      </c>
      <c r="H27" s="41">
        <v>0</v>
      </c>
      <c r="I27" s="14">
        <v>1</v>
      </c>
      <c r="J27" s="42">
        <f>SUMIFS(COMPOSICIÓN!J$2:J$1879,COMPOSICIÓN!A$2:A$1879,A27,COMPOSICIÓN!B$2:B$1879,"MAT")</f>
        <v>6000.9289690909127</v>
      </c>
      <c r="K27" s="42">
        <f>SUMIFS(COMPOSICIÓN!J$2:J$1879,COMPOSICIÓN!A$2:A$1879,A27,COMPOSICIÓN!B$2:B$1879,"MO")*I27</f>
        <v>224814.00775971601</v>
      </c>
      <c r="L27" s="42">
        <f>SUMIFS(COMPOSICIÓN!J$2:J$1879,COMPOSICIÓN!A$2:A$1879,A27,COMPOSICIÓN!B$2:B$1879,"EQ")</f>
        <v>3633.8557661540863</v>
      </c>
      <c r="M27" s="42">
        <f t="shared" si="0"/>
        <v>6000.9289690909127</v>
      </c>
      <c r="N27" s="42">
        <f t="shared" si="1"/>
        <v>11240.7003879858</v>
      </c>
      <c r="O27" s="42">
        <f t="shared" si="2"/>
        <v>181.69278830770432</v>
      </c>
      <c r="P27" s="42">
        <f t="shared" si="3"/>
        <v>17423.322145384416</v>
      </c>
      <c r="Q27" s="15">
        <f>COUNTIF(COMPOSICIÓN!$A:$A,A27)</f>
        <v>13</v>
      </c>
      <c r="R27" s="43" t="s">
        <v>97</v>
      </c>
    </row>
    <row r="28" spans="1:18" ht="15" customHeight="1" x14ac:dyDescent="0.35">
      <c r="A28" s="38" t="s">
        <v>190</v>
      </c>
      <c r="B28" s="38" t="s">
        <v>2516</v>
      </c>
      <c r="C28" s="38" t="s">
        <v>3030</v>
      </c>
      <c r="D28" s="38" t="s">
        <v>2517</v>
      </c>
      <c r="E28" s="38" t="s">
        <v>92</v>
      </c>
      <c r="F28" s="39">
        <v>13</v>
      </c>
      <c r="G28" s="40">
        <v>0</v>
      </c>
      <c r="H28" s="41">
        <v>0</v>
      </c>
      <c r="I28" s="14">
        <v>1</v>
      </c>
      <c r="J28" s="42">
        <f>SUMIFS(COMPOSICIÓN!J$2:J$1879,COMPOSICIÓN!A$2:A$1879,A28,COMPOSICIÓN!B$2:B$1879,"MAT")</f>
        <v>7156.2986004793383</v>
      </c>
      <c r="K28" s="42">
        <f>SUMIFS(COMPOSICIÓN!J$2:J$1879,COMPOSICIÓN!A$2:A$1879,A28,COMPOSICIÓN!B$2:B$1879,"MO")*I28</f>
        <v>142448.15134314401</v>
      </c>
      <c r="L28" s="42">
        <f>SUMIFS(COMPOSICIÓN!J$2:J$1879,COMPOSICIÓN!A$2:A$1879,A28,COMPOSICIÓN!B$2:B$1879,"EQ")</f>
        <v>2935.5656880707356</v>
      </c>
      <c r="M28" s="42">
        <f t="shared" si="0"/>
        <v>7156.2986004793383</v>
      </c>
      <c r="N28" s="42">
        <f t="shared" si="1"/>
        <v>10957.55010331877</v>
      </c>
      <c r="O28" s="42">
        <f t="shared" si="2"/>
        <v>225.81274523621045</v>
      </c>
      <c r="P28" s="42">
        <f t="shared" si="3"/>
        <v>18339.66144903432</v>
      </c>
      <c r="Q28" s="15">
        <f>COUNTIF(COMPOSICIÓN!$A:$A,A28)</f>
        <v>9</v>
      </c>
      <c r="R28" s="43" t="s">
        <v>97</v>
      </c>
    </row>
    <row r="29" spans="1:18" ht="15" customHeight="1" x14ac:dyDescent="0.35">
      <c r="A29" s="38" t="s">
        <v>200</v>
      </c>
      <c r="B29" s="38" t="s">
        <v>2518</v>
      </c>
      <c r="C29" s="38" t="s">
        <v>3030</v>
      </c>
      <c r="D29" s="38" t="s">
        <v>2519</v>
      </c>
      <c r="E29" s="38" t="s">
        <v>92</v>
      </c>
      <c r="F29" s="39">
        <v>10</v>
      </c>
      <c r="G29" s="40">
        <v>0</v>
      </c>
      <c r="H29" s="41">
        <v>0</v>
      </c>
      <c r="I29" s="14">
        <v>1</v>
      </c>
      <c r="J29" s="42">
        <f>SUMIFS(COMPOSICIÓN!J$2:J$1879,COMPOSICIÓN!A$2:A$1879,A29,COMPOSICIÓN!B$2:B$1879,"MAT")</f>
        <v>7156.2986004793383</v>
      </c>
      <c r="K29" s="42">
        <f>SUMIFS(COMPOSICIÓN!J$2:J$1879,COMPOSICIÓN!A$2:A$1879,A29,COMPOSICIÓN!B$2:B$1879,"MO")*I29</f>
        <v>142448.15134314401</v>
      </c>
      <c r="L29" s="42">
        <f>SUMIFS(COMPOSICIÓN!J$2:J$1879,COMPOSICIÓN!A$2:A$1879,A29,COMPOSICIÓN!B$2:B$1879,"EQ")</f>
        <v>2935.5656880707356</v>
      </c>
      <c r="M29" s="42">
        <f t="shared" si="0"/>
        <v>7156.2986004793383</v>
      </c>
      <c r="N29" s="42">
        <f t="shared" si="1"/>
        <v>14244.815134314402</v>
      </c>
      <c r="O29" s="42">
        <f t="shared" si="2"/>
        <v>293.55656880707357</v>
      </c>
      <c r="P29" s="42">
        <f t="shared" si="3"/>
        <v>21694.670303600815</v>
      </c>
      <c r="Q29" s="15">
        <f>COUNTIF(COMPOSICIÓN!$A:$A,A29)</f>
        <v>9</v>
      </c>
      <c r="R29" s="43" t="s">
        <v>97</v>
      </c>
    </row>
    <row r="30" spans="1:18" ht="15" customHeight="1" x14ac:dyDescent="0.35">
      <c r="A30" s="38" t="s">
        <v>209</v>
      </c>
      <c r="B30" s="38" t="s">
        <v>2520</v>
      </c>
      <c r="C30" s="38" t="s">
        <v>3030</v>
      </c>
      <c r="D30" s="38" t="s">
        <v>2521</v>
      </c>
      <c r="E30" s="38" t="s">
        <v>28</v>
      </c>
      <c r="F30" s="39">
        <v>30</v>
      </c>
      <c r="G30" s="40">
        <v>0</v>
      </c>
      <c r="H30" s="41">
        <v>0</v>
      </c>
      <c r="I30" s="14">
        <v>1</v>
      </c>
      <c r="J30" s="42">
        <f>SUMIFS(COMPOSICIÓN!J$2:J$1879,COMPOSICIÓN!A$2:A$1879,A30,COMPOSICIÓN!B$2:B$1879,"MAT")</f>
        <v>1066.3432439999999</v>
      </c>
      <c r="K30" s="42">
        <f>SUMIFS(COMPOSICIÓN!J$2:J$1879,COMPOSICIÓN!A$2:A$1879,A30,COMPOSICIÓN!B$2:B$1879,"MO")*I30</f>
        <v>142448.15134314401</v>
      </c>
      <c r="L30" s="42">
        <f>SUMIFS(COMPOSICIÓN!J$2:J$1879,COMPOSICIÓN!A$2:A$1879,A30,COMPOSICIÓN!B$2:B$1879,"EQ")</f>
        <v>2935.5656880707356</v>
      </c>
      <c r="M30" s="42">
        <f t="shared" si="0"/>
        <v>1066.3432439999999</v>
      </c>
      <c r="N30" s="42">
        <f t="shared" si="1"/>
        <v>4748.2717114381339</v>
      </c>
      <c r="O30" s="42">
        <f t="shared" si="2"/>
        <v>97.852189602357853</v>
      </c>
      <c r="P30" s="42">
        <f t="shared" si="3"/>
        <v>5912.4671450404912</v>
      </c>
      <c r="Q30" s="15">
        <f>COUNTIF(COMPOSICIÓN!$A:$A,A30)</f>
        <v>8</v>
      </c>
      <c r="R30" s="43" t="s">
        <v>97</v>
      </c>
    </row>
    <row r="31" spans="1:18" ht="15" customHeight="1" x14ac:dyDescent="0.35">
      <c r="A31" s="38" t="s">
        <v>2522</v>
      </c>
      <c r="B31" s="38" t="s">
        <v>2523</v>
      </c>
      <c r="C31" s="38" t="s">
        <v>229</v>
      </c>
      <c r="D31" s="38" t="s">
        <v>2524</v>
      </c>
      <c r="E31" s="38" t="s">
        <v>92</v>
      </c>
      <c r="F31" s="39">
        <v>11</v>
      </c>
      <c r="G31" s="40">
        <v>0</v>
      </c>
      <c r="H31" s="41">
        <v>0</v>
      </c>
      <c r="I31" s="14">
        <v>1</v>
      </c>
      <c r="J31" s="42">
        <f>SUMIFS(COMPOSICIÓN!J$2:J$1879,COMPOSICIÓN!A$2:A$1879,A31,COMPOSICIÓN!B$2:B$1879,"MAT")</f>
        <v>3484.5652355000002</v>
      </c>
      <c r="K31" s="42">
        <f>SUMIFS(COMPOSICIÓN!J$2:J$1879,COMPOSICIÓN!A$2:A$1879,A31,COMPOSICIÓN!B$2:B$1879,"MO")*I31</f>
        <v>151420.168793144</v>
      </c>
      <c r="L31" s="42">
        <f>SUMIFS(COMPOSICIÓN!J$2:J$1879,COMPOSICIÓN!A$2:A$1879,A31,COMPOSICIÓN!B$2:B$1879,"EQ")</f>
        <v>3647.5049985741621</v>
      </c>
      <c r="M31" s="42">
        <f t="shared" si="0"/>
        <v>3484.5652355000002</v>
      </c>
      <c r="N31" s="42">
        <f t="shared" si="1"/>
        <v>13765.469890285818</v>
      </c>
      <c r="O31" s="42">
        <f t="shared" si="2"/>
        <v>331.59136350674203</v>
      </c>
      <c r="P31" s="42">
        <f t="shared" si="3"/>
        <v>17581.626489292561</v>
      </c>
      <c r="Q31" s="15">
        <f>COUNTIF(COMPOSICIÓN!$A:$A,A31)</f>
        <v>14</v>
      </c>
      <c r="R31" s="43" t="s">
        <v>97</v>
      </c>
    </row>
    <row r="32" spans="1:18" ht="15" customHeight="1" x14ac:dyDescent="0.35">
      <c r="A32" s="38" t="s">
        <v>2525</v>
      </c>
      <c r="B32" s="38" t="s">
        <v>2526</v>
      </c>
      <c r="C32" s="38" t="s">
        <v>3026</v>
      </c>
      <c r="D32" s="38" t="s">
        <v>2527</v>
      </c>
      <c r="E32" s="38" t="s">
        <v>92</v>
      </c>
      <c r="F32" s="39">
        <v>9.5</v>
      </c>
      <c r="G32" s="40">
        <v>0</v>
      </c>
      <c r="H32" s="41">
        <v>0</v>
      </c>
      <c r="I32" s="14">
        <v>1</v>
      </c>
      <c r="J32" s="42">
        <f>SUMIFS(COMPOSICIÓN!J$2:J$1879,COMPOSICIÓN!A$2:A$1879,A32,COMPOSICIÓN!B$2:B$1879,"MAT")</f>
        <v>10671.936802390734</v>
      </c>
      <c r="K32" s="42">
        <f>SUMIFS(COMPOSICIÓN!J$2:J$1879,COMPOSICIÓN!A$2:A$1879,A32,COMPOSICIÓN!B$2:B$1879,"MO")*I32</f>
        <v>151420.168793144</v>
      </c>
      <c r="L32" s="42">
        <f>SUMIFS(COMPOSICIÓN!J$2:J$1879,COMPOSICIÓN!A$2:A$1879,A32,COMPOSICIÓN!B$2:B$1879,"EQ")</f>
        <v>2505.4362411742591</v>
      </c>
      <c r="M32" s="42">
        <f t="shared" si="0"/>
        <v>10671.936802390734</v>
      </c>
      <c r="N32" s="42">
        <f t="shared" si="1"/>
        <v>15938.965136120421</v>
      </c>
      <c r="O32" s="42">
        <f t="shared" si="2"/>
        <v>263.73013064992199</v>
      </c>
      <c r="P32" s="42">
        <f t="shared" si="3"/>
        <v>26874.632069161074</v>
      </c>
      <c r="Q32" s="15">
        <f>COUNTIF(COMPOSICIÓN!$A:$A,A32)</f>
        <v>12</v>
      </c>
      <c r="R32" s="43" t="s">
        <v>97</v>
      </c>
    </row>
    <row r="33" spans="1:18" ht="15" customHeight="1" x14ac:dyDescent="0.35">
      <c r="A33" s="38" t="s">
        <v>2528</v>
      </c>
      <c r="B33" s="38" t="s">
        <v>2529</v>
      </c>
      <c r="C33" s="38" t="s">
        <v>3026</v>
      </c>
      <c r="D33" s="38" t="s">
        <v>2530</v>
      </c>
      <c r="E33" s="38" t="s">
        <v>92</v>
      </c>
      <c r="F33" s="39">
        <v>9.5</v>
      </c>
      <c r="G33" s="40">
        <v>0</v>
      </c>
      <c r="H33" s="41">
        <v>0</v>
      </c>
      <c r="I33" s="14">
        <v>1</v>
      </c>
      <c r="J33" s="42">
        <f>SUMIFS(COMPOSICIÓN!J$2:J$1879,COMPOSICIÓN!A$2:A$1879,A33,COMPOSICIÓN!B$2:B$1879,"MAT")</f>
        <v>14660.054765467656</v>
      </c>
      <c r="K33" s="42">
        <f>SUMIFS(COMPOSICIÓN!J$2:J$1879,COMPOSICIÓN!A$2:A$1879,A33,COMPOSICIÓN!B$2:B$1879,"MO")*I33</f>
        <v>151420.168793144</v>
      </c>
      <c r="L33" s="42">
        <f>SUMIFS(COMPOSICIÓN!J$2:J$1879,COMPOSICIÓN!A$2:A$1879,A33,COMPOSICIÓN!B$2:B$1879,"EQ")</f>
        <v>2505.4362411742591</v>
      </c>
      <c r="M33" s="42">
        <f t="shared" si="0"/>
        <v>14660.054765467656</v>
      </c>
      <c r="N33" s="42">
        <f t="shared" si="1"/>
        <v>15938.965136120421</v>
      </c>
      <c r="O33" s="42">
        <f t="shared" si="2"/>
        <v>263.73013064992199</v>
      </c>
      <c r="P33" s="42">
        <f t="shared" si="3"/>
        <v>30862.750032238</v>
      </c>
      <c r="Q33" s="15">
        <f>COUNTIF(COMPOSICIÓN!$A:$A,A33)</f>
        <v>12</v>
      </c>
      <c r="R33" s="43" t="s">
        <v>97</v>
      </c>
    </row>
    <row r="34" spans="1:18" ht="15" customHeight="1" x14ac:dyDescent="0.35">
      <c r="A34" s="38" t="s">
        <v>2531</v>
      </c>
      <c r="B34" s="38" t="s">
        <v>2532</v>
      </c>
      <c r="C34" s="38" t="s">
        <v>3026</v>
      </c>
      <c r="D34" s="38" t="s">
        <v>2533</v>
      </c>
      <c r="E34" s="38" t="s">
        <v>92</v>
      </c>
      <c r="F34" s="39">
        <v>9.5</v>
      </c>
      <c r="G34" s="40">
        <v>0</v>
      </c>
      <c r="H34" s="41">
        <v>0</v>
      </c>
      <c r="I34" s="14">
        <v>1</v>
      </c>
      <c r="J34" s="42">
        <f>SUMIFS(COMPOSICIÓN!J$2:J$1879,COMPOSICIÓN!A$2:A$1879,A34,COMPOSICIÓN!B$2:B$1879,"MAT")</f>
        <v>13890.956502567657</v>
      </c>
      <c r="K34" s="42">
        <f>SUMIFS(COMPOSICIÓN!J$2:J$1879,COMPOSICIÓN!A$2:A$1879,A34,COMPOSICIÓN!B$2:B$1879,"MO")*I34</f>
        <v>151420.168793144</v>
      </c>
      <c r="L34" s="42">
        <f>SUMIFS(COMPOSICIÓN!J$2:J$1879,COMPOSICIÓN!A$2:A$1879,A34,COMPOSICIÓN!B$2:B$1879,"EQ")</f>
        <v>2505.4362411742591</v>
      </c>
      <c r="M34" s="42">
        <f t="shared" si="0"/>
        <v>13890.956502567657</v>
      </c>
      <c r="N34" s="42">
        <f t="shared" si="1"/>
        <v>15938.965136120421</v>
      </c>
      <c r="O34" s="42">
        <f t="shared" si="2"/>
        <v>263.73013064992199</v>
      </c>
      <c r="P34" s="42">
        <f t="shared" si="3"/>
        <v>30093.651769338001</v>
      </c>
      <c r="Q34" s="15">
        <f>COUNTIF(COMPOSICIÓN!$A:$A,A34)</f>
        <v>12</v>
      </c>
      <c r="R34" s="43" t="s">
        <v>97</v>
      </c>
    </row>
    <row r="35" spans="1:18" ht="15" customHeight="1" x14ac:dyDescent="0.35">
      <c r="A35" s="38" t="s">
        <v>2534</v>
      </c>
      <c r="B35" s="38" t="s">
        <v>2535</v>
      </c>
      <c r="C35" s="38" t="s">
        <v>3026</v>
      </c>
      <c r="D35" s="38" t="s">
        <v>2536</v>
      </c>
      <c r="E35" s="38" t="s">
        <v>92</v>
      </c>
      <c r="F35" s="39">
        <v>10</v>
      </c>
      <c r="G35" s="40">
        <v>0</v>
      </c>
      <c r="H35" s="41">
        <v>0</v>
      </c>
      <c r="I35" s="14">
        <v>1</v>
      </c>
      <c r="J35" s="42">
        <f>SUMIFS(COMPOSICIÓN!J$2:J$1879,COMPOSICIÓN!A$2:A$1879,A35,COMPOSICIÓN!B$2:B$1879,"MAT")</f>
        <v>5516.6995661157061</v>
      </c>
      <c r="K35" s="42">
        <f>SUMIFS(COMPOSICIÓN!J$2:J$1879,COMPOSICIÓN!A$2:A$1879,A35,COMPOSICIÓN!B$2:B$1879,"MO")*I35</f>
        <v>151420.168793144</v>
      </c>
      <c r="L35" s="42">
        <f>SUMIFS(COMPOSICIÓN!J$2:J$1879,COMPOSICIÓN!A$2:A$1879,A35,COMPOSICIÓN!B$2:B$1879,"EQ")</f>
        <v>2505.4362411742591</v>
      </c>
      <c r="M35" s="42">
        <f t="shared" si="0"/>
        <v>5516.6995661157061</v>
      </c>
      <c r="N35" s="42">
        <f t="shared" si="1"/>
        <v>15142.0168793144</v>
      </c>
      <c r="O35" s="42">
        <f t="shared" si="2"/>
        <v>250.54362411742591</v>
      </c>
      <c r="P35" s="42">
        <f t="shared" si="3"/>
        <v>20909.26006954753</v>
      </c>
      <c r="Q35" s="15">
        <f>COUNTIF(COMPOSICIÓN!$A:$A,A35)</f>
        <v>9</v>
      </c>
      <c r="R35" s="43" t="s">
        <v>97</v>
      </c>
    </row>
    <row r="36" spans="1:18" ht="15" customHeight="1" x14ac:dyDescent="0.35">
      <c r="A36" s="38" t="s">
        <v>2537</v>
      </c>
      <c r="B36" s="38" t="s">
        <v>2538</v>
      </c>
      <c r="C36" s="38" t="s">
        <v>3026</v>
      </c>
      <c r="D36" s="38" t="s">
        <v>2539</v>
      </c>
      <c r="E36" s="38" t="s">
        <v>92</v>
      </c>
      <c r="F36" s="39">
        <v>7</v>
      </c>
      <c r="G36" s="40">
        <v>0</v>
      </c>
      <c r="H36" s="41">
        <v>0</v>
      </c>
      <c r="I36" s="14">
        <v>1</v>
      </c>
      <c r="J36" s="42">
        <f>SUMIFS(COMPOSICIÓN!J$2:J$1879,COMPOSICIÓN!A$2:A$1879,A36,COMPOSICIÓN!B$2:B$1879,"MAT")</f>
        <v>16385.364651327327</v>
      </c>
      <c r="K36" s="42">
        <f>SUMIFS(COMPOSICIÓN!J$2:J$1879,COMPOSICIÓN!A$2:A$1879,A36,COMPOSICIÓN!B$2:B$1879,"MO")*I36</f>
        <v>151420.168793144</v>
      </c>
      <c r="L36" s="42">
        <f>SUMIFS(COMPOSICIÓN!J$2:J$1879,COMPOSICIÓN!A$2:A$1879,A36,COMPOSICIÓN!B$2:B$1879,"EQ")</f>
        <v>2435.3371948771046</v>
      </c>
      <c r="M36" s="42">
        <f t="shared" si="0"/>
        <v>16385.364651327327</v>
      </c>
      <c r="N36" s="42">
        <f t="shared" si="1"/>
        <v>21631.452684734857</v>
      </c>
      <c r="O36" s="42">
        <f t="shared" si="2"/>
        <v>347.90531355387208</v>
      </c>
      <c r="P36" s="42">
        <f t="shared" si="3"/>
        <v>38364.722649616058</v>
      </c>
      <c r="Q36" s="15">
        <f>COUNTIF(COMPOSICIÓN!$A:$A,A36)</f>
        <v>12</v>
      </c>
      <c r="R36" s="43" t="s">
        <v>97</v>
      </c>
    </row>
    <row r="37" spans="1:18" ht="15" customHeight="1" x14ac:dyDescent="0.35">
      <c r="A37" s="38" t="s">
        <v>2540</v>
      </c>
      <c r="B37" s="38" t="s">
        <v>2541</v>
      </c>
      <c r="C37" s="38" t="s">
        <v>3026</v>
      </c>
      <c r="D37" s="38" t="s">
        <v>2542</v>
      </c>
      <c r="E37" s="38" t="s">
        <v>92</v>
      </c>
      <c r="F37" s="39">
        <v>6</v>
      </c>
      <c r="G37" s="40">
        <v>0</v>
      </c>
      <c r="H37" s="41">
        <v>0</v>
      </c>
      <c r="I37" s="14">
        <v>1</v>
      </c>
      <c r="J37" s="42">
        <f>SUMIFS(COMPOSICIÓN!J$2:J$1879,COMPOSICIÓN!A$2:A$1879,A37,COMPOSICIÓN!B$2:B$1879,"MAT")</f>
        <v>30235.032862582299</v>
      </c>
      <c r="K37" s="42">
        <f>SUMIFS(COMPOSICIÓN!J$2:J$1879,COMPOSICIÓN!A$2:A$1879,A37,COMPOSICIÓN!B$2:B$1879,"MO")*I37</f>
        <v>151420.168793144</v>
      </c>
      <c r="L37" s="42">
        <f>SUMIFS(COMPOSICIÓN!J$2:J$1879,COMPOSICIÓN!A$2:A$1879,A37,COMPOSICIÓN!B$2:B$1879,"EQ")</f>
        <v>2435.3371948771046</v>
      </c>
      <c r="M37" s="42">
        <f t="shared" si="0"/>
        <v>30235.032862582299</v>
      </c>
      <c r="N37" s="42">
        <f t="shared" si="1"/>
        <v>25236.694798857334</v>
      </c>
      <c r="O37" s="42">
        <f t="shared" si="2"/>
        <v>405.88953247951741</v>
      </c>
      <c r="P37" s="42">
        <f t="shared" si="3"/>
        <v>55877.617193919148</v>
      </c>
      <c r="Q37" s="15">
        <f>COUNTIF(COMPOSICIÓN!$A:$A,A37)</f>
        <v>14</v>
      </c>
      <c r="R37" s="43" t="s">
        <v>97</v>
      </c>
    </row>
    <row r="38" spans="1:18" ht="15" customHeight="1" x14ac:dyDescent="0.35">
      <c r="A38" s="38" t="s">
        <v>2543</v>
      </c>
      <c r="B38" s="38" t="s">
        <v>2544</v>
      </c>
      <c r="C38" s="38" t="s">
        <v>3026</v>
      </c>
      <c r="D38" s="38" t="s">
        <v>2545</v>
      </c>
      <c r="E38" s="38" t="s">
        <v>92</v>
      </c>
      <c r="F38" s="39">
        <v>11</v>
      </c>
      <c r="G38" s="40">
        <v>0</v>
      </c>
      <c r="H38" s="41">
        <v>0</v>
      </c>
      <c r="I38" s="14">
        <v>1</v>
      </c>
      <c r="J38" s="42">
        <f>SUMIFS(COMPOSICIÓN!J$2:J$1879,COMPOSICIÓN!A$2:A$1879,A38,COMPOSICIÓN!B$2:B$1879,"MAT")</f>
        <v>11458.429155160246</v>
      </c>
      <c r="K38" s="42">
        <f>SUMIFS(COMPOSICIÓN!J$2:J$1879,COMPOSICIÓN!A$2:A$1879,A38,COMPOSICIÓN!B$2:B$1879,"MO")*I38</f>
        <v>151420.168793144</v>
      </c>
      <c r="L38" s="42">
        <f>SUMIFS(COMPOSICIÓN!J$2:J$1879,COMPOSICIÓN!A$2:A$1879,A38,COMPOSICIÓN!B$2:B$1879,"EQ")</f>
        <v>2435.3371948771046</v>
      </c>
      <c r="M38" s="42">
        <f t="shared" si="0"/>
        <v>11458.429155160246</v>
      </c>
      <c r="N38" s="42">
        <f t="shared" si="1"/>
        <v>13765.469890285818</v>
      </c>
      <c r="O38" s="42">
        <f t="shared" si="2"/>
        <v>221.39429044337314</v>
      </c>
      <c r="P38" s="42">
        <f t="shared" si="3"/>
        <v>25445.293335889437</v>
      </c>
      <c r="Q38" s="15">
        <f>COUNTIF(COMPOSICIÓN!$A:$A,A38)</f>
        <v>12</v>
      </c>
      <c r="R38" s="43" t="s">
        <v>97</v>
      </c>
    </row>
    <row r="39" spans="1:18" ht="15" customHeight="1" x14ac:dyDescent="0.35">
      <c r="A39" s="38" t="s">
        <v>2546</v>
      </c>
      <c r="B39" s="38" t="s">
        <v>2547</v>
      </c>
      <c r="C39" s="38" t="s">
        <v>229</v>
      </c>
      <c r="D39" s="38" t="s">
        <v>2548</v>
      </c>
      <c r="E39" s="38" t="s">
        <v>92</v>
      </c>
      <c r="F39" s="39">
        <v>20</v>
      </c>
      <c r="G39" s="40">
        <v>0</v>
      </c>
      <c r="H39" s="41">
        <v>0</v>
      </c>
      <c r="I39" s="14">
        <v>1</v>
      </c>
      <c r="J39" s="42">
        <f>SUMIFS(COMPOSICIÓN!J$2:J$1879,COMPOSICIÓN!A$2:A$1879,A39,COMPOSICIÓN!B$2:B$1879,"MAT")</f>
        <v>2867.7200015000003</v>
      </c>
      <c r="K39" s="42">
        <f>SUMIFS(COMPOSICIÓN!J$2:J$1879,COMPOSICIÓN!A$2:A$1879,A39,COMPOSICIÓN!B$2:B$1879,"MO")*I39</f>
        <v>151420.168793144</v>
      </c>
      <c r="L39" s="42">
        <f>SUMIFS(COMPOSICIÓN!J$2:J$1879,COMPOSICIÓN!A$2:A$1879,A39,COMPOSICIÓN!B$2:B$1879,"EQ")</f>
        <v>1923.8790390194536</v>
      </c>
      <c r="M39" s="42">
        <f t="shared" si="0"/>
        <v>2867.7200015000003</v>
      </c>
      <c r="N39" s="42">
        <f t="shared" si="1"/>
        <v>7571.0084396572001</v>
      </c>
      <c r="O39" s="42">
        <f t="shared" si="2"/>
        <v>96.193951950972675</v>
      </c>
      <c r="P39" s="42">
        <f t="shared" si="3"/>
        <v>10534.922393108172</v>
      </c>
      <c r="Q39" s="15">
        <f>COUNTIF(COMPOSICIÓN!$A:$A,A39)</f>
        <v>13</v>
      </c>
      <c r="R39" s="43" t="s">
        <v>97</v>
      </c>
    </row>
    <row r="40" spans="1:18" ht="15" customHeight="1" x14ac:dyDescent="0.35">
      <c r="A40" s="38" t="s">
        <v>2549</v>
      </c>
      <c r="B40" s="38" t="s">
        <v>2550</v>
      </c>
      <c r="C40" s="38" t="s">
        <v>94</v>
      </c>
      <c r="D40" s="38" t="s">
        <v>2551</v>
      </c>
      <c r="E40" s="38" t="s">
        <v>92</v>
      </c>
      <c r="F40" s="39">
        <v>15</v>
      </c>
      <c r="G40" s="40">
        <v>0</v>
      </c>
      <c r="H40" s="41">
        <v>0</v>
      </c>
      <c r="I40" s="14">
        <v>1</v>
      </c>
      <c r="J40" s="42">
        <f>SUMIFS(COMPOSICIÓN!J$2:J$1879,COMPOSICIÓN!A$2:A$1879,A40,COMPOSICIÓN!B$2:B$1879,"MAT")</f>
        <v>11850.054915000001</v>
      </c>
      <c r="K40" s="42">
        <f>SUMIFS(COMPOSICIÓN!J$2:J$1879,COMPOSICIÓN!A$2:A$1879,A40,COMPOSICIÓN!B$2:B$1879,"MO")*I40</f>
        <v>146787.677933144</v>
      </c>
      <c r="L40" s="42">
        <f>SUMIFS(COMPOSICIÓN!J$2:J$1879,COMPOSICIÓN!A$2:A$1879,A40,COMPOSICIÓN!B$2:B$1879,"EQ")</f>
        <v>3529.9786867371336</v>
      </c>
      <c r="M40" s="42">
        <f t="shared" si="0"/>
        <v>11850.054915000001</v>
      </c>
      <c r="N40" s="42">
        <f t="shared" si="1"/>
        <v>9785.8451955429337</v>
      </c>
      <c r="O40" s="42">
        <f t="shared" si="2"/>
        <v>235.33191244914224</v>
      </c>
      <c r="P40" s="42">
        <f t="shared" si="3"/>
        <v>21871.232022992077</v>
      </c>
      <c r="Q40" s="15">
        <f>COUNTIF(COMPOSICIÓN!$A:$A,A40)</f>
        <v>10</v>
      </c>
      <c r="R40" s="43" t="s">
        <v>97</v>
      </c>
    </row>
    <row r="41" spans="1:18" ht="15" customHeight="1" x14ac:dyDescent="0.35">
      <c r="A41" s="38" t="s">
        <v>2552</v>
      </c>
      <c r="B41" s="38" t="s">
        <v>2553</v>
      </c>
      <c r="C41" s="38" t="s">
        <v>94</v>
      </c>
      <c r="D41" s="38" t="s">
        <v>2554</v>
      </c>
      <c r="E41" s="38" t="s">
        <v>92</v>
      </c>
      <c r="F41" s="39">
        <v>25</v>
      </c>
      <c r="G41" s="40">
        <v>0</v>
      </c>
      <c r="H41" s="41">
        <v>0</v>
      </c>
      <c r="I41" s="14">
        <v>1</v>
      </c>
      <c r="J41" s="42">
        <f>SUMIFS(COMPOSICIÓN!J$2:J$1879,COMPOSICIÓN!A$2:A$1879,A41,COMPOSICIÓN!B$2:B$1879,"MAT")</f>
        <v>9769.153779067954</v>
      </c>
      <c r="K41" s="42">
        <f>SUMIFS(COMPOSICIÓN!J$2:J$1879,COMPOSICIÓN!A$2:A$1879,A41,COMPOSICIÓN!B$2:B$1879,"MO")*I41</f>
        <v>146787.677933144</v>
      </c>
      <c r="L41" s="42">
        <f>SUMIFS(COMPOSICIÓN!J$2:J$1879,COMPOSICIÓN!A$2:A$1879,A41,COMPOSICIÓN!B$2:B$1879,"EQ")</f>
        <v>804.50568716120006</v>
      </c>
      <c r="M41" s="42">
        <f t="shared" si="0"/>
        <v>9769.153779067954</v>
      </c>
      <c r="N41" s="42">
        <f t="shared" si="1"/>
        <v>5871.5071173257602</v>
      </c>
      <c r="O41" s="42">
        <f t="shared" si="2"/>
        <v>32.180227486448004</v>
      </c>
      <c r="P41" s="42">
        <f t="shared" si="3"/>
        <v>15672.841123880162</v>
      </c>
      <c r="Q41" s="15">
        <f>COUNTIF(COMPOSICIÓN!$A:$A,A41)</f>
        <v>11</v>
      </c>
      <c r="R41" s="43" t="s">
        <v>97</v>
      </c>
    </row>
    <row r="42" spans="1:18" ht="15" customHeight="1" x14ac:dyDescent="0.35">
      <c r="A42" s="38" t="s">
        <v>2555</v>
      </c>
      <c r="B42" s="38" t="s">
        <v>2556</v>
      </c>
      <c r="C42" s="38" t="s">
        <v>229</v>
      </c>
      <c r="D42" s="38" t="s">
        <v>2557</v>
      </c>
      <c r="E42" s="38" t="s">
        <v>92</v>
      </c>
      <c r="F42" s="39">
        <v>50</v>
      </c>
      <c r="G42" s="40">
        <v>0</v>
      </c>
      <c r="H42" s="41">
        <v>0</v>
      </c>
      <c r="I42" s="14">
        <v>1</v>
      </c>
      <c r="J42" s="42">
        <f>SUMIFS(COMPOSICIÓN!J$2:J$1879,COMPOSICIÓN!A$2:A$1879,A42,COMPOSICIÓN!B$2:B$1879,"MAT")</f>
        <v>7823.6498845454498</v>
      </c>
      <c r="K42" s="42">
        <f>SUMIFS(COMPOSICIÓN!J$2:J$1879,COMPOSICIÓN!A$2:A$1879,A42,COMPOSICIÓN!B$2:B$1879,"MO")*I42</f>
        <v>137815.66048314399</v>
      </c>
      <c r="L42" s="42">
        <f>SUMIFS(COMPOSICIÓN!J$2:J$1879,COMPOSICIÓN!A$2:A$1879,A42,COMPOSICIÓN!B$2:B$1879,"EQ")</f>
        <v>1863.8240521490175</v>
      </c>
      <c r="M42" s="42">
        <f t="shared" si="0"/>
        <v>7823.6498845454498</v>
      </c>
      <c r="N42" s="42">
        <f t="shared" si="1"/>
        <v>2756.3132096628797</v>
      </c>
      <c r="O42" s="42">
        <f t="shared" si="2"/>
        <v>37.27648104298035</v>
      </c>
      <c r="P42" s="42">
        <f t="shared" si="3"/>
        <v>10617.239575251309</v>
      </c>
      <c r="Q42" s="15">
        <f>COUNTIF(COMPOSICIÓN!$A:$A,A42)</f>
        <v>9</v>
      </c>
      <c r="R42" s="43" t="s">
        <v>97</v>
      </c>
    </row>
    <row r="43" spans="1:18" ht="15" customHeight="1" x14ac:dyDescent="0.35">
      <c r="A43" s="38" t="s">
        <v>2558</v>
      </c>
      <c r="B43" s="38" t="s">
        <v>2559</v>
      </c>
      <c r="C43" s="38" t="s">
        <v>141</v>
      </c>
      <c r="D43" s="38" t="s">
        <v>2560</v>
      </c>
      <c r="E43" s="38" t="s">
        <v>92</v>
      </c>
      <c r="F43" s="39">
        <v>35</v>
      </c>
      <c r="G43" s="40">
        <v>0</v>
      </c>
      <c r="H43" s="41">
        <v>0</v>
      </c>
      <c r="I43" s="14">
        <v>1</v>
      </c>
      <c r="J43" s="42">
        <f>SUMIFS(COMPOSICIÓN!J$2:J$1879,COMPOSICIÓN!A$2:A$1879,A43,COMPOSICIÓN!B$2:B$1879,"MAT")</f>
        <v>53925.470500000003</v>
      </c>
      <c r="K43" s="42">
        <f>SUMIFS(COMPOSICIÓN!J$2:J$1879,COMPOSICIÓN!A$2:A$1879,A43,COMPOSICIÓN!B$2:B$1879,"MO")*I43</f>
        <v>242711.03995800199</v>
      </c>
      <c r="L43" s="42">
        <f>SUMIFS(COMPOSICIÓN!J$2:J$1879,COMPOSICIÓN!A$2:A$1879,A43,COMPOSICIÓN!B$2:B$1879,"EQ")</f>
        <v>43858.315236077564</v>
      </c>
      <c r="M43" s="42">
        <f t="shared" si="0"/>
        <v>53925.470500000003</v>
      </c>
      <c r="N43" s="42">
        <f t="shared" si="1"/>
        <v>6934.6011416572001</v>
      </c>
      <c r="O43" s="42">
        <f t="shared" si="2"/>
        <v>1253.0947210307875</v>
      </c>
      <c r="P43" s="42">
        <f t="shared" si="3"/>
        <v>62113.166362687989</v>
      </c>
      <c r="Q43" s="15">
        <f>COUNTIF(COMPOSICIÓN!$A:$A,A43)</f>
        <v>8</v>
      </c>
      <c r="R43" s="43" t="s">
        <v>97</v>
      </c>
    </row>
    <row r="44" spans="1:18" ht="15" customHeight="1" x14ac:dyDescent="0.35">
      <c r="A44" s="38" t="s">
        <v>2561</v>
      </c>
      <c r="B44" s="38" t="s">
        <v>2562</v>
      </c>
      <c r="C44" s="38" t="s">
        <v>229</v>
      </c>
      <c r="D44" s="38" t="s">
        <v>2563</v>
      </c>
      <c r="E44" s="38" t="s">
        <v>92</v>
      </c>
      <c r="F44" s="39">
        <v>20</v>
      </c>
      <c r="G44" s="40">
        <v>0</v>
      </c>
      <c r="H44" s="41">
        <v>0</v>
      </c>
      <c r="I44" s="14">
        <v>1</v>
      </c>
      <c r="J44" s="42">
        <f>SUMIFS(COMPOSICIÓN!J$2:J$1879,COMPOSICIÓN!A$2:A$1879,A44,COMPOSICIÓN!B$2:B$1879,"MAT")</f>
        <v>2063.0532525000003</v>
      </c>
      <c r="K44" s="42">
        <f>SUMIFS(COMPOSICIÓN!J$2:J$1879,COMPOSICIÓN!A$2:A$1879,A44,COMPOSICIÓN!B$2:B$1879,"MO")*I44</f>
        <v>85927.097156571996</v>
      </c>
      <c r="L44" s="42">
        <f>SUMIFS(COMPOSICIÓN!J$2:J$1879,COMPOSICIÓN!A$2:A$1879,A44,COMPOSICIÓN!B$2:B$1879,"EQ")</f>
        <v>1923.8790390194536</v>
      </c>
      <c r="M44" s="42">
        <f t="shared" si="0"/>
        <v>2063.0532525000003</v>
      </c>
      <c r="N44" s="42">
        <f t="shared" si="1"/>
        <v>4296.3548578286</v>
      </c>
      <c r="O44" s="42">
        <f t="shared" si="2"/>
        <v>96.193951950972675</v>
      </c>
      <c r="P44" s="42">
        <f t="shared" si="3"/>
        <v>6455.6020622795731</v>
      </c>
      <c r="Q44" s="15">
        <f>COUNTIF(COMPOSICIÓN!$A:$A,A44)</f>
        <v>10</v>
      </c>
      <c r="R44" s="43" t="s">
        <v>97</v>
      </c>
    </row>
    <row r="45" spans="1:18" ht="15" customHeight="1" x14ac:dyDescent="0.35">
      <c r="A45" s="38" t="s">
        <v>2564</v>
      </c>
      <c r="B45" s="38" t="s">
        <v>2565</v>
      </c>
      <c r="C45" s="38" t="s">
        <v>94</v>
      </c>
      <c r="D45" s="38" t="s">
        <v>2566</v>
      </c>
      <c r="E45" s="38" t="s">
        <v>92</v>
      </c>
      <c r="F45" s="39">
        <v>15</v>
      </c>
      <c r="G45" s="40">
        <v>0</v>
      </c>
      <c r="H45" s="41">
        <v>0</v>
      </c>
      <c r="I45" s="14">
        <v>1</v>
      </c>
      <c r="J45" s="42">
        <f>SUMIFS(COMPOSICIÓN!J$2:J$1879,COMPOSICIÓN!A$2:A$1879,A45,COMPOSICIÓN!B$2:B$1879,"MAT")</f>
        <v>8955.6408121900004</v>
      </c>
      <c r="K45" s="42">
        <f>SUMIFS(COMPOSICIÓN!J$2:J$1879,COMPOSICIÓN!A$2:A$1879,A45,COMPOSICIÓN!B$2:B$1879,"MO")*I45</f>
        <v>151420.168793144</v>
      </c>
      <c r="L45" s="42">
        <f>SUMIFS(COMPOSICIÓN!J$2:J$1879,COMPOSICIÓN!A$2:A$1879,A45,COMPOSICIÓN!B$2:B$1879,"EQ")</f>
        <v>3529.9786867371336</v>
      </c>
      <c r="M45" s="42">
        <f t="shared" si="0"/>
        <v>8955.6408121900004</v>
      </c>
      <c r="N45" s="42">
        <f t="shared" si="1"/>
        <v>10094.677919542934</v>
      </c>
      <c r="O45" s="42">
        <f t="shared" si="2"/>
        <v>235.33191244914224</v>
      </c>
      <c r="P45" s="42">
        <f t="shared" si="3"/>
        <v>19285.650644182078</v>
      </c>
      <c r="Q45" s="15">
        <f>COUNTIF(COMPOSICIÓN!$A:$A,A45)</f>
        <v>11</v>
      </c>
      <c r="R45" s="43" t="s">
        <v>97</v>
      </c>
    </row>
    <row r="46" spans="1:18" ht="15" customHeight="1" x14ac:dyDescent="0.35">
      <c r="A46" s="38" t="s">
        <v>2567</v>
      </c>
      <c r="B46" s="38" t="s">
        <v>2568</v>
      </c>
      <c r="C46" s="38" t="s">
        <v>3030</v>
      </c>
      <c r="D46" s="38" t="s">
        <v>2569</v>
      </c>
      <c r="E46" s="38" t="s">
        <v>2570</v>
      </c>
      <c r="F46" s="39">
        <v>450</v>
      </c>
      <c r="G46" s="40">
        <v>0</v>
      </c>
      <c r="H46" s="41">
        <v>0</v>
      </c>
      <c r="I46" s="14">
        <v>1</v>
      </c>
      <c r="J46" s="42">
        <f>SUMIFS(COMPOSICIÓN!J$2:J$1879,COMPOSICIÓN!A$2:A$1879,A46,COMPOSICIÓN!B$2:B$1879,"MAT")</f>
        <v>1535.4788410000001</v>
      </c>
      <c r="K46" s="42">
        <f>SUMIFS(COMPOSICIÓN!J$2:J$1879,COMPOSICIÓN!A$2:A$1879,A46,COMPOSICIÓN!B$2:B$1879,"MO")*I46</f>
        <v>404568.96940285998</v>
      </c>
      <c r="L46" s="42">
        <f>SUMIFS(COMPOSICIÓN!J$2:J$1879,COMPOSICIÓN!A$2:A$1879,A46,COMPOSICIÓN!B$2:B$1879,"EQ")</f>
        <v>0</v>
      </c>
      <c r="M46" s="42">
        <f t="shared" si="0"/>
        <v>1535.4788410000001</v>
      </c>
      <c r="N46" s="42">
        <f t="shared" si="1"/>
        <v>899.04215422857772</v>
      </c>
      <c r="O46" s="42">
        <f t="shared" si="2"/>
        <v>0</v>
      </c>
      <c r="P46" s="42">
        <f t="shared" si="3"/>
        <v>2434.5209952285777</v>
      </c>
      <c r="Q46" s="15">
        <f>COUNTIF(COMPOSICIÓN!$A:$A,A46)</f>
        <v>5</v>
      </c>
      <c r="R46" s="43" t="s">
        <v>97</v>
      </c>
    </row>
    <row r="47" spans="1:18" ht="15" customHeight="1" x14ac:dyDescent="0.35">
      <c r="A47" s="38" t="s">
        <v>2571</v>
      </c>
      <c r="B47" s="38" t="s">
        <v>2572</v>
      </c>
      <c r="C47" s="38" t="s">
        <v>3030</v>
      </c>
      <c r="D47" s="38" t="s">
        <v>2573</v>
      </c>
      <c r="E47" s="38" t="s">
        <v>2570</v>
      </c>
      <c r="F47" s="39">
        <v>380</v>
      </c>
      <c r="G47" s="40">
        <v>0</v>
      </c>
      <c r="H47" s="41">
        <v>0</v>
      </c>
      <c r="I47" s="14">
        <v>1</v>
      </c>
      <c r="J47" s="42">
        <f>SUMIFS(COMPOSICIÓN!J$2:J$1879,COMPOSICIÓN!A$2:A$1879,A47,COMPOSICIÓN!B$2:B$1879,"MAT")</f>
        <v>1535.4788410000001</v>
      </c>
      <c r="K47" s="42">
        <f>SUMIFS(COMPOSICIÓN!J$2:J$1879,COMPOSICIÓN!A$2:A$1879,A47,COMPOSICIÓN!B$2:B$1879,"MO")*I47</f>
        <v>404568.96940285998</v>
      </c>
      <c r="L47" s="42">
        <f>SUMIFS(COMPOSICIÓN!J$2:J$1879,COMPOSICIÓN!A$2:A$1879,A47,COMPOSICIÓN!B$2:B$1879,"EQ")</f>
        <v>0</v>
      </c>
      <c r="M47" s="42">
        <f t="shared" si="0"/>
        <v>1535.4788410000001</v>
      </c>
      <c r="N47" s="42">
        <f t="shared" si="1"/>
        <v>1064.6551826391053</v>
      </c>
      <c r="O47" s="42">
        <f t="shared" si="2"/>
        <v>0</v>
      </c>
      <c r="P47" s="42">
        <f t="shared" si="3"/>
        <v>2600.1340236391052</v>
      </c>
      <c r="Q47" s="15">
        <f>COUNTIF(COMPOSICIÓN!$A:$A,A47)</f>
        <v>5</v>
      </c>
      <c r="R47" s="43" t="s">
        <v>97</v>
      </c>
    </row>
    <row r="48" spans="1:18" ht="15" customHeight="1" x14ac:dyDescent="0.35">
      <c r="A48" s="38" t="s">
        <v>2574</v>
      </c>
      <c r="B48" s="38" t="s">
        <v>2575</v>
      </c>
      <c r="C48" s="38" t="s">
        <v>3030</v>
      </c>
      <c r="D48" s="38" t="s">
        <v>2576</v>
      </c>
      <c r="E48" s="38" t="s">
        <v>2570</v>
      </c>
      <c r="F48" s="39">
        <v>420</v>
      </c>
      <c r="G48" s="40">
        <v>0</v>
      </c>
      <c r="H48" s="41">
        <v>0</v>
      </c>
      <c r="I48" s="14">
        <v>1</v>
      </c>
      <c r="J48" s="42">
        <f>SUMIFS(COMPOSICIÓN!J$2:J$1879,COMPOSICIÓN!A$2:A$1879,A48,COMPOSICIÓN!B$2:B$1879,"MAT")</f>
        <v>1535.4788410000001</v>
      </c>
      <c r="K48" s="42">
        <f>SUMIFS(COMPOSICIÓN!J$2:J$1879,COMPOSICIÓN!A$2:A$1879,A48,COMPOSICIÓN!B$2:B$1879,"MO")*I48</f>
        <v>404568.96940285998</v>
      </c>
      <c r="L48" s="42">
        <f>SUMIFS(COMPOSICIÓN!J$2:J$1879,COMPOSICIÓN!A$2:A$1879,A48,COMPOSICIÓN!B$2:B$1879,"EQ")</f>
        <v>0</v>
      </c>
      <c r="M48" s="42">
        <f t="shared" si="0"/>
        <v>1535.4788410000001</v>
      </c>
      <c r="N48" s="42">
        <f t="shared" si="1"/>
        <v>963.25945095919042</v>
      </c>
      <c r="O48" s="42">
        <f t="shared" si="2"/>
        <v>0</v>
      </c>
      <c r="P48" s="42">
        <f t="shared" si="3"/>
        <v>2498.7382919591905</v>
      </c>
      <c r="Q48" s="15">
        <f>COUNTIF(COMPOSICIÓN!$A:$A,A48)</f>
        <v>5</v>
      </c>
      <c r="R48" s="43" t="s">
        <v>97</v>
      </c>
    </row>
    <row r="49" spans="1:18" ht="15" customHeight="1" x14ac:dyDescent="0.35">
      <c r="A49" s="38" t="s">
        <v>2577</v>
      </c>
      <c r="B49" s="38" t="s">
        <v>2578</v>
      </c>
      <c r="C49" s="38" t="s">
        <v>3030</v>
      </c>
      <c r="D49" s="38" t="s">
        <v>2579</v>
      </c>
      <c r="E49" s="38" t="s">
        <v>2570</v>
      </c>
      <c r="F49" s="39">
        <v>400</v>
      </c>
      <c r="G49" s="40">
        <v>0</v>
      </c>
      <c r="H49" s="41">
        <v>0</v>
      </c>
      <c r="I49" s="14">
        <v>1</v>
      </c>
      <c r="J49" s="42">
        <f>SUMIFS(COMPOSICIÓN!J$2:J$1879,COMPOSICIÓN!A$2:A$1879,A49,COMPOSICIÓN!B$2:B$1879,"MAT")</f>
        <v>1535.4788410000001</v>
      </c>
      <c r="K49" s="42">
        <f>SUMIFS(COMPOSICIÓN!J$2:J$1879,COMPOSICIÓN!A$2:A$1879,A49,COMPOSICIÓN!B$2:B$1879,"MO")*I49</f>
        <v>404568.96940285998</v>
      </c>
      <c r="L49" s="42">
        <f>SUMIFS(COMPOSICIÓN!J$2:J$1879,COMPOSICIÓN!A$2:A$1879,A49,COMPOSICIÓN!B$2:B$1879,"EQ")</f>
        <v>0</v>
      </c>
      <c r="M49" s="42">
        <f t="shared" si="0"/>
        <v>1535.4788410000001</v>
      </c>
      <c r="N49" s="42">
        <f t="shared" si="1"/>
        <v>1011.4224235071499</v>
      </c>
      <c r="O49" s="42">
        <f t="shared" si="2"/>
        <v>0</v>
      </c>
      <c r="P49" s="42">
        <f t="shared" si="3"/>
        <v>2546.9012645071498</v>
      </c>
      <c r="Q49" s="15">
        <f>COUNTIF(COMPOSICIÓN!$A:$A,A49)</f>
        <v>5</v>
      </c>
      <c r="R49" s="43" t="s">
        <v>97</v>
      </c>
    </row>
    <row r="50" spans="1:18" ht="15" customHeight="1" x14ac:dyDescent="0.35">
      <c r="A50" s="38" t="s">
        <v>2580</v>
      </c>
      <c r="B50" s="38" t="s">
        <v>2581</v>
      </c>
      <c r="C50" s="38" t="s">
        <v>3030</v>
      </c>
      <c r="D50" s="38" t="s">
        <v>2582</v>
      </c>
      <c r="E50" s="38" t="s">
        <v>92</v>
      </c>
      <c r="F50" s="39">
        <v>150</v>
      </c>
      <c r="G50" s="40">
        <v>0</v>
      </c>
      <c r="H50" s="41">
        <v>0</v>
      </c>
      <c r="I50" s="14">
        <v>1</v>
      </c>
      <c r="J50" s="42">
        <f>SUMIFS(COMPOSICIÓN!J$2:J$1879,COMPOSICIÓN!A$2:A$1879,A50,COMPOSICIÓN!B$2:B$1879,"MAT")</f>
        <v>285.2516783333333</v>
      </c>
      <c r="K50" s="42">
        <f>SUMIFS(COMPOSICIÓN!J$2:J$1879,COMPOSICIÓN!A$2:A$1879,A50,COMPOSICIÓN!B$2:B$1879,"MO")*I50</f>
        <v>429635.48578285996</v>
      </c>
      <c r="L50" s="42">
        <f>SUMIFS(COMPOSICIÓN!J$2:J$1879,COMPOSICIÓN!A$2:A$1879,A50,COMPOSICIÓN!B$2:B$1879,"EQ")</f>
        <v>0</v>
      </c>
      <c r="M50" s="42">
        <f t="shared" si="0"/>
        <v>285.2516783333333</v>
      </c>
      <c r="N50" s="42">
        <f t="shared" si="1"/>
        <v>2864.2365718857332</v>
      </c>
      <c r="O50" s="42">
        <f t="shared" si="2"/>
        <v>0</v>
      </c>
      <c r="P50" s="42">
        <f t="shared" si="3"/>
        <v>3149.4882502190667</v>
      </c>
      <c r="Q50" s="15">
        <f>COUNTIF(COMPOSICIÓN!$A:$A,A50)</f>
        <v>4</v>
      </c>
      <c r="R50" s="43" t="s">
        <v>97</v>
      </c>
    </row>
    <row r="51" spans="1:18" ht="15" customHeight="1" x14ac:dyDescent="0.35">
      <c r="A51" s="38" t="s">
        <v>2583</v>
      </c>
      <c r="B51" s="38" t="s">
        <v>2584</v>
      </c>
      <c r="C51" s="38" t="s">
        <v>3030</v>
      </c>
      <c r="D51" s="38" t="s">
        <v>2585</v>
      </c>
      <c r="E51" s="38" t="s">
        <v>2570</v>
      </c>
      <c r="F51" s="39">
        <v>400</v>
      </c>
      <c r="G51" s="40">
        <v>0</v>
      </c>
      <c r="H51" s="41">
        <v>0</v>
      </c>
      <c r="I51" s="14">
        <v>1</v>
      </c>
      <c r="J51" s="42">
        <f>SUMIFS(COMPOSICIÓN!J$2:J$1879,COMPOSICIÓN!A$2:A$1879,A51,COMPOSICIÓN!B$2:B$1879,"MAT")</f>
        <v>1535.4788410000001</v>
      </c>
      <c r="K51" s="42">
        <f>SUMIFS(COMPOSICIÓN!J$2:J$1879,COMPOSICIÓN!A$2:A$1879,A51,COMPOSICIÓN!B$2:B$1879,"MO")*I51</f>
        <v>404568.96940285998</v>
      </c>
      <c r="L51" s="42">
        <f>SUMIFS(COMPOSICIÓN!J$2:J$1879,COMPOSICIÓN!A$2:A$1879,A51,COMPOSICIÓN!B$2:B$1879,"EQ")</f>
        <v>0</v>
      </c>
      <c r="M51" s="42">
        <f t="shared" si="0"/>
        <v>1535.4788410000001</v>
      </c>
      <c r="N51" s="42">
        <f t="shared" si="1"/>
        <v>1011.4224235071499</v>
      </c>
      <c r="O51" s="42">
        <f t="shared" si="2"/>
        <v>0</v>
      </c>
      <c r="P51" s="42">
        <f t="shared" si="3"/>
        <v>2546.9012645071498</v>
      </c>
      <c r="Q51" s="15">
        <f>COUNTIF(COMPOSICIÓN!$A:$A,A51)</f>
        <v>5</v>
      </c>
      <c r="R51" s="43" t="s">
        <v>97</v>
      </c>
    </row>
    <row r="52" spans="1:18" ht="15" customHeight="1" x14ac:dyDescent="0.35">
      <c r="A52" s="38" t="s">
        <v>2586</v>
      </c>
      <c r="B52" s="38" t="s">
        <v>2587</v>
      </c>
      <c r="C52" s="38" t="s">
        <v>3024</v>
      </c>
      <c r="D52" s="38" t="s">
        <v>2588</v>
      </c>
      <c r="E52" s="38" t="s">
        <v>92</v>
      </c>
      <c r="F52" s="39">
        <v>24</v>
      </c>
      <c r="G52" s="40">
        <v>0</v>
      </c>
      <c r="H52" s="41">
        <v>0</v>
      </c>
      <c r="I52" s="14">
        <v>1</v>
      </c>
      <c r="J52" s="42">
        <f>SUMIFS(COMPOSICIÓN!J$2:J$1879,COMPOSICIÓN!A$2:A$1879,A52,COMPOSICIÓN!B$2:B$1879,"MAT")</f>
        <v>373.50022574625007</v>
      </c>
      <c r="K52" s="42">
        <f>SUMIFS(COMPOSICIÓN!J$2:J$1879,COMPOSICIÓN!A$2:A$1879,A52,COMPOSICIÓN!B$2:B$1879,"MO")*I52</f>
        <v>151420.168793144</v>
      </c>
      <c r="L52" s="42">
        <f>SUMIFS(COMPOSICIÓN!J$2:J$1879,COMPOSICIÓN!A$2:A$1879,A52,COMPOSICIÓN!B$2:B$1879,"EQ")</f>
        <v>0</v>
      </c>
      <c r="M52" s="42">
        <f t="shared" si="0"/>
        <v>373.50022574625007</v>
      </c>
      <c r="N52" s="42">
        <f t="shared" si="1"/>
        <v>6309.1736997143335</v>
      </c>
      <c r="O52" s="42">
        <f t="shared" si="2"/>
        <v>0</v>
      </c>
      <c r="P52" s="42">
        <f t="shared" si="3"/>
        <v>6682.6739254605836</v>
      </c>
      <c r="Q52" s="15">
        <f>COUNTIF(COMPOSICIÓN!$A:$A,A52)</f>
        <v>6</v>
      </c>
      <c r="R52" s="43" t="s">
        <v>97</v>
      </c>
    </row>
    <row r="53" spans="1:18" ht="15" customHeight="1" x14ac:dyDescent="0.35">
      <c r="A53" s="38" t="s">
        <v>2589</v>
      </c>
      <c r="B53" s="38" t="s">
        <v>2590</v>
      </c>
      <c r="C53" s="38" t="s">
        <v>3024</v>
      </c>
      <c r="D53" s="38" t="s">
        <v>2591</v>
      </c>
      <c r="E53" s="38" t="s">
        <v>92</v>
      </c>
      <c r="F53" s="39">
        <v>28</v>
      </c>
      <c r="G53" s="40">
        <v>0</v>
      </c>
      <c r="H53" s="41">
        <v>0</v>
      </c>
      <c r="I53" s="14">
        <v>1</v>
      </c>
      <c r="J53" s="42">
        <f>SUMIFS(COMPOSICIÓN!J$2:J$1879,COMPOSICIÓN!A$2:A$1879,A53,COMPOSICIÓN!B$2:B$1879,"MAT")</f>
        <v>9501.7139569382507</v>
      </c>
      <c r="K53" s="42">
        <f>SUMIFS(COMPOSICIÓN!J$2:J$1879,COMPOSICIÓN!A$2:A$1879,A53,COMPOSICIÓN!B$2:B$1879,"MO")*I53</f>
        <v>212280.74956971599</v>
      </c>
      <c r="L53" s="42">
        <f>SUMIFS(COMPOSICIÓN!J$2:J$1879,COMPOSICIÓN!A$2:A$1879,A53,COMPOSICIÓN!B$2:B$1879,"EQ")</f>
        <v>0</v>
      </c>
      <c r="M53" s="42">
        <f t="shared" si="0"/>
        <v>9501.7139569382507</v>
      </c>
      <c r="N53" s="42">
        <f t="shared" si="1"/>
        <v>7581.4553417755715</v>
      </c>
      <c r="O53" s="42">
        <f t="shared" si="2"/>
        <v>0</v>
      </c>
      <c r="P53" s="42">
        <f t="shared" si="3"/>
        <v>17083.169298713823</v>
      </c>
      <c r="Q53" s="15">
        <f>COUNTIF(COMPOSICIÓN!$A:$A,A53)</f>
        <v>9</v>
      </c>
      <c r="R53" s="43" t="s">
        <v>97</v>
      </c>
    </row>
    <row r="54" spans="1:18" ht="15" customHeight="1" x14ac:dyDescent="0.35">
      <c r="A54" s="38" t="s">
        <v>2592</v>
      </c>
      <c r="B54" s="38" t="s">
        <v>2593</v>
      </c>
      <c r="C54" s="38" t="s">
        <v>3024</v>
      </c>
      <c r="D54" s="38" t="s">
        <v>2594</v>
      </c>
      <c r="E54" s="38" t="s">
        <v>92</v>
      </c>
      <c r="F54" s="39">
        <v>25</v>
      </c>
      <c r="G54" s="40">
        <v>0</v>
      </c>
      <c r="H54" s="41">
        <v>0</v>
      </c>
      <c r="I54" s="14">
        <v>1</v>
      </c>
      <c r="J54" s="42">
        <f>SUMIFS(COMPOSICIÓN!J$2:J$1879,COMPOSICIÓN!A$2:A$1879,A54,COMPOSICIÓN!B$2:B$1879,"MAT")</f>
        <v>9501.7139569382507</v>
      </c>
      <c r="K54" s="42">
        <f>SUMIFS(COMPOSICIÓN!J$2:J$1879,COMPOSICIÓN!A$2:A$1879,A54,COMPOSICIÓN!B$2:B$1879,"MO")*I54</f>
        <v>212280.74956971599</v>
      </c>
      <c r="L54" s="42">
        <f>SUMIFS(COMPOSICIÓN!J$2:J$1879,COMPOSICIÓN!A$2:A$1879,A54,COMPOSICIÓN!B$2:B$1879,"EQ")</f>
        <v>0</v>
      </c>
      <c r="M54" s="42">
        <f t="shared" si="0"/>
        <v>9501.7139569382507</v>
      </c>
      <c r="N54" s="42">
        <f t="shared" si="1"/>
        <v>8491.22998278864</v>
      </c>
      <c r="O54" s="42">
        <f t="shared" si="2"/>
        <v>0</v>
      </c>
      <c r="P54" s="42">
        <f t="shared" si="3"/>
        <v>17992.943939726891</v>
      </c>
      <c r="Q54" s="15">
        <f>COUNTIF(COMPOSICIÓN!$A:$A,A54)</f>
        <v>9</v>
      </c>
      <c r="R54" s="43" t="s">
        <v>97</v>
      </c>
    </row>
    <row r="55" spans="1:18" ht="15" customHeight="1" x14ac:dyDescent="0.35">
      <c r="A55" s="38" t="s">
        <v>2595</v>
      </c>
      <c r="B55" s="38" t="s">
        <v>2596</v>
      </c>
      <c r="C55" s="38" t="s">
        <v>3024</v>
      </c>
      <c r="D55" s="38" t="s">
        <v>2597</v>
      </c>
      <c r="E55" s="38" t="s">
        <v>92</v>
      </c>
      <c r="F55" s="39">
        <v>28</v>
      </c>
      <c r="G55" s="40">
        <v>0</v>
      </c>
      <c r="H55" s="41">
        <v>0</v>
      </c>
      <c r="I55" s="14">
        <v>1</v>
      </c>
      <c r="J55" s="42">
        <f>SUMIFS(COMPOSICIÓN!J$2:J$1879,COMPOSICIÓN!A$2:A$1879,A55,COMPOSICIÓN!B$2:B$1879,"MAT")</f>
        <v>26776.401947586248</v>
      </c>
      <c r="K55" s="42">
        <f>SUMIFS(COMPOSICIÓN!J$2:J$1879,COMPOSICIÓN!A$2:A$1879,A55,COMPOSICIÓN!B$2:B$1879,"MO")*I55</f>
        <v>212280.74956971599</v>
      </c>
      <c r="L55" s="42">
        <f>SUMIFS(COMPOSICIÓN!J$2:J$1879,COMPOSICIÓN!A$2:A$1879,A55,COMPOSICIÓN!B$2:B$1879,"EQ")</f>
        <v>0</v>
      </c>
      <c r="M55" s="42">
        <f t="shared" si="0"/>
        <v>26776.401947586248</v>
      </c>
      <c r="N55" s="42">
        <f t="shared" si="1"/>
        <v>7581.4553417755715</v>
      </c>
      <c r="O55" s="42">
        <f t="shared" si="2"/>
        <v>0</v>
      </c>
      <c r="P55" s="42">
        <f t="shared" si="3"/>
        <v>34357.857289361818</v>
      </c>
      <c r="Q55" s="15">
        <f>COUNTIF(COMPOSICIÓN!$A:$A,A55)</f>
        <v>9</v>
      </c>
      <c r="R55" s="43" t="s">
        <v>97</v>
      </c>
    </row>
    <row r="56" spans="1:18" ht="15" customHeight="1" x14ac:dyDescent="0.35">
      <c r="A56" s="38" t="s">
        <v>2598</v>
      </c>
      <c r="B56" s="38" t="s">
        <v>2599</v>
      </c>
      <c r="C56" s="38" t="s">
        <v>3026</v>
      </c>
      <c r="D56" s="38" t="s">
        <v>2600</v>
      </c>
      <c r="E56" s="38" t="s">
        <v>92</v>
      </c>
      <c r="F56" s="39">
        <v>26</v>
      </c>
      <c r="G56" s="40">
        <v>0</v>
      </c>
      <c r="H56" s="41">
        <v>0</v>
      </c>
      <c r="I56" s="14">
        <v>1</v>
      </c>
      <c r="J56" s="42">
        <f>SUMIFS(COMPOSICIÓN!J$2:J$1879,COMPOSICIÓN!A$2:A$1879,A56,COMPOSICIÓN!B$2:B$1879,"MAT")</f>
        <v>14254.685498970252</v>
      </c>
      <c r="K56" s="42">
        <f>SUMIFS(COMPOSICIÓN!J$2:J$1879,COMPOSICIÓN!A$2:A$1879,A56,COMPOSICIÓN!B$2:B$1879,"MO")*I56</f>
        <v>212280.74956971599</v>
      </c>
      <c r="L56" s="42">
        <f>SUMIFS(COMPOSICIÓN!J$2:J$1879,COMPOSICIÓN!A$2:A$1879,A56,COMPOSICIÓN!B$2:B$1879,"EQ")</f>
        <v>0</v>
      </c>
      <c r="M56" s="42">
        <f t="shared" si="0"/>
        <v>14254.685498970252</v>
      </c>
      <c r="N56" s="42">
        <f t="shared" si="1"/>
        <v>8164.6442142198457</v>
      </c>
      <c r="O56" s="42">
        <f t="shared" si="2"/>
        <v>0</v>
      </c>
      <c r="P56" s="42">
        <f t="shared" si="3"/>
        <v>22419.329713190098</v>
      </c>
      <c r="Q56" s="15">
        <f>COUNTIF(COMPOSICIÓN!$A:$A,A56)</f>
        <v>9</v>
      </c>
      <c r="R56" s="43" t="s">
        <v>97</v>
      </c>
    </row>
    <row r="57" spans="1:18" ht="15" customHeight="1" x14ac:dyDescent="0.35">
      <c r="A57" s="38" t="s">
        <v>2601</v>
      </c>
      <c r="B57" s="38" t="s">
        <v>2602</v>
      </c>
      <c r="C57" s="38" t="s">
        <v>3024</v>
      </c>
      <c r="D57" s="38" t="s">
        <v>2603</v>
      </c>
      <c r="E57" s="38" t="s">
        <v>43</v>
      </c>
      <c r="F57" s="39">
        <v>3.8</v>
      </c>
      <c r="G57" s="40">
        <v>0</v>
      </c>
      <c r="H57" s="41">
        <v>0</v>
      </c>
      <c r="I57" s="14">
        <v>1</v>
      </c>
      <c r="J57" s="42">
        <f>SUMIFS(COMPOSICIÓN!J$2:J$1879,COMPOSICIÓN!A$2:A$1879,A57,COMPOSICIÓN!B$2:B$1879,"MAT")</f>
        <v>0</v>
      </c>
      <c r="K57" s="42">
        <f>SUMIFS(COMPOSICIÓN!J$2:J$1879,COMPOSICIÓN!A$2:A$1879,A57,COMPOSICIÓN!B$2:B$1879,"MO")*I57</f>
        <v>146787.677933144</v>
      </c>
      <c r="L57" s="42">
        <f>SUMIFS(COMPOSICIÓN!J$2:J$1879,COMPOSICIÓN!A$2:A$1879,A57,COMPOSICIÓN!B$2:B$1879,"EQ")</f>
        <v>0</v>
      </c>
      <c r="M57" s="42">
        <f t="shared" si="0"/>
        <v>0</v>
      </c>
      <c r="N57" s="42">
        <f t="shared" si="1"/>
        <v>38628.336298195791</v>
      </c>
      <c r="O57" s="42">
        <f t="shared" si="2"/>
        <v>0</v>
      </c>
      <c r="P57" s="42">
        <f t="shared" si="3"/>
        <v>38628.336298195791</v>
      </c>
      <c r="Q57" s="15">
        <f>COUNTIF(COMPOSICIÓN!$A:$A,A57)</f>
        <v>2</v>
      </c>
      <c r="R57" s="43" t="s">
        <v>97</v>
      </c>
    </row>
    <row r="58" spans="1:18" ht="15" customHeight="1" x14ac:dyDescent="0.35">
      <c r="A58" s="38" t="s">
        <v>2604</v>
      </c>
      <c r="B58" s="38" t="s">
        <v>2605</v>
      </c>
      <c r="C58" s="38" t="s">
        <v>3024</v>
      </c>
      <c r="D58" s="38" t="s">
        <v>2606</v>
      </c>
      <c r="E58" s="38" t="s">
        <v>43</v>
      </c>
      <c r="F58" s="39">
        <v>36</v>
      </c>
      <c r="G58" s="40">
        <v>0</v>
      </c>
      <c r="H58" s="41">
        <v>0</v>
      </c>
      <c r="I58" s="14">
        <v>1</v>
      </c>
      <c r="J58" s="42">
        <f>SUMIFS(COMPOSICIÓN!J$2:J$1879,COMPOSICIÓN!A$2:A$1879,A58,COMPOSICIÓN!B$2:B$1879,"MAT")</f>
        <v>0</v>
      </c>
      <c r="K58" s="42">
        <f>SUMIFS(COMPOSICIÓN!J$2:J$1879,COMPOSICIÓN!A$2:A$1879,A58,COMPOSICIÓN!B$2:B$1879,"MO")*I58</f>
        <v>511951.162592576</v>
      </c>
      <c r="L58" s="42">
        <f>SUMIFS(COMPOSICIÓN!J$2:J$1879,COMPOSICIÓN!A$2:A$1879,A58,COMPOSICIÓN!B$2:B$1879,"EQ")</f>
        <v>0</v>
      </c>
      <c r="M58" s="42">
        <f t="shared" si="0"/>
        <v>0</v>
      </c>
      <c r="N58" s="42">
        <f t="shared" si="1"/>
        <v>14220.865627571555</v>
      </c>
      <c r="O58" s="42">
        <f t="shared" si="2"/>
        <v>0</v>
      </c>
      <c r="P58" s="42">
        <f t="shared" si="3"/>
        <v>14220.865627571555</v>
      </c>
      <c r="Q58" s="15">
        <f>COUNTIF(COMPOSICIÓN!$A:$A,A58)</f>
        <v>2</v>
      </c>
      <c r="R58" s="43" t="s">
        <v>97</v>
      </c>
    </row>
    <row r="59" spans="1:18" ht="15" customHeight="1" x14ac:dyDescent="0.35">
      <c r="A59" s="38" t="s">
        <v>133</v>
      </c>
      <c r="B59" s="38" t="s">
        <v>2607</v>
      </c>
      <c r="C59" s="38" t="s">
        <v>229</v>
      </c>
      <c r="D59" s="38" t="s">
        <v>2608</v>
      </c>
      <c r="E59" s="38" t="s">
        <v>92</v>
      </c>
      <c r="F59" s="39">
        <v>80</v>
      </c>
      <c r="G59" s="40">
        <v>0</v>
      </c>
      <c r="H59" s="41">
        <v>0</v>
      </c>
      <c r="I59" s="14">
        <v>1</v>
      </c>
      <c r="J59" s="42">
        <f>SUMIFS(COMPOSICIÓN!J$2:J$1879,COMPOSICIÓN!A$2:A$1879,A59,COMPOSICIÓN!B$2:B$1879,"MAT")</f>
        <v>1256.6125285555565</v>
      </c>
      <c r="K59" s="42">
        <f>SUMIFS(COMPOSICIÓN!J$2:J$1879,COMPOSICIÓN!A$2:A$1879,A59,COMPOSICIÓN!B$2:B$1879,"MO")*I59</f>
        <v>137815.66048314399</v>
      </c>
      <c r="L59" s="42">
        <f>SUMIFS(COMPOSICIÓN!J$2:J$1879,COMPOSICIÓN!A$2:A$1879,A59,COMPOSICIÓN!B$2:B$1879,"EQ")</f>
        <v>804.50568716120006</v>
      </c>
      <c r="M59" s="42">
        <f t="shared" si="0"/>
        <v>1256.6125285555565</v>
      </c>
      <c r="N59" s="42">
        <f t="shared" si="1"/>
        <v>1722.6957560392998</v>
      </c>
      <c r="O59" s="42">
        <f t="shared" si="2"/>
        <v>10.056321089515</v>
      </c>
      <c r="P59" s="42">
        <f t="shared" si="3"/>
        <v>2989.3646056843718</v>
      </c>
      <c r="Q59" s="15">
        <f>COUNTIF(COMPOSICIÓN!$A:$A,A59)</f>
        <v>8</v>
      </c>
      <c r="R59" s="43" t="s">
        <v>97</v>
      </c>
    </row>
    <row r="60" spans="1:18" ht="15" customHeight="1" x14ac:dyDescent="0.35">
      <c r="A60" s="38" t="s">
        <v>2609</v>
      </c>
      <c r="B60" s="38" t="s">
        <v>2610</v>
      </c>
      <c r="C60" s="38" t="s">
        <v>94</v>
      </c>
      <c r="D60" s="38" t="s">
        <v>2611</v>
      </c>
      <c r="E60" s="38" t="s">
        <v>2612</v>
      </c>
      <c r="F60" s="39">
        <v>60</v>
      </c>
      <c r="G60" s="40">
        <v>0</v>
      </c>
      <c r="H60" s="41">
        <v>0</v>
      </c>
      <c r="I60" s="14">
        <v>1</v>
      </c>
      <c r="J60" s="42">
        <f>SUMIFS(COMPOSICIÓN!J$2:J$1879,COMPOSICIÓN!A$2:A$1879,A60,COMPOSICIÓN!B$2:B$1879,"MAT")</f>
        <v>4924.721731756199</v>
      </c>
      <c r="K60" s="42">
        <f>SUMIFS(COMPOSICIÓN!J$2:J$1879,COMPOSICIÓN!A$2:A$1879,A60,COMPOSICIÓN!B$2:B$1879,"MO")*I60</f>
        <v>146787.677933144</v>
      </c>
      <c r="L60" s="42">
        <f>SUMIFS(COMPOSICIÓN!J$2:J$1879,COMPOSICIÓN!A$2:A$1879,A60,COMPOSICIÓN!B$2:B$1879,"EQ")</f>
        <v>804.50568716120006</v>
      </c>
      <c r="M60" s="42">
        <f t="shared" si="0"/>
        <v>4924.721731756199</v>
      </c>
      <c r="N60" s="42">
        <f t="shared" si="1"/>
        <v>2446.4612988857334</v>
      </c>
      <c r="O60" s="42">
        <f t="shared" si="2"/>
        <v>13.408428119353335</v>
      </c>
      <c r="P60" s="42">
        <f t="shared" si="3"/>
        <v>7384.591458761286</v>
      </c>
      <c r="Q60" s="15">
        <f>COUNTIF(COMPOSICIÓN!$A:$A,A60)</f>
        <v>11</v>
      </c>
      <c r="R60" s="43" t="s">
        <v>97</v>
      </c>
    </row>
    <row r="61" spans="1:18" ht="15" customHeight="1" x14ac:dyDescent="0.35">
      <c r="A61" s="38" t="s">
        <v>2613</v>
      </c>
      <c r="B61" s="38" t="s">
        <v>2614</v>
      </c>
      <c r="C61" s="38" t="s">
        <v>94</v>
      </c>
      <c r="D61" s="38" t="s">
        <v>2615</v>
      </c>
      <c r="E61" s="38" t="s">
        <v>92</v>
      </c>
      <c r="F61" s="39">
        <v>15</v>
      </c>
      <c r="G61" s="40">
        <v>0</v>
      </c>
      <c r="H61" s="41">
        <v>0</v>
      </c>
      <c r="I61" s="14">
        <v>1</v>
      </c>
      <c r="J61" s="42">
        <f>SUMIFS(COMPOSICIÓN!J$2:J$1879,COMPOSICIÓN!A$2:A$1879,A61,COMPOSICIÓN!B$2:B$1879,"MAT")</f>
        <v>3000.6054859999999</v>
      </c>
      <c r="K61" s="42">
        <f>SUMIFS(COMPOSICIÓN!J$2:J$1879,COMPOSICIÓN!A$2:A$1879,A61,COMPOSICIÓN!B$2:B$1879,"MO")*I61</f>
        <v>146787.677933144</v>
      </c>
      <c r="L61" s="42">
        <f>SUMIFS(COMPOSICIÓN!J$2:J$1879,COMPOSICIÓN!A$2:A$1879,A61,COMPOSICIÓN!B$2:B$1879,"EQ")</f>
        <v>0</v>
      </c>
      <c r="M61" s="42">
        <f t="shared" si="0"/>
        <v>3000.6054859999999</v>
      </c>
      <c r="N61" s="42">
        <f t="shared" si="1"/>
        <v>9785.8451955429337</v>
      </c>
      <c r="O61" s="42">
        <f t="shared" si="2"/>
        <v>0</v>
      </c>
      <c r="P61" s="42">
        <f t="shared" si="3"/>
        <v>12786.450681542934</v>
      </c>
      <c r="Q61" s="15">
        <f>COUNTIF(COMPOSICIÓN!$A:$A,A61)</f>
        <v>5</v>
      </c>
      <c r="R61" s="43" t="s">
        <v>97</v>
      </c>
    </row>
    <row r="62" spans="1:18" ht="15" customHeight="1" x14ac:dyDescent="0.35">
      <c r="A62" s="38" t="s">
        <v>2616</v>
      </c>
      <c r="B62" s="38" t="s">
        <v>2617</v>
      </c>
      <c r="C62" s="38" t="s">
        <v>3026</v>
      </c>
      <c r="D62" s="38" t="s">
        <v>2618</v>
      </c>
      <c r="E62" s="38" t="s">
        <v>92</v>
      </c>
      <c r="F62" s="39">
        <v>12</v>
      </c>
      <c r="G62" s="40">
        <v>0</v>
      </c>
      <c r="H62" s="41">
        <v>0</v>
      </c>
      <c r="I62" s="14">
        <v>1</v>
      </c>
      <c r="J62" s="42">
        <f>SUMIFS(COMPOSICIÓN!J$2:J$1879,COMPOSICIÓN!A$2:A$1879,A62,COMPOSICIÓN!B$2:B$1879,"MAT")</f>
        <v>14768.588519524157</v>
      </c>
      <c r="K62" s="42">
        <f>SUMIFS(COMPOSICIÓN!J$2:J$1879,COMPOSICIÓN!A$2:A$1879,A62,COMPOSICIÓN!B$2:B$1879,"MO")*I62</f>
        <v>151420.168793144</v>
      </c>
      <c r="L62" s="42">
        <f>SUMIFS(COMPOSICIÓN!J$2:J$1879,COMPOSICIÓN!A$2:A$1879,A62,COMPOSICIÓN!B$2:B$1879,"EQ")</f>
        <v>2505.4362411742591</v>
      </c>
      <c r="M62" s="42">
        <f t="shared" si="0"/>
        <v>14768.588519524157</v>
      </c>
      <c r="N62" s="42">
        <f t="shared" si="1"/>
        <v>12618.347399428667</v>
      </c>
      <c r="O62" s="42">
        <f t="shared" si="2"/>
        <v>208.78635343118825</v>
      </c>
      <c r="P62" s="42">
        <f t="shared" si="3"/>
        <v>27595.722272384013</v>
      </c>
      <c r="Q62" s="15">
        <f>COUNTIF(COMPOSICIÓN!$A:$A,A62)</f>
        <v>10</v>
      </c>
      <c r="R62" s="43" t="s">
        <v>97</v>
      </c>
    </row>
    <row r="63" spans="1:18" ht="15" customHeight="1" x14ac:dyDescent="0.35">
      <c r="A63" s="38" t="s">
        <v>2619</v>
      </c>
      <c r="B63" s="38" t="s">
        <v>2620</v>
      </c>
      <c r="C63" s="38" t="s">
        <v>94</v>
      </c>
      <c r="D63" s="38" t="s">
        <v>651</v>
      </c>
      <c r="E63" s="38" t="s">
        <v>92</v>
      </c>
      <c r="F63" s="39">
        <v>11.5</v>
      </c>
      <c r="G63" s="40">
        <v>0</v>
      </c>
      <c r="H63" s="41">
        <v>0</v>
      </c>
      <c r="I63" s="14">
        <v>1</v>
      </c>
      <c r="J63" s="42">
        <f>SUMIFS(COMPOSICIÓN!J$2:J$1879,COMPOSICIÓN!A$2:A$1879,A63,COMPOSICIÓN!B$2:B$1879,"MAT")</f>
        <v>10896.139116740002</v>
      </c>
      <c r="K63" s="42">
        <f>SUMIFS(COMPOSICIÓN!J$2:J$1879,COMPOSICIÓN!A$2:A$1879,A63,COMPOSICIÓN!B$2:B$1879,"MO")*I63</f>
        <v>131572.53273900101</v>
      </c>
      <c r="L63" s="42">
        <f>SUMIFS(COMPOSICIÓN!J$2:J$1879,COMPOSICIÓN!A$2:A$1879,A63,COMPOSICIÓN!B$2:B$1879,"EQ")</f>
        <v>3529.9786867371336</v>
      </c>
      <c r="M63" s="42">
        <f t="shared" si="0"/>
        <v>10896.139116740002</v>
      </c>
      <c r="N63" s="42">
        <f t="shared" si="1"/>
        <v>11441.089803391393</v>
      </c>
      <c r="O63" s="42">
        <f t="shared" si="2"/>
        <v>306.95466841192467</v>
      </c>
      <c r="P63" s="42">
        <f t="shared" si="3"/>
        <v>22644.183588543317</v>
      </c>
      <c r="Q63" s="15">
        <f>COUNTIF(COMPOSICIÓN!$A:$A,A63)</f>
        <v>11</v>
      </c>
      <c r="R63" s="43" t="s">
        <v>97</v>
      </c>
    </row>
    <row r="64" spans="1:18" ht="15" customHeight="1" x14ac:dyDescent="0.35">
      <c r="A64" s="38" t="s">
        <v>2621</v>
      </c>
      <c r="B64" s="38" t="s">
        <v>2622</v>
      </c>
      <c r="C64" s="38" t="s">
        <v>94</v>
      </c>
      <c r="D64" s="38" t="s">
        <v>649</v>
      </c>
      <c r="E64" s="38" t="s">
        <v>92</v>
      </c>
      <c r="F64" s="39">
        <v>11.5</v>
      </c>
      <c r="G64" s="40">
        <v>0</v>
      </c>
      <c r="H64" s="41">
        <v>0</v>
      </c>
      <c r="I64" s="14">
        <v>1</v>
      </c>
      <c r="J64" s="42">
        <f>SUMIFS(COMPOSICIÓN!J$2:J$1879,COMPOSICIÓN!A$2:A$1879,A64,COMPOSICIÓN!B$2:B$1879,"MAT")</f>
        <v>15540.728424170002</v>
      </c>
      <c r="K64" s="42">
        <f>SUMIFS(COMPOSICIÓN!J$2:J$1879,COMPOSICIÓN!A$2:A$1879,A64,COMPOSICIÓN!B$2:B$1879,"MO")*I64</f>
        <v>131572.53273900101</v>
      </c>
      <c r="L64" s="42">
        <f>SUMIFS(COMPOSICIÓN!J$2:J$1879,COMPOSICIÓN!A$2:A$1879,A64,COMPOSICIÓN!B$2:B$1879,"EQ")</f>
        <v>3529.9786867371336</v>
      </c>
      <c r="M64" s="42">
        <f t="shared" si="0"/>
        <v>15540.728424170002</v>
      </c>
      <c r="N64" s="42">
        <f t="shared" si="1"/>
        <v>11441.089803391393</v>
      </c>
      <c r="O64" s="42">
        <f t="shared" si="2"/>
        <v>306.95466841192467</v>
      </c>
      <c r="P64" s="42">
        <f t="shared" si="3"/>
        <v>27288.772895973318</v>
      </c>
      <c r="Q64" s="15">
        <f>COUNTIF(COMPOSICIÓN!$A:$A,A64)</f>
        <v>11</v>
      </c>
      <c r="R64" s="43" t="s">
        <v>97</v>
      </c>
    </row>
    <row r="65" spans="1:18" ht="15" customHeight="1" x14ac:dyDescent="0.35">
      <c r="A65" s="38" t="s">
        <v>2623</v>
      </c>
      <c r="B65" s="38" t="s">
        <v>2624</v>
      </c>
      <c r="C65" s="38" t="s">
        <v>94</v>
      </c>
      <c r="D65" s="38" t="s">
        <v>2625</v>
      </c>
      <c r="E65" s="38" t="s">
        <v>92</v>
      </c>
      <c r="F65" s="39">
        <v>3.25</v>
      </c>
      <c r="G65" s="40">
        <v>0</v>
      </c>
      <c r="H65" s="41">
        <v>0</v>
      </c>
      <c r="I65" s="14">
        <v>1</v>
      </c>
      <c r="J65" s="42">
        <f>SUMIFS(COMPOSICIÓN!J$2:J$1879,COMPOSICIÓN!A$2:A$1879,A65,COMPOSICIÓN!B$2:B$1879,"MAT")</f>
        <v>17867.355495</v>
      </c>
      <c r="K65" s="42">
        <f>SUMIFS(COMPOSICIÓN!J$2:J$1879,COMPOSICIÓN!A$2:A$1879,A65,COMPOSICIÓN!B$2:B$1879,"MO")*I65</f>
        <v>146787.677933144</v>
      </c>
      <c r="L65" s="42">
        <f>SUMIFS(COMPOSICIÓN!J$2:J$1879,COMPOSICIÓN!A$2:A$1879,A65,COMPOSICIÓN!B$2:B$1879,"EQ")</f>
        <v>5418.7835832607761</v>
      </c>
      <c r="M65" s="42">
        <f t="shared" si="0"/>
        <v>17867.355495</v>
      </c>
      <c r="N65" s="42">
        <f t="shared" si="1"/>
        <v>45165.439364044309</v>
      </c>
      <c r="O65" s="42">
        <f t="shared" si="2"/>
        <v>1667.3180256187004</v>
      </c>
      <c r="P65" s="42">
        <f t="shared" si="3"/>
        <v>64700.112884663009</v>
      </c>
      <c r="Q65" s="15">
        <f>COUNTIF(COMPOSICIÓN!$A:$A,A65)</f>
        <v>14</v>
      </c>
      <c r="R65" s="43" t="s">
        <v>97</v>
      </c>
    </row>
    <row r="66" spans="1:18" ht="15" customHeight="1" x14ac:dyDescent="0.35">
      <c r="A66" s="38" t="s">
        <v>2626</v>
      </c>
      <c r="B66" s="38" t="s">
        <v>2624</v>
      </c>
      <c r="C66" s="38" t="s">
        <v>94</v>
      </c>
      <c r="D66" s="38" t="s">
        <v>2627</v>
      </c>
      <c r="E66" s="38" t="s">
        <v>92</v>
      </c>
      <c r="F66" s="39">
        <v>3.25</v>
      </c>
      <c r="G66" s="40">
        <v>0</v>
      </c>
      <c r="H66" s="41">
        <v>0</v>
      </c>
      <c r="I66" s="14">
        <v>1</v>
      </c>
      <c r="J66" s="42">
        <f>SUMIFS(COMPOSICIÓN!J$2:J$1879,COMPOSICIÓN!A$2:A$1879,A66,COMPOSICIÓN!B$2:B$1879,"MAT")</f>
        <v>20340.180884999994</v>
      </c>
      <c r="K66" s="42">
        <f>SUMIFS(COMPOSICIÓN!J$2:J$1879,COMPOSICIÓN!A$2:A$1879,A66,COMPOSICIÓN!B$2:B$1879,"MO")*I66</f>
        <v>146787.677933144</v>
      </c>
      <c r="L66" s="42">
        <f>SUMIFS(COMPOSICIÓN!J$2:J$1879,COMPOSICIÓN!A$2:A$1879,A66,COMPOSICIÓN!B$2:B$1879,"EQ")</f>
        <v>5418.7835832607761</v>
      </c>
      <c r="M66" s="42">
        <f t="shared" ref="M66:M129" si="4">J66</f>
        <v>20340.180884999994</v>
      </c>
      <c r="N66" s="42">
        <f t="shared" ref="N66:N129" si="5">IF(F66=0,0,K66/F66)</f>
        <v>45165.439364044309</v>
      </c>
      <c r="O66" s="42">
        <f t="shared" ref="O66:O129" si="6">IF(F66=0,0,L66/F66)</f>
        <v>1667.3180256187004</v>
      </c>
      <c r="P66" s="42">
        <f t="shared" ref="P66:P129" si="7">M66+N66+O66</f>
        <v>67172.938274663</v>
      </c>
      <c r="Q66" s="15">
        <f>COUNTIF(COMPOSICIÓN!$A:$A,A66)</f>
        <v>14</v>
      </c>
      <c r="R66" s="43" t="s">
        <v>97</v>
      </c>
    </row>
    <row r="67" spans="1:18" ht="15" customHeight="1" x14ac:dyDescent="0.35">
      <c r="A67" s="38" t="s">
        <v>2628</v>
      </c>
      <c r="B67" s="38" t="s">
        <v>2624</v>
      </c>
      <c r="C67" s="38" t="s">
        <v>94</v>
      </c>
      <c r="D67" s="38" t="s">
        <v>2629</v>
      </c>
      <c r="E67" s="38" t="s">
        <v>92</v>
      </c>
      <c r="F67" s="39">
        <v>3.25</v>
      </c>
      <c r="G67" s="40">
        <v>0</v>
      </c>
      <c r="H67" s="41">
        <v>0</v>
      </c>
      <c r="I67" s="14">
        <v>1</v>
      </c>
      <c r="J67" s="42">
        <f>SUMIFS(COMPOSICIÓN!J$2:J$1879,COMPOSICIÓN!A$2:A$1879,A67,COMPOSICIÓN!B$2:B$1879,"MAT")</f>
        <v>34429.494880000006</v>
      </c>
      <c r="K67" s="42">
        <f>SUMIFS(COMPOSICIÓN!J$2:J$1879,COMPOSICIÓN!A$2:A$1879,A67,COMPOSICIÓN!B$2:B$1879,"MO")*I67</f>
        <v>146787.677933144</v>
      </c>
      <c r="L67" s="42">
        <f>SUMIFS(COMPOSICIÓN!J$2:J$1879,COMPOSICIÓN!A$2:A$1879,A67,COMPOSICIÓN!B$2:B$1879,"EQ")</f>
        <v>5418.7835832607761</v>
      </c>
      <c r="M67" s="42">
        <f t="shared" si="4"/>
        <v>34429.494880000006</v>
      </c>
      <c r="N67" s="42">
        <f t="shared" si="5"/>
        <v>45165.439364044309</v>
      </c>
      <c r="O67" s="42">
        <f t="shared" si="6"/>
        <v>1667.3180256187004</v>
      </c>
      <c r="P67" s="42">
        <f t="shared" si="7"/>
        <v>81262.252269663019</v>
      </c>
      <c r="Q67" s="15">
        <f>COUNTIF(COMPOSICIÓN!$A:$A,A67)</f>
        <v>11</v>
      </c>
      <c r="R67" s="43" t="s">
        <v>97</v>
      </c>
    </row>
    <row r="68" spans="1:18" ht="15" customHeight="1" x14ac:dyDescent="0.35">
      <c r="A68" s="38" t="s">
        <v>2630</v>
      </c>
      <c r="B68" s="38" t="s">
        <v>2631</v>
      </c>
      <c r="C68" s="38" t="s">
        <v>94</v>
      </c>
      <c r="D68" s="38" t="s">
        <v>2632</v>
      </c>
      <c r="E68" s="38" t="s">
        <v>92</v>
      </c>
      <c r="F68" s="39">
        <v>3.25</v>
      </c>
      <c r="G68" s="40">
        <v>0</v>
      </c>
      <c r="H68" s="41">
        <v>0</v>
      </c>
      <c r="I68" s="14">
        <v>1</v>
      </c>
      <c r="J68" s="42">
        <f>SUMIFS(COMPOSICIÓN!J$2:J$1879,COMPOSICIÓN!A$2:A$1879,A68,COMPOSICIÓN!B$2:B$1879,"MAT")</f>
        <v>14804.6642249</v>
      </c>
      <c r="K68" s="42">
        <f>SUMIFS(COMPOSICIÓN!J$2:J$1879,COMPOSICIÓN!A$2:A$1879,A68,COMPOSICIÓN!B$2:B$1879,"MO")*I68</f>
        <v>146787.677933144</v>
      </c>
      <c r="L68" s="42">
        <f>SUMIFS(COMPOSICIÓN!J$2:J$1879,COMPOSICIÓN!A$2:A$1879,A68,COMPOSICIÓN!B$2:B$1879,"EQ")</f>
        <v>5418.7835832607761</v>
      </c>
      <c r="M68" s="42">
        <f t="shared" si="4"/>
        <v>14804.6642249</v>
      </c>
      <c r="N68" s="42">
        <f t="shared" si="5"/>
        <v>45165.439364044309</v>
      </c>
      <c r="O68" s="42">
        <f t="shared" si="6"/>
        <v>1667.3180256187004</v>
      </c>
      <c r="P68" s="42">
        <f t="shared" si="7"/>
        <v>61637.421614563005</v>
      </c>
      <c r="Q68" s="15">
        <f>COUNTIF(COMPOSICIÓN!$A:$A,A68)</f>
        <v>12</v>
      </c>
      <c r="R68" s="43" t="s">
        <v>97</v>
      </c>
    </row>
    <row r="69" spans="1:18" ht="15" customHeight="1" x14ac:dyDescent="0.35">
      <c r="A69" s="38" t="s">
        <v>2633</v>
      </c>
      <c r="B69" s="38" t="s">
        <v>2631</v>
      </c>
      <c r="C69" s="38" t="s">
        <v>94</v>
      </c>
      <c r="D69" s="38" t="s">
        <v>2634</v>
      </c>
      <c r="E69" s="38" t="s">
        <v>92</v>
      </c>
      <c r="F69" s="39">
        <v>3.25</v>
      </c>
      <c r="G69" s="40">
        <v>0</v>
      </c>
      <c r="H69" s="41">
        <v>0</v>
      </c>
      <c r="I69" s="14">
        <v>1</v>
      </c>
      <c r="J69" s="42">
        <f>SUMIFS(COMPOSICIÓN!J$2:J$1879,COMPOSICIÓN!A$2:A$1879,A69,COMPOSICIÓN!B$2:B$1879,"MAT")</f>
        <v>12087.904386250004</v>
      </c>
      <c r="K69" s="42">
        <f>SUMIFS(COMPOSICIÓN!J$2:J$1879,COMPOSICIÓN!A$2:A$1879,A69,COMPOSICIÓN!B$2:B$1879,"MO")*I69</f>
        <v>146787.677933144</v>
      </c>
      <c r="L69" s="42">
        <f>SUMIFS(COMPOSICIÓN!J$2:J$1879,COMPOSICIÓN!A$2:A$1879,A69,COMPOSICIÓN!B$2:B$1879,"EQ")</f>
        <v>5418.7835832607761</v>
      </c>
      <c r="M69" s="42">
        <f t="shared" si="4"/>
        <v>12087.904386250004</v>
      </c>
      <c r="N69" s="42">
        <f t="shared" si="5"/>
        <v>45165.439364044309</v>
      </c>
      <c r="O69" s="42">
        <f t="shared" si="6"/>
        <v>1667.3180256187004</v>
      </c>
      <c r="P69" s="42">
        <f t="shared" si="7"/>
        <v>58920.661775913009</v>
      </c>
      <c r="Q69" s="15">
        <f>COUNTIF(COMPOSICIÓN!$A:$A,A69)</f>
        <v>11</v>
      </c>
      <c r="R69" s="43" t="s">
        <v>97</v>
      </c>
    </row>
    <row r="70" spans="1:18" ht="15" customHeight="1" x14ac:dyDescent="0.35">
      <c r="A70" s="38" t="s">
        <v>2635</v>
      </c>
      <c r="B70" s="38" t="s">
        <v>2636</v>
      </c>
      <c r="C70" s="38" t="s">
        <v>94</v>
      </c>
      <c r="D70" s="38" t="s">
        <v>2637</v>
      </c>
      <c r="E70" s="38" t="s">
        <v>92</v>
      </c>
      <c r="F70" s="39">
        <v>12</v>
      </c>
      <c r="G70" s="40">
        <v>0</v>
      </c>
      <c r="H70" s="41">
        <v>0</v>
      </c>
      <c r="I70" s="14">
        <v>1</v>
      </c>
      <c r="J70" s="42">
        <f>SUMIFS(COMPOSICIÓN!J$2:J$1879,COMPOSICIÓN!A$2:A$1879,A70,COMPOSICIÓN!B$2:B$1879,"MAT")</f>
        <v>16654.927311749994</v>
      </c>
      <c r="K70" s="42">
        <f>SUMIFS(COMPOSICIÓN!J$2:J$1879,COMPOSICIÓN!A$2:A$1879,A70,COMPOSICIÓN!B$2:B$1879,"MO")*I70</f>
        <v>131572.53273900101</v>
      </c>
      <c r="L70" s="42">
        <f>SUMIFS(COMPOSICIÓN!J$2:J$1879,COMPOSICIÓN!A$2:A$1879,A70,COMPOSICIÓN!B$2:B$1879,"EQ")</f>
        <v>0</v>
      </c>
      <c r="M70" s="42">
        <f t="shared" si="4"/>
        <v>16654.927311749994</v>
      </c>
      <c r="N70" s="42">
        <f t="shared" si="5"/>
        <v>10964.377728250083</v>
      </c>
      <c r="O70" s="42">
        <f t="shared" si="6"/>
        <v>0</v>
      </c>
      <c r="P70" s="42">
        <f t="shared" si="7"/>
        <v>27619.305040000079</v>
      </c>
      <c r="Q70" s="15">
        <f>COUNTIF(COMPOSICIÓN!$A:$A,A70)</f>
        <v>11</v>
      </c>
      <c r="R70" s="43" t="s">
        <v>97</v>
      </c>
    </row>
    <row r="71" spans="1:18" ht="15" customHeight="1" x14ac:dyDescent="0.35">
      <c r="A71" s="38" t="s">
        <v>2638</v>
      </c>
      <c r="B71" s="38" t="s">
        <v>2639</v>
      </c>
      <c r="C71" s="38" t="s">
        <v>3024</v>
      </c>
      <c r="D71" s="38" t="s">
        <v>2640</v>
      </c>
      <c r="E71" s="38" t="s">
        <v>43</v>
      </c>
      <c r="F71" s="39">
        <v>12</v>
      </c>
      <c r="G71" s="40">
        <v>0</v>
      </c>
      <c r="H71" s="41">
        <v>0</v>
      </c>
      <c r="I71" s="14">
        <v>1</v>
      </c>
      <c r="J71" s="42">
        <f>SUMIFS(COMPOSICIÓN!J$2:J$1879,COMPOSICIÓN!A$2:A$1879,A71,COMPOSICIÓN!B$2:B$1879,"MAT")</f>
        <v>438153.97625999991</v>
      </c>
      <c r="K71" s="42">
        <f>SUMIFS(COMPOSICIÓN!J$2:J$1879,COMPOSICIÓN!A$2:A$1879,A71,COMPOSICIÓN!B$2:B$1879,"MO")*I71</f>
        <v>131572.53273900101</v>
      </c>
      <c r="L71" s="42">
        <f>SUMIFS(COMPOSICIÓN!J$2:J$1879,COMPOSICIÓN!A$2:A$1879,A71,COMPOSICIÓN!B$2:B$1879,"EQ")</f>
        <v>0</v>
      </c>
      <c r="M71" s="42">
        <f t="shared" si="4"/>
        <v>438153.97625999991</v>
      </c>
      <c r="N71" s="42">
        <f t="shared" si="5"/>
        <v>10964.377728250083</v>
      </c>
      <c r="O71" s="42">
        <f t="shared" si="6"/>
        <v>0</v>
      </c>
      <c r="P71" s="42">
        <f t="shared" si="7"/>
        <v>449118.35398825002</v>
      </c>
      <c r="Q71" s="15">
        <f>COUNTIF(COMPOSICIÓN!$A:$A,A71)</f>
        <v>7</v>
      </c>
      <c r="R71" s="43" t="s">
        <v>97</v>
      </c>
    </row>
    <row r="72" spans="1:18" ht="15" customHeight="1" x14ac:dyDescent="0.35">
      <c r="A72" s="38" t="s">
        <v>2641</v>
      </c>
      <c r="B72" s="38" t="s">
        <v>2642</v>
      </c>
      <c r="C72" s="38" t="s">
        <v>3024</v>
      </c>
      <c r="D72" s="38" t="s">
        <v>2643</v>
      </c>
      <c r="E72" s="38" t="s">
        <v>43</v>
      </c>
      <c r="F72" s="39">
        <v>12</v>
      </c>
      <c r="G72" s="40">
        <v>0</v>
      </c>
      <c r="H72" s="41">
        <v>0</v>
      </c>
      <c r="I72" s="14">
        <v>1</v>
      </c>
      <c r="J72" s="42">
        <f>SUMIFS(COMPOSICIÓN!J$2:J$1879,COMPOSICIÓN!A$2:A$1879,A72,COMPOSICIÓN!B$2:B$1879,"MAT")</f>
        <v>497743.66921999992</v>
      </c>
      <c r="K72" s="42">
        <f>SUMIFS(COMPOSICIÓN!J$2:J$1879,COMPOSICIÓN!A$2:A$1879,A72,COMPOSICIÓN!B$2:B$1879,"MO")*I72</f>
        <v>131572.53273900101</v>
      </c>
      <c r="L72" s="42">
        <f>SUMIFS(COMPOSICIÓN!J$2:J$1879,COMPOSICIÓN!A$2:A$1879,A72,COMPOSICIÓN!B$2:B$1879,"EQ")</f>
        <v>0</v>
      </c>
      <c r="M72" s="42">
        <f t="shared" si="4"/>
        <v>497743.66921999992</v>
      </c>
      <c r="N72" s="42">
        <f t="shared" si="5"/>
        <v>10964.377728250083</v>
      </c>
      <c r="O72" s="42">
        <f t="shared" si="6"/>
        <v>0</v>
      </c>
      <c r="P72" s="42">
        <f t="shared" si="7"/>
        <v>508708.04694825003</v>
      </c>
      <c r="Q72" s="15">
        <f>COUNTIF(COMPOSICIÓN!$A:$A,A72)</f>
        <v>8</v>
      </c>
      <c r="R72" s="43" t="s">
        <v>97</v>
      </c>
    </row>
    <row r="73" spans="1:18" ht="15" customHeight="1" x14ac:dyDescent="0.35">
      <c r="A73" s="38" t="s">
        <v>2644</v>
      </c>
      <c r="B73" s="38" t="s">
        <v>2645</v>
      </c>
      <c r="C73" s="38" t="s">
        <v>141</v>
      </c>
      <c r="D73" s="38" t="s">
        <v>2646</v>
      </c>
      <c r="E73" s="38" t="s">
        <v>92</v>
      </c>
      <c r="F73" s="39">
        <v>18</v>
      </c>
      <c r="G73" s="40">
        <v>0</v>
      </c>
      <c r="H73" s="41">
        <v>0</v>
      </c>
      <c r="I73" s="14">
        <v>1</v>
      </c>
      <c r="J73" s="42">
        <f>SUMIFS(COMPOSICIÓN!J$2:J$1879,COMPOSICIÓN!A$2:A$1879,A73,COMPOSICIÓN!B$2:B$1879,"MAT")</f>
        <v>1531.654399</v>
      </c>
      <c r="K73" s="42">
        <f>SUMIFS(COMPOSICIÓN!J$2:J$1879,COMPOSICIÓN!A$2:A$1879,A73,COMPOSICIÓN!B$2:B$1879,"MO")*I73</f>
        <v>131572.53273900101</v>
      </c>
      <c r="L73" s="42">
        <f>SUMIFS(COMPOSICIÓN!J$2:J$1879,COMPOSICIÓN!A$2:A$1879,A73,COMPOSICIÓN!B$2:B$1879,"EQ")</f>
        <v>3815.5684322275138</v>
      </c>
      <c r="M73" s="42">
        <f t="shared" si="4"/>
        <v>1531.654399</v>
      </c>
      <c r="N73" s="42">
        <f t="shared" si="5"/>
        <v>7309.5851521667228</v>
      </c>
      <c r="O73" s="42">
        <f t="shared" si="6"/>
        <v>211.97602401263964</v>
      </c>
      <c r="P73" s="42">
        <f t="shared" si="7"/>
        <v>9053.2155751793634</v>
      </c>
      <c r="Q73" s="15">
        <f>COUNTIF(COMPOSICIÓN!$A:$A,A73)</f>
        <v>8</v>
      </c>
      <c r="R73" s="43" t="s">
        <v>97</v>
      </c>
    </row>
    <row r="74" spans="1:18" ht="15" customHeight="1" x14ac:dyDescent="0.35">
      <c r="A74" s="38" t="s">
        <v>2647</v>
      </c>
      <c r="B74" s="38" t="s">
        <v>2648</v>
      </c>
      <c r="C74" s="38" t="s">
        <v>141</v>
      </c>
      <c r="D74" s="38" t="s">
        <v>2649</v>
      </c>
      <c r="E74" s="38" t="s">
        <v>92</v>
      </c>
      <c r="F74" s="39">
        <v>9</v>
      </c>
      <c r="G74" s="40">
        <v>0</v>
      </c>
      <c r="H74" s="41">
        <v>0</v>
      </c>
      <c r="I74" s="14">
        <v>1</v>
      </c>
      <c r="J74" s="42">
        <f>SUMIFS(COMPOSICIÓN!J$2:J$1879,COMPOSICIÓN!A$2:A$1879,A74,COMPOSICIÓN!B$2:B$1879,"MAT")</f>
        <v>703.90370600000006</v>
      </c>
      <c r="K74" s="42">
        <f>SUMIFS(COMPOSICIÓN!J$2:J$1879,COMPOSICIÓN!A$2:A$1879,A74,COMPOSICIÓN!B$2:B$1879,"MO")*I74</f>
        <v>122443.4456225152</v>
      </c>
      <c r="L74" s="42">
        <f>SUMIFS(COMPOSICIÓN!J$2:J$1879,COMPOSICIÓN!A$2:A$1879,A74,COMPOSICIÓN!B$2:B$1879,"EQ")</f>
        <v>3815.5684322275138</v>
      </c>
      <c r="M74" s="42">
        <f t="shared" si="4"/>
        <v>703.90370600000006</v>
      </c>
      <c r="N74" s="42">
        <f t="shared" si="5"/>
        <v>13604.827291390577</v>
      </c>
      <c r="O74" s="42">
        <f t="shared" si="6"/>
        <v>423.95204802527928</v>
      </c>
      <c r="P74" s="42">
        <f t="shared" si="7"/>
        <v>14732.683045415855</v>
      </c>
      <c r="Q74" s="15">
        <f>COUNTIF(COMPOSICIÓN!$A:$A,A74)</f>
        <v>8</v>
      </c>
      <c r="R74" s="43" t="s">
        <v>97</v>
      </c>
    </row>
    <row r="75" spans="1:18" ht="15" customHeight="1" x14ac:dyDescent="0.35">
      <c r="A75" s="38" t="s">
        <v>168</v>
      </c>
      <c r="B75" s="38" t="s">
        <v>2650</v>
      </c>
      <c r="C75" s="38" t="s">
        <v>94</v>
      </c>
      <c r="D75" s="38" t="s">
        <v>2651</v>
      </c>
      <c r="E75" s="38" t="s">
        <v>92</v>
      </c>
      <c r="F75" s="39">
        <v>14.5</v>
      </c>
      <c r="G75" s="40">
        <v>0</v>
      </c>
      <c r="H75" s="41">
        <v>0</v>
      </c>
      <c r="I75" s="14">
        <v>1</v>
      </c>
      <c r="J75" s="42">
        <f>SUMIFS(COMPOSICIÓN!J$2:J$1879,COMPOSICIÓN!A$2:A$1879,A75,COMPOSICIÓN!B$2:B$1879,"MAT")</f>
        <v>2717.5178580000002</v>
      </c>
      <c r="K75" s="42">
        <f>SUMIFS(COMPOSICIÓN!J$2:J$1879,COMPOSICIÓN!A$2:A$1879,A75,COMPOSICIÓN!B$2:B$1879,"MO")*I75</f>
        <v>113314.3585060294</v>
      </c>
      <c r="L75" s="42">
        <f>SUMIFS(COMPOSICIÓN!J$2:J$1879,COMPOSICIÓN!A$2:A$1879,A75,COMPOSICIÓN!B$2:B$1879,"EQ")</f>
        <v>3244.3889412467529</v>
      </c>
      <c r="M75" s="42">
        <f t="shared" si="4"/>
        <v>2717.5178580000002</v>
      </c>
      <c r="N75" s="42">
        <f t="shared" si="5"/>
        <v>7814.783345243407</v>
      </c>
      <c r="O75" s="42">
        <f t="shared" si="6"/>
        <v>223.7509614652933</v>
      </c>
      <c r="P75" s="42">
        <f t="shared" si="7"/>
        <v>10756.052164708701</v>
      </c>
      <c r="Q75" s="15">
        <f>COUNTIF(COMPOSICIÓN!$A:$A,A75)</f>
        <v>7</v>
      </c>
      <c r="R75" s="43" t="s">
        <v>97</v>
      </c>
    </row>
    <row r="76" spans="1:18" ht="15" customHeight="1" x14ac:dyDescent="0.35">
      <c r="A76" s="38" t="s">
        <v>234</v>
      </c>
      <c r="B76" s="38" t="s">
        <v>2652</v>
      </c>
      <c r="C76" s="38" t="s">
        <v>229</v>
      </c>
      <c r="D76" s="38" t="s">
        <v>2653</v>
      </c>
      <c r="E76" s="38" t="s">
        <v>92</v>
      </c>
      <c r="F76" s="39">
        <v>20</v>
      </c>
      <c r="G76" s="40">
        <v>0</v>
      </c>
      <c r="H76" s="41">
        <v>0</v>
      </c>
      <c r="I76" s="14">
        <v>1</v>
      </c>
      <c r="J76" s="42">
        <f>SUMIFS(COMPOSICIÓN!J$2:J$1879,COMPOSICIÓN!A$2:A$1879,A76,COMPOSICIÓN!B$2:B$1879,"MAT")</f>
        <v>2272.0787045000002</v>
      </c>
      <c r="K76" s="42">
        <f>SUMIFS(COMPOSICIÓN!J$2:J$1879,COMPOSICIÓN!A$2:A$1879,A76,COMPOSICIÓN!B$2:B$1879,"MO")*I76</f>
        <v>85927.097156571996</v>
      </c>
      <c r="L76" s="42">
        <f>SUMIFS(COMPOSICIÓN!J$2:J$1879,COMPOSICIÓN!A$2:A$1879,A76,COMPOSICIÓN!B$2:B$1879,"EQ")</f>
        <v>1923.8790390194536</v>
      </c>
      <c r="M76" s="42">
        <f t="shared" si="4"/>
        <v>2272.0787045000002</v>
      </c>
      <c r="N76" s="42">
        <f t="shared" si="5"/>
        <v>4296.3548578286</v>
      </c>
      <c r="O76" s="42">
        <f t="shared" si="6"/>
        <v>96.193951950972675</v>
      </c>
      <c r="P76" s="42">
        <f t="shared" si="7"/>
        <v>6664.627514279573</v>
      </c>
      <c r="Q76" s="15">
        <f>COUNTIF(COMPOSICIÓN!$A:$A,A76)</f>
        <v>13</v>
      </c>
      <c r="R76" s="43" t="s">
        <v>97</v>
      </c>
    </row>
    <row r="77" spans="1:18" ht="15" customHeight="1" x14ac:dyDescent="0.35">
      <c r="A77" s="38" t="s">
        <v>2654</v>
      </c>
      <c r="B77" s="38" t="s">
        <v>2652</v>
      </c>
      <c r="C77" s="38" t="s">
        <v>94</v>
      </c>
      <c r="D77" s="38" t="s">
        <v>2653</v>
      </c>
      <c r="E77" s="38" t="s">
        <v>92</v>
      </c>
      <c r="F77" s="39">
        <v>20</v>
      </c>
      <c r="G77" s="40">
        <v>0</v>
      </c>
      <c r="H77" s="41">
        <v>0</v>
      </c>
      <c r="I77" s="14">
        <v>1</v>
      </c>
      <c r="J77" s="42">
        <f>SUMIFS(COMPOSICIÓN!J$2:J$1879,COMPOSICIÓN!A$2:A$1879,A77,COMPOSICIÓN!B$2:B$1879,"MAT")</f>
        <v>2272.0787045000002</v>
      </c>
      <c r="K77" s="42">
        <f>SUMIFS(COMPOSICIÓN!J$2:J$1879,COMPOSICIÓN!A$2:A$1879,A77,COMPOSICIÓN!B$2:B$1879,"MO")*I77</f>
        <v>85927.097156571996</v>
      </c>
      <c r="L77" s="42">
        <f>SUMIFS(COMPOSICIÓN!J$2:J$1879,COMPOSICIÓN!A$2:A$1879,A77,COMPOSICIÓN!B$2:B$1879,"EQ")</f>
        <v>1923.8790390194536</v>
      </c>
      <c r="M77" s="42">
        <f t="shared" si="4"/>
        <v>2272.0787045000002</v>
      </c>
      <c r="N77" s="42">
        <f t="shared" si="5"/>
        <v>4296.3548578286</v>
      </c>
      <c r="O77" s="42">
        <f t="shared" si="6"/>
        <v>96.193951950972675</v>
      </c>
      <c r="P77" s="42">
        <f t="shared" si="7"/>
        <v>6664.627514279573</v>
      </c>
      <c r="Q77" s="15">
        <f>COUNTIF(COMPOSICIÓN!$A:$A,A77)</f>
        <v>13</v>
      </c>
      <c r="R77" s="43" t="s">
        <v>97</v>
      </c>
    </row>
    <row r="78" spans="1:18" ht="15" customHeight="1" x14ac:dyDescent="0.35">
      <c r="A78" s="38" t="s">
        <v>2655</v>
      </c>
      <c r="B78" s="38" t="s">
        <v>2656</v>
      </c>
      <c r="C78" s="38" t="s">
        <v>229</v>
      </c>
      <c r="D78" s="38" t="s">
        <v>2657</v>
      </c>
      <c r="E78" s="38" t="s">
        <v>92</v>
      </c>
      <c r="F78" s="39">
        <v>25</v>
      </c>
      <c r="G78" s="40">
        <v>0</v>
      </c>
      <c r="H78" s="41">
        <v>0</v>
      </c>
      <c r="I78" s="14">
        <v>1</v>
      </c>
      <c r="J78" s="42">
        <f>SUMIFS(COMPOSICIÓN!J$2:J$1879,COMPOSICIÓN!A$2:A$1879,A78,COMPOSICIÓN!B$2:B$1879,"MAT")</f>
        <v>2141.6929605</v>
      </c>
      <c r="K78" s="42">
        <f>SUMIFS(COMPOSICIÓN!J$2:J$1879,COMPOSICIÓN!A$2:A$1879,A78,COMPOSICIÓN!B$2:B$1879,"MO")*I78</f>
        <v>85927.097156571996</v>
      </c>
      <c r="L78" s="42">
        <f>SUMIFS(COMPOSICIÓN!J$2:J$1879,COMPOSICIÓN!A$2:A$1879,A78,COMPOSICIÓN!B$2:B$1879,"EQ")</f>
        <v>1923.8790390194536</v>
      </c>
      <c r="M78" s="42">
        <f t="shared" si="4"/>
        <v>2141.6929605</v>
      </c>
      <c r="N78" s="42">
        <f t="shared" si="5"/>
        <v>3437.0838862628798</v>
      </c>
      <c r="O78" s="42">
        <f t="shared" si="6"/>
        <v>76.955161560778137</v>
      </c>
      <c r="P78" s="42">
        <f t="shared" si="7"/>
        <v>5655.7320083236573</v>
      </c>
      <c r="Q78" s="15">
        <f>COUNTIF(COMPOSICIÓN!$A:$A,A78)</f>
        <v>11</v>
      </c>
      <c r="R78" s="43" t="s">
        <v>97</v>
      </c>
    </row>
    <row r="79" spans="1:18" ht="15" customHeight="1" x14ac:dyDescent="0.35">
      <c r="A79" s="38" t="s">
        <v>2658</v>
      </c>
      <c r="B79" s="38"/>
      <c r="C79" s="38" t="s">
        <v>3021</v>
      </c>
      <c r="D79" s="38" t="s">
        <v>2659</v>
      </c>
      <c r="E79" s="38" t="s">
        <v>24</v>
      </c>
      <c r="F79" s="39">
        <v>1</v>
      </c>
      <c r="G79" s="40">
        <v>0</v>
      </c>
      <c r="H79" s="41">
        <v>0</v>
      </c>
      <c r="I79" s="14">
        <v>1</v>
      </c>
      <c r="J79" s="42">
        <f>SUMIFS(COMPOSICIÓN!J$2:J$1879,COMPOSICIÓN!A$2:A$1879,A79,COMPOSICIÓN!B$2:B$1879,"MAT")</f>
        <v>0</v>
      </c>
      <c r="K79" s="42">
        <f>SUMIFS(COMPOSICIÓN!J$2:J$1879,COMPOSICIÓN!A$2:A$1879,A79,COMPOSICIÓN!B$2:B$1879,"MO")*I79</f>
        <v>0</v>
      </c>
      <c r="L79" s="42">
        <f>SUMIFS(COMPOSICIÓN!J$2:J$1879,COMPOSICIÓN!A$2:A$1879,A79,COMPOSICIÓN!B$2:B$1879,"EQ")</f>
        <v>0</v>
      </c>
      <c r="M79" s="42">
        <f t="shared" si="4"/>
        <v>0</v>
      </c>
      <c r="N79" s="42">
        <f t="shared" si="5"/>
        <v>0</v>
      </c>
      <c r="O79" s="42">
        <f t="shared" si="6"/>
        <v>0</v>
      </c>
      <c r="P79" s="42">
        <f t="shared" si="7"/>
        <v>0</v>
      </c>
      <c r="Q79" s="15">
        <f>COUNTIF(COMPOSICIÓN!$A:$A,A79)</f>
        <v>0</v>
      </c>
      <c r="R79" s="43" t="s">
        <v>2660</v>
      </c>
    </row>
    <row r="80" spans="1:18" ht="15" customHeight="1" x14ac:dyDescent="0.35">
      <c r="A80" s="38" t="s">
        <v>25</v>
      </c>
      <c r="B80" s="38"/>
      <c r="C80" s="38" t="s">
        <v>3021</v>
      </c>
      <c r="D80" s="38" t="s">
        <v>23</v>
      </c>
      <c r="E80" s="38" t="s">
        <v>24</v>
      </c>
      <c r="F80" s="39">
        <v>1</v>
      </c>
      <c r="G80" s="40">
        <v>0</v>
      </c>
      <c r="H80" s="41">
        <v>0</v>
      </c>
      <c r="I80" s="14">
        <v>1</v>
      </c>
      <c r="J80" s="42">
        <f>SUMIFS(COMPOSICIÓN!J$2:J$1879,COMPOSICIÓN!A$2:A$1879,A80,COMPOSICIÓN!B$2:B$1879,"MAT")</f>
        <v>25000</v>
      </c>
      <c r="K80" s="42">
        <f>SUMIFS(COMPOSICIÓN!J$2:J$1879,COMPOSICIÓN!A$2:A$1879,A80,COMPOSICIÓN!B$2:B$1879,"MO")*I80</f>
        <v>259597.42541293599</v>
      </c>
      <c r="L80" s="42">
        <f>SUMIFS(COMPOSICIÓN!J$2:J$1879,COMPOSICIÓN!A$2:A$1879,A80,COMPOSICIÓN!B$2:B$1879,"EQ")</f>
        <v>4268.9613811940299</v>
      </c>
      <c r="M80" s="42">
        <f t="shared" si="4"/>
        <v>25000</v>
      </c>
      <c r="N80" s="42">
        <f t="shared" si="5"/>
        <v>259597.42541293599</v>
      </c>
      <c r="O80" s="42">
        <f t="shared" si="6"/>
        <v>4268.9613811940299</v>
      </c>
      <c r="P80" s="42">
        <f t="shared" si="7"/>
        <v>288866.38679413003</v>
      </c>
      <c r="Q80" s="15">
        <f>COUNTIF(COMPOSICIÓN!$A:$A,A80)</f>
        <v>4</v>
      </c>
      <c r="R80" s="43" t="s">
        <v>2661</v>
      </c>
    </row>
    <row r="81" spans="1:18" ht="15" customHeight="1" x14ac:dyDescent="0.35">
      <c r="A81" s="38" t="s">
        <v>2662</v>
      </c>
      <c r="B81" s="38"/>
      <c r="C81" s="38" t="s">
        <v>3021</v>
      </c>
      <c r="D81" s="38" t="s">
        <v>2663</v>
      </c>
      <c r="E81" s="38" t="s">
        <v>24</v>
      </c>
      <c r="F81" s="39">
        <v>1</v>
      </c>
      <c r="G81" s="40">
        <v>0</v>
      </c>
      <c r="H81" s="41">
        <v>0</v>
      </c>
      <c r="I81" s="14">
        <v>1</v>
      </c>
      <c r="J81" s="42">
        <f>SUMIFS(COMPOSICIÓN!J$2:J$1879,COMPOSICIÓN!A$2:A$1879,A81,COMPOSICIÓN!B$2:B$1879,"MAT")</f>
        <v>0</v>
      </c>
      <c r="K81" s="42">
        <f>SUMIFS(COMPOSICIÓN!J$2:J$1879,COMPOSICIÓN!A$2:A$1879,A81,COMPOSICIÓN!B$2:B$1879,"MO")*I81</f>
        <v>0</v>
      </c>
      <c r="L81" s="42">
        <f>SUMIFS(COMPOSICIÓN!J$2:J$1879,COMPOSICIÓN!A$2:A$1879,A81,COMPOSICIÓN!B$2:B$1879,"EQ")</f>
        <v>0</v>
      </c>
      <c r="M81" s="42">
        <f t="shared" si="4"/>
        <v>0</v>
      </c>
      <c r="N81" s="42">
        <f t="shared" si="5"/>
        <v>0</v>
      </c>
      <c r="O81" s="42">
        <f t="shared" si="6"/>
        <v>0</v>
      </c>
      <c r="P81" s="42">
        <f t="shared" si="7"/>
        <v>0</v>
      </c>
      <c r="Q81" s="15">
        <f>COUNTIF(COMPOSICIÓN!$A:$A,A81)</f>
        <v>0</v>
      </c>
      <c r="R81" s="43" t="s">
        <v>2660</v>
      </c>
    </row>
    <row r="82" spans="1:18" ht="15" customHeight="1" x14ac:dyDescent="0.35">
      <c r="A82" s="38" t="s">
        <v>29</v>
      </c>
      <c r="B82" s="38"/>
      <c r="C82" s="38" t="s">
        <v>3021</v>
      </c>
      <c r="D82" s="38" t="s">
        <v>27</v>
      </c>
      <c r="E82" s="38" t="s">
        <v>28</v>
      </c>
      <c r="F82" s="39">
        <v>1</v>
      </c>
      <c r="G82" s="40">
        <v>0</v>
      </c>
      <c r="H82" s="41">
        <v>0</v>
      </c>
      <c r="I82" s="14">
        <v>1</v>
      </c>
      <c r="J82" s="42">
        <f>SUMIFS(COMPOSICIÓN!J$2:J$1879,COMPOSICIÓN!A$2:A$1879,A82,COMPOSICIÓN!B$2:B$1879,"MAT")</f>
        <v>88330.702809914539</v>
      </c>
      <c r="K82" s="42">
        <f>SUMIFS(COMPOSICIÓN!J$2:J$1879,COMPOSICIÓN!A$2:A$1879,A82,COMPOSICIÓN!B$2:B$1879,"MO")*I82</f>
        <v>101654.366059858</v>
      </c>
      <c r="L82" s="42">
        <f>SUMIFS(COMPOSICIÓN!J$2:J$1879,COMPOSICIÓN!A$2:A$1879,A82,COMPOSICIÓN!B$2:B$1879,"EQ")</f>
        <v>2849.7760330466299</v>
      </c>
      <c r="M82" s="42">
        <f t="shared" si="4"/>
        <v>88330.702809914539</v>
      </c>
      <c r="N82" s="42">
        <f t="shared" si="5"/>
        <v>101654.366059858</v>
      </c>
      <c r="O82" s="42">
        <f t="shared" si="6"/>
        <v>2849.7760330466299</v>
      </c>
      <c r="P82" s="42">
        <f t="shared" si="7"/>
        <v>192834.84490281917</v>
      </c>
      <c r="Q82" s="15">
        <f>COUNTIF(COMPOSICIÓN!$A:$A,A82)</f>
        <v>12</v>
      </c>
      <c r="R82" s="43" t="s">
        <v>2661</v>
      </c>
    </row>
    <row r="83" spans="1:18" ht="15" customHeight="1" x14ac:dyDescent="0.35">
      <c r="A83" s="38" t="s">
        <v>31</v>
      </c>
      <c r="B83" s="38"/>
      <c r="C83" s="38" t="s">
        <v>3021</v>
      </c>
      <c r="D83" s="38" t="s">
        <v>30</v>
      </c>
      <c r="E83" s="38" t="s">
        <v>24</v>
      </c>
      <c r="F83" s="39">
        <v>1</v>
      </c>
      <c r="G83" s="40">
        <v>0</v>
      </c>
      <c r="H83" s="41">
        <v>0</v>
      </c>
      <c r="I83" s="14">
        <v>1</v>
      </c>
      <c r="J83" s="42">
        <f>SUMIFS(COMPOSICIÓN!J$2:J$1879,COMPOSICIÓN!A$2:A$1879,A83,COMPOSICIÓN!B$2:B$1879,"MAT")</f>
        <v>2078824.6995041324</v>
      </c>
      <c r="K83" s="42">
        <f>SUMIFS(COMPOSICIÓN!J$2:J$1879,COMPOSICIÓN!A$2:A$1879,A83,COMPOSICIÓN!B$2:B$1879,"MO")*I83</f>
        <v>5174962.8553190362</v>
      </c>
      <c r="L83" s="42">
        <f>SUMIFS(COMPOSICIÓN!J$2:J$1879,COMPOSICIÓN!A$2:A$1879,A83,COMPOSICIÓN!B$2:B$1879,"EQ")</f>
        <v>108806.813322348</v>
      </c>
      <c r="M83" s="42">
        <f t="shared" si="4"/>
        <v>2078824.6995041324</v>
      </c>
      <c r="N83" s="42">
        <f t="shared" si="5"/>
        <v>5174962.8553190362</v>
      </c>
      <c r="O83" s="42">
        <f t="shared" si="6"/>
        <v>108806.813322348</v>
      </c>
      <c r="P83" s="42">
        <f t="shared" si="7"/>
        <v>7362594.3681455161</v>
      </c>
      <c r="Q83" s="15">
        <f>COUNTIF(COMPOSICIÓN!$A:$A,A83)</f>
        <v>23</v>
      </c>
      <c r="R83" s="43" t="s">
        <v>2661</v>
      </c>
    </row>
    <row r="84" spans="1:18" ht="15" customHeight="1" x14ac:dyDescent="0.35">
      <c r="A84" s="38" t="s">
        <v>34</v>
      </c>
      <c r="B84" s="38"/>
      <c r="C84" s="38" t="s">
        <v>3021</v>
      </c>
      <c r="D84" s="38" t="s">
        <v>32</v>
      </c>
      <c r="E84" s="38" t="s">
        <v>33</v>
      </c>
      <c r="F84" s="39">
        <v>1</v>
      </c>
      <c r="G84" s="40">
        <v>0</v>
      </c>
      <c r="H84" s="41">
        <v>0</v>
      </c>
      <c r="I84" s="14">
        <v>1</v>
      </c>
      <c r="J84" s="42">
        <f>SUMIFS(COMPOSICIÓN!J$2:J$1879,COMPOSICIÓN!A$2:A$1879,A84,COMPOSICIÓN!B$2:B$1879,"MAT")</f>
        <v>0</v>
      </c>
      <c r="K84" s="42">
        <f>SUMIFS(COMPOSICIÓN!J$2:J$1879,COMPOSICIÓN!A$2:A$1879,A84,COMPOSICIÓN!B$2:B$1879,"MO")*I84</f>
        <v>332285.5428914217</v>
      </c>
      <c r="L84" s="42">
        <f>SUMIFS(COMPOSICIÓN!J$2:J$1879,COMPOSICIÓN!A$2:A$1879,A84,COMPOSICIÓN!B$2:B$1879,"EQ")</f>
        <v>0</v>
      </c>
      <c r="M84" s="42">
        <f t="shared" si="4"/>
        <v>0</v>
      </c>
      <c r="N84" s="42">
        <f t="shared" si="5"/>
        <v>332285.5428914217</v>
      </c>
      <c r="O84" s="42">
        <f t="shared" si="6"/>
        <v>0</v>
      </c>
      <c r="P84" s="42">
        <f t="shared" si="7"/>
        <v>332285.5428914217</v>
      </c>
      <c r="Q84" s="15">
        <f>COUNTIF(COMPOSICIÓN!$A:$A,A84)</f>
        <v>2</v>
      </c>
      <c r="R84" s="43" t="s">
        <v>2664</v>
      </c>
    </row>
    <row r="85" spans="1:18" ht="15" customHeight="1" x14ac:dyDescent="0.35">
      <c r="A85" s="38" t="s">
        <v>36</v>
      </c>
      <c r="B85" s="38"/>
      <c r="C85" s="38" t="s">
        <v>3021</v>
      </c>
      <c r="D85" s="38" t="s">
        <v>35</v>
      </c>
      <c r="E85" s="38" t="s">
        <v>24</v>
      </c>
      <c r="F85" s="39">
        <v>1</v>
      </c>
      <c r="G85" s="40">
        <v>0</v>
      </c>
      <c r="H85" s="41">
        <v>0</v>
      </c>
      <c r="I85" s="14">
        <v>1</v>
      </c>
      <c r="J85" s="42">
        <f>SUMIFS(COMPOSICIÓN!J$2:J$1879,COMPOSICIÓN!A$2:A$1879,A85,COMPOSICIÓN!B$2:B$1879,"MAT")</f>
        <v>1090000</v>
      </c>
      <c r="K85" s="42">
        <f>SUMIFS(COMPOSICIÓN!J$2:J$1879,COMPOSICIÓN!A$2:A$1879,A85,COMPOSICIÓN!B$2:B$1879,"MO")*I85</f>
        <v>601395.67469257605</v>
      </c>
      <c r="L85" s="42">
        <f>SUMIFS(COMPOSICIÓN!J$2:J$1879,COMPOSICIÓN!A$2:A$1879,A85,COMPOSICIÓN!B$2:B$1879,"EQ")</f>
        <v>25370.9351203886</v>
      </c>
      <c r="M85" s="42">
        <f t="shared" si="4"/>
        <v>1090000</v>
      </c>
      <c r="N85" s="42">
        <f t="shared" si="5"/>
        <v>601395.67469257605</v>
      </c>
      <c r="O85" s="42">
        <f t="shared" si="6"/>
        <v>25370.9351203886</v>
      </c>
      <c r="P85" s="42">
        <f t="shared" si="7"/>
        <v>1716766.6098129647</v>
      </c>
      <c r="Q85" s="15">
        <f>COUNTIF(COMPOSICIÓN!$A:$A,A85)</f>
        <v>9</v>
      </c>
      <c r="R85" s="43" t="s">
        <v>2661</v>
      </c>
    </row>
    <row r="86" spans="1:18" ht="15" customHeight="1" x14ac:dyDescent="0.35">
      <c r="A86" s="38" t="s">
        <v>38</v>
      </c>
      <c r="B86" s="38"/>
      <c r="C86" s="38" t="s">
        <v>3021</v>
      </c>
      <c r="D86" s="38" t="s">
        <v>37</v>
      </c>
      <c r="E86" s="38" t="s">
        <v>24</v>
      </c>
      <c r="F86" s="39">
        <v>1</v>
      </c>
      <c r="G86" s="40">
        <v>0</v>
      </c>
      <c r="H86" s="41">
        <v>0</v>
      </c>
      <c r="I86" s="14">
        <v>1</v>
      </c>
      <c r="J86" s="42">
        <f>SUMIFS(COMPOSICIÓN!J$2:J$1879,COMPOSICIÓN!A$2:A$1879,A86,COMPOSICIÓN!B$2:B$1879,"MAT")</f>
        <v>685200</v>
      </c>
      <c r="K86" s="42">
        <f>SUMIFS(COMPOSICIÓN!J$2:J$1879,COMPOSICIÓN!A$2:A$1879,A86,COMPOSICIÓN!B$2:B$1879,"MO")*I86</f>
        <v>651528.70745257591</v>
      </c>
      <c r="L86" s="42">
        <f>SUMIFS(COMPOSICIÓN!J$2:J$1879,COMPOSICIÓN!A$2:A$1879,A86,COMPOSICIÓN!B$2:B$1879,"EQ")</f>
        <v>20050.930611788601</v>
      </c>
      <c r="M86" s="42">
        <f t="shared" si="4"/>
        <v>685200</v>
      </c>
      <c r="N86" s="42">
        <f t="shared" si="5"/>
        <v>651528.70745257591</v>
      </c>
      <c r="O86" s="42">
        <f t="shared" si="6"/>
        <v>20050.930611788601</v>
      </c>
      <c r="P86" s="42">
        <f t="shared" si="7"/>
        <v>1356779.6380643644</v>
      </c>
      <c r="Q86" s="15">
        <f>COUNTIF(COMPOSICIÓN!$A:$A,A86)</f>
        <v>11</v>
      </c>
      <c r="R86" s="43" t="s">
        <v>2661</v>
      </c>
    </row>
    <row r="87" spans="1:18" ht="15" customHeight="1" x14ac:dyDescent="0.35">
      <c r="A87" s="38" t="s">
        <v>40</v>
      </c>
      <c r="B87" s="38"/>
      <c r="C87" s="38" t="s">
        <v>3021</v>
      </c>
      <c r="D87" s="38" t="s">
        <v>39</v>
      </c>
      <c r="E87" s="38" t="s">
        <v>24</v>
      </c>
      <c r="F87" s="39">
        <v>1</v>
      </c>
      <c r="G87" s="40">
        <v>0</v>
      </c>
      <c r="H87" s="41">
        <v>0</v>
      </c>
      <c r="I87" s="14">
        <v>1</v>
      </c>
      <c r="J87" s="42">
        <f>SUMIFS(COMPOSICIÓN!J$2:J$1879,COMPOSICIÓN!A$2:A$1879,A87,COMPOSICIÓN!B$2:B$1879,"MAT")</f>
        <v>0</v>
      </c>
      <c r="K87" s="42">
        <f>SUMIFS(COMPOSICIÓN!J$2:J$1879,COMPOSICIÓN!A$2:A$1879,A87,COMPOSICIÓN!B$2:B$1879,"MO")*I87</f>
        <v>456336.73410124914</v>
      </c>
      <c r="L87" s="42">
        <f>SUMIFS(COMPOSICIÓN!J$2:J$1879,COMPOSICIÓN!A$2:A$1879,A87,COMPOSICIÓN!B$2:B$1879,"EQ")</f>
        <v>0</v>
      </c>
      <c r="M87" s="42">
        <f t="shared" si="4"/>
        <v>0</v>
      </c>
      <c r="N87" s="42">
        <f t="shared" si="5"/>
        <v>456336.73410124914</v>
      </c>
      <c r="O87" s="42">
        <f t="shared" si="6"/>
        <v>0</v>
      </c>
      <c r="P87" s="42">
        <f t="shared" si="7"/>
        <v>456336.73410124914</v>
      </c>
      <c r="Q87" s="15">
        <f>COUNTIF(COMPOSICIÓN!$A:$A,A87)</f>
        <v>3</v>
      </c>
      <c r="R87" s="43" t="s">
        <v>2661</v>
      </c>
    </row>
    <row r="88" spans="1:18" ht="15" customHeight="1" x14ac:dyDescent="0.35">
      <c r="A88" s="38" t="s">
        <v>44</v>
      </c>
      <c r="B88" s="38"/>
      <c r="C88" s="38" t="s">
        <v>3023</v>
      </c>
      <c r="D88" s="38" t="s">
        <v>42</v>
      </c>
      <c r="E88" s="38" t="s">
        <v>43</v>
      </c>
      <c r="F88" s="39">
        <v>1</v>
      </c>
      <c r="G88" s="40">
        <v>0</v>
      </c>
      <c r="H88" s="41">
        <v>0</v>
      </c>
      <c r="I88" s="14">
        <v>1</v>
      </c>
      <c r="J88" s="42">
        <f>SUMIFS(COMPOSICIÓN!J$2:J$1879,COMPOSICIÓN!A$2:A$1879,A88,COMPOSICIÓN!B$2:B$1879,"MAT")</f>
        <v>0</v>
      </c>
      <c r="K88" s="42">
        <f>SUMIFS(COMPOSICIÓN!J$2:J$1879,COMPOSICIÓN!A$2:A$1879,A88,COMPOSICIÓN!B$2:B$1879,"MO")*I88</f>
        <v>39520.776511775563</v>
      </c>
      <c r="L88" s="42">
        <f>SUMIFS(COMPOSICIÓN!J$2:J$1879,COMPOSICIÓN!A$2:A$1879,A88,COMPOSICIÓN!B$2:B$1879,"EQ")</f>
        <v>97.811647676633498</v>
      </c>
      <c r="M88" s="42">
        <f t="shared" si="4"/>
        <v>0</v>
      </c>
      <c r="N88" s="42">
        <f t="shared" si="5"/>
        <v>39520.776511775563</v>
      </c>
      <c r="O88" s="42">
        <f t="shared" si="6"/>
        <v>97.811647676633498</v>
      </c>
      <c r="P88" s="42">
        <f t="shared" si="7"/>
        <v>39618.588159452192</v>
      </c>
      <c r="Q88" s="15">
        <f>COUNTIF(COMPOSICIÓN!$A:$A,A88)</f>
        <v>3</v>
      </c>
      <c r="R88" s="43" t="s">
        <v>2661</v>
      </c>
    </row>
    <row r="89" spans="1:18" ht="15" customHeight="1" x14ac:dyDescent="0.35">
      <c r="A89" s="38" t="s">
        <v>46</v>
      </c>
      <c r="B89" s="38"/>
      <c r="C89" s="38" t="s">
        <v>3023</v>
      </c>
      <c r="D89" s="38" t="s">
        <v>45</v>
      </c>
      <c r="E89" s="38" t="s">
        <v>24</v>
      </c>
      <c r="F89" s="39">
        <v>1</v>
      </c>
      <c r="G89" s="40">
        <v>0</v>
      </c>
      <c r="H89" s="41">
        <v>0</v>
      </c>
      <c r="I89" s="14">
        <v>1</v>
      </c>
      <c r="J89" s="42">
        <f>SUMIFS(COMPOSICIÓN!J$2:J$1879,COMPOSICIÓN!A$2:A$1879,A89,COMPOSICIÓN!B$2:B$1879,"MAT")</f>
        <v>105000</v>
      </c>
      <c r="K89" s="42">
        <f>SUMIFS(COMPOSICIÓN!J$2:J$1879,COMPOSICIÓN!A$2:A$1879,A89,COMPOSICIÓN!B$2:B$1879,"MO")*I89</f>
        <v>8488596.6625075042</v>
      </c>
      <c r="L89" s="42">
        <f>SUMIFS(COMPOSICIÓN!J$2:J$1879,COMPOSICIÓN!A$2:A$1879,A89,COMPOSICIÓN!B$2:B$1879,"EQ")</f>
        <v>128903.949937613</v>
      </c>
      <c r="M89" s="42">
        <f t="shared" si="4"/>
        <v>105000</v>
      </c>
      <c r="N89" s="42">
        <f t="shared" si="5"/>
        <v>8488596.6625075042</v>
      </c>
      <c r="O89" s="42">
        <f t="shared" si="6"/>
        <v>128903.949937613</v>
      </c>
      <c r="P89" s="42">
        <f t="shared" si="7"/>
        <v>8722500.6124451179</v>
      </c>
      <c r="Q89" s="15">
        <f>COUNTIF(COMPOSICIÓN!$A:$A,A89)</f>
        <v>4</v>
      </c>
      <c r="R89" s="43" t="s">
        <v>2661</v>
      </c>
    </row>
    <row r="90" spans="1:18" ht="15" customHeight="1" x14ac:dyDescent="0.35">
      <c r="A90" s="38" t="s">
        <v>48</v>
      </c>
      <c r="B90" s="38"/>
      <c r="C90" s="38" t="s">
        <v>3023</v>
      </c>
      <c r="D90" s="38" t="s">
        <v>47</v>
      </c>
      <c r="E90" s="38" t="s">
        <v>43</v>
      </c>
      <c r="F90" s="39">
        <v>1</v>
      </c>
      <c r="G90" s="40">
        <v>0</v>
      </c>
      <c r="H90" s="41">
        <v>0</v>
      </c>
      <c r="I90" s="14">
        <v>1</v>
      </c>
      <c r="J90" s="42">
        <f>SUMIFS(COMPOSICIÓN!J$2:J$1879,COMPOSICIÓN!A$2:A$1879,A90,COMPOSICIÓN!B$2:B$1879,"MAT")</f>
        <v>26000</v>
      </c>
      <c r="K90" s="42">
        <f>SUMIFS(COMPOSICIÓN!J$2:J$1879,COMPOSICIÓN!A$2:A$1879,A90,COMPOSICIÓN!B$2:B$1879,"MO")*I90</f>
        <v>60860.580776572002</v>
      </c>
      <c r="L90" s="42">
        <f>SUMIFS(COMPOSICIÓN!J$2:J$1879,COMPOSICIÓN!A$2:A$1879,A90,COMPOSICIÓN!B$2:B$1879,"EQ")</f>
        <v>1302.90871164858</v>
      </c>
      <c r="M90" s="42">
        <f t="shared" si="4"/>
        <v>26000</v>
      </c>
      <c r="N90" s="42">
        <f t="shared" si="5"/>
        <v>60860.580776572002</v>
      </c>
      <c r="O90" s="42">
        <f t="shared" si="6"/>
        <v>1302.90871164858</v>
      </c>
      <c r="P90" s="42">
        <f t="shared" si="7"/>
        <v>88163.48948822057</v>
      </c>
      <c r="Q90" s="15">
        <f>COUNTIF(COMPOSICIÓN!$A:$A,A90)</f>
        <v>3</v>
      </c>
      <c r="R90" s="43" t="s">
        <v>2665</v>
      </c>
    </row>
    <row r="91" spans="1:18" ht="15" customHeight="1" x14ac:dyDescent="0.35">
      <c r="A91" s="38" t="s">
        <v>2666</v>
      </c>
      <c r="B91" s="38"/>
      <c r="C91" s="38" t="s">
        <v>3023</v>
      </c>
      <c r="D91" s="38" t="s">
        <v>2667</v>
      </c>
      <c r="E91" s="38" t="s">
        <v>92</v>
      </c>
      <c r="F91" s="39">
        <v>1</v>
      </c>
      <c r="G91" s="40">
        <v>0</v>
      </c>
      <c r="H91" s="41">
        <v>0</v>
      </c>
      <c r="I91" s="14">
        <v>1</v>
      </c>
      <c r="J91" s="42">
        <f>SUMIFS(COMPOSICIÓN!J$2:J$1879,COMPOSICIÓN!A$2:A$1879,A91,COMPOSICIÓN!B$2:B$1879,"MAT")</f>
        <v>0</v>
      </c>
      <c r="K91" s="42">
        <f>SUMIFS(COMPOSICIÓN!J$2:J$1879,COMPOSICIÓN!A$2:A$1879,A91,COMPOSICIÓN!B$2:B$1879,"MO")*I91</f>
        <v>0</v>
      </c>
      <c r="L91" s="42">
        <f>SUMIFS(COMPOSICIÓN!J$2:J$1879,COMPOSICIÓN!A$2:A$1879,A91,COMPOSICIÓN!B$2:B$1879,"EQ")</f>
        <v>0</v>
      </c>
      <c r="M91" s="42">
        <f t="shared" si="4"/>
        <v>0</v>
      </c>
      <c r="N91" s="42">
        <f t="shared" si="5"/>
        <v>0</v>
      </c>
      <c r="O91" s="42">
        <f t="shared" si="6"/>
        <v>0</v>
      </c>
      <c r="P91" s="42">
        <f t="shared" si="7"/>
        <v>0</v>
      </c>
      <c r="Q91" s="15">
        <f>COUNTIF(COMPOSICIÓN!$A:$A,A91)</f>
        <v>0</v>
      </c>
      <c r="R91" s="43" t="s">
        <v>2660</v>
      </c>
    </row>
    <row r="92" spans="1:18" ht="15" customHeight="1" x14ac:dyDescent="0.35">
      <c r="A92" s="38" t="s">
        <v>2668</v>
      </c>
      <c r="B92" s="38"/>
      <c r="C92" s="38" t="s">
        <v>3023</v>
      </c>
      <c r="D92" s="38" t="s">
        <v>2669</v>
      </c>
      <c r="E92" s="38" t="s">
        <v>24</v>
      </c>
      <c r="F92" s="39">
        <v>1</v>
      </c>
      <c r="G92" s="40">
        <v>0</v>
      </c>
      <c r="H92" s="41">
        <v>0</v>
      </c>
      <c r="I92" s="14">
        <v>1</v>
      </c>
      <c r="J92" s="42">
        <f>SUMIFS(COMPOSICIÓN!J$2:J$1879,COMPOSICIÓN!A$2:A$1879,A92,COMPOSICIÓN!B$2:B$1879,"MAT")</f>
        <v>0</v>
      </c>
      <c r="K92" s="42">
        <f>SUMIFS(COMPOSICIÓN!J$2:J$1879,COMPOSICIÓN!A$2:A$1879,A92,COMPOSICIÓN!B$2:B$1879,"MO")*I92</f>
        <v>0</v>
      </c>
      <c r="L92" s="42">
        <f>SUMIFS(COMPOSICIÓN!J$2:J$1879,COMPOSICIÓN!A$2:A$1879,A92,COMPOSICIÓN!B$2:B$1879,"EQ")</f>
        <v>0</v>
      </c>
      <c r="M92" s="42">
        <f t="shared" si="4"/>
        <v>0</v>
      </c>
      <c r="N92" s="42">
        <f t="shared" si="5"/>
        <v>0</v>
      </c>
      <c r="O92" s="42">
        <f t="shared" si="6"/>
        <v>0</v>
      </c>
      <c r="P92" s="42">
        <f t="shared" si="7"/>
        <v>0</v>
      </c>
      <c r="Q92" s="15">
        <f>COUNTIF(COMPOSICIÓN!$A:$A,A92)</f>
        <v>0</v>
      </c>
      <c r="R92" s="43" t="s">
        <v>2660</v>
      </c>
    </row>
    <row r="93" spans="1:18" ht="15" customHeight="1" x14ac:dyDescent="0.35">
      <c r="A93" s="38" t="s">
        <v>51</v>
      </c>
      <c r="B93" s="38"/>
      <c r="C93" s="38" t="s">
        <v>3024</v>
      </c>
      <c r="D93" s="38" t="s">
        <v>50</v>
      </c>
      <c r="E93" s="38" t="s">
        <v>43</v>
      </c>
      <c r="F93" s="39">
        <v>1</v>
      </c>
      <c r="G93" s="40">
        <v>0</v>
      </c>
      <c r="H93" s="41">
        <v>0</v>
      </c>
      <c r="I93" s="14">
        <v>1</v>
      </c>
      <c r="J93" s="42">
        <f>SUMIFS(COMPOSICIÓN!J$2:J$1879,COMPOSICIÓN!A$2:A$1879,A93,COMPOSICIÓN!B$2:B$1879,"MAT")</f>
        <v>115100</v>
      </c>
      <c r="K93" s="42">
        <f>SUMIFS(COMPOSICIÓN!J$2:J$1879,COMPOSICIÓN!A$2:A$1879,A93,COMPOSICIÓN!B$2:B$1879,"MO")*I93</f>
        <v>101603.58188318773</v>
      </c>
      <c r="L93" s="42">
        <f>SUMIFS(COMPOSICIÓN!J$2:J$1879,COMPOSICIÓN!A$2:A$1879,A93,COMPOSICIÓN!B$2:B$1879,"EQ")</f>
        <v>3250.5537282478099</v>
      </c>
      <c r="M93" s="42">
        <f t="shared" si="4"/>
        <v>115100</v>
      </c>
      <c r="N93" s="42">
        <f t="shared" si="5"/>
        <v>101603.58188318773</v>
      </c>
      <c r="O93" s="42">
        <f t="shared" si="6"/>
        <v>3250.5537282478099</v>
      </c>
      <c r="P93" s="42">
        <f t="shared" si="7"/>
        <v>219954.13561143554</v>
      </c>
      <c r="Q93" s="15">
        <f>COUNTIF(COMPOSICIÓN!$A:$A,A93)</f>
        <v>7</v>
      </c>
      <c r="R93" s="43" t="s">
        <v>2661</v>
      </c>
    </row>
    <row r="94" spans="1:18" ht="15" customHeight="1" x14ac:dyDescent="0.35">
      <c r="A94" s="38" t="s">
        <v>54</v>
      </c>
      <c r="B94" s="38"/>
      <c r="C94" s="38" t="s">
        <v>3024</v>
      </c>
      <c r="D94" s="38" t="s">
        <v>52</v>
      </c>
      <c r="E94" s="38" t="s">
        <v>53</v>
      </c>
      <c r="F94" s="39">
        <v>1</v>
      </c>
      <c r="G94" s="40">
        <v>0</v>
      </c>
      <c r="H94" s="41">
        <v>0</v>
      </c>
      <c r="I94" s="14">
        <v>1</v>
      </c>
      <c r="J94" s="42">
        <f>SUMIFS(COMPOSICIÓN!J$2:J$1879,COMPOSICIÓN!A$2:A$1879,A94,COMPOSICIÓN!B$2:B$1879,"MAT")</f>
        <v>90570.796343999973</v>
      </c>
      <c r="K94" s="42">
        <f>SUMIFS(COMPOSICIÓN!J$2:J$1879,COMPOSICIÓN!A$2:A$1879,A94,COMPOSICIÓN!B$2:B$1879,"MO")*I94</f>
        <v>250000.0000000002</v>
      </c>
      <c r="L94" s="42">
        <f>SUMIFS(COMPOSICIÓN!J$2:J$1879,COMPOSICIÓN!A$2:A$1879,A94,COMPOSICIÓN!B$2:B$1879,"EQ")</f>
        <v>5108.5619451599996</v>
      </c>
      <c r="M94" s="42">
        <f t="shared" si="4"/>
        <v>90570.796343999973</v>
      </c>
      <c r="N94" s="42">
        <f t="shared" si="5"/>
        <v>250000.0000000002</v>
      </c>
      <c r="O94" s="42">
        <f t="shared" si="6"/>
        <v>5108.5619451599996</v>
      </c>
      <c r="P94" s="42">
        <f t="shared" si="7"/>
        <v>345679.35828916013</v>
      </c>
      <c r="Q94" s="15">
        <f>COUNTIF(COMPOSICIÓN!$A:$A,A94)</f>
        <v>5</v>
      </c>
      <c r="R94" s="43" t="s">
        <v>2661</v>
      </c>
    </row>
    <row r="95" spans="1:18" ht="15" customHeight="1" x14ac:dyDescent="0.35">
      <c r="A95" s="38" t="s">
        <v>56</v>
      </c>
      <c r="B95" s="38"/>
      <c r="C95" s="38" t="s">
        <v>3024</v>
      </c>
      <c r="D95" s="38" t="s">
        <v>55</v>
      </c>
      <c r="E95" s="38" t="s">
        <v>43</v>
      </c>
      <c r="F95" s="39">
        <v>1</v>
      </c>
      <c r="G95" s="40">
        <v>0</v>
      </c>
      <c r="H95" s="41">
        <v>0</v>
      </c>
      <c r="I95" s="14">
        <v>1</v>
      </c>
      <c r="J95" s="42">
        <f>SUMIFS(COMPOSICIÓN!J$2:J$1879,COMPOSICIÓN!A$2:A$1879,A95,COMPOSICIÓN!B$2:B$1879,"MAT")</f>
        <v>402072.54172518197</v>
      </c>
      <c r="K95" s="42">
        <f>SUMIFS(COMPOSICIÓN!J$2:J$1879,COMPOSICIÓN!A$2:A$1879,A95,COMPOSICIÓN!B$2:B$1879,"MO")*I95</f>
        <v>357640.8998745</v>
      </c>
      <c r="L95" s="42">
        <f>SUMIFS(COMPOSICIÓN!J$2:J$1879,COMPOSICIÓN!A$2:A$1879,A95,COMPOSICIÓN!B$2:B$1879,"EQ")</f>
        <v>11395.701623995201</v>
      </c>
      <c r="M95" s="42">
        <f t="shared" si="4"/>
        <v>402072.54172518197</v>
      </c>
      <c r="N95" s="42">
        <f t="shared" si="5"/>
        <v>357640.8998745</v>
      </c>
      <c r="O95" s="42">
        <f t="shared" si="6"/>
        <v>11395.701623995201</v>
      </c>
      <c r="P95" s="42">
        <f t="shared" si="7"/>
        <v>771109.14322367718</v>
      </c>
      <c r="Q95" s="15">
        <f>COUNTIF(COMPOSICIÓN!$A:$A,A95)</f>
        <v>3</v>
      </c>
      <c r="R95" s="43" t="s">
        <v>2665</v>
      </c>
    </row>
    <row r="96" spans="1:18" ht="14.25" customHeight="1" x14ac:dyDescent="0.35">
      <c r="A96" s="38" t="s">
        <v>58</v>
      </c>
      <c r="B96" s="38"/>
      <c r="C96" s="38" t="s">
        <v>3024</v>
      </c>
      <c r="D96" s="38" t="s">
        <v>57</v>
      </c>
      <c r="E96" s="38" t="s">
        <v>43</v>
      </c>
      <c r="F96" s="39">
        <v>1</v>
      </c>
      <c r="G96" s="40">
        <v>0</v>
      </c>
      <c r="H96" s="41">
        <v>0</v>
      </c>
      <c r="I96" s="14">
        <v>1</v>
      </c>
      <c r="J96" s="42">
        <f>SUMIFS(COMPOSICIÓN!J$2:J$1879,COMPOSICIÓN!A$2:A$1879,A96,COMPOSICIÓN!B$2:B$1879,"MAT")</f>
        <v>428196.58025620203</v>
      </c>
      <c r="K96" s="42">
        <f>SUMIFS(COMPOSICIÓN!J$2:J$1879,COMPOSICIÓN!A$2:A$1879,A96,COMPOSICIÓN!B$2:B$1879,"MO")*I96</f>
        <v>281633.96217538603</v>
      </c>
      <c r="L96" s="42">
        <f>SUMIFS(COMPOSICIÓN!J$2:J$1879,COMPOSICIÓN!A$2:A$1879,A96,COMPOSICIÓN!B$2:B$1879,"EQ")</f>
        <v>10647.458136473801</v>
      </c>
      <c r="M96" s="42">
        <f t="shared" si="4"/>
        <v>428196.58025620203</v>
      </c>
      <c r="N96" s="42">
        <f t="shared" si="5"/>
        <v>281633.96217538603</v>
      </c>
      <c r="O96" s="42">
        <f t="shared" si="6"/>
        <v>10647.458136473801</v>
      </c>
      <c r="P96" s="42">
        <f t="shared" si="7"/>
        <v>720478.00056806183</v>
      </c>
      <c r="Q96" s="15">
        <f>COUNTIF(COMPOSICIÓN!$A:$A,A96)</f>
        <v>3</v>
      </c>
      <c r="R96" s="43" t="s">
        <v>2665</v>
      </c>
    </row>
    <row r="97" spans="1:18" ht="14.25" customHeight="1" x14ac:dyDescent="0.35">
      <c r="A97" s="38" t="s">
        <v>60</v>
      </c>
      <c r="B97" s="38"/>
      <c r="C97" s="38" t="s">
        <v>3024</v>
      </c>
      <c r="D97" s="38" t="s">
        <v>59</v>
      </c>
      <c r="E97" s="38" t="s">
        <v>43</v>
      </c>
      <c r="F97" s="39">
        <v>1</v>
      </c>
      <c r="G97" s="40">
        <v>0</v>
      </c>
      <c r="H97" s="41">
        <v>0</v>
      </c>
      <c r="I97" s="14">
        <v>1</v>
      </c>
      <c r="J97" s="42">
        <f>SUMIFS(COMPOSICIÓN!J$2:J$1879,COMPOSICIÓN!A$2:A$1879,A97,COMPOSICIÓN!B$2:B$1879,"MAT")</f>
        <v>333700.50579037803</v>
      </c>
      <c r="K97" s="42">
        <f>SUMIFS(COMPOSICIÓN!J$2:J$1879,COMPOSICIÓN!A$2:A$1879,A97,COMPOSICIÓN!B$2:B$1879,"MO")*I97</f>
        <v>194327.43390101599</v>
      </c>
      <c r="L97" s="42">
        <f>SUMIFS(COMPOSICIÓN!J$2:J$1879,COMPOSICIÓN!A$2:A$1879,A97,COMPOSICIÓN!B$2:B$1879,"EQ")</f>
        <v>7920.4190953709203</v>
      </c>
      <c r="M97" s="42">
        <f t="shared" si="4"/>
        <v>333700.50579037803</v>
      </c>
      <c r="N97" s="42">
        <f t="shared" si="5"/>
        <v>194327.43390101599</v>
      </c>
      <c r="O97" s="42">
        <f t="shared" si="6"/>
        <v>7920.4190953709203</v>
      </c>
      <c r="P97" s="42">
        <f t="shared" si="7"/>
        <v>535948.3587867649</v>
      </c>
      <c r="Q97" s="15">
        <f>COUNTIF(COMPOSICIÓN!$A:$A,A97)</f>
        <v>3</v>
      </c>
      <c r="R97" s="43" t="s">
        <v>2665</v>
      </c>
    </row>
    <row r="98" spans="1:18" ht="14.25" customHeight="1" x14ac:dyDescent="0.35">
      <c r="A98" s="38" t="s">
        <v>62</v>
      </c>
      <c r="B98" s="38"/>
      <c r="C98" s="38" t="s">
        <v>3024</v>
      </c>
      <c r="D98" s="38" t="s">
        <v>61</v>
      </c>
      <c r="E98" s="38" t="s">
        <v>43</v>
      </c>
      <c r="F98" s="39">
        <v>1</v>
      </c>
      <c r="G98" s="40">
        <v>0</v>
      </c>
      <c r="H98" s="41">
        <v>0</v>
      </c>
      <c r="I98" s="14">
        <v>1</v>
      </c>
      <c r="J98" s="42">
        <f>SUMIFS(COMPOSICIÓN!J$2:J$1879,COMPOSICIÓN!A$2:A$1879,A98,COMPOSICIÓN!B$2:B$1879,"MAT")</f>
        <v>275042.37829037802</v>
      </c>
      <c r="K98" s="42">
        <f>SUMIFS(COMPOSICIÓN!J$2:J$1879,COMPOSICIÓN!A$2:A$1879,A98,COMPOSICIÓN!B$2:B$1879,"MO")*I98</f>
        <v>194327.43390101599</v>
      </c>
      <c r="L98" s="42">
        <f>SUMIFS(COMPOSICIÓN!J$2:J$1879,COMPOSICIÓN!A$2:A$1879,A98,COMPOSICIÓN!B$2:B$1879,"EQ")</f>
        <v>7040.5471828709196</v>
      </c>
      <c r="M98" s="42">
        <f t="shared" si="4"/>
        <v>275042.37829037802</v>
      </c>
      <c r="N98" s="42">
        <f t="shared" si="5"/>
        <v>194327.43390101599</v>
      </c>
      <c r="O98" s="42">
        <f t="shared" si="6"/>
        <v>7040.5471828709196</v>
      </c>
      <c r="P98" s="42">
        <f t="shared" si="7"/>
        <v>476410.35937426495</v>
      </c>
      <c r="Q98" s="15">
        <f>COUNTIF(COMPOSICIÓN!$A:$A,A98)</f>
        <v>3</v>
      </c>
      <c r="R98" s="43" t="s">
        <v>2665</v>
      </c>
    </row>
    <row r="99" spans="1:18" ht="14.25" customHeight="1" x14ac:dyDescent="0.35">
      <c r="A99" s="38" t="s">
        <v>64</v>
      </c>
      <c r="B99" s="38"/>
      <c r="C99" s="38" t="s">
        <v>3024</v>
      </c>
      <c r="D99" s="38" t="s">
        <v>63</v>
      </c>
      <c r="E99" s="38" t="s">
        <v>43</v>
      </c>
      <c r="F99" s="39">
        <v>1</v>
      </c>
      <c r="G99" s="40">
        <v>0</v>
      </c>
      <c r="H99" s="41">
        <v>0</v>
      </c>
      <c r="I99" s="14">
        <v>1</v>
      </c>
      <c r="J99" s="42">
        <f>SUMIFS(COMPOSICIÓN!J$2:J$1879,COMPOSICIÓN!A$2:A$1879,A99,COMPOSICIÓN!B$2:B$1879,"MAT")</f>
        <v>635192.71722613997</v>
      </c>
      <c r="K99" s="42">
        <f>SUMIFS(COMPOSICIÓN!J$2:J$1879,COMPOSICIÓN!A$2:A$1879,A99,COMPOSICIÓN!B$2:B$1879,"MO")*I99</f>
        <v>317914.04751247499</v>
      </c>
      <c r="L99" s="42">
        <f>SUMIFS(COMPOSICIÓN!J$2:J$1879,COMPOSICIÓN!A$2:A$1879,A99,COMPOSICIÓN!B$2:B$1879,"EQ")</f>
        <v>14296.601471079201</v>
      </c>
      <c r="M99" s="42">
        <f t="shared" si="4"/>
        <v>635192.71722613997</v>
      </c>
      <c r="N99" s="42">
        <f t="shared" si="5"/>
        <v>317914.04751247499</v>
      </c>
      <c r="O99" s="42">
        <f t="shared" si="6"/>
        <v>14296.601471079201</v>
      </c>
      <c r="P99" s="42">
        <f t="shared" si="7"/>
        <v>967403.36620969407</v>
      </c>
      <c r="Q99" s="15">
        <f>COUNTIF(COMPOSICIÓN!$A:$A,A99)</f>
        <v>3</v>
      </c>
      <c r="R99" s="43" t="s">
        <v>2665</v>
      </c>
    </row>
    <row r="100" spans="1:18" ht="14.25" customHeight="1" x14ac:dyDescent="0.35">
      <c r="A100" s="38" t="s">
        <v>66</v>
      </c>
      <c r="B100" s="38"/>
      <c r="C100" s="38" t="s">
        <v>3024</v>
      </c>
      <c r="D100" s="38" t="s">
        <v>65</v>
      </c>
      <c r="E100" s="38" t="s">
        <v>43</v>
      </c>
      <c r="F100" s="39">
        <v>1</v>
      </c>
      <c r="G100" s="40">
        <v>0</v>
      </c>
      <c r="H100" s="41">
        <v>0</v>
      </c>
      <c r="I100" s="14">
        <v>1</v>
      </c>
      <c r="J100" s="42">
        <f>SUMIFS(COMPOSICIÓN!J$2:J$1879,COMPOSICIÓN!A$2:A$1879,A100,COMPOSICIÓN!B$2:B$1879,"MAT")</f>
        <v>528753.37025620299</v>
      </c>
      <c r="K100" s="42">
        <f>SUMIFS(COMPOSICIÓN!J$2:J$1879,COMPOSICIÓN!A$2:A$1879,A100,COMPOSICIÓN!B$2:B$1879,"MO")*I100</f>
        <v>281633.96217538603</v>
      </c>
      <c r="L100" s="42">
        <f>SUMIFS(COMPOSICIÓN!J$2:J$1879,COMPOSICIÓN!A$2:A$1879,A100,COMPOSICIÓN!B$2:B$1879,"EQ")</f>
        <v>12155.8099864738</v>
      </c>
      <c r="M100" s="42">
        <f t="shared" si="4"/>
        <v>528753.37025620299</v>
      </c>
      <c r="N100" s="42">
        <f t="shared" si="5"/>
        <v>281633.96217538603</v>
      </c>
      <c r="O100" s="42">
        <f t="shared" si="6"/>
        <v>12155.8099864738</v>
      </c>
      <c r="P100" s="42">
        <f t="shared" si="7"/>
        <v>822543.14241806278</v>
      </c>
      <c r="Q100" s="15">
        <f>COUNTIF(COMPOSICIÓN!$A:$A,A100)</f>
        <v>3</v>
      </c>
      <c r="R100" s="43" t="s">
        <v>2665</v>
      </c>
    </row>
    <row r="101" spans="1:18" ht="14.25" customHeight="1" x14ac:dyDescent="0.35">
      <c r="A101" s="38" t="s">
        <v>68</v>
      </c>
      <c r="B101" s="38"/>
      <c r="C101" s="38" t="s">
        <v>3024</v>
      </c>
      <c r="D101" s="38" t="s">
        <v>67</v>
      </c>
      <c r="E101" s="38" t="s">
        <v>43</v>
      </c>
      <c r="F101" s="39">
        <v>1</v>
      </c>
      <c r="G101" s="40">
        <v>0</v>
      </c>
      <c r="H101" s="41">
        <v>0</v>
      </c>
      <c r="I101" s="14">
        <v>1</v>
      </c>
      <c r="J101" s="42">
        <f>SUMIFS(COMPOSICIÓN!J$2:J$1879,COMPOSICIÓN!A$2:A$1879,A101,COMPOSICIÓN!B$2:B$1879,"MAT")</f>
        <v>372584.32994905498</v>
      </c>
      <c r="K101" s="42">
        <f>SUMIFS(COMPOSICIÓN!J$2:J$1879,COMPOSICIÓN!A$2:A$1879,A101,COMPOSICIÓN!B$2:B$1879,"MO")*I101</f>
        <v>221790.794932641</v>
      </c>
      <c r="L101" s="42">
        <f>SUMIFS(COMPOSICIÓN!J$2:J$1879,COMPOSICIÓN!A$2:A$1879,A101,COMPOSICIÓN!B$2:B$1879,"EQ")</f>
        <v>8915.6268732254393</v>
      </c>
      <c r="M101" s="42">
        <f t="shared" si="4"/>
        <v>372584.32994905498</v>
      </c>
      <c r="N101" s="42">
        <f t="shared" si="5"/>
        <v>221790.794932641</v>
      </c>
      <c r="O101" s="42">
        <f t="shared" si="6"/>
        <v>8915.6268732254393</v>
      </c>
      <c r="P101" s="42">
        <f t="shared" si="7"/>
        <v>603290.7517549214</v>
      </c>
      <c r="Q101" s="15">
        <f>COUNTIF(COMPOSICIÓN!$A:$A,A101)</f>
        <v>3</v>
      </c>
      <c r="R101" s="43" t="s">
        <v>2665</v>
      </c>
    </row>
    <row r="102" spans="1:18" ht="14.25" customHeight="1" x14ac:dyDescent="0.35">
      <c r="A102" s="38" t="s">
        <v>70</v>
      </c>
      <c r="B102" s="38"/>
      <c r="C102" s="38" t="s">
        <v>3024</v>
      </c>
      <c r="D102" s="38" t="s">
        <v>1128</v>
      </c>
      <c r="E102" s="38" t="s">
        <v>43</v>
      </c>
      <c r="F102" s="39">
        <v>1</v>
      </c>
      <c r="G102" s="40">
        <v>0</v>
      </c>
      <c r="H102" s="41">
        <v>0</v>
      </c>
      <c r="I102" s="14">
        <v>1</v>
      </c>
      <c r="J102" s="42">
        <f>SUMIFS(COMPOSICIÓN!J$2:J$1879,COMPOSICIÓN!A$2:A$1879,A102,COMPOSICIÓN!B$2:B$1879,"MAT")</f>
        <v>379758.83388002298</v>
      </c>
      <c r="K102" s="42">
        <f>SUMIFS(COMPOSICIÓN!J$2:J$1879,COMPOSICIÓN!A$2:A$1879,A102,COMPOSICIÓN!B$2:B$1879,"MO")*I102</f>
        <v>277238.49366580101</v>
      </c>
      <c r="L102" s="42">
        <f>SUMIFS(COMPOSICIÓN!J$2:J$1879,COMPOSICIÓN!A$2:A$1879,A102,COMPOSICIÓN!B$2:B$1879,"EQ")</f>
        <v>9854.9599131873692</v>
      </c>
      <c r="M102" s="42">
        <f t="shared" si="4"/>
        <v>379758.83388002298</v>
      </c>
      <c r="N102" s="42">
        <f t="shared" si="5"/>
        <v>277238.49366580101</v>
      </c>
      <c r="O102" s="42">
        <f t="shared" si="6"/>
        <v>9854.9599131873692</v>
      </c>
      <c r="P102" s="42">
        <f t="shared" si="7"/>
        <v>666852.28745901142</v>
      </c>
      <c r="Q102" s="15">
        <f>COUNTIF(COMPOSICIÓN!$A:$A,A102)</f>
        <v>3</v>
      </c>
      <c r="R102" s="43" t="s">
        <v>2665</v>
      </c>
    </row>
    <row r="103" spans="1:18" ht="14.25" customHeight="1" x14ac:dyDescent="0.35">
      <c r="A103" s="38" t="s">
        <v>72</v>
      </c>
      <c r="B103" s="38"/>
      <c r="C103" s="38" t="s">
        <v>3024</v>
      </c>
      <c r="D103" s="38" t="s">
        <v>71</v>
      </c>
      <c r="E103" s="38" t="s">
        <v>43</v>
      </c>
      <c r="F103" s="39">
        <v>1</v>
      </c>
      <c r="G103" s="40">
        <v>0</v>
      </c>
      <c r="H103" s="41">
        <v>0</v>
      </c>
      <c r="I103" s="14">
        <v>1</v>
      </c>
      <c r="J103" s="42">
        <f>SUMIFS(COMPOSICIÓN!J$2:J$1879,COMPOSICIÓN!A$2:A$1879,A103,COMPOSICIÓN!B$2:B$1879,"MAT")</f>
        <v>567913.50664448505</v>
      </c>
      <c r="K103" s="42">
        <f>SUMIFS(COMPOSICIÓN!J$2:J$1879,COMPOSICIÓN!A$2:A$1879,A103,COMPOSICIÓN!B$2:B$1879,"MO")*I103</f>
        <v>537036.80674123298</v>
      </c>
      <c r="L103" s="42">
        <f>SUMIFS(COMPOSICIÓN!J$2:J$1879,COMPOSICIÓN!A$2:A$1879,A103,COMPOSICIÓN!B$2:B$1879,"EQ")</f>
        <v>16574.254700785801</v>
      </c>
      <c r="M103" s="42">
        <f t="shared" si="4"/>
        <v>567913.50664448505</v>
      </c>
      <c r="N103" s="42">
        <f t="shared" si="5"/>
        <v>537036.80674123298</v>
      </c>
      <c r="O103" s="42">
        <f t="shared" si="6"/>
        <v>16574.254700785801</v>
      </c>
      <c r="P103" s="42">
        <f t="shared" si="7"/>
        <v>1121524.5680865038</v>
      </c>
      <c r="Q103" s="15">
        <f>COUNTIF(COMPOSICIÓN!$A:$A,A103)</f>
        <v>3</v>
      </c>
      <c r="R103" s="43" t="s">
        <v>2665</v>
      </c>
    </row>
    <row r="104" spans="1:18" ht="14.25" customHeight="1" x14ac:dyDescent="0.35">
      <c r="A104" s="38" t="s">
        <v>74</v>
      </c>
      <c r="B104" s="38"/>
      <c r="C104" s="38" t="s">
        <v>3024</v>
      </c>
      <c r="D104" s="38" t="s">
        <v>1133</v>
      </c>
      <c r="E104" s="38" t="s">
        <v>43</v>
      </c>
      <c r="F104" s="39">
        <v>1</v>
      </c>
      <c r="G104" s="40">
        <v>0</v>
      </c>
      <c r="H104" s="41">
        <v>0</v>
      </c>
      <c r="I104" s="14">
        <v>1</v>
      </c>
      <c r="J104" s="42">
        <f>SUMIFS(COMPOSICIÓN!J$2:J$1879,COMPOSICIÓN!A$2:A$1879,A104,COMPOSICIÓN!B$2:B$1879,"MAT")</f>
        <v>565756.86506570596</v>
      </c>
      <c r="K104" s="42">
        <f>SUMIFS(COMPOSICIÓN!J$2:J$1879,COMPOSICIÓN!A$2:A$1879,A104,COMPOSICIÓN!B$2:B$1879,"MO")*I104</f>
        <v>671296.008426541</v>
      </c>
      <c r="L104" s="42">
        <f>SUMIFS(COMPOSICIÓN!J$2:J$1879,COMPOSICIÓN!A$2:A$1879,A104,COMPOSICIÓN!B$2:B$1879,"EQ")</f>
        <v>18555.793102383701</v>
      </c>
      <c r="M104" s="42">
        <f t="shared" si="4"/>
        <v>565756.86506570596</v>
      </c>
      <c r="N104" s="42">
        <f t="shared" si="5"/>
        <v>671296.008426541</v>
      </c>
      <c r="O104" s="42">
        <f t="shared" si="6"/>
        <v>18555.793102383701</v>
      </c>
      <c r="P104" s="42">
        <f t="shared" si="7"/>
        <v>1255608.6665946306</v>
      </c>
      <c r="Q104" s="15">
        <f>COUNTIF(COMPOSICIÓN!$A:$A,A104)</f>
        <v>3</v>
      </c>
      <c r="R104" s="43" t="s">
        <v>2665</v>
      </c>
    </row>
    <row r="105" spans="1:18" ht="14.25" customHeight="1" x14ac:dyDescent="0.35">
      <c r="A105" s="38" t="s">
        <v>76</v>
      </c>
      <c r="B105" s="38"/>
      <c r="C105" s="38" t="s">
        <v>3024</v>
      </c>
      <c r="D105" s="38" t="s">
        <v>75</v>
      </c>
      <c r="E105" s="38" t="s">
        <v>43</v>
      </c>
      <c r="F105" s="39">
        <v>1</v>
      </c>
      <c r="G105" s="40">
        <v>0</v>
      </c>
      <c r="H105" s="41">
        <v>0</v>
      </c>
      <c r="I105" s="14">
        <v>1</v>
      </c>
      <c r="J105" s="42">
        <f>SUMIFS(COMPOSICIÓN!J$2:J$1879,COMPOSICIÓN!A$2:A$1879,A105,COMPOSICIÓN!B$2:B$1879,"MAT")</f>
        <v>410452.27422518202</v>
      </c>
      <c r="K105" s="42">
        <f>SUMIFS(COMPOSICIÓN!J$2:J$1879,COMPOSICIÓN!A$2:A$1879,A105,COMPOSICIÓN!B$2:B$1879,"MO")*I105</f>
        <v>357640.8998745</v>
      </c>
      <c r="L105" s="42">
        <f>SUMIFS(COMPOSICIÓN!J$2:J$1879,COMPOSICIÓN!A$2:A$1879,A105,COMPOSICIÓN!B$2:B$1879,"EQ")</f>
        <v>11521.3976114952</v>
      </c>
      <c r="M105" s="42">
        <f t="shared" si="4"/>
        <v>410452.27422518202</v>
      </c>
      <c r="N105" s="42">
        <f t="shared" si="5"/>
        <v>357640.8998745</v>
      </c>
      <c r="O105" s="42">
        <f t="shared" si="6"/>
        <v>11521.3976114952</v>
      </c>
      <c r="P105" s="42">
        <f t="shared" si="7"/>
        <v>779614.57171117724</v>
      </c>
      <c r="Q105" s="15">
        <f>COUNTIF(COMPOSICIÓN!$A:$A,A105)</f>
        <v>3</v>
      </c>
      <c r="R105" s="43" t="s">
        <v>2665</v>
      </c>
    </row>
    <row r="106" spans="1:18" ht="14.25" customHeight="1" x14ac:dyDescent="0.35">
      <c r="A106" s="38" t="s">
        <v>78</v>
      </c>
      <c r="B106" s="38"/>
      <c r="C106" s="38" t="s">
        <v>3024</v>
      </c>
      <c r="D106" s="38" t="s">
        <v>77</v>
      </c>
      <c r="E106" s="38" t="s">
        <v>43</v>
      </c>
      <c r="F106" s="39">
        <v>1</v>
      </c>
      <c r="G106" s="40">
        <v>0</v>
      </c>
      <c r="H106" s="41">
        <v>0</v>
      </c>
      <c r="I106" s="14">
        <v>1</v>
      </c>
      <c r="J106" s="42">
        <f>SUMIFS(COMPOSICIÓN!J$2:J$1879,COMPOSICIÓN!A$2:A$1879,A106,COMPOSICIÓN!B$2:B$1879,"MAT")</f>
        <v>534635.92722614005</v>
      </c>
      <c r="K106" s="42">
        <f>SUMIFS(COMPOSICIÓN!J$2:J$1879,COMPOSICIÓN!A$2:A$1879,A106,COMPOSICIÓN!B$2:B$1879,"MO")*I106</f>
        <v>317914.04751247499</v>
      </c>
      <c r="L106" s="42">
        <f>SUMIFS(COMPOSICIÓN!J$2:J$1879,COMPOSICIÓN!A$2:A$1879,A106,COMPOSICIÓN!B$2:B$1879,"EQ")</f>
        <v>12788.2496210792</v>
      </c>
      <c r="M106" s="42">
        <f t="shared" si="4"/>
        <v>534635.92722614005</v>
      </c>
      <c r="N106" s="42">
        <f t="shared" si="5"/>
        <v>317914.04751247499</v>
      </c>
      <c r="O106" s="42">
        <f t="shared" si="6"/>
        <v>12788.2496210792</v>
      </c>
      <c r="P106" s="42">
        <f t="shared" si="7"/>
        <v>865338.22435969429</v>
      </c>
      <c r="Q106" s="15">
        <f>COUNTIF(COMPOSICIÓN!$A:$A,A106)</f>
        <v>3</v>
      </c>
      <c r="R106" s="43" t="s">
        <v>2665</v>
      </c>
    </row>
    <row r="107" spans="1:18" ht="14.25" customHeight="1" x14ac:dyDescent="0.35">
      <c r="A107" s="38" t="s">
        <v>80</v>
      </c>
      <c r="B107" s="38"/>
      <c r="C107" s="38" t="s">
        <v>3024</v>
      </c>
      <c r="D107" s="38" t="s">
        <v>79</v>
      </c>
      <c r="E107" s="38" t="s">
        <v>43</v>
      </c>
      <c r="F107" s="39">
        <v>1</v>
      </c>
      <c r="G107" s="40">
        <v>0</v>
      </c>
      <c r="H107" s="41">
        <v>0</v>
      </c>
      <c r="I107" s="14">
        <v>1</v>
      </c>
      <c r="J107" s="42">
        <f>SUMIFS(COMPOSICIÓN!J$2:J$1879,COMPOSICIÓN!A$2:A$1879,A107,COMPOSICIÓN!B$2:B$1879,"MAT")</f>
        <v>543657.96059143299</v>
      </c>
      <c r="K107" s="42">
        <f>SUMIFS(COMPOSICIÓN!J$2:J$1879,COMPOSICIÓN!A$2:A$1879,A107,COMPOSICIÓN!B$2:B$1879,"MO")*I107</f>
        <v>397392.55939059303</v>
      </c>
      <c r="L107" s="42">
        <f>SUMIFS(COMPOSICIÓN!J$2:J$1879,COMPOSICIÓN!A$2:A$1879,A107,COMPOSICIÓN!B$2:B$1879,"EQ")</f>
        <v>0</v>
      </c>
      <c r="M107" s="42">
        <f t="shared" si="4"/>
        <v>543657.96059143299</v>
      </c>
      <c r="N107" s="42">
        <f t="shared" si="5"/>
        <v>397392.55939059303</v>
      </c>
      <c r="O107" s="42">
        <f t="shared" si="6"/>
        <v>0</v>
      </c>
      <c r="P107" s="42">
        <f t="shared" si="7"/>
        <v>941050.51998202596</v>
      </c>
      <c r="Q107" s="15">
        <f>COUNTIF(COMPOSICIÓN!$A:$A,A107)</f>
        <v>2</v>
      </c>
      <c r="R107" s="43" t="s">
        <v>2665</v>
      </c>
    </row>
    <row r="108" spans="1:18" ht="14.25" customHeight="1" x14ac:dyDescent="0.35">
      <c r="A108" s="38" t="s">
        <v>82</v>
      </c>
      <c r="B108" s="38"/>
      <c r="C108" s="38" t="s">
        <v>3024</v>
      </c>
      <c r="D108" s="38" t="s">
        <v>81</v>
      </c>
      <c r="E108" s="38" t="s">
        <v>43</v>
      </c>
      <c r="F108" s="39">
        <v>1</v>
      </c>
      <c r="G108" s="40">
        <v>0</v>
      </c>
      <c r="H108" s="41">
        <v>0</v>
      </c>
      <c r="I108" s="14">
        <v>1</v>
      </c>
      <c r="J108" s="42">
        <f>SUMIFS(COMPOSICIÓN!J$2:J$1879,COMPOSICIÓN!A$2:A$1879,A108,COMPOSICIÓN!B$2:B$1879,"MAT")</f>
        <v>416173.60204176803</v>
      </c>
      <c r="K108" s="42">
        <f>SUMIFS(COMPOSICIÓN!J$2:J$1879,COMPOSICIÓN!A$2:A$1879,A108,COMPOSICIÓN!B$2:B$1879,"MO")*I108</f>
        <v>405530.54369979398</v>
      </c>
      <c r="L108" s="42">
        <f>SUMIFS(COMPOSICIÓN!J$2:J$1879,COMPOSICIÓN!A$2:A$1879,A108,COMPOSICIÓN!B$2:B$1879,"EQ")</f>
        <v>12325.562186123399</v>
      </c>
      <c r="M108" s="42">
        <f t="shared" si="4"/>
        <v>416173.60204176803</v>
      </c>
      <c r="N108" s="42">
        <f t="shared" si="5"/>
        <v>405530.54369979398</v>
      </c>
      <c r="O108" s="42">
        <f t="shared" si="6"/>
        <v>12325.562186123399</v>
      </c>
      <c r="P108" s="42">
        <f t="shared" si="7"/>
        <v>834029.70792768546</v>
      </c>
      <c r="Q108" s="15">
        <f>COUNTIF(COMPOSICIÓN!$A:$A,A108)</f>
        <v>3</v>
      </c>
      <c r="R108" s="43" t="s">
        <v>2665</v>
      </c>
    </row>
    <row r="109" spans="1:18" ht="14.25" customHeight="1" x14ac:dyDescent="0.35">
      <c r="A109" s="38" t="s">
        <v>84</v>
      </c>
      <c r="B109" s="38"/>
      <c r="C109" s="38" t="s">
        <v>3024</v>
      </c>
      <c r="D109" s="38" t="s">
        <v>83</v>
      </c>
      <c r="E109" s="38" t="s">
        <v>43</v>
      </c>
      <c r="F109" s="39">
        <v>1</v>
      </c>
      <c r="G109" s="40">
        <v>0</v>
      </c>
      <c r="H109" s="41">
        <v>0</v>
      </c>
      <c r="I109" s="14">
        <v>1</v>
      </c>
      <c r="J109" s="42">
        <f>SUMIFS(COMPOSICIÓN!J$2:J$1879,COMPOSICIÓN!A$2:A$1879,A109,COMPOSICIÓN!B$2:B$1879,"MAT")</f>
        <v>410452.27422518202</v>
      </c>
      <c r="K109" s="42">
        <f>SUMIFS(COMPOSICIÓN!J$2:J$1879,COMPOSICIÓN!A$2:A$1879,A109,COMPOSICIÓN!B$2:B$1879,"MO")*I109</f>
        <v>357640.8998745</v>
      </c>
      <c r="L109" s="42">
        <f>SUMIFS(COMPOSICIÓN!J$2:J$1879,COMPOSICIÓN!A$2:A$1879,A109,COMPOSICIÓN!B$2:B$1879,"EQ")</f>
        <v>11521.3976114952</v>
      </c>
      <c r="M109" s="42">
        <f t="shared" si="4"/>
        <v>410452.27422518202</v>
      </c>
      <c r="N109" s="42">
        <f t="shared" si="5"/>
        <v>357640.8998745</v>
      </c>
      <c r="O109" s="42">
        <f t="shared" si="6"/>
        <v>11521.3976114952</v>
      </c>
      <c r="P109" s="42">
        <f t="shared" si="7"/>
        <v>779614.57171117724</v>
      </c>
      <c r="Q109" s="15">
        <f>COUNTIF(COMPOSICIÓN!$A:$A,A109)</f>
        <v>3</v>
      </c>
      <c r="R109" s="43" t="s">
        <v>2665</v>
      </c>
    </row>
    <row r="110" spans="1:18" ht="14.25" customHeight="1" x14ac:dyDescent="0.35">
      <c r="A110" s="38" t="s">
        <v>86</v>
      </c>
      <c r="B110" s="38"/>
      <c r="C110" s="38" t="s">
        <v>3024</v>
      </c>
      <c r="D110" s="38" t="s">
        <v>85</v>
      </c>
      <c r="E110" s="38" t="s">
        <v>24</v>
      </c>
      <c r="F110" s="39">
        <v>1</v>
      </c>
      <c r="G110" s="40">
        <v>0</v>
      </c>
      <c r="H110" s="41">
        <v>0</v>
      </c>
      <c r="I110" s="14">
        <v>1</v>
      </c>
      <c r="J110" s="42">
        <f>SUMIFS(COMPOSICIÓN!J$2:J$1879,COMPOSICIÓN!A$2:A$1879,A110,COMPOSICIÓN!B$2:B$1879,"MAT")</f>
        <v>0</v>
      </c>
      <c r="K110" s="42">
        <f>SUMIFS(COMPOSICIÓN!J$2:J$1879,COMPOSICIÓN!A$2:A$1879,A110,COMPOSICIÓN!B$2:B$1879,"MO")*I110</f>
        <v>0</v>
      </c>
      <c r="L110" s="42">
        <f>SUMIFS(COMPOSICIÓN!J$2:J$1879,COMPOSICIÓN!A$2:A$1879,A110,COMPOSICIÓN!B$2:B$1879,"EQ")</f>
        <v>8458556.625</v>
      </c>
      <c r="M110" s="42">
        <f t="shared" si="4"/>
        <v>0</v>
      </c>
      <c r="N110" s="42">
        <f t="shared" si="5"/>
        <v>0</v>
      </c>
      <c r="O110" s="42">
        <f t="shared" si="6"/>
        <v>8458556.625</v>
      </c>
      <c r="P110" s="42">
        <f t="shared" si="7"/>
        <v>8458556.625</v>
      </c>
      <c r="Q110" s="15">
        <f>COUNTIF(COMPOSICIÓN!$A:$A,A110)</f>
        <v>1</v>
      </c>
      <c r="R110" s="43" t="s">
        <v>2670</v>
      </c>
    </row>
    <row r="111" spans="1:18" ht="14.25" customHeight="1" x14ac:dyDescent="0.35">
      <c r="A111" s="38" t="s">
        <v>88</v>
      </c>
      <c r="B111" s="38"/>
      <c r="C111" s="38" t="s">
        <v>3024</v>
      </c>
      <c r="D111" s="38" t="s">
        <v>2671</v>
      </c>
      <c r="E111" s="38" t="s">
        <v>53</v>
      </c>
      <c r="F111" s="39">
        <v>1</v>
      </c>
      <c r="G111" s="40">
        <v>0</v>
      </c>
      <c r="H111" s="41">
        <v>0</v>
      </c>
      <c r="I111" s="14">
        <v>1</v>
      </c>
      <c r="J111" s="42">
        <f>SUMIFS(COMPOSICIÓN!J$2:J$1879,COMPOSICIÓN!A$2:A$1879,A111,COMPOSICIÓN!B$2:B$1879,"MAT")</f>
        <v>0</v>
      </c>
      <c r="K111" s="42">
        <f>SUMIFS(COMPOSICIÓN!J$2:J$1879,COMPOSICIÓN!A$2:A$1879,A111,COMPOSICIÓN!B$2:B$1879,"MO")*I111</f>
        <v>228712</v>
      </c>
      <c r="L111" s="42">
        <f>SUMIFS(COMPOSICIÓN!J$2:J$1879,COMPOSICIÓN!A$2:A$1879,A111,COMPOSICIÓN!B$2:B$1879,"EQ")</f>
        <v>0</v>
      </c>
      <c r="M111" s="42">
        <f t="shared" si="4"/>
        <v>0</v>
      </c>
      <c r="N111" s="42">
        <f t="shared" si="5"/>
        <v>228712</v>
      </c>
      <c r="O111" s="42">
        <f t="shared" si="6"/>
        <v>0</v>
      </c>
      <c r="P111" s="42">
        <f t="shared" si="7"/>
        <v>228712</v>
      </c>
      <c r="Q111" s="15">
        <f>COUNTIF(COMPOSICIÓN!$A:$A,A111)</f>
        <v>1</v>
      </c>
      <c r="R111" s="43" t="s">
        <v>2665</v>
      </c>
    </row>
    <row r="112" spans="1:18" ht="14.25" customHeight="1" x14ac:dyDescent="0.35">
      <c r="A112" s="38" t="s">
        <v>90</v>
      </c>
      <c r="B112" s="38"/>
      <c r="C112" s="38" t="s">
        <v>3024</v>
      </c>
      <c r="D112" s="38" t="s">
        <v>89</v>
      </c>
      <c r="E112" s="38" t="s">
        <v>24</v>
      </c>
      <c r="F112" s="39">
        <v>1</v>
      </c>
      <c r="G112" s="40">
        <v>0</v>
      </c>
      <c r="H112" s="41">
        <v>0</v>
      </c>
      <c r="I112" s="14">
        <v>1</v>
      </c>
      <c r="J112" s="42">
        <f>SUMIFS(COMPOSICIÓN!J$2:J$1879,COMPOSICIÓN!A$2:A$1879,A112,COMPOSICIÓN!B$2:B$1879,"MAT")</f>
        <v>51239.669421487597</v>
      </c>
      <c r="K112" s="42">
        <f>SUMIFS(COMPOSICIÓN!J$2:J$1879,COMPOSICIÓN!A$2:A$1879,A112,COMPOSICIÓN!B$2:B$1879,"MO")*I112</f>
        <v>0</v>
      </c>
      <c r="L112" s="42">
        <f>SUMIFS(COMPOSICIÓN!J$2:J$1879,COMPOSICIÓN!A$2:A$1879,A112,COMPOSICIÓN!B$2:B$1879,"EQ")</f>
        <v>0</v>
      </c>
      <c r="M112" s="42">
        <f t="shared" si="4"/>
        <v>51239.669421487597</v>
      </c>
      <c r="N112" s="42">
        <f t="shared" si="5"/>
        <v>0</v>
      </c>
      <c r="O112" s="42">
        <f t="shared" si="6"/>
        <v>0</v>
      </c>
      <c r="P112" s="42">
        <f t="shared" si="7"/>
        <v>51239.669421487597</v>
      </c>
      <c r="Q112" s="15">
        <f>COUNTIF(COMPOSICIÓN!$A:$A,A112)</f>
        <v>1</v>
      </c>
      <c r="R112" s="43" t="s">
        <v>2665</v>
      </c>
    </row>
    <row r="113" spans="1:18" ht="14.25" customHeight="1" x14ac:dyDescent="0.35">
      <c r="A113" s="38" t="s">
        <v>93</v>
      </c>
      <c r="B113" s="38"/>
      <c r="C113" s="38" t="s">
        <v>3024</v>
      </c>
      <c r="D113" s="38" t="s">
        <v>91</v>
      </c>
      <c r="E113" s="38" t="s">
        <v>92</v>
      </c>
      <c r="F113" s="39">
        <v>1</v>
      </c>
      <c r="G113" s="40">
        <v>0</v>
      </c>
      <c r="H113" s="41">
        <v>0</v>
      </c>
      <c r="I113" s="14">
        <v>1</v>
      </c>
      <c r="J113" s="42">
        <f>SUMIFS(COMPOSICIÓN!J$2:J$1879,COMPOSICIÓN!A$2:A$1879,A113,COMPOSICIÓN!B$2:B$1879,"MAT")</f>
        <v>7051.2820512851295</v>
      </c>
      <c r="K113" s="42">
        <f>SUMIFS(COMPOSICIÓN!J$2:J$1879,COMPOSICIÓN!A$2:A$1879,A113,COMPOSICIÓN!B$2:B$1879,"MO")*I113</f>
        <v>17829.919087410439</v>
      </c>
      <c r="L113" s="42">
        <f>SUMIFS(COMPOSICIÓN!J$2:J$1879,COMPOSICIÓN!A$2:A$1879,A113,COMPOSICIÓN!B$2:B$1879,"EQ")</f>
        <v>373.21801708038703</v>
      </c>
      <c r="M113" s="42">
        <f t="shared" si="4"/>
        <v>7051.2820512851295</v>
      </c>
      <c r="N113" s="42">
        <f t="shared" si="5"/>
        <v>17829.919087410439</v>
      </c>
      <c r="O113" s="42">
        <f t="shared" si="6"/>
        <v>373.21801708038703</v>
      </c>
      <c r="P113" s="42">
        <f t="shared" si="7"/>
        <v>25254.419155775955</v>
      </c>
      <c r="Q113" s="15">
        <f>COUNTIF(COMPOSICIÓN!$A:$A,A113)</f>
        <v>5</v>
      </c>
      <c r="R113" s="43" t="s">
        <v>2661</v>
      </c>
    </row>
    <row r="114" spans="1:18" ht="14.25" customHeight="1" x14ac:dyDescent="0.35">
      <c r="A114" s="38" t="s">
        <v>2672</v>
      </c>
      <c r="B114" s="38" t="s">
        <v>2454</v>
      </c>
      <c r="C114" s="38" t="s">
        <v>94</v>
      </c>
      <c r="D114" s="38" t="s">
        <v>95</v>
      </c>
      <c r="E114" s="38" t="s">
        <v>92</v>
      </c>
      <c r="F114" s="39">
        <v>15</v>
      </c>
      <c r="G114" s="40">
        <v>0</v>
      </c>
      <c r="H114" s="41">
        <v>0</v>
      </c>
      <c r="I114" s="14">
        <v>1</v>
      </c>
      <c r="J114" s="42">
        <f>SUMIFS(COMPOSICIÓN!J$2:J$1879,COMPOSICIÓN!A$2:A$1879,A114,COMPOSICIÓN!B$2:B$1879,"MAT")</f>
        <v>6523.801074</v>
      </c>
      <c r="K114" s="42">
        <f>SUMIFS(COMPOSICIÓN!J$2:J$1879,COMPOSICIÓN!A$2:A$1879,A114,COMPOSICIÓN!B$2:B$1879,"MO")*I114</f>
        <v>146787.677933144</v>
      </c>
      <c r="L114" s="42">
        <f>SUMIFS(COMPOSICIÓN!J$2:J$1879,COMPOSICIÓN!A$2:A$1879,A114,COMPOSICIÓN!B$2:B$1879,"EQ")</f>
        <v>3529.9786867371336</v>
      </c>
      <c r="M114" s="42">
        <f t="shared" si="4"/>
        <v>6523.801074</v>
      </c>
      <c r="N114" s="42">
        <f t="shared" si="5"/>
        <v>9785.8451955429337</v>
      </c>
      <c r="O114" s="42">
        <f t="shared" si="6"/>
        <v>235.33191244914224</v>
      </c>
      <c r="P114" s="42">
        <f t="shared" si="7"/>
        <v>16544.978181992075</v>
      </c>
      <c r="Q114" s="15">
        <f>COUNTIF(COMPOSICIÓN!$A:$A,A114)</f>
        <v>10</v>
      </c>
      <c r="R114" s="43" t="s">
        <v>2673</v>
      </c>
    </row>
    <row r="115" spans="1:18" ht="14.25" customHeight="1" x14ac:dyDescent="0.35">
      <c r="A115" s="38" t="s">
        <v>2674</v>
      </c>
      <c r="B115" s="38" t="s">
        <v>2456</v>
      </c>
      <c r="C115" s="38" t="s">
        <v>94</v>
      </c>
      <c r="D115" s="38" t="s">
        <v>2675</v>
      </c>
      <c r="E115" s="38" t="s">
        <v>92</v>
      </c>
      <c r="F115" s="39">
        <v>15</v>
      </c>
      <c r="G115" s="40">
        <v>0</v>
      </c>
      <c r="H115" s="41">
        <v>0</v>
      </c>
      <c r="I115" s="14">
        <v>1</v>
      </c>
      <c r="J115" s="42">
        <f>SUMIFS(COMPOSICIÓN!J$2:J$1879,COMPOSICIÓN!A$2:A$1879,A115,COMPOSICIÓN!B$2:B$1879,"MAT")</f>
        <v>8314.4980560000004</v>
      </c>
      <c r="K115" s="42">
        <f>SUMIFS(COMPOSICIÓN!J$2:J$1879,COMPOSICIÓN!A$2:A$1879,A115,COMPOSICIÓN!B$2:B$1879,"MO")*I115</f>
        <v>146787.677933144</v>
      </c>
      <c r="L115" s="42">
        <f>SUMIFS(COMPOSICIÓN!J$2:J$1879,COMPOSICIÓN!A$2:A$1879,A115,COMPOSICIÓN!B$2:B$1879,"EQ")</f>
        <v>3529.9786867371336</v>
      </c>
      <c r="M115" s="42">
        <f t="shared" si="4"/>
        <v>8314.4980560000004</v>
      </c>
      <c r="N115" s="42">
        <f t="shared" si="5"/>
        <v>9785.8451955429337</v>
      </c>
      <c r="O115" s="42">
        <f t="shared" si="6"/>
        <v>235.33191244914224</v>
      </c>
      <c r="P115" s="42">
        <f t="shared" si="7"/>
        <v>18335.675163992077</v>
      </c>
      <c r="Q115" s="15">
        <f>COUNTIF(COMPOSICIÓN!$A:$A,A115)</f>
        <v>10</v>
      </c>
      <c r="R115" s="43" t="s">
        <v>2676</v>
      </c>
    </row>
    <row r="116" spans="1:18" ht="14.25" customHeight="1" x14ac:dyDescent="0.35">
      <c r="A116" s="38" t="s">
        <v>101</v>
      </c>
      <c r="B116" s="38" t="s">
        <v>2452</v>
      </c>
      <c r="C116" s="38" t="s">
        <v>94</v>
      </c>
      <c r="D116" s="38" t="s">
        <v>100</v>
      </c>
      <c r="E116" s="38" t="s">
        <v>92</v>
      </c>
      <c r="F116" s="39">
        <v>7</v>
      </c>
      <c r="G116" s="40">
        <v>0</v>
      </c>
      <c r="H116" s="41">
        <v>0</v>
      </c>
      <c r="I116" s="14">
        <v>1</v>
      </c>
      <c r="J116" s="42">
        <f>SUMIFS(COMPOSICIÓN!J$2:J$1879,COMPOSICIÓN!A$2:A$1879,A116,COMPOSICIÓN!B$2:B$1879,"MAT")</f>
        <v>6454.6901391632509</v>
      </c>
      <c r="K116" s="42">
        <f>SUMIFS(COMPOSICIÓN!J$2:J$1879,COMPOSICIÓN!A$2:A$1879,A116,COMPOSICIÓN!B$2:B$1879,"MO")*I116</f>
        <v>73393.838966572002</v>
      </c>
      <c r="L116" s="42">
        <f>SUMIFS(COMPOSICIÓN!J$2:J$1879,COMPOSICIÓN!A$2:A$1879,A116,COMPOSICIÓN!B$2:B$1879,"EQ")</f>
        <v>3529.9786867371336</v>
      </c>
      <c r="M116" s="42">
        <f t="shared" si="4"/>
        <v>6454.6901391632509</v>
      </c>
      <c r="N116" s="42">
        <f t="shared" si="5"/>
        <v>10484.834138081715</v>
      </c>
      <c r="O116" s="42">
        <f t="shared" si="6"/>
        <v>504.28266953387623</v>
      </c>
      <c r="P116" s="42">
        <f t="shared" si="7"/>
        <v>17443.806946778841</v>
      </c>
      <c r="Q116" s="15">
        <f>COUNTIF(COMPOSICIÓN!$A:$A,A116)</f>
        <v>11</v>
      </c>
      <c r="R116" s="43" t="s">
        <v>2677</v>
      </c>
    </row>
    <row r="117" spans="1:18" ht="14.25" customHeight="1" x14ac:dyDescent="0.35">
      <c r="A117" s="38" t="s">
        <v>2678</v>
      </c>
      <c r="B117" s="38" t="s">
        <v>2463</v>
      </c>
      <c r="C117" s="38" t="s">
        <v>94</v>
      </c>
      <c r="D117" s="38" t="s">
        <v>102</v>
      </c>
      <c r="E117" s="38" t="s">
        <v>92</v>
      </c>
      <c r="F117" s="39">
        <v>15</v>
      </c>
      <c r="G117" s="40">
        <v>0</v>
      </c>
      <c r="H117" s="41">
        <v>0</v>
      </c>
      <c r="I117" s="14">
        <v>1</v>
      </c>
      <c r="J117" s="42">
        <f>SUMIFS(COMPOSICIÓN!J$2:J$1879,COMPOSICIÓN!A$2:A$1879,A117,COMPOSICIÓN!B$2:B$1879,"MAT")</f>
        <v>11430.163056000001</v>
      </c>
      <c r="K117" s="42">
        <f>SUMIFS(COMPOSICIÓN!J$2:J$1879,COMPOSICIÓN!A$2:A$1879,A117,COMPOSICIÓN!B$2:B$1879,"MO")*I117</f>
        <v>146787.677933144</v>
      </c>
      <c r="L117" s="42">
        <f>SUMIFS(COMPOSICIÓN!J$2:J$1879,COMPOSICIÓN!A$2:A$1879,A117,COMPOSICIÓN!B$2:B$1879,"EQ")</f>
        <v>3529.9786867371336</v>
      </c>
      <c r="M117" s="42">
        <f t="shared" si="4"/>
        <v>11430.163056000001</v>
      </c>
      <c r="N117" s="42">
        <f t="shared" si="5"/>
        <v>9785.8451955429337</v>
      </c>
      <c r="O117" s="42">
        <f t="shared" si="6"/>
        <v>235.33191244914224</v>
      </c>
      <c r="P117" s="42">
        <f t="shared" si="7"/>
        <v>21451.340163992078</v>
      </c>
      <c r="Q117" s="15">
        <f>COUNTIF(COMPOSICIÓN!$A:$A,A117)</f>
        <v>10</v>
      </c>
      <c r="R117" s="43" t="s">
        <v>2679</v>
      </c>
    </row>
    <row r="118" spans="1:18" ht="14.25" customHeight="1" x14ac:dyDescent="0.35">
      <c r="A118" s="38" t="s">
        <v>105</v>
      </c>
      <c r="B118" s="38"/>
      <c r="C118" s="38" t="s">
        <v>94</v>
      </c>
      <c r="D118" s="38" t="s">
        <v>104</v>
      </c>
      <c r="E118" s="38" t="s">
        <v>92</v>
      </c>
      <c r="F118" s="39">
        <v>1</v>
      </c>
      <c r="G118" s="40">
        <v>0</v>
      </c>
      <c r="H118" s="41">
        <v>0</v>
      </c>
      <c r="I118" s="14">
        <v>1</v>
      </c>
      <c r="J118" s="42">
        <f>SUMIFS(COMPOSICIÓN!J$2:J$1879,COMPOSICIÓN!A$2:A$1879,A118,COMPOSICIÓN!B$2:B$1879,"MAT")</f>
        <v>16817.940685718568</v>
      </c>
      <c r="K118" s="42">
        <f>SUMIFS(COMPOSICIÓN!J$2:J$1879,COMPOSICIÓN!A$2:A$1879,A118,COMPOSICIÓN!B$2:B$1879,"MO")*I118</f>
        <v>10484.834138081709</v>
      </c>
      <c r="L118" s="42">
        <f>SUMIFS(COMPOSICIÓN!J$2:J$1879,COMPOSICIÓN!A$2:A$1879,A118,COMPOSICIÓN!B$2:B$1879,"EQ")</f>
        <v>409.54162235694002</v>
      </c>
      <c r="M118" s="42">
        <f t="shared" si="4"/>
        <v>16817.940685718568</v>
      </c>
      <c r="N118" s="42">
        <f t="shared" si="5"/>
        <v>10484.834138081709</v>
      </c>
      <c r="O118" s="42">
        <f t="shared" si="6"/>
        <v>409.54162235694002</v>
      </c>
      <c r="P118" s="42">
        <f t="shared" si="7"/>
        <v>27712.316446157216</v>
      </c>
      <c r="Q118" s="15">
        <f>COUNTIF(COMPOSICIÓN!$A:$A,A118)</f>
        <v>7</v>
      </c>
      <c r="R118" s="43" t="s">
        <v>2661</v>
      </c>
    </row>
    <row r="119" spans="1:18" ht="14.25" customHeight="1" x14ac:dyDescent="0.35">
      <c r="A119" s="38" t="s">
        <v>2680</v>
      </c>
      <c r="B119" s="38" t="s">
        <v>2458</v>
      </c>
      <c r="C119" s="38" t="s">
        <v>94</v>
      </c>
      <c r="D119" s="38" t="s">
        <v>106</v>
      </c>
      <c r="E119" s="38" t="s">
        <v>92</v>
      </c>
      <c r="F119" s="39">
        <v>15</v>
      </c>
      <c r="G119" s="40">
        <v>0</v>
      </c>
      <c r="H119" s="41">
        <v>0</v>
      </c>
      <c r="I119" s="14">
        <v>1</v>
      </c>
      <c r="J119" s="42">
        <f>SUMIFS(COMPOSICIÓN!J$2:J$1879,COMPOSICIÓN!A$2:A$1879,A119,COMPOSICIÓN!B$2:B$1879,"MAT")</f>
        <v>11375.275038</v>
      </c>
      <c r="K119" s="42">
        <f>SUMIFS(COMPOSICIÓN!J$2:J$1879,COMPOSICIÓN!A$2:A$1879,A119,COMPOSICIÓN!B$2:B$1879,"MO")*I119</f>
        <v>146787.677933144</v>
      </c>
      <c r="L119" s="42">
        <f>SUMIFS(COMPOSICIÓN!J$2:J$1879,COMPOSICIÓN!A$2:A$1879,A119,COMPOSICIÓN!B$2:B$1879,"EQ")</f>
        <v>3529.9786867371336</v>
      </c>
      <c r="M119" s="42">
        <f t="shared" si="4"/>
        <v>11375.275038</v>
      </c>
      <c r="N119" s="42">
        <f t="shared" si="5"/>
        <v>9785.8451955429337</v>
      </c>
      <c r="O119" s="42">
        <f t="shared" si="6"/>
        <v>235.33191244914224</v>
      </c>
      <c r="P119" s="42">
        <f t="shared" si="7"/>
        <v>21396.452145992076</v>
      </c>
      <c r="Q119" s="15">
        <f>COUNTIF(COMPOSICIÓN!$A:$A,A119)</f>
        <v>10</v>
      </c>
      <c r="R119" s="43" t="s">
        <v>2681</v>
      </c>
    </row>
    <row r="120" spans="1:18" ht="14.25" customHeight="1" x14ac:dyDescent="0.35">
      <c r="A120" s="38" t="s">
        <v>109</v>
      </c>
      <c r="B120" s="38" t="s">
        <v>2452</v>
      </c>
      <c r="C120" s="38" t="s">
        <v>94</v>
      </c>
      <c r="D120" s="38" t="s">
        <v>108</v>
      </c>
      <c r="E120" s="38" t="s">
        <v>92</v>
      </c>
      <c r="F120" s="39">
        <v>7</v>
      </c>
      <c r="G120" s="40">
        <v>0</v>
      </c>
      <c r="H120" s="41">
        <v>0</v>
      </c>
      <c r="I120" s="14">
        <v>1</v>
      </c>
      <c r="J120" s="42">
        <f>SUMIFS(COMPOSICIÓN!J$2:J$1879,COMPOSICIÓN!A$2:A$1879,A120,COMPOSICIÓN!B$2:B$1879,"MAT")</f>
        <v>3227.3450695816255</v>
      </c>
      <c r="K120" s="42">
        <f>SUMIFS(COMPOSICIÓN!J$2:J$1879,COMPOSICIÓN!A$2:A$1879,A120,COMPOSICIÓN!B$2:B$1879,"MO")*I120</f>
        <v>73393.838966572002</v>
      </c>
      <c r="L120" s="42">
        <f>SUMIFS(COMPOSICIÓN!J$2:J$1879,COMPOSICIÓN!A$2:A$1879,A120,COMPOSICIÓN!B$2:B$1879,"EQ")</f>
        <v>1764.9893433685668</v>
      </c>
      <c r="M120" s="42">
        <f t="shared" si="4"/>
        <v>3227.3450695816255</v>
      </c>
      <c r="N120" s="42">
        <f t="shared" si="5"/>
        <v>10484.834138081715</v>
      </c>
      <c r="O120" s="42">
        <f t="shared" si="6"/>
        <v>252.14133476693812</v>
      </c>
      <c r="P120" s="42">
        <f t="shared" si="7"/>
        <v>13964.320542430278</v>
      </c>
      <c r="Q120" s="15">
        <f>COUNTIF(COMPOSICIÓN!$A:$A,A120)</f>
        <v>11</v>
      </c>
      <c r="R120" s="43" t="s">
        <v>2682</v>
      </c>
    </row>
    <row r="121" spans="1:18" ht="14.25" customHeight="1" x14ac:dyDescent="0.35">
      <c r="A121" s="38" t="s">
        <v>111</v>
      </c>
      <c r="B121" s="38"/>
      <c r="C121" s="38" t="s">
        <v>94</v>
      </c>
      <c r="D121" s="38" t="s">
        <v>110</v>
      </c>
      <c r="E121" s="38" t="s">
        <v>28</v>
      </c>
      <c r="F121" s="39">
        <v>1</v>
      </c>
      <c r="G121" s="40">
        <v>0</v>
      </c>
      <c r="H121" s="41">
        <v>0</v>
      </c>
      <c r="I121" s="14">
        <v>1</v>
      </c>
      <c r="J121" s="42">
        <f>SUMIFS(COMPOSICIÓN!J$2:J$1879,COMPOSICIÓN!A$2:A$1879,A121,COMPOSICIÓN!B$2:B$1879,"MAT")</f>
        <v>9093.986286885247</v>
      </c>
      <c r="K121" s="42">
        <f>SUMIFS(COMPOSICIÓN!J$2:J$1879,COMPOSICIÓN!A$2:A$1879,A121,COMPOSICIÓN!B$2:B$1879,"MO")*I121</f>
        <v>12031.776879765903</v>
      </c>
      <c r="L121" s="42">
        <f>SUMIFS(COMPOSICIÓN!J$2:J$1879,COMPOSICIÓN!A$2:A$1879,A121,COMPOSICIÓN!B$2:B$1879,"EQ")</f>
        <v>316.88644749976697</v>
      </c>
      <c r="M121" s="42">
        <f t="shared" si="4"/>
        <v>9093.986286885247</v>
      </c>
      <c r="N121" s="42">
        <f t="shared" si="5"/>
        <v>12031.776879765903</v>
      </c>
      <c r="O121" s="42">
        <f t="shared" si="6"/>
        <v>316.88644749976697</v>
      </c>
      <c r="P121" s="42">
        <f t="shared" si="7"/>
        <v>21442.64961415092</v>
      </c>
      <c r="Q121" s="15">
        <f>COUNTIF(COMPOSICIÓN!$A:$A,A121)</f>
        <v>7</v>
      </c>
      <c r="R121" s="43" t="s">
        <v>2661</v>
      </c>
    </row>
    <row r="122" spans="1:18" ht="14.25" customHeight="1" x14ac:dyDescent="0.35">
      <c r="A122" s="38" t="s">
        <v>113</v>
      </c>
      <c r="B122" s="38"/>
      <c r="C122" s="38" t="s">
        <v>94</v>
      </c>
      <c r="D122" s="38" t="s">
        <v>2683</v>
      </c>
      <c r="E122" s="38" t="s">
        <v>24</v>
      </c>
      <c r="F122" s="39">
        <v>1</v>
      </c>
      <c r="G122" s="40">
        <v>0</v>
      </c>
      <c r="H122" s="41">
        <v>0</v>
      </c>
      <c r="I122" s="14">
        <v>1</v>
      </c>
      <c r="J122" s="42">
        <f>SUMIFS(COMPOSICIÓN!J$2:J$1879,COMPOSICIÓN!A$2:A$1879,A122,COMPOSICIÓN!B$2:B$1879,"MAT")</f>
        <v>60811.031153399999</v>
      </c>
      <c r="K122" s="42">
        <f>SUMIFS(COMPOSICIÓN!J$2:J$1879,COMPOSICIÓN!A$2:A$1879,A122,COMPOSICIÓN!B$2:B$1879,"MO")*I122</f>
        <v>146787.677933144</v>
      </c>
      <c r="L122" s="42">
        <f>SUMIFS(COMPOSICIÓN!J$2:J$1879,COMPOSICIÓN!A$2:A$1879,A122,COMPOSICIÓN!B$2:B$1879,"EQ")</f>
        <v>3113.9806362981599</v>
      </c>
      <c r="M122" s="42">
        <f t="shared" si="4"/>
        <v>60811.031153399999</v>
      </c>
      <c r="N122" s="42">
        <f t="shared" si="5"/>
        <v>146787.677933144</v>
      </c>
      <c r="O122" s="42">
        <f t="shared" si="6"/>
        <v>3113.9806362981599</v>
      </c>
      <c r="P122" s="42">
        <f t="shared" si="7"/>
        <v>210712.68972284216</v>
      </c>
      <c r="Q122" s="15">
        <f>COUNTIF(COMPOSICIÓN!$A:$A,A122)</f>
        <v>6</v>
      </c>
      <c r="R122" s="43" t="s">
        <v>2661</v>
      </c>
    </row>
    <row r="123" spans="1:18" ht="14.25" customHeight="1" x14ac:dyDescent="0.35">
      <c r="A123" s="38" t="s">
        <v>115</v>
      </c>
      <c r="B123" s="38"/>
      <c r="C123" s="38" t="s">
        <v>94</v>
      </c>
      <c r="D123" s="38" t="s">
        <v>114</v>
      </c>
      <c r="E123" s="38" t="s">
        <v>24</v>
      </c>
      <c r="F123" s="39">
        <v>1</v>
      </c>
      <c r="G123" s="40">
        <v>0</v>
      </c>
      <c r="H123" s="41">
        <v>0</v>
      </c>
      <c r="I123" s="14">
        <v>1</v>
      </c>
      <c r="J123" s="42">
        <f>SUMIFS(COMPOSICIÓN!J$2:J$1879,COMPOSICIÓN!A$2:A$1879,A123,COMPOSICIÓN!B$2:B$1879,"MAT")</f>
        <v>151935.62173020002</v>
      </c>
      <c r="K123" s="42">
        <f>SUMIFS(COMPOSICIÓN!J$2:J$1879,COMPOSICIÓN!A$2:A$1879,A123,COMPOSICIÓN!B$2:B$1879,"MO")*I123</f>
        <v>440363.03379943199</v>
      </c>
      <c r="L123" s="42">
        <f>SUMIFS(COMPOSICIÓN!J$2:J$1879,COMPOSICIÓN!A$2:A$1879,A123,COMPOSICIÓN!B$2:B$1879,"EQ")</f>
        <v>8884.4798329444802</v>
      </c>
      <c r="M123" s="42">
        <f t="shared" si="4"/>
        <v>151935.62173020002</v>
      </c>
      <c r="N123" s="42">
        <f t="shared" si="5"/>
        <v>440363.03379943199</v>
      </c>
      <c r="O123" s="42">
        <f t="shared" si="6"/>
        <v>8884.4798329444802</v>
      </c>
      <c r="P123" s="42">
        <f t="shared" si="7"/>
        <v>601183.13536257646</v>
      </c>
      <c r="Q123" s="15">
        <f>COUNTIF(COMPOSICIÓN!$A:$A,A123)</f>
        <v>6</v>
      </c>
      <c r="R123" s="43" t="s">
        <v>2661</v>
      </c>
    </row>
    <row r="124" spans="1:18" ht="14.25" customHeight="1" x14ac:dyDescent="0.35">
      <c r="A124" s="38" t="s">
        <v>117</v>
      </c>
      <c r="B124" s="38"/>
      <c r="C124" s="38" t="s">
        <v>94</v>
      </c>
      <c r="D124" s="38" t="s">
        <v>116</v>
      </c>
      <c r="E124" s="38" t="s">
        <v>24</v>
      </c>
      <c r="F124" s="39">
        <v>1</v>
      </c>
      <c r="G124" s="40">
        <v>0</v>
      </c>
      <c r="H124" s="41">
        <v>0</v>
      </c>
      <c r="I124" s="14">
        <v>1</v>
      </c>
      <c r="J124" s="42">
        <f>SUMIFS(COMPOSICIÓN!J$2:J$1879,COMPOSICIÓN!A$2:A$1879,A124,COMPOSICIÓN!B$2:B$1879,"MAT")</f>
        <v>128742.89499999999</v>
      </c>
      <c r="K124" s="42">
        <f>SUMIFS(COMPOSICIÓN!J$2:J$1879,COMPOSICIÓN!A$2:A$1879,A124,COMPOSICIÓN!B$2:B$1879,"MO")*I124</f>
        <v>259536.82203628801</v>
      </c>
      <c r="L124" s="42">
        <f>SUMIFS(COMPOSICIÓN!J$2:J$1879,COMPOSICIÓN!A$2:A$1879,A124,COMPOSICIÓN!B$2:B$1879,"EQ")</f>
        <v>5824.1957555443196</v>
      </c>
      <c r="M124" s="42">
        <f t="shared" si="4"/>
        <v>128742.89499999999</v>
      </c>
      <c r="N124" s="42">
        <f t="shared" si="5"/>
        <v>259536.82203628801</v>
      </c>
      <c r="O124" s="42">
        <f t="shared" si="6"/>
        <v>5824.1957555443196</v>
      </c>
      <c r="P124" s="42">
        <f t="shared" si="7"/>
        <v>394103.91279183229</v>
      </c>
      <c r="Q124" s="15">
        <f>COUNTIF(COMPOSICIÓN!$A:$A,A124)</f>
        <v>5</v>
      </c>
      <c r="R124" s="43" t="s">
        <v>2661</v>
      </c>
    </row>
    <row r="125" spans="1:18" ht="14.25" customHeight="1" x14ac:dyDescent="0.35">
      <c r="A125" s="38" t="s">
        <v>119</v>
      </c>
      <c r="B125" s="38"/>
      <c r="C125" s="38" t="s">
        <v>94</v>
      </c>
      <c r="D125" s="38" t="s">
        <v>118</v>
      </c>
      <c r="E125" s="38" t="s">
        <v>53</v>
      </c>
      <c r="F125" s="39">
        <v>1</v>
      </c>
      <c r="G125" s="40">
        <v>0</v>
      </c>
      <c r="H125" s="41">
        <v>0</v>
      </c>
      <c r="I125" s="14">
        <v>1</v>
      </c>
      <c r="J125" s="42">
        <f>SUMIFS(COMPOSICIÓN!J$2:J$1879,COMPOSICIÓN!A$2:A$1879,A125,COMPOSICIÓN!B$2:B$1879,"MAT")</f>
        <v>121487.603305785</v>
      </c>
      <c r="K125" s="42">
        <f>SUMIFS(COMPOSICIÓN!J$2:J$1879,COMPOSICIÓN!A$2:A$1879,A125,COMPOSICIÓN!B$2:B$1879,"MO")*I125</f>
        <v>54294.058954381275</v>
      </c>
      <c r="L125" s="42">
        <f>SUMIFS(COMPOSICIÓN!J$2:J$1879,COMPOSICIÓN!A$2:A$1879,A125,COMPOSICIÓN!B$2:B$1879,"EQ")</f>
        <v>2636.7249339025002</v>
      </c>
      <c r="M125" s="42">
        <f t="shared" si="4"/>
        <v>121487.603305785</v>
      </c>
      <c r="N125" s="42">
        <f t="shared" si="5"/>
        <v>54294.058954381275</v>
      </c>
      <c r="O125" s="42">
        <f t="shared" si="6"/>
        <v>2636.7249339025002</v>
      </c>
      <c r="P125" s="42">
        <f t="shared" si="7"/>
        <v>178418.38719406878</v>
      </c>
      <c r="Q125" s="15">
        <f>COUNTIF(COMPOSICIÓN!$A:$A,A125)</f>
        <v>4</v>
      </c>
      <c r="R125" s="43" t="s">
        <v>2661</v>
      </c>
    </row>
    <row r="126" spans="1:18" ht="14.25" customHeight="1" x14ac:dyDescent="0.35">
      <c r="A126" s="38" t="s">
        <v>121</v>
      </c>
      <c r="B126" s="38"/>
      <c r="C126" s="38" t="s">
        <v>94</v>
      </c>
      <c r="D126" s="38" t="s">
        <v>120</v>
      </c>
      <c r="E126" s="38" t="s">
        <v>28</v>
      </c>
      <c r="F126" s="39">
        <v>1</v>
      </c>
      <c r="G126" s="40">
        <v>0</v>
      </c>
      <c r="H126" s="41">
        <v>0</v>
      </c>
      <c r="I126" s="14">
        <v>1</v>
      </c>
      <c r="J126" s="42">
        <f>SUMIFS(COMPOSICIÓN!J$2:J$1879,COMPOSICIÓN!A$2:A$1879,A126,COMPOSICIÓN!B$2:B$1879,"MAT")</f>
        <v>36748.8825</v>
      </c>
      <c r="K126" s="42">
        <f>SUMIFS(COMPOSICIÓN!J$2:J$1879,COMPOSICIÓN!A$2:A$1879,A126,COMPOSICIÓN!B$2:B$1879,"MO")*I126</f>
        <v>35716.756336364604</v>
      </c>
      <c r="L126" s="42">
        <f>SUMIFS(COMPOSICIÓN!J$2:J$1879,COMPOSICIÓN!A$2:A$1879,A126,COMPOSICIÓN!B$2:B$1879,"EQ")</f>
        <v>1086.9845825454699</v>
      </c>
      <c r="M126" s="42">
        <f t="shared" si="4"/>
        <v>36748.8825</v>
      </c>
      <c r="N126" s="42">
        <f t="shared" si="5"/>
        <v>35716.756336364604</v>
      </c>
      <c r="O126" s="42">
        <f t="shared" si="6"/>
        <v>1086.9845825454699</v>
      </c>
      <c r="P126" s="42">
        <f t="shared" si="7"/>
        <v>73552.62341891008</v>
      </c>
      <c r="Q126" s="15">
        <f>COUNTIF(COMPOSICIÓN!$A:$A,A126)</f>
        <v>8</v>
      </c>
      <c r="R126" s="43" t="s">
        <v>2661</v>
      </c>
    </row>
    <row r="127" spans="1:18" ht="14.25" customHeight="1" x14ac:dyDescent="0.35">
      <c r="A127" s="38" t="s">
        <v>123</v>
      </c>
      <c r="B127" s="38"/>
      <c r="C127" s="38" t="s">
        <v>94</v>
      </c>
      <c r="D127" s="38" t="s">
        <v>2684</v>
      </c>
      <c r="E127" s="38" t="s">
        <v>53</v>
      </c>
      <c r="F127" s="39">
        <v>1</v>
      </c>
      <c r="G127" s="40">
        <v>0</v>
      </c>
      <c r="H127" s="41">
        <v>0</v>
      </c>
      <c r="I127" s="14">
        <v>1</v>
      </c>
      <c r="J127" s="42">
        <f>SUMIFS(COMPOSICIÓN!J$2:J$1879,COMPOSICIÓN!A$2:A$1879,A127,COMPOSICIÓN!B$2:B$1879,"MAT")</f>
        <v>23946.262090861961</v>
      </c>
      <c r="K127" s="42">
        <f>SUMIFS(COMPOSICIÓN!J$2:J$1879,COMPOSICIÓN!A$2:A$1879,A127,COMPOSICIÓN!B$2:B$1879,"MO")*I127</f>
        <v>107385.37009485799</v>
      </c>
      <c r="L127" s="42">
        <f>SUMIFS(COMPOSICIÓN!J$2:J$1879,COMPOSICIÓN!A$2:A$1879,A127,COMPOSICIÓN!B$2:B$1879,"EQ")</f>
        <v>1969.9744827858201</v>
      </c>
      <c r="M127" s="42">
        <f t="shared" si="4"/>
        <v>23946.262090861961</v>
      </c>
      <c r="N127" s="42">
        <f t="shared" si="5"/>
        <v>107385.37009485799</v>
      </c>
      <c r="O127" s="42">
        <f t="shared" si="6"/>
        <v>1969.9744827858201</v>
      </c>
      <c r="P127" s="42">
        <f t="shared" si="7"/>
        <v>133301.60666850579</v>
      </c>
      <c r="Q127" s="15">
        <f>COUNTIF(COMPOSICIÓN!$A:$A,A127)</f>
        <v>7</v>
      </c>
      <c r="R127" s="43" t="s">
        <v>2661</v>
      </c>
    </row>
    <row r="128" spans="1:18" ht="14.25" customHeight="1" x14ac:dyDescent="0.35">
      <c r="A128" s="38" t="s">
        <v>125</v>
      </c>
      <c r="B128" s="38" t="s">
        <v>2475</v>
      </c>
      <c r="C128" s="38" t="s">
        <v>3025</v>
      </c>
      <c r="D128" s="38" t="s">
        <v>124</v>
      </c>
      <c r="E128" s="38" t="s">
        <v>28</v>
      </c>
      <c r="F128" s="39">
        <v>28</v>
      </c>
      <c r="G128" s="40">
        <v>0</v>
      </c>
      <c r="H128" s="41">
        <v>0</v>
      </c>
      <c r="I128" s="14">
        <v>1</v>
      </c>
      <c r="J128" s="42">
        <f>SUMIFS(COMPOSICIÓN!J$2:J$1879,COMPOSICIÓN!A$2:A$1879,A128,COMPOSICIÓN!B$2:B$1879,"MAT")</f>
        <v>809.61503399999992</v>
      </c>
      <c r="K128" s="42">
        <f>SUMIFS(COMPOSICIÓN!J$2:J$1879,COMPOSICIÓN!A$2:A$1879,A128,COMPOSICIÓN!B$2:B$1879,"MO")*I128</f>
        <v>110271.32946720079</v>
      </c>
      <c r="L128" s="42">
        <f>SUMIFS(COMPOSICIÓN!J$2:J$1879,COMPOSICIÓN!A$2:A$1879,A128,COMPOSICIÓN!B$2:B$1879,"EQ")</f>
        <v>3529.9786867371336</v>
      </c>
      <c r="M128" s="42">
        <f t="shared" si="4"/>
        <v>809.61503399999992</v>
      </c>
      <c r="N128" s="42">
        <f t="shared" si="5"/>
        <v>3938.2617666857427</v>
      </c>
      <c r="O128" s="42">
        <f t="shared" si="6"/>
        <v>126.07066738346906</v>
      </c>
      <c r="P128" s="42">
        <f t="shared" si="7"/>
        <v>4873.9474680692119</v>
      </c>
      <c r="Q128" s="15">
        <f>COUNTIF(COMPOSICIÓN!$A:$A,A128)</f>
        <v>8</v>
      </c>
      <c r="R128" s="43" t="s">
        <v>2685</v>
      </c>
    </row>
    <row r="129" spans="1:18" ht="14.25" customHeight="1" x14ac:dyDescent="0.35">
      <c r="A129" s="38" t="s">
        <v>127</v>
      </c>
      <c r="B129" s="38" t="s">
        <v>2553</v>
      </c>
      <c r="C129" s="38" t="s">
        <v>3025</v>
      </c>
      <c r="D129" s="38" t="s">
        <v>126</v>
      </c>
      <c r="E129" s="38" t="s">
        <v>92</v>
      </c>
      <c r="F129" s="39">
        <v>25</v>
      </c>
      <c r="G129" s="40">
        <v>0</v>
      </c>
      <c r="H129" s="41">
        <v>0</v>
      </c>
      <c r="I129" s="14">
        <v>1</v>
      </c>
      <c r="J129" s="42">
        <f>SUMIFS(COMPOSICIÓN!J$2:J$1879,COMPOSICIÓN!A$2:A$1879,A129,COMPOSICIÓN!B$2:B$1879,"MAT")</f>
        <v>13188.357601741736</v>
      </c>
      <c r="K129" s="42">
        <f>SUMIFS(COMPOSICIÓN!J$2:J$1879,COMPOSICIÓN!A$2:A$1879,A129,COMPOSICIÓN!B$2:B$1879,"MO")*I129</f>
        <v>293575.35586628801</v>
      </c>
      <c r="L129" s="42">
        <f>SUMIFS(COMPOSICIÓN!J$2:J$1879,COMPOSICIÓN!A$2:A$1879,A129,COMPOSICIÓN!B$2:B$1879,"EQ")</f>
        <v>804.50568716120006</v>
      </c>
      <c r="M129" s="42">
        <f t="shared" si="4"/>
        <v>13188.357601741736</v>
      </c>
      <c r="N129" s="42">
        <f t="shared" si="5"/>
        <v>11743.01423465152</v>
      </c>
      <c r="O129" s="42">
        <f t="shared" si="6"/>
        <v>32.180227486448004</v>
      </c>
      <c r="P129" s="42">
        <f t="shared" si="7"/>
        <v>24963.552063879706</v>
      </c>
      <c r="Q129" s="15">
        <f>COUNTIF(COMPOSICIÓN!$A:$A,A129)</f>
        <v>13</v>
      </c>
      <c r="R129" s="43" t="s">
        <v>2686</v>
      </c>
    </row>
    <row r="130" spans="1:18" ht="14.25" customHeight="1" x14ac:dyDescent="0.35">
      <c r="A130" s="38" t="s">
        <v>129</v>
      </c>
      <c r="B130" s="38" t="s">
        <v>2475</v>
      </c>
      <c r="C130" s="38" t="s">
        <v>3025</v>
      </c>
      <c r="D130" s="38" t="s">
        <v>128</v>
      </c>
      <c r="E130" s="38" t="s">
        <v>92</v>
      </c>
      <c r="F130" s="39">
        <v>28</v>
      </c>
      <c r="G130" s="40">
        <v>0</v>
      </c>
      <c r="H130" s="41">
        <v>0</v>
      </c>
      <c r="I130" s="14">
        <v>1</v>
      </c>
      <c r="J130" s="42">
        <f>SUMIFS(COMPOSICIÓN!J$2:J$1879,COMPOSICIÓN!A$2:A$1879,A130,COMPOSICIÓN!B$2:B$1879,"MAT")</f>
        <v>809.61503399999992</v>
      </c>
      <c r="K130" s="42">
        <f>SUMIFS(COMPOSICIÓN!J$2:J$1879,COMPOSICIÓN!A$2:A$1879,A130,COMPOSICIÓN!B$2:B$1879,"MO")*I130</f>
        <v>110271.32946720079</v>
      </c>
      <c r="L130" s="42">
        <f>SUMIFS(COMPOSICIÓN!J$2:J$1879,COMPOSICIÓN!A$2:A$1879,A130,COMPOSICIÓN!B$2:B$1879,"EQ")</f>
        <v>3529.9786867371336</v>
      </c>
      <c r="M130" s="42">
        <f t="shared" ref="M130:M193" si="8">J130</f>
        <v>809.61503399999992</v>
      </c>
      <c r="N130" s="42">
        <f t="shared" ref="N130:N193" si="9">IF(F130=0,0,K130/F130)</f>
        <v>3938.2617666857427</v>
      </c>
      <c r="O130" s="42">
        <f t="shared" ref="O130:O193" si="10">IF(F130=0,0,L130/F130)</f>
        <v>126.07066738346906</v>
      </c>
      <c r="P130" s="42">
        <f t="shared" ref="P130:P193" si="11">M130+N130+O130</f>
        <v>4873.9474680692119</v>
      </c>
      <c r="Q130" s="15">
        <f>COUNTIF(COMPOSICIÓN!$A:$A,A130)</f>
        <v>8</v>
      </c>
      <c r="R130" s="43" t="s">
        <v>2685</v>
      </c>
    </row>
    <row r="131" spans="1:18" ht="14.25" customHeight="1" x14ac:dyDescent="0.35">
      <c r="A131" s="38" t="s">
        <v>131</v>
      </c>
      <c r="B131" s="38"/>
      <c r="C131" s="38" t="s">
        <v>3025</v>
      </c>
      <c r="D131" s="38" t="s">
        <v>2687</v>
      </c>
      <c r="E131" s="38" t="s">
        <v>92</v>
      </c>
      <c r="F131" s="39">
        <v>1</v>
      </c>
      <c r="G131" s="40">
        <v>0</v>
      </c>
      <c r="H131" s="41">
        <v>0</v>
      </c>
      <c r="I131" s="14">
        <v>1</v>
      </c>
      <c r="J131" s="42">
        <f>SUMIFS(COMPOSICIÓN!J$2:J$1879,COMPOSICIÓN!A$2:A$1879,A131,COMPOSICIÓN!B$2:B$1879,"MAT")</f>
        <v>3625.4</v>
      </c>
      <c r="K131" s="42">
        <f>SUMIFS(COMPOSICIÓN!J$2:J$1879,COMPOSICIÓN!A$2:A$1879,A131,COMPOSICIÓN!B$2:B$1879,"MO")*I131</f>
        <v>0</v>
      </c>
      <c r="L131" s="42">
        <f>SUMIFS(COMPOSICIÓN!J$2:J$1879,COMPOSICIÓN!A$2:A$1879,A131,COMPOSICIÓN!B$2:B$1879,"EQ")</f>
        <v>0</v>
      </c>
      <c r="M131" s="42">
        <f t="shared" si="8"/>
        <v>3625.4</v>
      </c>
      <c r="N131" s="42">
        <f t="shared" si="9"/>
        <v>0</v>
      </c>
      <c r="O131" s="42">
        <f t="shared" si="10"/>
        <v>0</v>
      </c>
      <c r="P131" s="42">
        <f t="shared" si="11"/>
        <v>3625.4</v>
      </c>
      <c r="Q131" s="15">
        <f>COUNTIF(COMPOSICIÓN!$A:$A,A131)</f>
        <v>1</v>
      </c>
      <c r="R131" s="43" t="s">
        <v>2664</v>
      </c>
    </row>
    <row r="132" spans="1:18" ht="14.25" customHeight="1" x14ac:dyDescent="0.35">
      <c r="A132" s="38" t="s">
        <v>2688</v>
      </c>
      <c r="B132" s="38" t="s">
        <v>2607</v>
      </c>
      <c r="C132" s="38" t="s">
        <v>3025</v>
      </c>
      <c r="D132" s="38" t="s">
        <v>132</v>
      </c>
      <c r="E132" s="38" t="s">
        <v>92</v>
      </c>
      <c r="F132" s="39">
        <v>80</v>
      </c>
      <c r="G132" s="40">
        <v>0</v>
      </c>
      <c r="H132" s="41">
        <v>0</v>
      </c>
      <c r="I132" s="14">
        <v>1</v>
      </c>
      <c r="J132" s="42">
        <f>SUMIFS(COMPOSICIÓN!J$2:J$1879,COMPOSICIÓN!A$2:A$1879,A132,COMPOSICIÓN!B$2:B$1879,"MAT")</f>
        <v>1256.6125285555565</v>
      </c>
      <c r="K132" s="42">
        <f>SUMIFS(COMPOSICIÓN!J$2:J$1879,COMPOSICIÓN!A$2:A$1879,A132,COMPOSICIÓN!B$2:B$1879,"MO")*I132</f>
        <v>137815.66048314399</v>
      </c>
      <c r="L132" s="42">
        <f>SUMIFS(COMPOSICIÓN!J$2:J$1879,COMPOSICIÓN!A$2:A$1879,A132,COMPOSICIÓN!B$2:B$1879,"EQ")</f>
        <v>804.50568716120006</v>
      </c>
      <c r="M132" s="42">
        <f t="shared" si="8"/>
        <v>1256.6125285555565</v>
      </c>
      <c r="N132" s="42">
        <f t="shared" si="9"/>
        <v>1722.6957560392998</v>
      </c>
      <c r="O132" s="42">
        <f t="shared" si="10"/>
        <v>10.056321089515</v>
      </c>
      <c r="P132" s="42">
        <f t="shared" si="11"/>
        <v>2989.3646056843718</v>
      </c>
      <c r="Q132" s="15">
        <f>COUNTIF(COMPOSICIÓN!$A:$A,A132)</f>
        <v>8</v>
      </c>
      <c r="R132" s="43" t="s">
        <v>2689</v>
      </c>
    </row>
    <row r="133" spans="1:18" ht="14.25" customHeight="1" x14ac:dyDescent="0.35">
      <c r="A133" s="38" t="s">
        <v>135</v>
      </c>
      <c r="B133" s="38" t="s">
        <v>2553</v>
      </c>
      <c r="C133" s="38" t="s">
        <v>3025</v>
      </c>
      <c r="D133" s="38" t="s">
        <v>134</v>
      </c>
      <c r="E133" s="38" t="s">
        <v>92</v>
      </c>
      <c r="F133" s="39">
        <v>25</v>
      </c>
      <c r="G133" s="40">
        <v>0</v>
      </c>
      <c r="H133" s="41">
        <v>0</v>
      </c>
      <c r="I133" s="14">
        <v>1</v>
      </c>
      <c r="J133" s="42">
        <f>SUMIFS(COMPOSICIÓN!J$2:J$1879,COMPOSICIÓN!A$2:A$1879,A133,COMPOSICIÓN!B$2:B$1879,"MAT")</f>
        <v>11722.984534881545</v>
      </c>
      <c r="K133" s="42">
        <f>SUMIFS(COMPOSICIÓN!J$2:J$1879,COMPOSICIÓN!A$2:A$1879,A133,COMPOSICIÓN!B$2:B$1879,"MO")*I133</f>
        <v>234860.28469303041</v>
      </c>
      <c r="L133" s="42">
        <f>SUMIFS(COMPOSICIÓN!J$2:J$1879,COMPOSICIÓN!A$2:A$1879,A133,COMPOSICIÓN!B$2:B$1879,"EQ")</f>
        <v>804.50568716120006</v>
      </c>
      <c r="M133" s="42">
        <f t="shared" si="8"/>
        <v>11722.984534881545</v>
      </c>
      <c r="N133" s="42">
        <f t="shared" si="9"/>
        <v>9394.4113877212167</v>
      </c>
      <c r="O133" s="42">
        <f t="shared" si="10"/>
        <v>32.180227486448004</v>
      </c>
      <c r="P133" s="42">
        <f t="shared" si="11"/>
        <v>21149.576150089211</v>
      </c>
      <c r="Q133" s="15">
        <f>COUNTIF(COMPOSICIÓN!$A:$A,A133)</f>
        <v>13</v>
      </c>
      <c r="R133" s="43" t="s">
        <v>2690</v>
      </c>
    </row>
    <row r="134" spans="1:18" ht="14.25" customHeight="1" x14ac:dyDescent="0.35">
      <c r="A134" s="38" t="s">
        <v>137</v>
      </c>
      <c r="B134" s="38"/>
      <c r="C134" s="38" t="s">
        <v>3025</v>
      </c>
      <c r="D134" s="38" t="s">
        <v>136</v>
      </c>
      <c r="E134" s="38" t="s">
        <v>24</v>
      </c>
      <c r="F134" s="39">
        <v>1</v>
      </c>
      <c r="G134" s="40">
        <v>0</v>
      </c>
      <c r="H134" s="41">
        <v>0</v>
      </c>
      <c r="I134" s="14">
        <v>1</v>
      </c>
      <c r="J134" s="42">
        <f>SUMIFS(COMPOSICIÓN!J$2:J$1879,COMPOSICIÓN!A$2:A$1879,A134,COMPOSICIÓN!B$2:B$1879,"MAT")</f>
        <v>0</v>
      </c>
      <c r="K134" s="42">
        <f>SUMIFS(COMPOSICIÓN!J$2:J$1879,COMPOSICIÓN!A$2:A$1879,A134,COMPOSICIÓN!B$2:B$1879,"MO")*I134</f>
        <v>1829911.58844288</v>
      </c>
      <c r="L134" s="42">
        <f>SUMIFS(COMPOSICIÓN!J$2:J$1879,COMPOSICIÓN!A$2:A$1879,A134,COMPOSICIÓN!B$2:B$1879,"EQ")</f>
        <v>0</v>
      </c>
      <c r="M134" s="42">
        <f t="shared" si="8"/>
        <v>0</v>
      </c>
      <c r="N134" s="42">
        <f t="shared" si="9"/>
        <v>1829911.58844288</v>
      </c>
      <c r="O134" s="42">
        <f t="shared" si="10"/>
        <v>0</v>
      </c>
      <c r="P134" s="42">
        <f t="shared" si="11"/>
        <v>1829911.58844288</v>
      </c>
      <c r="Q134" s="15">
        <f>COUNTIF(COMPOSICIÓN!$A:$A,A134)</f>
        <v>1</v>
      </c>
      <c r="R134" s="43" t="s">
        <v>2670</v>
      </c>
    </row>
    <row r="135" spans="1:18" ht="14.25" customHeight="1" x14ac:dyDescent="0.35">
      <c r="A135" s="38" t="s">
        <v>140</v>
      </c>
      <c r="B135" s="38"/>
      <c r="C135" s="38" t="s">
        <v>138</v>
      </c>
      <c r="D135" s="38" t="s">
        <v>139</v>
      </c>
      <c r="E135" s="38" t="s">
        <v>28</v>
      </c>
      <c r="F135" s="39">
        <v>1</v>
      </c>
      <c r="G135" s="40">
        <v>0</v>
      </c>
      <c r="H135" s="41">
        <v>0</v>
      </c>
      <c r="I135" s="14">
        <v>1</v>
      </c>
      <c r="J135" s="42">
        <f>SUMIFS(COMPOSICIÓN!J$2:J$1879,COMPOSICIÓN!A$2:A$1879,A135,COMPOSICIÓN!B$2:B$1879,"MAT")</f>
        <v>14897.520661161881</v>
      </c>
      <c r="K135" s="42">
        <f>SUMIFS(COMPOSICIÓN!J$2:J$1879,COMPOSICIÓN!A$2:A$1879,A135,COMPOSICIÓN!B$2:B$1879,"MO")*I135</f>
        <v>8259.281934171484</v>
      </c>
      <c r="L135" s="42">
        <f>SUMIFS(COMPOSICIÓN!J$2:J$1879,COMPOSICIÓN!A$2:A$1879,A135,COMPOSICIÓN!B$2:B$1879,"EQ")</f>
        <v>347.35203892992803</v>
      </c>
      <c r="M135" s="42">
        <f t="shared" si="8"/>
        <v>14897.520661161881</v>
      </c>
      <c r="N135" s="42">
        <f t="shared" si="9"/>
        <v>8259.281934171484</v>
      </c>
      <c r="O135" s="42">
        <f t="shared" si="10"/>
        <v>347.35203892992803</v>
      </c>
      <c r="P135" s="42">
        <f t="shared" si="11"/>
        <v>23504.15463426329</v>
      </c>
      <c r="Q135" s="15">
        <f>COUNTIF(COMPOSICIÓN!$A:$A,A135)</f>
        <v>6</v>
      </c>
      <c r="R135" s="43" t="s">
        <v>2661</v>
      </c>
    </row>
    <row r="136" spans="1:18" ht="14.25" customHeight="1" x14ac:dyDescent="0.35">
      <c r="A136" s="38" t="s">
        <v>2691</v>
      </c>
      <c r="B136" s="38" t="s">
        <v>2480</v>
      </c>
      <c r="C136" s="38" t="s">
        <v>141</v>
      </c>
      <c r="D136" s="38" t="s">
        <v>2692</v>
      </c>
      <c r="E136" s="38" t="s">
        <v>92</v>
      </c>
      <c r="F136" s="39">
        <v>11.5</v>
      </c>
      <c r="G136" s="40">
        <v>0</v>
      </c>
      <c r="H136" s="41">
        <v>0</v>
      </c>
      <c r="I136" s="14">
        <v>1</v>
      </c>
      <c r="J136" s="42">
        <f>SUMIFS(COMPOSICIÓN!J$2:J$1879,COMPOSICIÓN!A$2:A$1879,A136,COMPOSICIÓN!B$2:B$1879,"MAT")</f>
        <v>4009.2266139999997</v>
      </c>
      <c r="K136" s="42">
        <f>SUMIFS(COMPOSICIÓN!J$2:J$1879,COMPOSICIÓN!A$2:A$1879,A136,COMPOSICIÓN!B$2:B$1879,"MO")*I136</f>
        <v>122443.4456225152</v>
      </c>
      <c r="L136" s="42">
        <f>SUMIFS(COMPOSICIÓN!J$2:J$1879,COMPOSICIÓN!A$2:A$1879,A136,COMPOSICIÓN!B$2:B$1879,"EQ")</f>
        <v>3529.9786867371336</v>
      </c>
      <c r="M136" s="42">
        <f t="shared" si="8"/>
        <v>4009.2266139999997</v>
      </c>
      <c r="N136" s="42">
        <f t="shared" si="9"/>
        <v>10647.256141088277</v>
      </c>
      <c r="O136" s="42">
        <f t="shared" si="10"/>
        <v>306.95466841192467</v>
      </c>
      <c r="P136" s="42">
        <f t="shared" si="11"/>
        <v>14963.437423500201</v>
      </c>
      <c r="Q136" s="15">
        <f>COUNTIF(COMPOSICIÓN!$A:$A,A136)</f>
        <v>9</v>
      </c>
      <c r="R136" s="43" t="s">
        <v>2693</v>
      </c>
    </row>
    <row r="137" spans="1:18" ht="14.25" customHeight="1" x14ac:dyDescent="0.35">
      <c r="A137" s="38" t="s">
        <v>145</v>
      </c>
      <c r="B137" s="38" t="s">
        <v>2483</v>
      </c>
      <c r="C137" s="38" t="s">
        <v>141</v>
      </c>
      <c r="D137" s="38" t="s">
        <v>144</v>
      </c>
      <c r="E137" s="38" t="s">
        <v>92</v>
      </c>
      <c r="F137" s="39">
        <v>8</v>
      </c>
      <c r="G137" s="40">
        <v>0</v>
      </c>
      <c r="H137" s="41">
        <v>0</v>
      </c>
      <c r="I137" s="14">
        <v>1</v>
      </c>
      <c r="J137" s="42">
        <f>SUMIFS(COMPOSICIÓN!J$2:J$1879,COMPOSICIÓN!A$2:A$1879,A137,COMPOSICIÓN!B$2:B$1879,"MAT")</f>
        <v>4009.2266139999997</v>
      </c>
      <c r="K137" s="42">
        <f>SUMIFS(COMPOSICIÓN!J$2:J$1879,COMPOSICIÓN!A$2:A$1879,A137,COMPOSICIÓN!B$2:B$1879,"MO")*I137</f>
        <v>122443.4456225152</v>
      </c>
      <c r="L137" s="42">
        <f>SUMIFS(COMPOSICIÓN!J$2:J$1879,COMPOSICIÓN!A$2:A$1879,A137,COMPOSICIÓN!B$2:B$1879,"EQ")</f>
        <v>6154.5221079134199</v>
      </c>
      <c r="M137" s="42">
        <f t="shared" si="8"/>
        <v>4009.2266139999997</v>
      </c>
      <c r="N137" s="42">
        <f t="shared" si="9"/>
        <v>15305.430702814399</v>
      </c>
      <c r="O137" s="42">
        <f t="shared" si="10"/>
        <v>769.31526348917748</v>
      </c>
      <c r="P137" s="42">
        <f t="shared" si="11"/>
        <v>20083.972580303576</v>
      </c>
      <c r="Q137" s="15">
        <f>COUNTIF(COMPOSICIÓN!$A:$A,A137)</f>
        <v>9</v>
      </c>
      <c r="R137" s="43" t="s">
        <v>2694</v>
      </c>
    </row>
    <row r="138" spans="1:18" ht="14.25" customHeight="1" x14ac:dyDescent="0.35">
      <c r="A138" s="38" t="s">
        <v>147</v>
      </c>
      <c r="B138" s="38"/>
      <c r="C138" s="38" t="s">
        <v>141</v>
      </c>
      <c r="D138" s="38" t="s">
        <v>146</v>
      </c>
      <c r="E138" s="38" t="s">
        <v>92</v>
      </c>
      <c r="F138" s="39">
        <v>1</v>
      </c>
      <c r="G138" s="40">
        <v>0</v>
      </c>
      <c r="H138" s="41">
        <v>0</v>
      </c>
      <c r="I138" s="14">
        <v>1</v>
      </c>
      <c r="J138" s="42">
        <f>SUMIFS(COMPOSICIÓN!J$2:J$1879,COMPOSICIÓN!A$2:A$1879,A138,COMPOSICIÓN!B$2:B$1879,"MAT")</f>
        <v>5324.1714662960421</v>
      </c>
      <c r="K138" s="42">
        <f>SUMIFS(COMPOSICIÓN!J$2:J$1879,COMPOSICIÓN!A$2:A$1879,A138,COMPOSICIÓN!B$2:B$1879,"MO")*I138</f>
        <v>11651.218312086001</v>
      </c>
      <c r="L138" s="42">
        <f>SUMIFS(COMPOSICIÓN!J$2:J$1879,COMPOSICIÓN!A$2:A$1879,A138,COMPOSICIÓN!B$2:B$1879,"EQ")</f>
        <v>254.63084667573</v>
      </c>
      <c r="M138" s="42">
        <f t="shared" si="8"/>
        <v>5324.1714662960421</v>
      </c>
      <c r="N138" s="42">
        <f t="shared" si="9"/>
        <v>11651.218312086001</v>
      </c>
      <c r="O138" s="42">
        <f t="shared" si="10"/>
        <v>254.63084667573</v>
      </c>
      <c r="P138" s="42">
        <f t="shared" si="11"/>
        <v>17230.020625057772</v>
      </c>
      <c r="Q138" s="15">
        <f>COUNTIF(COMPOSICIÓN!$A:$A,A138)</f>
        <v>5</v>
      </c>
      <c r="R138" s="43" t="s">
        <v>2661</v>
      </c>
    </row>
    <row r="139" spans="1:18" ht="14.25" customHeight="1" x14ac:dyDescent="0.35">
      <c r="A139" s="38" t="s">
        <v>149</v>
      </c>
      <c r="B139" s="38"/>
      <c r="C139" s="38" t="s">
        <v>141</v>
      </c>
      <c r="D139" s="38" t="s">
        <v>2285</v>
      </c>
      <c r="E139" s="38" t="s">
        <v>28</v>
      </c>
      <c r="F139" s="39">
        <v>1</v>
      </c>
      <c r="G139" s="40">
        <v>0</v>
      </c>
      <c r="H139" s="41">
        <v>0</v>
      </c>
      <c r="I139" s="14">
        <v>1</v>
      </c>
      <c r="J139" s="42">
        <f>SUMIFS(COMPOSICIÓN!J$2:J$1879,COMPOSICIÓN!A$2:A$1879,A139,COMPOSICIÓN!B$2:B$1879,"MAT")</f>
        <v>0</v>
      </c>
      <c r="K139" s="42">
        <f>SUMIFS(COMPOSICIÓN!J$2:J$1879,COMPOSICIÓN!A$2:A$1879,A139,COMPOSICIÓN!B$2:B$1879,"MO")*I139</f>
        <v>12499.4731571067</v>
      </c>
      <c r="L139" s="42">
        <f>SUMIFS(COMPOSICIÓN!J$2:J$1879,COMPOSICIÓN!A$2:A$1879,A139,COMPOSICIÓN!B$2:B$1879,"EQ")</f>
        <v>187.4920973566</v>
      </c>
      <c r="M139" s="42">
        <f t="shared" si="8"/>
        <v>0</v>
      </c>
      <c r="N139" s="42">
        <f t="shared" si="9"/>
        <v>12499.4731571067</v>
      </c>
      <c r="O139" s="42">
        <f t="shared" si="10"/>
        <v>187.4920973566</v>
      </c>
      <c r="P139" s="42">
        <f t="shared" si="11"/>
        <v>12686.965254463301</v>
      </c>
      <c r="Q139" s="15">
        <f>COUNTIF(COMPOSICIÓN!$A:$A,A139)</f>
        <v>2</v>
      </c>
      <c r="R139" s="43" t="s">
        <v>2661</v>
      </c>
    </row>
    <row r="140" spans="1:18" ht="14.25" customHeight="1" x14ac:dyDescent="0.35">
      <c r="A140" s="38" t="s">
        <v>152</v>
      </c>
      <c r="B140" s="38"/>
      <c r="C140" s="38" t="s">
        <v>141</v>
      </c>
      <c r="D140" s="38" t="s">
        <v>2695</v>
      </c>
      <c r="E140" s="38" t="s">
        <v>151</v>
      </c>
      <c r="F140" s="39">
        <v>1</v>
      </c>
      <c r="G140" s="40">
        <v>0</v>
      </c>
      <c r="H140" s="41">
        <v>0</v>
      </c>
      <c r="I140" s="14">
        <v>1</v>
      </c>
      <c r="J140" s="42">
        <f>SUMIFS(COMPOSICIÓN!J$2:J$1879,COMPOSICIÓN!A$2:A$1879,A140,COMPOSICIÓN!B$2:B$1879,"MAT")</f>
        <v>1167.2735606060573</v>
      </c>
      <c r="K140" s="42">
        <f>SUMIFS(COMPOSICIÓN!J$2:J$1879,COMPOSICIÓN!A$2:A$1879,A140,COMPOSICIÓN!B$2:B$1879,"MO")*I140</f>
        <v>13162.324006347171</v>
      </c>
      <c r="L140" s="42">
        <f>SUMIFS(COMPOSICIÓN!J$2:J$1879,COMPOSICIÓN!A$2:A$1879,A140,COMPOSICIÓN!B$2:B$1879,"EQ")</f>
        <v>214.94396350429901</v>
      </c>
      <c r="M140" s="42">
        <f t="shared" si="8"/>
        <v>1167.2735606060573</v>
      </c>
      <c r="N140" s="42">
        <f t="shared" si="9"/>
        <v>13162.324006347171</v>
      </c>
      <c r="O140" s="42">
        <f t="shared" si="10"/>
        <v>214.94396350429901</v>
      </c>
      <c r="P140" s="42">
        <f t="shared" si="11"/>
        <v>14544.541530457527</v>
      </c>
      <c r="Q140" s="15">
        <f>COUNTIF(COMPOSICIÓN!$A:$A,A140)</f>
        <v>3</v>
      </c>
      <c r="R140" s="43" t="s">
        <v>2661</v>
      </c>
    </row>
    <row r="141" spans="1:18" ht="14.25" customHeight="1" x14ac:dyDescent="0.35">
      <c r="A141" s="38" t="s">
        <v>2696</v>
      </c>
      <c r="B141" s="38" t="s">
        <v>2480</v>
      </c>
      <c r="C141" s="38" t="s">
        <v>141</v>
      </c>
      <c r="D141" s="38" t="s">
        <v>153</v>
      </c>
      <c r="E141" s="38" t="s">
        <v>92</v>
      </c>
      <c r="F141" s="39">
        <v>11.5</v>
      </c>
      <c r="G141" s="40">
        <v>0</v>
      </c>
      <c r="H141" s="41">
        <v>0</v>
      </c>
      <c r="I141" s="14">
        <v>1</v>
      </c>
      <c r="J141" s="42">
        <f>SUMIFS(COMPOSICIÓN!J$2:J$1879,COMPOSICIÓN!A$2:A$1879,A141,COMPOSICIÓN!B$2:B$1879,"MAT")</f>
        <v>4009.2266139999997</v>
      </c>
      <c r="K141" s="42">
        <f>SUMIFS(COMPOSICIÓN!J$2:J$1879,COMPOSICIÓN!A$2:A$1879,A141,COMPOSICIÓN!B$2:B$1879,"MO")*I141</f>
        <v>122443.4456225152</v>
      </c>
      <c r="L141" s="42">
        <f>SUMIFS(COMPOSICIÓN!J$2:J$1879,COMPOSICIÓN!A$2:A$1879,A141,COMPOSICIÓN!B$2:B$1879,"EQ")</f>
        <v>3529.9786867371336</v>
      </c>
      <c r="M141" s="42">
        <f t="shared" si="8"/>
        <v>4009.2266139999997</v>
      </c>
      <c r="N141" s="42">
        <f t="shared" si="9"/>
        <v>10647.256141088277</v>
      </c>
      <c r="O141" s="42">
        <f t="shared" si="10"/>
        <v>306.95466841192467</v>
      </c>
      <c r="P141" s="42">
        <f t="shared" si="11"/>
        <v>14963.437423500201</v>
      </c>
      <c r="Q141" s="15">
        <f>COUNTIF(COMPOSICIÓN!$A:$A,A141)</f>
        <v>9</v>
      </c>
      <c r="R141" s="43" t="s">
        <v>2693</v>
      </c>
    </row>
    <row r="142" spans="1:18" ht="14.25" customHeight="1" x14ac:dyDescent="0.35">
      <c r="A142" s="38" t="s">
        <v>156</v>
      </c>
      <c r="B142" s="38"/>
      <c r="C142" s="38" t="s">
        <v>154</v>
      </c>
      <c r="D142" s="38" t="s">
        <v>2697</v>
      </c>
      <c r="E142" s="38" t="s">
        <v>92</v>
      </c>
      <c r="F142" s="39">
        <v>1</v>
      </c>
      <c r="G142" s="40">
        <v>0</v>
      </c>
      <c r="H142" s="41">
        <v>0</v>
      </c>
      <c r="I142" s="14">
        <v>1</v>
      </c>
      <c r="J142" s="42">
        <f>SUMIFS(COMPOSICIÓN!J$2:J$1879,COMPOSICIÓN!A$2:A$1879,A142,COMPOSICIÓN!B$2:B$1879,"MAT")</f>
        <v>30940.006822429907</v>
      </c>
      <c r="K142" s="42">
        <f>SUMIFS(COMPOSICIÓN!J$2:J$1879,COMPOSICIÓN!A$2:A$1879,A142,COMPOSICIÓN!B$2:B$1879,"MO")*I142</f>
        <v>12364.893372256425</v>
      </c>
      <c r="L142" s="42">
        <f>SUMIFS(COMPOSICIÓN!J$2:J$1879,COMPOSICIÓN!A$2:A$1879,A142,COMPOSICIÓN!B$2:B$1879,"EQ")</f>
        <v>649.57350320066905</v>
      </c>
      <c r="M142" s="42">
        <f t="shared" si="8"/>
        <v>30940.006822429907</v>
      </c>
      <c r="N142" s="42">
        <f t="shared" si="9"/>
        <v>12364.893372256425</v>
      </c>
      <c r="O142" s="42">
        <f t="shared" si="10"/>
        <v>649.57350320066905</v>
      </c>
      <c r="P142" s="42">
        <f t="shared" si="11"/>
        <v>43954.473697886999</v>
      </c>
      <c r="Q142" s="15">
        <f>COUNTIF(COMPOSICIÓN!$A:$A,A142)</f>
        <v>8</v>
      </c>
      <c r="R142" s="43" t="s">
        <v>2661</v>
      </c>
    </row>
    <row r="143" spans="1:18" ht="14.25" customHeight="1" x14ac:dyDescent="0.35">
      <c r="A143" s="38" t="s">
        <v>158</v>
      </c>
      <c r="B143" s="38"/>
      <c r="C143" s="38" t="s">
        <v>154</v>
      </c>
      <c r="D143" s="38" t="s">
        <v>157</v>
      </c>
      <c r="E143" s="38" t="s">
        <v>92</v>
      </c>
      <c r="F143" s="39">
        <v>1</v>
      </c>
      <c r="G143" s="40">
        <v>0</v>
      </c>
      <c r="H143" s="41">
        <v>0</v>
      </c>
      <c r="I143" s="14">
        <v>1</v>
      </c>
      <c r="J143" s="42">
        <f>SUMIFS(COMPOSICIÓN!J$2:J$1879,COMPOSICIÓN!A$2:A$1879,A143,COMPOSICIÓN!B$2:B$1879,"MAT")</f>
        <v>22041.277519379899</v>
      </c>
      <c r="K143" s="42">
        <f>SUMIFS(COMPOSICIÓN!J$2:J$1879,COMPOSICIÓN!A$2:A$1879,A143,COMPOSICIÓN!B$2:B$1879,"MO")*I143</f>
        <v>6588.4932897852095</v>
      </c>
      <c r="L143" s="42">
        <f>SUMIFS(COMPOSICIÓN!J$2:J$1879,COMPOSICIÓN!A$2:A$1879,A143,COMPOSICIÓN!B$2:B$1879,"EQ")</f>
        <v>429.44656213747601</v>
      </c>
      <c r="M143" s="42">
        <f t="shared" si="8"/>
        <v>22041.277519379899</v>
      </c>
      <c r="N143" s="42">
        <f t="shared" si="9"/>
        <v>6588.4932897852095</v>
      </c>
      <c r="O143" s="42">
        <f t="shared" si="10"/>
        <v>429.44656213747601</v>
      </c>
      <c r="P143" s="42">
        <f t="shared" si="11"/>
        <v>29059.217371302584</v>
      </c>
      <c r="Q143" s="15">
        <f>COUNTIF(COMPOSICIÓN!$A:$A,A143)</f>
        <v>12</v>
      </c>
      <c r="R143" s="43" t="s">
        <v>2661</v>
      </c>
    </row>
    <row r="144" spans="1:18" ht="14.25" customHeight="1" x14ac:dyDescent="0.35">
      <c r="A144" s="38" t="s">
        <v>160</v>
      </c>
      <c r="B144" s="38" t="s">
        <v>2492</v>
      </c>
      <c r="C144" s="38" t="s">
        <v>154</v>
      </c>
      <c r="D144" s="38" t="s">
        <v>2698</v>
      </c>
      <c r="E144" s="38" t="s">
        <v>92</v>
      </c>
      <c r="F144" s="39">
        <v>35</v>
      </c>
      <c r="G144" s="40">
        <v>0</v>
      </c>
      <c r="H144" s="41">
        <v>0</v>
      </c>
      <c r="I144" s="14">
        <v>1</v>
      </c>
      <c r="J144" s="42">
        <f>SUMIFS(COMPOSICIÓN!J$2:J$1879,COMPOSICIÓN!A$2:A$1879,A144,COMPOSICIÓN!B$2:B$1879,"MAT")</f>
        <v>6968.0306291446268</v>
      </c>
      <c r="K144" s="42">
        <f>SUMIFS(COMPOSICIÓN!J$2:J$1879,COMPOSICIÓN!A$2:A$1879,A144,COMPOSICIÓN!B$2:B$1879,"MO")*I144</f>
        <v>354435.93664286</v>
      </c>
      <c r="L144" s="42">
        <f>SUMIFS(COMPOSICIÓN!J$2:J$1879,COMPOSICIÓN!A$2:A$1879,A144,COMPOSICIÓN!B$2:B$1879,"EQ")</f>
        <v>4201.6421373967005</v>
      </c>
      <c r="M144" s="42">
        <f t="shared" si="8"/>
        <v>6968.0306291446268</v>
      </c>
      <c r="N144" s="42">
        <f t="shared" si="9"/>
        <v>10126.741046938858</v>
      </c>
      <c r="O144" s="42">
        <f t="shared" si="10"/>
        <v>120.0469182113343</v>
      </c>
      <c r="P144" s="42">
        <f t="shared" si="11"/>
        <v>17214.818594294818</v>
      </c>
      <c r="Q144" s="15">
        <f>COUNTIF(COMPOSICIÓN!$A:$A,A144)</f>
        <v>8</v>
      </c>
      <c r="R144" s="43" t="s">
        <v>2699</v>
      </c>
    </row>
    <row r="145" spans="1:18" ht="14.25" customHeight="1" x14ac:dyDescent="0.35">
      <c r="A145" s="38" t="s">
        <v>162</v>
      </c>
      <c r="B145" s="38"/>
      <c r="C145" s="38" t="s">
        <v>154</v>
      </c>
      <c r="D145" s="38" t="s">
        <v>161</v>
      </c>
      <c r="E145" s="38" t="s">
        <v>92</v>
      </c>
      <c r="F145" s="39">
        <v>1</v>
      </c>
      <c r="G145" s="40">
        <v>0</v>
      </c>
      <c r="H145" s="41">
        <v>0</v>
      </c>
      <c r="I145" s="14">
        <v>1</v>
      </c>
      <c r="J145" s="42">
        <f>SUMIFS(COMPOSICIÓN!J$2:J$1879,COMPOSICIÓN!A$2:A$1879,A145,COMPOSICIÓN!B$2:B$1879,"MAT")</f>
        <v>24469.45</v>
      </c>
      <c r="K145" s="42">
        <f>SUMIFS(COMPOSICIÓN!J$2:J$1879,COMPOSICIÓN!A$2:A$1879,A145,COMPOSICIÓN!B$2:B$1879,"MO")*I145</f>
        <v>5362.3939312257598</v>
      </c>
      <c r="L145" s="42">
        <f>SUMIFS(COMPOSICIÓN!J$2:J$1879,COMPOSICIÓN!A$2:A$1879,A145,COMPOSICIÓN!B$2:B$1879,"EQ")</f>
        <v>447.47765896838598</v>
      </c>
      <c r="M145" s="42">
        <f t="shared" si="8"/>
        <v>24469.45</v>
      </c>
      <c r="N145" s="42">
        <f t="shared" si="9"/>
        <v>5362.3939312257598</v>
      </c>
      <c r="O145" s="42">
        <f t="shared" si="10"/>
        <v>447.47765896838598</v>
      </c>
      <c r="P145" s="42">
        <f t="shared" si="11"/>
        <v>30279.321590194148</v>
      </c>
      <c r="Q145" s="15">
        <f>COUNTIF(COMPOSICIÓN!$A:$A,A145)</f>
        <v>9</v>
      </c>
      <c r="R145" s="43" t="s">
        <v>2661</v>
      </c>
    </row>
    <row r="146" spans="1:18" ht="14.25" customHeight="1" x14ac:dyDescent="0.35">
      <c r="A146" s="38" t="s">
        <v>164</v>
      </c>
      <c r="B146" s="38"/>
      <c r="C146" s="38" t="s">
        <v>154</v>
      </c>
      <c r="D146" s="38" t="s">
        <v>163</v>
      </c>
      <c r="E146" s="38" t="s">
        <v>92</v>
      </c>
      <c r="F146" s="39">
        <v>1</v>
      </c>
      <c r="G146" s="40">
        <v>0</v>
      </c>
      <c r="H146" s="41">
        <v>0</v>
      </c>
      <c r="I146" s="14">
        <v>1</v>
      </c>
      <c r="J146" s="42">
        <f>SUMIFS(COMPOSICIÓN!J$2:J$1879,COMPOSICIÓN!A$2:A$1879,A146,COMPOSICIÓN!B$2:B$1879,"MAT")</f>
        <v>8233.9594805194884</v>
      </c>
      <c r="K146" s="42">
        <f>SUMIFS(COMPOSICIÓN!J$2:J$1879,COMPOSICIÓN!A$2:A$1879,A146,COMPOSICIÓN!B$2:B$1879,"MO")*I146</f>
        <v>15063.226619458404</v>
      </c>
      <c r="L146" s="42">
        <f>SUMIFS(COMPOSICIÓN!J$2:J$1879,COMPOSICIÓN!A$2:A$1879,A146,COMPOSICIÓN!B$2:B$1879,"EQ")</f>
        <v>349.45779149966802</v>
      </c>
      <c r="M146" s="42">
        <f t="shared" si="8"/>
        <v>8233.9594805194884</v>
      </c>
      <c r="N146" s="42">
        <f t="shared" si="9"/>
        <v>15063.226619458404</v>
      </c>
      <c r="O146" s="42">
        <f t="shared" si="10"/>
        <v>349.45779149966802</v>
      </c>
      <c r="P146" s="42">
        <f t="shared" si="11"/>
        <v>23646.643891477564</v>
      </c>
      <c r="Q146" s="15">
        <f>COUNTIF(COMPOSICIÓN!$A:$A,A146)</f>
        <v>6</v>
      </c>
      <c r="R146" s="43" t="s">
        <v>2661</v>
      </c>
    </row>
    <row r="147" spans="1:18" ht="14.25" customHeight="1" x14ac:dyDescent="0.35">
      <c r="A147" s="38" t="s">
        <v>166</v>
      </c>
      <c r="B147" s="38"/>
      <c r="C147" s="38" t="s">
        <v>154</v>
      </c>
      <c r="D147" s="38" t="s">
        <v>165</v>
      </c>
      <c r="E147" s="38" t="s">
        <v>92</v>
      </c>
      <c r="F147" s="39">
        <v>1</v>
      </c>
      <c r="G147" s="40">
        <v>0</v>
      </c>
      <c r="H147" s="41">
        <v>0</v>
      </c>
      <c r="I147" s="14">
        <v>1</v>
      </c>
      <c r="J147" s="42">
        <f>SUMIFS(COMPOSICIÓN!J$2:J$1879,COMPOSICIÓN!A$2:A$1879,A147,COMPOSICIÓN!B$2:B$1879,"MAT")</f>
        <v>7390.7910271569644</v>
      </c>
      <c r="K147" s="42">
        <f>SUMIFS(COMPOSICIÓN!J$2:J$1879,COMPOSICIÓN!A$2:A$1879,A147,COMPOSICIÓN!B$2:B$1879,"MO")*I147</f>
        <v>7159.2550900334618</v>
      </c>
      <c r="L147" s="42">
        <f>SUMIFS(COMPOSICIÓN!J$2:J$1879,COMPOSICIÓN!A$2:A$1879,A147,COMPOSICIÓN!B$2:B$1879,"EQ")</f>
        <v>218.25069175782201</v>
      </c>
      <c r="M147" s="42">
        <f t="shared" si="8"/>
        <v>7390.7910271569644</v>
      </c>
      <c r="N147" s="42">
        <f t="shared" si="9"/>
        <v>7159.2550900334618</v>
      </c>
      <c r="O147" s="42">
        <f t="shared" si="10"/>
        <v>218.25069175782201</v>
      </c>
      <c r="P147" s="42">
        <f t="shared" si="11"/>
        <v>14768.296808948247</v>
      </c>
      <c r="Q147" s="15">
        <f>COUNTIF(COMPOSICIÓN!$A:$A,A147)</f>
        <v>6</v>
      </c>
      <c r="R147" s="43" t="s">
        <v>2661</v>
      </c>
    </row>
    <row r="148" spans="1:18" ht="14.25" customHeight="1" x14ac:dyDescent="0.35">
      <c r="A148" s="38" t="s">
        <v>2700</v>
      </c>
      <c r="B148" s="38" t="s">
        <v>2650</v>
      </c>
      <c r="C148" s="38" t="s">
        <v>154</v>
      </c>
      <c r="D148" s="38" t="s">
        <v>167</v>
      </c>
      <c r="E148" s="38" t="s">
        <v>92</v>
      </c>
      <c r="F148" s="39">
        <v>14.5</v>
      </c>
      <c r="G148" s="40">
        <v>0</v>
      </c>
      <c r="H148" s="41">
        <v>0</v>
      </c>
      <c r="I148" s="14">
        <v>1</v>
      </c>
      <c r="J148" s="42">
        <f>SUMIFS(COMPOSICIÓN!J$2:J$1879,COMPOSICIÓN!A$2:A$1879,A148,COMPOSICIÓN!B$2:B$1879,"MAT")</f>
        <v>2717.5178580000002</v>
      </c>
      <c r="K148" s="42">
        <f>SUMIFS(COMPOSICIÓN!J$2:J$1879,COMPOSICIÓN!A$2:A$1879,A148,COMPOSICIÓN!B$2:B$1879,"MO")*I148</f>
        <v>113314.3585060294</v>
      </c>
      <c r="L148" s="42">
        <f>SUMIFS(COMPOSICIÓN!J$2:J$1879,COMPOSICIÓN!A$2:A$1879,A148,COMPOSICIÓN!B$2:B$1879,"EQ")</f>
        <v>3244.3889412467529</v>
      </c>
      <c r="M148" s="42">
        <f t="shared" si="8"/>
        <v>2717.5178580000002</v>
      </c>
      <c r="N148" s="42">
        <f t="shared" si="9"/>
        <v>7814.783345243407</v>
      </c>
      <c r="O148" s="42">
        <f t="shared" si="10"/>
        <v>223.7509614652933</v>
      </c>
      <c r="P148" s="42">
        <f t="shared" si="11"/>
        <v>10756.052164708701</v>
      </c>
      <c r="Q148" s="15">
        <f>COUNTIF(COMPOSICIÓN!$A:$A,A148)</f>
        <v>7</v>
      </c>
      <c r="R148" s="43" t="s">
        <v>2701</v>
      </c>
    </row>
    <row r="149" spans="1:18" ht="14.25" customHeight="1" x14ac:dyDescent="0.35">
      <c r="A149" s="38" t="s">
        <v>2702</v>
      </c>
      <c r="B149" s="38" t="s">
        <v>2650</v>
      </c>
      <c r="C149" s="38" t="s">
        <v>154</v>
      </c>
      <c r="D149" s="38" t="s">
        <v>169</v>
      </c>
      <c r="E149" s="38" t="s">
        <v>92</v>
      </c>
      <c r="F149" s="39">
        <v>14.5</v>
      </c>
      <c r="G149" s="40">
        <v>0</v>
      </c>
      <c r="H149" s="41">
        <v>0</v>
      </c>
      <c r="I149" s="14">
        <v>1</v>
      </c>
      <c r="J149" s="42">
        <f>SUMIFS(COMPOSICIÓN!J$2:J$1879,COMPOSICIÓN!A$2:A$1879,A149,COMPOSICIÓN!B$2:B$1879,"MAT")</f>
        <v>2717.5178580000002</v>
      </c>
      <c r="K149" s="42">
        <f>SUMIFS(COMPOSICIÓN!J$2:J$1879,COMPOSICIÓN!A$2:A$1879,A149,COMPOSICIÓN!B$2:B$1879,"MO")*I149</f>
        <v>113314.3585060294</v>
      </c>
      <c r="L149" s="42">
        <f>SUMIFS(COMPOSICIÓN!J$2:J$1879,COMPOSICIÓN!A$2:A$1879,A149,COMPOSICIÓN!B$2:B$1879,"EQ")</f>
        <v>3244.3889412467529</v>
      </c>
      <c r="M149" s="42">
        <f t="shared" si="8"/>
        <v>2717.5178580000002</v>
      </c>
      <c r="N149" s="42">
        <f t="shared" si="9"/>
        <v>7814.783345243407</v>
      </c>
      <c r="O149" s="42">
        <f t="shared" si="10"/>
        <v>223.7509614652933</v>
      </c>
      <c r="P149" s="42">
        <f t="shared" si="11"/>
        <v>10756.052164708701</v>
      </c>
      <c r="Q149" s="15">
        <f>COUNTIF(COMPOSICIÓN!$A:$A,A149)</f>
        <v>7</v>
      </c>
      <c r="R149" s="43" t="s">
        <v>2701</v>
      </c>
    </row>
    <row r="150" spans="1:18" ht="14.25" customHeight="1" x14ac:dyDescent="0.35">
      <c r="A150" s="38" t="s">
        <v>172</v>
      </c>
      <c r="B150" s="38"/>
      <c r="C150" s="38" t="s">
        <v>170</v>
      </c>
      <c r="D150" s="38" t="s">
        <v>171</v>
      </c>
      <c r="E150" s="38" t="s">
        <v>24</v>
      </c>
      <c r="F150" s="39">
        <v>1</v>
      </c>
      <c r="G150" s="40">
        <v>0</v>
      </c>
      <c r="H150" s="41">
        <v>0</v>
      </c>
      <c r="I150" s="14">
        <v>1</v>
      </c>
      <c r="J150" s="42">
        <f>SUMIFS(COMPOSICIÓN!J$2:J$1879,COMPOSICIÓN!A$2:A$1879,A150,COMPOSICIÓN!B$2:B$1879,"MAT")</f>
        <v>181154.98207619999</v>
      </c>
      <c r="K150" s="42">
        <f>SUMIFS(COMPOSICIÓN!J$2:J$1879,COMPOSICIÓN!A$2:A$1879,A150,COMPOSICIÓN!B$2:B$1879,"MO")*I150</f>
        <v>1378156.6048314399</v>
      </c>
      <c r="L150" s="42">
        <f>SUMIFS(COMPOSICIÓN!J$2:J$1879,COMPOSICIÓN!A$2:A$1879,A150,COMPOSICIÓN!B$2:B$1879,"EQ")</f>
        <v>23389.673803614602</v>
      </c>
      <c r="M150" s="42">
        <f t="shared" si="8"/>
        <v>181154.98207619999</v>
      </c>
      <c r="N150" s="42">
        <f t="shared" si="9"/>
        <v>1378156.6048314399</v>
      </c>
      <c r="O150" s="42">
        <f t="shared" si="10"/>
        <v>23389.673803614602</v>
      </c>
      <c r="P150" s="42">
        <f t="shared" si="11"/>
        <v>1582701.2607112546</v>
      </c>
      <c r="Q150" s="15">
        <f>COUNTIF(COMPOSICIÓN!$A:$A,A150)</f>
        <v>4</v>
      </c>
      <c r="R150" s="43" t="s">
        <v>2661</v>
      </c>
    </row>
    <row r="151" spans="1:18" ht="14.25" customHeight="1" x14ac:dyDescent="0.35">
      <c r="A151" s="38" t="s">
        <v>174</v>
      </c>
      <c r="B151" s="38"/>
      <c r="C151" s="38" t="s">
        <v>170</v>
      </c>
      <c r="D151" s="38" t="s">
        <v>2703</v>
      </c>
      <c r="E151" s="38" t="s">
        <v>151</v>
      </c>
      <c r="F151" s="39">
        <v>1</v>
      </c>
      <c r="G151" s="40">
        <v>0</v>
      </c>
      <c r="H151" s="41">
        <v>0</v>
      </c>
      <c r="I151" s="14">
        <v>1</v>
      </c>
      <c r="J151" s="42">
        <f>SUMIFS(COMPOSICIÓN!J$2:J$1879,COMPOSICIÓN!A$2:A$1879,A151,COMPOSICIÓN!B$2:B$1879,"MAT")</f>
        <v>2592.9773492500799</v>
      </c>
      <c r="K151" s="42">
        <f>SUMIFS(COMPOSICIÓN!J$2:J$1879,COMPOSICIÓN!A$2:A$1879,A151,COMPOSICIÓN!B$2:B$1879,"MO")*I151</f>
        <v>18121.935547301757</v>
      </c>
      <c r="L151" s="42">
        <f>SUMIFS(COMPOSICIÓN!J$2:J$1879,COMPOSICIÓN!A$2:A$1879,A151,COMPOSICIÓN!B$2:B$1879,"EQ")</f>
        <v>310.723693448277</v>
      </c>
      <c r="M151" s="42">
        <f t="shared" si="8"/>
        <v>2592.9773492500799</v>
      </c>
      <c r="N151" s="42">
        <f t="shared" si="9"/>
        <v>18121.935547301757</v>
      </c>
      <c r="O151" s="42">
        <f t="shared" si="10"/>
        <v>310.723693448277</v>
      </c>
      <c r="P151" s="42">
        <f t="shared" si="11"/>
        <v>21025.636590000111</v>
      </c>
      <c r="Q151" s="15">
        <f>COUNTIF(COMPOSICIÓN!$A:$A,A151)</f>
        <v>6</v>
      </c>
      <c r="R151" s="43" t="s">
        <v>2661</v>
      </c>
    </row>
    <row r="152" spans="1:18" ht="14.25" customHeight="1" x14ac:dyDescent="0.35">
      <c r="A152" s="38" t="s">
        <v>176</v>
      </c>
      <c r="B152" s="38"/>
      <c r="C152" s="38" t="s">
        <v>170</v>
      </c>
      <c r="D152" s="38" t="s">
        <v>175</v>
      </c>
      <c r="E152" s="38" t="s">
        <v>28</v>
      </c>
      <c r="F152" s="39">
        <v>1</v>
      </c>
      <c r="G152" s="40">
        <v>0</v>
      </c>
      <c r="H152" s="41">
        <v>0</v>
      </c>
      <c r="I152" s="14">
        <v>1</v>
      </c>
      <c r="J152" s="42">
        <f>SUMIFS(COMPOSICIÓN!J$2:J$1879,COMPOSICIÓN!A$2:A$1879,A152,COMPOSICIÓN!B$2:B$1879,"MAT")</f>
        <v>609.94943460000002</v>
      </c>
      <c r="K152" s="42">
        <f>SUMIFS(COMPOSICIÓN!J$2:J$1879,COMPOSICIÓN!A$2:A$1879,A152,COMPOSICIÓN!B$2:B$1879,"MO")*I152</f>
        <v>7003.3937018385614</v>
      </c>
      <c r="L152" s="42">
        <f>SUMIFS(COMPOSICIÓN!J$2:J$1879,COMPOSICIÓN!A$2:A$1879,A152,COMPOSICIÓN!B$2:B$1879,"EQ")</f>
        <v>114.200147046578</v>
      </c>
      <c r="M152" s="42">
        <f t="shared" si="8"/>
        <v>609.94943460000002</v>
      </c>
      <c r="N152" s="42">
        <f t="shared" si="9"/>
        <v>7003.3937018385614</v>
      </c>
      <c r="O152" s="42">
        <f t="shared" si="10"/>
        <v>114.200147046578</v>
      </c>
      <c r="P152" s="42">
        <f t="shared" si="11"/>
        <v>7727.5432834851399</v>
      </c>
      <c r="Q152" s="15">
        <f>COUNTIF(COMPOSICIÓN!$A:$A,A152)</f>
        <v>4</v>
      </c>
      <c r="R152" s="43" t="s">
        <v>2661</v>
      </c>
    </row>
    <row r="153" spans="1:18" ht="14.25" customHeight="1" x14ac:dyDescent="0.35">
      <c r="A153" s="38" t="s">
        <v>178</v>
      </c>
      <c r="B153" s="38"/>
      <c r="C153" s="38" t="s">
        <v>3032</v>
      </c>
      <c r="D153" s="38" t="s">
        <v>177</v>
      </c>
      <c r="E153" s="38" t="s">
        <v>24</v>
      </c>
      <c r="F153" s="39">
        <v>1</v>
      </c>
      <c r="G153" s="40">
        <v>0</v>
      </c>
      <c r="H153" s="41">
        <v>0</v>
      </c>
      <c r="I153" s="14">
        <v>1</v>
      </c>
      <c r="J153" s="42">
        <f>SUMIFS(COMPOSICIÓN!J$2:J$1879,COMPOSICIÓN!A$2:A$1879,A153,COMPOSICIÓN!B$2:B$1879,"MAT")</f>
        <v>200000</v>
      </c>
      <c r="K153" s="42">
        <f>SUMIFS(COMPOSICIÓN!J$2:J$1879,COMPOSICIÓN!A$2:A$1879,A153,COMPOSICIÓN!B$2:B$1879,"MO")*I153</f>
        <v>1163573.8754485799</v>
      </c>
      <c r="L153" s="42">
        <f>SUMIFS(COMPOSICIÓN!J$2:J$1879,COMPOSICIÓN!A$2:A$1879,A153,COMPOSICIÓN!B$2:B$1879,"EQ")</f>
        <v>20453.608131728699</v>
      </c>
      <c r="M153" s="42">
        <f t="shared" si="8"/>
        <v>200000</v>
      </c>
      <c r="N153" s="42">
        <f t="shared" si="9"/>
        <v>1163573.8754485799</v>
      </c>
      <c r="O153" s="42">
        <f t="shared" si="10"/>
        <v>20453.608131728699</v>
      </c>
      <c r="P153" s="42">
        <f t="shared" si="11"/>
        <v>1384027.4835803085</v>
      </c>
      <c r="Q153" s="15">
        <f>COUNTIF(COMPOSICIÓN!$A:$A,A153)</f>
        <v>4</v>
      </c>
      <c r="R153" s="43" t="s">
        <v>2661</v>
      </c>
    </row>
    <row r="154" spans="1:18" ht="14.25" customHeight="1" x14ac:dyDescent="0.35">
      <c r="A154" s="38" t="s">
        <v>180</v>
      </c>
      <c r="B154" s="38"/>
      <c r="C154" s="38" t="s">
        <v>3032</v>
      </c>
      <c r="D154" s="38" t="s">
        <v>179</v>
      </c>
      <c r="E154" s="38" t="s">
        <v>24</v>
      </c>
      <c r="F154" s="39">
        <v>1</v>
      </c>
      <c r="G154" s="40">
        <v>0</v>
      </c>
      <c r="H154" s="41">
        <v>0</v>
      </c>
      <c r="I154" s="14">
        <v>1</v>
      </c>
      <c r="J154" s="42">
        <f>SUMIFS(COMPOSICIÓN!J$2:J$1879,COMPOSICIÓN!A$2:A$1879,A154,COMPOSICIÓN!B$2:B$1879,"MAT")</f>
        <v>200000</v>
      </c>
      <c r="K154" s="42">
        <f>SUMIFS(COMPOSICIÓN!J$2:J$1879,COMPOSICIÓN!A$2:A$1879,A154,COMPOSICIÓN!B$2:B$1879,"MO")*I154</f>
        <v>698144.32526914799</v>
      </c>
      <c r="L154" s="42">
        <f>SUMIFS(COMPOSICIÓN!J$2:J$1879,COMPOSICIÓN!A$2:A$1879,A154,COMPOSICIÓN!B$2:B$1879,"EQ")</f>
        <v>13472.1648790372</v>
      </c>
      <c r="M154" s="42">
        <f t="shared" si="8"/>
        <v>200000</v>
      </c>
      <c r="N154" s="42">
        <f t="shared" si="9"/>
        <v>698144.32526914799</v>
      </c>
      <c r="O154" s="42">
        <f t="shared" si="10"/>
        <v>13472.1648790372</v>
      </c>
      <c r="P154" s="42">
        <f t="shared" si="11"/>
        <v>911616.49014818517</v>
      </c>
      <c r="Q154" s="15">
        <f>COUNTIF(COMPOSICIÓN!$A:$A,A154)</f>
        <v>4</v>
      </c>
      <c r="R154" s="43" t="s">
        <v>2661</v>
      </c>
    </row>
    <row r="155" spans="1:18" ht="14.25" customHeight="1" x14ac:dyDescent="0.35">
      <c r="A155" s="38" t="s">
        <v>182</v>
      </c>
      <c r="B155" s="38"/>
      <c r="C155" s="38" t="s">
        <v>3032</v>
      </c>
      <c r="D155" s="38" t="s">
        <v>181</v>
      </c>
      <c r="E155" s="38" t="s">
        <v>24</v>
      </c>
      <c r="F155" s="39">
        <v>1</v>
      </c>
      <c r="G155" s="40">
        <v>0</v>
      </c>
      <c r="H155" s="41">
        <v>0</v>
      </c>
      <c r="I155" s="14">
        <v>1</v>
      </c>
      <c r="J155" s="42">
        <f>SUMIFS(COMPOSICIÓN!J$2:J$1879,COMPOSICIÓN!A$2:A$1879,A155,COMPOSICIÓN!B$2:B$1879,"MAT")</f>
        <v>50000</v>
      </c>
      <c r="K155" s="42">
        <f>SUMIFS(COMPOSICIÓN!J$2:J$1879,COMPOSICIÓN!A$2:A$1879,A155,COMPOSICIÓN!B$2:B$1879,"MO")*I155</f>
        <v>349072.16263457399</v>
      </c>
      <c r="L155" s="42">
        <f>SUMIFS(COMPOSICIÓN!J$2:J$1879,COMPOSICIÓN!A$2:A$1879,A155,COMPOSICIÓN!B$2:B$1879,"EQ")</f>
        <v>5986.08243951861</v>
      </c>
      <c r="M155" s="42">
        <f t="shared" si="8"/>
        <v>50000</v>
      </c>
      <c r="N155" s="42">
        <f t="shared" si="9"/>
        <v>349072.16263457399</v>
      </c>
      <c r="O155" s="42">
        <f t="shared" si="10"/>
        <v>5986.08243951861</v>
      </c>
      <c r="P155" s="42">
        <f t="shared" si="11"/>
        <v>405058.24507409259</v>
      </c>
      <c r="Q155" s="15">
        <f>COUNTIF(COMPOSICIÓN!$A:$A,A155)</f>
        <v>4</v>
      </c>
      <c r="R155" s="43" t="s">
        <v>2661</v>
      </c>
    </row>
    <row r="156" spans="1:18" ht="14.25" customHeight="1" x14ac:dyDescent="0.35">
      <c r="A156" s="38" t="s">
        <v>184</v>
      </c>
      <c r="B156" s="38"/>
      <c r="C156" s="38" t="s">
        <v>3032</v>
      </c>
      <c r="D156" s="38" t="s">
        <v>183</v>
      </c>
      <c r="E156" s="38" t="s">
        <v>53</v>
      </c>
      <c r="F156" s="39">
        <v>1</v>
      </c>
      <c r="G156" s="40">
        <v>0</v>
      </c>
      <c r="H156" s="41">
        <v>0</v>
      </c>
      <c r="I156" s="14">
        <v>1</v>
      </c>
      <c r="J156" s="42">
        <f>SUMIFS(COMPOSICIÓN!J$2:J$1879,COMPOSICIÓN!A$2:A$1879,A156,COMPOSICIÓN!B$2:B$1879,"MAT")</f>
        <v>20000</v>
      </c>
      <c r="K156" s="42">
        <f>SUMIFS(COMPOSICIÓN!J$2:J$1879,COMPOSICIÓN!A$2:A$1879,A156,COMPOSICIÓN!B$2:B$1879,"MO")*I156</f>
        <v>23271.477508971599</v>
      </c>
      <c r="L156" s="42">
        <f>SUMIFS(COMPOSICIÓN!J$2:J$1879,COMPOSICIÓN!A$2:A$1879,A156,COMPOSICIÓN!B$2:B$1879,"EQ")</f>
        <v>649.07216263457406</v>
      </c>
      <c r="M156" s="42">
        <f t="shared" si="8"/>
        <v>20000</v>
      </c>
      <c r="N156" s="42">
        <f t="shared" si="9"/>
        <v>23271.477508971599</v>
      </c>
      <c r="O156" s="42">
        <f t="shared" si="10"/>
        <v>649.07216263457406</v>
      </c>
      <c r="P156" s="42">
        <f t="shared" si="11"/>
        <v>43920.549671606175</v>
      </c>
      <c r="Q156" s="15">
        <f>COUNTIF(COMPOSICIÓN!$A:$A,A156)</f>
        <v>4</v>
      </c>
      <c r="R156" s="43" t="s">
        <v>2661</v>
      </c>
    </row>
    <row r="157" spans="1:18" ht="14.25" customHeight="1" x14ac:dyDescent="0.35">
      <c r="A157" s="38" t="s">
        <v>186</v>
      </c>
      <c r="B157" s="38"/>
      <c r="C157" s="38" t="s">
        <v>3030</v>
      </c>
      <c r="D157" s="38" t="s">
        <v>185</v>
      </c>
      <c r="E157" s="38" t="s">
        <v>92</v>
      </c>
      <c r="F157" s="39">
        <v>1</v>
      </c>
      <c r="G157" s="40">
        <v>0</v>
      </c>
      <c r="H157" s="41">
        <v>0</v>
      </c>
      <c r="I157" s="14">
        <v>1</v>
      </c>
      <c r="J157" s="42">
        <f>SUMIFS(COMPOSICIÓN!J$2:J$1879,COMPOSICIÓN!A$2:A$1879,A157,COMPOSICIÓN!B$2:B$1879,"MAT")</f>
        <v>0</v>
      </c>
      <c r="K157" s="42">
        <f>SUMIFS(COMPOSICIÓN!J$2:J$1879,COMPOSICIÓN!A$2:A$1879,A157,COMPOSICIÓN!B$2:B$1879,"MO")*I157</f>
        <v>0</v>
      </c>
      <c r="L157" s="42">
        <f>SUMIFS(COMPOSICIÓN!J$2:J$1879,COMPOSICIÓN!A$2:A$1879,A157,COMPOSICIÓN!B$2:B$1879,"EQ")</f>
        <v>0</v>
      </c>
      <c r="M157" s="42">
        <f t="shared" si="8"/>
        <v>0</v>
      </c>
      <c r="N157" s="42">
        <f t="shared" si="9"/>
        <v>0</v>
      </c>
      <c r="O157" s="42">
        <f t="shared" si="10"/>
        <v>0</v>
      </c>
      <c r="P157" s="42">
        <f t="shared" si="11"/>
        <v>0</v>
      </c>
      <c r="Q157" s="15">
        <f>COUNTIF(COMPOSICIÓN!$A:$A,A157)</f>
        <v>0</v>
      </c>
      <c r="R157" s="43" t="s">
        <v>2660</v>
      </c>
    </row>
    <row r="158" spans="1:18" ht="14.25" customHeight="1" x14ac:dyDescent="0.35">
      <c r="A158" s="38" t="s">
        <v>188</v>
      </c>
      <c r="B158" s="38" t="s">
        <v>2498</v>
      </c>
      <c r="C158" s="38" t="s">
        <v>3030</v>
      </c>
      <c r="D158" s="38" t="s">
        <v>187</v>
      </c>
      <c r="E158" s="38" t="s">
        <v>92</v>
      </c>
      <c r="F158" s="39">
        <v>11.5</v>
      </c>
      <c r="G158" s="40">
        <v>0</v>
      </c>
      <c r="H158" s="41">
        <v>0</v>
      </c>
      <c r="I158" s="14">
        <v>1</v>
      </c>
      <c r="J158" s="42">
        <f>SUMIFS(COMPOSICIÓN!J$2:J$1879,COMPOSICIÓN!A$2:A$1879,A158,COMPOSICIÓN!B$2:B$1879,"MAT")</f>
        <v>4066.3295639999997</v>
      </c>
      <c r="K158" s="42">
        <f>SUMIFS(COMPOSICIÓN!J$2:J$1879,COMPOSICIÓN!A$2:A$1879,A158,COMPOSICIÓN!B$2:B$1879,"MO")*I158</f>
        <v>116357.38754485799</v>
      </c>
      <c r="L158" s="42">
        <f>SUMIFS(COMPOSICIÓN!J$2:J$1879,COMPOSICIÓN!A$2:A$1879,A158,COMPOSICIÓN!B$2:B$1879,"EQ")</f>
        <v>3244.3889412467529</v>
      </c>
      <c r="M158" s="42">
        <f t="shared" si="8"/>
        <v>4066.3295639999997</v>
      </c>
      <c r="N158" s="42">
        <f t="shared" si="9"/>
        <v>10118.033699552869</v>
      </c>
      <c r="O158" s="42">
        <f t="shared" si="10"/>
        <v>282.12077749971763</v>
      </c>
      <c r="P158" s="42">
        <f t="shared" si="11"/>
        <v>14466.484041052587</v>
      </c>
      <c r="Q158" s="15">
        <f>COUNTIF(COMPOSICIÓN!$A:$A,A158)</f>
        <v>6</v>
      </c>
      <c r="R158" s="43" t="s">
        <v>2704</v>
      </c>
    </row>
    <row r="159" spans="1:18" ht="14.25" customHeight="1" x14ac:dyDescent="0.35">
      <c r="A159" s="38" t="s">
        <v>2705</v>
      </c>
      <c r="B159" s="38" t="s">
        <v>2516</v>
      </c>
      <c r="C159" s="38" t="s">
        <v>3030</v>
      </c>
      <c r="D159" s="38" t="s">
        <v>189</v>
      </c>
      <c r="E159" s="38" t="s">
        <v>92</v>
      </c>
      <c r="F159" s="39">
        <v>13</v>
      </c>
      <c r="G159" s="40">
        <v>0</v>
      </c>
      <c r="H159" s="41">
        <v>0</v>
      </c>
      <c r="I159" s="14">
        <v>1</v>
      </c>
      <c r="J159" s="42">
        <f>SUMIFS(COMPOSICIÓN!J$2:J$1879,COMPOSICIÓN!A$2:A$1879,A159,COMPOSICIÓN!B$2:B$1879,"MAT")</f>
        <v>3810.9030204793389</v>
      </c>
      <c r="K159" s="42">
        <f>SUMIFS(COMPOSICIÓN!J$2:J$1879,COMPOSICIÓN!A$2:A$1879,A159,COMPOSICIÓN!B$2:B$1879,"MO")*I159</f>
        <v>162882.17686314398</v>
      </c>
      <c r="L159" s="42">
        <f>SUMIFS(COMPOSICIÓN!J$2:J$1879,COMPOSICIÓN!A$2:A$1879,A159,COMPOSICIÓN!B$2:B$1879,"EQ")</f>
        <v>2935.5656880707356</v>
      </c>
      <c r="M159" s="42">
        <f t="shared" si="8"/>
        <v>3810.9030204793389</v>
      </c>
      <c r="N159" s="42">
        <f t="shared" si="9"/>
        <v>12529.398220241845</v>
      </c>
      <c r="O159" s="42">
        <f t="shared" si="10"/>
        <v>225.81274523621045</v>
      </c>
      <c r="P159" s="42">
        <f t="shared" si="11"/>
        <v>16566.113985957392</v>
      </c>
      <c r="Q159" s="15">
        <f>COUNTIF(COMPOSICIÓN!$A:$A,A159)</f>
        <v>8</v>
      </c>
      <c r="R159" s="43" t="s">
        <v>2706</v>
      </c>
    </row>
    <row r="160" spans="1:18" ht="14.25" customHeight="1" x14ac:dyDescent="0.35">
      <c r="A160" s="38" t="s">
        <v>192</v>
      </c>
      <c r="B160" s="38"/>
      <c r="C160" s="38" t="s">
        <v>3030</v>
      </c>
      <c r="D160" s="38" t="s">
        <v>191</v>
      </c>
      <c r="E160" s="38" t="s">
        <v>92</v>
      </c>
      <c r="F160" s="39">
        <v>1</v>
      </c>
      <c r="G160" s="40">
        <v>0</v>
      </c>
      <c r="H160" s="41">
        <v>0</v>
      </c>
      <c r="I160" s="14">
        <v>1</v>
      </c>
      <c r="J160" s="42">
        <f>SUMIFS(COMPOSICIÓN!J$2:J$1879,COMPOSICIÓN!A$2:A$1879,A160,COMPOSICIÓN!B$2:B$1879,"MAT")</f>
        <v>1303.4390229885068</v>
      </c>
      <c r="K160" s="42">
        <f>SUMIFS(COMPOSICIÓN!J$2:J$1879,COMPOSICIÓN!A$2:A$1879,A160,COMPOSICIÓN!B$2:B$1879,"MO")*I160</f>
        <v>12863.339870530473</v>
      </c>
      <c r="L160" s="42">
        <f>SUMIFS(COMPOSICIÓN!J$2:J$1879,COMPOSICIÓN!A$2:A$1879,A160,COMPOSICIÓN!B$2:B$1879,"EQ")</f>
        <v>212.50168340278501</v>
      </c>
      <c r="M160" s="42">
        <f t="shared" si="8"/>
        <v>1303.4390229885068</v>
      </c>
      <c r="N160" s="42">
        <f t="shared" si="9"/>
        <v>12863.339870530473</v>
      </c>
      <c r="O160" s="42">
        <f t="shared" si="10"/>
        <v>212.50168340278501</v>
      </c>
      <c r="P160" s="42">
        <f t="shared" si="11"/>
        <v>14379.280576921765</v>
      </c>
      <c r="Q160" s="15">
        <f>COUNTIF(COMPOSICIÓN!$A:$A,A160)</f>
        <v>7</v>
      </c>
      <c r="R160" s="43" t="s">
        <v>2661</v>
      </c>
    </row>
    <row r="161" spans="1:18" ht="14.25" customHeight="1" x14ac:dyDescent="0.35">
      <c r="A161" s="38" t="s">
        <v>2707</v>
      </c>
      <c r="B161" s="38"/>
      <c r="C161" s="38" t="s">
        <v>3030</v>
      </c>
      <c r="D161" s="38" t="s">
        <v>193</v>
      </c>
      <c r="E161" s="38" t="s">
        <v>92</v>
      </c>
      <c r="F161" s="39">
        <v>1</v>
      </c>
      <c r="G161" s="40">
        <v>0</v>
      </c>
      <c r="H161" s="41">
        <v>0</v>
      </c>
      <c r="I161" s="14">
        <v>1</v>
      </c>
      <c r="J161" s="42">
        <f>SUMIFS(COMPOSICIÓN!J$2:J$1879,COMPOSICIÓN!A$2:A$1879,A161,COMPOSICIÓN!B$2:B$1879,"MAT")</f>
        <v>1303.4390229885068</v>
      </c>
      <c r="K161" s="42">
        <f>SUMIFS(COMPOSICIÓN!J$2:J$1879,COMPOSICIÓN!A$2:A$1879,A161,COMPOSICIÓN!B$2:B$1879,"MO")*I161</f>
        <v>12863.339870530473</v>
      </c>
      <c r="L161" s="42">
        <f>SUMIFS(COMPOSICIÓN!J$2:J$1879,COMPOSICIÓN!A$2:A$1879,A161,COMPOSICIÓN!B$2:B$1879,"EQ")</f>
        <v>212.50168340278501</v>
      </c>
      <c r="M161" s="42">
        <f t="shared" si="8"/>
        <v>1303.4390229885068</v>
      </c>
      <c r="N161" s="42">
        <f t="shared" si="9"/>
        <v>12863.339870530473</v>
      </c>
      <c r="O161" s="42">
        <f t="shared" si="10"/>
        <v>212.50168340278501</v>
      </c>
      <c r="P161" s="42">
        <f t="shared" si="11"/>
        <v>14379.280576921765</v>
      </c>
      <c r="Q161" s="15">
        <f>COUNTIF(COMPOSICIÓN!$A:$A,A161)</f>
        <v>7</v>
      </c>
      <c r="R161" s="43" t="s">
        <v>2665</v>
      </c>
    </row>
    <row r="162" spans="1:18" ht="14.25" customHeight="1" x14ac:dyDescent="0.35">
      <c r="A162" s="38" t="s">
        <v>195</v>
      </c>
      <c r="B162" s="38"/>
      <c r="C162" s="38" t="s">
        <v>3030</v>
      </c>
      <c r="D162" s="38" t="s">
        <v>194</v>
      </c>
      <c r="E162" s="38" t="s">
        <v>92</v>
      </c>
      <c r="F162" s="39">
        <v>1</v>
      </c>
      <c r="G162" s="40">
        <v>0</v>
      </c>
      <c r="H162" s="41">
        <v>0</v>
      </c>
      <c r="I162" s="14">
        <v>1</v>
      </c>
      <c r="J162" s="42">
        <f>SUMIFS(COMPOSICIÓN!J$2:J$1879,COMPOSICIÓN!A$2:A$1879,A162,COMPOSICIÓN!B$2:B$1879,"MAT")</f>
        <v>2773.0080000000003</v>
      </c>
      <c r="K162" s="42">
        <f>SUMIFS(COMPOSICIÓN!J$2:J$1879,COMPOSICIÓN!A$2:A$1879,A162,COMPOSICIÓN!B$2:B$1879,"MO")*I162</f>
        <v>7607.5725970715002</v>
      </c>
      <c r="L162" s="42">
        <f>SUMIFS(COMPOSICIÓN!J$2:J$1879,COMPOSICIÓN!A$2:A$1879,A162,COMPOSICIÓN!B$2:B$1879,"EQ")</f>
        <v>155.708708956072</v>
      </c>
      <c r="M162" s="42">
        <f t="shared" si="8"/>
        <v>2773.0080000000003</v>
      </c>
      <c r="N162" s="42">
        <f t="shared" si="9"/>
        <v>7607.5725970715002</v>
      </c>
      <c r="O162" s="42">
        <f t="shared" si="10"/>
        <v>155.708708956072</v>
      </c>
      <c r="P162" s="42">
        <f t="shared" si="11"/>
        <v>10536.289306027573</v>
      </c>
      <c r="Q162" s="15">
        <f>COUNTIF(COMPOSICIÓN!$A:$A,A162)</f>
        <v>3</v>
      </c>
      <c r="R162" s="43" t="s">
        <v>2661</v>
      </c>
    </row>
    <row r="163" spans="1:18" ht="14.25" customHeight="1" x14ac:dyDescent="0.35">
      <c r="A163" s="38" t="s">
        <v>197</v>
      </c>
      <c r="B163" s="38"/>
      <c r="C163" s="38" t="s">
        <v>3030</v>
      </c>
      <c r="D163" s="38" t="s">
        <v>196</v>
      </c>
      <c r="E163" s="38" t="s">
        <v>92</v>
      </c>
      <c r="F163" s="39">
        <v>1</v>
      </c>
      <c r="G163" s="40">
        <v>0</v>
      </c>
      <c r="H163" s="41">
        <v>0</v>
      </c>
      <c r="I163" s="14">
        <v>1</v>
      </c>
      <c r="J163" s="42">
        <f>SUMIFS(COMPOSICIÓN!J$2:J$1879,COMPOSICIÓN!A$2:A$1879,A163,COMPOSICIÓN!B$2:B$1879,"MAT")</f>
        <v>7701.7948919999963</v>
      </c>
      <c r="K163" s="42">
        <f>SUMIFS(COMPOSICIÓN!J$2:J$1879,COMPOSICIÓN!A$2:A$1879,A163,COMPOSICIÓN!B$2:B$1879,"MO")*I163</f>
        <v>11983.970476795126</v>
      </c>
      <c r="L163" s="42">
        <f>SUMIFS(COMPOSICIÓN!J$2:J$1879,COMPOSICIÓN!A$2:A$1879,A163,COMPOSICIÓN!B$2:B$1879,"EQ")</f>
        <v>295.286480531927</v>
      </c>
      <c r="M163" s="42">
        <f t="shared" si="8"/>
        <v>7701.7948919999963</v>
      </c>
      <c r="N163" s="42">
        <f t="shared" si="9"/>
        <v>11983.970476795126</v>
      </c>
      <c r="O163" s="42">
        <f t="shared" si="10"/>
        <v>295.286480531927</v>
      </c>
      <c r="P163" s="42">
        <f t="shared" si="11"/>
        <v>19981.05184932705</v>
      </c>
      <c r="Q163" s="15">
        <f>COUNTIF(COMPOSICIÓN!$A:$A,A163)</f>
        <v>8</v>
      </c>
      <c r="R163" s="43" t="s">
        <v>2661</v>
      </c>
    </row>
    <row r="164" spans="1:18" ht="14.25" customHeight="1" x14ac:dyDescent="0.35">
      <c r="A164" s="38" t="s">
        <v>2708</v>
      </c>
      <c r="B164" s="38" t="s">
        <v>2516</v>
      </c>
      <c r="C164" s="38" t="s">
        <v>3030</v>
      </c>
      <c r="D164" s="38" t="s">
        <v>198</v>
      </c>
      <c r="E164" s="38" t="s">
        <v>92</v>
      </c>
      <c r="F164" s="39">
        <v>13</v>
      </c>
      <c r="G164" s="40">
        <v>0</v>
      </c>
      <c r="H164" s="41">
        <v>0</v>
      </c>
      <c r="I164" s="14">
        <v>1</v>
      </c>
      <c r="J164" s="42">
        <f>SUMIFS(COMPOSICIÓN!J$2:J$1879,COMPOSICIÓN!A$2:A$1879,A164,COMPOSICIÓN!B$2:B$1879,"MAT")</f>
        <v>3810.9030204793389</v>
      </c>
      <c r="K164" s="42">
        <f>SUMIFS(COMPOSICIÓN!J$2:J$1879,COMPOSICIÓN!A$2:A$1879,A164,COMPOSICIÓN!B$2:B$1879,"MO")*I164</f>
        <v>162882.17686314398</v>
      </c>
      <c r="L164" s="42">
        <f>SUMIFS(COMPOSICIÓN!J$2:J$1879,COMPOSICIÓN!A$2:A$1879,A164,COMPOSICIÓN!B$2:B$1879,"EQ")</f>
        <v>2935.5656880707356</v>
      </c>
      <c r="M164" s="42">
        <f t="shared" si="8"/>
        <v>3810.9030204793389</v>
      </c>
      <c r="N164" s="42">
        <f t="shared" si="9"/>
        <v>12529.398220241845</v>
      </c>
      <c r="O164" s="42">
        <f t="shared" si="10"/>
        <v>225.81274523621045</v>
      </c>
      <c r="P164" s="42">
        <f t="shared" si="11"/>
        <v>16566.113985957392</v>
      </c>
      <c r="Q164" s="15">
        <f>COUNTIF(COMPOSICIÓN!$A:$A,A164)</f>
        <v>8</v>
      </c>
      <c r="R164" s="43" t="s">
        <v>2706</v>
      </c>
    </row>
    <row r="165" spans="1:18" ht="14.25" customHeight="1" x14ac:dyDescent="0.35">
      <c r="A165" s="38" t="s">
        <v>2709</v>
      </c>
      <c r="B165" s="38" t="s">
        <v>2518</v>
      </c>
      <c r="C165" s="38" t="s">
        <v>3030</v>
      </c>
      <c r="D165" s="38" t="s">
        <v>199</v>
      </c>
      <c r="E165" s="38" t="s">
        <v>92</v>
      </c>
      <c r="F165" s="39">
        <v>10</v>
      </c>
      <c r="G165" s="40">
        <v>0</v>
      </c>
      <c r="H165" s="41">
        <v>0</v>
      </c>
      <c r="I165" s="14">
        <v>1</v>
      </c>
      <c r="J165" s="42">
        <f>SUMIFS(COMPOSICIÓN!J$2:J$1879,COMPOSICIÓN!A$2:A$1879,A165,COMPOSICIÓN!B$2:B$1879,"MAT")</f>
        <v>3810.9030204793389</v>
      </c>
      <c r="K165" s="42">
        <f>SUMIFS(COMPOSICIÓN!J$2:J$1879,COMPOSICIÓN!A$2:A$1879,A165,COMPOSICIÓN!B$2:B$1879,"MO")*I165</f>
        <v>162882.17686314398</v>
      </c>
      <c r="L165" s="42">
        <f>SUMIFS(COMPOSICIÓN!J$2:J$1879,COMPOSICIÓN!A$2:A$1879,A165,COMPOSICIÓN!B$2:B$1879,"EQ")</f>
        <v>2935.5656880707356</v>
      </c>
      <c r="M165" s="42">
        <f t="shared" si="8"/>
        <v>3810.9030204793389</v>
      </c>
      <c r="N165" s="42">
        <f t="shared" si="9"/>
        <v>16288.217686314398</v>
      </c>
      <c r="O165" s="42">
        <f t="shared" si="10"/>
        <v>293.55656880707357</v>
      </c>
      <c r="P165" s="42">
        <f t="shared" si="11"/>
        <v>20392.67727560081</v>
      </c>
      <c r="Q165" s="15">
        <f>COUNTIF(COMPOSICIÓN!$A:$A,A165)</f>
        <v>8</v>
      </c>
      <c r="R165" s="43" t="s">
        <v>2710</v>
      </c>
    </row>
    <row r="166" spans="1:18" ht="14.25" customHeight="1" x14ac:dyDescent="0.35">
      <c r="A166" s="38" t="s">
        <v>2711</v>
      </c>
      <c r="B166" s="38" t="s">
        <v>2516</v>
      </c>
      <c r="C166" s="38" t="s">
        <v>3030</v>
      </c>
      <c r="D166" s="38" t="s">
        <v>201</v>
      </c>
      <c r="E166" s="38" t="s">
        <v>92</v>
      </c>
      <c r="F166" s="39">
        <v>13</v>
      </c>
      <c r="G166" s="40">
        <v>0</v>
      </c>
      <c r="H166" s="41">
        <v>0</v>
      </c>
      <c r="I166" s="14">
        <v>1</v>
      </c>
      <c r="J166" s="42">
        <f>SUMIFS(COMPOSICIÓN!J$2:J$1879,COMPOSICIÓN!A$2:A$1879,A166,COMPOSICIÓN!B$2:B$1879,"MAT")</f>
        <v>3810.9030204793389</v>
      </c>
      <c r="K166" s="42">
        <f>SUMIFS(COMPOSICIÓN!J$2:J$1879,COMPOSICIÓN!A$2:A$1879,A166,COMPOSICIÓN!B$2:B$1879,"MO")*I166</f>
        <v>162882.17686314398</v>
      </c>
      <c r="L166" s="42">
        <f>SUMIFS(COMPOSICIÓN!J$2:J$1879,COMPOSICIÓN!A$2:A$1879,A166,COMPOSICIÓN!B$2:B$1879,"EQ")</f>
        <v>2935.5656880707356</v>
      </c>
      <c r="M166" s="42">
        <f t="shared" si="8"/>
        <v>3810.9030204793389</v>
      </c>
      <c r="N166" s="42">
        <f t="shared" si="9"/>
        <v>12529.398220241845</v>
      </c>
      <c r="O166" s="42">
        <f t="shared" si="10"/>
        <v>225.81274523621045</v>
      </c>
      <c r="P166" s="42">
        <f t="shared" si="11"/>
        <v>16566.113985957392</v>
      </c>
      <c r="Q166" s="15">
        <f>COUNTIF(COMPOSICIÓN!$A:$A,A166)</f>
        <v>8</v>
      </c>
      <c r="R166" s="43" t="s">
        <v>2706</v>
      </c>
    </row>
    <row r="167" spans="1:18" ht="14.25" customHeight="1" x14ac:dyDescent="0.35">
      <c r="A167" s="38" t="s">
        <v>2712</v>
      </c>
      <c r="B167" s="38" t="s">
        <v>2516</v>
      </c>
      <c r="C167" s="38" t="s">
        <v>3030</v>
      </c>
      <c r="D167" s="38" t="s">
        <v>202</v>
      </c>
      <c r="E167" s="38" t="s">
        <v>92</v>
      </c>
      <c r="F167" s="39">
        <v>13</v>
      </c>
      <c r="G167" s="40">
        <v>0</v>
      </c>
      <c r="H167" s="41">
        <v>0</v>
      </c>
      <c r="I167" s="14">
        <v>1</v>
      </c>
      <c r="J167" s="42">
        <f>SUMIFS(COMPOSICIÓN!J$2:J$1879,COMPOSICIÓN!A$2:A$1879,A167,COMPOSICIÓN!B$2:B$1879,"MAT")</f>
        <v>3810.9030204793389</v>
      </c>
      <c r="K167" s="42">
        <f>SUMIFS(COMPOSICIÓN!J$2:J$1879,COMPOSICIÓN!A$2:A$1879,A167,COMPOSICIÓN!B$2:B$1879,"MO")*I167</f>
        <v>162882.17686314398</v>
      </c>
      <c r="L167" s="42">
        <f>SUMIFS(COMPOSICIÓN!J$2:J$1879,COMPOSICIÓN!A$2:A$1879,A167,COMPOSICIÓN!B$2:B$1879,"EQ")</f>
        <v>2935.5656880707356</v>
      </c>
      <c r="M167" s="42">
        <f t="shared" si="8"/>
        <v>3810.9030204793389</v>
      </c>
      <c r="N167" s="42">
        <f t="shared" si="9"/>
        <v>12529.398220241845</v>
      </c>
      <c r="O167" s="42">
        <f t="shared" si="10"/>
        <v>225.81274523621045</v>
      </c>
      <c r="P167" s="42">
        <f t="shared" si="11"/>
        <v>16566.113985957392</v>
      </c>
      <c r="Q167" s="15">
        <f>COUNTIF(COMPOSICIÓN!$A:$A,A167)</f>
        <v>8</v>
      </c>
      <c r="R167" s="43" t="s">
        <v>2706</v>
      </c>
    </row>
    <row r="168" spans="1:18" ht="14.25" customHeight="1" x14ac:dyDescent="0.35">
      <c r="A168" s="38" t="s">
        <v>204</v>
      </c>
      <c r="B168" s="38" t="s">
        <v>2475</v>
      </c>
      <c r="C168" s="38" t="s">
        <v>3036</v>
      </c>
      <c r="D168" s="38" t="s">
        <v>203</v>
      </c>
      <c r="E168" s="38" t="s">
        <v>28</v>
      </c>
      <c r="F168" s="39">
        <v>28</v>
      </c>
      <c r="G168" s="40">
        <v>0</v>
      </c>
      <c r="H168" s="41">
        <v>0</v>
      </c>
      <c r="I168" s="14">
        <v>1</v>
      </c>
      <c r="J168" s="42">
        <f>SUMIFS(COMPOSICIÓN!J$2:J$1879,COMPOSICIÓN!A$2:A$1879,A168,COMPOSICIÓN!B$2:B$1879,"MAT")</f>
        <v>809.61503399999992</v>
      </c>
      <c r="K168" s="42">
        <f>SUMIFS(COMPOSICIÓN!J$2:J$1879,COMPOSICIÓN!A$2:A$1879,A168,COMPOSICIÓN!B$2:B$1879,"MO")*I168</f>
        <v>110271.32946720079</v>
      </c>
      <c r="L168" s="42">
        <f>SUMIFS(COMPOSICIÓN!J$2:J$1879,COMPOSICIÓN!A$2:A$1879,A168,COMPOSICIÓN!B$2:B$1879,"EQ")</f>
        <v>3529.9786867371336</v>
      </c>
      <c r="M168" s="42">
        <f t="shared" si="8"/>
        <v>809.61503399999992</v>
      </c>
      <c r="N168" s="42">
        <f t="shared" si="9"/>
        <v>3938.2617666857427</v>
      </c>
      <c r="O168" s="42">
        <f t="shared" si="10"/>
        <v>126.07066738346906</v>
      </c>
      <c r="P168" s="42">
        <f t="shared" si="11"/>
        <v>4873.9474680692119</v>
      </c>
      <c r="Q168" s="15">
        <f>COUNTIF(COMPOSICIÓN!$A:$A,A168)</f>
        <v>8</v>
      </c>
      <c r="R168" s="43" t="s">
        <v>2685</v>
      </c>
    </row>
    <row r="169" spans="1:18" ht="14.25" customHeight="1" x14ac:dyDescent="0.35">
      <c r="A169" s="38" t="s">
        <v>206</v>
      </c>
      <c r="B169" s="38"/>
      <c r="C169" s="38" t="s">
        <v>3036</v>
      </c>
      <c r="D169" s="38" t="s">
        <v>205</v>
      </c>
      <c r="E169" s="38" t="s">
        <v>28</v>
      </c>
      <c r="F169" s="39">
        <v>1</v>
      </c>
      <c r="G169" s="40">
        <v>0</v>
      </c>
      <c r="H169" s="41">
        <v>0</v>
      </c>
      <c r="I169" s="14">
        <v>1</v>
      </c>
      <c r="J169" s="42">
        <f>SUMIFS(COMPOSICIÓN!J$2:J$1879,COMPOSICIÓN!A$2:A$1879,A169,COMPOSICIÓN!B$2:B$1879,"MAT")</f>
        <v>7090.9090909091001</v>
      </c>
      <c r="K169" s="42">
        <f>SUMIFS(COMPOSICIÓN!J$2:J$1879,COMPOSICIÓN!A$2:A$1879,A169,COMPOSICIÓN!B$2:B$1879,"MO")*I169</f>
        <v>3196.217368004588</v>
      </c>
      <c r="L169" s="42">
        <f>SUMIFS(COMPOSICIÓN!J$2:J$1879,COMPOSICIÓN!A$2:A$1879,A169,COMPOSICIÓN!B$2:B$1879,"EQ")</f>
        <v>100.443260520069</v>
      </c>
      <c r="M169" s="42">
        <f t="shared" si="8"/>
        <v>7090.9090909091001</v>
      </c>
      <c r="N169" s="42">
        <f t="shared" si="9"/>
        <v>3196.217368004588</v>
      </c>
      <c r="O169" s="42">
        <f t="shared" si="10"/>
        <v>100.443260520069</v>
      </c>
      <c r="P169" s="42">
        <f t="shared" si="11"/>
        <v>10387.569719433757</v>
      </c>
      <c r="Q169" s="15">
        <f>COUNTIF(COMPOSICIÓN!$A:$A,A169)</f>
        <v>4</v>
      </c>
      <c r="R169" s="43" t="s">
        <v>2661</v>
      </c>
    </row>
    <row r="170" spans="1:18" ht="14.25" customHeight="1" x14ac:dyDescent="0.35">
      <c r="A170" s="38" t="s">
        <v>2713</v>
      </c>
      <c r="B170" s="38" t="s">
        <v>2520</v>
      </c>
      <c r="C170" s="38" t="s">
        <v>3036</v>
      </c>
      <c r="D170" s="38" t="s">
        <v>208</v>
      </c>
      <c r="E170" s="38" t="s">
        <v>28</v>
      </c>
      <c r="F170" s="39">
        <v>30</v>
      </c>
      <c r="G170" s="40">
        <v>0</v>
      </c>
      <c r="H170" s="41">
        <v>0</v>
      </c>
      <c r="I170" s="14">
        <v>1</v>
      </c>
      <c r="J170" s="42">
        <f>SUMIFS(COMPOSICIÓN!J$2:J$1879,COMPOSICIÓN!A$2:A$1879,A170,COMPOSICIÓN!B$2:B$1879,"MAT")</f>
        <v>397.26412800000003</v>
      </c>
      <c r="K170" s="42">
        <f>SUMIFS(COMPOSICIÓN!J$2:J$1879,COMPOSICIÓN!A$2:A$1879,A170,COMPOSICIÓN!B$2:B$1879,"MO")*I170</f>
        <v>162882.17686314398</v>
      </c>
      <c r="L170" s="42">
        <f>SUMIFS(COMPOSICIÓN!J$2:J$1879,COMPOSICIÓN!A$2:A$1879,A170,COMPOSICIÓN!B$2:B$1879,"EQ")</f>
        <v>2935.5656880707356</v>
      </c>
      <c r="M170" s="42">
        <f t="shared" si="8"/>
        <v>397.26412800000003</v>
      </c>
      <c r="N170" s="42">
        <f t="shared" si="9"/>
        <v>5429.4058954381326</v>
      </c>
      <c r="O170" s="42">
        <f t="shared" si="10"/>
        <v>97.852189602357853</v>
      </c>
      <c r="P170" s="42">
        <f t="shared" si="11"/>
        <v>5924.52221304049</v>
      </c>
      <c r="Q170" s="15">
        <f>COUNTIF(COMPOSICIÓN!$A:$A,A170)</f>
        <v>7</v>
      </c>
      <c r="R170" s="43" t="s">
        <v>2714</v>
      </c>
    </row>
    <row r="171" spans="1:18" ht="14.25" customHeight="1" x14ac:dyDescent="0.35">
      <c r="A171" s="38" t="s">
        <v>2715</v>
      </c>
      <c r="B171" s="38" t="s">
        <v>2518</v>
      </c>
      <c r="C171" s="38" t="s">
        <v>3031</v>
      </c>
      <c r="D171" s="38" t="s">
        <v>210</v>
      </c>
      <c r="E171" s="38" t="s">
        <v>92</v>
      </c>
      <c r="F171" s="39">
        <v>10</v>
      </c>
      <c r="G171" s="40">
        <v>0</v>
      </c>
      <c r="H171" s="41">
        <v>0</v>
      </c>
      <c r="I171" s="14">
        <v>1</v>
      </c>
      <c r="J171" s="42">
        <f>SUMIFS(COMPOSICIÓN!J$2:J$1879,COMPOSICIÓN!A$2:A$1879,A171,COMPOSICIÓN!B$2:B$1879,"MAT")</f>
        <v>3810.9030204793389</v>
      </c>
      <c r="K171" s="42">
        <f>SUMIFS(COMPOSICIÓN!J$2:J$1879,COMPOSICIÓN!A$2:A$1879,A171,COMPOSICIÓN!B$2:B$1879,"MO")*I171</f>
        <v>162882.17686314398</v>
      </c>
      <c r="L171" s="42">
        <f>SUMIFS(COMPOSICIÓN!J$2:J$1879,COMPOSICIÓN!A$2:A$1879,A171,COMPOSICIÓN!B$2:B$1879,"EQ")</f>
        <v>2935.5656880707356</v>
      </c>
      <c r="M171" s="42">
        <f t="shared" si="8"/>
        <v>3810.9030204793389</v>
      </c>
      <c r="N171" s="42">
        <f t="shared" si="9"/>
        <v>16288.217686314398</v>
      </c>
      <c r="O171" s="42">
        <f t="shared" si="10"/>
        <v>293.55656880707357</v>
      </c>
      <c r="P171" s="42">
        <f t="shared" si="11"/>
        <v>20392.67727560081</v>
      </c>
      <c r="Q171" s="15">
        <f>COUNTIF(COMPOSICIÓN!$A:$A,A171)</f>
        <v>8</v>
      </c>
      <c r="R171" s="43" t="s">
        <v>2710</v>
      </c>
    </row>
    <row r="172" spans="1:18" ht="14.25" customHeight="1" x14ac:dyDescent="0.35">
      <c r="A172" s="38" t="s">
        <v>2716</v>
      </c>
      <c r="B172" s="38" t="s">
        <v>2518</v>
      </c>
      <c r="C172" s="38" t="s">
        <v>3031</v>
      </c>
      <c r="D172" s="38" t="s">
        <v>211</v>
      </c>
      <c r="E172" s="38" t="s">
        <v>92</v>
      </c>
      <c r="F172" s="39">
        <v>10</v>
      </c>
      <c r="G172" s="40">
        <v>0</v>
      </c>
      <c r="H172" s="41">
        <v>0</v>
      </c>
      <c r="I172" s="14">
        <v>1</v>
      </c>
      <c r="J172" s="42">
        <f>SUMIFS(COMPOSICIÓN!J$2:J$1879,COMPOSICIÓN!A$2:A$1879,A172,COMPOSICIÓN!B$2:B$1879,"MAT")</f>
        <v>3810.9030204793389</v>
      </c>
      <c r="K172" s="42">
        <f>SUMIFS(COMPOSICIÓN!J$2:J$1879,COMPOSICIÓN!A$2:A$1879,A172,COMPOSICIÓN!B$2:B$1879,"MO")*I172</f>
        <v>162882.17686314398</v>
      </c>
      <c r="L172" s="42">
        <f>SUMIFS(COMPOSICIÓN!J$2:J$1879,COMPOSICIÓN!A$2:A$1879,A172,COMPOSICIÓN!B$2:B$1879,"EQ")</f>
        <v>2935.5656880707356</v>
      </c>
      <c r="M172" s="42">
        <f t="shared" si="8"/>
        <v>3810.9030204793389</v>
      </c>
      <c r="N172" s="42">
        <f t="shared" si="9"/>
        <v>16288.217686314398</v>
      </c>
      <c r="O172" s="42">
        <f t="shared" si="10"/>
        <v>293.55656880707357</v>
      </c>
      <c r="P172" s="42">
        <f t="shared" si="11"/>
        <v>20392.67727560081</v>
      </c>
      <c r="Q172" s="15">
        <f>COUNTIF(COMPOSICIÓN!$A:$A,A172)</f>
        <v>8</v>
      </c>
      <c r="R172" s="43" t="s">
        <v>2710</v>
      </c>
    </row>
    <row r="173" spans="1:18" ht="14.25" customHeight="1" x14ac:dyDescent="0.35">
      <c r="A173" s="38" t="s">
        <v>213</v>
      </c>
      <c r="B173" s="38"/>
      <c r="C173" s="38" t="s">
        <v>3031</v>
      </c>
      <c r="D173" s="38" t="s">
        <v>212</v>
      </c>
      <c r="E173" s="38" t="s">
        <v>92</v>
      </c>
      <c r="F173" s="39">
        <v>1</v>
      </c>
      <c r="G173" s="40">
        <v>0</v>
      </c>
      <c r="H173" s="41">
        <v>0</v>
      </c>
      <c r="I173" s="14">
        <v>1</v>
      </c>
      <c r="J173" s="42">
        <f>SUMIFS(COMPOSICIÓN!J$2:J$1879,COMPOSICIÓN!A$2:A$1879,A173,COMPOSICIÓN!B$2:B$1879,"MAT")</f>
        <v>36508.296000000002</v>
      </c>
      <c r="K173" s="42">
        <f>SUMIFS(COMPOSICIÓN!J$2:J$1879,COMPOSICIÓN!A$2:A$1879,A173,COMPOSICIÓN!B$2:B$1879,"MO")*I173</f>
        <v>32215.611028457399</v>
      </c>
      <c r="L173" s="42">
        <f>SUMIFS(COMPOSICIÓN!J$2:J$1879,COMPOSICIÓN!A$2:A$1879,A173,COMPOSICIÓN!B$2:B$1879,"EQ")</f>
        <v>1030.8586054268601</v>
      </c>
      <c r="M173" s="42">
        <f t="shared" si="8"/>
        <v>36508.296000000002</v>
      </c>
      <c r="N173" s="42">
        <f t="shared" si="9"/>
        <v>32215.611028457399</v>
      </c>
      <c r="O173" s="42">
        <f t="shared" si="10"/>
        <v>1030.8586054268601</v>
      </c>
      <c r="P173" s="42">
        <f t="shared" si="11"/>
        <v>69754.765633884264</v>
      </c>
      <c r="Q173" s="15">
        <f>COUNTIF(COMPOSICIÓN!$A:$A,A173)</f>
        <v>5</v>
      </c>
      <c r="R173" s="43" t="s">
        <v>2661</v>
      </c>
    </row>
    <row r="174" spans="1:18" ht="14.25" customHeight="1" x14ac:dyDescent="0.35">
      <c r="A174" s="38" t="s">
        <v>215</v>
      </c>
      <c r="B174" s="38"/>
      <c r="C174" s="38" t="s">
        <v>3031</v>
      </c>
      <c r="D174" s="38" t="s">
        <v>214</v>
      </c>
      <c r="E174" s="38" t="s">
        <v>92</v>
      </c>
      <c r="F174" s="39">
        <v>1</v>
      </c>
      <c r="G174" s="40">
        <v>0</v>
      </c>
      <c r="H174" s="41">
        <v>0</v>
      </c>
      <c r="I174" s="14">
        <v>1</v>
      </c>
      <c r="J174" s="42">
        <f>SUMIFS(COMPOSICIÓN!J$2:J$1879,COMPOSICIÓN!A$2:A$1879,A174,COMPOSICIÓN!B$2:B$1879,"MAT")</f>
        <v>0</v>
      </c>
      <c r="K174" s="42">
        <f>SUMIFS(COMPOSICIÓN!J$2:J$1879,COMPOSICIÓN!A$2:A$1879,A174,COMPOSICIÓN!B$2:B$1879,"MO")*I174</f>
        <v>0</v>
      </c>
      <c r="L174" s="42">
        <f>SUMIFS(COMPOSICIÓN!J$2:J$1879,COMPOSICIÓN!A$2:A$1879,A174,COMPOSICIÓN!B$2:B$1879,"EQ")</f>
        <v>0</v>
      </c>
      <c r="M174" s="42">
        <f t="shared" si="8"/>
        <v>0</v>
      </c>
      <c r="N174" s="42">
        <f t="shared" si="9"/>
        <v>0</v>
      </c>
      <c r="O174" s="42">
        <f t="shared" si="10"/>
        <v>0</v>
      </c>
      <c r="P174" s="42">
        <f t="shared" si="11"/>
        <v>0</v>
      </c>
      <c r="Q174" s="15">
        <f>COUNTIF(COMPOSICIÓN!$A:$A,A174)</f>
        <v>0</v>
      </c>
      <c r="R174" s="43" t="s">
        <v>2660</v>
      </c>
    </row>
    <row r="175" spans="1:18" ht="14.25" customHeight="1" x14ac:dyDescent="0.35">
      <c r="A175" s="38" t="s">
        <v>217</v>
      </c>
      <c r="B175" s="38"/>
      <c r="C175" s="38" t="s">
        <v>3026</v>
      </c>
      <c r="D175" s="38" t="s">
        <v>216</v>
      </c>
      <c r="E175" s="38" t="s">
        <v>92</v>
      </c>
      <c r="F175" s="39">
        <v>1</v>
      </c>
      <c r="G175" s="40">
        <v>0</v>
      </c>
      <c r="H175" s="41">
        <v>0</v>
      </c>
      <c r="I175" s="14">
        <v>1</v>
      </c>
      <c r="J175" s="42">
        <f>SUMIFS(COMPOSICIÓN!J$2:J$1879,COMPOSICIÓN!A$2:A$1879,A175,COMPOSICIÓN!B$2:B$1879,"MAT")</f>
        <v>5812.2328695652177</v>
      </c>
      <c r="K175" s="42">
        <f>SUMIFS(COMPOSICIÓN!J$2:J$1879,COMPOSICIÓN!A$2:A$1879,A175,COMPOSICIÓN!B$2:B$1879,"MO")*I175</f>
        <v>11651.218312086001</v>
      </c>
      <c r="L175" s="42">
        <f>SUMIFS(COMPOSICIÓN!J$2:J$1879,COMPOSICIÓN!A$2:A$1879,A175,COMPOSICIÓN!B$2:B$1879,"EQ")</f>
        <v>261.95176772476799</v>
      </c>
      <c r="M175" s="42">
        <f t="shared" si="8"/>
        <v>5812.2328695652177</v>
      </c>
      <c r="N175" s="42">
        <f t="shared" si="9"/>
        <v>11651.218312086001</v>
      </c>
      <c r="O175" s="42">
        <f t="shared" si="10"/>
        <v>261.95176772476799</v>
      </c>
      <c r="P175" s="42">
        <f t="shared" si="11"/>
        <v>17725.402949375984</v>
      </c>
      <c r="Q175" s="15">
        <f>COUNTIF(COMPOSICIÓN!$A:$A,A175)</f>
        <v>4</v>
      </c>
      <c r="R175" s="43" t="s">
        <v>2661</v>
      </c>
    </row>
    <row r="176" spans="1:18" ht="14.25" customHeight="1" x14ac:dyDescent="0.35">
      <c r="A176" s="38" t="s">
        <v>219</v>
      </c>
      <c r="B176" s="38"/>
      <c r="C176" s="38" t="s">
        <v>3026</v>
      </c>
      <c r="D176" s="38" t="s">
        <v>218</v>
      </c>
      <c r="E176" s="38" t="s">
        <v>28</v>
      </c>
      <c r="F176" s="39">
        <v>1</v>
      </c>
      <c r="G176" s="40">
        <v>0</v>
      </c>
      <c r="H176" s="41">
        <v>0</v>
      </c>
      <c r="I176" s="14">
        <v>1</v>
      </c>
      <c r="J176" s="42">
        <f>SUMIFS(COMPOSICIÓN!J$2:J$1879,COMPOSICIÓN!A$2:A$1879,A176,COMPOSICIÓN!B$2:B$1879,"MAT")</f>
        <v>0</v>
      </c>
      <c r="K176" s="42">
        <f>SUMIFS(COMPOSICIÓN!J$2:J$1879,COMPOSICIÓN!A$2:A$1879,A176,COMPOSICIÓN!B$2:B$1879,"MO")*I176</f>
        <v>12499.4731571067</v>
      </c>
      <c r="L176" s="42">
        <f>SUMIFS(COMPOSICIÓN!J$2:J$1879,COMPOSICIÓN!A$2:A$1879,A176,COMPOSICIÓN!B$2:B$1879,"EQ")</f>
        <v>0</v>
      </c>
      <c r="M176" s="42">
        <f t="shared" si="8"/>
        <v>0</v>
      </c>
      <c r="N176" s="42">
        <f t="shared" si="9"/>
        <v>12499.4731571067</v>
      </c>
      <c r="O176" s="42">
        <f t="shared" si="10"/>
        <v>0</v>
      </c>
      <c r="P176" s="42">
        <f t="shared" si="11"/>
        <v>12499.4731571067</v>
      </c>
      <c r="Q176" s="15">
        <f>COUNTIF(COMPOSICIÓN!$A:$A,A176)</f>
        <v>1</v>
      </c>
      <c r="R176" s="43" t="s">
        <v>2670</v>
      </c>
    </row>
    <row r="177" spans="1:18" ht="14.25" customHeight="1" x14ac:dyDescent="0.35">
      <c r="A177" s="38" t="s">
        <v>221</v>
      </c>
      <c r="B177" s="38" t="s">
        <v>2526</v>
      </c>
      <c r="C177" s="38" t="s">
        <v>3026</v>
      </c>
      <c r="D177" s="38" t="s">
        <v>220</v>
      </c>
      <c r="E177" s="38" t="s">
        <v>92</v>
      </c>
      <c r="F177" s="39">
        <v>9.5</v>
      </c>
      <c r="G177" s="40">
        <v>0</v>
      </c>
      <c r="H177" s="41">
        <v>0</v>
      </c>
      <c r="I177" s="14">
        <v>1</v>
      </c>
      <c r="J177" s="42">
        <f>SUMIFS(COMPOSICIÓN!J$2:J$1879,COMPOSICIÓN!A$2:A$1879,A177,COMPOSICIÓN!B$2:B$1879,"MAT")</f>
        <v>10671.936802390734</v>
      </c>
      <c r="K177" s="42">
        <f>SUMIFS(COMPOSICIÓN!J$2:J$1879,COMPOSICIÓN!A$2:A$1879,A177,COMPOSICIÓN!B$2:B$1879,"MO")*I177</f>
        <v>151420.168793144</v>
      </c>
      <c r="L177" s="42">
        <f>SUMIFS(COMPOSICIÓN!J$2:J$1879,COMPOSICIÓN!A$2:A$1879,A177,COMPOSICIÓN!B$2:B$1879,"EQ")</f>
        <v>2505.4362411742591</v>
      </c>
      <c r="M177" s="42">
        <f t="shared" si="8"/>
        <v>10671.936802390734</v>
      </c>
      <c r="N177" s="42">
        <f t="shared" si="9"/>
        <v>15938.965136120421</v>
      </c>
      <c r="O177" s="42">
        <f t="shared" si="10"/>
        <v>263.73013064992199</v>
      </c>
      <c r="P177" s="42">
        <f t="shared" si="11"/>
        <v>26874.632069161074</v>
      </c>
      <c r="Q177" s="15">
        <f>COUNTIF(COMPOSICIÓN!$A:$A,A177)</f>
        <v>12</v>
      </c>
      <c r="R177" s="43" t="s">
        <v>2717</v>
      </c>
    </row>
    <row r="178" spans="1:18" ht="14.25" customHeight="1" x14ac:dyDescent="0.35">
      <c r="A178" s="38" t="s">
        <v>223</v>
      </c>
      <c r="B178" s="38" t="s">
        <v>2529</v>
      </c>
      <c r="C178" s="38" t="s">
        <v>3026</v>
      </c>
      <c r="D178" s="38" t="s">
        <v>222</v>
      </c>
      <c r="E178" s="38" t="s">
        <v>92</v>
      </c>
      <c r="F178" s="39">
        <v>9.5</v>
      </c>
      <c r="G178" s="40">
        <v>0</v>
      </c>
      <c r="H178" s="41">
        <v>0</v>
      </c>
      <c r="I178" s="14">
        <v>1</v>
      </c>
      <c r="J178" s="42">
        <f>SUMIFS(COMPOSICIÓN!J$2:J$1879,COMPOSICIÓN!A$2:A$1879,A178,COMPOSICIÓN!B$2:B$1879,"MAT")</f>
        <v>14660.054765467656</v>
      </c>
      <c r="K178" s="42">
        <f>SUMIFS(COMPOSICIÓN!J$2:J$1879,COMPOSICIÓN!A$2:A$1879,A178,COMPOSICIÓN!B$2:B$1879,"MO")*I178</f>
        <v>151420.168793144</v>
      </c>
      <c r="L178" s="42">
        <f>SUMIFS(COMPOSICIÓN!J$2:J$1879,COMPOSICIÓN!A$2:A$1879,A178,COMPOSICIÓN!B$2:B$1879,"EQ")</f>
        <v>2505.4362411742591</v>
      </c>
      <c r="M178" s="42">
        <f t="shared" si="8"/>
        <v>14660.054765467656</v>
      </c>
      <c r="N178" s="42">
        <f t="shared" si="9"/>
        <v>15938.965136120421</v>
      </c>
      <c r="O178" s="42">
        <f t="shared" si="10"/>
        <v>263.73013064992199</v>
      </c>
      <c r="P178" s="42">
        <f t="shared" si="11"/>
        <v>30862.750032238</v>
      </c>
      <c r="Q178" s="15">
        <f>COUNTIF(COMPOSICIÓN!$A:$A,A178)</f>
        <v>12</v>
      </c>
      <c r="R178" s="43" t="s">
        <v>2718</v>
      </c>
    </row>
    <row r="179" spans="1:18" ht="14.25" customHeight="1" x14ac:dyDescent="0.35">
      <c r="A179" s="38" t="s">
        <v>225</v>
      </c>
      <c r="B179" s="38" t="s">
        <v>2719</v>
      </c>
      <c r="C179" s="38" t="s">
        <v>3026</v>
      </c>
      <c r="D179" s="38" t="s">
        <v>224</v>
      </c>
      <c r="E179" s="38" t="s">
        <v>28</v>
      </c>
      <c r="F179" s="39">
        <v>15</v>
      </c>
      <c r="G179" s="40">
        <v>0</v>
      </c>
      <c r="H179" s="41">
        <v>0</v>
      </c>
      <c r="I179" s="14">
        <v>1</v>
      </c>
      <c r="J179" s="42">
        <f>SUMIFS(COMPOSICIÓN!J$2:J$1879,COMPOSICIÓN!A$2:A$1879,A179,COMPOSICIÓN!B$2:B$1879,"MAT")</f>
        <v>1062.8718108264466</v>
      </c>
      <c r="K179" s="42">
        <f>SUMIFS(COMPOSICIÓN!J$2:J$1879,COMPOSICIÓN!A$2:A$1879,A179,COMPOSICIÓN!B$2:B$1879,"MO")*I179</f>
        <v>85927.097156571996</v>
      </c>
      <c r="L179" s="42">
        <f>SUMIFS(COMPOSICIÓN!J$2:J$1879,COMPOSICIÓN!A$2:A$1879,A179,COMPOSICIÓN!B$2:B$1879,"EQ")</f>
        <v>2505.4362411742591</v>
      </c>
      <c r="M179" s="42">
        <f t="shared" si="8"/>
        <v>1062.8718108264466</v>
      </c>
      <c r="N179" s="42">
        <f t="shared" si="9"/>
        <v>5728.4731437714663</v>
      </c>
      <c r="O179" s="42">
        <f t="shared" si="10"/>
        <v>167.02908274495061</v>
      </c>
      <c r="P179" s="42">
        <f t="shared" si="11"/>
        <v>6958.3740373428636</v>
      </c>
      <c r="Q179" s="15">
        <f>COUNTIF(COMPOSICIÓN!$A:$A,A179)</f>
        <v>5</v>
      </c>
      <c r="R179" s="43" t="s">
        <v>2720</v>
      </c>
    </row>
    <row r="180" spans="1:18" ht="14.25" customHeight="1" x14ac:dyDescent="0.35">
      <c r="A180" s="38" t="s">
        <v>2721</v>
      </c>
      <c r="B180" s="38" t="s">
        <v>2719</v>
      </c>
      <c r="C180" s="38" t="s">
        <v>3026</v>
      </c>
      <c r="D180" s="38" t="s">
        <v>2722</v>
      </c>
      <c r="E180" s="38" t="s">
        <v>28</v>
      </c>
      <c r="F180" s="39">
        <v>15</v>
      </c>
      <c r="G180" s="40">
        <v>0</v>
      </c>
      <c r="H180" s="41">
        <v>0</v>
      </c>
      <c r="I180" s="14">
        <v>1</v>
      </c>
      <c r="J180" s="42">
        <f>SUMIFS(COMPOSICIÓN!J$2:J$1879,COMPOSICIÓN!A$2:A$1879,A180,COMPOSICIÓN!B$2:B$1879,"MAT")</f>
        <v>0</v>
      </c>
      <c r="K180" s="42">
        <f>SUMIFS(COMPOSICIÓN!J$2:J$1879,COMPOSICIÓN!A$2:A$1879,A180,COMPOSICIÓN!B$2:B$1879,"MO")*I180</f>
        <v>0</v>
      </c>
      <c r="L180" s="42">
        <f>SUMIFS(COMPOSICIÓN!J$2:J$1879,COMPOSICIÓN!A$2:A$1879,A180,COMPOSICIÓN!B$2:B$1879,"EQ")</f>
        <v>167.02908274495101</v>
      </c>
      <c r="M180" s="42">
        <f t="shared" si="8"/>
        <v>0</v>
      </c>
      <c r="N180" s="42">
        <f t="shared" si="9"/>
        <v>0</v>
      </c>
      <c r="O180" s="42">
        <f t="shared" si="10"/>
        <v>11.135272182996735</v>
      </c>
      <c r="P180" s="42">
        <f t="shared" si="11"/>
        <v>11.135272182996735</v>
      </c>
      <c r="Q180" s="15">
        <f>COUNTIF(COMPOSICIÓN!$A:$A,A180)</f>
        <v>1</v>
      </c>
      <c r="R180" s="43" t="s">
        <v>2720</v>
      </c>
    </row>
    <row r="181" spans="1:18" ht="14.25" customHeight="1" x14ac:dyDescent="0.35">
      <c r="A181" s="38" t="s">
        <v>228</v>
      </c>
      <c r="B181" s="38"/>
      <c r="C181" s="38" t="s">
        <v>3026</v>
      </c>
      <c r="D181" s="38" t="s">
        <v>227</v>
      </c>
      <c r="E181" s="38" t="s">
        <v>92</v>
      </c>
      <c r="F181" s="39">
        <v>1</v>
      </c>
      <c r="G181" s="40">
        <v>0</v>
      </c>
      <c r="H181" s="41">
        <v>0</v>
      </c>
      <c r="I181" s="14">
        <v>1</v>
      </c>
      <c r="J181" s="42">
        <f>SUMIFS(COMPOSICIÓN!J$2:J$1879,COMPOSICIÓN!A$2:A$1879,A181,COMPOSICIÓN!B$2:B$1879,"MAT")</f>
        <v>1066.0980810234539</v>
      </c>
      <c r="K181" s="42">
        <f>SUMIFS(COMPOSICIÓN!J$2:J$1879,COMPOSICIÓN!A$2:A$1879,A181,COMPOSICIÓN!B$2:B$1879,"MO")*I181</f>
        <v>2877.8543317977687</v>
      </c>
      <c r="L181" s="42">
        <f>SUMIFS(COMPOSICIÓN!J$2:J$1879,COMPOSICIÓN!A$2:A$1879,A181,COMPOSICIÓN!B$2:B$1879,"EQ")</f>
        <v>59.159286192318298</v>
      </c>
      <c r="M181" s="42">
        <f t="shared" si="8"/>
        <v>1066.0980810234539</v>
      </c>
      <c r="N181" s="42">
        <f t="shared" si="9"/>
        <v>2877.8543317977687</v>
      </c>
      <c r="O181" s="42">
        <f t="shared" si="10"/>
        <v>59.159286192318298</v>
      </c>
      <c r="P181" s="42">
        <f t="shared" si="11"/>
        <v>4003.1116990135406</v>
      </c>
      <c r="Q181" s="15">
        <f>COUNTIF(COMPOSICIÓN!$A:$A,A181)</f>
        <v>5</v>
      </c>
      <c r="R181" s="43" t="s">
        <v>2661</v>
      </c>
    </row>
    <row r="182" spans="1:18" ht="14.25" customHeight="1" x14ac:dyDescent="0.35">
      <c r="A182" s="38" t="s">
        <v>2723</v>
      </c>
      <c r="B182" s="38"/>
      <c r="C182" s="38" t="s">
        <v>229</v>
      </c>
      <c r="D182" s="38" t="s">
        <v>231</v>
      </c>
      <c r="E182" s="38" t="s">
        <v>92</v>
      </c>
      <c r="F182" s="39">
        <v>1</v>
      </c>
      <c r="G182" s="40">
        <v>0</v>
      </c>
      <c r="H182" s="41">
        <v>0</v>
      </c>
      <c r="I182" s="14">
        <v>1</v>
      </c>
      <c r="J182" s="42">
        <f>SUMIFS(COMPOSICIÓN!J$2:J$1879,COMPOSICIÓN!A$2:A$1879,A182,COMPOSICIÓN!B$2:B$1879,"MAT")</f>
        <v>1824.926273</v>
      </c>
      <c r="K182" s="42">
        <f>SUMIFS(COMPOSICIÓN!J$2:J$1879,COMPOSICIÓN!A$2:A$1879,A182,COMPOSICIÓN!B$2:B$1879,"MO")*I182</f>
        <v>14504.129532884899</v>
      </c>
      <c r="L182" s="42">
        <f>SUMIFS(COMPOSICIÓN!J$2:J$1879,COMPOSICIÓN!A$2:A$1879,A182,COMPOSICIÓN!B$2:B$1879,"EQ")</f>
        <v>234.442307493812</v>
      </c>
      <c r="M182" s="42">
        <f t="shared" si="8"/>
        <v>1824.926273</v>
      </c>
      <c r="N182" s="42">
        <f t="shared" si="9"/>
        <v>14504.129532884899</v>
      </c>
      <c r="O182" s="42">
        <f t="shared" si="10"/>
        <v>234.442307493812</v>
      </c>
      <c r="P182" s="42">
        <f t="shared" si="11"/>
        <v>16563.498113378711</v>
      </c>
      <c r="Q182" s="15">
        <f>COUNTIF(COMPOSICIÓN!$A:$A,A182)</f>
        <v>3</v>
      </c>
      <c r="R182" s="43" t="s">
        <v>2724</v>
      </c>
    </row>
    <row r="183" spans="1:18" ht="14.25" customHeight="1" x14ac:dyDescent="0.35">
      <c r="A183" s="38" t="s">
        <v>2725</v>
      </c>
      <c r="B183" s="38" t="s">
        <v>2652</v>
      </c>
      <c r="C183" s="38" t="s">
        <v>229</v>
      </c>
      <c r="D183" s="38" t="s">
        <v>233</v>
      </c>
      <c r="E183" s="38" t="s">
        <v>92</v>
      </c>
      <c r="F183" s="39">
        <v>20</v>
      </c>
      <c r="G183" s="40">
        <v>0</v>
      </c>
      <c r="H183" s="41">
        <v>0</v>
      </c>
      <c r="I183" s="14">
        <v>1</v>
      </c>
      <c r="J183" s="42">
        <f>SUMIFS(COMPOSICIÓN!J$2:J$1879,COMPOSICIÓN!A$2:A$1879,A183,COMPOSICIÓN!B$2:B$1879,"MAT")</f>
        <v>2272.0787045000002</v>
      </c>
      <c r="K183" s="42">
        <f>SUMIFS(COMPOSICIÓN!J$2:J$1879,COMPOSICIÓN!A$2:A$1879,A183,COMPOSICIÓN!B$2:B$1879,"MO")*I183</f>
        <v>85927.097156571996</v>
      </c>
      <c r="L183" s="42">
        <f>SUMIFS(COMPOSICIÓN!J$2:J$1879,COMPOSICIÓN!A$2:A$1879,A183,COMPOSICIÓN!B$2:B$1879,"EQ")</f>
        <v>1923.8790390194536</v>
      </c>
      <c r="M183" s="42">
        <f t="shared" si="8"/>
        <v>2272.0787045000002</v>
      </c>
      <c r="N183" s="42">
        <f t="shared" si="9"/>
        <v>4296.3548578286</v>
      </c>
      <c r="O183" s="42">
        <f t="shared" si="10"/>
        <v>96.193951950972675</v>
      </c>
      <c r="P183" s="42">
        <f t="shared" si="11"/>
        <v>6664.627514279573</v>
      </c>
      <c r="Q183" s="15">
        <f>COUNTIF(COMPOSICIÓN!$A:$A,A183)</f>
        <v>13</v>
      </c>
      <c r="R183" s="43" t="s">
        <v>2726</v>
      </c>
    </row>
    <row r="184" spans="1:18" ht="14.25" customHeight="1" x14ac:dyDescent="0.35">
      <c r="A184" s="38" t="s">
        <v>236</v>
      </c>
      <c r="B184" s="38" t="s">
        <v>2501</v>
      </c>
      <c r="C184" s="38" t="s">
        <v>229</v>
      </c>
      <c r="D184" s="38" t="s">
        <v>235</v>
      </c>
      <c r="E184" s="38" t="s">
        <v>92</v>
      </c>
      <c r="F184" s="39">
        <v>22</v>
      </c>
      <c r="G184" s="40">
        <v>0</v>
      </c>
      <c r="H184" s="41">
        <v>0</v>
      </c>
      <c r="I184" s="14">
        <v>1</v>
      </c>
      <c r="J184" s="42">
        <f>SUMIFS(COMPOSICIÓN!J$2:J$1879,COMPOSICIÓN!A$2:A$1879,A184,COMPOSICIÓN!B$2:B$1879,"MAT")</f>
        <v>2923.7665455000001</v>
      </c>
      <c r="K184" s="42">
        <f>SUMIFS(COMPOSICIÓN!J$2:J$1879,COMPOSICIÓN!A$2:A$1879,A184,COMPOSICIÓN!B$2:B$1879,"MO")*I184</f>
        <v>167793.436702287</v>
      </c>
      <c r="L184" s="42">
        <f>SUMIFS(COMPOSICIÓN!J$2:J$1879,COMPOSICIÓN!A$2:A$1879,A184,COMPOSICIÓN!B$2:B$1879,"EQ")</f>
        <v>3847.7580780389071</v>
      </c>
      <c r="M184" s="42">
        <f t="shared" si="8"/>
        <v>2923.7665455000001</v>
      </c>
      <c r="N184" s="42">
        <f t="shared" si="9"/>
        <v>7626.9743955585</v>
      </c>
      <c r="O184" s="42">
        <f t="shared" si="10"/>
        <v>174.89809445631397</v>
      </c>
      <c r="P184" s="42">
        <f t="shared" si="11"/>
        <v>10725.639035514814</v>
      </c>
      <c r="Q184" s="15">
        <f>COUNTIF(COMPOSICIÓN!$A:$A,A184)</f>
        <v>14</v>
      </c>
      <c r="R184" s="43" t="s">
        <v>2727</v>
      </c>
    </row>
    <row r="185" spans="1:18" ht="14.25" customHeight="1" x14ac:dyDescent="0.35">
      <c r="A185" s="38" t="s">
        <v>238</v>
      </c>
      <c r="B185" s="38" t="s">
        <v>2656</v>
      </c>
      <c r="C185" s="38" t="s">
        <v>229</v>
      </c>
      <c r="D185" s="38" t="s">
        <v>237</v>
      </c>
      <c r="E185" s="38" t="s">
        <v>92</v>
      </c>
      <c r="F185" s="39">
        <v>25</v>
      </c>
      <c r="G185" s="40">
        <v>0</v>
      </c>
      <c r="H185" s="41">
        <v>0</v>
      </c>
      <c r="I185" s="14">
        <v>1</v>
      </c>
      <c r="J185" s="42">
        <f>SUMIFS(COMPOSICIÓN!J$2:J$1879,COMPOSICIÓN!A$2:A$1879,A185,COMPOSICIÓN!B$2:B$1879,"MAT")</f>
        <v>2141.6929605</v>
      </c>
      <c r="K185" s="42">
        <f>SUMIFS(COMPOSICIÓN!J$2:J$1879,COMPOSICIÓN!A$2:A$1879,A185,COMPOSICIÓN!B$2:B$1879,"MO")*I185</f>
        <v>85927.097156571996</v>
      </c>
      <c r="L185" s="42">
        <f>SUMIFS(COMPOSICIÓN!J$2:J$1879,COMPOSICIÓN!A$2:A$1879,A185,COMPOSICIÓN!B$2:B$1879,"EQ")</f>
        <v>1923.8790390194536</v>
      </c>
      <c r="M185" s="42">
        <f t="shared" si="8"/>
        <v>2141.6929605</v>
      </c>
      <c r="N185" s="42">
        <f t="shared" si="9"/>
        <v>3437.0838862628798</v>
      </c>
      <c r="O185" s="42">
        <f t="shared" si="10"/>
        <v>76.955161560778137</v>
      </c>
      <c r="P185" s="42">
        <f t="shared" si="11"/>
        <v>5655.7320083236573</v>
      </c>
      <c r="Q185" s="15">
        <f>COUNTIF(COMPOSICIÓN!$A:$A,A185)</f>
        <v>11</v>
      </c>
      <c r="R185" s="43" t="s">
        <v>2728</v>
      </c>
    </row>
    <row r="186" spans="1:18" ht="14.25" customHeight="1" x14ac:dyDescent="0.35">
      <c r="A186" s="38" t="s">
        <v>2729</v>
      </c>
      <c r="B186" s="38" t="s">
        <v>2652</v>
      </c>
      <c r="C186" s="38" t="s">
        <v>229</v>
      </c>
      <c r="D186" s="38" t="s">
        <v>239</v>
      </c>
      <c r="E186" s="38" t="s">
        <v>92</v>
      </c>
      <c r="F186" s="39">
        <v>20</v>
      </c>
      <c r="G186" s="40">
        <v>0</v>
      </c>
      <c r="H186" s="41">
        <v>0</v>
      </c>
      <c r="I186" s="14">
        <v>1</v>
      </c>
      <c r="J186" s="42">
        <f>SUMIFS(COMPOSICIÓN!J$2:J$1879,COMPOSICIÓN!A$2:A$1879,A186,COMPOSICIÓN!B$2:B$1879,"MAT")</f>
        <v>2272.0787045000002</v>
      </c>
      <c r="K186" s="42">
        <f>SUMIFS(COMPOSICIÓN!J$2:J$1879,COMPOSICIÓN!A$2:A$1879,A186,COMPOSICIÓN!B$2:B$1879,"MO")*I186</f>
        <v>85927.097156571996</v>
      </c>
      <c r="L186" s="42">
        <f>SUMIFS(COMPOSICIÓN!J$2:J$1879,COMPOSICIÓN!A$2:A$1879,A186,COMPOSICIÓN!B$2:B$1879,"EQ")</f>
        <v>1923.8790390194536</v>
      </c>
      <c r="M186" s="42">
        <f t="shared" si="8"/>
        <v>2272.0787045000002</v>
      </c>
      <c r="N186" s="42">
        <f t="shared" si="9"/>
        <v>4296.3548578286</v>
      </c>
      <c r="O186" s="42">
        <f t="shared" si="10"/>
        <v>96.193951950972675</v>
      </c>
      <c r="P186" s="42">
        <f t="shared" si="11"/>
        <v>6664.627514279573</v>
      </c>
      <c r="Q186" s="15">
        <f>COUNTIF(COMPOSICIÓN!$A:$A,A186)</f>
        <v>13</v>
      </c>
      <c r="R186" s="43" t="s">
        <v>2726</v>
      </c>
    </row>
    <row r="187" spans="1:18" ht="14.25" customHeight="1" x14ac:dyDescent="0.35">
      <c r="A187" s="38" t="s">
        <v>241</v>
      </c>
      <c r="B187" s="38" t="s">
        <v>2504</v>
      </c>
      <c r="C187" s="38" t="s">
        <v>229</v>
      </c>
      <c r="D187" s="38" t="s">
        <v>240</v>
      </c>
      <c r="E187" s="38" t="s">
        <v>92</v>
      </c>
      <c r="F187" s="39">
        <v>17.5</v>
      </c>
      <c r="G187" s="40">
        <v>0</v>
      </c>
      <c r="H187" s="41">
        <v>0</v>
      </c>
      <c r="I187" s="14">
        <v>1</v>
      </c>
      <c r="J187" s="42">
        <f>SUMIFS(COMPOSICIÓN!J$2:J$1879,COMPOSICIÓN!A$2:A$1879,A187,COMPOSICIÓN!B$2:B$1879,"MAT")</f>
        <v>2923.7665455000001</v>
      </c>
      <c r="K187" s="42">
        <f>SUMIFS(COMPOSICIÓN!J$2:J$1879,COMPOSICIÓN!A$2:A$1879,A187,COMPOSICIÓN!B$2:B$1879,"MO")*I187</f>
        <v>151420.168793144</v>
      </c>
      <c r="L187" s="42">
        <f>SUMIFS(COMPOSICIÓN!J$2:J$1879,COMPOSICIÓN!A$2:A$1879,A187,COMPOSICIÓN!B$2:B$1879,"EQ")</f>
        <v>4218.6844895549229</v>
      </c>
      <c r="M187" s="42">
        <f t="shared" si="8"/>
        <v>2923.7665455000001</v>
      </c>
      <c r="N187" s="42">
        <f t="shared" si="9"/>
        <v>8652.5810738939417</v>
      </c>
      <c r="O187" s="42">
        <f t="shared" si="10"/>
        <v>241.06768511742416</v>
      </c>
      <c r="P187" s="42">
        <f t="shared" si="11"/>
        <v>11817.415304511367</v>
      </c>
      <c r="Q187" s="15">
        <f>COUNTIF(COMPOSICIÓN!$A:$A,A187)</f>
        <v>15</v>
      </c>
      <c r="R187" s="43" t="s">
        <v>2730</v>
      </c>
    </row>
    <row r="188" spans="1:18" ht="14.25" customHeight="1" x14ac:dyDescent="0.35">
      <c r="A188" s="38" t="s">
        <v>243</v>
      </c>
      <c r="B188" s="38"/>
      <c r="C188" s="38" t="s">
        <v>229</v>
      </c>
      <c r="D188" s="38" t="s">
        <v>2731</v>
      </c>
      <c r="E188" s="38" t="s">
        <v>92</v>
      </c>
      <c r="F188" s="39">
        <v>30</v>
      </c>
      <c r="G188" s="40">
        <v>0</v>
      </c>
      <c r="H188" s="41">
        <v>0</v>
      </c>
      <c r="I188" s="14">
        <v>1</v>
      </c>
      <c r="J188" s="42">
        <f>SUMIFS(COMPOSICIÓN!J$2:J$1879,COMPOSICIÓN!A$2:A$1879,A188,COMPOSICIÓN!B$2:B$1879,"MAT")</f>
        <v>7633.5877862595398</v>
      </c>
      <c r="K188" s="42">
        <f>SUMIFS(COMPOSICIÓN!J$2:J$1879,COMPOSICIÓN!A$2:A$1879,A188,COMPOSICIÓN!B$2:B$1879,"MO")*I188</f>
        <v>151420.168793144</v>
      </c>
      <c r="L188" s="42">
        <f>SUMIFS(COMPOSICIÓN!J$2:J$1879,COMPOSICIÓN!A$2:A$1879,A188,COMPOSICIÓN!B$2:B$1879,"EQ")</f>
        <v>5706.4170357139501</v>
      </c>
      <c r="M188" s="42">
        <f t="shared" si="8"/>
        <v>7633.5877862595398</v>
      </c>
      <c r="N188" s="42">
        <f t="shared" si="9"/>
        <v>5047.3389597714668</v>
      </c>
      <c r="O188" s="42">
        <f t="shared" si="10"/>
        <v>190.21390119046501</v>
      </c>
      <c r="P188" s="42">
        <f t="shared" si="11"/>
        <v>12871.140647221473</v>
      </c>
      <c r="Q188" s="15">
        <f>COUNTIF(COMPOSICIÓN!$A:$A,A188)</f>
        <v>4</v>
      </c>
      <c r="R188" s="43" t="s">
        <v>2661</v>
      </c>
    </row>
    <row r="189" spans="1:18" ht="14.25" customHeight="1" x14ac:dyDescent="0.35">
      <c r="A189" s="38" t="s">
        <v>245</v>
      </c>
      <c r="B189" s="38"/>
      <c r="C189" s="38" t="s">
        <v>229</v>
      </c>
      <c r="D189" s="38" t="s">
        <v>244</v>
      </c>
      <c r="E189" s="38" t="s">
        <v>92</v>
      </c>
      <c r="F189" s="39">
        <v>1</v>
      </c>
      <c r="G189" s="40">
        <v>0</v>
      </c>
      <c r="H189" s="41">
        <v>0</v>
      </c>
      <c r="I189" s="14">
        <v>1</v>
      </c>
      <c r="J189" s="42">
        <f>SUMIFS(COMPOSICIÓN!J$2:J$1879,COMPOSICIÓN!A$2:A$1879,A189,COMPOSICIÓN!B$2:B$1879,"MAT")</f>
        <v>10000</v>
      </c>
      <c r="K189" s="42">
        <f>SUMIFS(COMPOSICIÓN!J$2:J$1879,COMPOSICIÓN!A$2:A$1879,A189,COMPOSICIÓN!B$2:B$1879,"MO")*I189</f>
        <v>9614.97935162053</v>
      </c>
      <c r="L189" s="42">
        <f>SUMIFS(COMPOSICIÓN!J$2:J$1879,COMPOSICIÓN!A$2:A$1879,A189,COMPOSICIÓN!B$2:B$1879,"EQ")</f>
        <v>294.22469027430799</v>
      </c>
      <c r="M189" s="42">
        <f t="shared" si="8"/>
        <v>10000</v>
      </c>
      <c r="N189" s="42">
        <f t="shared" si="9"/>
        <v>9614.97935162053</v>
      </c>
      <c r="O189" s="42">
        <f t="shared" si="10"/>
        <v>294.22469027430799</v>
      </c>
      <c r="P189" s="42">
        <f t="shared" si="11"/>
        <v>19909.204041894838</v>
      </c>
      <c r="Q189" s="15">
        <f>COUNTIF(COMPOSICIÓN!$A:$A,A189)</f>
        <v>3</v>
      </c>
      <c r="R189" s="43" t="s">
        <v>2670</v>
      </c>
    </row>
    <row r="190" spans="1:18" ht="14.25" customHeight="1" x14ac:dyDescent="0.35">
      <c r="A190" s="38" t="s">
        <v>247</v>
      </c>
      <c r="B190" s="38"/>
      <c r="C190" s="38" t="s">
        <v>229</v>
      </c>
      <c r="D190" s="38" t="s">
        <v>246</v>
      </c>
      <c r="E190" s="38" t="s">
        <v>92</v>
      </c>
      <c r="F190" s="39">
        <v>1</v>
      </c>
      <c r="G190" s="40">
        <v>0</v>
      </c>
      <c r="H190" s="41">
        <v>0</v>
      </c>
      <c r="I190" s="14">
        <v>1</v>
      </c>
      <c r="J190" s="42">
        <f>SUMIFS(COMPOSICIÓN!J$2:J$1879,COMPOSICIÓN!A$2:A$1879,A190,COMPOSICIÓN!B$2:B$1879,"MAT")</f>
        <v>10000</v>
      </c>
      <c r="K190" s="42">
        <f>SUMIFS(COMPOSICIÓN!J$2:J$1879,COMPOSICIÓN!A$2:A$1879,A190,COMPOSICIÓN!B$2:B$1879,"MO")*I190</f>
        <v>13460.971092268701</v>
      </c>
      <c r="L190" s="42">
        <f>SUMIFS(COMPOSICIÓN!J$2:J$1879,COMPOSICIÓN!A$2:A$1879,A190,COMPOSICIÓN!B$2:B$1879,"EQ")</f>
        <v>351.91456638403099</v>
      </c>
      <c r="M190" s="42">
        <f t="shared" si="8"/>
        <v>10000</v>
      </c>
      <c r="N190" s="42">
        <f t="shared" si="9"/>
        <v>13460.971092268701</v>
      </c>
      <c r="O190" s="42">
        <f t="shared" si="10"/>
        <v>351.91456638403099</v>
      </c>
      <c r="P190" s="42">
        <f t="shared" si="11"/>
        <v>23812.885658652733</v>
      </c>
      <c r="Q190" s="15">
        <f>COUNTIF(COMPOSICIÓN!$A:$A,A190)</f>
        <v>3</v>
      </c>
      <c r="R190" s="43" t="s">
        <v>2670</v>
      </c>
    </row>
    <row r="191" spans="1:18" ht="14.25" customHeight="1" x14ac:dyDescent="0.35">
      <c r="A191" s="38" t="s">
        <v>249</v>
      </c>
      <c r="B191" s="38"/>
      <c r="C191" s="38" t="s">
        <v>229</v>
      </c>
      <c r="D191" s="38" t="s">
        <v>248</v>
      </c>
      <c r="E191" s="38" t="s">
        <v>24</v>
      </c>
      <c r="F191" s="39">
        <v>1</v>
      </c>
      <c r="G191" s="40">
        <v>0</v>
      </c>
      <c r="H191" s="41">
        <v>0</v>
      </c>
      <c r="I191" s="14">
        <v>1</v>
      </c>
      <c r="J191" s="42">
        <f>SUMIFS(COMPOSICIÓN!J$2:J$1879,COMPOSICIÓN!A$2:A$1879,A191,COMPOSICIÓN!B$2:B$1879,"MAT")</f>
        <v>200000</v>
      </c>
      <c r="K191" s="42">
        <f>SUMIFS(COMPOSICIÓN!J$2:J$1879,COMPOSICIÓN!A$2:A$1879,A191,COMPOSICIÓN!B$2:B$1879,"MO")*I191</f>
        <v>454260.50637943199</v>
      </c>
      <c r="L191" s="42">
        <f>SUMIFS(COMPOSICIÓN!J$2:J$1879,COMPOSICIÓN!A$2:A$1879,A191,COMPOSICIÓN!B$2:B$1879,"EQ")</f>
        <v>9813.9075956914803</v>
      </c>
      <c r="M191" s="42">
        <f t="shared" si="8"/>
        <v>200000</v>
      </c>
      <c r="N191" s="42">
        <f t="shared" si="9"/>
        <v>454260.50637943199</v>
      </c>
      <c r="O191" s="42">
        <f t="shared" si="10"/>
        <v>9813.9075956914803</v>
      </c>
      <c r="P191" s="42">
        <f t="shared" si="11"/>
        <v>664074.41397512355</v>
      </c>
      <c r="Q191" s="15">
        <f>COUNTIF(COMPOSICIÓN!$A:$A,A191)</f>
        <v>5</v>
      </c>
      <c r="R191" s="43" t="s">
        <v>2661</v>
      </c>
    </row>
    <row r="192" spans="1:18" ht="14.25" customHeight="1" x14ac:dyDescent="0.35">
      <c r="A192" s="38" t="s">
        <v>251</v>
      </c>
      <c r="B192" s="38"/>
      <c r="C192" s="38" t="s">
        <v>229</v>
      </c>
      <c r="D192" s="38" t="s">
        <v>250</v>
      </c>
      <c r="E192" s="38" t="s">
        <v>151</v>
      </c>
      <c r="F192" s="39">
        <v>1</v>
      </c>
      <c r="G192" s="40">
        <v>0</v>
      </c>
      <c r="H192" s="41">
        <v>0</v>
      </c>
      <c r="I192" s="14">
        <v>1</v>
      </c>
      <c r="J192" s="42">
        <f>SUMIFS(COMPOSICIÓN!J$2:J$1879,COMPOSICIÓN!A$2:A$1879,A192,COMPOSICIÓN!B$2:B$1879,"MAT")</f>
        <v>11746.023927199849</v>
      </c>
      <c r="K192" s="42">
        <f>SUMIFS(COMPOSICIÓN!J$2:J$1879,COMPOSICIÓN!A$2:A$1879,A192,COMPOSICIÓN!B$2:B$1879,"MO")*I192</f>
        <v>49896.79717328187</v>
      </c>
      <c r="L192" s="42">
        <f>SUMIFS(COMPOSICIÓN!J$2:J$1879,COMPOSICIÓN!A$2:A$1879,A192,COMPOSICIÓN!B$2:B$1879,"EQ")</f>
        <v>924.64231650722797</v>
      </c>
      <c r="M192" s="42">
        <f t="shared" si="8"/>
        <v>11746.023927199849</v>
      </c>
      <c r="N192" s="42">
        <f t="shared" si="9"/>
        <v>49896.79717328187</v>
      </c>
      <c r="O192" s="42">
        <f t="shared" si="10"/>
        <v>924.64231650722797</v>
      </c>
      <c r="P192" s="42">
        <f t="shared" si="11"/>
        <v>62567.463416988947</v>
      </c>
      <c r="Q192" s="15">
        <f>COUNTIF(COMPOSICIÓN!$A:$A,A192)</f>
        <v>10</v>
      </c>
      <c r="R192" s="43" t="s">
        <v>2661</v>
      </c>
    </row>
    <row r="193" spans="1:18" ht="14.25" customHeight="1" x14ac:dyDescent="0.35">
      <c r="A193" s="38" t="s">
        <v>253</v>
      </c>
      <c r="B193" s="38"/>
      <c r="C193" s="38" t="s">
        <v>229</v>
      </c>
      <c r="D193" s="38" t="s">
        <v>252</v>
      </c>
      <c r="E193" s="38" t="s">
        <v>24</v>
      </c>
      <c r="F193" s="39">
        <v>1</v>
      </c>
      <c r="G193" s="40">
        <v>0</v>
      </c>
      <c r="H193" s="41">
        <v>0</v>
      </c>
      <c r="I193" s="14">
        <v>1</v>
      </c>
      <c r="J193" s="42">
        <f>SUMIFS(COMPOSICIÓN!J$2:J$1879,COMPOSICIÓN!A$2:A$1879,A193,COMPOSICIÓN!B$2:B$1879,"MAT")</f>
        <v>392180.13300765597</v>
      </c>
      <c r="K193" s="42">
        <f>SUMIFS(COMPOSICIÓN!J$2:J$1879,COMPOSICIÓN!A$2:A$1879,A193,COMPOSICIÓN!B$2:B$1879,"MO")*I193</f>
        <v>2776617.9536378556</v>
      </c>
      <c r="L193" s="42">
        <f>SUMIFS(COMPOSICIÓN!J$2:J$1879,COMPOSICIÓN!A$2:A$1879,A193,COMPOSICIÓN!B$2:B$1879,"EQ")</f>
        <v>47531.971299682802</v>
      </c>
      <c r="M193" s="42">
        <f t="shared" si="8"/>
        <v>392180.13300765597</v>
      </c>
      <c r="N193" s="42">
        <f t="shared" si="9"/>
        <v>2776617.9536378556</v>
      </c>
      <c r="O193" s="42">
        <f t="shared" si="10"/>
        <v>47531.971299682802</v>
      </c>
      <c r="P193" s="42">
        <f t="shared" si="11"/>
        <v>3216330.0579451942</v>
      </c>
      <c r="Q193" s="15">
        <f>COUNTIF(COMPOSICIÓN!$A:$A,A193)</f>
        <v>10</v>
      </c>
      <c r="R193" s="43" t="s">
        <v>2661</v>
      </c>
    </row>
    <row r="194" spans="1:18" ht="14.25" customHeight="1" x14ac:dyDescent="0.35">
      <c r="A194" s="38" t="s">
        <v>255</v>
      </c>
      <c r="B194" s="38" t="s">
        <v>2466</v>
      </c>
      <c r="C194" s="38" t="s">
        <v>3034</v>
      </c>
      <c r="D194" s="38" t="s">
        <v>254</v>
      </c>
      <c r="E194" s="38" t="s">
        <v>53</v>
      </c>
      <c r="F194" s="39">
        <v>2</v>
      </c>
      <c r="G194" s="40">
        <v>0</v>
      </c>
      <c r="H194" s="41">
        <v>0</v>
      </c>
      <c r="I194" s="14">
        <v>1</v>
      </c>
      <c r="J194" s="42">
        <f>SUMIFS(COMPOSICIÓN!J$2:J$1879,COMPOSICIÓN!A$2:A$1879,A194,COMPOSICIÓN!B$2:B$1879,"MAT")</f>
        <v>4066.3295639999997</v>
      </c>
      <c r="K194" s="42">
        <f>SUMIFS(COMPOSICIÓN!J$2:J$1879,COMPOSICIÓN!A$2:A$1879,A194,COMPOSICIÓN!B$2:B$1879,"MO")*I194</f>
        <v>110090.758449858</v>
      </c>
      <c r="L194" s="42">
        <f>SUMIFS(COMPOSICIÓN!J$2:J$1879,COMPOSICIÓN!A$2:A$1879,A194,COMPOSICIÓN!B$2:B$1879,"EQ")</f>
        <v>811.09723531168822</v>
      </c>
      <c r="M194" s="42">
        <f t="shared" ref="M194:M257" si="12">J194</f>
        <v>4066.3295639999997</v>
      </c>
      <c r="N194" s="42">
        <f t="shared" ref="N194:N257" si="13">IF(F194=0,0,K194/F194)</f>
        <v>55045.379224928998</v>
      </c>
      <c r="O194" s="42">
        <f t="shared" ref="O194:O257" si="14">IF(F194=0,0,L194/F194)</f>
        <v>405.54861765584411</v>
      </c>
      <c r="P194" s="42">
        <f t="shared" ref="P194:P257" si="15">M194+N194+O194</f>
        <v>59517.257406584838</v>
      </c>
      <c r="Q194" s="15">
        <f>COUNTIF(COMPOSICIÓN!$A:$A,A194)</f>
        <v>6</v>
      </c>
      <c r="R194" s="43" t="s">
        <v>2732</v>
      </c>
    </row>
    <row r="195" spans="1:18" ht="14.25" customHeight="1" x14ac:dyDescent="0.35">
      <c r="A195" s="38" t="s">
        <v>257</v>
      </c>
      <c r="B195" s="38" t="s">
        <v>2466</v>
      </c>
      <c r="C195" s="38" t="s">
        <v>3034</v>
      </c>
      <c r="D195" s="38" t="s">
        <v>2733</v>
      </c>
      <c r="E195" s="38" t="s">
        <v>53</v>
      </c>
      <c r="F195" s="39">
        <v>2</v>
      </c>
      <c r="G195" s="40">
        <v>0</v>
      </c>
      <c r="H195" s="41">
        <v>0</v>
      </c>
      <c r="I195" s="14">
        <v>1</v>
      </c>
      <c r="J195" s="42">
        <f>SUMIFS(COMPOSICIÓN!J$2:J$1879,COMPOSICIÓN!A$2:A$1879,A195,COMPOSICIÓN!B$2:B$1879,"MAT")</f>
        <v>4066.3295639999997</v>
      </c>
      <c r="K195" s="42">
        <f>SUMIFS(COMPOSICIÓN!J$2:J$1879,COMPOSICIÓN!A$2:A$1879,A195,COMPOSICIÓN!B$2:B$1879,"MO")*I195</f>
        <v>110090.758449858</v>
      </c>
      <c r="L195" s="42">
        <f>SUMIFS(COMPOSICIÓN!J$2:J$1879,COMPOSICIÓN!A$2:A$1879,A195,COMPOSICIÓN!B$2:B$1879,"EQ")</f>
        <v>811.09723531168822</v>
      </c>
      <c r="M195" s="42">
        <f t="shared" si="12"/>
        <v>4066.3295639999997</v>
      </c>
      <c r="N195" s="42">
        <f t="shared" si="13"/>
        <v>55045.379224928998</v>
      </c>
      <c r="O195" s="42">
        <f t="shared" si="14"/>
        <v>405.54861765584411</v>
      </c>
      <c r="P195" s="42">
        <f t="shared" si="15"/>
        <v>59517.257406584838</v>
      </c>
      <c r="Q195" s="15">
        <f>COUNTIF(COMPOSICIÓN!$A:$A,A195)</f>
        <v>6</v>
      </c>
      <c r="R195" s="43" t="s">
        <v>2732</v>
      </c>
    </row>
    <row r="196" spans="1:18" ht="14.25" customHeight="1" x14ac:dyDescent="0.35">
      <c r="A196" s="38" t="s">
        <v>259</v>
      </c>
      <c r="B196" s="38" t="s">
        <v>2469</v>
      </c>
      <c r="C196" s="38" t="s">
        <v>3034</v>
      </c>
      <c r="D196" s="38" t="s">
        <v>258</v>
      </c>
      <c r="E196" s="38" t="s">
        <v>53</v>
      </c>
      <c r="F196" s="39">
        <v>4</v>
      </c>
      <c r="G196" s="40">
        <v>0</v>
      </c>
      <c r="H196" s="41">
        <v>0</v>
      </c>
      <c r="I196" s="14">
        <v>1</v>
      </c>
      <c r="J196" s="42">
        <f>SUMIFS(COMPOSICIÓN!J$2:J$1879,COMPOSICIÓN!A$2:A$1879,A196,COMPOSICIÓN!B$2:B$1879,"MAT")</f>
        <v>1487.9069540999999</v>
      </c>
      <c r="K196" s="42">
        <f>SUMIFS(COMPOSICIÓN!J$2:J$1879,COMPOSICIÓN!A$2:A$1879,A196,COMPOSICIÓN!B$2:B$1879,"MO")*I196</f>
        <v>146787.677933144</v>
      </c>
      <c r="L196" s="42">
        <f>SUMIFS(COMPOSICIÓN!J$2:J$1879,COMPOSICIÓN!A$2:A$1879,A196,COMPOSICIÓN!B$2:B$1879,"EQ")</f>
        <v>811.09723531168822</v>
      </c>
      <c r="M196" s="42">
        <f t="shared" si="12"/>
        <v>1487.9069540999999</v>
      </c>
      <c r="N196" s="42">
        <f t="shared" si="13"/>
        <v>36696.919483286001</v>
      </c>
      <c r="O196" s="42">
        <f t="shared" si="14"/>
        <v>202.77430882792206</v>
      </c>
      <c r="P196" s="42">
        <f t="shared" si="15"/>
        <v>38387.600746213924</v>
      </c>
      <c r="Q196" s="15">
        <f>COUNTIF(COMPOSICIÓN!$A:$A,A196)</f>
        <v>6</v>
      </c>
      <c r="R196" s="43" t="s">
        <v>2734</v>
      </c>
    </row>
    <row r="197" spans="1:18" ht="14.25" customHeight="1" x14ac:dyDescent="0.35">
      <c r="A197" s="38" t="s">
        <v>261</v>
      </c>
      <c r="B197" s="38" t="s">
        <v>2466</v>
      </c>
      <c r="C197" s="38" t="s">
        <v>3034</v>
      </c>
      <c r="D197" s="38" t="s">
        <v>2735</v>
      </c>
      <c r="E197" s="38" t="s">
        <v>53</v>
      </c>
      <c r="F197" s="39">
        <v>2</v>
      </c>
      <c r="G197" s="40">
        <v>0</v>
      </c>
      <c r="H197" s="41">
        <v>0</v>
      </c>
      <c r="I197" s="14">
        <v>1</v>
      </c>
      <c r="J197" s="42">
        <f>SUMIFS(COMPOSICIÓN!J$2:J$1879,COMPOSICIÓN!A$2:A$1879,A197,COMPOSICIÓN!B$2:B$1879,"MAT")</f>
        <v>4066.3295639999997</v>
      </c>
      <c r="K197" s="42">
        <f>SUMIFS(COMPOSICIÓN!J$2:J$1879,COMPOSICIÓN!A$2:A$1879,A197,COMPOSICIÓN!B$2:B$1879,"MO")*I197</f>
        <v>165136.13767478699</v>
      </c>
      <c r="L197" s="42">
        <f>SUMIFS(COMPOSICIÓN!J$2:J$1879,COMPOSICIÓN!A$2:A$1879,A197,COMPOSICIÓN!B$2:B$1879,"EQ")</f>
        <v>811.09723531168822</v>
      </c>
      <c r="M197" s="42">
        <f t="shared" si="12"/>
        <v>4066.3295639999997</v>
      </c>
      <c r="N197" s="42">
        <f t="shared" si="13"/>
        <v>82568.068837393497</v>
      </c>
      <c r="O197" s="42">
        <f t="shared" si="14"/>
        <v>405.54861765584411</v>
      </c>
      <c r="P197" s="42">
        <f t="shared" si="15"/>
        <v>87039.947019049345</v>
      </c>
      <c r="Q197" s="15">
        <f>COUNTIF(COMPOSICIÓN!$A:$A,A197)</f>
        <v>7</v>
      </c>
      <c r="R197" s="43" t="s">
        <v>2732</v>
      </c>
    </row>
    <row r="198" spans="1:18" ht="14.25" customHeight="1" x14ac:dyDescent="0.35">
      <c r="A198" s="38" t="s">
        <v>264</v>
      </c>
      <c r="B198" s="38" t="s">
        <v>2736</v>
      </c>
      <c r="C198" s="38" t="s">
        <v>3027</v>
      </c>
      <c r="D198" s="38" t="s">
        <v>263</v>
      </c>
      <c r="E198" s="38" t="s">
        <v>53</v>
      </c>
      <c r="F198" s="39">
        <v>3.25</v>
      </c>
      <c r="G198" s="40">
        <v>0</v>
      </c>
      <c r="H198" s="41">
        <v>0</v>
      </c>
      <c r="I198" s="14">
        <v>1</v>
      </c>
      <c r="J198" s="42">
        <f>SUMIFS(COMPOSICIÓN!J$2:J$1879,COMPOSICIÓN!A$2:A$1879,A198,COMPOSICIÓN!B$2:B$1879,"MAT")</f>
        <v>20340.180884999994</v>
      </c>
      <c r="K198" s="42">
        <f>SUMIFS(COMPOSICIÓN!J$2:J$1879,COMPOSICIÓN!A$2:A$1879,A198,COMPOSICIÓN!B$2:B$1879,"MO")*I198</f>
        <v>115103.625</v>
      </c>
      <c r="L198" s="42">
        <f>SUMIFS(COMPOSICIÓN!J$2:J$1879,COMPOSICIÓN!A$2:A$1879,A198,COMPOSICIÓN!B$2:B$1879,"EQ")</f>
        <v>5418.7835832607761</v>
      </c>
      <c r="M198" s="42">
        <f t="shared" si="12"/>
        <v>20340.180884999994</v>
      </c>
      <c r="N198" s="42">
        <f t="shared" si="13"/>
        <v>35416.5</v>
      </c>
      <c r="O198" s="42">
        <f t="shared" si="14"/>
        <v>1667.3180256187004</v>
      </c>
      <c r="P198" s="42">
        <f t="shared" si="15"/>
        <v>57423.998910618691</v>
      </c>
      <c r="Q198" s="15">
        <f>COUNTIF(COMPOSICIÓN!$A:$A,A198)</f>
        <v>13</v>
      </c>
      <c r="R198" s="43">
        <v>20340.180885000002</v>
      </c>
    </row>
    <row r="199" spans="1:18" ht="14.25" customHeight="1" x14ac:dyDescent="0.35">
      <c r="A199" s="38" t="s">
        <v>266</v>
      </c>
      <c r="B199" s="38" t="s">
        <v>2624</v>
      </c>
      <c r="C199" s="38" t="s">
        <v>3027</v>
      </c>
      <c r="D199" s="38" t="s">
        <v>265</v>
      </c>
      <c r="E199" s="38" t="s">
        <v>53</v>
      </c>
      <c r="F199" s="39">
        <v>3.25</v>
      </c>
      <c r="G199" s="40">
        <v>0</v>
      </c>
      <c r="H199" s="41">
        <v>0</v>
      </c>
      <c r="I199" s="14">
        <v>1</v>
      </c>
      <c r="J199" s="42">
        <f>SUMIFS(COMPOSICIÓN!J$2:J$1879,COMPOSICIÓN!A$2:A$1879,A199,COMPOSICIÓN!B$2:B$1879,"MAT")</f>
        <v>17867.355495</v>
      </c>
      <c r="K199" s="42">
        <f>SUMIFS(COMPOSICIÓN!J$2:J$1879,COMPOSICIÓN!A$2:A$1879,A199,COMPOSICIÓN!B$2:B$1879,"MO")*I199</f>
        <v>115103.625</v>
      </c>
      <c r="L199" s="42">
        <f>SUMIFS(COMPOSICIÓN!J$2:J$1879,COMPOSICIÓN!A$2:A$1879,A199,COMPOSICIÓN!B$2:B$1879,"EQ")</f>
        <v>5418.7835832607761</v>
      </c>
      <c r="M199" s="42">
        <f t="shared" si="12"/>
        <v>17867.355495</v>
      </c>
      <c r="N199" s="42">
        <f t="shared" si="13"/>
        <v>35416.5</v>
      </c>
      <c r="O199" s="42">
        <f t="shared" si="14"/>
        <v>1667.3180256187004</v>
      </c>
      <c r="P199" s="42">
        <f t="shared" si="15"/>
        <v>54951.173520618693</v>
      </c>
      <c r="Q199" s="15">
        <f>COUNTIF(COMPOSICIÓN!$A:$A,A199)</f>
        <v>13</v>
      </c>
      <c r="R199" s="43">
        <v>17867.355495</v>
      </c>
    </row>
    <row r="200" spans="1:18" ht="14.25" customHeight="1" x14ac:dyDescent="0.35">
      <c r="A200" s="38" t="s">
        <v>2737</v>
      </c>
      <c r="B200" s="38" t="s">
        <v>2624</v>
      </c>
      <c r="C200" s="38" t="s">
        <v>3027</v>
      </c>
      <c r="D200" s="38" t="s">
        <v>267</v>
      </c>
      <c r="E200" s="38" t="s">
        <v>53</v>
      </c>
      <c r="F200" s="39">
        <v>3.25</v>
      </c>
      <c r="G200" s="40">
        <v>0</v>
      </c>
      <c r="H200" s="41">
        <v>0</v>
      </c>
      <c r="I200" s="14">
        <v>1</v>
      </c>
      <c r="J200" s="42">
        <f>SUMIFS(COMPOSICIÓN!J$2:J$1879,COMPOSICIÓN!A$2:A$1879,A200,COMPOSICIÓN!B$2:B$1879,"MAT")</f>
        <v>14766.4095</v>
      </c>
      <c r="K200" s="42">
        <f>SUMIFS(COMPOSICIÓN!J$2:J$1879,COMPOSICIÓN!A$2:A$1879,A200,COMPOSICIÓN!B$2:B$1879,"MO")*I200</f>
        <v>115103.625</v>
      </c>
      <c r="L200" s="42">
        <f>SUMIFS(COMPOSICIÓN!J$2:J$1879,COMPOSICIÓN!A$2:A$1879,A200,COMPOSICIÓN!B$2:B$1879,"EQ")</f>
        <v>5418.7835832607761</v>
      </c>
      <c r="M200" s="42">
        <f t="shared" si="12"/>
        <v>14766.4095</v>
      </c>
      <c r="N200" s="42">
        <f t="shared" si="13"/>
        <v>35416.5</v>
      </c>
      <c r="O200" s="42">
        <f t="shared" si="14"/>
        <v>1667.3180256187004</v>
      </c>
      <c r="P200" s="42">
        <f t="shared" si="15"/>
        <v>51850.227525618699</v>
      </c>
      <c r="Q200" s="15">
        <f>COUNTIF(COMPOSICIÓN!$A:$A,A200)</f>
        <v>12</v>
      </c>
      <c r="R200" s="43">
        <v>17867.355495</v>
      </c>
    </row>
    <row r="201" spans="1:18" ht="14.25" customHeight="1" x14ac:dyDescent="0.35">
      <c r="A201" s="38" t="s">
        <v>2738</v>
      </c>
      <c r="B201" s="38" t="s">
        <v>2624</v>
      </c>
      <c r="C201" s="38" t="s">
        <v>3027</v>
      </c>
      <c r="D201" s="38" t="s">
        <v>268</v>
      </c>
      <c r="E201" s="38" t="s">
        <v>53</v>
      </c>
      <c r="F201" s="39">
        <v>3.25</v>
      </c>
      <c r="G201" s="40">
        <v>0</v>
      </c>
      <c r="H201" s="41">
        <v>0</v>
      </c>
      <c r="I201" s="14">
        <v>1</v>
      </c>
      <c r="J201" s="42">
        <f>SUMIFS(COMPOSICIÓN!J$2:J$1879,COMPOSICIÓN!A$2:A$1879,A201,COMPOSICIÓN!B$2:B$1879,"MAT")</f>
        <v>14766.4095</v>
      </c>
      <c r="K201" s="42">
        <f>SUMIFS(COMPOSICIÓN!J$2:J$1879,COMPOSICIÓN!A$2:A$1879,A201,COMPOSICIÓN!B$2:B$1879,"MO")*I201</f>
        <v>115103.625</v>
      </c>
      <c r="L201" s="42">
        <f>SUMIFS(COMPOSICIÓN!J$2:J$1879,COMPOSICIÓN!A$2:A$1879,A201,COMPOSICIÓN!B$2:B$1879,"EQ")</f>
        <v>5418.7835832607761</v>
      </c>
      <c r="M201" s="42">
        <f t="shared" si="12"/>
        <v>14766.4095</v>
      </c>
      <c r="N201" s="42">
        <f t="shared" si="13"/>
        <v>35416.5</v>
      </c>
      <c r="O201" s="42">
        <f t="shared" si="14"/>
        <v>1667.3180256187004</v>
      </c>
      <c r="P201" s="42">
        <f t="shared" si="15"/>
        <v>51850.227525618699</v>
      </c>
      <c r="Q201" s="15">
        <f>COUNTIF(COMPOSICIÓN!$A:$A,A201)</f>
        <v>12</v>
      </c>
      <c r="R201" s="43">
        <v>17867.355495</v>
      </c>
    </row>
    <row r="202" spans="1:18" ht="14.25" customHeight="1" x14ac:dyDescent="0.35">
      <c r="A202" s="38" t="s">
        <v>2739</v>
      </c>
      <c r="B202" s="38" t="s">
        <v>2624</v>
      </c>
      <c r="C202" s="38" t="s">
        <v>3027</v>
      </c>
      <c r="D202" s="38" t="s">
        <v>2740</v>
      </c>
      <c r="E202" s="38" t="s">
        <v>53</v>
      </c>
      <c r="F202" s="39">
        <v>3.25</v>
      </c>
      <c r="G202" s="40">
        <v>0</v>
      </c>
      <c r="H202" s="41">
        <v>0</v>
      </c>
      <c r="I202" s="14">
        <v>1</v>
      </c>
      <c r="J202" s="42">
        <f>SUMIFS(COMPOSICIÓN!J$2:J$1879,COMPOSICIÓN!A$2:A$1879,A202,COMPOSICIÓN!B$2:B$1879,"MAT")</f>
        <v>14766.4095</v>
      </c>
      <c r="K202" s="42">
        <f>SUMIFS(COMPOSICIÓN!J$2:J$1879,COMPOSICIÓN!A$2:A$1879,A202,COMPOSICIÓN!B$2:B$1879,"MO")*I202</f>
        <v>115103.625</v>
      </c>
      <c r="L202" s="42">
        <f>SUMIFS(COMPOSICIÓN!J$2:J$1879,COMPOSICIÓN!A$2:A$1879,A202,COMPOSICIÓN!B$2:B$1879,"EQ")</f>
        <v>5418.7835832607761</v>
      </c>
      <c r="M202" s="42">
        <f t="shared" si="12"/>
        <v>14766.4095</v>
      </c>
      <c r="N202" s="42">
        <f t="shared" si="13"/>
        <v>35416.5</v>
      </c>
      <c r="O202" s="42">
        <f t="shared" si="14"/>
        <v>1667.3180256187004</v>
      </c>
      <c r="P202" s="42">
        <f t="shared" si="15"/>
        <v>51850.227525618699</v>
      </c>
      <c r="Q202" s="15">
        <f>COUNTIF(COMPOSICIÓN!$A:$A,A202)</f>
        <v>12</v>
      </c>
      <c r="R202" s="43">
        <v>17867.355495</v>
      </c>
    </row>
    <row r="203" spans="1:18" ht="14.25" customHeight="1" x14ac:dyDescent="0.35">
      <c r="A203" s="38" t="s">
        <v>2741</v>
      </c>
      <c r="B203" s="38" t="s">
        <v>2624</v>
      </c>
      <c r="C203" s="38" t="s">
        <v>3027</v>
      </c>
      <c r="D203" s="38" t="s">
        <v>270</v>
      </c>
      <c r="E203" s="38" t="s">
        <v>53</v>
      </c>
      <c r="F203" s="39">
        <v>3.25</v>
      </c>
      <c r="G203" s="40">
        <v>0</v>
      </c>
      <c r="H203" s="41">
        <v>0</v>
      </c>
      <c r="I203" s="14">
        <v>1</v>
      </c>
      <c r="J203" s="42">
        <f>SUMIFS(COMPOSICIÓN!J$2:J$1879,COMPOSICIÓN!A$2:A$1879,A203,COMPOSICIÓN!B$2:B$1879,"MAT")</f>
        <v>14766.4095</v>
      </c>
      <c r="K203" s="42">
        <f>SUMIFS(COMPOSICIÓN!J$2:J$1879,COMPOSICIÓN!A$2:A$1879,A203,COMPOSICIÓN!B$2:B$1879,"MO")*I203</f>
        <v>115103.625</v>
      </c>
      <c r="L203" s="42">
        <f>SUMIFS(COMPOSICIÓN!J$2:J$1879,COMPOSICIÓN!A$2:A$1879,A203,COMPOSICIÓN!B$2:B$1879,"EQ")</f>
        <v>5418.7835832607761</v>
      </c>
      <c r="M203" s="42">
        <f t="shared" si="12"/>
        <v>14766.4095</v>
      </c>
      <c r="N203" s="42">
        <f t="shared" si="13"/>
        <v>35416.5</v>
      </c>
      <c r="O203" s="42">
        <f t="shared" si="14"/>
        <v>1667.3180256187004</v>
      </c>
      <c r="P203" s="42">
        <f t="shared" si="15"/>
        <v>51850.227525618699</v>
      </c>
      <c r="Q203" s="15">
        <f>COUNTIF(COMPOSICIÓN!$A:$A,A203)</f>
        <v>12</v>
      </c>
      <c r="R203" s="43">
        <v>17867.355495</v>
      </c>
    </row>
    <row r="204" spans="1:18" ht="14.25" customHeight="1" x14ac:dyDescent="0.35">
      <c r="A204" s="38" t="s">
        <v>272</v>
      </c>
      <c r="B204" s="38" t="s">
        <v>2631</v>
      </c>
      <c r="C204" s="38" t="s">
        <v>3027</v>
      </c>
      <c r="D204" s="38" t="s">
        <v>271</v>
      </c>
      <c r="E204" s="38" t="s">
        <v>53</v>
      </c>
      <c r="F204" s="39">
        <v>3.25</v>
      </c>
      <c r="G204" s="40">
        <v>0</v>
      </c>
      <c r="H204" s="41">
        <v>0</v>
      </c>
      <c r="I204" s="14">
        <v>1</v>
      </c>
      <c r="J204" s="42">
        <f>SUMIFS(COMPOSICIÓN!J$2:J$1879,COMPOSICIÓN!A$2:A$1879,A204,COMPOSICIÓN!B$2:B$1879,"MAT")</f>
        <v>14804.6642249</v>
      </c>
      <c r="K204" s="42">
        <f>SUMIFS(COMPOSICIÓN!J$2:J$1879,COMPOSICIÓN!A$2:A$1879,A204,COMPOSICIÓN!B$2:B$1879,"MO")*I204</f>
        <v>115103.625</v>
      </c>
      <c r="L204" s="42">
        <f>SUMIFS(COMPOSICIÓN!J$2:J$1879,COMPOSICIÓN!A$2:A$1879,A204,COMPOSICIÓN!B$2:B$1879,"EQ")</f>
        <v>5418.7835832607761</v>
      </c>
      <c r="M204" s="42">
        <f t="shared" si="12"/>
        <v>14804.6642249</v>
      </c>
      <c r="N204" s="42">
        <f t="shared" si="13"/>
        <v>35416.5</v>
      </c>
      <c r="O204" s="42">
        <f t="shared" si="14"/>
        <v>1667.3180256187004</v>
      </c>
      <c r="P204" s="42">
        <f t="shared" si="15"/>
        <v>51888.482250518697</v>
      </c>
      <c r="Q204" s="15">
        <f>COUNTIF(COMPOSICIÓN!$A:$A,A204)</f>
        <v>11</v>
      </c>
      <c r="R204" s="43">
        <v>14804.6642249</v>
      </c>
    </row>
    <row r="205" spans="1:18" ht="14.25" customHeight="1" x14ac:dyDescent="0.35">
      <c r="A205" s="38" t="s">
        <v>274</v>
      </c>
      <c r="B205" s="38" t="s">
        <v>2742</v>
      </c>
      <c r="C205" s="38" t="s">
        <v>3027</v>
      </c>
      <c r="D205" s="38" t="s">
        <v>273</v>
      </c>
      <c r="E205" s="38" t="s">
        <v>53</v>
      </c>
      <c r="F205" s="39">
        <v>3.25</v>
      </c>
      <c r="G205" s="40">
        <v>0</v>
      </c>
      <c r="H205" s="41">
        <v>0</v>
      </c>
      <c r="I205" s="14">
        <v>1</v>
      </c>
      <c r="J205" s="42">
        <f>SUMIFS(COMPOSICIÓN!J$2:J$1879,COMPOSICIÓN!A$2:A$1879,A205,COMPOSICIÓN!B$2:B$1879,"MAT")</f>
        <v>34429.494880000006</v>
      </c>
      <c r="K205" s="42">
        <f>SUMIFS(COMPOSICIÓN!J$2:J$1879,COMPOSICIÓN!A$2:A$1879,A205,COMPOSICIÓN!B$2:B$1879,"MO")*I205</f>
        <v>115103.625</v>
      </c>
      <c r="L205" s="42">
        <f>SUMIFS(COMPOSICIÓN!J$2:J$1879,COMPOSICIÓN!A$2:A$1879,A205,COMPOSICIÓN!B$2:B$1879,"EQ")</f>
        <v>5418.7835832607761</v>
      </c>
      <c r="M205" s="42">
        <f t="shared" si="12"/>
        <v>34429.494880000006</v>
      </c>
      <c r="N205" s="42">
        <f t="shared" si="13"/>
        <v>35416.5</v>
      </c>
      <c r="O205" s="42">
        <f t="shared" si="14"/>
        <v>1667.3180256187004</v>
      </c>
      <c r="P205" s="42">
        <f t="shared" si="15"/>
        <v>71513.312905618717</v>
      </c>
      <c r="Q205" s="15">
        <f>COUNTIF(COMPOSICIÓN!$A:$A,A205)</f>
        <v>10</v>
      </c>
      <c r="R205" s="43">
        <v>34429.494879999998</v>
      </c>
    </row>
    <row r="206" spans="1:18" ht="14.25" customHeight="1" x14ac:dyDescent="0.35">
      <c r="A206" s="38" t="s">
        <v>2743</v>
      </c>
      <c r="B206" s="38" t="s">
        <v>2631</v>
      </c>
      <c r="C206" s="38" t="s">
        <v>3027</v>
      </c>
      <c r="D206" s="38" t="s">
        <v>275</v>
      </c>
      <c r="E206" s="38" t="s">
        <v>53</v>
      </c>
      <c r="F206" s="39">
        <v>3.25</v>
      </c>
      <c r="G206" s="40">
        <v>0</v>
      </c>
      <c r="H206" s="41">
        <v>0</v>
      </c>
      <c r="I206" s="14">
        <v>1</v>
      </c>
      <c r="J206" s="42">
        <f>SUMIFS(COMPOSICIÓN!J$2:J$1879,COMPOSICIÓN!A$2:A$1879,A206,COMPOSICIÓN!B$2:B$1879,"MAT")</f>
        <v>12235.259690000001</v>
      </c>
      <c r="K206" s="42">
        <f>SUMIFS(COMPOSICIÓN!J$2:J$1879,COMPOSICIÓN!A$2:A$1879,A206,COMPOSICIÓN!B$2:B$1879,"MO")*I206</f>
        <v>115103.625</v>
      </c>
      <c r="L206" s="42">
        <f>SUMIFS(COMPOSICIÓN!J$2:J$1879,COMPOSICIÓN!A$2:A$1879,A206,COMPOSICIÓN!B$2:B$1879,"EQ")</f>
        <v>5418.7835832607761</v>
      </c>
      <c r="M206" s="42">
        <f t="shared" si="12"/>
        <v>12235.259690000001</v>
      </c>
      <c r="N206" s="42">
        <f t="shared" si="13"/>
        <v>35416.5</v>
      </c>
      <c r="O206" s="42">
        <f t="shared" si="14"/>
        <v>1667.3180256187004</v>
      </c>
      <c r="P206" s="42">
        <f t="shared" si="15"/>
        <v>49319.077715618696</v>
      </c>
      <c r="Q206" s="15">
        <f>COUNTIF(COMPOSICIÓN!$A:$A,A206)</f>
        <v>10</v>
      </c>
      <c r="R206" s="43">
        <v>14804.6642249</v>
      </c>
    </row>
    <row r="207" spans="1:18" ht="14.25" customHeight="1" x14ac:dyDescent="0.35">
      <c r="A207" s="38" t="s">
        <v>2744</v>
      </c>
      <c r="B207" s="38" t="s">
        <v>2631</v>
      </c>
      <c r="C207" s="38" t="s">
        <v>3027</v>
      </c>
      <c r="D207" s="38" t="s">
        <v>2745</v>
      </c>
      <c r="E207" s="38" t="s">
        <v>53</v>
      </c>
      <c r="F207" s="39">
        <v>3.25</v>
      </c>
      <c r="G207" s="40">
        <v>0</v>
      </c>
      <c r="H207" s="41">
        <v>0</v>
      </c>
      <c r="I207" s="14">
        <v>1</v>
      </c>
      <c r="J207" s="42">
        <f>SUMIFS(COMPOSICIÓN!J$2:J$1879,COMPOSICIÓN!A$2:A$1879,A207,COMPOSICIÓN!B$2:B$1879,"MAT")</f>
        <v>12235.259690000001</v>
      </c>
      <c r="K207" s="42">
        <f>SUMIFS(COMPOSICIÓN!J$2:J$1879,COMPOSICIÓN!A$2:A$1879,A207,COMPOSICIÓN!B$2:B$1879,"MO")*I207</f>
        <v>115103.625</v>
      </c>
      <c r="L207" s="42">
        <f>SUMIFS(COMPOSICIÓN!J$2:J$1879,COMPOSICIÓN!A$2:A$1879,A207,COMPOSICIÓN!B$2:B$1879,"EQ")</f>
        <v>5418.7835832607761</v>
      </c>
      <c r="M207" s="42">
        <f t="shared" si="12"/>
        <v>12235.259690000001</v>
      </c>
      <c r="N207" s="42">
        <f t="shared" si="13"/>
        <v>35416.5</v>
      </c>
      <c r="O207" s="42">
        <f t="shared" si="14"/>
        <v>1667.3180256187004</v>
      </c>
      <c r="P207" s="42">
        <f t="shared" si="15"/>
        <v>49319.077715618696</v>
      </c>
      <c r="Q207" s="15">
        <f>COUNTIF(COMPOSICIÓN!$A:$A,A207)</f>
        <v>10</v>
      </c>
      <c r="R207" s="43">
        <v>14804.6642249</v>
      </c>
    </row>
    <row r="208" spans="1:18" ht="14.25" customHeight="1" x14ac:dyDescent="0.35">
      <c r="A208" s="38" t="s">
        <v>278</v>
      </c>
      <c r="B208" s="38" t="s">
        <v>2742</v>
      </c>
      <c r="C208" s="38" t="s">
        <v>3027</v>
      </c>
      <c r="D208" s="38" t="s">
        <v>2746</v>
      </c>
      <c r="E208" s="38" t="s">
        <v>53</v>
      </c>
      <c r="F208" s="39">
        <v>5</v>
      </c>
      <c r="G208" s="40">
        <v>0</v>
      </c>
      <c r="H208" s="41">
        <v>0</v>
      </c>
      <c r="I208" s="14">
        <v>1</v>
      </c>
      <c r="J208" s="42">
        <f>SUMIFS(COMPOSICIÓN!J$2:J$1879,COMPOSICIÓN!A$2:A$1879,A208,COMPOSICIÓN!B$2:B$1879,"MAT")</f>
        <v>12087.904386250002</v>
      </c>
      <c r="K208" s="42">
        <f>SUMIFS(COMPOSICIÓN!J$2:J$1879,COMPOSICIÓN!A$2:A$1879,A208,COMPOSICIÓN!B$2:B$1879,"MO")*I208</f>
        <v>124036.5</v>
      </c>
      <c r="L208" s="42">
        <f>SUMIFS(COMPOSICIÓN!J$2:J$1879,COMPOSICIÓN!A$2:A$1879,A208,COMPOSICIÓN!B$2:B$1879,"EQ")</f>
        <v>5418.7835832607761</v>
      </c>
      <c r="M208" s="42">
        <f t="shared" si="12"/>
        <v>12087.904386250002</v>
      </c>
      <c r="N208" s="42">
        <f t="shared" si="13"/>
        <v>24807.3</v>
      </c>
      <c r="O208" s="42">
        <f t="shared" si="14"/>
        <v>1083.7567166521553</v>
      </c>
      <c r="P208" s="42">
        <f t="shared" si="15"/>
        <v>37978.961102902154</v>
      </c>
      <c r="Q208" s="15">
        <f>COUNTIF(COMPOSICIÓN!$A:$A,A208)</f>
        <v>10</v>
      </c>
      <c r="R208" s="43">
        <v>12087.90438625</v>
      </c>
    </row>
    <row r="209" spans="1:18" ht="14.25" customHeight="1" x14ac:dyDescent="0.35">
      <c r="A209" s="38" t="s">
        <v>2747</v>
      </c>
      <c r="B209" s="38" t="s">
        <v>2742</v>
      </c>
      <c r="C209" s="38" t="s">
        <v>3027</v>
      </c>
      <c r="D209" s="38" t="s">
        <v>2748</v>
      </c>
      <c r="E209" s="38" t="s">
        <v>53</v>
      </c>
      <c r="F209" s="39">
        <v>5</v>
      </c>
      <c r="G209" s="40">
        <v>0</v>
      </c>
      <c r="H209" s="41">
        <v>0</v>
      </c>
      <c r="I209" s="14">
        <v>1</v>
      </c>
      <c r="J209" s="42">
        <f>SUMIFS(COMPOSICIÓN!J$2:J$1879,COMPOSICIÓN!A$2:A$1879,A209,COMPOSICIÓN!B$2:B$1879,"MAT")</f>
        <v>28454.128000000008</v>
      </c>
      <c r="K209" s="42">
        <f>SUMIFS(COMPOSICIÓN!J$2:J$1879,COMPOSICIÓN!A$2:A$1879,A209,COMPOSICIÓN!B$2:B$1879,"MO")*I209</f>
        <v>124036.5</v>
      </c>
      <c r="L209" s="42">
        <f>SUMIFS(COMPOSICIÓN!J$2:J$1879,COMPOSICIÓN!A$2:A$1879,A209,COMPOSICIÓN!B$2:B$1879,"EQ")</f>
        <v>5418.7835832607761</v>
      </c>
      <c r="M209" s="42">
        <f t="shared" si="12"/>
        <v>28454.128000000008</v>
      </c>
      <c r="N209" s="42">
        <f t="shared" si="13"/>
        <v>24807.3</v>
      </c>
      <c r="O209" s="42">
        <f t="shared" si="14"/>
        <v>1083.7567166521553</v>
      </c>
      <c r="P209" s="42">
        <f t="shared" si="15"/>
        <v>54345.184716652162</v>
      </c>
      <c r="Q209" s="15">
        <f>COUNTIF(COMPOSICIÓN!$A:$A,A209)</f>
        <v>9</v>
      </c>
      <c r="R209" s="43">
        <v>12087.90438625</v>
      </c>
    </row>
    <row r="210" spans="1:18" ht="14.25" customHeight="1" x14ac:dyDescent="0.35">
      <c r="A210" s="38" t="s">
        <v>2749</v>
      </c>
      <c r="B210" s="38" t="s">
        <v>2742</v>
      </c>
      <c r="C210" s="38" t="s">
        <v>3027</v>
      </c>
      <c r="D210" s="38" t="s">
        <v>2750</v>
      </c>
      <c r="E210" s="38" t="s">
        <v>53</v>
      </c>
      <c r="F210" s="39">
        <v>5</v>
      </c>
      <c r="G210" s="40">
        <v>0</v>
      </c>
      <c r="H210" s="41">
        <v>0</v>
      </c>
      <c r="I210" s="14">
        <v>1</v>
      </c>
      <c r="J210" s="42">
        <f>SUMIFS(COMPOSICIÓN!J$2:J$1879,COMPOSICIÓN!A$2:A$1879,A210,COMPOSICIÓN!B$2:B$1879,"MAT")</f>
        <v>28454.128000000008</v>
      </c>
      <c r="K210" s="42">
        <f>SUMIFS(COMPOSICIÓN!J$2:J$1879,COMPOSICIÓN!A$2:A$1879,A210,COMPOSICIÓN!B$2:B$1879,"MO")*I210</f>
        <v>124036.5</v>
      </c>
      <c r="L210" s="42">
        <f>SUMIFS(COMPOSICIÓN!J$2:J$1879,COMPOSICIÓN!A$2:A$1879,A210,COMPOSICIÓN!B$2:B$1879,"EQ")</f>
        <v>5418.7835832607761</v>
      </c>
      <c r="M210" s="42">
        <f t="shared" si="12"/>
        <v>28454.128000000008</v>
      </c>
      <c r="N210" s="42">
        <f t="shared" si="13"/>
        <v>24807.3</v>
      </c>
      <c r="O210" s="42">
        <f t="shared" si="14"/>
        <v>1083.7567166521553</v>
      </c>
      <c r="P210" s="42">
        <f t="shared" si="15"/>
        <v>54345.184716652162</v>
      </c>
      <c r="Q210" s="15">
        <f>COUNTIF(COMPOSICIÓN!$A:$A,A210)</f>
        <v>9</v>
      </c>
      <c r="R210" s="43">
        <v>12087.90438625</v>
      </c>
    </row>
    <row r="211" spans="1:18" ht="14.25" customHeight="1" x14ac:dyDescent="0.35">
      <c r="A211" s="38" t="s">
        <v>2751</v>
      </c>
      <c r="B211" s="38" t="s">
        <v>2742</v>
      </c>
      <c r="C211" s="38" t="s">
        <v>3027</v>
      </c>
      <c r="D211" s="38" t="s">
        <v>2752</v>
      </c>
      <c r="E211" s="38" t="s">
        <v>53</v>
      </c>
      <c r="F211" s="39">
        <v>5</v>
      </c>
      <c r="G211" s="40">
        <v>0</v>
      </c>
      <c r="H211" s="41">
        <v>0</v>
      </c>
      <c r="I211" s="14">
        <v>1</v>
      </c>
      <c r="J211" s="42">
        <f>SUMIFS(COMPOSICIÓN!J$2:J$1879,COMPOSICIÓN!A$2:A$1879,A211,COMPOSICIÓN!B$2:B$1879,"MAT")</f>
        <v>28454.128000000008</v>
      </c>
      <c r="K211" s="42">
        <f>SUMIFS(COMPOSICIÓN!J$2:J$1879,COMPOSICIÓN!A$2:A$1879,A211,COMPOSICIÓN!B$2:B$1879,"MO")*I211</f>
        <v>124036.5</v>
      </c>
      <c r="L211" s="42">
        <f>SUMIFS(COMPOSICIÓN!J$2:J$1879,COMPOSICIÓN!A$2:A$1879,A211,COMPOSICIÓN!B$2:B$1879,"EQ")</f>
        <v>5418.7835832607761</v>
      </c>
      <c r="M211" s="42">
        <f t="shared" si="12"/>
        <v>28454.128000000008</v>
      </c>
      <c r="N211" s="42">
        <f t="shared" si="13"/>
        <v>24807.3</v>
      </c>
      <c r="O211" s="42">
        <f t="shared" si="14"/>
        <v>1083.7567166521553</v>
      </c>
      <c r="P211" s="42">
        <f t="shared" si="15"/>
        <v>54345.184716652162</v>
      </c>
      <c r="Q211" s="15">
        <f>COUNTIF(COMPOSICIÓN!$A:$A,A211)</f>
        <v>9</v>
      </c>
      <c r="R211" s="43">
        <v>12087.90438625</v>
      </c>
    </row>
    <row r="212" spans="1:18" ht="14.25" customHeight="1" x14ac:dyDescent="0.35">
      <c r="A212" s="38" t="s">
        <v>2753</v>
      </c>
      <c r="B212" s="38" t="s">
        <v>2742</v>
      </c>
      <c r="C212" s="38" t="s">
        <v>3027</v>
      </c>
      <c r="D212" s="38" t="s">
        <v>2754</v>
      </c>
      <c r="E212" s="38" t="s">
        <v>53</v>
      </c>
      <c r="F212" s="39">
        <v>5</v>
      </c>
      <c r="G212" s="40">
        <v>0</v>
      </c>
      <c r="H212" s="41">
        <v>0</v>
      </c>
      <c r="I212" s="14">
        <v>1</v>
      </c>
      <c r="J212" s="42">
        <f>SUMIFS(COMPOSICIÓN!J$2:J$1879,COMPOSICIÓN!A$2:A$1879,A212,COMPOSICIÓN!B$2:B$1879,"MAT")</f>
        <v>28454.128000000008</v>
      </c>
      <c r="K212" s="42">
        <f>SUMIFS(COMPOSICIÓN!J$2:J$1879,COMPOSICIÓN!A$2:A$1879,A212,COMPOSICIÓN!B$2:B$1879,"MO")*I212</f>
        <v>124036.5</v>
      </c>
      <c r="L212" s="42">
        <f>SUMIFS(COMPOSICIÓN!J$2:J$1879,COMPOSICIÓN!A$2:A$1879,A212,COMPOSICIÓN!B$2:B$1879,"EQ")</f>
        <v>5418.7835832607761</v>
      </c>
      <c r="M212" s="42">
        <f t="shared" si="12"/>
        <v>28454.128000000008</v>
      </c>
      <c r="N212" s="42">
        <f t="shared" si="13"/>
        <v>24807.3</v>
      </c>
      <c r="O212" s="42">
        <f t="shared" si="14"/>
        <v>1083.7567166521553</v>
      </c>
      <c r="P212" s="42">
        <f t="shared" si="15"/>
        <v>54345.184716652162</v>
      </c>
      <c r="Q212" s="15">
        <f>COUNTIF(COMPOSICIÓN!$A:$A,A212)</f>
        <v>9</v>
      </c>
      <c r="R212" s="43">
        <v>12087.90438625</v>
      </c>
    </row>
    <row r="213" spans="1:18" ht="14.25" customHeight="1" x14ac:dyDescent="0.35">
      <c r="A213" s="38" t="s">
        <v>284</v>
      </c>
      <c r="B213" s="38"/>
      <c r="C213" s="38" t="s">
        <v>3027</v>
      </c>
      <c r="D213" s="38" t="s">
        <v>283</v>
      </c>
      <c r="E213" s="38" t="s">
        <v>53</v>
      </c>
      <c r="F213" s="39">
        <v>1</v>
      </c>
      <c r="G213" s="40">
        <v>0</v>
      </c>
      <c r="H213" s="41">
        <v>0</v>
      </c>
      <c r="I213" s="14">
        <v>1</v>
      </c>
      <c r="J213" s="42">
        <f>SUMIFS(COMPOSICIÓN!J$2:J$1879,COMPOSICIÓN!A$2:A$1879,A213,COMPOSICIÓN!B$2:B$1879,"MAT")</f>
        <v>1310987.0203363637</v>
      </c>
      <c r="K213" s="42">
        <f>SUMIFS(COMPOSICIÓN!J$2:J$1879,COMPOSICIÓN!A$2:A$1879,A213,COMPOSICIÓN!B$2:B$1879,"MO")*I213</f>
        <v>349202.7</v>
      </c>
      <c r="L213" s="42">
        <f>SUMIFS(COMPOSICIÓN!J$2:J$1879,COMPOSICIÓN!A$2:A$1879,A213,COMPOSICIÓN!B$2:B$1879,"EQ")</f>
        <v>24902.845805454501</v>
      </c>
      <c r="M213" s="42">
        <f t="shared" si="12"/>
        <v>1310987.0203363637</v>
      </c>
      <c r="N213" s="42">
        <f t="shared" si="13"/>
        <v>349202.7</v>
      </c>
      <c r="O213" s="42">
        <f t="shared" si="14"/>
        <v>24902.845805454501</v>
      </c>
      <c r="P213" s="42">
        <f t="shared" si="15"/>
        <v>1685092.5661418182</v>
      </c>
      <c r="Q213" s="15">
        <f>COUNTIF(COMPOSICIÓN!$A:$A,A213)</f>
        <v>16</v>
      </c>
      <c r="R213" s="43" t="s">
        <v>2670</v>
      </c>
    </row>
    <row r="214" spans="1:18" ht="14.25" customHeight="1" x14ac:dyDescent="0.35">
      <c r="A214" s="38" t="s">
        <v>286</v>
      </c>
      <c r="B214" s="38"/>
      <c r="C214" s="38" t="s">
        <v>3027</v>
      </c>
      <c r="D214" s="38" t="s">
        <v>285</v>
      </c>
      <c r="E214" s="38" t="s">
        <v>53</v>
      </c>
      <c r="F214" s="39">
        <v>1</v>
      </c>
      <c r="G214" s="40">
        <v>0</v>
      </c>
      <c r="H214" s="41">
        <v>0</v>
      </c>
      <c r="I214" s="14">
        <v>1</v>
      </c>
      <c r="J214" s="42">
        <f>SUMIFS(COMPOSICIÓN!J$2:J$1879,COMPOSICIÓN!A$2:A$1879,A214,COMPOSICIÓN!B$2:B$1879,"MAT")</f>
        <v>592217.14204132231</v>
      </c>
      <c r="K214" s="42">
        <f>SUMIFS(COMPOSICIÓN!J$2:J$1879,COMPOSICIÓN!A$2:A$1879,A214,COMPOSICIÓN!B$2:B$1879,"MO")*I214</f>
        <v>232812.45</v>
      </c>
      <c r="L214" s="42">
        <f>SUMIFS(COMPOSICIÓN!J$2:J$1879,COMPOSICIÓN!A$2:A$1879,A214,COMPOSICIÓN!B$2:B$1879,"EQ")</f>
        <v>12375.4438807438</v>
      </c>
      <c r="M214" s="42">
        <f t="shared" si="12"/>
        <v>592217.14204132231</v>
      </c>
      <c r="N214" s="42">
        <f t="shared" si="13"/>
        <v>232812.45</v>
      </c>
      <c r="O214" s="42">
        <f t="shared" si="14"/>
        <v>12375.4438807438</v>
      </c>
      <c r="P214" s="42">
        <f t="shared" si="15"/>
        <v>837405.03592206608</v>
      </c>
      <c r="Q214" s="15">
        <f>COUNTIF(COMPOSICIÓN!$A:$A,A214)</f>
        <v>12</v>
      </c>
      <c r="R214" s="43" t="s">
        <v>2670</v>
      </c>
    </row>
    <row r="215" spans="1:18" ht="14.25" customHeight="1" x14ac:dyDescent="0.35">
      <c r="A215" s="38" t="s">
        <v>288</v>
      </c>
      <c r="B215" s="38"/>
      <c r="C215" s="38" t="s">
        <v>3027</v>
      </c>
      <c r="D215" s="38" t="s">
        <v>287</v>
      </c>
      <c r="E215" s="38" t="s">
        <v>53</v>
      </c>
      <c r="F215" s="39">
        <v>1</v>
      </c>
      <c r="G215" s="40">
        <v>0</v>
      </c>
      <c r="H215" s="41">
        <v>0</v>
      </c>
      <c r="I215" s="14">
        <v>1</v>
      </c>
      <c r="J215" s="42">
        <f>SUMIFS(COMPOSICIÓN!J$2:J$1879,COMPOSICIÓN!A$2:A$1879,A215,COMPOSICIÓN!B$2:B$1879,"MAT")</f>
        <v>159726.77404132232</v>
      </c>
      <c r="K215" s="42">
        <f>SUMIFS(COMPOSICIÓN!J$2:J$1879,COMPOSICIÓN!A$2:A$1879,A215,COMPOSICIÓN!B$2:B$1879,"MO")*I215</f>
        <v>232812.45</v>
      </c>
      <c r="L215" s="42">
        <f>SUMIFS(COMPOSICIÓN!J$2:J$1879,COMPOSICIÓN!A$2:A$1879,A215,COMPOSICIÓN!B$2:B$1879,"EQ")</f>
        <v>5888.0883607438</v>
      </c>
      <c r="M215" s="42">
        <f t="shared" si="12"/>
        <v>159726.77404132232</v>
      </c>
      <c r="N215" s="42">
        <f t="shared" si="13"/>
        <v>232812.45</v>
      </c>
      <c r="O215" s="42">
        <f t="shared" si="14"/>
        <v>5888.0883607438</v>
      </c>
      <c r="P215" s="42">
        <f t="shared" si="15"/>
        <v>398427.31240206613</v>
      </c>
      <c r="Q215" s="15">
        <f>COUNTIF(COMPOSICIÓN!$A:$A,A215)</f>
        <v>9</v>
      </c>
      <c r="R215" s="43" t="s">
        <v>2670</v>
      </c>
    </row>
    <row r="216" spans="1:18" ht="14.25" customHeight="1" x14ac:dyDescent="0.35">
      <c r="A216" s="38" t="s">
        <v>290</v>
      </c>
      <c r="B216" s="38"/>
      <c r="C216" s="38" t="s">
        <v>3027</v>
      </c>
      <c r="D216" s="38" t="s">
        <v>289</v>
      </c>
      <c r="E216" s="38" t="s">
        <v>53</v>
      </c>
      <c r="F216" s="39">
        <v>1</v>
      </c>
      <c r="G216" s="40">
        <v>0</v>
      </c>
      <c r="H216" s="41">
        <v>0</v>
      </c>
      <c r="I216" s="14">
        <v>1</v>
      </c>
      <c r="J216" s="42">
        <f>SUMIFS(COMPOSICIÓN!J$2:J$1879,COMPOSICIÓN!A$2:A$1879,A216,COMPOSICIÓN!B$2:B$1879,"MAT")</f>
        <v>207344.83200000002</v>
      </c>
      <c r="K216" s="42">
        <f>SUMIFS(COMPOSICIÓN!J$2:J$1879,COMPOSICIÓN!A$2:A$1879,A216,COMPOSICIÓN!B$2:B$1879,"MO")*I216</f>
        <v>232812.45</v>
      </c>
      <c r="L216" s="42">
        <f>SUMIFS(COMPOSICIÓN!J$2:J$1879,COMPOSICIÓN!A$2:A$1879,A216,COMPOSICIÓN!B$2:B$1879,"EQ")</f>
        <v>6602.35923</v>
      </c>
      <c r="M216" s="42">
        <f t="shared" si="12"/>
        <v>207344.83200000002</v>
      </c>
      <c r="N216" s="42">
        <f t="shared" si="13"/>
        <v>232812.45</v>
      </c>
      <c r="O216" s="42">
        <f t="shared" si="14"/>
        <v>6602.35923</v>
      </c>
      <c r="P216" s="42">
        <f t="shared" si="15"/>
        <v>446759.64123000001</v>
      </c>
      <c r="Q216" s="15">
        <f>COUNTIF(COMPOSICIÓN!$A:$A,A216)</f>
        <v>10</v>
      </c>
      <c r="R216" s="43" t="s">
        <v>2670</v>
      </c>
    </row>
    <row r="217" spans="1:18" ht="14.25" customHeight="1" x14ac:dyDescent="0.35">
      <c r="A217" s="38" t="s">
        <v>292</v>
      </c>
      <c r="B217" s="38"/>
      <c r="C217" s="38" t="s">
        <v>3027</v>
      </c>
      <c r="D217" s="38" t="s">
        <v>291</v>
      </c>
      <c r="E217" s="38" t="s">
        <v>24</v>
      </c>
      <c r="F217" s="39">
        <v>1</v>
      </c>
      <c r="G217" s="40">
        <v>0</v>
      </c>
      <c r="H217" s="41">
        <v>0</v>
      </c>
      <c r="I217" s="14">
        <v>1</v>
      </c>
      <c r="J217" s="42">
        <f>SUMIFS(COMPOSICIÓN!J$2:J$1879,COMPOSICIÓN!A$2:A$1879,A217,COMPOSICIÓN!B$2:B$1879,"MAT")</f>
        <v>3200954.2587677687</v>
      </c>
      <c r="K217" s="42">
        <f>SUMIFS(COMPOSICIÓN!J$2:J$1879,COMPOSICIÓN!A$2:A$1879,A217,COMPOSICIÓN!B$2:B$1879,"MO")*I217</f>
        <v>1514201.6879314398</v>
      </c>
      <c r="L217" s="42">
        <f>SUMIFS(COMPOSICIÓN!J$2:J$1879,COMPOSICIÓN!A$2:A$1879,A217,COMPOSICIÓN!B$2:B$1879,"EQ")</f>
        <v>70727.339200190603</v>
      </c>
      <c r="M217" s="42">
        <f t="shared" si="12"/>
        <v>3200954.2587677687</v>
      </c>
      <c r="N217" s="42">
        <f t="shared" si="13"/>
        <v>1514201.6879314398</v>
      </c>
      <c r="O217" s="42">
        <f t="shared" si="14"/>
        <v>70727.339200190603</v>
      </c>
      <c r="P217" s="42">
        <f t="shared" si="15"/>
        <v>4785883.2858993988</v>
      </c>
      <c r="Q217" s="15">
        <f>COUNTIF(COMPOSICIÓN!$A:$A,A217)</f>
        <v>15</v>
      </c>
      <c r="R217" s="43" t="s">
        <v>2661</v>
      </c>
    </row>
    <row r="218" spans="1:18" ht="14.25" customHeight="1" x14ac:dyDescent="0.35">
      <c r="A218" s="38" t="s">
        <v>294</v>
      </c>
      <c r="B218" s="38"/>
      <c r="C218" s="38" t="s">
        <v>3027</v>
      </c>
      <c r="D218" s="38" t="s">
        <v>2755</v>
      </c>
      <c r="E218" s="38" t="s">
        <v>24</v>
      </c>
      <c r="F218" s="39">
        <v>1</v>
      </c>
      <c r="G218" s="40">
        <v>0</v>
      </c>
      <c r="H218" s="41">
        <v>0</v>
      </c>
      <c r="I218" s="14">
        <v>1</v>
      </c>
      <c r="J218" s="42">
        <f>SUMIFS(COMPOSICIÓN!J$2:J$1879,COMPOSICIÓN!A$2:A$1879,A218,COMPOSICIÓN!B$2:B$1879,"MAT")</f>
        <v>496467.83559999999</v>
      </c>
      <c r="K218" s="42">
        <f>SUMIFS(COMPOSICIÓN!J$2:J$1879,COMPOSICIÓN!A$2:A$1879,A218,COMPOSICIÓN!B$2:B$1879,"MO")*I218</f>
        <v>757100.84396571992</v>
      </c>
      <c r="L218" s="42">
        <f>SUMIFS(COMPOSICIÓN!J$2:J$1879,COMPOSICIÓN!A$2:A$1879,A218,COMPOSICIÓN!B$2:B$1879,"EQ")</f>
        <v>18803.5301934858</v>
      </c>
      <c r="M218" s="42">
        <f t="shared" si="12"/>
        <v>496467.83559999999</v>
      </c>
      <c r="N218" s="42">
        <f t="shared" si="13"/>
        <v>757100.84396571992</v>
      </c>
      <c r="O218" s="42">
        <f t="shared" si="14"/>
        <v>18803.5301934858</v>
      </c>
      <c r="P218" s="42">
        <f t="shared" si="15"/>
        <v>1272372.2097592056</v>
      </c>
      <c r="Q218" s="15">
        <f>COUNTIF(COMPOSICIÓN!$A:$A,A218)</f>
        <v>12</v>
      </c>
      <c r="R218" s="43" t="s">
        <v>2661</v>
      </c>
    </row>
    <row r="219" spans="1:18" ht="14.25" customHeight="1" x14ac:dyDescent="0.35">
      <c r="A219" s="38" t="s">
        <v>296</v>
      </c>
      <c r="B219" s="38"/>
      <c r="C219" s="38" t="s">
        <v>3027</v>
      </c>
      <c r="D219" s="38" t="s">
        <v>295</v>
      </c>
      <c r="E219" s="38" t="s">
        <v>24</v>
      </c>
      <c r="F219" s="39">
        <v>1</v>
      </c>
      <c r="G219" s="40">
        <v>0</v>
      </c>
      <c r="H219" s="41">
        <v>0</v>
      </c>
      <c r="I219" s="14">
        <v>1</v>
      </c>
      <c r="J219" s="42">
        <f>SUMIFS(COMPOSICIÓN!J$2:J$1879,COMPOSICIÓN!A$2:A$1879,A219,COMPOSICIÓN!B$2:B$1879,"MAT")</f>
        <v>496467.83559999999</v>
      </c>
      <c r="K219" s="42">
        <f>SUMIFS(COMPOSICIÓN!J$2:J$1879,COMPOSICIÓN!A$2:A$1879,A219,COMPOSICIÓN!B$2:B$1879,"MO")*I219</f>
        <v>757100.84396571992</v>
      </c>
      <c r="L219" s="42">
        <f>SUMIFS(COMPOSICIÓN!J$2:J$1879,COMPOSICIÓN!A$2:A$1879,A219,COMPOSICIÓN!B$2:B$1879,"EQ")</f>
        <v>18803.5301934858</v>
      </c>
      <c r="M219" s="42">
        <f t="shared" si="12"/>
        <v>496467.83559999999</v>
      </c>
      <c r="N219" s="42">
        <f t="shared" si="13"/>
        <v>757100.84396571992</v>
      </c>
      <c r="O219" s="42">
        <f t="shared" si="14"/>
        <v>18803.5301934858</v>
      </c>
      <c r="P219" s="42">
        <f t="shared" si="15"/>
        <v>1272372.2097592056</v>
      </c>
      <c r="Q219" s="15">
        <f>COUNTIF(COMPOSICIÓN!$A:$A,A219)</f>
        <v>12</v>
      </c>
      <c r="R219" s="43" t="s">
        <v>2661</v>
      </c>
    </row>
    <row r="220" spans="1:18" ht="14.25" customHeight="1" x14ac:dyDescent="0.35">
      <c r="A220" s="38" t="s">
        <v>298</v>
      </c>
      <c r="B220" s="38"/>
      <c r="C220" s="38" t="s">
        <v>3027</v>
      </c>
      <c r="D220" s="38" t="s">
        <v>297</v>
      </c>
      <c r="E220" s="38" t="s">
        <v>53</v>
      </c>
      <c r="F220" s="39">
        <v>1</v>
      </c>
      <c r="G220" s="40">
        <v>0</v>
      </c>
      <c r="H220" s="41">
        <v>0</v>
      </c>
      <c r="I220" s="14">
        <v>1</v>
      </c>
      <c r="J220" s="42">
        <f>SUMIFS(COMPOSICIÓN!J$2:J$1879,COMPOSICIÓN!A$2:A$1879,A220,COMPOSICIÓN!B$2:B$1879,"MAT")</f>
        <v>0</v>
      </c>
      <c r="K220" s="42">
        <f>SUMIFS(COMPOSICIÓN!J$2:J$1879,COMPOSICIÓN!A$2:A$1879,A220,COMPOSICIÓN!B$2:B$1879,"MO")*I220</f>
        <v>11816</v>
      </c>
      <c r="L220" s="42">
        <f>SUMIFS(COMPOSICIÓN!J$2:J$1879,COMPOSICIÓN!A$2:A$1879,A220,COMPOSICIÓN!B$2:B$1879,"EQ")</f>
        <v>177.24</v>
      </c>
      <c r="M220" s="42">
        <f t="shared" si="12"/>
        <v>0</v>
      </c>
      <c r="N220" s="42">
        <f t="shared" si="13"/>
        <v>11816</v>
      </c>
      <c r="O220" s="42">
        <f t="shared" si="14"/>
        <v>177.24</v>
      </c>
      <c r="P220" s="42">
        <f t="shared" si="15"/>
        <v>11993.24</v>
      </c>
      <c r="Q220" s="15">
        <f>COUNTIF(COMPOSICIÓN!$A:$A,A220)</f>
        <v>2</v>
      </c>
      <c r="R220" s="43" t="s">
        <v>2670</v>
      </c>
    </row>
    <row r="221" spans="1:18" ht="14.25" customHeight="1" x14ac:dyDescent="0.35">
      <c r="A221" s="38" t="s">
        <v>300</v>
      </c>
      <c r="B221" s="38"/>
      <c r="C221" s="38" t="s">
        <v>3027</v>
      </c>
      <c r="D221" s="38" t="s">
        <v>299</v>
      </c>
      <c r="E221" s="38" t="s">
        <v>53</v>
      </c>
      <c r="F221" s="39">
        <v>1</v>
      </c>
      <c r="G221" s="40">
        <v>0</v>
      </c>
      <c r="H221" s="41">
        <v>0</v>
      </c>
      <c r="I221" s="14">
        <v>1</v>
      </c>
      <c r="J221" s="42">
        <f>SUMIFS(COMPOSICIÓN!J$2:J$1879,COMPOSICIÓN!A$2:A$1879,A221,COMPOSICIÓN!B$2:B$1879,"MAT")</f>
        <v>0</v>
      </c>
      <c r="K221" s="42">
        <f>SUMIFS(COMPOSICIÓN!J$2:J$1879,COMPOSICIÓN!A$2:A$1879,A221,COMPOSICIÓN!B$2:B$1879,"MO")*I221</f>
        <v>7700</v>
      </c>
      <c r="L221" s="42">
        <f>SUMIFS(COMPOSICIÓN!J$2:J$1879,COMPOSICIÓN!A$2:A$1879,A221,COMPOSICIÓN!B$2:B$1879,"EQ")</f>
        <v>115.5</v>
      </c>
      <c r="M221" s="42">
        <f t="shared" si="12"/>
        <v>0</v>
      </c>
      <c r="N221" s="42">
        <f t="shared" si="13"/>
        <v>7700</v>
      </c>
      <c r="O221" s="42">
        <f t="shared" si="14"/>
        <v>115.5</v>
      </c>
      <c r="P221" s="42">
        <f t="shared" si="15"/>
        <v>7815.5</v>
      </c>
      <c r="Q221" s="15">
        <f>COUNTIF(COMPOSICIÓN!$A:$A,A221)</f>
        <v>2</v>
      </c>
      <c r="R221" s="43" t="s">
        <v>2670</v>
      </c>
    </row>
    <row r="222" spans="1:18" ht="14.25" customHeight="1" x14ac:dyDescent="0.35">
      <c r="A222" s="38" t="s">
        <v>302</v>
      </c>
      <c r="B222" s="38"/>
      <c r="C222" s="38" t="s">
        <v>3027</v>
      </c>
      <c r="D222" s="38" t="s">
        <v>301</v>
      </c>
      <c r="E222" s="38" t="s">
        <v>53</v>
      </c>
      <c r="F222" s="39">
        <v>1</v>
      </c>
      <c r="G222" s="40">
        <v>0</v>
      </c>
      <c r="H222" s="41">
        <v>0</v>
      </c>
      <c r="I222" s="14">
        <v>1</v>
      </c>
      <c r="J222" s="42">
        <f>SUMIFS(COMPOSICIÓN!J$2:J$1879,COMPOSICIÓN!A$2:A$1879,A222,COMPOSICIÓN!B$2:B$1879,"MAT")</f>
        <v>0</v>
      </c>
      <c r="K222" s="42">
        <f>SUMIFS(COMPOSICIÓN!J$2:J$1879,COMPOSICIÓN!A$2:A$1879,A222,COMPOSICIÓN!B$2:B$1879,"MO")*I222</f>
        <v>7700</v>
      </c>
      <c r="L222" s="42">
        <f>SUMIFS(COMPOSICIÓN!J$2:J$1879,COMPOSICIÓN!A$2:A$1879,A222,COMPOSICIÓN!B$2:B$1879,"EQ")</f>
        <v>115.5</v>
      </c>
      <c r="M222" s="42">
        <f t="shared" si="12"/>
        <v>0</v>
      </c>
      <c r="N222" s="42">
        <f t="shared" si="13"/>
        <v>7700</v>
      </c>
      <c r="O222" s="42">
        <f t="shared" si="14"/>
        <v>115.5</v>
      </c>
      <c r="P222" s="42">
        <f t="shared" si="15"/>
        <v>7815.5</v>
      </c>
      <c r="Q222" s="15">
        <f>COUNTIF(COMPOSICIÓN!$A:$A,A222)</f>
        <v>2</v>
      </c>
      <c r="R222" s="43" t="s">
        <v>2670</v>
      </c>
    </row>
    <row r="223" spans="1:18" ht="14.25" customHeight="1" x14ac:dyDescent="0.35">
      <c r="A223" s="38" t="s">
        <v>304</v>
      </c>
      <c r="B223" s="38"/>
      <c r="C223" s="38" t="s">
        <v>3027</v>
      </c>
      <c r="D223" s="38" t="s">
        <v>303</v>
      </c>
      <c r="E223" s="38" t="s">
        <v>53</v>
      </c>
      <c r="F223" s="39">
        <v>1</v>
      </c>
      <c r="G223" s="40">
        <v>0</v>
      </c>
      <c r="H223" s="41">
        <v>0</v>
      </c>
      <c r="I223" s="14">
        <v>1</v>
      </c>
      <c r="J223" s="42">
        <f>SUMIFS(COMPOSICIÓN!J$2:J$1879,COMPOSICIÓN!A$2:A$1879,A223,COMPOSICIÓN!B$2:B$1879,"MAT")</f>
        <v>0</v>
      </c>
      <c r="K223" s="42">
        <f>SUMIFS(COMPOSICIÓN!J$2:J$1879,COMPOSICIÓN!A$2:A$1879,A223,COMPOSICIÓN!B$2:B$1879,"MO")*I223</f>
        <v>18760</v>
      </c>
      <c r="L223" s="42">
        <f>SUMIFS(COMPOSICIÓN!J$2:J$1879,COMPOSICIÓN!A$2:A$1879,A223,COMPOSICIÓN!B$2:B$1879,"EQ")</f>
        <v>281.39999999999998</v>
      </c>
      <c r="M223" s="42">
        <f t="shared" si="12"/>
        <v>0</v>
      </c>
      <c r="N223" s="42">
        <f t="shared" si="13"/>
        <v>18760</v>
      </c>
      <c r="O223" s="42">
        <f t="shared" si="14"/>
        <v>281.39999999999998</v>
      </c>
      <c r="P223" s="42">
        <f t="shared" si="15"/>
        <v>19041.400000000001</v>
      </c>
      <c r="Q223" s="15">
        <f>COUNTIF(COMPOSICIÓN!$A:$A,A223)</f>
        <v>2</v>
      </c>
      <c r="R223" s="43" t="s">
        <v>2670</v>
      </c>
    </row>
    <row r="224" spans="1:18" ht="14.25" customHeight="1" x14ac:dyDescent="0.35">
      <c r="A224" s="38" t="s">
        <v>306</v>
      </c>
      <c r="B224" s="38"/>
      <c r="C224" s="38" t="s">
        <v>3027</v>
      </c>
      <c r="D224" s="38" t="s">
        <v>305</v>
      </c>
      <c r="E224" s="38" t="s">
        <v>53</v>
      </c>
      <c r="F224" s="39">
        <v>1</v>
      </c>
      <c r="G224" s="40">
        <v>0</v>
      </c>
      <c r="H224" s="41">
        <v>0</v>
      </c>
      <c r="I224" s="14">
        <v>1</v>
      </c>
      <c r="J224" s="42">
        <f>SUMIFS(COMPOSICIÓN!J$2:J$1879,COMPOSICIÓN!A$2:A$1879,A224,COMPOSICIÓN!B$2:B$1879,"MAT")</f>
        <v>0</v>
      </c>
      <c r="K224" s="42">
        <f>SUMIFS(COMPOSICIÓN!J$2:J$1879,COMPOSICIÓN!A$2:A$1879,A224,COMPOSICIÓN!B$2:B$1879,"MO")*I224</f>
        <v>68810</v>
      </c>
      <c r="L224" s="42">
        <f>SUMIFS(COMPOSICIÓN!J$2:J$1879,COMPOSICIÓN!A$2:A$1879,A224,COMPOSICIÓN!B$2:B$1879,"EQ")</f>
        <v>1032.1500000000001</v>
      </c>
      <c r="M224" s="42">
        <f t="shared" si="12"/>
        <v>0</v>
      </c>
      <c r="N224" s="42">
        <f t="shared" si="13"/>
        <v>68810</v>
      </c>
      <c r="O224" s="42">
        <f t="shared" si="14"/>
        <v>1032.1500000000001</v>
      </c>
      <c r="P224" s="42">
        <f t="shared" si="15"/>
        <v>69842.149999999994</v>
      </c>
      <c r="Q224" s="15">
        <f>COUNTIF(COMPOSICIÓN!$A:$A,A224)</f>
        <v>2</v>
      </c>
      <c r="R224" s="43" t="s">
        <v>2670</v>
      </c>
    </row>
    <row r="225" spans="1:18" ht="14.25" customHeight="1" x14ac:dyDescent="0.35">
      <c r="A225" s="38" t="s">
        <v>308</v>
      </c>
      <c r="B225" s="38"/>
      <c r="C225" s="38" t="s">
        <v>3027</v>
      </c>
      <c r="D225" s="38" t="s">
        <v>307</v>
      </c>
      <c r="E225" s="38" t="s">
        <v>53</v>
      </c>
      <c r="F225" s="39">
        <v>1</v>
      </c>
      <c r="G225" s="40">
        <v>0</v>
      </c>
      <c r="H225" s="41">
        <v>0</v>
      </c>
      <c r="I225" s="14">
        <v>1</v>
      </c>
      <c r="J225" s="42">
        <f>SUMIFS(COMPOSICIÓN!J$2:J$1879,COMPOSICIÓN!A$2:A$1879,A225,COMPOSICIÓN!B$2:B$1879,"MAT")</f>
        <v>0</v>
      </c>
      <c r="K225" s="42">
        <f>SUMIFS(COMPOSICIÓN!J$2:J$1879,COMPOSICIÓN!A$2:A$1879,A225,COMPOSICIÓN!B$2:B$1879,"MO")*I225</f>
        <v>18760</v>
      </c>
      <c r="L225" s="42">
        <f>SUMIFS(COMPOSICIÓN!J$2:J$1879,COMPOSICIÓN!A$2:A$1879,A225,COMPOSICIÓN!B$2:B$1879,"EQ")</f>
        <v>281.39999999999998</v>
      </c>
      <c r="M225" s="42">
        <f t="shared" si="12"/>
        <v>0</v>
      </c>
      <c r="N225" s="42">
        <f t="shared" si="13"/>
        <v>18760</v>
      </c>
      <c r="O225" s="42">
        <f t="shared" si="14"/>
        <v>281.39999999999998</v>
      </c>
      <c r="P225" s="42">
        <f t="shared" si="15"/>
        <v>19041.400000000001</v>
      </c>
      <c r="Q225" s="15">
        <f>COUNTIF(COMPOSICIÓN!$A:$A,A225)</f>
        <v>2</v>
      </c>
      <c r="R225" s="43" t="s">
        <v>2670</v>
      </c>
    </row>
    <row r="226" spans="1:18" ht="14.25" customHeight="1" x14ac:dyDescent="0.35">
      <c r="A226" s="38" t="s">
        <v>310</v>
      </c>
      <c r="B226" s="38"/>
      <c r="C226" s="38" t="s">
        <v>3027</v>
      </c>
      <c r="D226" s="38" t="s">
        <v>309</v>
      </c>
      <c r="E226" s="38" t="s">
        <v>53</v>
      </c>
      <c r="F226" s="39">
        <v>1</v>
      </c>
      <c r="G226" s="40">
        <v>0</v>
      </c>
      <c r="H226" s="41">
        <v>0</v>
      </c>
      <c r="I226" s="14">
        <v>1</v>
      </c>
      <c r="J226" s="42">
        <f>SUMIFS(COMPOSICIÓN!J$2:J$1879,COMPOSICIÓN!A$2:A$1879,A226,COMPOSICIÓN!B$2:B$1879,"MAT")</f>
        <v>0</v>
      </c>
      <c r="K226" s="42">
        <f>SUMIFS(COMPOSICIÓN!J$2:J$1879,COMPOSICIÓN!A$2:A$1879,A226,COMPOSICIÓN!B$2:B$1879,"MO")*I226</f>
        <v>18760</v>
      </c>
      <c r="L226" s="42">
        <f>SUMIFS(COMPOSICIÓN!J$2:J$1879,COMPOSICIÓN!A$2:A$1879,A226,COMPOSICIÓN!B$2:B$1879,"EQ")</f>
        <v>281.39999999999998</v>
      </c>
      <c r="M226" s="42">
        <f t="shared" si="12"/>
        <v>0</v>
      </c>
      <c r="N226" s="42">
        <f t="shared" si="13"/>
        <v>18760</v>
      </c>
      <c r="O226" s="42">
        <f t="shared" si="14"/>
        <v>281.39999999999998</v>
      </c>
      <c r="P226" s="42">
        <f t="shared" si="15"/>
        <v>19041.400000000001</v>
      </c>
      <c r="Q226" s="15">
        <f>COUNTIF(COMPOSICIÓN!$A:$A,A226)</f>
        <v>2</v>
      </c>
      <c r="R226" s="43" t="s">
        <v>2670</v>
      </c>
    </row>
    <row r="227" spans="1:18" ht="14.25" customHeight="1" x14ac:dyDescent="0.35">
      <c r="A227" s="38" t="s">
        <v>312</v>
      </c>
      <c r="B227" s="38"/>
      <c r="C227" s="38" t="s">
        <v>3027</v>
      </c>
      <c r="D227" s="38" t="s">
        <v>311</v>
      </c>
      <c r="E227" s="38" t="s">
        <v>53</v>
      </c>
      <c r="F227" s="39">
        <v>1</v>
      </c>
      <c r="G227" s="40">
        <v>0</v>
      </c>
      <c r="H227" s="41">
        <v>0</v>
      </c>
      <c r="I227" s="14">
        <v>1</v>
      </c>
      <c r="J227" s="42">
        <f>SUMIFS(COMPOSICIÓN!J$2:J$1879,COMPOSICIÓN!A$2:A$1879,A227,COMPOSICIÓN!B$2:B$1879,"MAT")</f>
        <v>0</v>
      </c>
      <c r="K227" s="42">
        <f>SUMIFS(COMPOSICIÓN!J$2:J$1879,COMPOSICIÓN!A$2:A$1879,A227,COMPOSICIÓN!B$2:B$1879,"MO")*I227</f>
        <v>11816</v>
      </c>
      <c r="L227" s="42">
        <f>SUMIFS(COMPOSICIÓN!J$2:J$1879,COMPOSICIÓN!A$2:A$1879,A227,COMPOSICIÓN!B$2:B$1879,"EQ")</f>
        <v>177.24</v>
      </c>
      <c r="M227" s="42">
        <f t="shared" si="12"/>
        <v>0</v>
      </c>
      <c r="N227" s="42">
        <f t="shared" si="13"/>
        <v>11816</v>
      </c>
      <c r="O227" s="42">
        <f t="shared" si="14"/>
        <v>177.24</v>
      </c>
      <c r="P227" s="42">
        <f t="shared" si="15"/>
        <v>11993.24</v>
      </c>
      <c r="Q227" s="15">
        <f>COUNTIF(COMPOSICIÓN!$A:$A,A227)</f>
        <v>2</v>
      </c>
      <c r="R227" s="43" t="s">
        <v>2670</v>
      </c>
    </row>
    <row r="228" spans="1:18" ht="14.25" customHeight="1" x14ac:dyDescent="0.35">
      <c r="A228" s="38" t="s">
        <v>314</v>
      </c>
      <c r="B228" s="38"/>
      <c r="C228" s="38" t="s">
        <v>3027</v>
      </c>
      <c r="D228" s="38" t="s">
        <v>2756</v>
      </c>
      <c r="E228" s="38" t="s">
        <v>24</v>
      </c>
      <c r="F228" s="39">
        <v>1</v>
      </c>
      <c r="G228" s="40">
        <v>0</v>
      </c>
      <c r="H228" s="41">
        <v>0</v>
      </c>
      <c r="I228" s="14">
        <v>1</v>
      </c>
      <c r="J228" s="42">
        <f>SUMIFS(COMPOSICIÓN!J$2:J$1879,COMPOSICIÓN!A$2:A$1879,A228,COMPOSICIÓN!B$2:B$1879,"MAT")</f>
        <v>3075822.2460000003</v>
      </c>
      <c r="K228" s="42">
        <f>SUMIFS(COMPOSICIÓN!J$2:J$1879,COMPOSICIÓN!A$2:A$1879,A228,COMPOSICIÓN!B$2:B$1879,"MO")*I228</f>
        <v>1002579.2</v>
      </c>
      <c r="L228" s="42">
        <f>SUMIFS(COMPOSICIÓN!J$2:J$1879,COMPOSICIÓN!A$2:A$1879,A228,COMPOSICIÓN!B$2:B$1879,"EQ")</f>
        <v>61176.021690000001</v>
      </c>
      <c r="M228" s="42">
        <f t="shared" si="12"/>
        <v>3075822.2460000003</v>
      </c>
      <c r="N228" s="42">
        <f t="shared" si="13"/>
        <v>1002579.2</v>
      </c>
      <c r="O228" s="42">
        <f t="shared" si="14"/>
        <v>61176.021690000001</v>
      </c>
      <c r="P228" s="42">
        <f t="shared" si="15"/>
        <v>4139577.4676900003</v>
      </c>
      <c r="Q228" s="15">
        <f>COUNTIF(COMPOSICIÓN!$A:$A,A228)</f>
        <v>12</v>
      </c>
      <c r="R228" s="43" t="s">
        <v>2661</v>
      </c>
    </row>
    <row r="229" spans="1:18" ht="14.25" customHeight="1" x14ac:dyDescent="0.35">
      <c r="A229" s="38" t="s">
        <v>316</v>
      </c>
      <c r="B229" s="38"/>
      <c r="C229" s="38" t="s">
        <v>3027</v>
      </c>
      <c r="D229" s="38" t="s">
        <v>315</v>
      </c>
      <c r="E229" s="38" t="s">
        <v>24</v>
      </c>
      <c r="F229" s="39">
        <v>1</v>
      </c>
      <c r="G229" s="40">
        <v>0</v>
      </c>
      <c r="H229" s="41">
        <v>0</v>
      </c>
      <c r="I229" s="14">
        <v>1</v>
      </c>
      <c r="J229" s="42">
        <f>SUMIFS(COMPOSICIÓN!J$2:J$1879,COMPOSICIÓN!A$2:A$1879,A229,COMPOSICIÓN!B$2:B$1879,"MAT")</f>
        <v>570057.95260165283</v>
      </c>
      <c r="K229" s="42">
        <f>SUMIFS(COMPOSICIÓN!J$2:J$1879,COMPOSICIÓN!A$2:A$1879,A229,COMPOSICIÓN!B$2:B$1879,"MO")*I229</f>
        <v>323263.5</v>
      </c>
      <c r="L229" s="42">
        <f>SUMIFS(COMPOSICIÓN!J$2:J$1879,COMPOSICIÓN!A$2:A$1879,A229,COMPOSICIÓN!B$2:B$1879,"EQ")</f>
        <v>10618.1041956769</v>
      </c>
      <c r="M229" s="42">
        <f t="shared" si="12"/>
        <v>570057.95260165283</v>
      </c>
      <c r="N229" s="42">
        <f t="shared" si="13"/>
        <v>323263.5</v>
      </c>
      <c r="O229" s="42">
        <f t="shared" si="14"/>
        <v>10618.1041956769</v>
      </c>
      <c r="P229" s="42">
        <f t="shared" si="15"/>
        <v>903939.55679732969</v>
      </c>
      <c r="Q229" s="15">
        <f>COUNTIF(COMPOSICIÓN!$A:$A,A229)</f>
        <v>6</v>
      </c>
      <c r="R229" s="43" t="s">
        <v>2661</v>
      </c>
    </row>
    <row r="230" spans="1:18" ht="14.25" customHeight="1" x14ac:dyDescent="0.35">
      <c r="A230" s="38" t="s">
        <v>319</v>
      </c>
      <c r="B230" s="38"/>
      <c r="C230" s="38" t="s">
        <v>3027</v>
      </c>
      <c r="D230" s="38" t="s">
        <v>318</v>
      </c>
      <c r="E230" s="38" t="s">
        <v>24</v>
      </c>
      <c r="F230" s="39">
        <v>1</v>
      </c>
      <c r="G230" s="40">
        <v>0</v>
      </c>
      <c r="H230" s="41">
        <v>0</v>
      </c>
      <c r="I230" s="14">
        <v>1</v>
      </c>
      <c r="J230" s="42">
        <f>SUMIFS(COMPOSICIÓN!J$2:J$1879,COMPOSICIÓN!A$2:A$1879,A230,COMPOSICIÓN!B$2:B$1879,"MAT")</f>
        <v>0</v>
      </c>
      <c r="K230" s="42">
        <f>SUMIFS(COMPOSICIÓN!J$2:J$1879,COMPOSICIÓN!A$2:A$1879,A230,COMPOSICIÓN!B$2:B$1879,"MO")*I230</f>
        <v>107023.598877166</v>
      </c>
      <c r="L230" s="42">
        <f>SUMIFS(COMPOSICIÓN!J$2:J$1879,COMPOSICIÓN!A$2:A$1879,A230,COMPOSICIÓN!B$2:B$1879,"EQ")</f>
        <v>0</v>
      </c>
      <c r="M230" s="42">
        <f t="shared" si="12"/>
        <v>0</v>
      </c>
      <c r="N230" s="42">
        <f t="shared" si="13"/>
        <v>107023.598877166</v>
      </c>
      <c r="O230" s="42">
        <f t="shared" si="14"/>
        <v>0</v>
      </c>
      <c r="P230" s="42">
        <f t="shared" si="15"/>
        <v>107023.598877166</v>
      </c>
      <c r="Q230" s="15">
        <f>COUNTIF(COMPOSICIÓN!$A:$A,A230)</f>
        <v>1</v>
      </c>
      <c r="R230" s="43" t="s">
        <v>2670</v>
      </c>
    </row>
    <row r="231" spans="1:18" ht="14.25" customHeight="1" x14ac:dyDescent="0.35">
      <c r="A231" s="38" t="s">
        <v>321</v>
      </c>
      <c r="B231" s="38"/>
      <c r="C231" s="38" t="s">
        <v>3028</v>
      </c>
      <c r="D231" s="38" t="s">
        <v>320</v>
      </c>
      <c r="E231" s="38" t="s">
        <v>24</v>
      </c>
      <c r="F231" s="39">
        <v>1</v>
      </c>
      <c r="G231" s="40">
        <v>0</v>
      </c>
      <c r="H231" s="41">
        <v>0</v>
      </c>
      <c r="I231" s="14">
        <v>1</v>
      </c>
      <c r="J231" s="42">
        <f>SUMIFS(COMPOSICIÓN!J$2:J$1879,COMPOSICIÓN!A$2:A$1879,A231,COMPOSICIÓN!B$2:B$1879,"MAT")</f>
        <v>2201631.50655</v>
      </c>
      <c r="K231" s="42">
        <f>SUMIFS(COMPOSICIÓN!J$2:J$1879,COMPOSICIÓN!A$2:A$1879,A231,COMPOSICIÓN!B$2:B$1879,"MO")*I231</f>
        <v>2820732.3578660199</v>
      </c>
      <c r="L231" s="42">
        <f>SUMIFS(COMPOSICIÓN!J$2:J$1879,COMPOSICIÓN!A$2:A$1879,A231,COMPOSICIÓN!B$2:B$1879,"EQ")</f>
        <v>75335.457966240298</v>
      </c>
      <c r="M231" s="42">
        <f t="shared" si="12"/>
        <v>2201631.50655</v>
      </c>
      <c r="N231" s="42">
        <f t="shared" si="13"/>
        <v>2820732.3578660199</v>
      </c>
      <c r="O231" s="42">
        <f t="shared" si="14"/>
        <v>75335.457966240298</v>
      </c>
      <c r="P231" s="42">
        <f t="shared" si="15"/>
        <v>5097699.3223822601</v>
      </c>
      <c r="Q231" s="15">
        <f>COUNTIF(COMPOSICIÓN!$A:$A,A231)</f>
        <v>3</v>
      </c>
      <c r="R231" s="43" t="s">
        <v>2670</v>
      </c>
    </row>
    <row r="232" spans="1:18" ht="14.25" customHeight="1" x14ac:dyDescent="0.35">
      <c r="A232" s="38" t="s">
        <v>323</v>
      </c>
      <c r="B232" s="38"/>
      <c r="C232" s="38" t="s">
        <v>3028</v>
      </c>
      <c r="D232" s="38" t="s">
        <v>322</v>
      </c>
      <c r="E232" s="38" t="s">
        <v>24</v>
      </c>
      <c r="F232" s="39">
        <v>1</v>
      </c>
      <c r="G232" s="40">
        <v>0</v>
      </c>
      <c r="H232" s="41">
        <v>0</v>
      </c>
      <c r="I232" s="14">
        <v>1</v>
      </c>
      <c r="J232" s="42">
        <f>SUMIFS(COMPOSICIÓN!J$2:J$1879,COMPOSICIÓN!A$2:A$1879,A232,COMPOSICIÓN!B$2:B$1879,"MAT")</f>
        <v>2830669.0798499999</v>
      </c>
      <c r="K232" s="42">
        <f>SUMIFS(COMPOSICIÓN!J$2:J$1879,COMPOSICIÓN!A$2:A$1879,A232,COMPOSICIÓN!B$2:B$1879,"MO")*I232</f>
        <v>4231098.5367990304</v>
      </c>
      <c r="L232" s="42">
        <f>SUMIFS(COMPOSICIÓN!J$2:J$1879,COMPOSICIÓN!A$2:A$1879,A232,COMPOSICIÓN!B$2:B$1879,"EQ")</f>
        <v>105926.51424973601</v>
      </c>
      <c r="M232" s="42">
        <f t="shared" si="12"/>
        <v>2830669.0798499999</v>
      </c>
      <c r="N232" s="42">
        <f t="shared" si="13"/>
        <v>4231098.5367990304</v>
      </c>
      <c r="O232" s="42">
        <f t="shared" si="14"/>
        <v>105926.51424973601</v>
      </c>
      <c r="P232" s="42">
        <f t="shared" si="15"/>
        <v>7167694.1308987662</v>
      </c>
      <c r="Q232" s="15">
        <f>COUNTIF(COMPOSICIÓN!$A:$A,A232)</f>
        <v>3</v>
      </c>
      <c r="R232" s="43" t="s">
        <v>2670</v>
      </c>
    </row>
    <row r="233" spans="1:18" ht="14.25" customHeight="1" x14ac:dyDescent="0.35">
      <c r="A233" s="38" t="s">
        <v>325</v>
      </c>
      <c r="B233" s="38"/>
      <c r="C233" s="38" t="s">
        <v>3028</v>
      </c>
      <c r="D233" s="38" t="s">
        <v>324</v>
      </c>
      <c r="E233" s="38" t="s">
        <v>24</v>
      </c>
      <c r="F233" s="39">
        <v>1</v>
      </c>
      <c r="G233" s="40">
        <v>0</v>
      </c>
      <c r="H233" s="41">
        <v>0</v>
      </c>
      <c r="I233" s="14">
        <v>1</v>
      </c>
      <c r="J233" s="42">
        <f>SUMIFS(COMPOSICIÓN!J$2:J$1879,COMPOSICIÓN!A$2:A$1879,A233,COMPOSICIÓN!B$2:B$1879,"MAT")</f>
        <v>1258075.1466000001</v>
      </c>
      <c r="K233" s="42">
        <f>SUMIFS(COMPOSICIÓN!J$2:J$1879,COMPOSICIÓN!A$2:A$1879,A233,COMPOSICIÓN!B$2:B$1879,"MO")*I233</f>
        <v>2350610.2982216901</v>
      </c>
      <c r="L233" s="42">
        <f>SUMIFS(COMPOSICIÓN!J$2:J$1879,COMPOSICIÓN!A$2:A$1879,A233,COMPOSICIÓN!B$2:B$1879,"EQ")</f>
        <v>54130.281672325298</v>
      </c>
      <c r="M233" s="42">
        <f t="shared" si="12"/>
        <v>1258075.1466000001</v>
      </c>
      <c r="N233" s="42">
        <f t="shared" si="13"/>
        <v>2350610.2982216901</v>
      </c>
      <c r="O233" s="42">
        <f t="shared" si="14"/>
        <v>54130.281672325298</v>
      </c>
      <c r="P233" s="42">
        <f t="shared" si="15"/>
        <v>3662815.7264940157</v>
      </c>
      <c r="Q233" s="15">
        <f>COUNTIF(COMPOSICIÓN!$A:$A,A233)</f>
        <v>3</v>
      </c>
      <c r="R233" s="43" t="s">
        <v>2670</v>
      </c>
    </row>
    <row r="234" spans="1:18" ht="14.25" customHeight="1" x14ac:dyDescent="0.35">
      <c r="A234" s="38" t="s">
        <v>327</v>
      </c>
      <c r="B234" s="38"/>
      <c r="C234" s="38" t="s">
        <v>3028</v>
      </c>
      <c r="D234" s="38" t="s">
        <v>2757</v>
      </c>
      <c r="E234" s="38" t="s">
        <v>24</v>
      </c>
      <c r="F234" s="39">
        <v>1</v>
      </c>
      <c r="G234" s="40">
        <v>0</v>
      </c>
      <c r="H234" s="41">
        <v>0</v>
      </c>
      <c r="I234" s="14">
        <v>1</v>
      </c>
      <c r="J234" s="42">
        <f>SUMIFS(COMPOSICIÓN!J$2:J$1879,COMPOSICIÓN!A$2:A$1879,A234,COMPOSICIÓN!B$2:B$1879,"MAT")</f>
        <v>733877.16885000002</v>
      </c>
      <c r="K234" s="42">
        <f>SUMIFS(COMPOSICIÓN!J$2:J$1879,COMPOSICIÓN!A$2:A$1879,A234,COMPOSICIÓN!B$2:B$1879,"MO")*I234</f>
        <v>1096951.47250345</v>
      </c>
      <c r="L234" s="42">
        <f>SUMIFS(COMPOSICIÓN!J$2:J$1879,COMPOSICIÓN!A$2:A$1879,A234,COMPOSICIÓN!B$2:B$1879,"EQ")</f>
        <v>27462.429620301798</v>
      </c>
      <c r="M234" s="42">
        <f t="shared" si="12"/>
        <v>733877.16885000002</v>
      </c>
      <c r="N234" s="42">
        <f t="shared" si="13"/>
        <v>1096951.47250345</v>
      </c>
      <c r="O234" s="42">
        <f t="shared" si="14"/>
        <v>27462.429620301798</v>
      </c>
      <c r="P234" s="42">
        <f t="shared" si="15"/>
        <v>1858291.0709737518</v>
      </c>
      <c r="Q234" s="15">
        <f>COUNTIF(COMPOSICIÓN!$A:$A,A234)</f>
        <v>3</v>
      </c>
      <c r="R234" s="43" t="s">
        <v>2670</v>
      </c>
    </row>
    <row r="235" spans="1:18" ht="14.25" customHeight="1" x14ac:dyDescent="0.35">
      <c r="A235" s="38" t="s">
        <v>329</v>
      </c>
      <c r="B235" s="38"/>
      <c r="C235" s="38" t="s">
        <v>3028</v>
      </c>
      <c r="D235" s="38" t="s">
        <v>328</v>
      </c>
      <c r="E235" s="38" t="s">
        <v>24</v>
      </c>
      <c r="F235" s="39">
        <v>1</v>
      </c>
      <c r="G235" s="40">
        <v>0</v>
      </c>
      <c r="H235" s="41">
        <v>0</v>
      </c>
      <c r="I235" s="14">
        <v>1</v>
      </c>
      <c r="J235" s="42">
        <f>SUMIFS(COMPOSICIÓN!J$2:J$1879,COMPOSICIÓN!A$2:A$1879,A235,COMPOSICIÓN!B$2:B$1879,"MAT")</f>
        <v>1048395.9555</v>
      </c>
      <c r="K235" s="42">
        <f>SUMIFS(COMPOSICIÓN!J$2:J$1879,COMPOSICIÓN!A$2:A$1879,A235,COMPOSICIÓN!B$2:B$1879,"MO")*I235</f>
        <v>1567073.5321477901</v>
      </c>
      <c r="L235" s="42">
        <f>SUMIFS(COMPOSICIÓN!J$2:J$1879,COMPOSICIÓN!A$2:A$1879,A235,COMPOSICIÓN!B$2:B$1879,"EQ")</f>
        <v>39232.042314716797</v>
      </c>
      <c r="M235" s="42">
        <f t="shared" si="12"/>
        <v>1048395.9555</v>
      </c>
      <c r="N235" s="42">
        <f t="shared" si="13"/>
        <v>1567073.5321477901</v>
      </c>
      <c r="O235" s="42">
        <f t="shared" si="14"/>
        <v>39232.042314716797</v>
      </c>
      <c r="P235" s="42">
        <f t="shared" si="15"/>
        <v>2654701.5299625066</v>
      </c>
      <c r="Q235" s="15">
        <f>COUNTIF(COMPOSICIÓN!$A:$A,A235)</f>
        <v>3</v>
      </c>
      <c r="R235" s="43" t="s">
        <v>2670</v>
      </c>
    </row>
    <row r="236" spans="1:18" ht="14.25" customHeight="1" x14ac:dyDescent="0.35">
      <c r="A236" s="38" t="s">
        <v>331</v>
      </c>
      <c r="B236" s="38"/>
      <c r="C236" s="38" t="s">
        <v>3028</v>
      </c>
      <c r="D236" s="38" t="s">
        <v>330</v>
      </c>
      <c r="E236" s="38" t="s">
        <v>24</v>
      </c>
      <c r="F236" s="39">
        <v>1</v>
      </c>
      <c r="G236" s="40">
        <v>0</v>
      </c>
      <c r="H236" s="41">
        <v>0</v>
      </c>
      <c r="I236" s="14">
        <v>1</v>
      </c>
      <c r="J236" s="42">
        <f>SUMIFS(COMPOSICIÓN!J$2:J$1879,COMPOSICIÓN!A$2:A$1879,A236,COMPOSICIÓN!B$2:B$1879,"MAT")</f>
        <v>314518.78665000002</v>
      </c>
      <c r="K236" s="42">
        <f>SUMIFS(COMPOSICIÓN!J$2:J$1879,COMPOSICIÓN!A$2:A$1879,A236,COMPOSICIÓN!B$2:B$1879,"MO")*I236</f>
        <v>470122.05964433699</v>
      </c>
      <c r="L236" s="42">
        <f>SUMIFS(COMPOSICIÓN!J$2:J$1879,COMPOSICIÓN!A$2:A$1879,A236,COMPOSICIÓN!B$2:B$1879,"EQ")</f>
        <v>11769.6126944151</v>
      </c>
      <c r="M236" s="42">
        <f t="shared" si="12"/>
        <v>314518.78665000002</v>
      </c>
      <c r="N236" s="42">
        <f t="shared" si="13"/>
        <v>470122.05964433699</v>
      </c>
      <c r="O236" s="42">
        <f t="shared" si="14"/>
        <v>11769.6126944151</v>
      </c>
      <c r="P236" s="42">
        <f t="shared" si="15"/>
        <v>796410.4589887521</v>
      </c>
      <c r="Q236" s="15">
        <f>COUNTIF(COMPOSICIÓN!$A:$A,A236)</f>
        <v>3</v>
      </c>
      <c r="R236" s="43" t="s">
        <v>2670</v>
      </c>
    </row>
    <row r="237" spans="1:18" ht="14.25" customHeight="1" x14ac:dyDescent="0.35">
      <c r="A237" s="38" t="s">
        <v>333</v>
      </c>
      <c r="B237" s="38"/>
      <c r="C237" s="38" t="s">
        <v>3028</v>
      </c>
      <c r="D237" s="38" t="s">
        <v>332</v>
      </c>
      <c r="E237" s="38" t="s">
        <v>24</v>
      </c>
      <c r="F237" s="39">
        <v>1</v>
      </c>
      <c r="G237" s="40">
        <v>0</v>
      </c>
      <c r="H237" s="41">
        <v>0</v>
      </c>
      <c r="I237" s="14">
        <v>1</v>
      </c>
      <c r="J237" s="42">
        <f>SUMIFS(COMPOSICIÓN!J$2:J$1879,COMPOSICIÓN!A$2:A$1879,A237,COMPOSICIÓN!B$2:B$1879,"MAT")</f>
        <v>892886.95565999998</v>
      </c>
      <c r="K237" s="42">
        <f>SUMIFS(COMPOSICIÓN!J$2:J$1879,COMPOSICIÓN!A$2:A$1879,A237,COMPOSICIÓN!B$2:B$1879,"MO")*I237</f>
        <v>1519457.57657935</v>
      </c>
      <c r="L237" s="42">
        <f>SUMIFS(COMPOSICIÓN!J$2:J$1879,COMPOSICIÓN!A$2:A$1879,A237,COMPOSICIÓN!B$2:B$1879,"EQ")</f>
        <v>36185.167983590203</v>
      </c>
      <c r="M237" s="42">
        <f t="shared" si="12"/>
        <v>892886.95565999998</v>
      </c>
      <c r="N237" s="42">
        <f t="shared" si="13"/>
        <v>1519457.57657935</v>
      </c>
      <c r="O237" s="42">
        <f t="shared" si="14"/>
        <v>36185.167983590203</v>
      </c>
      <c r="P237" s="42">
        <f t="shared" si="15"/>
        <v>2448529.7002229402</v>
      </c>
      <c r="Q237" s="15">
        <f>COUNTIF(COMPOSICIÓN!$A:$A,A237)</f>
        <v>3</v>
      </c>
      <c r="R237" s="43" t="s">
        <v>2670</v>
      </c>
    </row>
    <row r="238" spans="1:18" ht="14.25" customHeight="1" x14ac:dyDescent="0.35">
      <c r="A238" s="38" t="s">
        <v>335</v>
      </c>
      <c r="B238" s="38"/>
      <c r="C238" s="38" t="s">
        <v>3028</v>
      </c>
      <c r="D238" s="38" t="s">
        <v>334</v>
      </c>
      <c r="E238" s="38" t="s">
        <v>24</v>
      </c>
      <c r="F238" s="39">
        <v>1</v>
      </c>
      <c r="G238" s="40">
        <v>0</v>
      </c>
      <c r="H238" s="41">
        <v>0</v>
      </c>
      <c r="I238" s="14">
        <v>1</v>
      </c>
      <c r="J238" s="42">
        <f>SUMIFS(COMPOSICIÓN!J$2:J$1879,COMPOSICIÓN!A$2:A$1879,A238,COMPOSICIÓN!B$2:B$1879,"MAT")</f>
        <v>1190515.9408799999</v>
      </c>
      <c r="K238" s="42">
        <f>SUMIFS(COMPOSICIÓN!J$2:J$1879,COMPOSICIÓN!A$2:A$1879,A238,COMPOSICIÓN!B$2:B$1879,"MO")*I238</f>
        <v>1519457.57657935</v>
      </c>
      <c r="L238" s="42">
        <f>SUMIFS(COMPOSICIÓN!J$2:J$1879,COMPOSICIÓN!A$2:A$1879,A238,COMPOSICIÓN!B$2:B$1879,"EQ")</f>
        <v>40649.602761890201</v>
      </c>
      <c r="M238" s="42">
        <f t="shared" si="12"/>
        <v>1190515.9408799999</v>
      </c>
      <c r="N238" s="42">
        <f t="shared" si="13"/>
        <v>1519457.57657935</v>
      </c>
      <c r="O238" s="42">
        <f t="shared" si="14"/>
        <v>40649.602761890201</v>
      </c>
      <c r="P238" s="42">
        <f t="shared" si="15"/>
        <v>2750623.12022124</v>
      </c>
      <c r="Q238" s="15">
        <f>COUNTIF(COMPOSICIÓN!$A:$A,A238)</f>
        <v>3</v>
      </c>
      <c r="R238" s="43" t="s">
        <v>2670</v>
      </c>
    </row>
    <row r="239" spans="1:18" ht="14.25" customHeight="1" x14ac:dyDescent="0.35">
      <c r="A239" s="38" t="s">
        <v>337</v>
      </c>
      <c r="B239" s="38"/>
      <c r="C239" s="38" t="s">
        <v>3028</v>
      </c>
      <c r="D239" s="38" t="s">
        <v>336</v>
      </c>
      <c r="E239" s="38" t="s">
        <v>24</v>
      </c>
      <c r="F239" s="39">
        <v>1</v>
      </c>
      <c r="G239" s="40">
        <v>0</v>
      </c>
      <c r="H239" s="41">
        <v>0</v>
      </c>
      <c r="I239" s="14">
        <v>1</v>
      </c>
      <c r="J239" s="42">
        <f>SUMIFS(COMPOSICIÓN!J$2:J$1879,COMPOSICIÓN!A$2:A$1879,A239,COMPOSICIÓN!B$2:B$1879,"MAT")</f>
        <v>892886.95565999998</v>
      </c>
      <c r="K239" s="42">
        <f>SUMIFS(COMPOSICIÓN!J$2:J$1879,COMPOSICIÓN!A$2:A$1879,A239,COMPOSICIÓN!B$2:B$1879,"MO")*I239</f>
        <v>1519457.57657935</v>
      </c>
      <c r="L239" s="42">
        <f>SUMIFS(COMPOSICIÓN!J$2:J$1879,COMPOSICIÓN!A$2:A$1879,A239,COMPOSICIÓN!B$2:B$1879,"EQ")</f>
        <v>36185.167983590203</v>
      </c>
      <c r="M239" s="42">
        <f t="shared" si="12"/>
        <v>892886.95565999998</v>
      </c>
      <c r="N239" s="42">
        <f t="shared" si="13"/>
        <v>1519457.57657935</v>
      </c>
      <c r="O239" s="42">
        <f t="shared" si="14"/>
        <v>36185.167983590203</v>
      </c>
      <c r="P239" s="42">
        <f t="shared" si="15"/>
        <v>2448529.7002229402</v>
      </c>
      <c r="Q239" s="15">
        <f>COUNTIF(COMPOSICIÓN!$A:$A,A239)</f>
        <v>3</v>
      </c>
      <c r="R239" s="43" t="s">
        <v>2670</v>
      </c>
    </row>
    <row r="240" spans="1:18" ht="14.25" customHeight="1" x14ac:dyDescent="0.35">
      <c r="A240" s="38" t="s">
        <v>339</v>
      </c>
      <c r="B240" s="38"/>
      <c r="C240" s="38" t="s">
        <v>3028</v>
      </c>
      <c r="D240" s="38" t="s">
        <v>338</v>
      </c>
      <c r="E240" s="38" t="s">
        <v>24</v>
      </c>
      <c r="F240" s="39">
        <v>1</v>
      </c>
      <c r="G240" s="40">
        <v>0</v>
      </c>
      <c r="H240" s="41">
        <v>0</v>
      </c>
      <c r="I240" s="14">
        <v>1</v>
      </c>
      <c r="J240" s="42">
        <f>SUMIFS(COMPOSICIÓN!J$2:J$1879,COMPOSICIÓN!A$2:A$1879,A240,COMPOSICIÓN!B$2:B$1879,"MAT")</f>
        <v>2976289.8522000001</v>
      </c>
      <c r="K240" s="42">
        <f>SUMIFS(COMPOSICIÓN!J$2:J$1879,COMPOSICIÓN!A$2:A$1879,A240,COMPOSICIÓN!B$2:B$1879,"MO")*I240</f>
        <v>10636203.036055399</v>
      </c>
      <c r="L240" s="42">
        <f>SUMIFS(COMPOSICIÓN!J$2:J$1879,COMPOSICIÓN!A$2:A$1879,A240,COMPOSICIÓN!B$2:B$1879,"EQ")</f>
        <v>204187.39332383199</v>
      </c>
      <c r="M240" s="42">
        <f t="shared" si="12"/>
        <v>2976289.8522000001</v>
      </c>
      <c r="N240" s="42">
        <f t="shared" si="13"/>
        <v>10636203.036055399</v>
      </c>
      <c r="O240" s="42">
        <f t="shared" si="14"/>
        <v>204187.39332383199</v>
      </c>
      <c r="P240" s="42">
        <f t="shared" si="15"/>
        <v>13816680.28157923</v>
      </c>
      <c r="Q240" s="15">
        <f>COUNTIF(COMPOSICIÓN!$A:$A,A240)</f>
        <v>3</v>
      </c>
      <c r="R240" s="43" t="s">
        <v>2670</v>
      </c>
    </row>
    <row r="241" spans="1:18" ht="14.25" customHeight="1" x14ac:dyDescent="0.35">
      <c r="A241" s="38" t="s">
        <v>341</v>
      </c>
      <c r="B241" s="38"/>
      <c r="C241" s="38" t="s">
        <v>3028</v>
      </c>
      <c r="D241" s="38" t="s">
        <v>340</v>
      </c>
      <c r="E241" s="38" t="s">
        <v>24</v>
      </c>
      <c r="F241" s="39">
        <v>1</v>
      </c>
      <c r="G241" s="40">
        <v>0</v>
      </c>
      <c r="H241" s="41">
        <v>0</v>
      </c>
      <c r="I241" s="14">
        <v>1</v>
      </c>
      <c r="J241" s="42">
        <f>SUMIFS(COMPOSICIÓN!J$2:J$1879,COMPOSICIÓN!A$2:A$1879,A241,COMPOSICIÓN!B$2:B$1879,"MAT")</f>
        <v>2023467.36</v>
      </c>
      <c r="K241" s="42">
        <f>SUMIFS(COMPOSICIÓN!J$2:J$1879,COMPOSICIÓN!A$2:A$1879,A241,COMPOSICIÓN!B$2:B$1879,"MO")*I241</f>
        <v>2577248.88227659</v>
      </c>
      <c r="L241" s="42">
        <f>SUMIFS(COMPOSICIÓN!J$2:J$1879,COMPOSICIÓN!A$2:A$1879,A241,COMPOSICIÓN!B$2:B$1879,"EQ")</f>
        <v>69010.743634148894</v>
      </c>
      <c r="M241" s="42">
        <f t="shared" si="12"/>
        <v>2023467.36</v>
      </c>
      <c r="N241" s="42">
        <f t="shared" si="13"/>
        <v>2577248.88227659</v>
      </c>
      <c r="O241" s="42">
        <f t="shared" si="14"/>
        <v>69010.743634148894</v>
      </c>
      <c r="P241" s="42">
        <f t="shared" si="15"/>
        <v>4669726.9859107388</v>
      </c>
      <c r="Q241" s="15">
        <f>COUNTIF(COMPOSICIÓN!$A:$A,A241)</f>
        <v>3</v>
      </c>
      <c r="R241" s="43" t="s">
        <v>2670</v>
      </c>
    </row>
    <row r="242" spans="1:18" ht="14.25" customHeight="1" x14ac:dyDescent="0.35">
      <c r="A242" s="38" t="s">
        <v>343</v>
      </c>
      <c r="B242" s="38"/>
      <c r="C242" s="38" t="s">
        <v>3028</v>
      </c>
      <c r="D242" s="38" t="s">
        <v>342</v>
      </c>
      <c r="E242" s="38" t="s">
        <v>24</v>
      </c>
      <c r="F242" s="39">
        <v>1</v>
      </c>
      <c r="G242" s="40">
        <v>0</v>
      </c>
      <c r="H242" s="41">
        <v>0</v>
      </c>
      <c r="I242" s="14">
        <v>1</v>
      </c>
      <c r="J242" s="42">
        <f>SUMIFS(COMPOSICIÓN!J$2:J$1879,COMPOSICIÓN!A$2:A$1879,A242,COMPOSICIÓN!B$2:B$1879,"MAT")</f>
        <v>450000</v>
      </c>
      <c r="K242" s="42">
        <f>SUMIFS(COMPOSICIÓN!J$2:J$1879,COMPOSICIÓN!A$2:A$1879,A242,COMPOSICIÓN!B$2:B$1879,"MO")*I242</f>
        <v>1500000</v>
      </c>
      <c r="L242" s="42">
        <f>SUMIFS(COMPOSICIÓN!J$2:J$1879,COMPOSICIÓN!A$2:A$1879,A242,COMPOSICIÓN!B$2:B$1879,"EQ")</f>
        <v>29250</v>
      </c>
      <c r="M242" s="42">
        <f t="shared" si="12"/>
        <v>450000</v>
      </c>
      <c r="N242" s="42">
        <f t="shared" si="13"/>
        <v>1500000</v>
      </c>
      <c r="O242" s="42">
        <f t="shared" si="14"/>
        <v>29250</v>
      </c>
      <c r="P242" s="42">
        <f t="shared" si="15"/>
        <v>1979250</v>
      </c>
      <c r="Q242" s="15">
        <f>COUNTIF(COMPOSICIÓN!$A:$A,A242)</f>
        <v>3</v>
      </c>
      <c r="R242" s="43" t="s">
        <v>2665</v>
      </c>
    </row>
    <row r="243" spans="1:18" ht="14.25" customHeight="1" x14ac:dyDescent="0.35">
      <c r="A243" s="38" t="s">
        <v>345</v>
      </c>
      <c r="B243" s="38"/>
      <c r="C243" s="38" t="s">
        <v>3028</v>
      </c>
      <c r="D243" s="38" t="s">
        <v>344</v>
      </c>
      <c r="E243" s="38" t="s">
        <v>24</v>
      </c>
      <c r="F243" s="39">
        <v>1</v>
      </c>
      <c r="G243" s="40">
        <v>0</v>
      </c>
      <c r="H243" s="41">
        <v>0</v>
      </c>
      <c r="I243" s="14">
        <v>1</v>
      </c>
      <c r="J243" s="42">
        <f>SUMIFS(COMPOSICIÓN!J$2:J$1879,COMPOSICIÓN!A$2:A$1879,A243,COMPOSICIÓN!B$2:B$1879,"MAT")</f>
        <v>6864779.6540000001</v>
      </c>
      <c r="K243" s="42">
        <f>SUMIFS(COMPOSICIÓN!J$2:J$1879,COMPOSICIÓN!A$2:A$1879,A243,COMPOSICIÓN!B$2:B$1879,"MO")*I243</f>
        <v>19750412.0247702</v>
      </c>
      <c r="L243" s="42">
        <f>SUMIFS(COMPOSICIÓN!J$2:J$1879,COMPOSICIÓN!A$2:A$1879,A243,COMPOSICIÓN!B$2:B$1879,"EQ")</f>
        <v>399227.87518155301</v>
      </c>
      <c r="M243" s="42">
        <f t="shared" si="12"/>
        <v>6864779.6540000001</v>
      </c>
      <c r="N243" s="42">
        <f t="shared" si="13"/>
        <v>19750412.0247702</v>
      </c>
      <c r="O243" s="42">
        <f t="shared" si="14"/>
        <v>399227.87518155301</v>
      </c>
      <c r="P243" s="42">
        <f t="shared" si="15"/>
        <v>27014419.553951751</v>
      </c>
      <c r="Q243" s="15">
        <f>COUNTIF(COMPOSICIÓN!$A:$A,A243)</f>
        <v>13</v>
      </c>
      <c r="R243" s="43" t="s">
        <v>2670</v>
      </c>
    </row>
    <row r="244" spans="1:18" ht="14.25" customHeight="1" x14ac:dyDescent="0.35">
      <c r="A244" s="38" t="s">
        <v>347</v>
      </c>
      <c r="B244" s="38"/>
      <c r="C244" s="38" t="s">
        <v>3028</v>
      </c>
      <c r="D244" s="38" t="s">
        <v>346</v>
      </c>
      <c r="E244" s="38" t="s">
        <v>24</v>
      </c>
      <c r="F244" s="39">
        <v>1</v>
      </c>
      <c r="G244" s="40">
        <v>0</v>
      </c>
      <c r="H244" s="41">
        <v>0</v>
      </c>
      <c r="I244" s="14">
        <v>1</v>
      </c>
      <c r="J244" s="42">
        <f>SUMIFS(COMPOSICIÓN!J$2:J$1879,COMPOSICIÓN!A$2:A$1879,A244,COMPOSICIÓN!B$2:B$1879,"MAT")</f>
        <v>601141.68000000005</v>
      </c>
      <c r="K244" s="42">
        <f>SUMIFS(COMPOSICIÓN!J$2:J$1879,COMPOSICIÓN!A$2:A$1879,A244,COMPOSICIÓN!B$2:B$1879,"MO")*I244</f>
        <v>2194490.2249744702</v>
      </c>
      <c r="L244" s="42">
        <f>SUMIFS(COMPOSICIÓN!J$2:J$1879,COMPOSICIÓN!A$2:A$1879,A244,COMPOSICIÓN!B$2:B$1879,"EQ")</f>
        <v>41934.478574617002</v>
      </c>
      <c r="M244" s="42">
        <f t="shared" si="12"/>
        <v>601141.68000000005</v>
      </c>
      <c r="N244" s="42">
        <f t="shared" si="13"/>
        <v>2194490.2249744702</v>
      </c>
      <c r="O244" s="42">
        <f t="shared" si="14"/>
        <v>41934.478574617002</v>
      </c>
      <c r="P244" s="42">
        <f t="shared" si="15"/>
        <v>2837566.3835490872</v>
      </c>
      <c r="Q244" s="15">
        <f>COUNTIF(COMPOSICIÓN!$A:$A,A244)</f>
        <v>3</v>
      </c>
      <c r="R244" s="43" t="s">
        <v>2670</v>
      </c>
    </row>
    <row r="245" spans="1:18" ht="14.25" customHeight="1" x14ac:dyDescent="0.35">
      <c r="A245" s="38" t="s">
        <v>349</v>
      </c>
      <c r="B245" s="38"/>
      <c r="C245" s="38" t="s">
        <v>3028</v>
      </c>
      <c r="D245" s="38" t="s">
        <v>348</v>
      </c>
      <c r="E245" s="38" t="s">
        <v>24</v>
      </c>
      <c r="F245" s="39">
        <v>1</v>
      </c>
      <c r="G245" s="40">
        <v>0</v>
      </c>
      <c r="H245" s="41">
        <v>0</v>
      </c>
      <c r="I245" s="14">
        <v>1</v>
      </c>
      <c r="J245" s="42">
        <f>SUMIFS(COMPOSICIÓN!J$2:J$1879,COMPOSICIÓN!A$2:A$1879,A245,COMPOSICIÓN!B$2:B$1879,"MAT")</f>
        <v>2943433.7760000001</v>
      </c>
      <c r="K245" s="42">
        <f>SUMIFS(COMPOSICIÓN!J$2:J$1879,COMPOSICIÓN!A$2:A$1879,A245,COMPOSICIÓN!B$2:B$1879,"MO")*I245</f>
        <v>1816615.8408501199</v>
      </c>
      <c r="L245" s="42">
        <f>SUMIFS(COMPOSICIÓN!J$2:J$1879,COMPOSICIÓN!A$2:A$1879,A245,COMPOSICIÓN!B$2:B$1879,"EQ")</f>
        <v>71400.7442527518</v>
      </c>
      <c r="M245" s="42">
        <f t="shared" si="12"/>
        <v>2943433.7760000001</v>
      </c>
      <c r="N245" s="42">
        <f t="shared" si="13"/>
        <v>1816615.8408501199</v>
      </c>
      <c r="O245" s="42">
        <f t="shared" si="14"/>
        <v>71400.7442527518</v>
      </c>
      <c r="P245" s="42">
        <f t="shared" si="15"/>
        <v>4831450.3611028716</v>
      </c>
      <c r="Q245" s="15">
        <f>COUNTIF(COMPOSICIÓN!$A:$A,A245)</f>
        <v>11</v>
      </c>
      <c r="R245" s="43" t="s">
        <v>2670</v>
      </c>
    </row>
    <row r="246" spans="1:18" ht="14.25" customHeight="1" x14ac:dyDescent="0.35">
      <c r="A246" s="38" t="s">
        <v>351</v>
      </c>
      <c r="B246" s="38"/>
      <c r="C246" s="38" t="s">
        <v>3028</v>
      </c>
      <c r="D246" s="38" t="s">
        <v>350</v>
      </c>
      <c r="E246" s="38" t="s">
        <v>24</v>
      </c>
      <c r="F246" s="39">
        <v>1</v>
      </c>
      <c r="G246" s="40">
        <v>0</v>
      </c>
      <c r="H246" s="41">
        <v>0</v>
      </c>
      <c r="I246" s="14">
        <v>1</v>
      </c>
      <c r="J246" s="42">
        <f>SUMIFS(COMPOSICIÓN!J$2:J$1879,COMPOSICIÓN!A$2:A$1879,A246,COMPOSICIÓN!B$2:B$1879,"MAT")</f>
        <v>5213745.5349999992</v>
      </c>
      <c r="K246" s="42">
        <f>SUMIFS(COMPOSICIÓN!J$2:J$1879,COMPOSICIÓN!A$2:A$1879,A246,COMPOSICIÓN!B$2:B$1879,"MO")*I246</f>
        <v>15641236.6044</v>
      </c>
      <c r="L246" s="42">
        <f>SUMIFS(COMPOSICIÓN!J$2:J$1879,COMPOSICIÓN!A$2:A$1879,A246,COMPOSICIÓN!B$2:B$1879,"EQ")</f>
        <v>0</v>
      </c>
      <c r="M246" s="42">
        <f t="shared" si="12"/>
        <v>5213745.5349999992</v>
      </c>
      <c r="N246" s="42">
        <f t="shared" si="13"/>
        <v>15641236.6044</v>
      </c>
      <c r="O246" s="42">
        <f t="shared" si="14"/>
        <v>0</v>
      </c>
      <c r="P246" s="42">
        <f t="shared" si="15"/>
        <v>20854982.139399998</v>
      </c>
      <c r="Q246" s="15">
        <f>COUNTIF(COMPOSICIÓN!$A:$A,A246)</f>
        <v>21</v>
      </c>
      <c r="R246" s="43" t="s">
        <v>2670</v>
      </c>
    </row>
    <row r="247" spans="1:18" ht="14.25" customHeight="1" x14ac:dyDescent="0.35">
      <c r="A247" s="38" t="s">
        <v>353</v>
      </c>
      <c r="B247" s="38"/>
      <c r="C247" s="38" t="s">
        <v>3028</v>
      </c>
      <c r="D247" s="38" t="s">
        <v>352</v>
      </c>
      <c r="E247" s="38" t="s">
        <v>53</v>
      </c>
      <c r="F247" s="39">
        <v>1</v>
      </c>
      <c r="G247" s="40">
        <v>0</v>
      </c>
      <c r="H247" s="41">
        <v>0</v>
      </c>
      <c r="I247" s="14">
        <v>1</v>
      </c>
      <c r="J247" s="42">
        <f>SUMIFS(COMPOSICIÓN!J$2:J$1879,COMPOSICIÓN!A$2:A$1879,A247,COMPOSICIÓN!B$2:B$1879,"MAT")</f>
        <v>15000</v>
      </c>
      <c r="K247" s="42">
        <f>SUMIFS(COMPOSICIÓN!J$2:J$1879,COMPOSICIÓN!A$2:A$1879,A247,COMPOSICIÓN!B$2:B$1879,"MO")*I247</f>
        <v>30000</v>
      </c>
      <c r="L247" s="42">
        <f>SUMIFS(COMPOSICIÓN!J$2:J$1879,COMPOSICIÓN!A$2:A$1879,A247,COMPOSICIÓN!B$2:B$1879,"EQ")</f>
        <v>0</v>
      </c>
      <c r="M247" s="42">
        <f t="shared" si="12"/>
        <v>15000</v>
      </c>
      <c r="N247" s="42">
        <f t="shared" si="13"/>
        <v>30000</v>
      </c>
      <c r="O247" s="42">
        <f t="shared" si="14"/>
        <v>0</v>
      </c>
      <c r="P247" s="42">
        <f t="shared" si="15"/>
        <v>45000</v>
      </c>
      <c r="Q247" s="15">
        <f>COUNTIF(COMPOSICIÓN!$A:$A,A247)</f>
        <v>2</v>
      </c>
      <c r="R247" s="43" t="s">
        <v>2665</v>
      </c>
    </row>
    <row r="248" spans="1:18" ht="14.25" customHeight="1" x14ac:dyDescent="0.35">
      <c r="A248" s="38" t="s">
        <v>355</v>
      </c>
      <c r="B248" s="38"/>
      <c r="C248" s="38" t="s">
        <v>3028</v>
      </c>
      <c r="D248" s="38" t="s">
        <v>354</v>
      </c>
      <c r="E248" s="38" t="s">
        <v>24</v>
      </c>
      <c r="F248" s="39">
        <v>1</v>
      </c>
      <c r="G248" s="40">
        <v>0</v>
      </c>
      <c r="H248" s="41">
        <v>0</v>
      </c>
      <c r="I248" s="14">
        <v>1</v>
      </c>
      <c r="J248" s="42">
        <f>SUMIFS(COMPOSICIÓN!J$2:J$1879,COMPOSICIÓN!A$2:A$1879,A248,COMPOSICIÓN!B$2:B$1879,"MAT")</f>
        <v>1500</v>
      </c>
      <c r="K248" s="42">
        <f>SUMIFS(COMPOSICIÓN!J$2:J$1879,COMPOSICIÓN!A$2:A$1879,A248,COMPOSICIÓN!B$2:B$1879,"MO")*I248</f>
        <v>19238.769926642999</v>
      </c>
      <c r="L248" s="42">
        <f>SUMIFS(COMPOSICIÓN!J$2:J$1879,COMPOSICIÓN!A$2:A$1879,A248,COMPOSICIÓN!B$2:B$1879,"EQ")</f>
        <v>0</v>
      </c>
      <c r="M248" s="42">
        <f t="shared" si="12"/>
        <v>1500</v>
      </c>
      <c r="N248" s="42">
        <f t="shared" si="13"/>
        <v>19238.769926642999</v>
      </c>
      <c r="O248" s="42">
        <f t="shared" si="14"/>
        <v>0</v>
      </c>
      <c r="P248" s="42">
        <f t="shared" si="15"/>
        <v>20738.769926642999</v>
      </c>
      <c r="Q248" s="15">
        <f>COUNTIF(COMPOSICIÓN!$A:$A,A248)</f>
        <v>2</v>
      </c>
      <c r="R248" s="43" t="s">
        <v>2665</v>
      </c>
    </row>
    <row r="249" spans="1:18" ht="14.25" customHeight="1" x14ac:dyDescent="0.35">
      <c r="A249" s="38" t="s">
        <v>357</v>
      </c>
      <c r="B249" s="38"/>
      <c r="C249" s="38" t="s">
        <v>3028</v>
      </c>
      <c r="D249" s="38" t="s">
        <v>356</v>
      </c>
      <c r="E249" s="38" t="s">
        <v>24</v>
      </c>
      <c r="F249" s="39">
        <v>1</v>
      </c>
      <c r="G249" s="40">
        <v>0</v>
      </c>
      <c r="H249" s="41">
        <v>0</v>
      </c>
      <c r="I249" s="14">
        <v>1</v>
      </c>
      <c r="J249" s="42">
        <f>SUMIFS(COMPOSICIÓN!J$2:J$1879,COMPOSICIÓN!A$2:A$1879,A249,COMPOSICIÓN!B$2:B$1879,"MAT")</f>
        <v>0</v>
      </c>
      <c r="K249" s="42">
        <f>SUMIFS(COMPOSICIÓN!J$2:J$1879,COMPOSICIÓN!A$2:A$1879,A249,COMPOSICIÓN!B$2:B$1879,"MO")*I249</f>
        <v>3510000</v>
      </c>
      <c r="L249" s="42">
        <f>SUMIFS(COMPOSICIÓN!J$2:J$1879,COMPOSICIÓN!A$2:A$1879,A249,COMPOSICIÓN!B$2:B$1879,"EQ")</f>
        <v>0</v>
      </c>
      <c r="M249" s="42">
        <f t="shared" si="12"/>
        <v>0</v>
      </c>
      <c r="N249" s="42">
        <f t="shared" si="13"/>
        <v>3510000</v>
      </c>
      <c r="O249" s="42">
        <f t="shared" si="14"/>
        <v>0</v>
      </c>
      <c r="P249" s="42">
        <f t="shared" si="15"/>
        <v>3510000</v>
      </c>
      <c r="Q249" s="15">
        <f>COUNTIF(COMPOSICIÓN!$A:$A,A249)</f>
        <v>1</v>
      </c>
      <c r="R249" s="43" t="s">
        <v>2665</v>
      </c>
    </row>
    <row r="250" spans="1:18" ht="14.25" customHeight="1" x14ac:dyDescent="0.35">
      <c r="A250" s="38" t="s">
        <v>359</v>
      </c>
      <c r="B250" s="38"/>
      <c r="C250" s="38" t="s">
        <v>3029</v>
      </c>
      <c r="D250" s="38" t="s">
        <v>358</v>
      </c>
      <c r="E250" s="38" t="s">
        <v>53</v>
      </c>
      <c r="F250" s="39">
        <v>1</v>
      </c>
      <c r="G250" s="40">
        <v>0</v>
      </c>
      <c r="H250" s="41">
        <v>0</v>
      </c>
      <c r="I250" s="14">
        <v>1</v>
      </c>
      <c r="J250" s="42">
        <f>SUMIFS(COMPOSICIÓN!J$2:J$1879,COMPOSICIÓN!A$2:A$1879,A250,COMPOSICIÓN!B$2:B$1879,"MAT")</f>
        <v>0</v>
      </c>
      <c r="K250" s="42">
        <f>SUMIFS(COMPOSICIÓN!J$2:J$1879,COMPOSICIÓN!A$2:A$1879,A250,COMPOSICIÓN!B$2:B$1879,"MO")*I250</f>
        <v>0</v>
      </c>
      <c r="L250" s="42">
        <f>SUMIFS(COMPOSICIÓN!J$2:J$1879,COMPOSICIÓN!A$2:A$1879,A250,COMPOSICIÓN!B$2:B$1879,"EQ")</f>
        <v>0</v>
      </c>
      <c r="M250" s="42">
        <f t="shared" si="12"/>
        <v>0</v>
      </c>
      <c r="N250" s="42">
        <f t="shared" si="13"/>
        <v>0</v>
      </c>
      <c r="O250" s="42">
        <f t="shared" si="14"/>
        <v>0</v>
      </c>
      <c r="P250" s="42">
        <f t="shared" si="15"/>
        <v>0</v>
      </c>
      <c r="Q250" s="15">
        <f>COUNTIF(COMPOSICIÓN!$A:$A,A250)</f>
        <v>0</v>
      </c>
      <c r="R250" s="43" t="s">
        <v>2660</v>
      </c>
    </row>
    <row r="251" spans="1:18" ht="14.25" customHeight="1" x14ac:dyDescent="0.35">
      <c r="A251" s="38" t="s">
        <v>361</v>
      </c>
      <c r="B251" s="38"/>
      <c r="C251" s="38" t="s">
        <v>3029</v>
      </c>
      <c r="D251" s="38" t="s">
        <v>360</v>
      </c>
      <c r="E251" s="38" t="s">
        <v>53</v>
      </c>
      <c r="F251" s="39">
        <v>1</v>
      </c>
      <c r="G251" s="40">
        <v>0</v>
      </c>
      <c r="H251" s="41">
        <v>0</v>
      </c>
      <c r="I251" s="14">
        <v>1</v>
      </c>
      <c r="J251" s="42">
        <f>SUMIFS(COMPOSICIÓN!J$2:J$1879,COMPOSICIÓN!A$2:A$1879,A251,COMPOSICIÓN!B$2:B$1879,"MAT")</f>
        <v>0</v>
      </c>
      <c r="K251" s="42">
        <f>SUMIFS(COMPOSICIÓN!J$2:J$1879,COMPOSICIÓN!A$2:A$1879,A251,COMPOSICIÓN!B$2:B$1879,"MO")*I251</f>
        <v>0</v>
      </c>
      <c r="L251" s="42">
        <f>SUMIFS(COMPOSICIÓN!J$2:J$1879,COMPOSICIÓN!A$2:A$1879,A251,COMPOSICIÓN!B$2:B$1879,"EQ")</f>
        <v>0</v>
      </c>
      <c r="M251" s="42">
        <f t="shared" si="12"/>
        <v>0</v>
      </c>
      <c r="N251" s="42">
        <f t="shared" si="13"/>
        <v>0</v>
      </c>
      <c r="O251" s="42">
        <f t="shared" si="14"/>
        <v>0</v>
      </c>
      <c r="P251" s="42">
        <f t="shared" si="15"/>
        <v>0</v>
      </c>
      <c r="Q251" s="15">
        <f>COUNTIF(COMPOSICIÓN!$A:$A,A251)</f>
        <v>0</v>
      </c>
      <c r="R251" s="43" t="s">
        <v>2660</v>
      </c>
    </row>
    <row r="252" spans="1:18" ht="14.25" customHeight="1" x14ac:dyDescent="0.35">
      <c r="A252" s="38" t="s">
        <v>363</v>
      </c>
      <c r="B252" s="38"/>
      <c r="C252" s="38" t="s">
        <v>3035</v>
      </c>
      <c r="D252" s="38" t="s">
        <v>2758</v>
      </c>
      <c r="E252" s="38" t="s">
        <v>24</v>
      </c>
      <c r="F252" s="39">
        <v>1</v>
      </c>
      <c r="G252" s="40">
        <v>0</v>
      </c>
      <c r="H252" s="41">
        <v>0</v>
      </c>
      <c r="I252" s="14">
        <v>1</v>
      </c>
      <c r="J252" s="42">
        <f>SUMIFS(COMPOSICIÓN!J$2:J$1879,COMPOSICIÓN!A$2:A$1879,A252,COMPOSICIÓN!B$2:B$1879,"MAT")</f>
        <v>0</v>
      </c>
      <c r="K252" s="42">
        <f>SUMIFS(COMPOSICIÓN!J$2:J$1879,COMPOSICIÓN!A$2:A$1879,A252,COMPOSICIÓN!B$2:B$1879,"MO")*I252</f>
        <v>0</v>
      </c>
      <c r="L252" s="42">
        <f>SUMIFS(COMPOSICIÓN!J$2:J$1879,COMPOSICIÓN!A$2:A$1879,A252,COMPOSICIÓN!B$2:B$1879,"EQ")</f>
        <v>0</v>
      </c>
      <c r="M252" s="42">
        <f t="shared" si="12"/>
        <v>0</v>
      </c>
      <c r="N252" s="42">
        <f t="shared" si="13"/>
        <v>0</v>
      </c>
      <c r="O252" s="42">
        <f t="shared" si="14"/>
        <v>0</v>
      </c>
      <c r="P252" s="42">
        <f t="shared" si="15"/>
        <v>0</v>
      </c>
      <c r="Q252" s="15">
        <f>COUNTIF(COMPOSICIÓN!$A:$A,A252)</f>
        <v>0</v>
      </c>
      <c r="R252" s="43" t="s">
        <v>2665</v>
      </c>
    </row>
    <row r="253" spans="1:18" ht="14.25" customHeight="1" x14ac:dyDescent="0.35">
      <c r="A253" s="38" t="s">
        <v>365</v>
      </c>
      <c r="B253" s="38"/>
      <c r="C253" s="38" t="s">
        <v>3018</v>
      </c>
      <c r="D253" s="38" t="s">
        <v>364</v>
      </c>
      <c r="E253" s="38" t="s">
        <v>53</v>
      </c>
      <c r="F253" s="39">
        <v>1</v>
      </c>
      <c r="G253" s="40">
        <v>0</v>
      </c>
      <c r="H253" s="41">
        <v>0</v>
      </c>
      <c r="I253" s="14">
        <v>1</v>
      </c>
      <c r="J253" s="42">
        <f>SUMIFS(COMPOSICIÓN!J$2:J$1879,COMPOSICIÓN!A$2:A$1879,A253,COMPOSICIÓN!B$2:B$1879,"MAT")</f>
        <v>0</v>
      </c>
      <c r="K253" s="42">
        <f>SUMIFS(COMPOSICIÓN!J$2:J$1879,COMPOSICIÓN!A$2:A$1879,A253,COMPOSICIÓN!B$2:B$1879,"MO")*I253</f>
        <v>68810</v>
      </c>
      <c r="L253" s="42">
        <f>SUMIFS(COMPOSICIÓN!J$2:J$1879,COMPOSICIÓN!A$2:A$1879,A253,COMPOSICIÓN!B$2:B$1879,"EQ")</f>
        <v>0</v>
      </c>
      <c r="M253" s="42">
        <f t="shared" si="12"/>
        <v>0</v>
      </c>
      <c r="N253" s="42">
        <f t="shared" si="13"/>
        <v>68810</v>
      </c>
      <c r="O253" s="42">
        <f t="shared" si="14"/>
        <v>0</v>
      </c>
      <c r="P253" s="42">
        <f t="shared" si="15"/>
        <v>68810</v>
      </c>
      <c r="Q253" s="15">
        <f>COUNTIF(COMPOSICIÓN!$A:$A,A253)</f>
        <v>1</v>
      </c>
      <c r="R253" s="43" t="s">
        <v>2670</v>
      </c>
    </row>
    <row r="254" spans="1:18" ht="14.25" customHeight="1" x14ac:dyDescent="0.35">
      <c r="A254" s="38" t="s">
        <v>367</v>
      </c>
      <c r="B254" s="38"/>
      <c r="C254" s="38" t="s">
        <v>3018</v>
      </c>
      <c r="D254" s="38" t="s">
        <v>366</v>
      </c>
      <c r="E254" s="38" t="s">
        <v>53</v>
      </c>
      <c r="F254" s="39">
        <v>1</v>
      </c>
      <c r="G254" s="40">
        <v>0</v>
      </c>
      <c r="H254" s="41">
        <v>0</v>
      </c>
      <c r="I254" s="14">
        <v>1</v>
      </c>
      <c r="J254" s="42">
        <f>SUMIFS(COMPOSICIÓN!J$2:J$1879,COMPOSICIÓN!A$2:A$1879,A254,COMPOSICIÓN!B$2:B$1879,"MAT")</f>
        <v>0</v>
      </c>
      <c r="K254" s="42">
        <f>SUMIFS(COMPOSICIÓN!J$2:J$1879,COMPOSICIÓN!A$2:A$1879,A254,COMPOSICIÓN!B$2:B$1879,"MO")*I254</f>
        <v>68810</v>
      </c>
      <c r="L254" s="42">
        <f>SUMIFS(COMPOSICIÓN!J$2:J$1879,COMPOSICIÓN!A$2:A$1879,A254,COMPOSICIÓN!B$2:B$1879,"EQ")</f>
        <v>0</v>
      </c>
      <c r="M254" s="42">
        <f t="shared" si="12"/>
        <v>0</v>
      </c>
      <c r="N254" s="42">
        <f t="shared" si="13"/>
        <v>68810</v>
      </c>
      <c r="O254" s="42">
        <f t="shared" si="14"/>
        <v>0</v>
      </c>
      <c r="P254" s="42">
        <f t="shared" si="15"/>
        <v>68810</v>
      </c>
      <c r="Q254" s="15">
        <f>COUNTIF(COMPOSICIÓN!$A:$A,A254)</f>
        <v>1</v>
      </c>
      <c r="R254" s="43" t="s">
        <v>2670</v>
      </c>
    </row>
    <row r="255" spans="1:18" ht="14.25" customHeight="1" x14ac:dyDescent="0.35">
      <c r="A255" s="38" t="s">
        <v>370</v>
      </c>
      <c r="B255" s="38"/>
      <c r="C255" s="38" t="s">
        <v>368</v>
      </c>
      <c r="D255" s="38" t="s">
        <v>369</v>
      </c>
      <c r="E255" s="38" t="s">
        <v>24</v>
      </c>
      <c r="F255" s="39">
        <v>1</v>
      </c>
      <c r="G255" s="40">
        <v>0</v>
      </c>
      <c r="H255" s="41">
        <v>0</v>
      </c>
      <c r="I255" s="14">
        <v>1</v>
      </c>
      <c r="J255" s="42">
        <f>SUMIFS(COMPOSICIÓN!J$2:J$1879,COMPOSICIÓN!A$2:A$1879,A255,COMPOSICIÓN!B$2:B$1879,"MAT")</f>
        <v>53696.806510420058</v>
      </c>
      <c r="K255" s="42">
        <f>SUMIFS(COMPOSICIÓN!J$2:J$1879,COMPOSICIÓN!A$2:A$1879,A255,COMPOSICIÓN!B$2:B$1879,"MO")*I255</f>
        <v>137815.66048314399</v>
      </c>
      <c r="L255" s="42">
        <f>SUMIFS(COMPOSICIÓN!J$2:J$1879,COMPOSICIÓN!A$2:A$1879,A255,COMPOSICIÓN!B$2:B$1879,"EQ")</f>
        <v>2872.6870049034101</v>
      </c>
      <c r="M255" s="42">
        <f t="shared" si="12"/>
        <v>53696.806510420058</v>
      </c>
      <c r="N255" s="42">
        <f t="shared" si="13"/>
        <v>137815.66048314399</v>
      </c>
      <c r="O255" s="42">
        <f t="shared" si="14"/>
        <v>2872.6870049034101</v>
      </c>
      <c r="P255" s="42">
        <f t="shared" si="15"/>
        <v>194385.15399846746</v>
      </c>
      <c r="Q255" s="15">
        <f>COUNTIF(COMPOSICIÓN!$A:$A,A255)</f>
        <v>9</v>
      </c>
      <c r="R255" s="43" t="s">
        <v>2661</v>
      </c>
    </row>
    <row r="256" spans="1:18" ht="14.25" customHeight="1" x14ac:dyDescent="0.35">
      <c r="A256" s="38" t="s">
        <v>372</v>
      </c>
      <c r="B256" s="38"/>
      <c r="C256" s="38" t="s">
        <v>368</v>
      </c>
      <c r="D256" s="38" t="s">
        <v>371</v>
      </c>
      <c r="E256" s="38" t="s">
        <v>24</v>
      </c>
      <c r="F256" s="39">
        <v>1</v>
      </c>
      <c r="G256" s="40">
        <v>0</v>
      </c>
      <c r="H256" s="41">
        <v>0</v>
      </c>
      <c r="I256" s="14">
        <v>1</v>
      </c>
      <c r="J256" s="42">
        <f>SUMIFS(COMPOSICIÓN!J$2:J$1879,COMPOSICIÓN!A$2:A$1879,A256,COMPOSICIÓN!B$2:B$1879,"MAT")</f>
        <v>50000</v>
      </c>
      <c r="K256" s="42">
        <f>SUMIFS(COMPOSICIÓN!J$2:J$1879,COMPOSICIÓN!A$2:A$1879,A256,COMPOSICIÓN!B$2:B$1879,"MO")*I256</f>
        <v>536926.85047428997</v>
      </c>
      <c r="L256" s="42">
        <f>SUMIFS(COMPOSICIÓN!J$2:J$1879,COMPOSICIÓN!A$2:A$1879,A256,COMPOSICIÓN!B$2:B$1879,"EQ")</f>
        <v>8803.9027571143397</v>
      </c>
      <c r="M256" s="42">
        <f t="shared" si="12"/>
        <v>50000</v>
      </c>
      <c r="N256" s="42">
        <f t="shared" si="13"/>
        <v>536926.85047428997</v>
      </c>
      <c r="O256" s="42">
        <f t="shared" si="14"/>
        <v>8803.9027571143397</v>
      </c>
      <c r="P256" s="42">
        <f t="shared" si="15"/>
        <v>595730.75323140435</v>
      </c>
      <c r="Q256" s="15">
        <f>COUNTIF(COMPOSICIÓN!$A:$A,A256)</f>
        <v>4</v>
      </c>
      <c r="R256" s="43" t="s">
        <v>2661</v>
      </c>
    </row>
    <row r="257" spans="1:18" ht="14.25" customHeight="1" x14ac:dyDescent="0.35">
      <c r="A257" s="38" t="s">
        <v>374</v>
      </c>
      <c r="B257" s="38"/>
      <c r="C257" s="38" t="s">
        <v>368</v>
      </c>
      <c r="D257" s="38" t="s">
        <v>373</v>
      </c>
      <c r="E257" s="38" t="s">
        <v>92</v>
      </c>
      <c r="F257" s="39">
        <v>1</v>
      </c>
      <c r="G257" s="40">
        <v>0</v>
      </c>
      <c r="H257" s="41">
        <v>0</v>
      </c>
      <c r="I257" s="14">
        <v>1</v>
      </c>
      <c r="J257" s="42">
        <f>SUMIFS(COMPOSICIÓN!J$2:J$1879,COMPOSICIÓN!A$2:A$1879,A257,COMPOSICIÓN!B$2:B$1879,"MAT")</f>
        <v>7692.3076923038498</v>
      </c>
      <c r="K257" s="42">
        <f>SUMIFS(COMPOSICIÓN!J$2:J$1879,COMPOSICIÓN!A$2:A$1879,A257,COMPOSICIÓN!B$2:B$1879,"MO")*I257</f>
        <v>12322.977031263857</v>
      </c>
      <c r="L257" s="42">
        <f>SUMIFS(COMPOSICIÓN!J$2:J$1879,COMPOSICIÓN!A$2:A$1879,A257,COMPOSICIÓN!B$2:B$1879,"EQ")</f>
        <v>300.22927085357298</v>
      </c>
      <c r="M257" s="42">
        <f t="shared" si="12"/>
        <v>7692.3076923038498</v>
      </c>
      <c r="N257" s="42">
        <f t="shared" si="13"/>
        <v>12322.977031263857</v>
      </c>
      <c r="O257" s="42">
        <f t="shared" si="14"/>
        <v>300.22927085357298</v>
      </c>
      <c r="P257" s="42">
        <f t="shared" si="15"/>
        <v>20315.513994421279</v>
      </c>
      <c r="Q257" s="15">
        <f>COUNTIF(COMPOSICIÓN!$A:$A,A257)</f>
        <v>5</v>
      </c>
      <c r="R257" s="43" t="s">
        <v>2661</v>
      </c>
    </row>
    <row r="258" spans="1:18" ht="14.25" customHeight="1" x14ac:dyDescent="0.35">
      <c r="A258" s="38" t="s">
        <v>376</v>
      </c>
      <c r="B258" s="38" t="s">
        <v>2538</v>
      </c>
      <c r="C258" s="38" t="s">
        <v>368</v>
      </c>
      <c r="D258" s="38" t="s">
        <v>2759</v>
      </c>
      <c r="E258" s="38" t="s">
        <v>92</v>
      </c>
      <c r="F258" s="39">
        <v>7</v>
      </c>
      <c r="G258" s="40">
        <v>0</v>
      </c>
      <c r="H258" s="41">
        <v>0</v>
      </c>
      <c r="I258" s="14">
        <v>1</v>
      </c>
      <c r="J258" s="42">
        <f>SUMIFS(COMPOSICIÓN!J$2:J$1879,COMPOSICIÓN!A$2:A$1879,A258,COMPOSICIÓN!B$2:B$1879,"MAT")</f>
        <v>24578.046976990998</v>
      </c>
      <c r="K258" s="42">
        <f>SUMIFS(COMPOSICIÓN!J$2:J$1879,COMPOSICIÓN!A$2:A$1879,A258,COMPOSICIÓN!B$2:B$1879,"MO")*I258</f>
        <v>189275.21099142998</v>
      </c>
      <c r="L258" s="42">
        <f>SUMIFS(COMPOSICIÓN!J$2:J$1879,COMPOSICIÓN!A$2:A$1879,A258,COMPOSICIÓN!B$2:B$1879,"EQ")</f>
        <v>2435.3371948771046</v>
      </c>
      <c r="M258" s="42">
        <f t="shared" ref="M258:M269" si="16">J258</f>
        <v>24578.046976990998</v>
      </c>
      <c r="N258" s="42">
        <f t="shared" ref="N258:N269" si="17">IF(F258=0,0,K258/F258)</f>
        <v>27039.315855918569</v>
      </c>
      <c r="O258" s="42">
        <f t="shared" ref="O258:O269" si="18">IF(F258=0,0,L258/F258)</f>
        <v>347.90531355387208</v>
      </c>
      <c r="P258" s="42">
        <f t="shared" ref="P258:P269" si="19">M258+N258+O258</f>
        <v>51965.268146463437</v>
      </c>
      <c r="Q258" s="15">
        <f>COUNTIF(COMPOSICIÓN!$A:$A,A258)</f>
        <v>14</v>
      </c>
      <c r="R258" s="43" t="s">
        <v>2760</v>
      </c>
    </row>
    <row r="259" spans="1:18" ht="14.25" customHeight="1" x14ac:dyDescent="0.35">
      <c r="A259" s="38" t="s">
        <v>378</v>
      </c>
      <c r="B259" s="38"/>
      <c r="C259" s="38" t="s">
        <v>3019</v>
      </c>
      <c r="D259" s="38" t="s">
        <v>377</v>
      </c>
      <c r="E259" s="38" t="s">
        <v>33</v>
      </c>
      <c r="F259" s="39">
        <v>1</v>
      </c>
      <c r="G259" s="40">
        <v>0</v>
      </c>
      <c r="H259" s="41">
        <v>0</v>
      </c>
      <c r="I259" s="14">
        <v>1</v>
      </c>
      <c r="J259" s="42">
        <f>SUMIFS(COMPOSICIÓN!J$2:J$1879,COMPOSICIÓN!A$2:A$1879,A259,COMPOSICIÓN!B$2:B$1879,"MAT")</f>
        <v>0</v>
      </c>
      <c r="K259" s="42">
        <f>SUMIFS(COMPOSICIÓN!J$2:J$1879,COMPOSICIÓN!A$2:A$1879,A259,COMPOSICIÓN!B$2:B$1879,"MO")*I259</f>
        <v>730326.96931886405</v>
      </c>
      <c r="L259" s="42">
        <f>SUMIFS(COMPOSICIÓN!J$2:J$1879,COMPOSICIÓN!A$2:A$1879,A259,COMPOSICIÓN!B$2:B$1879,"EQ")</f>
        <v>0</v>
      </c>
      <c r="M259" s="42">
        <f t="shared" si="16"/>
        <v>0</v>
      </c>
      <c r="N259" s="42">
        <f t="shared" si="17"/>
        <v>730326.96931886405</v>
      </c>
      <c r="O259" s="42">
        <f t="shared" si="18"/>
        <v>0</v>
      </c>
      <c r="P259" s="42">
        <f t="shared" si="19"/>
        <v>730326.96931886405</v>
      </c>
      <c r="Q259" s="15">
        <f>COUNTIF(COMPOSICIÓN!$A:$A,A259)</f>
        <v>1</v>
      </c>
      <c r="R259" s="43" t="s">
        <v>2665</v>
      </c>
    </row>
    <row r="260" spans="1:18" ht="14.25" customHeight="1" x14ac:dyDescent="0.35">
      <c r="A260" s="38" t="s">
        <v>380</v>
      </c>
      <c r="B260" s="38"/>
      <c r="C260" s="38" t="s">
        <v>3019</v>
      </c>
      <c r="D260" s="38" t="s">
        <v>379</v>
      </c>
      <c r="E260" s="38" t="s">
        <v>33</v>
      </c>
      <c r="F260" s="39">
        <v>1</v>
      </c>
      <c r="G260" s="40">
        <v>0</v>
      </c>
      <c r="H260" s="41">
        <v>0</v>
      </c>
      <c r="I260" s="14">
        <v>1</v>
      </c>
      <c r="J260" s="42">
        <f>SUMIFS(COMPOSICIÓN!J$2:J$1879,COMPOSICIÓN!A$2:A$1879,A260,COMPOSICIÓN!B$2:B$1879,"MAT")</f>
        <v>0</v>
      </c>
      <c r="K260" s="42">
        <f>SUMIFS(COMPOSICIÓN!J$2:J$1879,COMPOSICIÓN!A$2:A$1879,A260,COMPOSICIÓN!B$2:B$1879,"MO")*I260</f>
        <v>1504670.291</v>
      </c>
      <c r="L260" s="42">
        <f>SUMIFS(COMPOSICIÓN!J$2:J$1879,COMPOSICIÓN!A$2:A$1879,A260,COMPOSICIÓN!B$2:B$1879,"EQ")</f>
        <v>0</v>
      </c>
      <c r="M260" s="42">
        <f t="shared" si="16"/>
        <v>0</v>
      </c>
      <c r="N260" s="42">
        <f t="shared" si="17"/>
        <v>1504670.291</v>
      </c>
      <c r="O260" s="42">
        <f t="shared" si="18"/>
        <v>0</v>
      </c>
      <c r="P260" s="42">
        <f t="shared" si="19"/>
        <v>1504670.291</v>
      </c>
      <c r="Q260" s="15">
        <f>COUNTIF(COMPOSICIÓN!$A:$A,A260)</f>
        <v>1</v>
      </c>
      <c r="R260" s="43" t="s">
        <v>2665</v>
      </c>
    </row>
    <row r="261" spans="1:18" ht="14.25" customHeight="1" x14ac:dyDescent="0.35">
      <c r="A261" s="38" t="s">
        <v>382</v>
      </c>
      <c r="B261" s="38"/>
      <c r="C261" s="38" t="s">
        <v>3019</v>
      </c>
      <c r="D261" s="38" t="s">
        <v>381</v>
      </c>
      <c r="E261" s="38" t="s">
        <v>33</v>
      </c>
      <c r="F261" s="39">
        <v>1</v>
      </c>
      <c r="G261" s="40">
        <v>0</v>
      </c>
      <c r="H261" s="41">
        <v>0</v>
      </c>
      <c r="I261" s="14">
        <v>1</v>
      </c>
      <c r="J261" s="42">
        <f>SUMIFS(COMPOSICIÓN!J$2:J$1879,COMPOSICIÓN!A$2:A$1879,A261,COMPOSICIÓN!B$2:B$1879,"MAT")</f>
        <v>0</v>
      </c>
      <c r="K261" s="42">
        <f>SUMIFS(COMPOSICIÓN!J$2:J$1879,COMPOSICIÓN!A$2:A$1879,A261,COMPOSICIÓN!B$2:B$1879,"MO")*I261</f>
        <v>150000</v>
      </c>
      <c r="L261" s="42">
        <f>SUMIFS(COMPOSICIÓN!J$2:J$1879,COMPOSICIÓN!A$2:A$1879,A261,COMPOSICIÓN!B$2:B$1879,"EQ")</f>
        <v>0</v>
      </c>
      <c r="M261" s="42">
        <f t="shared" si="16"/>
        <v>0</v>
      </c>
      <c r="N261" s="42">
        <f t="shared" si="17"/>
        <v>150000</v>
      </c>
      <c r="O261" s="42">
        <f t="shared" si="18"/>
        <v>0</v>
      </c>
      <c r="P261" s="42">
        <f t="shared" si="19"/>
        <v>150000</v>
      </c>
      <c r="Q261" s="15">
        <f>COUNTIF(COMPOSICIÓN!$A:$A,A261)</f>
        <v>1</v>
      </c>
      <c r="R261" s="43" t="s">
        <v>2665</v>
      </c>
    </row>
    <row r="262" spans="1:18" ht="14.25" customHeight="1" x14ac:dyDescent="0.35">
      <c r="A262" s="38" t="s">
        <v>384</v>
      </c>
      <c r="B262" s="38"/>
      <c r="C262" s="38" t="s">
        <v>3019</v>
      </c>
      <c r="D262" s="38" t="s">
        <v>383</v>
      </c>
      <c r="E262" s="38" t="s">
        <v>24</v>
      </c>
      <c r="F262" s="39">
        <v>1</v>
      </c>
      <c r="G262" s="40">
        <v>0</v>
      </c>
      <c r="H262" s="41">
        <v>0</v>
      </c>
      <c r="I262" s="14">
        <v>1</v>
      </c>
      <c r="J262" s="42">
        <f>SUMIFS(COMPOSICIÓN!J$2:J$1879,COMPOSICIÓN!A$2:A$1879,A262,COMPOSICIÓN!B$2:B$1879,"MAT")</f>
        <v>2304593.0853333306</v>
      </c>
      <c r="K262" s="42">
        <f>SUMIFS(COMPOSICIÓN!J$2:J$1879,COMPOSICIÓN!A$2:A$1879,A262,COMPOSICIÓN!B$2:B$1879,"MO")*I262</f>
        <v>2341204.7030503042</v>
      </c>
      <c r="L262" s="42">
        <f>SUMIFS(COMPOSICIÓN!J$2:J$1879,COMPOSICIÓN!A$2:A$1879,A262,COMPOSICIÓN!B$2:B$1879,"EQ")</f>
        <v>69686.966825754498</v>
      </c>
      <c r="M262" s="42">
        <f t="shared" si="16"/>
        <v>2304593.0853333306</v>
      </c>
      <c r="N262" s="42">
        <f t="shared" si="17"/>
        <v>2341204.7030503042</v>
      </c>
      <c r="O262" s="42">
        <f t="shared" si="18"/>
        <v>69686.966825754498</v>
      </c>
      <c r="P262" s="42">
        <f t="shared" si="19"/>
        <v>4715484.7552093891</v>
      </c>
      <c r="Q262" s="15">
        <f>COUNTIF(COMPOSICIÓN!$A:$A,A262)</f>
        <v>7</v>
      </c>
      <c r="R262" s="43" t="s">
        <v>2661</v>
      </c>
    </row>
    <row r="263" spans="1:18" ht="14.25" customHeight="1" x14ac:dyDescent="0.35">
      <c r="A263" s="38" t="s">
        <v>386</v>
      </c>
      <c r="B263" s="38"/>
      <c r="C263" s="38" t="s">
        <v>3019</v>
      </c>
      <c r="D263" s="38" t="s">
        <v>385</v>
      </c>
      <c r="E263" s="38" t="s">
        <v>33</v>
      </c>
      <c r="F263" s="39">
        <v>1</v>
      </c>
      <c r="G263" s="40">
        <v>0</v>
      </c>
      <c r="H263" s="41">
        <v>0</v>
      </c>
      <c r="I263" s="14">
        <v>1</v>
      </c>
      <c r="J263" s="42">
        <f>SUMIFS(COMPOSICIÓN!J$2:J$1879,COMPOSICIÓN!A$2:A$1879,A263,COMPOSICIÓN!B$2:B$1879,"MAT")</f>
        <v>50000</v>
      </c>
      <c r="K263" s="42">
        <f>SUMIFS(COMPOSICIÓN!J$2:J$1879,COMPOSICIÓN!A$2:A$1879,A263,COMPOSICIÓN!B$2:B$1879,"MO")*I263</f>
        <v>596028.72377914796</v>
      </c>
      <c r="L263" s="42">
        <f>SUMIFS(COMPOSICIÓN!J$2:J$1879,COMPOSICIÓN!A$2:A$1879,A263,COMPOSICIÓN!B$2:B$1879,"EQ")</f>
        <v>9690.4308566872205</v>
      </c>
      <c r="M263" s="42">
        <f t="shared" si="16"/>
        <v>50000</v>
      </c>
      <c r="N263" s="42">
        <f t="shared" si="17"/>
        <v>596028.72377914796</v>
      </c>
      <c r="O263" s="42">
        <f t="shared" si="18"/>
        <v>9690.4308566872205</v>
      </c>
      <c r="P263" s="42">
        <f t="shared" si="19"/>
        <v>655719.15463583521</v>
      </c>
      <c r="Q263" s="15">
        <f>COUNTIF(COMPOSICIÓN!$A:$A,A263)</f>
        <v>4</v>
      </c>
      <c r="R263" s="43" t="s">
        <v>2661</v>
      </c>
    </row>
    <row r="264" spans="1:18" ht="14.25" customHeight="1" x14ac:dyDescent="0.35">
      <c r="A264" s="38" t="s">
        <v>388</v>
      </c>
      <c r="B264" s="38"/>
      <c r="C264" s="38" t="s">
        <v>3019</v>
      </c>
      <c r="D264" s="38" t="s">
        <v>2761</v>
      </c>
      <c r="E264" s="38" t="s">
        <v>33</v>
      </c>
      <c r="F264" s="39">
        <v>1</v>
      </c>
      <c r="G264" s="40">
        <v>0</v>
      </c>
      <c r="H264" s="41">
        <v>0</v>
      </c>
      <c r="I264" s="14">
        <v>1</v>
      </c>
      <c r="J264" s="42">
        <f>SUMIFS(COMPOSICIÓN!J$2:J$1879,COMPOSICIÓN!A$2:A$1879,A264,COMPOSICIÓN!B$2:B$1879,"MAT")</f>
        <v>25000</v>
      </c>
      <c r="K264" s="42">
        <f>SUMIFS(COMPOSICIÓN!J$2:J$1879,COMPOSICIÓN!A$2:A$1879,A264,COMPOSICIÓN!B$2:B$1879,"MO")*I264</f>
        <v>401679.83312537521</v>
      </c>
      <c r="L264" s="42">
        <f>SUMIFS(COMPOSICIÓN!J$2:J$1879,COMPOSICIÓN!A$2:A$1879,A264,COMPOSICIÓN!B$2:B$1879,"EQ")</f>
        <v>6400.1974968806198</v>
      </c>
      <c r="M264" s="42">
        <f t="shared" si="16"/>
        <v>25000</v>
      </c>
      <c r="N264" s="42">
        <f t="shared" si="17"/>
        <v>401679.83312537521</v>
      </c>
      <c r="O264" s="42">
        <f t="shared" si="18"/>
        <v>6400.1974968806198</v>
      </c>
      <c r="P264" s="42">
        <f t="shared" si="19"/>
        <v>433080.03062225581</v>
      </c>
      <c r="Q264" s="15">
        <f>COUNTIF(COMPOSICIÓN!$A:$A,A264)</f>
        <v>3</v>
      </c>
      <c r="R264" s="43" t="s">
        <v>2661</v>
      </c>
    </row>
    <row r="265" spans="1:18" ht="14.25" customHeight="1" x14ac:dyDescent="0.35">
      <c r="A265" s="38" t="s">
        <v>390</v>
      </c>
      <c r="B265" s="38"/>
      <c r="C265" s="38" t="s">
        <v>3019</v>
      </c>
      <c r="D265" s="38" t="s">
        <v>389</v>
      </c>
      <c r="E265" s="38" t="s">
        <v>24</v>
      </c>
      <c r="F265" s="39">
        <v>1</v>
      </c>
      <c r="G265" s="40">
        <v>0</v>
      </c>
      <c r="H265" s="41">
        <v>0</v>
      </c>
      <c r="I265" s="14">
        <v>1</v>
      </c>
      <c r="J265" s="42">
        <f>SUMIFS(COMPOSICIÓN!J$2:J$1879,COMPOSICIÓN!A$2:A$1879,A265,COMPOSICIÓN!B$2:B$1879,"MAT")</f>
        <v>250000</v>
      </c>
      <c r="K265" s="42">
        <f>SUMIFS(COMPOSICIÓN!J$2:J$1879,COMPOSICIÓN!A$2:A$1879,A265,COMPOSICIÓN!B$2:B$1879,"MO")*I265</f>
        <v>3651634.8465943201</v>
      </c>
      <c r="L265" s="42">
        <f>SUMIFS(COMPOSICIÓN!J$2:J$1879,COMPOSICIÓN!A$2:A$1879,A265,COMPOSICIÓN!B$2:B$1879,"EQ")</f>
        <v>58524.5226989148</v>
      </c>
      <c r="M265" s="42">
        <f t="shared" si="16"/>
        <v>250000</v>
      </c>
      <c r="N265" s="42">
        <f t="shared" si="17"/>
        <v>3651634.8465943201</v>
      </c>
      <c r="O265" s="42">
        <f t="shared" si="18"/>
        <v>58524.5226989148</v>
      </c>
      <c r="P265" s="42">
        <f t="shared" si="19"/>
        <v>3960159.3692932348</v>
      </c>
      <c r="Q265" s="15">
        <f>COUNTIF(COMPOSICIÓN!$A:$A,A265)</f>
        <v>3</v>
      </c>
      <c r="R265" s="43" t="s">
        <v>2661</v>
      </c>
    </row>
    <row r="266" spans="1:18" ht="14.25" customHeight="1" x14ac:dyDescent="0.35">
      <c r="A266" s="38" t="s">
        <v>392</v>
      </c>
      <c r="B266" s="38"/>
      <c r="C266" s="38" t="s">
        <v>3019</v>
      </c>
      <c r="D266" s="38" t="s">
        <v>391</v>
      </c>
      <c r="E266" s="38" t="s">
        <v>33</v>
      </c>
      <c r="F266" s="39">
        <v>1</v>
      </c>
      <c r="G266" s="40">
        <v>0</v>
      </c>
      <c r="H266" s="41">
        <v>0</v>
      </c>
      <c r="I266" s="14">
        <v>1</v>
      </c>
      <c r="J266" s="42">
        <f>SUMIFS(COMPOSICIÓN!J$2:J$1879,COMPOSICIÓN!A$2:A$1879,A266,COMPOSICIÓN!B$2:B$1879,"MAT")</f>
        <v>0</v>
      </c>
      <c r="K266" s="42">
        <f>SUMIFS(COMPOSICIÓN!J$2:J$1879,COMPOSICIÓN!A$2:A$1879,A266,COMPOSICIÓN!B$2:B$1879,"MO")*I266</f>
        <v>300000</v>
      </c>
      <c r="L266" s="42">
        <f>SUMIFS(COMPOSICIÓN!J$2:J$1879,COMPOSICIÓN!A$2:A$1879,A266,COMPOSICIÓN!B$2:B$1879,"EQ")</f>
        <v>0</v>
      </c>
      <c r="M266" s="42">
        <f t="shared" si="16"/>
        <v>0</v>
      </c>
      <c r="N266" s="42">
        <f t="shared" si="17"/>
        <v>300000</v>
      </c>
      <c r="O266" s="42">
        <f t="shared" si="18"/>
        <v>0</v>
      </c>
      <c r="P266" s="42">
        <f t="shared" si="19"/>
        <v>300000</v>
      </c>
      <c r="Q266" s="15">
        <f>COUNTIF(COMPOSICIÓN!$A:$A,A266)</f>
        <v>1</v>
      </c>
      <c r="R266" s="43" t="s">
        <v>2665</v>
      </c>
    </row>
    <row r="267" spans="1:18" ht="14.25" customHeight="1" x14ac:dyDescent="0.35">
      <c r="A267" s="38" t="s">
        <v>394</v>
      </c>
      <c r="B267" s="38"/>
      <c r="C267" s="38" t="s">
        <v>3019</v>
      </c>
      <c r="D267" s="38" t="s">
        <v>393</v>
      </c>
      <c r="E267" s="38" t="s">
        <v>33</v>
      </c>
      <c r="F267" s="39">
        <v>1</v>
      </c>
      <c r="G267" s="40">
        <v>0</v>
      </c>
      <c r="H267" s="41">
        <v>0</v>
      </c>
      <c r="I267" s="14">
        <v>1</v>
      </c>
      <c r="J267" s="42">
        <f>SUMIFS(COMPOSICIÓN!J$2:J$1879,COMPOSICIÓN!A$2:A$1879,A267,COMPOSICIÓN!B$2:B$1879,"MAT")</f>
        <v>200000</v>
      </c>
      <c r="K267" s="42">
        <f>SUMIFS(COMPOSICIÓN!J$2:J$1879,COMPOSICIÓN!A$2:A$1879,A267,COMPOSICIÓN!B$2:B$1879,"MO")*I267</f>
        <v>60860.580776572002</v>
      </c>
      <c r="L267" s="42">
        <f>SUMIFS(COMPOSICIÓN!J$2:J$1879,COMPOSICIÓN!A$2:A$1879,A267,COMPOSICIÓN!B$2:B$1879,"EQ")</f>
        <v>0</v>
      </c>
      <c r="M267" s="42">
        <f t="shared" si="16"/>
        <v>200000</v>
      </c>
      <c r="N267" s="42">
        <f t="shared" si="17"/>
        <v>60860.580776572002</v>
      </c>
      <c r="O267" s="42">
        <f t="shared" si="18"/>
        <v>0</v>
      </c>
      <c r="P267" s="42">
        <f t="shared" si="19"/>
        <v>260860.58077657199</v>
      </c>
      <c r="Q267" s="15">
        <f>COUNTIF(COMPOSICIÓN!$A:$A,A267)</f>
        <v>2</v>
      </c>
      <c r="R267" s="43" t="s">
        <v>2665</v>
      </c>
    </row>
    <row r="268" spans="1:18" ht="14.25" customHeight="1" x14ac:dyDescent="0.35">
      <c r="A268" s="38" t="s">
        <v>396</v>
      </c>
      <c r="B268" s="38"/>
      <c r="C268" s="38" t="s">
        <v>3020</v>
      </c>
      <c r="D268" s="38" t="s">
        <v>395</v>
      </c>
      <c r="E268" s="38" t="s">
        <v>33</v>
      </c>
      <c r="F268" s="39">
        <v>1</v>
      </c>
      <c r="G268" s="40">
        <v>0</v>
      </c>
      <c r="H268" s="41">
        <v>0</v>
      </c>
      <c r="I268" s="14">
        <v>1</v>
      </c>
      <c r="J268" s="42">
        <f>SUMIFS(COMPOSICIÓN!J$2:J$1879,COMPOSICIÓN!A$2:A$1879,A268,COMPOSICIÓN!B$2:B$1879,"MAT")</f>
        <v>0</v>
      </c>
      <c r="K268" s="42">
        <f>SUMIFS(COMPOSICIÓN!J$2:J$1879,COMPOSICIÓN!A$2:A$1879,A268,COMPOSICIÓN!B$2:B$1879,"MO")*I268</f>
        <v>4372210.5820000004</v>
      </c>
      <c r="L268" s="42">
        <f>SUMIFS(COMPOSICIÓN!J$2:J$1879,COMPOSICIÓN!A$2:A$1879,A268,COMPOSICIÓN!B$2:B$1879,"EQ")</f>
        <v>0</v>
      </c>
      <c r="M268" s="42">
        <f t="shared" si="16"/>
        <v>0</v>
      </c>
      <c r="N268" s="42">
        <f t="shared" si="17"/>
        <v>4372210.5820000004</v>
      </c>
      <c r="O268" s="42">
        <f t="shared" si="18"/>
        <v>0</v>
      </c>
      <c r="P268" s="42">
        <f t="shared" si="19"/>
        <v>4372210.5820000004</v>
      </c>
      <c r="Q268" s="15">
        <f>COUNTIF(COMPOSICIÓN!$A:$A,A268)</f>
        <v>1</v>
      </c>
      <c r="R268" t="s">
        <v>2665</v>
      </c>
    </row>
    <row r="269" spans="1:18" ht="14.25" customHeight="1" x14ac:dyDescent="0.35">
      <c r="A269" s="38" t="s">
        <v>398</v>
      </c>
      <c r="B269" s="38"/>
      <c r="C269" s="38" t="s">
        <v>3020</v>
      </c>
      <c r="D269" s="38" t="s">
        <v>397</v>
      </c>
      <c r="E269" s="38" t="s">
        <v>33</v>
      </c>
      <c r="F269" s="39">
        <v>1</v>
      </c>
      <c r="G269" s="40">
        <v>0</v>
      </c>
      <c r="H269" s="41">
        <v>0</v>
      </c>
      <c r="I269" s="14">
        <v>1</v>
      </c>
      <c r="J269" s="42">
        <f>SUMIFS(COMPOSICIÓN!J$2:J$1879,COMPOSICIÓN!A$2:A$1879,A269,COMPOSICIÓN!B$2:B$1879,"MAT")</f>
        <v>0</v>
      </c>
      <c r="K269" s="42">
        <f>SUMIFS(COMPOSICIÓN!J$2:J$1879,COMPOSICIÓN!A$2:A$1879,A269,COMPOSICIÓN!B$2:B$1879,"MO")*I269</f>
        <v>500000</v>
      </c>
      <c r="L269" s="42">
        <f>SUMIFS(COMPOSICIÓN!J$2:J$1879,COMPOSICIÓN!A$2:A$1879,A269,COMPOSICIÓN!B$2:B$1879,"EQ")</f>
        <v>0</v>
      </c>
      <c r="M269" s="42">
        <f t="shared" si="16"/>
        <v>0</v>
      </c>
      <c r="N269" s="42">
        <f t="shared" si="17"/>
        <v>500000</v>
      </c>
      <c r="O269" s="42">
        <f t="shared" si="18"/>
        <v>0</v>
      </c>
      <c r="P269" s="42">
        <f t="shared" si="19"/>
        <v>500000</v>
      </c>
      <c r="Q269" s="15">
        <f>COUNTIF(COMPOSICIÓN!$A:$A,A269)</f>
        <v>1</v>
      </c>
      <c r="R269" t="s">
        <v>2665</v>
      </c>
    </row>
  </sheetData>
  <autoFilter ref="A1:R269" xr:uid="{00000000-0001-0000-07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B4E3"/>
  </sheetPr>
  <dimension ref="A1:R1903"/>
  <sheetViews>
    <sheetView showGridLines="0" tabSelected="1" topLeftCell="E1" zoomScaleNormal="100" workbookViewId="0">
      <pane ySplit="1" topLeftCell="A2" activePane="bottomLeft" state="frozen"/>
      <selection activeCell="B1" sqref="B1"/>
      <selection pane="bottomLeft" activeCell="Q1" sqref="Q1"/>
    </sheetView>
  </sheetViews>
  <sheetFormatPr defaultColWidth="8.6328125" defaultRowHeight="14.5" zeroHeight="1" x14ac:dyDescent="0.35"/>
  <cols>
    <col min="1" max="1" width="10.90625" customWidth="1"/>
    <col min="2" max="2" width="8.7265625" customWidth="1"/>
    <col min="3" max="3" width="11.26953125" customWidth="1"/>
    <col min="4" max="4" width="14.90625" customWidth="1"/>
    <col min="5" max="5" width="21.26953125" customWidth="1"/>
    <col min="6" max="6" width="5.453125" customWidth="1"/>
    <col min="7" max="7" width="9.90625" customWidth="1"/>
    <col min="8" max="8" width="10.453125" customWidth="1"/>
    <col min="9" max="9" width="10.08984375" customWidth="1"/>
    <col min="10" max="10" width="9.7265625" customWidth="1"/>
    <col min="11" max="11" width="12.54296875" customWidth="1"/>
    <col min="12" max="12" width="10" customWidth="1"/>
    <col min="13" max="13" width="15.26953125" customWidth="1"/>
    <col min="14" max="14" width="10.08984375" customWidth="1"/>
    <col min="15" max="17" width="10.08984375" style="248" customWidth="1"/>
    <col min="18" max="18" width="10.08984375" style="260" customWidth="1"/>
  </cols>
  <sheetData>
    <row r="1" spans="1:18" ht="15" customHeight="1" x14ac:dyDescent="0.35">
      <c r="A1" s="12" t="s">
        <v>2762</v>
      </c>
      <c r="B1" s="12" t="s">
        <v>555</v>
      </c>
      <c r="C1" s="12" t="s">
        <v>2763</v>
      </c>
      <c r="D1" s="12" t="s">
        <v>2764</v>
      </c>
      <c r="E1" s="12" t="s">
        <v>6</v>
      </c>
      <c r="F1" s="12" t="s">
        <v>2765</v>
      </c>
      <c r="G1" s="12" t="s">
        <v>2766</v>
      </c>
      <c r="H1" s="12" t="s">
        <v>2767</v>
      </c>
      <c r="I1" s="12" t="s">
        <v>2768</v>
      </c>
      <c r="J1" s="12" t="s">
        <v>2769</v>
      </c>
      <c r="K1" s="12" t="s">
        <v>2770</v>
      </c>
      <c r="L1" s="12" t="s">
        <v>2771</v>
      </c>
      <c r="M1" s="12" t="s">
        <v>2772</v>
      </c>
      <c r="N1" s="12" t="s">
        <v>3069</v>
      </c>
      <c r="O1" s="246" t="s">
        <v>3070</v>
      </c>
      <c r="P1" s="246" t="s">
        <v>3068</v>
      </c>
      <c r="Q1" s="246" t="s">
        <v>3071</v>
      </c>
      <c r="R1" s="261" t="s">
        <v>3067</v>
      </c>
    </row>
    <row r="2" spans="1:18" ht="15" customHeight="1" x14ac:dyDescent="0.35">
      <c r="A2" s="38" t="s">
        <v>2609</v>
      </c>
      <c r="B2" s="38" t="s">
        <v>2773</v>
      </c>
      <c r="C2" s="38"/>
      <c r="D2" s="38" t="s">
        <v>1616</v>
      </c>
      <c r="E2" s="44" t="str">
        <f>IFERROR(VLOOKUP(D2,EQUIPOS!A:B,2,FALSE()),"?")</f>
        <v>Soldador Soplete A Gas Techista Membrana 10 Kg Boca 50mm</v>
      </c>
      <c r="F2" s="44"/>
      <c r="G2" s="45">
        <v>1</v>
      </c>
      <c r="H2" s="46">
        <v>0</v>
      </c>
      <c r="I2" s="47">
        <f>IFERROR(VLOOKUP(D2,EQUIPOS!A:F,6,FALSE()),0)</f>
        <v>804.50568716120006</v>
      </c>
      <c r="J2" s="42">
        <f>G2*I2</f>
        <v>804.50568716120006</v>
      </c>
      <c r="K2" s="15" t="str">
        <f t="shared" ref="K2:K65" si="0">A2&amp;"|"&amp;B2</f>
        <v>AIS-114|EQ</v>
      </c>
      <c r="L2" s="15">
        <f>COUNTIFS($K$2:K2,K2)</f>
        <v>1</v>
      </c>
      <c r="M2" s="15" t="str">
        <f t="shared" ref="M2:M65" si="1">K2&amp;"|"&amp;L2</f>
        <v>AIS-114|EQ|1</v>
      </c>
      <c r="N2" s="47">
        <f>IFERROR(VLOOKUP(A2,PARTIDAS!A:F,6,FALSE()),0)</f>
        <v>60</v>
      </c>
      <c r="O2" s="247">
        <f>+IF(C2="ALB",G2/N2,G2)</f>
        <v>1</v>
      </c>
      <c r="P2" s="247" t="str">
        <f>+_xlfn.XLOOKUP(A2,PPTO_GENERADOR!Q:Q,PPTO_GENERADOR!E:E,"-",0)</f>
        <v>-</v>
      </c>
      <c r="Q2" s="247">
        <f>IFERROR(P2*O2,0)</f>
        <v>0</v>
      </c>
      <c r="R2" s="259" t="str">
        <f>+_xlfn.XLOOKUP(A2,PPTO_GENERADOR!$Q:$Q,PPTO_GENERADOR!A:A,"-",0)</f>
        <v>-</v>
      </c>
    </row>
    <row r="3" spans="1:18" ht="15" customHeight="1" x14ac:dyDescent="0.35">
      <c r="A3" s="38" t="s">
        <v>2609</v>
      </c>
      <c r="B3" s="38" t="s">
        <v>2774</v>
      </c>
      <c r="C3" s="38" t="s">
        <v>2775</v>
      </c>
      <c r="D3" s="38" t="s">
        <v>845</v>
      </c>
      <c r="E3" s="44" t="str">
        <f>IFERROR(VLOOKUP(D3,MATERIALES!A:B,2,FALSE()),"?")</f>
        <v>Aguarras Hydrarras Hydra x 18lts</v>
      </c>
      <c r="F3" s="44" t="str">
        <f>IFERROR(VLOOKUP(D3,MATERIALES!A:C,3,FALSE()),"?")</f>
        <v>b</v>
      </c>
      <c r="G3" s="45">
        <v>5.0000000000000001E-3</v>
      </c>
      <c r="H3" s="46">
        <v>0.05</v>
      </c>
      <c r="I3" s="47">
        <f>IFERROR(VLOOKUP(D3,MATERIALES!A:D,4,FALSE()),0)</f>
        <v>26907.33</v>
      </c>
      <c r="J3" s="42">
        <f t="shared" ref="J3:J10" si="2">G3*I3*(1+H3)</f>
        <v>141.26348250000001</v>
      </c>
      <c r="K3" s="15" t="str">
        <f t="shared" si="0"/>
        <v>AIS-114|MAT</v>
      </c>
      <c r="L3" s="15">
        <f>COUNTIFS($K$2:K3,K3)</f>
        <v>1</v>
      </c>
      <c r="M3" s="15" t="str">
        <f t="shared" si="1"/>
        <v>AIS-114|MAT|1</v>
      </c>
      <c r="N3" s="47">
        <f>IFERROR(VLOOKUP(A3,PARTIDAS!A:F,6,FALSE()),0)</f>
        <v>60</v>
      </c>
      <c r="O3" s="247">
        <f t="shared" ref="O3:O66" si="3">+IF(C3="ALB",G3/N3,G3)</f>
        <v>5.0000000000000001E-3</v>
      </c>
      <c r="P3" s="247" t="str">
        <f>+_xlfn.XLOOKUP(A3,PPTO_GENERADOR!Q:Q,PPTO_GENERADOR!E:E,"-",0)</f>
        <v>-</v>
      </c>
      <c r="Q3" s="247">
        <f t="shared" ref="Q3:Q66" si="4">IFERROR(P3*O3,0)</f>
        <v>0</v>
      </c>
      <c r="R3" s="259" t="str">
        <f>+_xlfn.XLOOKUP(A3,PPTO_GENERADOR!$Q:$Q,PPTO_GENERADOR!A:A,"-",0)</f>
        <v>-</v>
      </c>
    </row>
    <row r="4" spans="1:18" ht="15" customHeight="1" x14ac:dyDescent="0.35">
      <c r="A4" s="38" t="s">
        <v>2609</v>
      </c>
      <c r="B4" s="38" t="s">
        <v>2774</v>
      </c>
      <c r="C4" s="38" t="s">
        <v>2775</v>
      </c>
      <c r="D4" s="38" t="s">
        <v>855</v>
      </c>
      <c r="E4" s="44" t="str">
        <f>IFERROR(VLOOKUP(D4,MATERIALES!A:B,2,FALSE()),"?")</f>
        <v>Trapo</v>
      </c>
      <c r="F4" s="44" t="str">
        <f>IFERROR(VLOOKUP(D4,MATERIALES!A:C,3,FALSE()),"?")</f>
        <v>u</v>
      </c>
      <c r="G4" s="45">
        <v>0.01</v>
      </c>
      <c r="H4" s="46">
        <v>0.05</v>
      </c>
      <c r="I4" s="47">
        <f>IFERROR(VLOOKUP(D4,MATERIALES!A:D,4,FALSE()),0)</f>
        <v>735.06</v>
      </c>
      <c r="J4" s="42">
        <f t="shared" si="2"/>
        <v>7.7181300000000004</v>
      </c>
      <c r="K4" s="15" t="str">
        <f t="shared" si="0"/>
        <v>AIS-114|MAT</v>
      </c>
      <c r="L4" s="15">
        <f>COUNTIFS($K$2:K4,K4)</f>
        <v>2</v>
      </c>
      <c r="M4" s="15" t="str">
        <f t="shared" si="1"/>
        <v>AIS-114|MAT|2</v>
      </c>
      <c r="N4" s="47">
        <f>IFERROR(VLOOKUP(A4,PARTIDAS!A:F,6,FALSE()),0)</f>
        <v>60</v>
      </c>
      <c r="O4" s="247">
        <f t="shared" si="3"/>
        <v>0.01</v>
      </c>
      <c r="P4" s="247" t="str">
        <f>+_xlfn.XLOOKUP(A4,PPTO_GENERADOR!Q:Q,PPTO_GENERADOR!E:E,"-",0)</f>
        <v>-</v>
      </c>
      <c r="Q4" s="247">
        <f t="shared" si="4"/>
        <v>0</v>
      </c>
      <c r="R4" s="259" t="str">
        <f>+_xlfn.XLOOKUP(A4,PPTO_GENERADOR!$Q:$Q,PPTO_GENERADOR!A:A,"-",0)</f>
        <v>-</v>
      </c>
    </row>
    <row r="5" spans="1:18" ht="15" customHeight="1" x14ac:dyDescent="0.35">
      <c r="A5" s="38" t="s">
        <v>2609</v>
      </c>
      <c r="B5" s="38" t="s">
        <v>2774</v>
      </c>
      <c r="C5" s="38" t="s">
        <v>2775</v>
      </c>
      <c r="D5" s="38" t="s">
        <v>863</v>
      </c>
      <c r="E5" s="44" t="str">
        <f>IFERROR(VLOOKUP(D5,MATERIALES!A:B,2,FALSE()),"?")</f>
        <v>Rodillo de lana pelo largo N°22 - El Galgo</v>
      </c>
      <c r="F5" s="44" t="str">
        <f>IFERROR(VLOOKUP(D5,MATERIALES!A:C,3,FALSE()),"?")</f>
        <v>u</v>
      </c>
      <c r="G5" s="45">
        <v>5.0000000000000001E-3</v>
      </c>
      <c r="H5" s="46">
        <v>0.05</v>
      </c>
      <c r="I5" s="47">
        <f>IFERROR(VLOOKUP(D5,MATERIALES!A:D,4,FALSE()),0)</f>
        <v>6678.36</v>
      </c>
      <c r="J5" s="42">
        <f t="shared" si="2"/>
        <v>35.061389999999996</v>
      </c>
      <c r="K5" s="15" t="str">
        <f t="shared" si="0"/>
        <v>AIS-114|MAT</v>
      </c>
      <c r="L5" s="15">
        <f>COUNTIFS($K$2:K5,K5)</f>
        <v>3</v>
      </c>
      <c r="M5" s="15" t="str">
        <f t="shared" si="1"/>
        <v>AIS-114|MAT|3</v>
      </c>
      <c r="N5" s="47">
        <f>IFERROR(VLOOKUP(A5,PARTIDAS!A:F,6,FALSE()),0)</f>
        <v>60</v>
      </c>
      <c r="O5" s="247">
        <f t="shared" si="3"/>
        <v>5.0000000000000001E-3</v>
      </c>
      <c r="P5" s="247" t="str">
        <f>+_xlfn.XLOOKUP(A5,PPTO_GENERADOR!Q:Q,PPTO_GENERADOR!E:E,"-",0)</f>
        <v>-</v>
      </c>
      <c r="Q5" s="247">
        <f t="shared" si="4"/>
        <v>0</v>
      </c>
      <c r="R5" s="259" t="str">
        <f>+_xlfn.XLOOKUP(A5,PPTO_GENERADOR!$Q:$Q,PPTO_GENERADOR!A:A,"-",0)</f>
        <v>-</v>
      </c>
    </row>
    <row r="6" spans="1:18" ht="15" customHeight="1" x14ac:dyDescent="0.35">
      <c r="A6" s="38" t="s">
        <v>2609</v>
      </c>
      <c r="B6" s="38" t="s">
        <v>2774</v>
      </c>
      <c r="C6" s="38" t="s">
        <v>2775</v>
      </c>
      <c r="D6" s="38" t="s">
        <v>865</v>
      </c>
      <c r="E6" s="44" t="str">
        <f>IFERROR(VLOOKUP(D6,MATERIALES!A:B,2,FALSE()),"?")</f>
        <v>Pincel N° 20 - El Galgo</v>
      </c>
      <c r="F6" s="44" t="str">
        <f>IFERROR(VLOOKUP(D6,MATERIALES!A:C,3,FALSE()),"?")</f>
        <v>u</v>
      </c>
      <c r="G6" s="45">
        <v>0.01</v>
      </c>
      <c r="H6" s="46">
        <v>0.05</v>
      </c>
      <c r="I6" s="47">
        <f>IFERROR(VLOOKUP(D6,MATERIALES!A:D,4,FALSE()),0)</f>
        <v>5282.24</v>
      </c>
      <c r="J6" s="42">
        <f t="shared" si="2"/>
        <v>55.463520000000003</v>
      </c>
      <c r="K6" s="15" t="str">
        <f t="shared" si="0"/>
        <v>AIS-114|MAT</v>
      </c>
      <c r="L6" s="15">
        <f>COUNTIFS($K$2:K6,K6)</f>
        <v>4</v>
      </c>
      <c r="M6" s="15" t="str">
        <f t="shared" si="1"/>
        <v>AIS-114|MAT|4</v>
      </c>
      <c r="N6" s="47">
        <f>IFERROR(VLOOKUP(A6,PARTIDAS!A:F,6,FALSE()),0)</f>
        <v>60</v>
      </c>
      <c r="O6" s="247">
        <f t="shared" si="3"/>
        <v>0.01</v>
      </c>
      <c r="P6" s="247" t="str">
        <f>+_xlfn.XLOOKUP(A6,PPTO_GENERADOR!Q:Q,PPTO_GENERADOR!E:E,"-",0)</f>
        <v>-</v>
      </c>
      <c r="Q6" s="247">
        <f t="shared" si="4"/>
        <v>0</v>
      </c>
      <c r="R6" s="259" t="str">
        <f>+_xlfn.XLOOKUP(A6,PPTO_GENERADOR!$Q:$Q,PPTO_GENERADOR!A:A,"-",0)</f>
        <v>-</v>
      </c>
    </row>
    <row r="7" spans="1:18" ht="15" customHeight="1" x14ac:dyDescent="0.35">
      <c r="A7" s="38" t="s">
        <v>2609</v>
      </c>
      <c r="B7" s="38" t="s">
        <v>2774</v>
      </c>
      <c r="C7" s="38" t="s">
        <v>2775</v>
      </c>
      <c r="D7" s="38" t="s">
        <v>982</v>
      </c>
      <c r="E7" s="44" t="str">
        <f>IFERROR(VLOOKUP(D7,MATERIALES!A:B,2,FALSE()),"?")</f>
        <v>Guante Vaqueta Medio Paseo</v>
      </c>
      <c r="F7" s="44" t="str">
        <f>IFERROR(VLOOKUP(D7,MATERIALES!A:C,3,FALSE()),"?")</f>
        <v>par</v>
      </c>
      <c r="G7" s="45">
        <v>0.03</v>
      </c>
      <c r="H7" s="46">
        <v>0.05</v>
      </c>
      <c r="I7" s="47">
        <f>IFERROR(VLOOKUP(D7,MATERIALES!A:D,4,FALSE()),0)</f>
        <v>4842</v>
      </c>
      <c r="J7" s="42">
        <f t="shared" si="2"/>
        <v>152.523</v>
      </c>
      <c r="K7" s="15" t="str">
        <f t="shared" si="0"/>
        <v>AIS-114|MAT</v>
      </c>
      <c r="L7" s="15">
        <f>COUNTIFS($K$2:K7,K7)</f>
        <v>5</v>
      </c>
      <c r="M7" s="15" t="str">
        <f t="shared" si="1"/>
        <v>AIS-114|MAT|5</v>
      </c>
      <c r="N7" s="47">
        <f>IFERROR(VLOOKUP(A7,PARTIDAS!A:F,6,FALSE()),0)</f>
        <v>60</v>
      </c>
      <c r="O7" s="247">
        <f t="shared" si="3"/>
        <v>0.03</v>
      </c>
      <c r="P7" s="247" t="str">
        <f>+_xlfn.XLOOKUP(A7,PPTO_GENERADOR!Q:Q,PPTO_GENERADOR!E:E,"-",0)</f>
        <v>-</v>
      </c>
      <c r="Q7" s="247">
        <f t="shared" si="4"/>
        <v>0</v>
      </c>
      <c r="R7" s="259" t="str">
        <f>+_xlfn.XLOOKUP(A7,PPTO_GENERADOR!$Q:$Q,PPTO_GENERADOR!A:A,"-",0)</f>
        <v>-</v>
      </c>
    </row>
    <row r="8" spans="1:18" ht="15" customHeight="1" x14ac:dyDescent="0.35">
      <c r="A8" s="38" t="s">
        <v>2609</v>
      </c>
      <c r="B8" s="38" t="s">
        <v>2774</v>
      </c>
      <c r="C8" s="38" t="s">
        <v>2775</v>
      </c>
      <c r="D8" s="38" t="s">
        <v>985</v>
      </c>
      <c r="E8" s="44" t="str">
        <f>IFERROR(VLOOKUP(D8,MATERIALES!A:B,2,FALSE()),"?")</f>
        <v>Recarga de garrafa</v>
      </c>
      <c r="F8" s="44" t="str">
        <f>IFERROR(VLOOKUP(D8,MATERIALES!A:C,3,FALSE()),"?")</f>
        <v>u</v>
      </c>
      <c r="G8" s="45">
        <v>0.01</v>
      </c>
      <c r="H8" s="46">
        <v>0.05</v>
      </c>
      <c r="I8" s="47">
        <f>IFERROR(VLOOKUP(D8,MATERIALES!A:D,4,FALSE()),0)</f>
        <v>12396.694214876001</v>
      </c>
      <c r="J8" s="42">
        <f t="shared" si="2"/>
        <v>130.16528925619801</v>
      </c>
      <c r="K8" s="15" t="str">
        <f t="shared" si="0"/>
        <v>AIS-114|MAT</v>
      </c>
      <c r="L8" s="15">
        <f>COUNTIFS($K$2:K8,K8)</f>
        <v>6</v>
      </c>
      <c r="M8" s="15" t="str">
        <f t="shared" si="1"/>
        <v>AIS-114|MAT|6</v>
      </c>
      <c r="N8" s="47">
        <f>IFERROR(VLOOKUP(A8,PARTIDAS!A:F,6,FALSE()),0)</f>
        <v>60</v>
      </c>
      <c r="O8" s="247">
        <f t="shared" si="3"/>
        <v>0.01</v>
      </c>
      <c r="P8" s="247" t="str">
        <f>+_xlfn.XLOOKUP(A8,PPTO_GENERADOR!Q:Q,PPTO_GENERADOR!E:E,"-",0)</f>
        <v>-</v>
      </c>
      <c r="Q8" s="247">
        <f t="shared" si="4"/>
        <v>0</v>
      </c>
      <c r="R8" s="259" t="str">
        <f>+_xlfn.XLOOKUP(A8,PPTO_GENERADOR!$Q:$Q,PPTO_GENERADOR!A:A,"-",0)</f>
        <v>-</v>
      </c>
    </row>
    <row r="9" spans="1:18" ht="15" customHeight="1" x14ac:dyDescent="0.35">
      <c r="A9" s="38" t="s">
        <v>2609</v>
      </c>
      <c r="B9" s="38" t="s">
        <v>2774</v>
      </c>
      <c r="C9" s="38" t="s">
        <v>2775</v>
      </c>
      <c r="D9" s="38" t="s">
        <v>822</v>
      </c>
      <c r="E9" s="44" t="str">
        <f>IFERROR(VLOOKUP(D9,MATERIALES!A:B,2,FALSE()),"?")</f>
        <v>Pintura Asfaltica Asfasol x18ts</v>
      </c>
      <c r="F9" s="44" t="str">
        <f>IFERROR(VLOOKUP(D9,MATERIALES!A:C,3,FALSE()),"?")</f>
        <v>b</v>
      </c>
      <c r="G9" s="45">
        <v>1.4999999999999999E-2</v>
      </c>
      <c r="H9" s="46">
        <v>0.1</v>
      </c>
      <c r="I9" s="47">
        <f>IFERROR(VLOOKUP(D9,MATERIALES!A:D,4,FALSE()),0)</f>
        <v>32845.78</v>
      </c>
      <c r="J9" s="42">
        <f t="shared" si="2"/>
        <v>541.95537000000002</v>
      </c>
      <c r="K9" s="15" t="str">
        <f t="shared" si="0"/>
        <v>AIS-114|MAT</v>
      </c>
      <c r="L9" s="15">
        <f>COUNTIFS($K$2:K9,K9)</f>
        <v>7</v>
      </c>
      <c r="M9" s="15" t="str">
        <f t="shared" si="1"/>
        <v>AIS-114|MAT|7</v>
      </c>
      <c r="N9" s="47">
        <f>IFERROR(VLOOKUP(A9,PARTIDAS!A:F,6,FALSE()),0)</f>
        <v>60</v>
      </c>
      <c r="O9" s="247">
        <f t="shared" si="3"/>
        <v>1.4999999999999999E-2</v>
      </c>
      <c r="P9" s="247" t="str">
        <f>+_xlfn.XLOOKUP(A9,PPTO_GENERADOR!Q:Q,PPTO_GENERADOR!E:E,"-",0)</f>
        <v>-</v>
      </c>
      <c r="Q9" s="247">
        <f t="shared" si="4"/>
        <v>0</v>
      </c>
      <c r="R9" s="259" t="str">
        <f>+_xlfn.XLOOKUP(A9,PPTO_GENERADOR!$Q:$Q,PPTO_GENERADOR!A:A,"-",0)</f>
        <v>-</v>
      </c>
    </row>
    <row r="10" spans="1:18" ht="15" customHeight="1" x14ac:dyDescent="0.35">
      <c r="A10" s="38" t="s">
        <v>2609</v>
      </c>
      <c r="B10" s="38" t="s">
        <v>2774</v>
      </c>
      <c r="C10" s="38" t="s">
        <v>2775</v>
      </c>
      <c r="D10" s="38" t="s">
        <v>831</v>
      </c>
      <c r="E10" s="44" t="str">
        <f>IFERROR(VLOOKUP(D10,MATERIALES!A:B,2,FALSE()),"?")</f>
        <v>Membrana Geotextil Ormiflex 4mm - (35kg) x10m</v>
      </c>
      <c r="F10" s="44" t="str">
        <f>IFERROR(VLOOKUP(D10,MATERIALES!A:C,3,FALSE()),"?")</f>
        <v>u</v>
      </c>
      <c r="G10" s="45">
        <v>0.05</v>
      </c>
      <c r="H10" s="46">
        <v>0.1</v>
      </c>
      <c r="I10" s="47">
        <f>IFERROR(VLOOKUP(D10,MATERIALES!A:D,4,FALSE()),0)</f>
        <v>70192.210000000006</v>
      </c>
      <c r="J10" s="42">
        <f t="shared" si="2"/>
        <v>3860.571550000001</v>
      </c>
      <c r="K10" s="15" t="str">
        <f t="shared" si="0"/>
        <v>AIS-114|MAT</v>
      </c>
      <c r="L10" s="15">
        <f>COUNTIFS($K$2:K10,K10)</f>
        <v>8</v>
      </c>
      <c r="M10" s="15" t="str">
        <f t="shared" si="1"/>
        <v>AIS-114|MAT|8</v>
      </c>
      <c r="N10" s="47">
        <f>IFERROR(VLOOKUP(A10,PARTIDAS!A:F,6,FALSE()),0)</f>
        <v>60</v>
      </c>
      <c r="O10" s="247">
        <f t="shared" si="3"/>
        <v>0.05</v>
      </c>
      <c r="P10" s="247" t="str">
        <f>+_xlfn.XLOOKUP(A10,PPTO_GENERADOR!Q:Q,PPTO_GENERADOR!E:E,"-",0)</f>
        <v>-</v>
      </c>
      <c r="Q10" s="247">
        <f t="shared" si="4"/>
        <v>0</v>
      </c>
      <c r="R10" s="259" t="str">
        <f>+_xlfn.XLOOKUP(A10,PPTO_GENERADOR!$Q:$Q,PPTO_GENERADOR!A:A,"-",0)</f>
        <v>-</v>
      </c>
    </row>
    <row r="11" spans="1:18" ht="15" customHeight="1" x14ac:dyDescent="0.35">
      <c r="A11" s="38" t="s">
        <v>2609</v>
      </c>
      <c r="B11" s="38" t="s">
        <v>2776</v>
      </c>
      <c r="C11" s="38" t="s">
        <v>2777</v>
      </c>
      <c r="D11" s="237" t="s">
        <v>1577</v>
      </c>
      <c r="E11" s="44" t="str">
        <f>IFERROR(VLOOKUP(D11,MANO_DE_OBRA!A:B,2,FALSE()),"?")</f>
        <v>AYUDANTE</v>
      </c>
      <c r="F11" s="44" t="s">
        <v>2778</v>
      </c>
      <c r="G11" s="45">
        <v>1</v>
      </c>
      <c r="H11" s="46">
        <v>0</v>
      </c>
      <c r="I11" s="47">
        <f>IFERROR(VLOOKUP(D11,MANO_DE_OBRA!A:C,3,FALSE()),0)</f>
        <v>60860.580776572002</v>
      </c>
      <c r="J11" s="42">
        <f>G11*I11</f>
        <v>60860.580776572002</v>
      </c>
      <c r="K11" s="15" t="str">
        <f t="shared" si="0"/>
        <v>AIS-114|MO</v>
      </c>
      <c r="L11" s="15">
        <f>COUNTIFS($K$2:K11,K11)</f>
        <v>1</v>
      </c>
      <c r="M11" s="15" t="str">
        <f t="shared" si="1"/>
        <v>AIS-114|MO|1</v>
      </c>
      <c r="N11" s="47">
        <f>IFERROR(VLOOKUP(A11,PARTIDAS!A:F,6,FALSE()),0)</f>
        <v>60</v>
      </c>
      <c r="O11" s="247">
        <f t="shared" si="3"/>
        <v>1.6666666666666666E-2</v>
      </c>
      <c r="P11" s="247" t="str">
        <f>+_xlfn.XLOOKUP(A11,PPTO_GENERADOR!Q:Q,PPTO_GENERADOR!E:E,"-",0)</f>
        <v>-</v>
      </c>
      <c r="Q11" s="247">
        <f t="shared" si="4"/>
        <v>0</v>
      </c>
      <c r="R11" s="259" t="str">
        <f>+_xlfn.XLOOKUP(A11,PPTO_GENERADOR!$Q:$Q,PPTO_GENERADOR!A:A,"-",0)</f>
        <v>-</v>
      </c>
    </row>
    <row r="12" spans="1:18" ht="15" customHeight="1" x14ac:dyDescent="0.35">
      <c r="A12" s="38" t="s">
        <v>2609</v>
      </c>
      <c r="B12" s="38" t="s">
        <v>2776</v>
      </c>
      <c r="C12" s="38" t="s">
        <v>2777</v>
      </c>
      <c r="D12" s="237" t="s">
        <v>1568</v>
      </c>
      <c r="E12" s="44" t="str">
        <f>IFERROR(VLOOKUP(D12,MANO_DE_OBRA!A:B,2,FALSE()),"?")</f>
        <v>ESPECIALIZADO</v>
      </c>
      <c r="F12" s="44" t="s">
        <v>2778</v>
      </c>
      <c r="G12" s="45">
        <v>1</v>
      </c>
      <c r="H12" s="46">
        <v>0</v>
      </c>
      <c r="I12" s="47">
        <f>IFERROR(VLOOKUP(D12,MANO_DE_OBRA!A:C,3,FALSE()),0)</f>
        <v>85927.097156571996</v>
      </c>
      <c r="J12" s="42">
        <f>G12*I12</f>
        <v>85927.097156571996</v>
      </c>
      <c r="K12" s="15" t="str">
        <f t="shared" si="0"/>
        <v>AIS-114|MO</v>
      </c>
      <c r="L12" s="15">
        <f>COUNTIFS($K$2:K12,K12)</f>
        <v>2</v>
      </c>
      <c r="M12" s="15" t="str">
        <f t="shared" si="1"/>
        <v>AIS-114|MO|2</v>
      </c>
      <c r="N12" s="47">
        <f>IFERROR(VLOOKUP(A12,PARTIDAS!A:F,6,FALSE()),0)</f>
        <v>60</v>
      </c>
      <c r="O12" s="247">
        <f t="shared" si="3"/>
        <v>1.6666666666666666E-2</v>
      </c>
      <c r="P12" s="247" t="str">
        <f>+_xlfn.XLOOKUP(A12,PPTO_GENERADOR!Q:Q,PPTO_GENERADOR!E:E,"-",0)</f>
        <v>-</v>
      </c>
      <c r="Q12" s="247">
        <f t="shared" si="4"/>
        <v>0</v>
      </c>
      <c r="R12" s="259" t="str">
        <f>+_xlfn.XLOOKUP(A12,PPTO_GENERADOR!$Q:$Q,PPTO_GENERADOR!A:A,"-",0)</f>
        <v>-</v>
      </c>
    </row>
    <row r="13" spans="1:18" ht="15" customHeight="1" x14ac:dyDescent="0.35">
      <c r="A13" s="38" t="s">
        <v>2451</v>
      </c>
      <c r="B13" s="38" t="s">
        <v>2773</v>
      </c>
      <c r="C13" s="38"/>
      <c r="D13" s="38" t="s">
        <v>1592</v>
      </c>
      <c r="E13" s="44" t="str">
        <f>IFERROR(VLOOKUP(D13,EQUIPOS!A:B,2,FALSE()),"?")</f>
        <v>ANDAMIO TUBULAR DE UNO A TRES CUERPOS</v>
      </c>
      <c r="F13" s="44"/>
      <c r="G13" s="45">
        <v>0.5</v>
      </c>
      <c r="H13" s="46">
        <v>0</v>
      </c>
      <c r="I13" s="47">
        <f>IFERROR(VLOOKUP(D13,EQUIPOS!A:F,6,FALSE()),0)</f>
        <v>571.1794909807611</v>
      </c>
      <c r="J13" s="42">
        <f>G13*I13</f>
        <v>285.58974549038055</v>
      </c>
      <c r="K13" s="15" t="str">
        <f t="shared" si="0"/>
        <v>ALB-033|EQ</v>
      </c>
      <c r="L13" s="15">
        <f>COUNTIFS($K$2:K13,K13)</f>
        <v>1</v>
      </c>
      <c r="M13" s="15" t="str">
        <f t="shared" si="1"/>
        <v>ALB-033|EQ|1</v>
      </c>
      <c r="N13" s="47">
        <f>IFERROR(VLOOKUP(A13,PARTIDAS!A:F,6,FALSE()),0)</f>
        <v>7</v>
      </c>
      <c r="O13" s="247">
        <f t="shared" si="3"/>
        <v>0.5</v>
      </c>
      <c r="P13" s="247" t="str">
        <f>+_xlfn.XLOOKUP(A13,PPTO_GENERADOR!Q:Q,PPTO_GENERADOR!E:E,"-",0)</f>
        <v>-</v>
      </c>
      <c r="Q13" s="247">
        <f t="shared" si="4"/>
        <v>0</v>
      </c>
      <c r="R13" s="259" t="str">
        <f>+_xlfn.XLOOKUP(A13,PPTO_GENERADOR!$Q:$Q,PPTO_GENERADOR!A:A,"-",0)</f>
        <v>-</v>
      </c>
    </row>
    <row r="14" spans="1:18" ht="15" customHeight="1" x14ac:dyDescent="0.35">
      <c r="A14" s="38" t="s">
        <v>2451</v>
      </c>
      <c r="B14" s="38" t="s">
        <v>2773</v>
      </c>
      <c r="C14" s="38"/>
      <c r="D14" s="38" t="s">
        <v>1595</v>
      </c>
      <c r="E14" s="44" t="str">
        <f>IFERROR(VLOOKUP(D14,EQUIPOS!A:B,2,FALSE()),"?")</f>
        <v>EQUIPO DE ALBAÑILERIA, carpetas, ladrillo</v>
      </c>
      <c r="F14" s="44"/>
      <c r="G14" s="45">
        <v>1</v>
      </c>
      <c r="H14" s="46">
        <v>0</v>
      </c>
      <c r="I14" s="47">
        <f>IFERROR(VLOOKUP(D14,EQUIPOS!A:F,6,FALSE()),0)</f>
        <v>2287.1357450968057</v>
      </c>
      <c r="J14" s="42">
        <f>G14*I14</f>
        <v>2287.1357450968057</v>
      </c>
      <c r="K14" s="15" t="str">
        <f t="shared" si="0"/>
        <v>ALB-033|EQ</v>
      </c>
      <c r="L14" s="15">
        <f>COUNTIFS($K$2:K14,K14)</f>
        <v>2</v>
      </c>
      <c r="M14" s="15" t="str">
        <f t="shared" si="1"/>
        <v>ALB-033|EQ|2</v>
      </c>
      <c r="N14" s="47">
        <f>IFERROR(VLOOKUP(A14,PARTIDAS!A:F,6,FALSE()),0)</f>
        <v>7</v>
      </c>
      <c r="O14" s="247">
        <f t="shared" si="3"/>
        <v>1</v>
      </c>
      <c r="P14" s="247" t="str">
        <f>+_xlfn.XLOOKUP(A14,PPTO_GENERADOR!Q:Q,PPTO_GENERADOR!E:E,"-",0)</f>
        <v>-</v>
      </c>
      <c r="Q14" s="247">
        <f t="shared" si="4"/>
        <v>0</v>
      </c>
      <c r="R14" s="259" t="str">
        <f>+_xlfn.XLOOKUP(A14,PPTO_GENERADOR!$Q:$Q,PPTO_GENERADOR!A:A,"-",0)</f>
        <v>-</v>
      </c>
    </row>
    <row r="15" spans="1:18" ht="15" customHeight="1" x14ac:dyDescent="0.35">
      <c r="A15" s="38" t="s">
        <v>2451</v>
      </c>
      <c r="B15" s="38" t="s">
        <v>2773</v>
      </c>
      <c r="C15" s="38"/>
      <c r="D15" s="38" t="s">
        <v>1613</v>
      </c>
      <c r="E15" s="44" t="str">
        <f>IFERROR(VLOOKUP(D15,EQUIPOS!A:B,2,FALSE()),"?")</f>
        <v>Hormigonera De 150 Litros 1hp Con Rueda Maciza</v>
      </c>
      <c r="F15" s="44"/>
      <c r="G15" s="45">
        <v>1</v>
      </c>
      <c r="H15" s="46">
        <v>0</v>
      </c>
      <c r="I15" s="47">
        <f>IFERROR(VLOOKUP(D15,EQUIPOS!A:F,6,FALSE()),0)</f>
        <v>957.25319614994726</v>
      </c>
      <c r="J15" s="42">
        <f>G15*I15</f>
        <v>957.25319614994726</v>
      </c>
      <c r="K15" s="15" t="str">
        <f t="shared" si="0"/>
        <v>ALB-033|EQ</v>
      </c>
      <c r="L15" s="15">
        <f>COUNTIFS($K$2:K15,K15)</f>
        <v>3</v>
      </c>
      <c r="M15" s="15" t="str">
        <f t="shared" si="1"/>
        <v>ALB-033|EQ|3</v>
      </c>
      <c r="N15" s="47">
        <f>IFERROR(VLOOKUP(A15,PARTIDAS!A:F,6,FALSE()),0)</f>
        <v>7</v>
      </c>
      <c r="O15" s="247">
        <f t="shared" si="3"/>
        <v>1</v>
      </c>
      <c r="P15" s="247" t="str">
        <f>+_xlfn.XLOOKUP(A15,PPTO_GENERADOR!Q:Q,PPTO_GENERADOR!E:E,"-",0)</f>
        <v>-</v>
      </c>
      <c r="Q15" s="247">
        <f t="shared" si="4"/>
        <v>0</v>
      </c>
      <c r="R15" s="259" t="str">
        <f>+_xlfn.XLOOKUP(A15,PPTO_GENERADOR!$Q:$Q,PPTO_GENERADOR!A:A,"-",0)</f>
        <v>-</v>
      </c>
    </row>
    <row r="16" spans="1:18" ht="15" customHeight="1" x14ac:dyDescent="0.35">
      <c r="A16" s="38" t="s">
        <v>2451</v>
      </c>
      <c r="B16" s="38" t="s">
        <v>2774</v>
      </c>
      <c r="C16" s="38" t="s">
        <v>2775</v>
      </c>
      <c r="D16" s="38" t="s">
        <v>611</v>
      </c>
      <c r="E16" s="44" t="str">
        <f>IFERROR(VLOOKUP(D16,MATERIALES!A:B,2,FALSE()),"?")</f>
        <v>Barra de Acero Aleteado - 6mm x 12m</v>
      </c>
      <c r="F16" s="44" t="str">
        <f>IFERROR(VLOOKUP(D16,MATERIALES!A:C,3,FALSE()),"?")</f>
        <v>u</v>
      </c>
      <c r="G16" s="45">
        <v>0.17</v>
      </c>
      <c r="H16" s="46">
        <v>0.1</v>
      </c>
      <c r="I16" s="47">
        <f>IFERROR(VLOOKUP(D16,MATERIALES!A:D,4,FALSE()),0)</f>
        <v>3424.53</v>
      </c>
      <c r="J16" s="42">
        <f t="shared" ref="J16:J21" si="5">G16*I16*(1+H16)</f>
        <v>640.38711000000012</v>
      </c>
      <c r="K16" s="15" t="str">
        <f t="shared" si="0"/>
        <v>ALB-033|MAT</v>
      </c>
      <c r="L16" s="15">
        <f>COUNTIFS($K$2:K16,K16)</f>
        <v>1</v>
      </c>
      <c r="M16" s="15" t="str">
        <f t="shared" si="1"/>
        <v>ALB-033|MAT|1</v>
      </c>
      <c r="N16" s="47">
        <f>IFERROR(VLOOKUP(A16,PARTIDAS!A:F,6,FALSE()),0)</f>
        <v>7</v>
      </c>
      <c r="O16" s="247">
        <f t="shared" si="3"/>
        <v>0.17</v>
      </c>
      <c r="P16" s="247" t="str">
        <f>+_xlfn.XLOOKUP(A16,PPTO_GENERADOR!Q:Q,PPTO_GENERADOR!E:E,"-",0)</f>
        <v>-</v>
      </c>
      <c r="Q16" s="247">
        <f t="shared" si="4"/>
        <v>0</v>
      </c>
      <c r="R16" s="259" t="str">
        <f>+_xlfn.XLOOKUP(A16,PPTO_GENERADOR!$Q:$Q,PPTO_GENERADOR!A:A,"-",0)</f>
        <v>-</v>
      </c>
    </row>
    <row r="17" spans="1:18" ht="15" customHeight="1" x14ac:dyDescent="0.35">
      <c r="A17" s="38" t="s">
        <v>2451</v>
      </c>
      <c r="B17" s="38" t="s">
        <v>2774</v>
      </c>
      <c r="C17" s="38" t="s">
        <v>2775</v>
      </c>
      <c r="D17" s="38" t="s">
        <v>588</v>
      </c>
      <c r="E17" s="44" t="str">
        <f>IFERROR(VLOOKUP(D17,MATERIALES!A:B,2,FALSE()),"?")</f>
        <v>ARENA LAVADA</v>
      </c>
      <c r="F17" s="44" t="str">
        <f>IFERROR(VLOOKUP(D17,MATERIALES!A:C,3,FALSE()),"?")</f>
        <v>m3</v>
      </c>
      <c r="G17" s="45">
        <v>3.5000000000000003E-2</v>
      </c>
      <c r="H17" s="46">
        <v>0.1</v>
      </c>
      <c r="I17" s="47">
        <f>IFERROR(VLOOKUP(D17,MATERIALES!A:D,4,FALSE()),0)</f>
        <v>32399.77</v>
      </c>
      <c r="J17" s="42">
        <f t="shared" si="5"/>
        <v>1247.3911450000003</v>
      </c>
      <c r="K17" s="15" t="str">
        <f t="shared" si="0"/>
        <v>ALB-033|MAT</v>
      </c>
      <c r="L17" s="15">
        <f>COUNTIFS($K$2:K17,K17)</f>
        <v>2</v>
      </c>
      <c r="M17" s="15" t="str">
        <f t="shared" si="1"/>
        <v>ALB-033|MAT|2</v>
      </c>
      <c r="N17" s="47">
        <f>IFERROR(VLOOKUP(A17,PARTIDAS!A:F,6,FALSE()),0)</f>
        <v>7</v>
      </c>
      <c r="O17" s="247">
        <f t="shared" si="3"/>
        <v>3.5000000000000003E-2</v>
      </c>
      <c r="P17" s="247" t="str">
        <f>+_xlfn.XLOOKUP(A17,PPTO_GENERADOR!Q:Q,PPTO_GENERADOR!E:E,"-",0)</f>
        <v>-</v>
      </c>
      <c r="Q17" s="247">
        <f t="shared" si="4"/>
        <v>0</v>
      </c>
      <c r="R17" s="259" t="str">
        <f>+_xlfn.XLOOKUP(A17,PPTO_GENERADOR!$Q:$Q,PPTO_GENERADOR!A:A,"-",0)</f>
        <v>-</v>
      </c>
    </row>
    <row r="18" spans="1:18" ht="15" customHeight="1" x14ac:dyDescent="0.35">
      <c r="A18" s="38" t="s">
        <v>2451</v>
      </c>
      <c r="B18" s="38" t="s">
        <v>2774</v>
      </c>
      <c r="C18" s="38" t="s">
        <v>2775</v>
      </c>
      <c r="D18" s="38" t="s">
        <v>599</v>
      </c>
      <c r="E18" s="44" t="str">
        <f>IFERROR(VLOOKUP(D18,MATERIALES!A:B,2,FALSE()),"?")</f>
        <v>Cemento Portland x 50kg</v>
      </c>
      <c r="F18" s="44" t="str">
        <f>IFERROR(VLOOKUP(D18,MATERIALES!A:C,3,FALSE()),"?")</f>
        <v>Bol</v>
      </c>
      <c r="G18" s="45">
        <v>0.15</v>
      </c>
      <c r="H18" s="46">
        <v>0.1</v>
      </c>
      <c r="I18" s="47">
        <f>IFERROR(VLOOKUP(D18,MATERIALES!A:D,4,FALSE()),0)</f>
        <v>7809.48</v>
      </c>
      <c r="J18" s="42">
        <f t="shared" si="5"/>
        <v>1288.5641999999998</v>
      </c>
      <c r="K18" s="15" t="str">
        <f t="shared" si="0"/>
        <v>ALB-033|MAT</v>
      </c>
      <c r="L18" s="15">
        <f>COUNTIFS($K$2:K18,K18)</f>
        <v>3</v>
      </c>
      <c r="M18" s="15" t="str">
        <f t="shared" si="1"/>
        <v>ALB-033|MAT|3</v>
      </c>
      <c r="N18" s="47">
        <f>IFERROR(VLOOKUP(A18,PARTIDAS!A:F,6,FALSE()),0)</f>
        <v>7</v>
      </c>
      <c r="O18" s="247">
        <f t="shared" si="3"/>
        <v>0.15</v>
      </c>
      <c r="P18" s="247" t="str">
        <f>+_xlfn.XLOOKUP(A18,PPTO_GENERADOR!Q:Q,PPTO_GENERADOR!E:E,"-",0)</f>
        <v>-</v>
      </c>
      <c r="Q18" s="247">
        <f t="shared" si="4"/>
        <v>0</v>
      </c>
      <c r="R18" s="259" t="str">
        <f>+_xlfn.XLOOKUP(A18,PPTO_GENERADOR!$Q:$Q,PPTO_GENERADOR!A:A,"-",0)</f>
        <v>-</v>
      </c>
    </row>
    <row r="19" spans="1:18" ht="15" customHeight="1" x14ac:dyDescent="0.35">
      <c r="A19" s="38" t="s">
        <v>2451</v>
      </c>
      <c r="B19" s="38" t="s">
        <v>2774</v>
      </c>
      <c r="C19" s="38" t="s">
        <v>2775</v>
      </c>
      <c r="D19" s="38" t="s">
        <v>604</v>
      </c>
      <c r="E19" s="44" t="str">
        <f>IFERROR(VLOOKUP(D19,MATERIALES!A:B,2,FALSE()),"?")</f>
        <v>Cal Comun x 25kg</v>
      </c>
      <c r="F19" s="44" t="str">
        <f>IFERROR(VLOOKUP(D19,MATERIALES!A:C,3,FALSE()),"?")</f>
        <v>bol</v>
      </c>
      <c r="G19" s="45">
        <v>0.3</v>
      </c>
      <c r="H19" s="46">
        <v>0.1</v>
      </c>
      <c r="I19" s="47">
        <f>IFERROR(VLOOKUP(D19,MATERIALES!A:D,4,FALSE()),0)</f>
        <v>3837.96</v>
      </c>
      <c r="J19" s="42">
        <f t="shared" si="5"/>
        <v>1266.5268000000001</v>
      </c>
      <c r="K19" s="15" t="str">
        <f t="shared" si="0"/>
        <v>ALB-033|MAT</v>
      </c>
      <c r="L19" s="15">
        <f>COUNTIFS($K$2:K19,K19)</f>
        <v>4</v>
      </c>
      <c r="M19" s="15" t="str">
        <f t="shared" si="1"/>
        <v>ALB-033|MAT|4</v>
      </c>
      <c r="N19" s="47">
        <f>IFERROR(VLOOKUP(A19,PARTIDAS!A:F,6,FALSE()),0)</f>
        <v>7</v>
      </c>
      <c r="O19" s="247">
        <f t="shared" si="3"/>
        <v>0.3</v>
      </c>
      <c r="P19" s="247" t="str">
        <f>+_xlfn.XLOOKUP(A19,PPTO_GENERADOR!Q:Q,PPTO_GENERADOR!E:E,"-",0)</f>
        <v>-</v>
      </c>
      <c r="Q19" s="247">
        <f t="shared" si="4"/>
        <v>0</v>
      </c>
      <c r="R19" s="259" t="str">
        <f>+_xlfn.XLOOKUP(A19,PPTO_GENERADOR!$Q:$Q,PPTO_GENERADOR!A:A,"-",0)</f>
        <v>-</v>
      </c>
    </row>
    <row r="20" spans="1:18" ht="15" customHeight="1" x14ac:dyDescent="0.35">
      <c r="A20" s="38" t="s">
        <v>2451</v>
      </c>
      <c r="B20" s="38" t="s">
        <v>2774</v>
      </c>
      <c r="C20" s="38" t="s">
        <v>2775</v>
      </c>
      <c r="D20" s="38" t="s">
        <v>640</v>
      </c>
      <c r="E20" s="44" t="str">
        <f>IFERROR(VLOOKUP(D20,MATERIALES!A:B,2,FALSE()),"?")</f>
        <v>Ladrillo Comun 12.5 x 5.5 x 25</v>
      </c>
      <c r="F20" s="44" t="str">
        <f>IFERROR(VLOOKUP(D20,MATERIALES!A:C,3,FALSE()),"?")</f>
        <v>u</v>
      </c>
      <c r="G20" s="45">
        <v>60</v>
      </c>
      <c r="H20" s="46">
        <v>0.05</v>
      </c>
      <c r="I20" s="47">
        <f>IFERROR(VLOOKUP(D20,MATERIALES!A:D,4,FALSE()),0)</f>
        <v>132.30000000000001</v>
      </c>
      <c r="J20" s="42">
        <f t="shared" si="5"/>
        <v>8334.9000000000015</v>
      </c>
      <c r="K20" s="15" t="str">
        <f t="shared" si="0"/>
        <v>ALB-033|MAT</v>
      </c>
      <c r="L20" s="15">
        <f>COUNTIFS($K$2:K20,K20)</f>
        <v>5</v>
      </c>
      <c r="M20" s="15" t="str">
        <f t="shared" si="1"/>
        <v>ALB-033|MAT|5</v>
      </c>
      <c r="N20" s="47">
        <f>IFERROR(VLOOKUP(A20,PARTIDAS!A:F,6,FALSE()),0)</f>
        <v>7</v>
      </c>
      <c r="O20" s="247">
        <f t="shared" si="3"/>
        <v>60</v>
      </c>
      <c r="P20" s="247" t="str">
        <f>+_xlfn.XLOOKUP(A20,PPTO_GENERADOR!Q:Q,PPTO_GENERADOR!E:E,"-",0)</f>
        <v>-</v>
      </c>
      <c r="Q20" s="247">
        <f t="shared" si="4"/>
        <v>0</v>
      </c>
      <c r="R20" s="259" t="str">
        <f>+_xlfn.XLOOKUP(A20,PPTO_GENERADOR!$Q:$Q,PPTO_GENERADOR!A:A,"-",0)</f>
        <v>-</v>
      </c>
    </row>
    <row r="21" spans="1:18" ht="15" customHeight="1" x14ac:dyDescent="0.35">
      <c r="A21" s="38" t="s">
        <v>2451</v>
      </c>
      <c r="B21" s="38" t="s">
        <v>2774</v>
      </c>
      <c r="C21" s="38" t="s">
        <v>2775</v>
      </c>
      <c r="D21" s="38" t="s">
        <v>1361</v>
      </c>
      <c r="E21" s="44" t="str">
        <f>IFERROR(VLOOKUP(D21,MATERIALES!A:B,2,FALSE()),"?")</f>
        <v>Consumibles</v>
      </c>
      <c r="F21" s="44" t="str">
        <f>IFERROR(VLOOKUP(D21,MATERIALES!A:C,3,FALSE()),"?")</f>
        <v>gl</v>
      </c>
      <c r="G21" s="45">
        <v>1.31611023</v>
      </c>
      <c r="H21" s="46">
        <v>0</v>
      </c>
      <c r="I21" s="47">
        <f>IFERROR(VLOOKUP(D21,MATERIALES!A:D,4,FALSE()),0)</f>
        <v>1</v>
      </c>
      <c r="J21" s="42">
        <f t="shared" si="5"/>
        <v>1.31611023</v>
      </c>
      <c r="K21" s="15" t="str">
        <f t="shared" si="0"/>
        <v>ALB-033|MAT</v>
      </c>
      <c r="L21" s="15">
        <f>COUNTIFS($K$2:K21,K21)</f>
        <v>6</v>
      </c>
      <c r="M21" s="15" t="str">
        <f t="shared" si="1"/>
        <v>ALB-033|MAT|6</v>
      </c>
      <c r="N21" s="47">
        <f>IFERROR(VLOOKUP(A21,PARTIDAS!A:F,6,FALSE()),0)</f>
        <v>7</v>
      </c>
      <c r="O21" s="247">
        <f t="shared" si="3"/>
        <v>1.31611023</v>
      </c>
      <c r="P21" s="247" t="str">
        <f>+_xlfn.XLOOKUP(A21,PPTO_GENERADOR!Q:Q,PPTO_GENERADOR!E:E,"-",0)</f>
        <v>-</v>
      </c>
      <c r="Q21" s="247">
        <f t="shared" si="4"/>
        <v>0</v>
      </c>
      <c r="R21" s="259" t="str">
        <f>+_xlfn.XLOOKUP(A21,PPTO_GENERADOR!$Q:$Q,PPTO_GENERADOR!A:A,"-",0)</f>
        <v>-</v>
      </c>
    </row>
    <row r="22" spans="1:18" ht="15" customHeight="1" x14ac:dyDescent="0.35">
      <c r="A22" s="38" t="s">
        <v>2451</v>
      </c>
      <c r="B22" s="38" t="s">
        <v>2776</v>
      </c>
      <c r="C22" s="38" t="s">
        <v>2777</v>
      </c>
      <c r="D22" s="237" t="s">
        <v>1577</v>
      </c>
      <c r="E22" s="44" t="str">
        <f>IFERROR(VLOOKUP(D22,MANO_DE_OBRA!A:B,2,FALSE()),"?")</f>
        <v>AYUDANTE</v>
      </c>
      <c r="F22" s="44" t="s">
        <v>2778</v>
      </c>
      <c r="G22" s="45">
        <v>1</v>
      </c>
      <c r="H22" s="46">
        <v>0</v>
      </c>
      <c r="I22" s="47">
        <f>IFERROR(VLOOKUP(D22,MANO_DE_OBRA!A:C,3,FALSE()),0)</f>
        <v>60860.580776572002</v>
      </c>
      <c r="J22" s="42">
        <f>G22*I22</f>
        <v>60860.580776572002</v>
      </c>
      <c r="K22" s="15" t="str">
        <f t="shared" si="0"/>
        <v>ALB-033|MO</v>
      </c>
      <c r="L22" s="15">
        <f>COUNTIFS($K$2:K22,K22)</f>
        <v>1</v>
      </c>
      <c r="M22" s="15" t="str">
        <f t="shared" si="1"/>
        <v>ALB-033|MO|1</v>
      </c>
      <c r="N22" s="47">
        <f>IFERROR(VLOOKUP(A22,PARTIDAS!A:F,6,FALSE()),0)</f>
        <v>7</v>
      </c>
      <c r="O22" s="247">
        <f t="shared" si="3"/>
        <v>0.14285714285714285</v>
      </c>
      <c r="P22" s="247" t="str">
        <f>+_xlfn.XLOOKUP(A22,PPTO_GENERADOR!Q:Q,PPTO_GENERADOR!E:E,"-",0)</f>
        <v>-</v>
      </c>
      <c r="Q22" s="247">
        <f t="shared" si="4"/>
        <v>0</v>
      </c>
      <c r="R22" s="259" t="str">
        <f>+_xlfn.XLOOKUP(A22,PPTO_GENERADOR!$Q:$Q,PPTO_GENERADOR!A:A,"-",0)</f>
        <v>-</v>
      </c>
    </row>
    <row r="23" spans="1:18" ht="15" customHeight="1" x14ac:dyDescent="0.35">
      <c r="A23" s="38" t="s">
        <v>2451</v>
      </c>
      <c r="B23" s="38" t="s">
        <v>2776</v>
      </c>
      <c r="C23" s="38" t="s">
        <v>2777</v>
      </c>
      <c r="D23" s="237" t="s">
        <v>1568</v>
      </c>
      <c r="E23" s="44" t="str">
        <f>IFERROR(VLOOKUP(D23,MANO_DE_OBRA!A:B,2,FALSE()),"?")</f>
        <v>ESPECIALIZADO</v>
      </c>
      <c r="F23" s="44" t="s">
        <v>2778</v>
      </c>
      <c r="G23" s="45">
        <v>1</v>
      </c>
      <c r="H23" s="46">
        <v>0</v>
      </c>
      <c r="I23" s="47">
        <f>IFERROR(VLOOKUP(D23,MANO_DE_OBRA!A:C,3,FALSE()),0)</f>
        <v>85927.097156571996</v>
      </c>
      <c r="J23" s="42">
        <f>G23*I23</f>
        <v>85927.097156571996</v>
      </c>
      <c r="K23" s="15" t="str">
        <f t="shared" si="0"/>
        <v>ALB-033|MO</v>
      </c>
      <c r="L23" s="15">
        <f>COUNTIFS($K$2:K23,K23)</f>
        <v>2</v>
      </c>
      <c r="M23" s="15" t="str">
        <f t="shared" si="1"/>
        <v>ALB-033|MO|2</v>
      </c>
      <c r="N23" s="47">
        <f>IFERROR(VLOOKUP(A23,PARTIDAS!A:F,6,FALSE()),0)</f>
        <v>7</v>
      </c>
      <c r="O23" s="247">
        <f t="shared" si="3"/>
        <v>0.14285714285714285</v>
      </c>
      <c r="P23" s="247" t="str">
        <f>+_xlfn.XLOOKUP(A23,PPTO_GENERADOR!Q:Q,PPTO_GENERADOR!E:E,"-",0)</f>
        <v>-</v>
      </c>
      <c r="Q23" s="247">
        <f t="shared" si="4"/>
        <v>0</v>
      </c>
      <c r="R23" s="259" t="str">
        <f>+_xlfn.XLOOKUP(A23,PPTO_GENERADOR!$Q:$Q,PPTO_GENERADOR!A:A,"-",0)</f>
        <v>-</v>
      </c>
    </row>
    <row r="24" spans="1:18" ht="15" customHeight="1" x14ac:dyDescent="0.35">
      <c r="A24" s="38" t="s">
        <v>96</v>
      </c>
      <c r="B24" s="38" t="s">
        <v>2773</v>
      </c>
      <c r="C24" s="38"/>
      <c r="D24" s="38" t="s">
        <v>1592</v>
      </c>
      <c r="E24" s="44" t="str">
        <f>IFERROR(VLOOKUP(D24,EQUIPOS!A:B,2,FALSE()),"?")</f>
        <v>ANDAMIO TUBULAR DE UNO A TRES CUERPOS</v>
      </c>
      <c r="F24" s="44"/>
      <c r="G24" s="45">
        <v>0.5</v>
      </c>
      <c r="H24" s="46">
        <v>0</v>
      </c>
      <c r="I24" s="47">
        <f>IFERROR(VLOOKUP(D24,EQUIPOS!A:F,6,FALSE()),0)</f>
        <v>571.1794909807611</v>
      </c>
      <c r="J24" s="42">
        <f>G24*I24</f>
        <v>285.58974549038055</v>
      </c>
      <c r="K24" s="15" t="str">
        <f t="shared" si="0"/>
        <v>ALB-034|EQ</v>
      </c>
      <c r="L24" s="15">
        <f>COUNTIFS($K$2:K24,K24)</f>
        <v>1</v>
      </c>
      <c r="M24" s="15" t="str">
        <f t="shared" si="1"/>
        <v>ALB-034|EQ|1</v>
      </c>
      <c r="N24" s="47">
        <f>IFERROR(VLOOKUP(A24,PARTIDAS!A:F,6,FALSE()),0)</f>
        <v>15</v>
      </c>
      <c r="O24" s="247">
        <f t="shared" si="3"/>
        <v>0.5</v>
      </c>
      <c r="P24" s="247">
        <f>+_xlfn.XLOOKUP(A24,PPTO_GENERADOR!Q:Q,PPTO_GENERADOR!E:E,"-",0)</f>
        <v>621</v>
      </c>
      <c r="Q24" s="247">
        <f t="shared" si="4"/>
        <v>310.5</v>
      </c>
      <c r="R24" s="259">
        <f>+_xlfn.XLOOKUP(A24,PPTO_GENERADOR!$Q:$Q,PPTO_GENERADOR!A:A,"-",0)</f>
        <v>4.01</v>
      </c>
    </row>
    <row r="25" spans="1:18" ht="15" customHeight="1" x14ac:dyDescent="0.35">
      <c r="A25" s="38" t="s">
        <v>96</v>
      </c>
      <c r="B25" s="38" t="s">
        <v>2773</v>
      </c>
      <c r="C25" s="38"/>
      <c r="D25" s="38" t="s">
        <v>1595</v>
      </c>
      <c r="E25" s="44" t="str">
        <f>IFERROR(VLOOKUP(D25,EQUIPOS!A:B,2,FALSE()),"?")</f>
        <v>EQUIPO DE ALBAÑILERIA, carpetas, ladrillo</v>
      </c>
      <c r="F25" s="44"/>
      <c r="G25" s="45">
        <v>1</v>
      </c>
      <c r="H25" s="46">
        <v>0</v>
      </c>
      <c r="I25" s="47">
        <f>IFERROR(VLOOKUP(D25,EQUIPOS!A:F,6,FALSE()),0)</f>
        <v>2287.1357450968057</v>
      </c>
      <c r="J25" s="42">
        <f>G25*I25</f>
        <v>2287.1357450968057</v>
      </c>
      <c r="K25" s="15" t="str">
        <f t="shared" si="0"/>
        <v>ALB-034|EQ</v>
      </c>
      <c r="L25" s="15">
        <f>COUNTIFS($K$2:K25,K25)</f>
        <v>2</v>
      </c>
      <c r="M25" s="15" t="str">
        <f t="shared" si="1"/>
        <v>ALB-034|EQ|2</v>
      </c>
      <c r="N25" s="47">
        <f>IFERROR(VLOOKUP(A25,PARTIDAS!A:F,6,FALSE()),0)</f>
        <v>15</v>
      </c>
      <c r="O25" s="247">
        <f t="shared" si="3"/>
        <v>1</v>
      </c>
      <c r="P25" s="247">
        <f>+_xlfn.XLOOKUP(A25,PPTO_GENERADOR!Q:Q,PPTO_GENERADOR!E:E,"-",0)</f>
        <v>621</v>
      </c>
      <c r="Q25" s="247">
        <f t="shared" si="4"/>
        <v>621</v>
      </c>
      <c r="R25" s="259">
        <f>+_xlfn.XLOOKUP(A25,PPTO_GENERADOR!$Q:$Q,PPTO_GENERADOR!A:A,"-",0)</f>
        <v>4.01</v>
      </c>
    </row>
    <row r="26" spans="1:18" ht="15" customHeight="1" x14ac:dyDescent="0.35">
      <c r="A26" s="38" t="s">
        <v>96</v>
      </c>
      <c r="B26" s="38" t="s">
        <v>2773</v>
      </c>
      <c r="C26" s="38"/>
      <c r="D26" s="38" t="s">
        <v>1613</v>
      </c>
      <c r="E26" s="44" t="str">
        <f>IFERROR(VLOOKUP(D26,EQUIPOS!A:B,2,FALSE()),"?")</f>
        <v>Hormigonera De 150 Litros 1hp Con Rueda Maciza</v>
      </c>
      <c r="F26" s="44"/>
      <c r="G26" s="45">
        <v>1</v>
      </c>
      <c r="H26" s="46">
        <v>0</v>
      </c>
      <c r="I26" s="47">
        <f>IFERROR(VLOOKUP(D26,EQUIPOS!A:F,6,FALSE()),0)</f>
        <v>957.25319614994726</v>
      </c>
      <c r="J26" s="42">
        <f>G26*I26</f>
        <v>957.25319614994726</v>
      </c>
      <c r="K26" s="15" t="str">
        <f t="shared" si="0"/>
        <v>ALB-034|EQ</v>
      </c>
      <c r="L26" s="15">
        <f>COUNTIFS($K$2:K26,K26)</f>
        <v>3</v>
      </c>
      <c r="M26" s="15" t="str">
        <f t="shared" si="1"/>
        <v>ALB-034|EQ|3</v>
      </c>
      <c r="N26" s="47">
        <f>IFERROR(VLOOKUP(A26,PARTIDAS!A:F,6,FALSE()),0)</f>
        <v>15</v>
      </c>
      <c r="O26" s="247">
        <f t="shared" si="3"/>
        <v>1</v>
      </c>
      <c r="P26" s="247">
        <f>+_xlfn.XLOOKUP(A26,PPTO_GENERADOR!Q:Q,PPTO_GENERADOR!E:E,"-",0)</f>
        <v>621</v>
      </c>
      <c r="Q26" s="247">
        <f t="shared" si="4"/>
        <v>621</v>
      </c>
      <c r="R26" s="259">
        <f>+_xlfn.XLOOKUP(A26,PPTO_GENERADOR!$Q:$Q,PPTO_GENERADOR!A:A,"-",0)</f>
        <v>4.01</v>
      </c>
    </row>
    <row r="27" spans="1:18" ht="15" customHeight="1" x14ac:dyDescent="0.35">
      <c r="A27" s="38" t="s">
        <v>96</v>
      </c>
      <c r="B27" s="38" t="s">
        <v>2774</v>
      </c>
      <c r="C27" s="38" t="s">
        <v>2775</v>
      </c>
      <c r="D27" s="38" t="s">
        <v>611</v>
      </c>
      <c r="E27" s="44" t="str">
        <f>IFERROR(VLOOKUP(D27,MATERIALES!A:B,2,FALSE()),"?")</f>
        <v>Barra de Acero Aleteado - 6mm x 12m</v>
      </c>
      <c r="F27" s="44" t="str">
        <f>IFERROR(VLOOKUP(D27,MATERIALES!A:C,3,FALSE()),"?")</f>
        <v>u</v>
      </c>
      <c r="G27" s="45">
        <v>0.17</v>
      </c>
      <c r="H27" s="46">
        <v>0.1</v>
      </c>
      <c r="I27" s="47">
        <f>IFERROR(VLOOKUP(D27,MATERIALES!A:D,4,FALSE()),0)</f>
        <v>3424.53</v>
      </c>
      <c r="J27" s="42">
        <f t="shared" ref="J27:J32" si="6">G27*I27*(1+H27)</f>
        <v>640.38711000000012</v>
      </c>
      <c r="K27" s="15" t="str">
        <f t="shared" si="0"/>
        <v>ALB-034|MAT</v>
      </c>
      <c r="L27" s="15">
        <f>COUNTIFS($K$2:K27,K27)</f>
        <v>1</v>
      </c>
      <c r="M27" s="15" t="str">
        <f t="shared" si="1"/>
        <v>ALB-034|MAT|1</v>
      </c>
      <c r="N27" s="47">
        <f>IFERROR(VLOOKUP(A27,PARTIDAS!A:F,6,FALSE()),0)</f>
        <v>15</v>
      </c>
      <c r="O27" s="247">
        <f t="shared" si="3"/>
        <v>0.17</v>
      </c>
      <c r="P27" s="247">
        <f>+_xlfn.XLOOKUP(A27,PPTO_GENERADOR!Q:Q,PPTO_GENERADOR!E:E,"-",0)</f>
        <v>621</v>
      </c>
      <c r="Q27" s="247">
        <f t="shared" si="4"/>
        <v>105.57000000000001</v>
      </c>
      <c r="R27" s="259">
        <f>+_xlfn.XLOOKUP(A27,PPTO_GENERADOR!$Q:$Q,PPTO_GENERADOR!A:A,"-",0)</f>
        <v>4.01</v>
      </c>
    </row>
    <row r="28" spans="1:18" ht="15" customHeight="1" x14ac:dyDescent="0.35">
      <c r="A28" s="38" t="s">
        <v>96</v>
      </c>
      <c r="B28" s="38" t="s">
        <v>2774</v>
      </c>
      <c r="C28" s="38" t="s">
        <v>2775</v>
      </c>
      <c r="D28" s="38" t="s">
        <v>588</v>
      </c>
      <c r="E28" s="44" t="str">
        <f>IFERROR(VLOOKUP(D28,MATERIALES!A:B,2,FALSE()),"?")</f>
        <v>ARENA LAVADA</v>
      </c>
      <c r="F28" s="44" t="str">
        <f>IFERROR(VLOOKUP(D28,MATERIALES!A:C,3,FALSE()),"?")</f>
        <v>m3</v>
      </c>
      <c r="G28" s="45">
        <v>1.2E-2</v>
      </c>
      <c r="H28" s="46">
        <v>0.1</v>
      </c>
      <c r="I28" s="47">
        <f>IFERROR(VLOOKUP(D28,MATERIALES!A:D,4,FALSE()),0)</f>
        <v>32399.77</v>
      </c>
      <c r="J28" s="42">
        <f t="shared" si="6"/>
        <v>427.676964</v>
      </c>
      <c r="K28" s="15" t="str">
        <f t="shared" si="0"/>
        <v>ALB-034|MAT</v>
      </c>
      <c r="L28" s="15">
        <f>COUNTIFS($K$2:K28,K28)</f>
        <v>2</v>
      </c>
      <c r="M28" s="15" t="str">
        <f t="shared" si="1"/>
        <v>ALB-034|MAT|2</v>
      </c>
      <c r="N28" s="47">
        <f>IFERROR(VLOOKUP(A28,PARTIDAS!A:F,6,FALSE()),0)</f>
        <v>15</v>
      </c>
      <c r="O28" s="247">
        <f t="shared" si="3"/>
        <v>1.2E-2</v>
      </c>
      <c r="P28" s="247">
        <f>+_xlfn.XLOOKUP(A28,PPTO_GENERADOR!Q:Q,PPTO_GENERADOR!E:E,"-",0)</f>
        <v>621</v>
      </c>
      <c r="Q28" s="247">
        <f t="shared" si="4"/>
        <v>7.452</v>
      </c>
      <c r="R28" s="259">
        <f>+_xlfn.XLOOKUP(A28,PPTO_GENERADOR!$Q:$Q,PPTO_GENERADOR!A:A,"-",0)</f>
        <v>4.01</v>
      </c>
    </row>
    <row r="29" spans="1:18" ht="15" customHeight="1" x14ac:dyDescent="0.35">
      <c r="A29" s="38" t="s">
        <v>96</v>
      </c>
      <c r="B29" s="38" t="s">
        <v>2774</v>
      </c>
      <c r="C29" s="38" t="s">
        <v>2775</v>
      </c>
      <c r="D29" s="38" t="s">
        <v>599</v>
      </c>
      <c r="E29" s="44" t="str">
        <f>IFERROR(VLOOKUP(D29,MATERIALES!A:B,2,FALSE()),"?")</f>
        <v>Cemento Portland x 50kg</v>
      </c>
      <c r="F29" s="44" t="str">
        <f>IFERROR(VLOOKUP(D29,MATERIALES!A:C,3,FALSE()),"?")</f>
        <v>Bol</v>
      </c>
      <c r="G29" s="45">
        <v>0.05</v>
      </c>
      <c r="H29" s="46">
        <v>0.1</v>
      </c>
      <c r="I29" s="47">
        <f>IFERROR(VLOOKUP(D29,MATERIALES!A:D,4,FALSE()),0)</f>
        <v>7809.48</v>
      </c>
      <c r="J29" s="42">
        <f t="shared" si="6"/>
        <v>429.52140000000003</v>
      </c>
      <c r="K29" s="15" t="str">
        <f t="shared" si="0"/>
        <v>ALB-034|MAT</v>
      </c>
      <c r="L29" s="15">
        <f>COUNTIFS($K$2:K29,K29)</f>
        <v>3</v>
      </c>
      <c r="M29" s="15" t="str">
        <f t="shared" si="1"/>
        <v>ALB-034|MAT|3</v>
      </c>
      <c r="N29" s="47">
        <f>IFERROR(VLOOKUP(A29,PARTIDAS!A:F,6,FALSE()),0)</f>
        <v>15</v>
      </c>
      <c r="O29" s="247">
        <f t="shared" si="3"/>
        <v>0.05</v>
      </c>
      <c r="P29" s="247">
        <f>+_xlfn.XLOOKUP(A29,PPTO_GENERADOR!Q:Q,PPTO_GENERADOR!E:E,"-",0)</f>
        <v>621</v>
      </c>
      <c r="Q29" s="247">
        <f t="shared" si="4"/>
        <v>31.05</v>
      </c>
      <c r="R29" s="259">
        <f>+_xlfn.XLOOKUP(A29,PPTO_GENERADOR!$Q:$Q,PPTO_GENERADOR!A:A,"-",0)</f>
        <v>4.01</v>
      </c>
    </row>
    <row r="30" spans="1:18" ht="15" customHeight="1" x14ac:dyDescent="0.35">
      <c r="A30" s="38" t="s">
        <v>96</v>
      </c>
      <c r="B30" s="38" t="s">
        <v>2774</v>
      </c>
      <c r="C30" s="38" t="s">
        <v>2775</v>
      </c>
      <c r="D30" s="38" t="s">
        <v>604</v>
      </c>
      <c r="E30" s="44" t="str">
        <f>IFERROR(VLOOKUP(D30,MATERIALES!A:B,2,FALSE()),"?")</f>
        <v>Cal Comun x 25kg</v>
      </c>
      <c r="F30" s="44" t="str">
        <f>IFERROR(VLOOKUP(D30,MATERIALES!A:C,3,FALSE()),"?")</f>
        <v>bol</v>
      </c>
      <c r="G30" s="45">
        <v>0.1</v>
      </c>
      <c r="H30" s="46">
        <v>0.1</v>
      </c>
      <c r="I30" s="47">
        <f>IFERROR(VLOOKUP(D30,MATERIALES!A:D,4,FALSE()),0)</f>
        <v>3837.96</v>
      </c>
      <c r="J30" s="42">
        <f t="shared" si="6"/>
        <v>422.17560000000009</v>
      </c>
      <c r="K30" s="15" t="str">
        <f t="shared" si="0"/>
        <v>ALB-034|MAT</v>
      </c>
      <c r="L30" s="15">
        <f>COUNTIFS($K$2:K30,K30)</f>
        <v>4</v>
      </c>
      <c r="M30" s="15" t="str">
        <f t="shared" si="1"/>
        <v>ALB-034|MAT|4</v>
      </c>
      <c r="N30" s="47">
        <f>IFERROR(VLOOKUP(A30,PARTIDAS!A:F,6,FALSE()),0)</f>
        <v>15</v>
      </c>
      <c r="O30" s="247">
        <f t="shared" si="3"/>
        <v>0.1</v>
      </c>
      <c r="P30" s="247">
        <f>+_xlfn.XLOOKUP(A30,PPTO_GENERADOR!Q:Q,PPTO_GENERADOR!E:E,"-",0)</f>
        <v>621</v>
      </c>
      <c r="Q30" s="247">
        <f t="shared" si="4"/>
        <v>62.1</v>
      </c>
      <c r="R30" s="259">
        <f>+_xlfn.XLOOKUP(A30,PPTO_GENERADOR!$Q:$Q,PPTO_GENERADOR!A:A,"-",0)</f>
        <v>4.01</v>
      </c>
    </row>
    <row r="31" spans="1:18" ht="15" customHeight="1" x14ac:dyDescent="0.35">
      <c r="A31" s="38" t="s">
        <v>96</v>
      </c>
      <c r="B31" s="38" t="s">
        <v>2774</v>
      </c>
      <c r="C31" s="38" t="s">
        <v>2775</v>
      </c>
      <c r="D31" s="38" t="s">
        <v>630</v>
      </c>
      <c r="E31" s="44" t="str">
        <f>IFERROR(VLOOKUP(D31,MATERIALES!A:B,2,FALSE()),"?")</f>
        <v>LADRILLO CERAMICO 8 x 18 x 33 cm</v>
      </c>
      <c r="F31" s="44" t="str">
        <f>IFERROR(VLOOKUP(D31,MATERIALES!A:C,3,FALSE()),"?")</f>
        <v>u</v>
      </c>
      <c r="G31" s="45">
        <v>15</v>
      </c>
      <c r="H31" s="46">
        <v>0.05</v>
      </c>
      <c r="I31" s="47">
        <f>IFERROR(VLOOKUP(D31,MATERIALES!A:D,4,FALSE()),0)</f>
        <v>292.32</v>
      </c>
      <c r="J31" s="42">
        <f t="shared" si="6"/>
        <v>4604.04</v>
      </c>
      <c r="K31" s="15" t="str">
        <f t="shared" si="0"/>
        <v>ALB-034|MAT</v>
      </c>
      <c r="L31" s="15">
        <f>COUNTIFS($K$2:K31,K31)</f>
        <v>5</v>
      </c>
      <c r="M31" s="15" t="str">
        <f t="shared" si="1"/>
        <v>ALB-034|MAT|5</v>
      </c>
      <c r="N31" s="47">
        <f>IFERROR(VLOOKUP(A31,PARTIDAS!A:F,6,FALSE()),0)</f>
        <v>15</v>
      </c>
      <c r="O31" s="247">
        <f t="shared" si="3"/>
        <v>15</v>
      </c>
      <c r="P31" s="247">
        <f>+_xlfn.XLOOKUP(A31,PPTO_GENERADOR!Q:Q,PPTO_GENERADOR!E:E,"-",0)</f>
        <v>621</v>
      </c>
      <c r="Q31" s="247">
        <f t="shared" si="4"/>
        <v>9315</v>
      </c>
      <c r="R31" s="259">
        <f>+_xlfn.XLOOKUP(A31,PPTO_GENERADOR!$Q:$Q,PPTO_GENERADOR!A:A,"-",0)</f>
        <v>4.01</v>
      </c>
    </row>
    <row r="32" spans="1:18" ht="15" customHeight="1" x14ac:dyDescent="0.35">
      <c r="A32" s="38" t="s">
        <v>96</v>
      </c>
      <c r="B32" s="38" t="s">
        <v>2774</v>
      </c>
      <c r="C32" s="38" t="s">
        <v>2775</v>
      </c>
      <c r="D32" s="38" t="s">
        <v>1361</v>
      </c>
      <c r="E32" s="44" t="str">
        <f>IFERROR(VLOOKUP(D32,MATERIALES!A:B,2,FALSE()),"?")</f>
        <v>Consumibles</v>
      </c>
      <c r="F32" s="44" t="str">
        <f>IFERROR(VLOOKUP(D32,MATERIALES!A:C,3,FALSE()),"?")</f>
        <v>gl</v>
      </c>
      <c r="G32" s="45">
        <v>67.195151062199997</v>
      </c>
      <c r="H32" s="46">
        <v>0</v>
      </c>
      <c r="I32" s="47">
        <f>IFERROR(VLOOKUP(D32,MATERIALES!A:D,4,FALSE()),0)</f>
        <v>1</v>
      </c>
      <c r="J32" s="42">
        <f t="shared" si="6"/>
        <v>67.195151062199997</v>
      </c>
      <c r="K32" s="15" t="str">
        <f t="shared" si="0"/>
        <v>ALB-034|MAT</v>
      </c>
      <c r="L32" s="15">
        <f>COUNTIFS($K$2:K32,K32)</f>
        <v>6</v>
      </c>
      <c r="M32" s="15" t="str">
        <f t="shared" si="1"/>
        <v>ALB-034|MAT|6</v>
      </c>
      <c r="N32" s="47">
        <f>IFERROR(VLOOKUP(A32,PARTIDAS!A:F,6,FALSE()),0)</f>
        <v>15</v>
      </c>
      <c r="O32" s="247">
        <f t="shared" si="3"/>
        <v>67.195151062199997</v>
      </c>
      <c r="P32" s="247">
        <f>+_xlfn.XLOOKUP(A32,PPTO_GENERADOR!Q:Q,PPTO_GENERADOR!E:E,"-",0)</f>
        <v>621</v>
      </c>
      <c r="Q32" s="247">
        <f t="shared" si="4"/>
        <v>41728.188809626197</v>
      </c>
      <c r="R32" s="259">
        <f>+_xlfn.XLOOKUP(A32,PPTO_GENERADOR!$Q:$Q,PPTO_GENERADOR!A:A,"-",0)</f>
        <v>4.01</v>
      </c>
    </row>
    <row r="33" spans="1:18" ht="15" customHeight="1" x14ac:dyDescent="0.35">
      <c r="A33" s="38" t="s">
        <v>96</v>
      </c>
      <c r="B33" s="38" t="s">
        <v>2776</v>
      </c>
      <c r="C33" s="38" t="s">
        <v>2777</v>
      </c>
      <c r="D33" s="237" t="s">
        <v>1577</v>
      </c>
      <c r="E33" s="44" t="str">
        <f>IFERROR(VLOOKUP(D33,MANO_DE_OBRA!A:B,2,FALSE()),"?")</f>
        <v>AYUDANTE</v>
      </c>
      <c r="F33" s="44" t="s">
        <v>2778</v>
      </c>
      <c r="G33" s="45">
        <v>1</v>
      </c>
      <c r="H33" s="46">
        <v>0</v>
      </c>
      <c r="I33" s="47">
        <f>IFERROR(VLOOKUP(D33,MANO_DE_OBRA!A:C,3,FALSE()),0)</f>
        <v>60860.580776572002</v>
      </c>
      <c r="J33" s="42">
        <f>G33*I33</f>
        <v>60860.580776572002</v>
      </c>
      <c r="K33" s="15" t="str">
        <f t="shared" si="0"/>
        <v>ALB-034|MO</v>
      </c>
      <c r="L33" s="15">
        <f>COUNTIFS($K$2:K33,K33)</f>
        <v>1</v>
      </c>
      <c r="M33" s="15" t="str">
        <f t="shared" si="1"/>
        <v>ALB-034|MO|1</v>
      </c>
      <c r="N33" s="47">
        <f>IFERROR(VLOOKUP(A33,PARTIDAS!A:F,6,FALSE()),0)</f>
        <v>15</v>
      </c>
      <c r="O33" s="247">
        <f t="shared" si="3"/>
        <v>6.6666666666666666E-2</v>
      </c>
      <c r="P33" s="247">
        <f>+_xlfn.XLOOKUP(A33,PPTO_GENERADOR!Q:Q,PPTO_GENERADOR!E:E,"-",0)</f>
        <v>621</v>
      </c>
      <c r="Q33" s="247">
        <f t="shared" si="4"/>
        <v>41.4</v>
      </c>
      <c r="R33" s="259">
        <f>+_xlfn.XLOOKUP(A33,PPTO_GENERADOR!$Q:$Q,PPTO_GENERADOR!A:A,"-",0)</f>
        <v>4.01</v>
      </c>
    </row>
    <row r="34" spans="1:18" ht="15" customHeight="1" x14ac:dyDescent="0.35">
      <c r="A34" s="38" t="s">
        <v>96</v>
      </c>
      <c r="B34" s="38" t="s">
        <v>2776</v>
      </c>
      <c r="C34" s="38" t="s">
        <v>2777</v>
      </c>
      <c r="D34" s="237" t="s">
        <v>1568</v>
      </c>
      <c r="E34" s="44" t="str">
        <f>IFERROR(VLOOKUP(D34,MANO_DE_OBRA!A:B,2,FALSE()),"?")</f>
        <v>ESPECIALIZADO</v>
      </c>
      <c r="F34" s="44" t="s">
        <v>2778</v>
      </c>
      <c r="G34" s="45">
        <v>1</v>
      </c>
      <c r="H34" s="46">
        <v>0</v>
      </c>
      <c r="I34" s="47">
        <f>IFERROR(VLOOKUP(D34,MANO_DE_OBRA!A:C,3,FALSE()),0)</f>
        <v>85927.097156571996</v>
      </c>
      <c r="J34" s="42">
        <f>G34*I34</f>
        <v>85927.097156571996</v>
      </c>
      <c r="K34" s="15" t="str">
        <f t="shared" si="0"/>
        <v>ALB-034|MO</v>
      </c>
      <c r="L34" s="15">
        <f>COUNTIFS($K$2:K34,K34)</f>
        <v>2</v>
      </c>
      <c r="M34" s="15" t="str">
        <f t="shared" si="1"/>
        <v>ALB-034|MO|2</v>
      </c>
      <c r="N34" s="47">
        <f>IFERROR(VLOOKUP(A34,PARTIDAS!A:F,6,FALSE()),0)</f>
        <v>15</v>
      </c>
      <c r="O34" s="247">
        <f t="shared" si="3"/>
        <v>6.6666666666666666E-2</v>
      </c>
      <c r="P34" s="247">
        <f>+_xlfn.XLOOKUP(A34,PPTO_GENERADOR!Q:Q,PPTO_GENERADOR!E:E,"-",0)</f>
        <v>621</v>
      </c>
      <c r="Q34" s="247">
        <f t="shared" si="4"/>
        <v>41.4</v>
      </c>
      <c r="R34" s="259">
        <f>+_xlfn.XLOOKUP(A34,PPTO_GENERADOR!$Q:$Q,PPTO_GENERADOR!A:A,"-",0)</f>
        <v>4.01</v>
      </c>
    </row>
    <row r="35" spans="1:18" ht="15" customHeight="1" x14ac:dyDescent="0.35">
      <c r="A35" s="38" t="s">
        <v>99</v>
      </c>
      <c r="B35" s="38" t="s">
        <v>2773</v>
      </c>
      <c r="C35" s="38"/>
      <c r="D35" s="38" t="s">
        <v>1592</v>
      </c>
      <c r="E35" s="44" t="str">
        <f>IFERROR(VLOOKUP(D35,EQUIPOS!A:B,2,FALSE()),"?")</f>
        <v>ANDAMIO TUBULAR DE UNO A TRES CUERPOS</v>
      </c>
      <c r="F35" s="44"/>
      <c r="G35" s="45">
        <v>0.5</v>
      </c>
      <c r="H35" s="46">
        <v>0</v>
      </c>
      <c r="I35" s="47">
        <f>IFERROR(VLOOKUP(D35,EQUIPOS!A:F,6,FALSE()),0)</f>
        <v>571.1794909807611</v>
      </c>
      <c r="J35" s="42">
        <f>G35*I35</f>
        <v>285.58974549038055</v>
      </c>
      <c r="K35" s="15" t="str">
        <f t="shared" si="0"/>
        <v>ALB-035|EQ</v>
      </c>
      <c r="L35" s="15">
        <f>COUNTIFS($K$2:K35,K35)</f>
        <v>1</v>
      </c>
      <c r="M35" s="15" t="str">
        <f t="shared" si="1"/>
        <v>ALB-035|EQ|1</v>
      </c>
      <c r="N35" s="47">
        <f>IFERROR(VLOOKUP(A35,PARTIDAS!A:F,6,FALSE()),0)</f>
        <v>15</v>
      </c>
      <c r="O35" s="247">
        <f t="shared" si="3"/>
        <v>0.5</v>
      </c>
      <c r="P35" s="247">
        <f>+_xlfn.XLOOKUP(A35,PPTO_GENERADOR!Q:Q,PPTO_GENERADOR!E:E,"-",0)</f>
        <v>780</v>
      </c>
      <c r="Q35" s="247">
        <f t="shared" si="4"/>
        <v>390</v>
      </c>
      <c r="R35" s="259">
        <f>+_xlfn.XLOOKUP(A35,PPTO_GENERADOR!$Q:$Q,PPTO_GENERADOR!A:A,"-",0)</f>
        <v>4.0199999999999996</v>
      </c>
    </row>
    <row r="36" spans="1:18" ht="15" customHeight="1" x14ac:dyDescent="0.35">
      <c r="A36" s="38" t="s">
        <v>99</v>
      </c>
      <c r="B36" s="38" t="s">
        <v>2773</v>
      </c>
      <c r="C36" s="38"/>
      <c r="D36" s="38" t="s">
        <v>1595</v>
      </c>
      <c r="E36" s="44" t="str">
        <f>IFERROR(VLOOKUP(D36,EQUIPOS!A:B,2,FALSE()),"?")</f>
        <v>EQUIPO DE ALBAÑILERIA, carpetas, ladrillo</v>
      </c>
      <c r="F36" s="44"/>
      <c r="G36" s="45">
        <v>1</v>
      </c>
      <c r="H36" s="46">
        <v>0</v>
      </c>
      <c r="I36" s="47">
        <f>IFERROR(VLOOKUP(D36,EQUIPOS!A:F,6,FALSE()),0)</f>
        <v>2287.1357450968057</v>
      </c>
      <c r="J36" s="42">
        <f>G36*I36</f>
        <v>2287.1357450968057</v>
      </c>
      <c r="K36" s="15" t="str">
        <f t="shared" si="0"/>
        <v>ALB-035|EQ</v>
      </c>
      <c r="L36" s="15">
        <f>COUNTIFS($K$2:K36,K36)</f>
        <v>2</v>
      </c>
      <c r="M36" s="15" t="str">
        <f t="shared" si="1"/>
        <v>ALB-035|EQ|2</v>
      </c>
      <c r="N36" s="47">
        <f>IFERROR(VLOOKUP(A36,PARTIDAS!A:F,6,FALSE()),0)</f>
        <v>15</v>
      </c>
      <c r="O36" s="247">
        <f t="shared" si="3"/>
        <v>1</v>
      </c>
      <c r="P36" s="247">
        <f>+_xlfn.XLOOKUP(A36,PPTO_GENERADOR!Q:Q,PPTO_GENERADOR!E:E,"-",0)</f>
        <v>780</v>
      </c>
      <c r="Q36" s="247">
        <f t="shared" si="4"/>
        <v>780</v>
      </c>
      <c r="R36" s="259">
        <f>+_xlfn.XLOOKUP(A36,PPTO_GENERADOR!$Q:$Q,PPTO_GENERADOR!A:A,"-",0)</f>
        <v>4.0199999999999996</v>
      </c>
    </row>
    <row r="37" spans="1:18" ht="15" customHeight="1" x14ac:dyDescent="0.35">
      <c r="A37" s="38" t="s">
        <v>99</v>
      </c>
      <c r="B37" s="38" t="s">
        <v>2773</v>
      </c>
      <c r="C37" s="38"/>
      <c r="D37" s="38" t="s">
        <v>1613</v>
      </c>
      <c r="E37" s="44" t="str">
        <f>IFERROR(VLOOKUP(D37,EQUIPOS!A:B,2,FALSE()),"?")</f>
        <v>Hormigonera De 150 Litros 1hp Con Rueda Maciza</v>
      </c>
      <c r="F37" s="44"/>
      <c r="G37" s="45">
        <v>1</v>
      </c>
      <c r="H37" s="46">
        <v>0</v>
      </c>
      <c r="I37" s="47">
        <f>IFERROR(VLOOKUP(D37,EQUIPOS!A:F,6,FALSE()),0)</f>
        <v>957.25319614994726</v>
      </c>
      <c r="J37" s="42">
        <f>G37*I37</f>
        <v>957.25319614994726</v>
      </c>
      <c r="K37" s="15" t="str">
        <f t="shared" si="0"/>
        <v>ALB-035|EQ</v>
      </c>
      <c r="L37" s="15">
        <f>COUNTIFS($K$2:K37,K37)</f>
        <v>3</v>
      </c>
      <c r="M37" s="15" t="str">
        <f t="shared" si="1"/>
        <v>ALB-035|EQ|3</v>
      </c>
      <c r="N37" s="47">
        <f>IFERROR(VLOOKUP(A37,PARTIDAS!A:F,6,FALSE()),0)</f>
        <v>15</v>
      </c>
      <c r="O37" s="247">
        <f t="shared" si="3"/>
        <v>1</v>
      </c>
      <c r="P37" s="247">
        <f>+_xlfn.XLOOKUP(A37,PPTO_GENERADOR!Q:Q,PPTO_GENERADOR!E:E,"-",0)</f>
        <v>780</v>
      </c>
      <c r="Q37" s="247">
        <f t="shared" si="4"/>
        <v>780</v>
      </c>
      <c r="R37" s="259">
        <f>+_xlfn.XLOOKUP(A37,PPTO_GENERADOR!$Q:$Q,PPTO_GENERADOR!A:A,"-",0)</f>
        <v>4.0199999999999996</v>
      </c>
    </row>
    <row r="38" spans="1:18" ht="15" customHeight="1" x14ac:dyDescent="0.35">
      <c r="A38" s="38" t="s">
        <v>99</v>
      </c>
      <c r="B38" s="38" t="s">
        <v>2774</v>
      </c>
      <c r="C38" s="38" t="s">
        <v>2775</v>
      </c>
      <c r="D38" s="38" t="s">
        <v>611</v>
      </c>
      <c r="E38" s="44" t="str">
        <f>IFERROR(VLOOKUP(D38,MATERIALES!A:B,2,FALSE()),"?")</f>
        <v>Barra de Acero Aleteado - 6mm x 12m</v>
      </c>
      <c r="F38" s="44" t="str">
        <f>IFERROR(VLOOKUP(D38,MATERIALES!A:C,3,FALSE()),"?")</f>
        <v>u</v>
      </c>
      <c r="G38" s="45">
        <v>0.17</v>
      </c>
      <c r="H38" s="46">
        <v>0.1</v>
      </c>
      <c r="I38" s="47">
        <f>IFERROR(VLOOKUP(D38,MATERIALES!A:D,4,FALSE()),0)</f>
        <v>3424.53</v>
      </c>
      <c r="J38" s="42">
        <f t="shared" ref="J38:J43" si="7">G38*I38*(1+H38)</f>
        <v>640.38711000000012</v>
      </c>
      <c r="K38" s="15" t="str">
        <f t="shared" si="0"/>
        <v>ALB-035|MAT</v>
      </c>
      <c r="L38" s="15">
        <f>COUNTIFS($K$2:K38,K38)</f>
        <v>1</v>
      </c>
      <c r="M38" s="15" t="str">
        <f t="shared" si="1"/>
        <v>ALB-035|MAT|1</v>
      </c>
      <c r="N38" s="47">
        <f>IFERROR(VLOOKUP(A38,PARTIDAS!A:F,6,FALSE()),0)</f>
        <v>15</v>
      </c>
      <c r="O38" s="247">
        <f t="shared" si="3"/>
        <v>0.17</v>
      </c>
      <c r="P38" s="247">
        <f>+_xlfn.XLOOKUP(A38,PPTO_GENERADOR!Q:Q,PPTO_GENERADOR!E:E,"-",0)</f>
        <v>780</v>
      </c>
      <c r="Q38" s="247">
        <f t="shared" si="4"/>
        <v>132.60000000000002</v>
      </c>
      <c r="R38" s="259">
        <f>+_xlfn.XLOOKUP(A38,PPTO_GENERADOR!$Q:$Q,PPTO_GENERADOR!A:A,"-",0)</f>
        <v>4.0199999999999996</v>
      </c>
    </row>
    <row r="39" spans="1:18" ht="15" customHeight="1" x14ac:dyDescent="0.35">
      <c r="A39" s="38" t="s">
        <v>99</v>
      </c>
      <c r="B39" s="38" t="s">
        <v>2774</v>
      </c>
      <c r="C39" s="38" t="s">
        <v>2775</v>
      </c>
      <c r="D39" s="38" t="s">
        <v>588</v>
      </c>
      <c r="E39" s="44" t="str">
        <f>IFERROR(VLOOKUP(D39,MATERIALES!A:B,2,FALSE()),"?")</f>
        <v>ARENA LAVADA</v>
      </c>
      <c r="F39" s="44" t="str">
        <f>IFERROR(VLOOKUP(D39,MATERIALES!A:C,3,FALSE()),"?")</f>
        <v>m3</v>
      </c>
      <c r="G39" s="45">
        <v>1.7999999999999999E-2</v>
      </c>
      <c r="H39" s="46">
        <v>0.1</v>
      </c>
      <c r="I39" s="47">
        <f>IFERROR(VLOOKUP(D39,MATERIALES!A:D,4,FALSE()),0)</f>
        <v>32399.77</v>
      </c>
      <c r="J39" s="42">
        <f t="shared" si="7"/>
        <v>641.515446</v>
      </c>
      <c r="K39" s="15" t="str">
        <f t="shared" si="0"/>
        <v>ALB-035|MAT</v>
      </c>
      <c r="L39" s="15">
        <f>COUNTIFS($K$2:K39,K39)</f>
        <v>2</v>
      </c>
      <c r="M39" s="15" t="str">
        <f t="shared" si="1"/>
        <v>ALB-035|MAT|2</v>
      </c>
      <c r="N39" s="47">
        <f>IFERROR(VLOOKUP(A39,PARTIDAS!A:F,6,FALSE()),0)</f>
        <v>15</v>
      </c>
      <c r="O39" s="247">
        <f t="shared" si="3"/>
        <v>1.7999999999999999E-2</v>
      </c>
      <c r="P39" s="247">
        <f>+_xlfn.XLOOKUP(A39,PPTO_GENERADOR!Q:Q,PPTO_GENERADOR!E:E,"-",0)</f>
        <v>780</v>
      </c>
      <c r="Q39" s="247">
        <f t="shared" si="4"/>
        <v>14.04</v>
      </c>
      <c r="R39" s="259">
        <f>+_xlfn.XLOOKUP(A39,PPTO_GENERADOR!$Q:$Q,PPTO_GENERADOR!A:A,"-",0)</f>
        <v>4.0199999999999996</v>
      </c>
    </row>
    <row r="40" spans="1:18" ht="15" customHeight="1" x14ac:dyDescent="0.35">
      <c r="A40" s="38" t="s">
        <v>99</v>
      </c>
      <c r="B40" s="38" t="s">
        <v>2774</v>
      </c>
      <c r="C40" s="38" t="s">
        <v>2775</v>
      </c>
      <c r="D40" s="38" t="s">
        <v>599</v>
      </c>
      <c r="E40" s="44" t="str">
        <f>IFERROR(VLOOKUP(D40,MATERIALES!A:B,2,FALSE()),"?")</f>
        <v>Cemento Portland x 50kg</v>
      </c>
      <c r="F40" s="44" t="str">
        <f>IFERROR(VLOOKUP(D40,MATERIALES!A:C,3,FALSE()),"?")</f>
        <v>Bol</v>
      </c>
      <c r="G40" s="45">
        <v>7.4999999999999997E-2</v>
      </c>
      <c r="H40" s="46">
        <v>0.1</v>
      </c>
      <c r="I40" s="47">
        <f>IFERROR(VLOOKUP(D40,MATERIALES!A:D,4,FALSE()),0)</f>
        <v>7809.48</v>
      </c>
      <c r="J40" s="42">
        <f t="shared" si="7"/>
        <v>644.2820999999999</v>
      </c>
      <c r="K40" s="15" t="str">
        <f t="shared" si="0"/>
        <v>ALB-035|MAT</v>
      </c>
      <c r="L40" s="15">
        <f>COUNTIFS($K$2:K40,K40)</f>
        <v>3</v>
      </c>
      <c r="M40" s="15" t="str">
        <f t="shared" si="1"/>
        <v>ALB-035|MAT|3</v>
      </c>
      <c r="N40" s="47">
        <f>IFERROR(VLOOKUP(A40,PARTIDAS!A:F,6,FALSE()),0)</f>
        <v>15</v>
      </c>
      <c r="O40" s="247">
        <f t="shared" si="3"/>
        <v>7.4999999999999997E-2</v>
      </c>
      <c r="P40" s="247">
        <f>+_xlfn.XLOOKUP(A40,PPTO_GENERADOR!Q:Q,PPTO_GENERADOR!E:E,"-",0)</f>
        <v>780</v>
      </c>
      <c r="Q40" s="247">
        <f t="shared" si="4"/>
        <v>58.5</v>
      </c>
      <c r="R40" s="259">
        <f>+_xlfn.XLOOKUP(A40,PPTO_GENERADOR!$Q:$Q,PPTO_GENERADOR!A:A,"-",0)</f>
        <v>4.0199999999999996</v>
      </c>
    </row>
    <row r="41" spans="1:18" ht="15" customHeight="1" x14ac:dyDescent="0.35">
      <c r="A41" s="38" t="s">
        <v>99</v>
      </c>
      <c r="B41" s="38" t="s">
        <v>2774</v>
      </c>
      <c r="C41" s="38" t="s">
        <v>2775</v>
      </c>
      <c r="D41" s="38" t="s">
        <v>604</v>
      </c>
      <c r="E41" s="44" t="str">
        <f>IFERROR(VLOOKUP(D41,MATERIALES!A:B,2,FALSE()),"?")</f>
        <v>Cal Comun x 25kg</v>
      </c>
      <c r="F41" s="44" t="str">
        <f>IFERROR(VLOOKUP(D41,MATERIALES!A:C,3,FALSE()),"?")</f>
        <v>bol</v>
      </c>
      <c r="G41" s="45">
        <v>0.15</v>
      </c>
      <c r="H41" s="46">
        <v>0.1</v>
      </c>
      <c r="I41" s="47">
        <f>IFERROR(VLOOKUP(D41,MATERIALES!A:D,4,FALSE()),0)</f>
        <v>3837.96</v>
      </c>
      <c r="J41" s="42">
        <f t="shared" si="7"/>
        <v>633.26340000000005</v>
      </c>
      <c r="K41" s="15" t="str">
        <f t="shared" si="0"/>
        <v>ALB-035|MAT</v>
      </c>
      <c r="L41" s="15">
        <f>COUNTIFS($K$2:K41,K41)</f>
        <v>4</v>
      </c>
      <c r="M41" s="15" t="str">
        <f t="shared" si="1"/>
        <v>ALB-035|MAT|4</v>
      </c>
      <c r="N41" s="47">
        <f>IFERROR(VLOOKUP(A41,PARTIDAS!A:F,6,FALSE()),0)</f>
        <v>15</v>
      </c>
      <c r="O41" s="247">
        <f t="shared" si="3"/>
        <v>0.15</v>
      </c>
      <c r="P41" s="247">
        <f>+_xlfn.XLOOKUP(A41,PPTO_GENERADOR!Q:Q,PPTO_GENERADOR!E:E,"-",0)</f>
        <v>780</v>
      </c>
      <c r="Q41" s="247">
        <f t="shared" si="4"/>
        <v>117</v>
      </c>
      <c r="R41" s="259">
        <f>+_xlfn.XLOOKUP(A41,PPTO_GENERADOR!$Q:$Q,PPTO_GENERADOR!A:A,"-",0)</f>
        <v>4.0199999999999996</v>
      </c>
    </row>
    <row r="42" spans="1:18" ht="15" customHeight="1" x14ac:dyDescent="0.35">
      <c r="A42" s="38" t="s">
        <v>99</v>
      </c>
      <c r="B42" s="38" t="s">
        <v>2774</v>
      </c>
      <c r="C42" s="38" t="s">
        <v>2775</v>
      </c>
      <c r="D42" s="38" t="s">
        <v>633</v>
      </c>
      <c r="E42" s="44" t="str">
        <f>IFERROR(VLOOKUP(D42,MATERIALES!A:B,2,FALSE()),"?")</f>
        <v>LADRILLO CERAMICO 12 x 18 x 33 cm</v>
      </c>
      <c r="F42" s="44" t="str">
        <f>IFERROR(VLOOKUP(D42,MATERIALES!A:C,3,FALSE()),"?")</f>
        <v>u</v>
      </c>
      <c r="G42" s="45">
        <v>15</v>
      </c>
      <c r="H42" s="46">
        <v>0.05</v>
      </c>
      <c r="I42" s="47">
        <f>IFERROR(VLOOKUP(D42,MATERIALES!A:D,4,FALSE()),0)</f>
        <v>365.4</v>
      </c>
      <c r="J42" s="42">
        <f t="shared" si="7"/>
        <v>5755.05</v>
      </c>
      <c r="K42" s="15" t="str">
        <f t="shared" si="0"/>
        <v>ALB-035|MAT</v>
      </c>
      <c r="L42" s="15">
        <f>COUNTIFS($K$2:K42,K42)</f>
        <v>5</v>
      </c>
      <c r="M42" s="15" t="str">
        <f t="shared" si="1"/>
        <v>ALB-035|MAT|5</v>
      </c>
      <c r="N42" s="47">
        <f>IFERROR(VLOOKUP(A42,PARTIDAS!A:F,6,FALSE()),0)</f>
        <v>15</v>
      </c>
      <c r="O42" s="247">
        <f t="shared" si="3"/>
        <v>15</v>
      </c>
      <c r="P42" s="247">
        <f>+_xlfn.XLOOKUP(A42,PPTO_GENERADOR!Q:Q,PPTO_GENERADOR!E:E,"-",0)</f>
        <v>780</v>
      </c>
      <c r="Q42" s="247">
        <f t="shared" si="4"/>
        <v>11700</v>
      </c>
      <c r="R42" s="259">
        <f>+_xlfn.XLOOKUP(A42,PPTO_GENERADOR!$Q:$Q,PPTO_GENERADOR!A:A,"-",0)</f>
        <v>4.0199999999999996</v>
      </c>
    </row>
    <row r="43" spans="1:18" ht="15" customHeight="1" x14ac:dyDescent="0.35">
      <c r="A43" s="38" t="s">
        <v>99</v>
      </c>
      <c r="B43" s="38" t="s">
        <v>2774</v>
      </c>
      <c r="C43" s="38" t="s">
        <v>2775</v>
      </c>
      <c r="D43" s="38" t="s">
        <v>1361</v>
      </c>
      <c r="E43" s="44" t="str">
        <f>IFERROR(VLOOKUP(D43,MATERIALES!A:B,2,FALSE()),"?")</f>
        <v>Consumibles</v>
      </c>
      <c r="F43" s="44" t="str">
        <f>IFERROR(VLOOKUP(D43,MATERIALES!A:C,3,FALSE()),"?")</f>
        <v>gl</v>
      </c>
      <c r="G43" s="45">
        <v>85.639329976799999</v>
      </c>
      <c r="H43" s="46">
        <v>0</v>
      </c>
      <c r="I43" s="47">
        <f>IFERROR(VLOOKUP(D43,MATERIALES!A:D,4,FALSE()),0)</f>
        <v>1</v>
      </c>
      <c r="J43" s="42">
        <f t="shared" si="7"/>
        <v>85.639329976799999</v>
      </c>
      <c r="K43" s="15" t="str">
        <f t="shared" si="0"/>
        <v>ALB-035|MAT</v>
      </c>
      <c r="L43" s="15">
        <f>COUNTIFS($K$2:K43,K43)</f>
        <v>6</v>
      </c>
      <c r="M43" s="15" t="str">
        <f t="shared" si="1"/>
        <v>ALB-035|MAT|6</v>
      </c>
      <c r="N43" s="47">
        <f>IFERROR(VLOOKUP(A43,PARTIDAS!A:F,6,FALSE()),0)</f>
        <v>15</v>
      </c>
      <c r="O43" s="247">
        <f t="shared" si="3"/>
        <v>85.639329976799999</v>
      </c>
      <c r="P43" s="247">
        <f>+_xlfn.XLOOKUP(A43,PPTO_GENERADOR!Q:Q,PPTO_GENERADOR!E:E,"-",0)</f>
        <v>780</v>
      </c>
      <c r="Q43" s="247">
        <f t="shared" si="4"/>
        <v>66798.677381903995</v>
      </c>
      <c r="R43" s="259">
        <f>+_xlfn.XLOOKUP(A43,PPTO_GENERADOR!$Q:$Q,PPTO_GENERADOR!A:A,"-",0)</f>
        <v>4.0199999999999996</v>
      </c>
    </row>
    <row r="44" spans="1:18" ht="15" customHeight="1" x14ac:dyDescent="0.35">
      <c r="A44" s="38" t="s">
        <v>99</v>
      </c>
      <c r="B44" s="38" t="s">
        <v>2776</v>
      </c>
      <c r="C44" s="38" t="s">
        <v>2777</v>
      </c>
      <c r="D44" s="237" t="s">
        <v>1577</v>
      </c>
      <c r="E44" s="44" t="str">
        <f>IFERROR(VLOOKUP(D44,MANO_DE_OBRA!A:B,2,FALSE()),"?")</f>
        <v>AYUDANTE</v>
      </c>
      <c r="F44" s="44" t="s">
        <v>2778</v>
      </c>
      <c r="G44" s="45">
        <v>1</v>
      </c>
      <c r="H44" s="46">
        <v>0</v>
      </c>
      <c r="I44" s="47">
        <f>IFERROR(VLOOKUP(D44,MANO_DE_OBRA!A:C,3,FALSE()),0)</f>
        <v>60860.580776572002</v>
      </c>
      <c r="J44" s="42">
        <f>G44*I44</f>
        <v>60860.580776572002</v>
      </c>
      <c r="K44" s="15" t="str">
        <f t="shared" si="0"/>
        <v>ALB-035|MO</v>
      </c>
      <c r="L44" s="15">
        <f>COUNTIFS($K$2:K44,K44)</f>
        <v>1</v>
      </c>
      <c r="M44" s="15" t="str">
        <f t="shared" si="1"/>
        <v>ALB-035|MO|1</v>
      </c>
      <c r="N44" s="47">
        <f>IFERROR(VLOOKUP(A44,PARTIDAS!A:F,6,FALSE()),0)</f>
        <v>15</v>
      </c>
      <c r="O44" s="247">
        <f t="shared" si="3"/>
        <v>6.6666666666666666E-2</v>
      </c>
      <c r="P44" s="247">
        <f>+_xlfn.XLOOKUP(A44,PPTO_GENERADOR!Q:Q,PPTO_GENERADOR!E:E,"-",0)</f>
        <v>780</v>
      </c>
      <c r="Q44" s="247">
        <f t="shared" si="4"/>
        <v>52</v>
      </c>
      <c r="R44" s="259">
        <f>+_xlfn.XLOOKUP(A44,PPTO_GENERADOR!$Q:$Q,PPTO_GENERADOR!A:A,"-",0)</f>
        <v>4.0199999999999996</v>
      </c>
    </row>
    <row r="45" spans="1:18" ht="15" customHeight="1" x14ac:dyDescent="0.35">
      <c r="A45" s="38" t="s">
        <v>99</v>
      </c>
      <c r="B45" s="38" t="s">
        <v>2776</v>
      </c>
      <c r="C45" s="38" t="s">
        <v>2777</v>
      </c>
      <c r="D45" s="237" t="s">
        <v>1568</v>
      </c>
      <c r="E45" s="44" t="str">
        <f>IFERROR(VLOOKUP(D45,MANO_DE_OBRA!A:B,2,FALSE()),"?")</f>
        <v>ESPECIALIZADO</v>
      </c>
      <c r="F45" s="44" t="s">
        <v>2778</v>
      </c>
      <c r="G45" s="45">
        <v>1</v>
      </c>
      <c r="H45" s="46">
        <v>0</v>
      </c>
      <c r="I45" s="47">
        <f>IFERROR(VLOOKUP(D45,MANO_DE_OBRA!A:C,3,FALSE()),0)</f>
        <v>85927.097156571996</v>
      </c>
      <c r="J45" s="42">
        <f>G45*I45</f>
        <v>85927.097156571996</v>
      </c>
      <c r="K45" s="15" t="str">
        <f t="shared" si="0"/>
        <v>ALB-035|MO</v>
      </c>
      <c r="L45" s="15">
        <f>COUNTIFS($K$2:K45,K45)</f>
        <v>2</v>
      </c>
      <c r="M45" s="15" t="str">
        <f t="shared" si="1"/>
        <v>ALB-035|MO|2</v>
      </c>
      <c r="N45" s="47">
        <f>IFERROR(VLOOKUP(A45,PARTIDAS!A:F,6,FALSE()),0)</f>
        <v>15</v>
      </c>
      <c r="O45" s="247">
        <f t="shared" si="3"/>
        <v>6.6666666666666666E-2</v>
      </c>
      <c r="P45" s="247">
        <f>+_xlfn.XLOOKUP(A45,PPTO_GENERADOR!Q:Q,PPTO_GENERADOR!E:E,"-",0)</f>
        <v>780</v>
      </c>
      <c r="Q45" s="247">
        <f t="shared" si="4"/>
        <v>52</v>
      </c>
      <c r="R45" s="259">
        <f>+_xlfn.XLOOKUP(A45,PPTO_GENERADOR!$Q:$Q,PPTO_GENERADOR!A:A,"-",0)</f>
        <v>4.0199999999999996</v>
      </c>
    </row>
    <row r="46" spans="1:18" ht="15" customHeight="1" x14ac:dyDescent="0.35">
      <c r="A46" s="38" t="s">
        <v>107</v>
      </c>
      <c r="B46" s="38" t="s">
        <v>2773</v>
      </c>
      <c r="C46" s="38"/>
      <c r="D46" s="38" t="s">
        <v>1592</v>
      </c>
      <c r="E46" s="44" t="str">
        <f>IFERROR(VLOOKUP(D46,EQUIPOS!A:B,2,FALSE()),"?")</f>
        <v>ANDAMIO TUBULAR DE UNO A TRES CUERPOS</v>
      </c>
      <c r="F46" s="44"/>
      <c r="G46" s="45">
        <v>0.5</v>
      </c>
      <c r="H46" s="46">
        <v>0</v>
      </c>
      <c r="I46" s="47">
        <f>IFERROR(VLOOKUP(D46,EQUIPOS!A:F,6,FALSE()),0)</f>
        <v>571.1794909807611</v>
      </c>
      <c r="J46" s="42">
        <f>G46*I46</f>
        <v>285.58974549038055</v>
      </c>
      <c r="K46" s="15" t="str">
        <f t="shared" si="0"/>
        <v>ALB-036|EQ</v>
      </c>
      <c r="L46" s="15">
        <f>COUNTIFS($K$2:K46,K46)</f>
        <v>1</v>
      </c>
      <c r="M46" s="15" t="str">
        <f t="shared" si="1"/>
        <v>ALB-036|EQ|1</v>
      </c>
      <c r="N46" s="47">
        <f>IFERROR(VLOOKUP(A46,PARTIDAS!A:F,6,FALSE()),0)</f>
        <v>15</v>
      </c>
      <c r="O46" s="247">
        <f t="shared" si="3"/>
        <v>0.5</v>
      </c>
      <c r="P46" s="247">
        <f>+_xlfn.XLOOKUP(A46,PPTO_GENERADOR!Q:Q,PPTO_GENERADOR!E:E,"-",0)</f>
        <v>5</v>
      </c>
      <c r="Q46" s="247">
        <f t="shared" si="4"/>
        <v>2.5</v>
      </c>
      <c r="R46" s="259">
        <f>+_xlfn.XLOOKUP(A46,PPTO_GENERADOR!$Q:$Q,PPTO_GENERADOR!A:A,"-",0)</f>
        <v>4.0599999999999996</v>
      </c>
    </row>
    <row r="47" spans="1:18" ht="15" customHeight="1" x14ac:dyDescent="0.35">
      <c r="A47" s="38" t="s">
        <v>107</v>
      </c>
      <c r="B47" s="38" t="s">
        <v>2773</v>
      </c>
      <c r="C47" s="38"/>
      <c r="D47" s="38" t="s">
        <v>1595</v>
      </c>
      <c r="E47" s="44" t="str">
        <f>IFERROR(VLOOKUP(D47,EQUIPOS!A:B,2,FALSE()),"?")</f>
        <v>EQUIPO DE ALBAÑILERIA, carpetas, ladrillo</v>
      </c>
      <c r="F47" s="44"/>
      <c r="G47" s="45">
        <v>1</v>
      </c>
      <c r="H47" s="46">
        <v>0</v>
      </c>
      <c r="I47" s="47">
        <f>IFERROR(VLOOKUP(D47,EQUIPOS!A:F,6,FALSE()),0)</f>
        <v>2287.1357450968057</v>
      </c>
      <c r="J47" s="42">
        <f>G47*I47</f>
        <v>2287.1357450968057</v>
      </c>
      <c r="K47" s="15" t="str">
        <f t="shared" si="0"/>
        <v>ALB-036|EQ</v>
      </c>
      <c r="L47" s="15">
        <f>COUNTIFS($K$2:K47,K47)</f>
        <v>2</v>
      </c>
      <c r="M47" s="15" t="str">
        <f t="shared" si="1"/>
        <v>ALB-036|EQ|2</v>
      </c>
      <c r="N47" s="47">
        <f>IFERROR(VLOOKUP(A47,PARTIDAS!A:F,6,FALSE()),0)</f>
        <v>15</v>
      </c>
      <c r="O47" s="247">
        <f t="shared" si="3"/>
        <v>1</v>
      </c>
      <c r="P47" s="247">
        <f>+_xlfn.XLOOKUP(A47,PPTO_GENERADOR!Q:Q,PPTO_GENERADOR!E:E,"-",0)</f>
        <v>5</v>
      </c>
      <c r="Q47" s="247">
        <f t="shared" si="4"/>
        <v>5</v>
      </c>
      <c r="R47" s="259">
        <f>+_xlfn.XLOOKUP(A47,PPTO_GENERADOR!$Q:$Q,PPTO_GENERADOR!A:A,"-",0)</f>
        <v>4.0599999999999996</v>
      </c>
    </row>
    <row r="48" spans="1:18" ht="15" customHeight="1" x14ac:dyDescent="0.35">
      <c r="A48" s="38" t="s">
        <v>107</v>
      </c>
      <c r="B48" s="38" t="s">
        <v>2773</v>
      </c>
      <c r="C48" s="38"/>
      <c r="D48" s="38" t="s">
        <v>1613</v>
      </c>
      <c r="E48" s="44" t="str">
        <f>IFERROR(VLOOKUP(D48,EQUIPOS!A:B,2,FALSE()),"?")</f>
        <v>Hormigonera De 150 Litros 1hp Con Rueda Maciza</v>
      </c>
      <c r="F48" s="44"/>
      <c r="G48" s="45">
        <v>1</v>
      </c>
      <c r="H48" s="46">
        <v>0</v>
      </c>
      <c r="I48" s="47">
        <f>IFERROR(VLOOKUP(D48,EQUIPOS!A:F,6,FALSE()),0)</f>
        <v>957.25319614994726</v>
      </c>
      <c r="J48" s="42">
        <f>G48*I48</f>
        <v>957.25319614994726</v>
      </c>
      <c r="K48" s="15" t="str">
        <f t="shared" si="0"/>
        <v>ALB-036|EQ</v>
      </c>
      <c r="L48" s="15">
        <f>COUNTIFS($K$2:K48,K48)</f>
        <v>3</v>
      </c>
      <c r="M48" s="15" t="str">
        <f t="shared" si="1"/>
        <v>ALB-036|EQ|3</v>
      </c>
      <c r="N48" s="47">
        <f>IFERROR(VLOOKUP(A48,PARTIDAS!A:F,6,FALSE()),0)</f>
        <v>15</v>
      </c>
      <c r="O48" s="247">
        <f t="shared" si="3"/>
        <v>1</v>
      </c>
      <c r="P48" s="247">
        <f>+_xlfn.XLOOKUP(A48,PPTO_GENERADOR!Q:Q,PPTO_GENERADOR!E:E,"-",0)</f>
        <v>5</v>
      </c>
      <c r="Q48" s="247">
        <f t="shared" si="4"/>
        <v>5</v>
      </c>
      <c r="R48" s="259">
        <f>+_xlfn.XLOOKUP(A48,PPTO_GENERADOR!$Q:$Q,PPTO_GENERADOR!A:A,"-",0)</f>
        <v>4.0599999999999996</v>
      </c>
    </row>
    <row r="49" spans="1:18" ht="15" customHeight="1" x14ac:dyDescent="0.35">
      <c r="A49" s="38" t="s">
        <v>107</v>
      </c>
      <c r="B49" s="38" t="s">
        <v>2774</v>
      </c>
      <c r="C49" s="38" t="s">
        <v>2775</v>
      </c>
      <c r="D49" s="38" t="s">
        <v>611</v>
      </c>
      <c r="E49" s="44" t="str">
        <f>IFERROR(VLOOKUP(D49,MATERIALES!A:B,2,FALSE()),"?")</f>
        <v>Barra de Acero Aleteado - 6mm x 12m</v>
      </c>
      <c r="F49" s="44" t="str">
        <f>IFERROR(VLOOKUP(D49,MATERIALES!A:C,3,FALSE()),"?")</f>
        <v>u</v>
      </c>
      <c r="G49" s="45">
        <v>0.17</v>
      </c>
      <c r="H49" s="46">
        <v>0.1</v>
      </c>
      <c r="I49" s="47">
        <f>IFERROR(VLOOKUP(D49,MATERIALES!A:D,4,FALSE()),0)</f>
        <v>3424.53</v>
      </c>
      <c r="J49" s="42">
        <f t="shared" ref="J49:J54" si="8">G49*I49*(1+H49)</f>
        <v>640.38711000000012</v>
      </c>
      <c r="K49" s="15" t="str">
        <f t="shared" si="0"/>
        <v>ALB-036|MAT</v>
      </c>
      <c r="L49" s="15">
        <f>COUNTIFS($K$2:K49,K49)</f>
        <v>1</v>
      </c>
      <c r="M49" s="15" t="str">
        <f t="shared" si="1"/>
        <v>ALB-036|MAT|1</v>
      </c>
      <c r="N49" s="47">
        <f>IFERROR(VLOOKUP(A49,PARTIDAS!A:F,6,FALSE()),0)</f>
        <v>15</v>
      </c>
      <c r="O49" s="247">
        <f t="shared" si="3"/>
        <v>0.17</v>
      </c>
      <c r="P49" s="247">
        <f>+_xlfn.XLOOKUP(A49,PPTO_GENERADOR!Q:Q,PPTO_GENERADOR!E:E,"-",0)</f>
        <v>5</v>
      </c>
      <c r="Q49" s="247">
        <f t="shared" si="4"/>
        <v>0.85000000000000009</v>
      </c>
      <c r="R49" s="259">
        <f>+_xlfn.XLOOKUP(A49,PPTO_GENERADOR!$Q:$Q,PPTO_GENERADOR!A:A,"-",0)</f>
        <v>4.0599999999999996</v>
      </c>
    </row>
    <row r="50" spans="1:18" ht="15" customHeight="1" x14ac:dyDescent="0.35">
      <c r="A50" s="38" t="s">
        <v>107</v>
      </c>
      <c r="B50" s="38" t="s">
        <v>2774</v>
      </c>
      <c r="C50" s="38" t="s">
        <v>2775</v>
      </c>
      <c r="D50" s="38" t="s">
        <v>588</v>
      </c>
      <c r="E50" s="44" t="str">
        <f>IFERROR(VLOOKUP(D50,MATERIALES!A:B,2,FALSE()),"?")</f>
        <v>ARENA LAVADA</v>
      </c>
      <c r="F50" s="44" t="str">
        <f>IFERROR(VLOOKUP(D50,MATERIALES!A:C,3,FALSE()),"?")</f>
        <v>m3</v>
      </c>
      <c r="G50" s="45">
        <v>2.4E-2</v>
      </c>
      <c r="H50" s="46">
        <v>0.1</v>
      </c>
      <c r="I50" s="47">
        <f>IFERROR(VLOOKUP(D50,MATERIALES!A:D,4,FALSE()),0)</f>
        <v>32399.77</v>
      </c>
      <c r="J50" s="42">
        <f t="shared" si="8"/>
        <v>855.353928</v>
      </c>
      <c r="K50" s="15" t="str">
        <f t="shared" si="0"/>
        <v>ALB-036|MAT</v>
      </c>
      <c r="L50" s="15">
        <f>COUNTIFS($K$2:K50,K50)</f>
        <v>2</v>
      </c>
      <c r="M50" s="15" t="str">
        <f t="shared" si="1"/>
        <v>ALB-036|MAT|2</v>
      </c>
      <c r="N50" s="47">
        <f>IFERROR(VLOOKUP(A50,PARTIDAS!A:F,6,FALSE()),0)</f>
        <v>15</v>
      </c>
      <c r="O50" s="247">
        <f t="shared" si="3"/>
        <v>2.4E-2</v>
      </c>
      <c r="P50" s="247">
        <f>+_xlfn.XLOOKUP(A50,PPTO_GENERADOR!Q:Q,PPTO_GENERADOR!E:E,"-",0)</f>
        <v>5</v>
      </c>
      <c r="Q50" s="247">
        <f t="shared" si="4"/>
        <v>0.12</v>
      </c>
      <c r="R50" s="259">
        <f>+_xlfn.XLOOKUP(A50,PPTO_GENERADOR!$Q:$Q,PPTO_GENERADOR!A:A,"-",0)</f>
        <v>4.0599999999999996</v>
      </c>
    </row>
    <row r="51" spans="1:18" ht="15" customHeight="1" x14ac:dyDescent="0.35">
      <c r="A51" s="38" t="s">
        <v>107</v>
      </c>
      <c r="B51" s="38" t="s">
        <v>2774</v>
      </c>
      <c r="C51" s="38" t="s">
        <v>2775</v>
      </c>
      <c r="D51" s="38" t="s">
        <v>599</v>
      </c>
      <c r="E51" s="44" t="str">
        <f>IFERROR(VLOOKUP(D51,MATERIALES!A:B,2,FALSE()),"?")</f>
        <v>Cemento Portland x 50kg</v>
      </c>
      <c r="F51" s="44" t="str">
        <f>IFERROR(VLOOKUP(D51,MATERIALES!A:C,3,FALSE()),"?")</f>
        <v>Bol</v>
      </c>
      <c r="G51" s="45">
        <v>0.1</v>
      </c>
      <c r="H51" s="46">
        <v>0.1</v>
      </c>
      <c r="I51" s="47">
        <f>IFERROR(VLOOKUP(D51,MATERIALES!A:D,4,FALSE()),0)</f>
        <v>7809.48</v>
      </c>
      <c r="J51" s="42">
        <f t="shared" si="8"/>
        <v>859.04280000000006</v>
      </c>
      <c r="K51" s="15" t="str">
        <f t="shared" si="0"/>
        <v>ALB-036|MAT</v>
      </c>
      <c r="L51" s="15">
        <f>COUNTIFS($K$2:K51,K51)</f>
        <v>3</v>
      </c>
      <c r="M51" s="15" t="str">
        <f t="shared" si="1"/>
        <v>ALB-036|MAT|3</v>
      </c>
      <c r="N51" s="47">
        <f>IFERROR(VLOOKUP(A51,PARTIDAS!A:F,6,FALSE()),0)</f>
        <v>15</v>
      </c>
      <c r="O51" s="247">
        <f t="shared" si="3"/>
        <v>0.1</v>
      </c>
      <c r="P51" s="247">
        <f>+_xlfn.XLOOKUP(A51,PPTO_GENERADOR!Q:Q,PPTO_GENERADOR!E:E,"-",0)</f>
        <v>5</v>
      </c>
      <c r="Q51" s="247">
        <f t="shared" si="4"/>
        <v>0.5</v>
      </c>
      <c r="R51" s="259">
        <f>+_xlfn.XLOOKUP(A51,PPTO_GENERADOR!$Q:$Q,PPTO_GENERADOR!A:A,"-",0)</f>
        <v>4.0599999999999996</v>
      </c>
    </row>
    <row r="52" spans="1:18" ht="15" customHeight="1" x14ac:dyDescent="0.35">
      <c r="A52" s="38" t="s">
        <v>107</v>
      </c>
      <c r="B52" s="38" t="s">
        <v>2774</v>
      </c>
      <c r="C52" s="38" t="s">
        <v>2775</v>
      </c>
      <c r="D52" s="38" t="s">
        <v>604</v>
      </c>
      <c r="E52" s="44" t="str">
        <f>IFERROR(VLOOKUP(D52,MATERIALES!A:B,2,FALSE()),"?")</f>
        <v>Cal Comun x 25kg</v>
      </c>
      <c r="F52" s="44" t="str">
        <f>IFERROR(VLOOKUP(D52,MATERIALES!A:C,3,FALSE()),"?")</f>
        <v>bol</v>
      </c>
      <c r="G52" s="45">
        <v>0.2</v>
      </c>
      <c r="H52" s="46">
        <v>0.1</v>
      </c>
      <c r="I52" s="47">
        <f>IFERROR(VLOOKUP(D52,MATERIALES!A:D,4,FALSE()),0)</f>
        <v>3837.96</v>
      </c>
      <c r="J52" s="42">
        <f t="shared" si="8"/>
        <v>844.35120000000018</v>
      </c>
      <c r="K52" s="15" t="str">
        <f t="shared" si="0"/>
        <v>ALB-036|MAT</v>
      </c>
      <c r="L52" s="15">
        <f>COUNTIFS($K$2:K52,K52)</f>
        <v>4</v>
      </c>
      <c r="M52" s="15" t="str">
        <f t="shared" si="1"/>
        <v>ALB-036|MAT|4</v>
      </c>
      <c r="N52" s="47">
        <f>IFERROR(VLOOKUP(A52,PARTIDAS!A:F,6,FALSE()),0)</f>
        <v>15</v>
      </c>
      <c r="O52" s="247">
        <f t="shared" si="3"/>
        <v>0.2</v>
      </c>
      <c r="P52" s="247">
        <f>+_xlfn.XLOOKUP(A52,PPTO_GENERADOR!Q:Q,PPTO_GENERADOR!E:E,"-",0)</f>
        <v>5</v>
      </c>
      <c r="Q52" s="247">
        <f t="shared" si="4"/>
        <v>1</v>
      </c>
      <c r="R52" s="259">
        <f>+_xlfn.XLOOKUP(A52,PPTO_GENERADOR!$Q:$Q,PPTO_GENERADOR!A:A,"-",0)</f>
        <v>4.0599999999999996</v>
      </c>
    </row>
    <row r="53" spans="1:18" ht="15" customHeight="1" x14ac:dyDescent="0.35">
      <c r="A53" s="38" t="s">
        <v>107</v>
      </c>
      <c r="B53" s="38" t="s">
        <v>2774</v>
      </c>
      <c r="C53" s="38" t="s">
        <v>2775</v>
      </c>
      <c r="D53" s="38" t="s">
        <v>637</v>
      </c>
      <c r="E53" s="44" t="str">
        <f>IFERROR(VLOOKUP(D53,MATERIALES!A:B,2,FALSE()),"?")</f>
        <v>LADRILLO CERAMICO 18 x 18 x 33 cm</v>
      </c>
      <c r="F53" s="44" t="str">
        <f>IFERROR(VLOOKUP(D53,MATERIALES!A:C,3,FALSE()),"?")</f>
        <v>u</v>
      </c>
      <c r="G53" s="45">
        <v>15</v>
      </c>
      <c r="H53" s="46">
        <v>0.05</v>
      </c>
      <c r="I53" s="47">
        <f>IFERROR(VLOOKUP(D53,MATERIALES!A:D,4,FALSE()),0)</f>
        <v>519.12</v>
      </c>
      <c r="J53" s="42">
        <f t="shared" si="8"/>
        <v>8176.14</v>
      </c>
      <c r="K53" s="15" t="str">
        <f t="shared" si="0"/>
        <v>ALB-036|MAT</v>
      </c>
      <c r="L53" s="15">
        <f>COUNTIFS($K$2:K53,K53)</f>
        <v>5</v>
      </c>
      <c r="M53" s="15" t="str">
        <f t="shared" si="1"/>
        <v>ALB-036|MAT|5</v>
      </c>
      <c r="N53" s="47">
        <f>IFERROR(VLOOKUP(A53,PARTIDAS!A:F,6,FALSE()),0)</f>
        <v>15</v>
      </c>
      <c r="O53" s="247">
        <f t="shared" si="3"/>
        <v>15</v>
      </c>
      <c r="P53" s="247">
        <f>+_xlfn.XLOOKUP(A53,PPTO_GENERADOR!Q:Q,PPTO_GENERADOR!E:E,"-",0)</f>
        <v>5</v>
      </c>
      <c r="Q53" s="247">
        <f t="shared" si="4"/>
        <v>75</v>
      </c>
      <c r="R53" s="259">
        <f>+_xlfn.XLOOKUP(A53,PPTO_GENERADOR!$Q:$Q,PPTO_GENERADOR!A:A,"-",0)</f>
        <v>4.0599999999999996</v>
      </c>
    </row>
    <row r="54" spans="1:18" ht="15" customHeight="1" x14ac:dyDescent="0.35">
      <c r="A54" s="38" t="s">
        <v>107</v>
      </c>
      <c r="B54" s="38" t="s">
        <v>2774</v>
      </c>
      <c r="C54" s="38" t="s">
        <v>2775</v>
      </c>
      <c r="D54" s="38" t="s">
        <v>1361</v>
      </c>
      <c r="E54" s="44" t="str">
        <f>IFERROR(VLOOKUP(D54,MATERIALES!A:B,2,FALSE()),"?")</f>
        <v>Consumibles</v>
      </c>
      <c r="F54" s="44" t="str">
        <f>IFERROR(VLOOKUP(D54,MATERIALES!A:C,3,FALSE()),"?")</f>
        <v>gl</v>
      </c>
      <c r="G54" s="45">
        <v>117.1653328914</v>
      </c>
      <c r="H54" s="46">
        <v>0</v>
      </c>
      <c r="I54" s="47">
        <f>IFERROR(VLOOKUP(D54,MATERIALES!A:D,4,FALSE()),0)</f>
        <v>1</v>
      </c>
      <c r="J54" s="42">
        <f t="shared" si="8"/>
        <v>117.1653328914</v>
      </c>
      <c r="K54" s="15" t="str">
        <f t="shared" si="0"/>
        <v>ALB-036|MAT</v>
      </c>
      <c r="L54" s="15">
        <f>COUNTIFS($K$2:K54,K54)</f>
        <v>6</v>
      </c>
      <c r="M54" s="15" t="str">
        <f t="shared" si="1"/>
        <v>ALB-036|MAT|6</v>
      </c>
      <c r="N54" s="47">
        <f>IFERROR(VLOOKUP(A54,PARTIDAS!A:F,6,FALSE()),0)</f>
        <v>15</v>
      </c>
      <c r="O54" s="247">
        <f t="shared" si="3"/>
        <v>117.1653328914</v>
      </c>
      <c r="P54" s="247">
        <f>+_xlfn.XLOOKUP(A54,PPTO_GENERADOR!Q:Q,PPTO_GENERADOR!E:E,"-",0)</f>
        <v>5</v>
      </c>
      <c r="Q54" s="247">
        <f t="shared" si="4"/>
        <v>585.82666445699999</v>
      </c>
      <c r="R54" s="259">
        <f>+_xlfn.XLOOKUP(A54,PPTO_GENERADOR!$Q:$Q,PPTO_GENERADOR!A:A,"-",0)</f>
        <v>4.0599999999999996</v>
      </c>
    </row>
    <row r="55" spans="1:18" ht="15" customHeight="1" x14ac:dyDescent="0.35">
      <c r="A55" s="38" t="s">
        <v>107</v>
      </c>
      <c r="B55" s="38" t="s">
        <v>2776</v>
      </c>
      <c r="C55" s="38" t="s">
        <v>2777</v>
      </c>
      <c r="D55" s="237" t="s">
        <v>1577</v>
      </c>
      <c r="E55" s="44" t="str">
        <f>IFERROR(VLOOKUP(D55,MANO_DE_OBRA!A:B,2,FALSE()),"?")</f>
        <v>AYUDANTE</v>
      </c>
      <c r="F55" s="44" t="s">
        <v>2778</v>
      </c>
      <c r="G55" s="45">
        <v>1</v>
      </c>
      <c r="H55" s="46">
        <v>0</v>
      </c>
      <c r="I55" s="47">
        <f>IFERROR(VLOOKUP(D55,MANO_DE_OBRA!A:C,3,FALSE()),0)</f>
        <v>60860.580776572002</v>
      </c>
      <c r="J55" s="42">
        <f>G55*I55</f>
        <v>60860.580776572002</v>
      </c>
      <c r="K55" s="15" t="str">
        <f t="shared" si="0"/>
        <v>ALB-036|MO</v>
      </c>
      <c r="L55" s="15">
        <f>COUNTIFS($K$2:K55,K55)</f>
        <v>1</v>
      </c>
      <c r="M55" s="15" t="str">
        <f t="shared" si="1"/>
        <v>ALB-036|MO|1</v>
      </c>
      <c r="N55" s="47">
        <f>IFERROR(VLOOKUP(A55,PARTIDAS!A:F,6,FALSE()),0)</f>
        <v>15</v>
      </c>
      <c r="O55" s="247">
        <f t="shared" si="3"/>
        <v>6.6666666666666666E-2</v>
      </c>
      <c r="P55" s="247">
        <f>+_xlfn.XLOOKUP(A55,PPTO_GENERADOR!Q:Q,PPTO_GENERADOR!E:E,"-",0)</f>
        <v>5</v>
      </c>
      <c r="Q55" s="247">
        <f t="shared" si="4"/>
        <v>0.33333333333333331</v>
      </c>
      <c r="R55" s="259">
        <f>+_xlfn.XLOOKUP(A55,PPTO_GENERADOR!$Q:$Q,PPTO_GENERADOR!A:A,"-",0)</f>
        <v>4.0599999999999996</v>
      </c>
    </row>
    <row r="56" spans="1:18" ht="15" customHeight="1" x14ac:dyDescent="0.35">
      <c r="A56" s="38" t="s">
        <v>107</v>
      </c>
      <c r="B56" s="38" t="s">
        <v>2776</v>
      </c>
      <c r="C56" s="38" t="s">
        <v>2777</v>
      </c>
      <c r="D56" s="237" t="s">
        <v>1568</v>
      </c>
      <c r="E56" s="44" t="str">
        <f>IFERROR(VLOOKUP(D56,MANO_DE_OBRA!A:B,2,FALSE()),"?")</f>
        <v>ESPECIALIZADO</v>
      </c>
      <c r="F56" s="44" t="s">
        <v>2778</v>
      </c>
      <c r="G56" s="45">
        <v>1</v>
      </c>
      <c r="H56" s="46">
        <v>0</v>
      </c>
      <c r="I56" s="47">
        <f>IFERROR(VLOOKUP(D56,MANO_DE_OBRA!A:C,3,FALSE()),0)</f>
        <v>85927.097156571996</v>
      </c>
      <c r="J56" s="42">
        <f>G56*I56</f>
        <v>85927.097156571996</v>
      </c>
      <c r="K56" s="15" t="str">
        <f t="shared" si="0"/>
        <v>ALB-036|MO</v>
      </c>
      <c r="L56" s="15">
        <f>COUNTIFS($K$2:K56,K56)</f>
        <v>2</v>
      </c>
      <c r="M56" s="15" t="str">
        <f t="shared" si="1"/>
        <v>ALB-036|MO|2</v>
      </c>
      <c r="N56" s="47">
        <f>IFERROR(VLOOKUP(A56,PARTIDAS!A:F,6,FALSE()),0)</f>
        <v>15</v>
      </c>
      <c r="O56" s="247">
        <f t="shared" si="3"/>
        <v>6.6666666666666666E-2</v>
      </c>
      <c r="P56" s="247">
        <f>+_xlfn.XLOOKUP(A56,PPTO_GENERADOR!Q:Q,PPTO_GENERADOR!E:E,"-",0)</f>
        <v>5</v>
      </c>
      <c r="Q56" s="247">
        <f t="shared" si="4"/>
        <v>0.33333333333333331</v>
      </c>
      <c r="R56" s="259">
        <f>+_xlfn.XLOOKUP(A56,PPTO_GENERADOR!$Q:$Q,PPTO_GENERADOR!A:A,"-",0)</f>
        <v>4.0599999999999996</v>
      </c>
    </row>
    <row r="57" spans="1:18" ht="15" customHeight="1" x14ac:dyDescent="0.35">
      <c r="A57" s="38" t="s">
        <v>2460</v>
      </c>
      <c r="B57" s="38" t="s">
        <v>2773</v>
      </c>
      <c r="C57" s="38"/>
      <c r="D57" s="38" t="s">
        <v>1592</v>
      </c>
      <c r="E57" s="44" t="str">
        <f>IFERROR(VLOOKUP(D57,EQUIPOS!A:B,2,FALSE()),"?")</f>
        <v>ANDAMIO TUBULAR DE UNO A TRES CUERPOS</v>
      </c>
      <c r="F57" s="44"/>
      <c r="G57" s="45">
        <v>0.5</v>
      </c>
      <c r="H57" s="46">
        <v>0</v>
      </c>
      <c r="I57" s="47">
        <f>IFERROR(VLOOKUP(D57,EQUIPOS!A:F,6,FALSE()),0)</f>
        <v>571.1794909807611</v>
      </c>
      <c r="J57" s="42">
        <f>G57*I57</f>
        <v>285.58974549038055</v>
      </c>
      <c r="K57" s="15" t="str">
        <f t="shared" si="0"/>
        <v>ALB-037|EQ</v>
      </c>
      <c r="L57" s="15">
        <f>COUNTIFS($K$2:K57,K57)</f>
        <v>1</v>
      </c>
      <c r="M57" s="15" t="str">
        <f t="shared" si="1"/>
        <v>ALB-037|EQ|1</v>
      </c>
      <c r="N57" s="47">
        <f>IFERROR(VLOOKUP(A57,PARTIDAS!A:F,6,FALSE()),0)</f>
        <v>4</v>
      </c>
      <c r="O57" s="247">
        <f t="shared" si="3"/>
        <v>0.5</v>
      </c>
      <c r="P57" s="247" t="str">
        <f>+_xlfn.XLOOKUP(A57,PPTO_GENERADOR!Q:Q,PPTO_GENERADOR!E:E,"-",0)</f>
        <v>-</v>
      </c>
      <c r="Q57" s="247">
        <f t="shared" si="4"/>
        <v>0</v>
      </c>
      <c r="R57" s="259" t="str">
        <f>+_xlfn.XLOOKUP(A57,PPTO_GENERADOR!$Q:$Q,PPTO_GENERADOR!A:A,"-",0)</f>
        <v>-</v>
      </c>
    </row>
    <row r="58" spans="1:18" ht="15" customHeight="1" x14ac:dyDescent="0.35">
      <c r="A58" s="38" t="s">
        <v>2460</v>
      </c>
      <c r="B58" s="38" t="s">
        <v>2773</v>
      </c>
      <c r="C58" s="38"/>
      <c r="D58" s="38" t="s">
        <v>1595</v>
      </c>
      <c r="E58" s="44" t="str">
        <f>IFERROR(VLOOKUP(D58,EQUIPOS!A:B,2,FALSE()),"?")</f>
        <v>EQUIPO DE ALBAÑILERIA, carpetas, ladrillo</v>
      </c>
      <c r="F58" s="44"/>
      <c r="G58" s="45">
        <v>1</v>
      </c>
      <c r="H58" s="46">
        <v>0</v>
      </c>
      <c r="I58" s="47">
        <f>IFERROR(VLOOKUP(D58,EQUIPOS!A:F,6,FALSE()),0)</f>
        <v>2287.1357450968057</v>
      </c>
      <c r="J58" s="42">
        <f>G58*I58</f>
        <v>2287.1357450968057</v>
      </c>
      <c r="K58" s="15" t="str">
        <f t="shared" si="0"/>
        <v>ALB-037|EQ</v>
      </c>
      <c r="L58" s="15">
        <f>COUNTIFS($K$2:K58,K58)</f>
        <v>2</v>
      </c>
      <c r="M58" s="15" t="str">
        <f t="shared" si="1"/>
        <v>ALB-037|EQ|2</v>
      </c>
      <c r="N58" s="47">
        <f>IFERROR(VLOOKUP(A58,PARTIDAS!A:F,6,FALSE()),0)</f>
        <v>4</v>
      </c>
      <c r="O58" s="247">
        <f t="shared" si="3"/>
        <v>1</v>
      </c>
      <c r="P58" s="247" t="str">
        <f>+_xlfn.XLOOKUP(A58,PPTO_GENERADOR!Q:Q,PPTO_GENERADOR!E:E,"-",0)</f>
        <v>-</v>
      </c>
      <c r="Q58" s="247">
        <f t="shared" si="4"/>
        <v>0</v>
      </c>
      <c r="R58" s="259" t="str">
        <f>+_xlfn.XLOOKUP(A58,PPTO_GENERADOR!$Q:$Q,PPTO_GENERADOR!A:A,"-",0)</f>
        <v>-</v>
      </c>
    </row>
    <row r="59" spans="1:18" ht="15" customHeight="1" x14ac:dyDescent="0.35">
      <c r="A59" s="38" t="s">
        <v>2460</v>
      </c>
      <c r="B59" s="38" t="s">
        <v>2773</v>
      </c>
      <c r="C59" s="38"/>
      <c r="D59" s="38" t="s">
        <v>1613</v>
      </c>
      <c r="E59" s="44" t="str">
        <f>IFERROR(VLOOKUP(D59,EQUIPOS!A:B,2,FALSE()),"?")</f>
        <v>Hormigonera De 150 Litros 1hp Con Rueda Maciza</v>
      </c>
      <c r="F59" s="44"/>
      <c r="G59" s="45">
        <v>1</v>
      </c>
      <c r="H59" s="46">
        <v>0</v>
      </c>
      <c r="I59" s="47">
        <f>IFERROR(VLOOKUP(D59,EQUIPOS!A:F,6,FALSE()),0)</f>
        <v>957.25319614994726</v>
      </c>
      <c r="J59" s="42">
        <f>G59*I59</f>
        <v>957.25319614994726</v>
      </c>
      <c r="K59" s="15" t="str">
        <f t="shared" si="0"/>
        <v>ALB-037|EQ</v>
      </c>
      <c r="L59" s="15">
        <f>COUNTIFS($K$2:K59,K59)</f>
        <v>3</v>
      </c>
      <c r="M59" s="15" t="str">
        <f t="shared" si="1"/>
        <v>ALB-037|EQ|3</v>
      </c>
      <c r="N59" s="47">
        <f>IFERROR(VLOOKUP(A59,PARTIDAS!A:F,6,FALSE()),0)</f>
        <v>4</v>
      </c>
      <c r="O59" s="247">
        <f t="shared" si="3"/>
        <v>1</v>
      </c>
      <c r="P59" s="247" t="str">
        <f>+_xlfn.XLOOKUP(A59,PPTO_GENERADOR!Q:Q,PPTO_GENERADOR!E:E,"-",0)</f>
        <v>-</v>
      </c>
      <c r="Q59" s="247">
        <f t="shared" si="4"/>
        <v>0</v>
      </c>
      <c r="R59" s="259" t="str">
        <f>+_xlfn.XLOOKUP(A59,PPTO_GENERADOR!$Q:$Q,PPTO_GENERADOR!A:A,"-",0)</f>
        <v>-</v>
      </c>
    </row>
    <row r="60" spans="1:18" ht="15" customHeight="1" x14ac:dyDescent="0.35">
      <c r="A60" s="38" t="s">
        <v>2460</v>
      </c>
      <c r="B60" s="38" t="s">
        <v>2774</v>
      </c>
      <c r="C60" s="38" t="s">
        <v>2775</v>
      </c>
      <c r="D60" s="38" t="s">
        <v>611</v>
      </c>
      <c r="E60" s="44" t="str">
        <f>IFERROR(VLOOKUP(D60,MATERIALES!A:B,2,FALSE()),"?")</f>
        <v>Barra de Acero Aleteado - 6mm x 12m</v>
      </c>
      <c r="F60" s="44" t="str">
        <f>IFERROR(VLOOKUP(D60,MATERIALES!A:C,3,FALSE()),"?")</f>
        <v>u</v>
      </c>
      <c r="G60" s="45">
        <v>0.34</v>
      </c>
      <c r="H60" s="46">
        <v>0.1</v>
      </c>
      <c r="I60" s="47">
        <f>IFERROR(VLOOKUP(D60,MATERIALES!A:D,4,FALSE()),0)</f>
        <v>3424.53</v>
      </c>
      <c r="J60" s="42">
        <f t="shared" ref="J60:J70" si="9">G60*I60*(1+H60)</f>
        <v>1280.7742200000002</v>
      </c>
      <c r="K60" s="15" t="str">
        <f t="shared" si="0"/>
        <v>ALB-037|MAT</v>
      </c>
      <c r="L60" s="15">
        <f>COUNTIFS($K$2:K60,K60)</f>
        <v>1</v>
      </c>
      <c r="M60" s="15" t="str">
        <f t="shared" si="1"/>
        <v>ALB-037|MAT|1</v>
      </c>
      <c r="N60" s="47">
        <f>IFERROR(VLOOKUP(A60,PARTIDAS!A:F,6,FALSE()),0)</f>
        <v>4</v>
      </c>
      <c r="O60" s="247">
        <f t="shared" si="3"/>
        <v>0.34</v>
      </c>
      <c r="P60" s="247" t="str">
        <f>+_xlfn.XLOOKUP(A60,PPTO_GENERADOR!Q:Q,PPTO_GENERADOR!E:E,"-",0)</f>
        <v>-</v>
      </c>
      <c r="Q60" s="247">
        <f t="shared" si="4"/>
        <v>0</v>
      </c>
      <c r="R60" s="259" t="str">
        <f>+_xlfn.XLOOKUP(A60,PPTO_GENERADOR!$Q:$Q,PPTO_GENERADOR!A:A,"-",0)</f>
        <v>-</v>
      </c>
    </row>
    <row r="61" spans="1:18" ht="15" customHeight="1" x14ac:dyDescent="0.35">
      <c r="A61" s="38" t="s">
        <v>2460</v>
      </c>
      <c r="B61" s="38" t="s">
        <v>2774</v>
      </c>
      <c r="C61" s="38" t="s">
        <v>2775</v>
      </c>
      <c r="D61" s="38" t="s">
        <v>588</v>
      </c>
      <c r="E61" s="44" t="str">
        <f>IFERROR(VLOOKUP(D61,MATERIALES!A:B,2,FALSE()),"?")</f>
        <v>ARENA LAVADA</v>
      </c>
      <c r="F61" s="44" t="str">
        <f>IFERROR(VLOOKUP(D61,MATERIALES!A:C,3,FALSE()),"?")</f>
        <v>m3</v>
      </c>
      <c r="G61" s="45">
        <v>5.2999999999999999E-2</v>
      </c>
      <c r="H61" s="46">
        <v>0.1</v>
      </c>
      <c r="I61" s="47">
        <f>IFERROR(VLOOKUP(D61,MATERIALES!A:D,4,FALSE()),0)</f>
        <v>32399.77</v>
      </c>
      <c r="J61" s="42">
        <f t="shared" si="9"/>
        <v>1888.9065909999999</v>
      </c>
      <c r="K61" s="15" t="str">
        <f t="shared" si="0"/>
        <v>ALB-037|MAT</v>
      </c>
      <c r="L61" s="15">
        <f>COUNTIFS($K$2:K61,K61)</f>
        <v>2</v>
      </c>
      <c r="M61" s="15" t="str">
        <f t="shared" si="1"/>
        <v>ALB-037|MAT|2</v>
      </c>
      <c r="N61" s="47">
        <f>IFERROR(VLOOKUP(A61,PARTIDAS!A:F,6,FALSE()),0)</f>
        <v>4</v>
      </c>
      <c r="O61" s="247">
        <f t="shared" si="3"/>
        <v>5.2999999999999999E-2</v>
      </c>
      <c r="P61" s="247" t="str">
        <f>+_xlfn.XLOOKUP(A61,PPTO_GENERADOR!Q:Q,PPTO_GENERADOR!E:E,"-",0)</f>
        <v>-</v>
      </c>
      <c r="Q61" s="247">
        <f t="shared" si="4"/>
        <v>0</v>
      </c>
      <c r="R61" s="259" t="str">
        <f>+_xlfn.XLOOKUP(A61,PPTO_GENERADOR!$Q:$Q,PPTO_GENERADOR!A:A,"-",0)</f>
        <v>-</v>
      </c>
    </row>
    <row r="62" spans="1:18" ht="15" customHeight="1" x14ac:dyDescent="0.35">
      <c r="A62" s="38" t="s">
        <v>2460</v>
      </c>
      <c r="B62" s="38" t="s">
        <v>2774</v>
      </c>
      <c r="C62" s="38" t="s">
        <v>2775</v>
      </c>
      <c r="D62" s="38" t="s">
        <v>599</v>
      </c>
      <c r="E62" s="44" t="str">
        <f>IFERROR(VLOOKUP(D62,MATERIALES!A:B,2,FALSE()),"?")</f>
        <v>Cemento Portland x 50kg</v>
      </c>
      <c r="F62" s="44" t="str">
        <f>IFERROR(VLOOKUP(D62,MATERIALES!A:C,3,FALSE()),"?")</f>
        <v>Bol</v>
      </c>
      <c r="G62" s="45">
        <v>0.254</v>
      </c>
      <c r="H62" s="46">
        <v>0.1</v>
      </c>
      <c r="I62" s="47">
        <f>IFERROR(VLOOKUP(D62,MATERIALES!A:D,4,FALSE()),0)</f>
        <v>7809.48</v>
      </c>
      <c r="J62" s="42">
        <f t="shared" si="9"/>
        <v>2181.9687119999999</v>
      </c>
      <c r="K62" s="15" t="str">
        <f t="shared" si="0"/>
        <v>ALB-037|MAT</v>
      </c>
      <c r="L62" s="15">
        <f>COUNTIFS($K$2:K62,K62)</f>
        <v>3</v>
      </c>
      <c r="M62" s="15" t="str">
        <f t="shared" si="1"/>
        <v>ALB-037|MAT|3</v>
      </c>
      <c r="N62" s="47">
        <f>IFERROR(VLOOKUP(A62,PARTIDAS!A:F,6,FALSE()),0)</f>
        <v>4</v>
      </c>
      <c r="O62" s="247">
        <f t="shared" si="3"/>
        <v>0.254</v>
      </c>
      <c r="P62" s="247" t="str">
        <f>+_xlfn.XLOOKUP(A62,PPTO_GENERADOR!Q:Q,PPTO_GENERADOR!E:E,"-",0)</f>
        <v>-</v>
      </c>
      <c r="Q62" s="247">
        <f t="shared" si="4"/>
        <v>0</v>
      </c>
      <c r="R62" s="259" t="str">
        <f>+_xlfn.XLOOKUP(A62,PPTO_GENERADOR!$Q:$Q,PPTO_GENERADOR!A:A,"-",0)</f>
        <v>-</v>
      </c>
    </row>
    <row r="63" spans="1:18" ht="15" customHeight="1" x14ac:dyDescent="0.35">
      <c r="A63" s="38" t="s">
        <v>2460</v>
      </c>
      <c r="B63" s="38" t="s">
        <v>2774</v>
      </c>
      <c r="C63" s="38" t="s">
        <v>2775</v>
      </c>
      <c r="D63" s="38" t="s">
        <v>604</v>
      </c>
      <c r="E63" s="44" t="str">
        <f>IFERROR(VLOOKUP(D63,MATERIALES!A:B,2,FALSE()),"?")</f>
        <v>Cal Comun x 25kg</v>
      </c>
      <c r="F63" s="44" t="str">
        <f>IFERROR(VLOOKUP(D63,MATERIALES!A:C,3,FALSE()),"?")</f>
        <v>bol</v>
      </c>
      <c r="G63" s="45">
        <v>0.4</v>
      </c>
      <c r="H63" s="46">
        <v>0.1</v>
      </c>
      <c r="I63" s="47">
        <f>IFERROR(VLOOKUP(D63,MATERIALES!A:D,4,FALSE()),0)</f>
        <v>3837.96</v>
      </c>
      <c r="J63" s="42">
        <f t="shared" si="9"/>
        <v>1688.7024000000004</v>
      </c>
      <c r="K63" s="15" t="str">
        <f t="shared" si="0"/>
        <v>ALB-037|MAT</v>
      </c>
      <c r="L63" s="15">
        <f>COUNTIFS($K$2:K63,K63)</f>
        <v>4</v>
      </c>
      <c r="M63" s="15" t="str">
        <f t="shared" si="1"/>
        <v>ALB-037|MAT|4</v>
      </c>
      <c r="N63" s="47">
        <f>IFERROR(VLOOKUP(A63,PARTIDAS!A:F,6,FALSE()),0)</f>
        <v>4</v>
      </c>
      <c r="O63" s="247">
        <f t="shared" si="3"/>
        <v>0.4</v>
      </c>
      <c r="P63" s="247" t="str">
        <f>+_xlfn.XLOOKUP(A63,PPTO_GENERADOR!Q:Q,PPTO_GENERADOR!E:E,"-",0)</f>
        <v>-</v>
      </c>
      <c r="Q63" s="247">
        <f t="shared" si="4"/>
        <v>0</v>
      </c>
      <c r="R63" s="259" t="str">
        <f>+_xlfn.XLOOKUP(A63,PPTO_GENERADOR!$Q:$Q,PPTO_GENERADOR!A:A,"-",0)</f>
        <v>-</v>
      </c>
    </row>
    <row r="64" spans="1:18" ht="15" customHeight="1" x14ac:dyDescent="0.35">
      <c r="A64" s="38" t="s">
        <v>2460</v>
      </c>
      <c r="B64" s="38" t="s">
        <v>2774</v>
      </c>
      <c r="C64" s="38" t="s">
        <v>2775</v>
      </c>
      <c r="D64" s="38" t="s">
        <v>660</v>
      </c>
      <c r="E64" s="44" t="str">
        <f>IFERROR(VLOOKUP(D64,MATERIALES!A:B,2,FALSE()),"?")</f>
        <v>Aditivo Hidrofugo en pasta - Ceresita x 1kg</v>
      </c>
      <c r="F64" s="44" t="str">
        <f>IFERROR(VLOOKUP(D64,MATERIALES!A:C,3,FALSE()),"?")</f>
        <v>kg</v>
      </c>
      <c r="G64" s="45">
        <v>0.1</v>
      </c>
      <c r="H64" s="46">
        <v>0.05</v>
      </c>
      <c r="I64" s="47">
        <f>IFERROR(VLOOKUP(D64,MATERIALES!A:D,4,FALSE()),0)</f>
        <v>1256.1279999999999</v>
      </c>
      <c r="J64" s="42">
        <f t="shared" si="9"/>
        <v>131.89344</v>
      </c>
      <c r="K64" s="15" t="str">
        <f t="shared" si="0"/>
        <v>ALB-037|MAT</v>
      </c>
      <c r="L64" s="15">
        <f>COUNTIFS($K$2:K64,K64)</f>
        <v>5</v>
      </c>
      <c r="M64" s="15" t="str">
        <f t="shared" si="1"/>
        <v>ALB-037|MAT|5</v>
      </c>
      <c r="N64" s="47">
        <f>IFERROR(VLOOKUP(A64,PARTIDAS!A:F,6,FALSE()),0)</f>
        <v>4</v>
      </c>
      <c r="O64" s="247">
        <f t="shared" si="3"/>
        <v>0.1</v>
      </c>
      <c r="P64" s="247" t="str">
        <f>+_xlfn.XLOOKUP(A64,PPTO_GENERADOR!Q:Q,PPTO_GENERADOR!E:E,"-",0)</f>
        <v>-</v>
      </c>
      <c r="Q64" s="247">
        <f t="shared" si="4"/>
        <v>0</v>
      </c>
      <c r="R64" s="259" t="str">
        <f>+_xlfn.XLOOKUP(A64,PPTO_GENERADOR!$Q:$Q,PPTO_GENERADOR!A:A,"-",0)</f>
        <v>-</v>
      </c>
    </row>
    <row r="65" spans="1:18" ht="15" customHeight="1" x14ac:dyDescent="0.35">
      <c r="A65" s="38" t="s">
        <v>2460</v>
      </c>
      <c r="B65" s="38" t="s">
        <v>2774</v>
      </c>
      <c r="C65" s="38" t="s">
        <v>2775</v>
      </c>
      <c r="D65" s="38" t="s">
        <v>630</v>
      </c>
      <c r="E65" s="44" t="str">
        <f>IFERROR(VLOOKUP(D65,MATERIALES!A:B,2,FALSE()),"?")</f>
        <v>LADRILLO CERAMICO 8 x 18 x 33 cm</v>
      </c>
      <c r="F65" s="44" t="str">
        <f>IFERROR(VLOOKUP(D65,MATERIALES!A:C,3,FALSE()),"?")</f>
        <v>u</v>
      </c>
      <c r="G65" s="45">
        <v>15</v>
      </c>
      <c r="H65" s="46">
        <v>0.05</v>
      </c>
      <c r="I65" s="47">
        <f>IFERROR(VLOOKUP(D65,MATERIALES!A:D,4,FALSE()),0)</f>
        <v>292.32</v>
      </c>
      <c r="J65" s="42">
        <f t="shared" si="9"/>
        <v>4604.04</v>
      </c>
      <c r="K65" s="15" t="str">
        <f t="shared" si="0"/>
        <v>ALB-037|MAT</v>
      </c>
      <c r="L65" s="15">
        <f>COUNTIFS($K$2:K65,K65)</f>
        <v>6</v>
      </c>
      <c r="M65" s="15" t="str">
        <f t="shared" si="1"/>
        <v>ALB-037|MAT|6</v>
      </c>
      <c r="N65" s="47">
        <f>IFERROR(VLOOKUP(A65,PARTIDAS!A:F,6,FALSE()),0)</f>
        <v>4</v>
      </c>
      <c r="O65" s="247">
        <f t="shared" si="3"/>
        <v>15</v>
      </c>
      <c r="P65" s="247" t="str">
        <f>+_xlfn.XLOOKUP(A65,PPTO_GENERADOR!Q:Q,PPTO_GENERADOR!E:E,"-",0)</f>
        <v>-</v>
      </c>
      <c r="Q65" s="247">
        <f t="shared" si="4"/>
        <v>0</v>
      </c>
      <c r="R65" s="259" t="str">
        <f>+_xlfn.XLOOKUP(A65,PPTO_GENERADOR!$Q:$Q,PPTO_GENERADOR!A:A,"-",0)</f>
        <v>-</v>
      </c>
    </row>
    <row r="66" spans="1:18" ht="15" customHeight="1" x14ac:dyDescent="0.35">
      <c r="A66" s="38" t="s">
        <v>2460</v>
      </c>
      <c r="B66" s="38" t="s">
        <v>2774</v>
      </c>
      <c r="C66" s="38" t="s">
        <v>2775</v>
      </c>
      <c r="D66" s="38" t="s">
        <v>626</v>
      </c>
      <c r="E66" s="44" t="str">
        <f>IFERROR(VLOOKUP(D66,MATERIALES!A:B,2,FALSE()),"?")</f>
        <v>ladrillo a la vista 1 cara</v>
      </c>
      <c r="F66" s="44" t="str">
        <f>IFERROR(VLOOKUP(D66,MATERIALES!A:C,3,FALSE()),"?")</f>
        <v>u</v>
      </c>
      <c r="G66" s="45">
        <v>60</v>
      </c>
      <c r="H66" s="46">
        <v>0.05</v>
      </c>
      <c r="I66" s="47">
        <f>IFERROR(VLOOKUP(D66,MATERIALES!A:D,4,FALSE()),0)</f>
        <v>233.44</v>
      </c>
      <c r="J66" s="42">
        <f t="shared" si="9"/>
        <v>14706.72</v>
      </c>
      <c r="K66" s="15" t="str">
        <f t="shared" ref="K66:K129" si="10">A66&amp;"|"&amp;B66</f>
        <v>ALB-037|MAT</v>
      </c>
      <c r="L66" s="15">
        <f>COUNTIFS($K$2:K66,K66)</f>
        <v>7</v>
      </c>
      <c r="M66" s="15" t="str">
        <f t="shared" ref="M66:M129" si="11">K66&amp;"|"&amp;L66</f>
        <v>ALB-037|MAT|7</v>
      </c>
      <c r="N66" s="47">
        <f>IFERROR(VLOOKUP(A66,PARTIDAS!A:F,6,FALSE()),0)</f>
        <v>4</v>
      </c>
      <c r="O66" s="247">
        <f t="shared" si="3"/>
        <v>60</v>
      </c>
      <c r="P66" s="247" t="str">
        <f>+_xlfn.XLOOKUP(A66,PPTO_GENERADOR!Q:Q,PPTO_GENERADOR!E:E,"-",0)</f>
        <v>-</v>
      </c>
      <c r="Q66" s="247">
        <f t="shared" si="4"/>
        <v>0</v>
      </c>
      <c r="R66" s="259" t="str">
        <f>+_xlfn.XLOOKUP(A66,PPTO_GENERADOR!$Q:$Q,PPTO_GENERADOR!A:A,"-",0)</f>
        <v>-</v>
      </c>
    </row>
    <row r="67" spans="1:18" ht="15" customHeight="1" x14ac:dyDescent="0.35">
      <c r="A67" s="38" t="s">
        <v>2460</v>
      </c>
      <c r="B67" s="38" t="s">
        <v>2774</v>
      </c>
      <c r="C67" s="38" t="s">
        <v>2775</v>
      </c>
      <c r="D67" s="38" t="s">
        <v>1361</v>
      </c>
      <c r="E67" s="44" t="str">
        <f>IFERROR(VLOOKUP(D67,MATERIALES!A:B,2,FALSE()),"?")</f>
        <v>Consumibles</v>
      </c>
      <c r="F67" s="44" t="str">
        <f>IFERROR(VLOOKUP(D67,MATERIALES!A:C,3,FALSE()),"?")</f>
        <v>gl</v>
      </c>
      <c r="G67" s="45">
        <v>285.29000000000002</v>
      </c>
      <c r="H67" s="46">
        <v>0</v>
      </c>
      <c r="I67" s="47">
        <f>IFERROR(VLOOKUP(D67,MATERIALES!A:D,4,FALSE()),0)</f>
        <v>1</v>
      </c>
      <c r="J67" s="42">
        <f t="shared" si="9"/>
        <v>285.29000000000002</v>
      </c>
      <c r="K67" s="15" t="str">
        <f t="shared" si="10"/>
        <v>ALB-037|MAT</v>
      </c>
      <c r="L67" s="15">
        <f>COUNTIFS($K$2:K67,K67)</f>
        <v>8</v>
      </c>
      <c r="M67" s="15" t="str">
        <f t="shared" si="11"/>
        <v>ALB-037|MAT|8</v>
      </c>
      <c r="N67" s="47">
        <f>IFERROR(VLOOKUP(A67,PARTIDAS!A:F,6,FALSE()),0)</f>
        <v>4</v>
      </c>
      <c r="O67" s="247">
        <f t="shared" ref="O67:O130" si="12">+IF(C67="ALB",G67/N67,G67)</f>
        <v>285.29000000000002</v>
      </c>
      <c r="P67" s="247" t="str">
        <f>+_xlfn.XLOOKUP(A67,PPTO_GENERADOR!Q:Q,PPTO_GENERADOR!E:E,"-",0)</f>
        <v>-</v>
      </c>
      <c r="Q67" s="247">
        <f t="shared" ref="Q67:Q130" si="13">IFERROR(P67*O67,0)</f>
        <v>0</v>
      </c>
      <c r="R67" s="259" t="str">
        <f>+_xlfn.XLOOKUP(A67,PPTO_GENERADOR!$Q:$Q,PPTO_GENERADOR!A:A,"-",0)</f>
        <v>-</v>
      </c>
    </row>
    <row r="68" spans="1:18" ht="15" customHeight="1" x14ac:dyDescent="0.35">
      <c r="A68" s="38" t="s">
        <v>2460</v>
      </c>
      <c r="B68" s="38" t="s">
        <v>2774</v>
      </c>
      <c r="C68" s="38" t="s">
        <v>2775</v>
      </c>
      <c r="D68" s="38" t="s">
        <v>845</v>
      </c>
      <c r="E68" s="44" t="str">
        <f>IFERROR(VLOOKUP(D68,MATERIALES!A:B,2,FALSE()),"?")</f>
        <v>Aguarras Hydrarras Hydra x 18lts</v>
      </c>
      <c r="F68" s="44" t="str">
        <f>IFERROR(VLOOKUP(D68,MATERIALES!A:C,3,FALSE()),"?")</f>
        <v>b</v>
      </c>
      <c r="G68" s="45">
        <v>5.0000000000000001E-3</v>
      </c>
      <c r="H68" s="46">
        <v>0.05</v>
      </c>
      <c r="I68" s="47">
        <f>IFERROR(VLOOKUP(D68,MATERIALES!A:D,4,FALSE()),0)</f>
        <v>26907.33</v>
      </c>
      <c r="J68" s="42">
        <f t="shared" si="9"/>
        <v>141.26348250000001</v>
      </c>
      <c r="K68" s="15" t="str">
        <f t="shared" si="10"/>
        <v>ALB-037|MAT</v>
      </c>
      <c r="L68" s="15">
        <f>COUNTIFS($K$2:K68,K68)</f>
        <v>9</v>
      </c>
      <c r="M68" s="15" t="str">
        <f t="shared" si="11"/>
        <v>ALB-037|MAT|9</v>
      </c>
      <c r="N68" s="47">
        <f>IFERROR(VLOOKUP(A68,PARTIDAS!A:F,6,FALSE()),0)</f>
        <v>4</v>
      </c>
      <c r="O68" s="247">
        <f t="shared" si="12"/>
        <v>5.0000000000000001E-3</v>
      </c>
      <c r="P68" s="247" t="str">
        <f>+_xlfn.XLOOKUP(A68,PPTO_GENERADOR!Q:Q,PPTO_GENERADOR!E:E,"-",0)</f>
        <v>-</v>
      </c>
      <c r="Q68" s="247">
        <f t="shared" si="13"/>
        <v>0</v>
      </c>
      <c r="R68" s="259" t="str">
        <f>+_xlfn.XLOOKUP(A68,PPTO_GENERADOR!$Q:$Q,PPTO_GENERADOR!A:A,"-",0)</f>
        <v>-</v>
      </c>
    </row>
    <row r="69" spans="1:18" ht="15" customHeight="1" x14ac:dyDescent="0.35">
      <c r="A69" s="38" t="s">
        <v>2460</v>
      </c>
      <c r="B69" s="38" t="s">
        <v>2774</v>
      </c>
      <c r="C69" s="38" t="s">
        <v>2775</v>
      </c>
      <c r="D69" s="38" t="s">
        <v>863</v>
      </c>
      <c r="E69" s="44" t="str">
        <f>IFERROR(VLOOKUP(D69,MATERIALES!A:B,2,FALSE()),"?")</f>
        <v>Rodillo de lana pelo largo N°22 - El Galgo</v>
      </c>
      <c r="F69" s="44" t="str">
        <f>IFERROR(VLOOKUP(D69,MATERIALES!A:C,3,FALSE()),"?")</f>
        <v>u</v>
      </c>
      <c r="G69" s="45">
        <v>0.01</v>
      </c>
      <c r="H69" s="46">
        <v>0.05</v>
      </c>
      <c r="I69" s="47">
        <f>IFERROR(VLOOKUP(D69,MATERIALES!A:D,4,FALSE()),0)</f>
        <v>6678.36</v>
      </c>
      <c r="J69" s="42">
        <f t="shared" si="9"/>
        <v>70.122779999999992</v>
      </c>
      <c r="K69" s="15" t="str">
        <f t="shared" si="10"/>
        <v>ALB-037|MAT</v>
      </c>
      <c r="L69" s="15">
        <f>COUNTIFS($K$2:K69,K69)</f>
        <v>10</v>
      </c>
      <c r="M69" s="15" t="str">
        <f t="shared" si="11"/>
        <v>ALB-037|MAT|10</v>
      </c>
      <c r="N69" s="47">
        <f>IFERROR(VLOOKUP(A69,PARTIDAS!A:F,6,FALSE()),0)</f>
        <v>4</v>
      </c>
      <c r="O69" s="247">
        <f t="shared" si="12"/>
        <v>0.01</v>
      </c>
      <c r="P69" s="247" t="str">
        <f>+_xlfn.XLOOKUP(A69,PPTO_GENERADOR!Q:Q,PPTO_GENERADOR!E:E,"-",0)</f>
        <v>-</v>
      </c>
      <c r="Q69" s="247">
        <f t="shared" si="13"/>
        <v>0</v>
      </c>
      <c r="R69" s="259" t="str">
        <f>+_xlfn.XLOOKUP(A69,PPTO_GENERADOR!$Q:$Q,PPTO_GENERADOR!A:A,"-",0)</f>
        <v>-</v>
      </c>
    </row>
    <row r="70" spans="1:18" ht="15" customHeight="1" x14ac:dyDescent="0.35">
      <c r="A70" s="38" t="s">
        <v>2460</v>
      </c>
      <c r="B70" s="38" t="s">
        <v>2774</v>
      </c>
      <c r="C70" s="38" t="s">
        <v>2775</v>
      </c>
      <c r="D70" s="38" t="s">
        <v>822</v>
      </c>
      <c r="E70" s="44" t="str">
        <f>IFERROR(VLOOKUP(D70,MATERIALES!A:B,2,FALSE()),"?")</f>
        <v>Pintura Asfaltica Asfasol x18ts</v>
      </c>
      <c r="F70" s="44" t="str">
        <f>IFERROR(VLOOKUP(D70,MATERIALES!A:C,3,FALSE()),"?")</f>
        <v>b</v>
      </c>
      <c r="G70" s="45">
        <v>2.7777777777777801E-2</v>
      </c>
      <c r="H70" s="46">
        <v>0.1</v>
      </c>
      <c r="I70" s="47">
        <f>IFERROR(VLOOKUP(D70,MATERIALES!A:D,4,FALSE()),0)</f>
        <v>32845.78</v>
      </c>
      <c r="J70" s="42">
        <f t="shared" si="9"/>
        <v>1003.6210555555565</v>
      </c>
      <c r="K70" s="15" t="str">
        <f t="shared" si="10"/>
        <v>ALB-037|MAT</v>
      </c>
      <c r="L70" s="15">
        <f>COUNTIFS($K$2:K70,K70)</f>
        <v>11</v>
      </c>
      <c r="M70" s="15" t="str">
        <f t="shared" si="11"/>
        <v>ALB-037|MAT|11</v>
      </c>
      <c r="N70" s="47">
        <f>IFERROR(VLOOKUP(A70,PARTIDAS!A:F,6,FALSE()),0)</f>
        <v>4</v>
      </c>
      <c r="O70" s="247">
        <f t="shared" si="12"/>
        <v>2.7777777777777801E-2</v>
      </c>
      <c r="P70" s="247" t="str">
        <f>+_xlfn.XLOOKUP(A70,PPTO_GENERADOR!Q:Q,PPTO_GENERADOR!E:E,"-",0)</f>
        <v>-</v>
      </c>
      <c r="Q70" s="247">
        <f t="shared" si="13"/>
        <v>0</v>
      </c>
      <c r="R70" s="259" t="str">
        <f>+_xlfn.XLOOKUP(A70,PPTO_GENERADOR!$Q:$Q,PPTO_GENERADOR!A:A,"-",0)</f>
        <v>-</v>
      </c>
    </row>
    <row r="71" spans="1:18" ht="15" customHeight="1" x14ac:dyDescent="0.35">
      <c r="A71" s="38" t="s">
        <v>2460</v>
      </c>
      <c r="B71" s="38" t="s">
        <v>2776</v>
      </c>
      <c r="C71" s="38" t="s">
        <v>2777</v>
      </c>
      <c r="D71" s="237" t="s">
        <v>1577</v>
      </c>
      <c r="E71" s="44" t="str">
        <f>IFERROR(VLOOKUP(D71,MANO_DE_OBRA!A:B,2,FALSE()),"?")</f>
        <v>AYUDANTE</v>
      </c>
      <c r="F71" s="44" t="s">
        <v>2778</v>
      </c>
      <c r="G71" s="45">
        <v>0.91</v>
      </c>
      <c r="H71" s="46">
        <v>0</v>
      </c>
      <c r="I71" s="47">
        <f>IFERROR(VLOOKUP(D71,MANO_DE_OBRA!A:C,3,FALSE()),0)</f>
        <v>60860.580776572002</v>
      </c>
      <c r="J71" s="42">
        <f>G71*I71</f>
        <v>55383.128506680521</v>
      </c>
      <c r="K71" s="15" t="str">
        <f t="shared" si="10"/>
        <v>ALB-037|MO</v>
      </c>
      <c r="L71" s="15">
        <f>COUNTIFS($K$2:K71,K71)</f>
        <v>1</v>
      </c>
      <c r="M71" s="15" t="str">
        <f t="shared" si="11"/>
        <v>ALB-037|MO|1</v>
      </c>
      <c r="N71" s="47">
        <f>IFERROR(VLOOKUP(A71,PARTIDAS!A:F,6,FALSE()),0)</f>
        <v>4</v>
      </c>
      <c r="O71" s="247">
        <f t="shared" si="12"/>
        <v>0.22750000000000001</v>
      </c>
      <c r="P71" s="247" t="str">
        <f>+_xlfn.XLOOKUP(A71,PPTO_GENERADOR!Q:Q,PPTO_GENERADOR!E:E,"-",0)</f>
        <v>-</v>
      </c>
      <c r="Q71" s="247">
        <f t="shared" si="13"/>
        <v>0</v>
      </c>
      <c r="R71" s="259" t="str">
        <f>+_xlfn.XLOOKUP(A71,PPTO_GENERADOR!$Q:$Q,PPTO_GENERADOR!A:A,"-",0)</f>
        <v>-</v>
      </c>
    </row>
    <row r="72" spans="1:18" ht="15" customHeight="1" x14ac:dyDescent="0.35">
      <c r="A72" s="38" t="s">
        <v>2460</v>
      </c>
      <c r="B72" s="38" t="s">
        <v>2776</v>
      </c>
      <c r="C72" s="38" t="s">
        <v>2777</v>
      </c>
      <c r="D72" s="237" t="s">
        <v>1568</v>
      </c>
      <c r="E72" s="44" t="str">
        <f>IFERROR(VLOOKUP(D72,MANO_DE_OBRA!A:B,2,FALSE()),"?")</f>
        <v>ESPECIALIZADO</v>
      </c>
      <c r="F72" s="44" t="s">
        <v>2778</v>
      </c>
      <c r="G72" s="45">
        <v>1</v>
      </c>
      <c r="H72" s="46">
        <v>0</v>
      </c>
      <c r="I72" s="47">
        <f>IFERROR(VLOOKUP(D72,MANO_DE_OBRA!A:C,3,FALSE()),0)</f>
        <v>85927.097156571996</v>
      </c>
      <c r="J72" s="42">
        <f>G72*I72</f>
        <v>85927.097156571996</v>
      </c>
      <c r="K72" s="15" t="str">
        <f t="shared" si="10"/>
        <v>ALB-037|MO</v>
      </c>
      <c r="L72" s="15">
        <f>COUNTIFS($K$2:K72,K72)</f>
        <v>2</v>
      </c>
      <c r="M72" s="15" t="str">
        <f t="shared" si="11"/>
        <v>ALB-037|MO|2</v>
      </c>
      <c r="N72" s="47">
        <f>IFERROR(VLOOKUP(A72,PARTIDAS!A:F,6,FALSE()),0)</f>
        <v>4</v>
      </c>
      <c r="O72" s="247">
        <f t="shared" si="12"/>
        <v>0.25</v>
      </c>
      <c r="P72" s="247" t="str">
        <f>+_xlfn.XLOOKUP(A72,PPTO_GENERADOR!Q:Q,PPTO_GENERADOR!E:E,"-",0)</f>
        <v>-</v>
      </c>
      <c r="Q72" s="247">
        <f t="shared" si="13"/>
        <v>0</v>
      </c>
      <c r="R72" s="259" t="str">
        <f>+_xlfn.XLOOKUP(A72,PPTO_GENERADOR!$Q:$Q,PPTO_GENERADOR!A:A,"-",0)</f>
        <v>-</v>
      </c>
    </row>
    <row r="73" spans="1:18" ht="15" customHeight="1" x14ac:dyDescent="0.35">
      <c r="A73" s="38" t="s">
        <v>103</v>
      </c>
      <c r="B73" s="38" t="s">
        <v>2773</v>
      </c>
      <c r="C73" s="38"/>
      <c r="D73" s="38" t="s">
        <v>1592</v>
      </c>
      <c r="E73" s="44" t="str">
        <f>IFERROR(VLOOKUP(D73,EQUIPOS!A:B,2,FALSE()),"?")</f>
        <v>ANDAMIO TUBULAR DE UNO A TRES CUERPOS</v>
      </c>
      <c r="F73" s="44"/>
      <c r="G73" s="45">
        <v>0.5</v>
      </c>
      <c r="H73" s="46">
        <v>0</v>
      </c>
      <c r="I73" s="47">
        <f>IFERROR(VLOOKUP(D73,EQUIPOS!A:F,6,FALSE()),0)</f>
        <v>571.1794909807611</v>
      </c>
      <c r="J73" s="42">
        <f>G73*I73</f>
        <v>285.58974549038055</v>
      </c>
      <c r="K73" s="15" t="str">
        <f t="shared" si="10"/>
        <v>ALB-038|EQ</v>
      </c>
      <c r="L73" s="15">
        <f>COUNTIFS($K$2:K73,K73)</f>
        <v>1</v>
      </c>
      <c r="M73" s="15" t="str">
        <f t="shared" si="11"/>
        <v>ALB-038|EQ|1</v>
      </c>
      <c r="N73" s="47">
        <f>IFERROR(VLOOKUP(A73,PARTIDAS!A:F,6,FALSE()),0)</f>
        <v>15</v>
      </c>
      <c r="O73" s="247">
        <f t="shared" si="12"/>
        <v>0.5</v>
      </c>
      <c r="P73" s="247">
        <f>+_xlfn.XLOOKUP(A73,PPTO_GENERADOR!Q:Q,PPTO_GENERADOR!E:E,"-",0)</f>
        <v>42</v>
      </c>
      <c r="Q73" s="247">
        <f t="shared" si="13"/>
        <v>21</v>
      </c>
      <c r="R73" s="259">
        <f>+_xlfn.XLOOKUP(A73,PPTO_GENERADOR!$Q:$Q,PPTO_GENERADOR!A:A,"-",0)</f>
        <v>4.04</v>
      </c>
    </row>
    <row r="74" spans="1:18" ht="15" customHeight="1" x14ac:dyDescent="0.35">
      <c r="A74" s="38" t="s">
        <v>103</v>
      </c>
      <c r="B74" s="38" t="s">
        <v>2773</v>
      </c>
      <c r="C74" s="38"/>
      <c r="D74" s="38" t="s">
        <v>1595</v>
      </c>
      <c r="E74" s="44" t="str">
        <f>IFERROR(VLOOKUP(D74,EQUIPOS!A:B,2,FALSE()),"?")</f>
        <v>EQUIPO DE ALBAÑILERIA, carpetas, ladrillo</v>
      </c>
      <c r="F74" s="44"/>
      <c r="G74" s="45">
        <v>1</v>
      </c>
      <c r="H74" s="46">
        <v>0</v>
      </c>
      <c r="I74" s="47">
        <f>IFERROR(VLOOKUP(D74,EQUIPOS!A:F,6,FALSE()),0)</f>
        <v>2287.1357450968057</v>
      </c>
      <c r="J74" s="42">
        <f>G74*I74</f>
        <v>2287.1357450968057</v>
      </c>
      <c r="K74" s="15" t="str">
        <f t="shared" si="10"/>
        <v>ALB-038|EQ</v>
      </c>
      <c r="L74" s="15">
        <f>COUNTIFS($K$2:K74,K74)</f>
        <v>2</v>
      </c>
      <c r="M74" s="15" t="str">
        <f t="shared" si="11"/>
        <v>ALB-038|EQ|2</v>
      </c>
      <c r="N74" s="47">
        <f>IFERROR(VLOOKUP(A74,PARTIDAS!A:F,6,FALSE()),0)</f>
        <v>15</v>
      </c>
      <c r="O74" s="247">
        <f t="shared" si="12"/>
        <v>1</v>
      </c>
      <c r="P74" s="247">
        <f>+_xlfn.XLOOKUP(A74,PPTO_GENERADOR!Q:Q,PPTO_GENERADOR!E:E,"-",0)</f>
        <v>42</v>
      </c>
      <c r="Q74" s="247">
        <f t="shared" si="13"/>
        <v>42</v>
      </c>
      <c r="R74" s="259">
        <f>+_xlfn.XLOOKUP(A74,PPTO_GENERADOR!$Q:$Q,PPTO_GENERADOR!A:A,"-",0)</f>
        <v>4.04</v>
      </c>
    </row>
    <row r="75" spans="1:18" ht="15" customHeight="1" x14ac:dyDescent="0.35">
      <c r="A75" s="38" t="s">
        <v>103</v>
      </c>
      <c r="B75" s="38" t="s">
        <v>2773</v>
      </c>
      <c r="C75" s="38"/>
      <c r="D75" s="38" t="s">
        <v>1613</v>
      </c>
      <c r="E75" s="44" t="str">
        <f>IFERROR(VLOOKUP(D75,EQUIPOS!A:B,2,FALSE()),"?")</f>
        <v>Hormigonera De 150 Litros 1hp Con Rueda Maciza</v>
      </c>
      <c r="F75" s="44"/>
      <c r="G75" s="45">
        <v>1</v>
      </c>
      <c r="H75" s="46">
        <v>0</v>
      </c>
      <c r="I75" s="47">
        <f>IFERROR(VLOOKUP(D75,EQUIPOS!A:F,6,FALSE()),0)</f>
        <v>957.25319614994726</v>
      </c>
      <c r="J75" s="42">
        <f>G75*I75</f>
        <v>957.25319614994726</v>
      </c>
      <c r="K75" s="15" t="str">
        <f t="shared" si="10"/>
        <v>ALB-038|EQ</v>
      </c>
      <c r="L75" s="15">
        <f>COUNTIFS($K$2:K75,K75)</f>
        <v>3</v>
      </c>
      <c r="M75" s="15" t="str">
        <f t="shared" si="11"/>
        <v>ALB-038|EQ|3</v>
      </c>
      <c r="N75" s="47">
        <f>IFERROR(VLOOKUP(A75,PARTIDAS!A:F,6,FALSE()),0)</f>
        <v>15</v>
      </c>
      <c r="O75" s="247">
        <f t="shared" si="12"/>
        <v>1</v>
      </c>
      <c r="P75" s="247">
        <f>+_xlfn.XLOOKUP(A75,PPTO_GENERADOR!Q:Q,PPTO_GENERADOR!E:E,"-",0)</f>
        <v>42</v>
      </c>
      <c r="Q75" s="247">
        <f t="shared" si="13"/>
        <v>42</v>
      </c>
      <c r="R75" s="259">
        <f>+_xlfn.XLOOKUP(A75,PPTO_GENERADOR!$Q:$Q,PPTO_GENERADOR!A:A,"-",0)</f>
        <v>4.04</v>
      </c>
    </row>
    <row r="76" spans="1:18" ht="15" customHeight="1" x14ac:dyDescent="0.35">
      <c r="A76" s="38" t="s">
        <v>103</v>
      </c>
      <c r="B76" s="38" t="s">
        <v>2774</v>
      </c>
      <c r="C76" s="38" t="s">
        <v>2775</v>
      </c>
      <c r="D76" s="38" t="s">
        <v>611</v>
      </c>
      <c r="E76" s="44" t="str">
        <f>IFERROR(VLOOKUP(D76,MATERIALES!A:B,2,FALSE()),"?")</f>
        <v>Barra de Acero Aleteado - 6mm x 12m</v>
      </c>
      <c r="F76" s="44" t="str">
        <f>IFERROR(VLOOKUP(D76,MATERIALES!A:C,3,FALSE()),"?")</f>
        <v>u</v>
      </c>
      <c r="G76" s="45">
        <v>0.17</v>
      </c>
      <c r="H76" s="46">
        <v>0.1</v>
      </c>
      <c r="I76" s="47">
        <f>IFERROR(VLOOKUP(D76,MATERIALES!A:D,4,FALSE()),0)</f>
        <v>3424.53</v>
      </c>
      <c r="J76" s="42">
        <f t="shared" ref="J76:J81" si="14">G76*I76*(1+H76)</f>
        <v>640.38711000000012</v>
      </c>
      <c r="K76" s="15" t="str">
        <f t="shared" si="10"/>
        <v>ALB-038|MAT</v>
      </c>
      <c r="L76" s="15">
        <f>COUNTIFS($K$2:K76,K76)</f>
        <v>1</v>
      </c>
      <c r="M76" s="15" t="str">
        <f t="shared" si="11"/>
        <v>ALB-038|MAT|1</v>
      </c>
      <c r="N76" s="47">
        <f>IFERROR(VLOOKUP(A76,PARTIDAS!A:F,6,FALSE()),0)</f>
        <v>15</v>
      </c>
      <c r="O76" s="247">
        <f t="shared" si="12"/>
        <v>0.17</v>
      </c>
      <c r="P76" s="247">
        <f>+_xlfn.XLOOKUP(A76,PPTO_GENERADOR!Q:Q,PPTO_GENERADOR!E:E,"-",0)</f>
        <v>42</v>
      </c>
      <c r="Q76" s="247">
        <f t="shared" si="13"/>
        <v>7.1400000000000006</v>
      </c>
      <c r="R76" s="259">
        <f>+_xlfn.XLOOKUP(A76,PPTO_GENERADOR!$Q:$Q,PPTO_GENERADOR!A:A,"-",0)</f>
        <v>4.04</v>
      </c>
    </row>
    <row r="77" spans="1:18" ht="15" customHeight="1" x14ac:dyDescent="0.35">
      <c r="A77" s="38" t="s">
        <v>103</v>
      </c>
      <c r="B77" s="38" t="s">
        <v>2774</v>
      </c>
      <c r="C77" s="38" t="s">
        <v>2775</v>
      </c>
      <c r="D77" s="38" t="s">
        <v>588</v>
      </c>
      <c r="E77" s="44" t="str">
        <f>IFERROR(VLOOKUP(D77,MATERIALES!A:B,2,FALSE()),"?")</f>
        <v>ARENA LAVADA</v>
      </c>
      <c r="F77" s="44" t="str">
        <f>IFERROR(VLOOKUP(D77,MATERIALES!A:C,3,FALSE()),"?")</f>
        <v>m3</v>
      </c>
      <c r="G77" s="45">
        <v>1.7999999999999999E-2</v>
      </c>
      <c r="H77" s="46">
        <v>0.1</v>
      </c>
      <c r="I77" s="47">
        <f>IFERROR(VLOOKUP(D77,MATERIALES!A:D,4,FALSE()),0)</f>
        <v>32399.77</v>
      </c>
      <c r="J77" s="42">
        <f t="shared" si="14"/>
        <v>641.515446</v>
      </c>
      <c r="K77" s="15" t="str">
        <f t="shared" si="10"/>
        <v>ALB-038|MAT</v>
      </c>
      <c r="L77" s="15">
        <f>COUNTIFS($K$2:K77,K77)</f>
        <v>2</v>
      </c>
      <c r="M77" s="15" t="str">
        <f t="shared" si="11"/>
        <v>ALB-038|MAT|2</v>
      </c>
      <c r="N77" s="47">
        <f>IFERROR(VLOOKUP(A77,PARTIDAS!A:F,6,FALSE()),0)</f>
        <v>15</v>
      </c>
      <c r="O77" s="247">
        <f t="shared" si="12"/>
        <v>1.7999999999999999E-2</v>
      </c>
      <c r="P77" s="247">
        <f>+_xlfn.XLOOKUP(A77,PPTO_GENERADOR!Q:Q,PPTO_GENERADOR!E:E,"-",0)</f>
        <v>42</v>
      </c>
      <c r="Q77" s="247">
        <f t="shared" si="13"/>
        <v>0.75599999999999989</v>
      </c>
      <c r="R77" s="259">
        <f>+_xlfn.XLOOKUP(A77,PPTO_GENERADOR!$Q:$Q,PPTO_GENERADOR!A:A,"-",0)</f>
        <v>4.04</v>
      </c>
    </row>
    <row r="78" spans="1:18" ht="15" customHeight="1" x14ac:dyDescent="0.35">
      <c r="A78" s="38" t="s">
        <v>103</v>
      </c>
      <c r="B78" s="38" t="s">
        <v>2774</v>
      </c>
      <c r="C78" s="38" t="s">
        <v>2775</v>
      </c>
      <c r="D78" s="38" t="s">
        <v>599</v>
      </c>
      <c r="E78" s="44" t="str">
        <f>IFERROR(VLOOKUP(D78,MATERIALES!A:B,2,FALSE()),"?")</f>
        <v>Cemento Portland x 50kg</v>
      </c>
      <c r="F78" s="44" t="str">
        <f>IFERROR(VLOOKUP(D78,MATERIALES!A:C,3,FALSE()),"?")</f>
        <v>Bol</v>
      </c>
      <c r="G78" s="45">
        <v>7.4999999999999997E-2</v>
      </c>
      <c r="H78" s="46">
        <v>0.1</v>
      </c>
      <c r="I78" s="47">
        <f>IFERROR(VLOOKUP(D78,MATERIALES!A:D,4,FALSE()),0)</f>
        <v>7809.48</v>
      </c>
      <c r="J78" s="42">
        <f t="shared" si="14"/>
        <v>644.2820999999999</v>
      </c>
      <c r="K78" s="15" t="str">
        <f t="shared" si="10"/>
        <v>ALB-038|MAT</v>
      </c>
      <c r="L78" s="15">
        <f>COUNTIFS($K$2:K78,K78)</f>
        <v>3</v>
      </c>
      <c r="M78" s="15" t="str">
        <f t="shared" si="11"/>
        <v>ALB-038|MAT|3</v>
      </c>
      <c r="N78" s="47">
        <f>IFERROR(VLOOKUP(A78,PARTIDAS!A:F,6,FALSE()),0)</f>
        <v>15</v>
      </c>
      <c r="O78" s="247">
        <f t="shared" si="12"/>
        <v>7.4999999999999997E-2</v>
      </c>
      <c r="P78" s="247">
        <f>+_xlfn.XLOOKUP(A78,PPTO_GENERADOR!Q:Q,PPTO_GENERADOR!E:E,"-",0)</f>
        <v>42</v>
      </c>
      <c r="Q78" s="247">
        <f t="shared" si="13"/>
        <v>3.15</v>
      </c>
      <c r="R78" s="259">
        <f>+_xlfn.XLOOKUP(A78,PPTO_GENERADOR!$Q:$Q,PPTO_GENERADOR!A:A,"-",0)</f>
        <v>4.04</v>
      </c>
    </row>
    <row r="79" spans="1:18" ht="15" customHeight="1" x14ac:dyDescent="0.35">
      <c r="A79" s="38" t="s">
        <v>103</v>
      </c>
      <c r="B79" s="38" t="s">
        <v>2774</v>
      </c>
      <c r="C79" s="38" t="s">
        <v>2775</v>
      </c>
      <c r="D79" s="38" t="s">
        <v>604</v>
      </c>
      <c r="E79" s="44" t="str">
        <f>IFERROR(VLOOKUP(D79,MATERIALES!A:B,2,FALSE()),"?")</f>
        <v>Cal Comun x 25kg</v>
      </c>
      <c r="F79" s="44" t="str">
        <f>IFERROR(VLOOKUP(D79,MATERIALES!A:C,3,FALSE()),"?")</f>
        <v>bol</v>
      </c>
      <c r="G79" s="45">
        <v>0.15</v>
      </c>
      <c r="H79" s="46">
        <v>0.1</v>
      </c>
      <c r="I79" s="47">
        <f>IFERROR(VLOOKUP(D79,MATERIALES!A:D,4,FALSE()),0)</f>
        <v>3837.96</v>
      </c>
      <c r="J79" s="42">
        <f t="shared" si="14"/>
        <v>633.26340000000005</v>
      </c>
      <c r="K79" s="15" t="str">
        <f t="shared" si="10"/>
        <v>ALB-038|MAT</v>
      </c>
      <c r="L79" s="15">
        <f>COUNTIFS($K$2:K79,K79)</f>
        <v>4</v>
      </c>
      <c r="M79" s="15" t="str">
        <f t="shared" si="11"/>
        <v>ALB-038|MAT|4</v>
      </c>
      <c r="N79" s="47">
        <f>IFERROR(VLOOKUP(A79,PARTIDAS!A:F,6,FALSE()),0)</f>
        <v>15</v>
      </c>
      <c r="O79" s="247">
        <f t="shared" si="12"/>
        <v>0.15</v>
      </c>
      <c r="P79" s="247">
        <f>+_xlfn.XLOOKUP(A79,PPTO_GENERADOR!Q:Q,PPTO_GENERADOR!E:E,"-",0)</f>
        <v>42</v>
      </c>
      <c r="Q79" s="247">
        <f t="shared" si="13"/>
        <v>6.3</v>
      </c>
      <c r="R79" s="259">
        <f>+_xlfn.XLOOKUP(A79,PPTO_GENERADOR!$Q:$Q,PPTO_GENERADOR!A:A,"-",0)</f>
        <v>4.04</v>
      </c>
    </row>
    <row r="80" spans="1:18" ht="15" customHeight="1" x14ac:dyDescent="0.35">
      <c r="A80" s="38" t="s">
        <v>103</v>
      </c>
      <c r="B80" s="38" t="s">
        <v>2774</v>
      </c>
      <c r="C80" s="38" t="s">
        <v>2775</v>
      </c>
      <c r="D80" s="38" t="s">
        <v>643</v>
      </c>
      <c r="E80" s="44" t="str">
        <f>IFERROR(VLOOKUP(D80,MATERIALES!A:B,2,FALSE()),"?")</f>
        <v>Ladrillo hueco ceramico 12x19x33 - Portante</v>
      </c>
      <c r="F80" s="44" t="str">
        <f>IFERROR(VLOOKUP(D80,MATERIALES!A:C,3,FALSE()),"?")</f>
        <v>u</v>
      </c>
      <c r="G80" s="45">
        <v>15</v>
      </c>
      <c r="H80" s="46">
        <v>0.05</v>
      </c>
      <c r="I80" s="47">
        <f>IFERROR(VLOOKUP(D80,MATERIALES!A:D,4,FALSE()),0)</f>
        <v>563.22</v>
      </c>
      <c r="J80" s="42">
        <f t="shared" si="14"/>
        <v>8870.715000000002</v>
      </c>
      <c r="K80" s="15" t="str">
        <f t="shared" si="10"/>
        <v>ALB-038|MAT</v>
      </c>
      <c r="L80" s="15">
        <f>COUNTIFS($K$2:K80,K80)</f>
        <v>5</v>
      </c>
      <c r="M80" s="15" t="str">
        <f t="shared" si="11"/>
        <v>ALB-038|MAT|5</v>
      </c>
      <c r="N80" s="47">
        <f>IFERROR(VLOOKUP(A80,PARTIDAS!A:F,6,FALSE()),0)</f>
        <v>15</v>
      </c>
      <c r="O80" s="247">
        <f t="shared" si="12"/>
        <v>15</v>
      </c>
      <c r="P80" s="247">
        <f>+_xlfn.XLOOKUP(A80,PPTO_GENERADOR!Q:Q,PPTO_GENERADOR!E:E,"-",0)</f>
        <v>42</v>
      </c>
      <c r="Q80" s="247">
        <f t="shared" si="13"/>
        <v>630</v>
      </c>
      <c r="R80" s="259">
        <f>+_xlfn.XLOOKUP(A80,PPTO_GENERADOR!$Q:$Q,PPTO_GENERADOR!A:A,"-",0)</f>
        <v>4.04</v>
      </c>
    </row>
    <row r="81" spans="1:18" ht="15" customHeight="1" x14ac:dyDescent="0.35">
      <c r="A81" s="38" t="s">
        <v>103</v>
      </c>
      <c r="B81" s="38" t="s">
        <v>2774</v>
      </c>
      <c r="C81" s="38" t="s">
        <v>2775</v>
      </c>
      <c r="D81" s="38" t="s">
        <v>1361</v>
      </c>
      <c r="E81" s="44" t="str">
        <f>IFERROR(VLOOKUP(D81,MATERIALES!A:B,2,FALSE()),"?")</f>
        <v>Consumibles</v>
      </c>
      <c r="F81" s="44" t="str">
        <f>IFERROR(VLOOKUP(D81,MATERIALES!A:C,3,FALSE()),"?")</f>
        <v>gl</v>
      </c>
      <c r="G81" s="45">
        <v>117.73067947680001</v>
      </c>
      <c r="H81" s="46">
        <v>0</v>
      </c>
      <c r="I81" s="47">
        <f>IFERROR(VLOOKUP(D81,MATERIALES!A:D,4,FALSE()),0)</f>
        <v>1</v>
      </c>
      <c r="J81" s="42">
        <f t="shared" si="14"/>
        <v>117.73067947680001</v>
      </c>
      <c r="K81" s="15" t="str">
        <f t="shared" si="10"/>
        <v>ALB-038|MAT</v>
      </c>
      <c r="L81" s="15">
        <f>COUNTIFS($K$2:K81,K81)</f>
        <v>6</v>
      </c>
      <c r="M81" s="15" t="str">
        <f t="shared" si="11"/>
        <v>ALB-038|MAT|6</v>
      </c>
      <c r="N81" s="47">
        <f>IFERROR(VLOOKUP(A81,PARTIDAS!A:F,6,FALSE()),0)</f>
        <v>15</v>
      </c>
      <c r="O81" s="247">
        <f t="shared" si="12"/>
        <v>117.73067947680001</v>
      </c>
      <c r="P81" s="247">
        <f>+_xlfn.XLOOKUP(A81,PPTO_GENERADOR!Q:Q,PPTO_GENERADOR!E:E,"-",0)</f>
        <v>42</v>
      </c>
      <c r="Q81" s="247">
        <f t="shared" si="13"/>
        <v>4944.6885380255999</v>
      </c>
      <c r="R81" s="259">
        <f>+_xlfn.XLOOKUP(A81,PPTO_GENERADOR!$Q:$Q,PPTO_GENERADOR!A:A,"-",0)</f>
        <v>4.04</v>
      </c>
    </row>
    <row r="82" spans="1:18" ht="15" customHeight="1" x14ac:dyDescent="0.35">
      <c r="A82" s="38" t="s">
        <v>103</v>
      </c>
      <c r="B82" s="38" t="s">
        <v>2776</v>
      </c>
      <c r="C82" s="38" t="s">
        <v>2777</v>
      </c>
      <c r="D82" s="237" t="s">
        <v>1577</v>
      </c>
      <c r="E82" s="44" t="str">
        <f>IFERROR(VLOOKUP(D82,MANO_DE_OBRA!A:B,2,FALSE()),"?")</f>
        <v>AYUDANTE</v>
      </c>
      <c r="F82" s="44" t="s">
        <v>2778</v>
      </c>
      <c r="G82" s="45">
        <v>1</v>
      </c>
      <c r="H82" s="46">
        <v>0</v>
      </c>
      <c r="I82" s="47">
        <f>IFERROR(VLOOKUP(D82,MANO_DE_OBRA!A:C,3,FALSE()),0)</f>
        <v>60860.580776572002</v>
      </c>
      <c r="J82" s="42">
        <f>G82*I82</f>
        <v>60860.580776572002</v>
      </c>
      <c r="K82" s="15" t="str">
        <f t="shared" si="10"/>
        <v>ALB-038|MO</v>
      </c>
      <c r="L82" s="15">
        <f>COUNTIFS($K$2:K82,K82)</f>
        <v>1</v>
      </c>
      <c r="M82" s="15" t="str">
        <f t="shared" si="11"/>
        <v>ALB-038|MO|1</v>
      </c>
      <c r="N82" s="47">
        <f>IFERROR(VLOOKUP(A82,PARTIDAS!A:F,6,FALSE()),0)</f>
        <v>15</v>
      </c>
      <c r="O82" s="247">
        <f t="shared" si="12"/>
        <v>6.6666666666666666E-2</v>
      </c>
      <c r="P82" s="247">
        <f>+_xlfn.XLOOKUP(A82,PPTO_GENERADOR!Q:Q,PPTO_GENERADOR!E:E,"-",0)</f>
        <v>42</v>
      </c>
      <c r="Q82" s="247">
        <f t="shared" si="13"/>
        <v>2.8</v>
      </c>
      <c r="R82" s="259">
        <f>+_xlfn.XLOOKUP(A82,PPTO_GENERADOR!$Q:$Q,PPTO_GENERADOR!A:A,"-",0)</f>
        <v>4.04</v>
      </c>
    </row>
    <row r="83" spans="1:18" ht="15" customHeight="1" x14ac:dyDescent="0.35">
      <c r="A83" s="38" t="s">
        <v>103</v>
      </c>
      <c r="B83" s="38" t="s">
        <v>2776</v>
      </c>
      <c r="C83" s="38" t="s">
        <v>2777</v>
      </c>
      <c r="D83" s="237" t="s">
        <v>1568</v>
      </c>
      <c r="E83" s="44" t="str">
        <f>IFERROR(VLOOKUP(D83,MANO_DE_OBRA!A:B,2,FALSE()),"?")</f>
        <v>ESPECIALIZADO</v>
      </c>
      <c r="F83" s="44" t="s">
        <v>2778</v>
      </c>
      <c r="G83" s="45">
        <v>1</v>
      </c>
      <c r="H83" s="46">
        <v>0</v>
      </c>
      <c r="I83" s="47">
        <f>IFERROR(VLOOKUP(D83,MANO_DE_OBRA!A:C,3,FALSE()),0)</f>
        <v>85927.097156571996</v>
      </c>
      <c r="J83" s="42">
        <f>G83*I83</f>
        <v>85927.097156571996</v>
      </c>
      <c r="K83" s="15" t="str">
        <f t="shared" si="10"/>
        <v>ALB-038|MO</v>
      </c>
      <c r="L83" s="15">
        <f>COUNTIFS($K$2:K83,K83)</f>
        <v>2</v>
      </c>
      <c r="M83" s="15" t="str">
        <f t="shared" si="11"/>
        <v>ALB-038|MO|2</v>
      </c>
      <c r="N83" s="47">
        <f>IFERROR(VLOOKUP(A83,PARTIDAS!A:F,6,FALSE()),0)</f>
        <v>15</v>
      </c>
      <c r="O83" s="247">
        <f t="shared" si="12"/>
        <v>6.6666666666666666E-2</v>
      </c>
      <c r="P83" s="247">
        <f>+_xlfn.XLOOKUP(A83,PPTO_GENERADOR!Q:Q,PPTO_GENERADOR!E:E,"-",0)</f>
        <v>42</v>
      </c>
      <c r="Q83" s="247">
        <f t="shared" si="13"/>
        <v>2.8</v>
      </c>
      <c r="R83" s="259">
        <f>+_xlfn.XLOOKUP(A83,PPTO_GENERADOR!$Q:$Q,PPTO_GENERADOR!A:A,"-",0)</f>
        <v>4.04</v>
      </c>
    </row>
    <row r="84" spans="1:18" ht="15" customHeight="1" x14ac:dyDescent="0.35">
      <c r="A84" s="38" t="s">
        <v>2465</v>
      </c>
      <c r="B84" s="38" t="s">
        <v>2773</v>
      </c>
      <c r="C84" s="38"/>
      <c r="D84" s="38" t="s">
        <v>1595</v>
      </c>
      <c r="E84" s="44" t="str">
        <f>IFERROR(VLOOKUP(D84,EQUIPOS!A:B,2,FALSE()),"?")</f>
        <v>EQUIPO DE ALBAÑILERIA, carpetas, ladrillo</v>
      </c>
      <c r="F84" s="44"/>
      <c r="G84" s="45">
        <v>0.25</v>
      </c>
      <c r="H84" s="46">
        <v>0</v>
      </c>
      <c r="I84" s="47">
        <f>IFERROR(VLOOKUP(D84,EQUIPOS!A:F,6,FALSE()),0)</f>
        <v>2287.1357450968057</v>
      </c>
      <c r="J84" s="42">
        <f>G84*I84</f>
        <v>571.78393627420144</v>
      </c>
      <c r="K84" s="15" t="str">
        <f t="shared" si="10"/>
        <v>ALB-039|EQ</v>
      </c>
      <c r="L84" s="15">
        <f>COUNTIFS($K$2:K84,K84)</f>
        <v>1</v>
      </c>
      <c r="M84" s="15" t="str">
        <f t="shared" si="11"/>
        <v>ALB-039|EQ|1</v>
      </c>
      <c r="N84" s="47">
        <f>IFERROR(VLOOKUP(A84,PARTIDAS!A:F,6,FALSE()),0)</f>
        <v>2</v>
      </c>
      <c r="O84" s="247">
        <f t="shared" si="12"/>
        <v>0.25</v>
      </c>
      <c r="P84" s="247" t="str">
        <f>+_xlfn.XLOOKUP(A84,PPTO_GENERADOR!Q:Q,PPTO_GENERADOR!E:E,"-",0)</f>
        <v>-</v>
      </c>
      <c r="Q84" s="247">
        <f t="shared" si="13"/>
        <v>0</v>
      </c>
      <c r="R84" s="259" t="str">
        <f>+_xlfn.XLOOKUP(A84,PPTO_GENERADOR!$Q:$Q,PPTO_GENERADOR!A:A,"-",0)</f>
        <v>-</v>
      </c>
    </row>
    <row r="85" spans="1:18" ht="15" customHeight="1" x14ac:dyDescent="0.35">
      <c r="A85" s="38" t="s">
        <v>2465</v>
      </c>
      <c r="B85" s="38" t="s">
        <v>2773</v>
      </c>
      <c r="C85" s="38"/>
      <c r="D85" s="38" t="s">
        <v>1613</v>
      </c>
      <c r="E85" s="44" t="str">
        <f>IFERROR(VLOOKUP(D85,EQUIPOS!A:B,2,FALSE()),"?")</f>
        <v>Hormigonera De 150 Litros 1hp Con Rueda Maciza</v>
      </c>
      <c r="F85" s="44"/>
      <c r="G85" s="45">
        <v>0.25</v>
      </c>
      <c r="H85" s="46">
        <v>0</v>
      </c>
      <c r="I85" s="47">
        <f>IFERROR(VLOOKUP(D85,EQUIPOS!A:F,6,FALSE()),0)</f>
        <v>957.25319614994726</v>
      </c>
      <c r="J85" s="42">
        <f>G85*I85</f>
        <v>239.31329903748681</v>
      </c>
      <c r="K85" s="15" t="str">
        <f t="shared" si="10"/>
        <v>ALB-039|EQ</v>
      </c>
      <c r="L85" s="15">
        <f>COUNTIFS($K$2:K85,K85)</f>
        <v>2</v>
      </c>
      <c r="M85" s="15" t="str">
        <f t="shared" si="11"/>
        <v>ALB-039|EQ|2</v>
      </c>
      <c r="N85" s="47">
        <f>IFERROR(VLOOKUP(A85,PARTIDAS!A:F,6,FALSE()),0)</f>
        <v>2</v>
      </c>
      <c r="O85" s="247">
        <f t="shared" si="12"/>
        <v>0.25</v>
      </c>
      <c r="P85" s="247" t="str">
        <f>+_xlfn.XLOOKUP(A85,PPTO_GENERADOR!Q:Q,PPTO_GENERADOR!E:E,"-",0)</f>
        <v>-</v>
      </c>
      <c r="Q85" s="247">
        <f t="shared" si="13"/>
        <v>0</v>
      </c>
      <c r="R85" s="259" t="str">
        <f>+_xlfn.XLOOKUP(A85,PPTO_GENERADOR!$Q:$Q,PPTO_GENERADOR!A:A,"-",0)</f>
        <v>-</v>
      </c>
    </row>
    <row r="86" spans="1:18" ht="15" customHeight="1" x14ac:dyDescent="0.35">
      <c r="A86" s="38" t="s">
        <v>2465</v>
      </c>
      <c r="B86" s="38" t="s">
        <v>2774</v>
      </c>
      <c r="C86" s="38" t="s">
        <v>2775</v>
      </c>
      <c r="D86" s="38" t="s">
        <v>588</v>
      </c>
      <c r="E86" s="44" t="str">
        <f>IFERROR(VLOOKUP(D86,MATERIALES!A:B,2,FALSE()),"?")</f>
        <v>ARENA LAVADA</v>
      </c>
      <c r="F86" s="44" t="str">
        <f>IFERROR(VLOOKUP(D86,MATERIALES!A:C,3,FALSE()),"?")</f>
        <v>m3</v>
      </c>
      <c r="G86" s="45">
        <v>3.5999999999999997E-2</v>
      </c>
      <c r="H86" s="46">
        <v>0.1</v>
      </c>
      <c r="I86" s="47">
        <f>IFERROR(VLOOKUP(D86,MATERIALES!A:D,4,FALSE()),0)</f>
        <v>32399.77</v>
      </c>
      <c r="J86" s="42">
        <f>G86*I86*(1+H86)</f>
        <v>1283.030892</v>
      </c>
      <c r="K86" s="15" t="str">
        <f t="shared" si="10"/>
        <v>ALB-039|MAT</v>
      </c>
      <c r="L86" s="15">
        <f>COUNTIFS($K$2:K86,K86)</f>
        <v>1</v>
      </c>
      <c r="M86" s="15" t="str">
        <f t="shared" si="11"/>
        <v>ALB-039|MAT|1</v>
      </c>
      <c r="N86" s="47">
        <f>IFERROR(VLOOKUP(A86,PARTIDAS!A:F,6,FALSE()),0)</f>
        <v>2</v>
      </c>
      <c r="O86" s="247">
        <f t="shared" si="12"/>
        <v>3.5999999999999997E-2</v>
      </c>
      <c r="P86" s="247" t="str">
        <f>+_xlfn.XLOOKUP(A86,PPTO_GENERADOR!Q:Q,PPTO_GENERADOR!E:E,"-",0)</f>
        <v>-</v>
      </c>
      <c r="Q86" s="247">
        <f t="shared" si="13"/>
        <v>0</v>
      </c>
      <c r="R86" s="259" t="str">
        <f>+_xlfn.XLOOKUP(A86,PPTO_GENERADOR!$Q:$Q,PPTO_GENERADOR!A:A,"-",0)</f>
        <v>-</v>
      </c>
    </row>
    <row r="87" spans="1:18" ht="15" customHeight="1" x14ac:dyDescent="0.35">
      <c r="A87" s="38" t="s">
        <v>2465</v>
      </c>
      <c r="B87" s="38" t="s">
        <v>2774</v>
      </c>
      <c r="C87" s="38" t="s">
        <v>2775</v>
      </c>
      <c r="D87" s="38" t="s">
        <v>599</v>
      </c>
      <c r="E87" s="44" t="str">
        <f>IFERROR(VLOOKUP(D87,MATERIALES!A:B,2,FALSE()),"?")</f>
        <v>Cemento Portland x 50kg</v>
      </c>
      <c r="F87" s="44" t="str">
        <f>IFERROR(VLOOKUP(D87,MATERIALES!A:C,3,FALSE()),"?")</f>
        <v>Bol</v>
      </c>
      <c r="G87" s="45">
        <v>0.32400000000000001</v>
      </c>
      <c r="H87" s="46">
        <v>0.1</v>
      </c>
      <c r="I87" s="47">
        <f>IFERROR(VLOOKUP(D87,MATERIALES!A:D,4,FALSE()),0)</f>
        <v>7809.48</v>
      </c>
      <c r="J87" s="42">
        <f>G87*I87*(1+H87)</f>
        <v>2783.2986719999999</v>
      </c>
      <c r="K87" s="15" t="str">
        <f t="shared" si="10"/>
        <v>ALB-039|MAT</v>
      </c>
      <c r="L87" s="15">
        <f>COUNTIFS($K$2:K87,K87)</f>
        <v>2</v>
      </c>
      <c r="M87" s="15" t="str">
        <f t="shared" si="11"/>
        <v>ALB-039|MAT|2</v>
      </c>
      <c r="N87" s="47">
        <f>IFERROR(VLOOKUP(A87,PARTIDAS!A:F,6,FALSE()),0)</f>
        <v>2</v>
      </c>
      <c r="O87" s="247">
        <f t="shared" si="12"/>
        <v>0.32400000000000001</v>
      </c>
      <c r="P87" s="247" t="str">
        <f>+_xlfn.XLOOKUP(A87,PPTO_GENERADOR!Q:Q,PPTO_GENERADOR!E:E,"-",0)</f>
        <v>-</v>
      </c>
      <c r="Q87" s="247">
        <f t="shared" si="13"/>
        <v>0</v>
      </c>
      <c r="R87" s="259" t="str">
        <f>+_xlfn.XLOOKUP(A87,PPTO_GENERADOR!$Q:$Q,PPTO_GENERADOR!A:A,"-",0)</f>
        <v>-</v>
      </c>
    </row>
    <row r="88" spans="1:18" ht="15" customHeight="1" x14ac:dyDescent="0.35">
      <c r="A88" s="38" t="s">
        <v>2465</v>
      </c>
      <c r="B88" s="38" t="s">
        <v>2776</v>
      </c>
      <c r="C88" s="38" t="s">
        <v>2777</v>
      </c>
      <c r="D88" s="237" t="s">
        <v>1577</v>
      </c>
      <c r="E88" s="44" t="str">
        <f>IFERROR(VLOOKUP(D88,MANO_DE_OBRA!A:B,2,FALSE()),"?")</f>
        <v>AYUDANTE</v>
      </c>
      <c r="F88" s="44" t="s">
        <v>2778</v>
      </c>
      <c r="G88" s="45">
        <v>0.75</v>
      </c>
      <c r="H88" s="46">
        <v>0</v>
      </c>
      <c r="I88" s="47">
        <f>IFERROR(VLOOKUP(D88,MANO_DE_OBRA!A:C,3,FALSE()),0)</f>
        <v>60860.580776572002</v>
      </c>
      <c r="J88" s="42">
        <f>G88*I88</f>
        <v>45645.435582429003</v>
      </c>
      <c r="K88" s="15" t="str">
        <f t="shared" si="10"/>
        <v>ALB-039|MO</v>
      </c>
      <c r="L88" s="15">
        <f>COUNTIFS($K$2:K88,K88)</f>
        <v>1</v>
      </c>
      <c r="M88" s="15" t="str">
        <f t="shared" si="11"/>
        <v>ALB-039|MO|1</v>
      </c>
      <c r="N88" s="47">
        <f>IFERROR(VLOOKUP(A88,PARTIDAS!A:F,6,FALSE()),0)</f>
        <v>2</v>
      </c>
      <c r="O88" s="247">
        <f t="shared" si="12"/>
        <v>0.375</v>
      </c>
      <c r="P88" s="247" t="str">
        <f>+_xlfn.XLOOKUP(A88,PPTO_GENERADOR!Q:Q,PPTO_GENERADOR!E:E,"-",0)</f>
        <v>-</v>
      </c>
      <c r="Q88" s="247">
        <f t="shared" si="13"/>
        <v>0</v>
      </c>
      <c r="R88" s="259" t="str">
        <f>+_xlfn.XLOOKUP(A88,PPTO_GENERADOR!$Q:$Q,PPTO_GENERADOR!A:A,"-",0)</f>
        <v>-</v>
      </c>
    </row>
    <row r="89" spans="1:18" ht="15" customHeight="1" x14ac:dyDescent="0.35">
      <c r="A89" s="38" t="s">
        <v>2465</v>
      </c>
      <c r="B89" s="38" t="s">
        <v>2776</v>
      </c>
      <c r="C89" s="38" t="s">
        <v>2777</v>
      </c>
      <c r="D89" s="237" t="s">
        <v>1568</v>
      </c>
      <c r="E89" s="44" t="str">
        <f>IFERROR(VLOOKUP(D89,MANO_DE_OBRA!A:B,2,FALSE()),"?")</f>
        <v>ESPECIALIZADO</v>
      </c>
      <c r="F89" s="44" t="s">
        <v>2778</v>
      </c>
      <c r="G89" s="45">
        <v>0.75</v>
      </c>
      <c r="H89" s="46">
        <v>0</v>
      </c>
      <c r="I89" s="47">
        <f>IFERROR(VLOOKUP(D89,MANO_DE_OBRA!A:C,3,FALSE()),0)</f>
        <v>85927.097156571996</v>
      </c>
      <c r="J89" s="42">
        <f>G89*I89</f>
        <v>64445.322867429</v>
      </c>
      <c r="K89" s="15" t="str">
        <f t="shared" si="10"/>
        <v>ALB-039|MO</v>
      </c>
      <c r="L89" s="15">
        <f>COUNTIFS($K$2:K89,K89)</f>
        <v>2</v>
      </c>
      <c r="M89" s="15" t="str">
        <f t="shared" si="11"/>
        <v>ALB-039|MO|2</v>
      </c>
      <c r="N89" s="47">
        <f>IFERROR(VLOOKUP(A89,PARTIDAS!A:F,6,FALSE()),0)</f>
        <v>2</v>
      </c>
      <c r="O89" s="247">
        <f t="shared" si="12"/>
        <v>0.375</v>
      </c>
      <c r="P89" s="247" t="str">
        <f>+_xlfn.XLOOKUP(A89,PPTO_GENERADOR!Q:Q,PPTO_GENERADOR!E:E,"-",0)</f>
        <v>-</v>
      </c>
      <c r="Q89" s="247">
        <f t="shared" si="13"/>
        <v>0</v>
      </c>
      <c r="R89" s="259" t="str">
        <f>+_xlfn.XLOOKUP(A89,PPTO_GENERADOR!$Q:$Q,PPTO_GENERADOR!A:A,"-",0)</f>
        <v>-</v>
      </c>
    </row>
    <row r="90" spans="1:18" ht="15" customHeight="1" x14ac:dyDescent="0.35">
      <c r="A90" s="38" t="s">
        <v>2468</v>
      </c>
      <c r="B90" s="38" t="s">
        <v>2773</v>
      </c>
      <c r="C90" s="38"/>
      <c r="D90" s="38" t="s">
        <v>1595</v>
      </c>
      <c r="E90" s="44" t="str">
        <f>IFERROR(VLOOKUP(D90,EQUIPOS!A:B,2,FALSE()),"?")</f>
        <v>EQUIPO DE ALBAÑILERIA, carpetas, ladrillo</v>
      </c>
      <c r="F90" s="44"/>
      <c r="G90" s="45">
        <v>0.25</v>
      </c>
      <c r="H90" s="46">
        <v>0</v>
      </c>
      <c r="I90" s="47">
        <f>IFERROR(VLOOKUP(D90,EQUIPOS!A:F,6,FALSE()),0)</f>
        <v>2287.1357450968057</v>
      </c>
      <c r="J90" s="42">
        <f>G90*I90</f>
        <v>571.78393627420144</v>
      </c>
      <c r="K90" s="15" t="str">
        <f t="shared" si="10"/>
        <v>ALB-040|EQ</v>
      </c>
      <c r="L90" s="15">
        <f>COUNTIFS($K$2:K90,K90)</f>
        <v>1</v>
      </c>
      <c r="M90" s="15" t="str">
        <f t="shared" si="11"/>
        <v>ALB-040|EQ|1</v>
      </c>
      <c r="N90" s="47">
        <f>IFERROR(VLOOKUP(A90,PARTIDAS!A:F,6,FALSE()),0)</f>
        <v>4</v>
      </c>
      <c r="O90" s="247">
        <f t="shared" si="12"/>
        <v>0.25</v>
      </c>
      <c r="P90" s="247" t="str">
        <f>+_xlfn.XLOOKUP(A90,PPTO_GENERADOR!Q:Q,PPTO_GENERADOR!E:E,"-",0)</f>
        <v>-</v>
      </c>
      <c r="Q90" s="247">
        <f t="shared" si="13"/>
        <v>0</v>
      </c>
      <c r="R90" s="259" t="str">
        <f>+_xlfn.XLOOKUP(A90,PPTO_GENERADOR!$Q:$Q,PPTO_GENERADOR!A:A,"-",0)</f>
        <v>-</v>
      </c>
    </row>
    <row r="91" spans="1:18" ht="15" customHeight="1" x14ac:dyDescent="0.35">
      <c r="A91" s="38" t="s">
        <v>2468</v>
      </c>
      <c r="B91" s="38" t="s">
        <v>2773</v>
      </c>
      <c r="C91" s="38"/>
      <c r="D91" s="38" t="s">
        <v>1613</v>
      </c>
      <c r="E91" s="44" t="str">
        <f>IFERROR(VLOOKUP(D91,EQUIPOS!A:B,2,FALSE()),"?")</f>
        <v>Hormigonera De 150 Litros 1hp Con Rueda Maciza</v>
      </c>
      <c r="F91" s="44"/>
      <c r="G91" s="45">
        <v>0.25</v>
      </c>
      <c r="H91" s="46">
        <v>0</v>
      </c>
      <c r="I91" s="47">
        <f>IFERROR(VLOOKUP(D91,EQUIPOS!A:F,6,FALSE()),0)</f>
        <v>957.25319614994726</v>
      </c>
      <c r="J91" s="42">
        <f>G91*I91</f>
        <v>239.31329903748681</v>
      </c>
      <c r="K91" s="15" t="str">
        <f t="shared" si="10"/>
        <v>ALB-040|EQ</v>
      </c>
      <c r="L91" s="15">
        <f>COUNTIFS($K$2:K91,K91)</f>
        <v>2</v>
      </c>
      <c r="M91" s="15" t="str">
        <f t="shared" si="11"/>
        <v>ALB-040|EQ|2</v>
      </c>
      <c r="N91" s="47">
        <f>IFERROR(VLOOKUP(A91,PARTIDAS!A:F,6,FALSE()),0)</f>
        <v>4</v>
      </c>
      <c r="O91" s="247">
        <f t="shared" si="12"/>
        <v>0.25</v>
      </c>
      <c r="P91" s="247" t="str">
        <f>+_xlfn.XLOOKUP(A91,PPTO_GENERADOR!Q:Q,PPTO_GENERADOR!E:E,"-",0)</f>
        <v>-</v>
      </c>
      <c r="Q91" s="247">
        <f t="shared" si="13"/>
        <v>0</v>
      </c>
      <c r="R91" s="259" t="str">
        <f>+_xlfn.XLOOKUP(A91,PPTO_GENERADOR!$Q:$Q,PPTO_GENERADOR!A:A,"-",0)</f>
        <v>-</v>
      </c>
    </row>
    <row r="92" spans="1:18" ht="15" customHeight="1" x14ac:dyDescent="0.35">
      <c r="A92" s="38" t="s">
        <v>2468</v>
      </c>
      <c r="B92" s="38" t="s">
        <v>2774</v>
      </c>
      <c r="C92" s="38" t="s">
        <v>2775</v>
      </c>
      <c r="D92" s="38" t="s">
        <v>588</v>
      </c>
      <c r="E92" s="44" t="str">
        <f>IFERROR(VLOOKUP(D92,MATERIALES!A:B,2,FALSE()),"?")</f>
        <v>ARENA LAVADA</v>
      </c>
      <c r="F92" s="44" t="str">
        <f>IFERROR(VLOOKUP(D92,MATERIALES!A:C,3,FALSE()),"?")</f>
        <v>m3</v>
      </c>
      <c r="G92" s="45">
        <v>1.38E-2</v>
      </c>
      <c r="H92" s="46">
        <v>0.05</v>
      </c>
      <c r="I92" s="47">
        <f>IFERROR(VLOOKUP(D92,MATERIALES!A:D,4,FALSE()),0)</f>
        <v>32399.77</v>
      </c>
      <c r="J92" s="42">
        <f>G92*I92*(1+H92)</f>
        <v>469.47266730000001</v>
      </c>
      <c r="K92" s="15" t="str">
        <f t="shared" si="10"/>
        <v>ALB-040|MAT</v>
      </c>
      <c r="L92" s="15">
        <f>COUNTIFS($K$2:K92,K92)</f>
        <v>1</v>
      </c>
      <c r="M92" s="15" t="str">
        <f t="shared" si="11"/>
        <v>ALB-040|MAT|1</v>
      </c>
      <c r="N92" s="47">
        <f>IFERROR(VLOOKUP(A92,PARTIDAS!A:F,6,FALSE()),0)</f>
        <v>4</v>
      </c>
      <c r="O92" s="247">
        <f t="shared" si="12"/>
        <v>1.38E-2</v>
      </c>
      <c r="P92" s="247" t="str">
        <f>+_xlfn.XLOOKUP(A92,PPTO_GENERADOR!Q:Q,PPTO_GENERADOR!E:E,"-",0)</f>
        <v>-</v>
      </c>
      <c r="Q92" s="247">
        <f t="shared" si="13"/>
        <v>0</v>
      </c>
      <c r="R92" s="259" t="str">
        <f>+_xlfn.XLOOKUP(A92,PPTO_GENERADOR!$Q:$Q,PPTO_GENERADOR!A:A,"-",0)</f>
        <v>-</v>
      </c>
    </row>
    <row r="93" spans="1:18" ht="15" customHeight="1" x14ac:dyDescent="0.35">
      <c r="A93" s="38" t="s">
        <v>2468</v>
      </c>
      <c r="B93" s="38" t="s">
        <v>2774</v>
      </c>
      <c r="C93" s="38" t="s">
        <v>2775</v>
      </c>
      <c r="D93" s="38" t="s">
        <v>599</v>
      </c>
      <c r="E93" s="44" t="str">
        <f>IFERROR(VLOOKUP(D93,MATERIALES!A:B,2,FALSE()),"?")</f>
        <v>Cemento Portland x 50kg</v>
      </c>
      <c r="F93" s="44" t="str">
        <f>IFERROR(VLOOKUP(D93,MATERIALES!A:C,3,FALSE()),"?")</f>
        <v>Bol</v>
      </c>
      <c r="G93" s="45">
        <v>0.1242</v>
      </c>
      <c r="H93" s="46">
        <v>0.05</v>
      </c>
      <c r="I93" s="47">
        <f>IFERROR(VLOOKUP(D93,MATERIALES!A:D,4,FALSE()),0)</f>
        <v>7809.48</v>
      </c>
      <c r="J93" s="42">
        <f>G93*I93*(1+H93)</f>
        <v>1018.4342868</v>
      </c>
      <c r="K93" s="15" t="str">
        <f t="shared" si="10"/>
        <v>ALB-040|MAT</v>
      </c>
      <c r="L93" s="15">
        <f>COUNTIFS($K$2:K93,K93)</f>
        <v>2</v>
      </c>
      <c r="M93" s="15" t="str">
        <f t="shared" si="11"/>
        <v>ALB-040|MAT|2</v>
      </c>
      <c r="N93" s="47">
        <f>IFERROR(VLOOKUP(A93,PARTIDAS!A:F,6,FALSE()),0)</f>
        <v>4</v>
      </c>
      <c r="O93" s="247">
        <f t="shared" si="12"/>
        <v>0.1242</v>
      </c>
      <c r="P93" s="247" t="str">
        <f>+_xlfn.XLOOKUP(A93,PPTO_GENERADOR!Q:Q,PPTO_GENERADOR!E:E,"-",0)</f>
        <v>-</v>
      </c>
      <c r="Q93" s="247">
        <f t="shared" si="13"/>
        <v>0</v>
      </c>
      <c r="R93" s="259" t="str">
        <f>+_xlfn.XLOOKUP(A93,PPTO_GENERADOR!$Q:$Q,PPTO_GENERADOR!A:A,"-",0)</f>
        <v>-</v>
      </c>
    </row>
    <row r="94" spans="1:18" ht="15" customHeight="1" x14ac:dyDescent="0.35">
      <c r="A94" s="38" t="s">
        <v>2468</v>
      </c>
      <c r="B94" s="38" t="s">
        <v>2776</v>
      </c>
      <c r="C94" s="38" t="s">
        <v>2777</v>
      </c>
      <c r="D94" s="237" t="s">
        <v>1577</v>
      </c>
      <c r="E94" s="44" t="str">
        <f>IFERROR(VLOOKUP(D94,MANO_DE_OBRA!A:B,2,FALSE()),"?")</f>
        <v>AYUDANTE</v>
      </c>
      <c r="F94" s="44" t="s">
        <v>2778</v>
      </c>
      <c r="G94" s="45">
        <v>1</v>
      </c>
      <c r="H94" s="46">
        <v>0</v>
      </c>
      <c r="I94" s="47">
        <f>IFERROR(VLOOKUP(D94,MANO_DE_OBRA!A:C,3,FALSE()),0)</f>
        <v>60860.580776572002</v>
      </c>
      <c r="J94" s="42">
        <f>G94*I94</f>
        <v>60860.580776572002</v>
      </c>
      <c r="K94" s="15" t="str">
        <f t="shared" si="10"/>
        <v>ALB-040|MO</v>
      </c>
      <c r="L94" s="15">
        <f>COUNTIFS($K$2:K94,K94)</f>
        <v>1</v>
      </c>
      <c r="M94" s="15" t="str">
        <f t="shared" si="11"/>
        <v>ALB-040|MO|1</v>
      </c>
      <c r="N94" s="47">
        <f>IFERROR(VLOOKUP(A94,PARTIDAS!A:F,6,FALSE()),0)</f>
        <v>4</v>
      </c>
      <c r="O94" s="247">
        <f t="shared" si="12"/>
        <v>0.25</v>
      </c>
      <c r="P94" s="247" t="str">
        <f>+_xlfn.XLOOKUP(A94,PPTO_GENERADOR!Q:Q,PPTO_GENERADOR!E:E,"-",0)</f>
        <v>-</v>
      </c>
      <c r="Q94" s="247">
        <f t="shared" si="13"/>
        <v>0</v>
      </c>
      <c r="R94" s="259" t="str">
        <f>+_xlfn.XLOOKUP(A94,PPTO_GENERADOR!$Q:$Q,PPTO_GENERADOR!A:A,"-",0)</f>
        <v>-</v>
      </c>
    </row>
    <row r="95" spans="1:18" ht="15" customHeight="1" x14ac:dyDescent="0.35">
      <c r="A95" s="38" t="s">
        <v>2468</v>
      </c>
      <c r="B95" s="38" t="s">
        <v>2776</v>
      </c>
      <c r="C95" s="38" t="s">
        <v>2777</v>
      </c>
      <c r="D95" s="237" t="s">
        <v>1568</v>
      </c>
      <c r="E95" s="44" t="str">
        <f>IFERROR(VLOOKUP(D95,MANO_DE_OBRA!A:B,2,FALSE()),"?")</f>
        <v>ESPECIALIZADO</v>
      </c>
      <c r="F95" s="44" t="s">
        <v>2778</v>
      </c>
      <c r="G95" s="45">
        <v>1</v>
      </c>
      <c r="H95" s="46">
        <v>0</v>
      </c>
      <c r="I95" s="47">
        <f>IFERROR(VLOOKUP(D95,MANO_DE_OBRA!A:C,3,FALSE()),0)</f>
        <v>85927.097156571996</v>
      </c>
      <c r="J95" s="42">
        <f>G95*I95</f>
        <v>85927.097156571996</v>
      </c>
      <c r="K95" s="15" t="str">
        <f t="shared" si="10"/>
        <v>ALB-040|MO</v>
      </c>
      <c r="L95" s="15">
        <f>COUNTIFS($K$2:K95,K95)</f>
        <v>2</v>
      </c>
      <c r="M95" s="15" t="str">
        <f t="shared" si="11"/>
        <v>ALB-040|MO|2</v>
      </c>
      <c r="N95" s="47">
        <f>IFERROR(VLOOKUP(A95,PARTIDAS!A:F,6,FALSE()),0)</f>
        <v>4</v>
      </c>
      <c r="O95" s="247">
        <f t="shared" si="12"/>
        <v>0.25</v>
      </c>
      <c r="P95" s="247" t="str">
        <f>+_xlfn.XLOOKUP(A95,PPTO_GENERADOR!Q:Q,PPTO_GENERADOR!E:E,"-",0)</f>
        <v>-</v>
      </c>
      <c r="Q95" s="247">
        <f t="shared" si="13"/>
        <v>0</v>
      </c>
      <c r="R95" s="259" t="str">
        <f>+_xlfn.XLOOKUP(A95,PPTO_GENERADOR!$Q:$Q,PPTO_GENERADOR!A:A,"-",0)</f>
        <v>-</v>
      </c>
    </row>
    <row r="96" spans="1:18" ht="15" customHeight="1" x14ac:dyDescent="0.35">
      <c r="A96" s="38" t="s">
        <v>2471</v>
      </c>
      <c r="B96" s="38" t="s">
        <v>2773</v>
      </c>
      <c r="C96" s="38"/>
      <c r="D96" s="38" t="s">
        <v>1595</v>
      </c>
      <c r="E96" s="44" t="str">
        <f>IFERROR(VLOOKUP(D96,EQUIPOS!A:B,2,FALSE()),"?")</f>
        <v>EQUIPO DE ALBAÑILERIA, carpetas, ladrillo</v>
      </c>
      <c r="F96" s="44"/>
      <c r="G96" s="45">
        <v>0.5</v>
      </c>
      <c r="H96" s="46">
        <v>0</v>
      </c>
      <c r="I96" s="47">
        <f>IFERROR(VLOOKUP(D96,EQUIPOS!A:F,6,FALSE()),0)</f>
        <v>2287.1357450968057</v>
      </c>
      <c r="J96" s="42">
        <f>G96*I96</f>
        <v>1143.5678725484029</v>
      </c>
      <c r="K96" s="15" t="str">
        <f t="shared" si="10"/>
        <v>ALB-041|EQ</v>
      </c>
      <c r="L96" s="15">
        <f>COUNTIFS($K$2:K96,K96)</f>
        <v>1</v>
      </c>
      <c r="M96" s="15" t="str">
        <f t="shared" si="11"/>
        <v>ALB-041|EQ|1</v>
      </c>
      <c r="N96" s="47">
        <f>IFERROR(VLOOKUP(A96,PARTIDAS!A:F,6,FALSE()),0)</f>
        <v>5</v>
      </c>
      <c r="O96" s="247">
        <f t="shared" si="12"/>
        <v>0.5</v>
      </c>
      <c r="P96" s="247" t="str">
        <f>+_xlfn.XLOOKUP(A96,PPTO_GENERADOR!Q:Q,PPTO_GENERADOR!E:E,"-",0)</f>
        <v>-</v>
      </c>
      <c r="Q96" s="247">
        <f t="shared" si="13"/>
        <v>0</v>
      </c>
      <c r="R96" s="259" t="str">
        <f>+_xlfn.XLOOKUP(A96,PPTO_GENERADOR!$Q:$Q,PPTO_GENERADOR!A:A,"-",0)</f>
        <v>-</v>
      </c>
    </row>
    <row r="97" spans="1:18" ht="15" customHeight="1" x14ac:dyDescent="0.35">
      <c r="A97" s="38" t="s">
        <v>2471</v>
      </c>
      <c r="B97" s="38" t="s">
        <v>2773</v>
      </c>
      <c r="C97" s="38"/>
      <c r="D97" s="38" t="s">
        <v>1613</v>
      </c>
      <c r="E97" s="44" t="str">
        <f>IFERROR(VLOOKUP(D97,EQUIPOS!A:B,2,FALSE()),"?")</f>
        <v>Hormigonera De 150 Litros 1hp Con Rueda Maciza</v>
      </c>
      <c r="F97" s="44"/>
      <c r="G97" s="45">
        <v>0.25</v>
      </c>
      <c r="H97" s="46">
        <v>0</v>
      </c>
      <c r="I97" s="47">
        <f>IFERROR(VLOOKUP(D97,EQUIPOS!A:F,6,FALSE()),0)</f>
        <v>957.25319614994726</v>
      </c>
      <c r="J97" s="42">
        <f>G97*I97</f>
        <v>239.31329903748681</v>
      </c>
      <c r="K97" s="15" t="str">
        <f t="shared" si="10"/>
        <v>ALB-041|EQ</v>
      </c>
      <c r="L97" s="15">
        <f>COUNTIFS($K$2:K97,K97)</f>
        <v>2</v>
      </c>
      <c r="M97" s="15" t="str">
        <f t="shared" si="11"/>
        <v>ALB-041|EQ|2</v>
      </c>
      <c r="N97" s="47">
        <f>IFERROR(VLOOKUP(A97,PARTIDAS!A:F,6,FALSE()),0)</f>
        <v>5</v>
      </c>
      <c r="O97" s="247">
        <f t="shared" si="12"/>
        <v>0.25</v>
      </c>
      <c r="P97" s="247" t="str">
        <f>+_xlfn.XLOOKUP(A97,PPTO_GENERADOR!Q:Q,PPTO_GENERADOR!E:E,"-",0)</f>
        <v>-</v>
      </c>
      <c r="Q97" s="247">
        <f t="shared" si="13"/>
        <v>0</v>
      </c>
      <c r="R97" s="259" t="str">
        <f>+_xlfn.XLOOKUP(A97,PPTO_GENERADOR!$Q:$Q,PPTO_GENERADOR!A:A,"-",0)</f>
        <v>-</v>
      </c>
    </row>
    <row r="98" spans="1:18" ht="15" customHeight="1" x14ac:dyDescent="0.35">
      <c r="A98" s="38" t="s">
        <v>2471</v>
      </c>
      <c r="B98" s="38" t="s">
        <v>2774</v>
      </c>
      <c r="C98" s="38" t="s">
        <v>2775</v>
      </c>
      <c r="D98" s="38" t="s">
        <v>588</v>
      </c>
      <c r="E98" s="44" t="str">
        <f>IFERROR(VLOOKUP(D98,MATERIALES!A:B,2,FALSE()),"?")</f>
        <v>ARENA LAVADA</v>
      </c>
      <c r="F98" s="44" t="str">
        <f>IFERROR(VLOOKUP(D98,MATERIALES!A:C,3,FALSE()),"?")</f>
        <v>m3</v>
      </c>
      <c r="G98" s="45">
        <v>1.8E-3</v>
      </c>
      <c r="H98" s="46">
        <v>0.1</v>
      </c>
      <c r="I98" s="47">
        <f>IFERROR(VLOOKUP(D98,MATERIALES!A:D,4,FALSE()),0)</f>
        <v>32399.77</v>
      </c>
      <c r="J98" s="42">
        <f>G98*I98*(1+H98)</f>
        <v>64.151544600000008</v>
      </c>
      <c r="K98" s="15" t="str">
        <f t="shared" si="10"/>
        <v>ALB-041|MAT</v>
      </c>
      <c r="L98" s="15">
        <f>COUNTIFS($K$2:K98,K98)</f>
        <v>1</v>
      </c>
      <c r="M98" s="15" t="str">
        <f t="shared" si="11"/>
        <v>ALB-041|MAT|1</v>
      </c>
      <c r="N98" s="47">
        <f>IFERROR(VLOOKUP(A98,PARTIDAS!A:F,6,FALSE()),0)</f>
        <v>5</v>
      </c>
      <c r="O98" s="247">
        <f t="shared" si="12"/>
        <v>1.8E-3</v>
      </c>
      <c r="P98" s="247" t="str">
        <f>+_xlfn.XLOOKUP(A98,PPTO_GENERADOR!Q:Q,PPTO_GENERADOR!E:E,"-",0)</f>
        <v>-</v>
      </c>
      <c r="Q98" s="247">
        <f t="shared" si="13"/>
        <v>0</v>
      </c>
      <c r="R98" s="259" t="str">
        <f>+_xlfn.XLOOKUP(A98,PPTO_GENERADOR!$Q:$Q,PPTO_GENERADOR!A:A,"-",0)</f>
        <v>-</v>
      </c>
    </row>
    <row r="99" spans="1:18" ht="15" customHeight="1" x14ac:dyDescent="0.35">
      <c r="A99" s="38" t="s">
        <v>2471</v>
      </c>
      <c r="B99" s="38" t="s">
        <v>2774</v>
      </c>
      <c r="C99" s="38" t="s">
        <v>2775</v>
      </c>
      <c r="D99" s="38" t="s">
        <v>599</v>
      </c>
      <c r="E99" s="44" t="str">
        <f>IFERROR(VLOOKUP(D99,MATERIALES!A:B,2,FALSE()),"?")</f>
        <v>Cemento Portland x 50kg</v>
      </c>
      <c r="F99" s="44" t="str">
        <f>IFERROR(VLOOKUP(D99,MATERIALES!A:C,3,FALSE()),"?")</f>
        <v>Bol</v>
      </c>
      <c r="G99" s="45">
        <v>1.6199999999999999E-2</v>
      </c>
      <c r="H99" s="46">
        <v>0.1</v>
      </c>
      <c r="I99" s="47">
        <f>IFERROR(VLOOKUP(D99,MATERIALES!A:D,4,FALSE()),0)</f>
        <v>7809.48</v>
      </c>
      <c r="J99" s="42">
        <f>G99*I99*(1+H99)</f>
        <v>139.16493359999998</v>
      </c>
      <c r="K99" s="15" t="str">
        <f t="shared" si="10"/>
        <v>ALB-041|MAT</v>
      </c>
      <c r="L99" s="15">
        <f>COUNTIFS($K$2:K99,K99)</f>
        <v>2</v>
      </c>
      <c r="M99" s="15" t="str">
        <f t="shared" si="11"/>
        <v>ALB-041|MAT|2</v>
      </c>
      <c r="N99" s="47">
        <f>IFERROR(VLOOKUP(A99,PARTIDAS!A:F,6,FALSE()),0)</f>
        <v>5</v>
      </c>
      <c r="O99" s="247">
        <f t="shared" si="12"/>
        <v>1.6199999999999999E-2</v>
      </c>
      <c r="P99" s="247" t="str">
        <f>+_xlfn.XLOOKUP(A99,PPTO_GENERADOR!Q:Q,PPTO_GENERADOR!E:E,"-",0)</f>
        <v>-</v>
      </c>
      <c r="Q99" s="247">
        <f t="shared" si="13"/>
        <v>0</v>
      </c>
      <c r="R99" s="259" t="str">
        <f>+_xlfn.XLOOKUP(A99,PPTO_GENERADOR!$Q:$Q,PPTO_GENERADOR!A:A,"-",0)</f>
        <v>-</v>
      </c>
    </row>
    <row r="100" spans="1:18" ht="15" customHeight="1" x14ac:dyDescent="0.35">
      <c r="A100" s="38" t="s">
        <v>2471</v>
      </c>
      <c r="B100" s="38" t="s">
        <v>2774</v>
      </c>
      <c r="C100" s="38" t="s">
        <v>2775</v>
      </c>
      <c r="D100" s="38" t="s">
        <v>1361</v>
      </c>
      <c r="E100" s="44" t="str">
        <f>IFERROR(VLOOKUP(D100,MATERIALES!A:B,2,FALSE()),"?")</f>
        <v>Consumibles</v>
      </c>
      <c r="F100" s="44" t="str">
        <f>IFERROR(VLOOKUP(D100,MATERIALES!A:C,3,FALSE()),"?")</f>
        <v>gl</v>
      </c>
      <c r="G100" s="45">
        <v>1.04707986</v>
      </c>
      <c r="H100" s="46">
        <v>0</v>
      </c>
      <c r="I100" s="47">
        <f>IFERROR(VLOOKUP(D100,MATERIALES!A:D,4,FALSE()),0)</f>
        <v>1</v>
      </c>
      <c r="J100" s="42">
        <f>G100*I100*(1+H100)</f>
        <v>1.04707986</v>
      </c>
      <c r="K100" s="15" t="str">
        <f t="shared" si="10"/>
        <v>ALB-041|MAT</v>
      </c>
      <c r="L100" s="15">
        <f>COUNTIFS($K$2:K100,K100)</f>
        <v>3</v>
      </c>
      <c r="M100" s="15" t="str">
        <f t="shared" si="11"/>
        <v>ALB-041|MAT|3</v>
      </c>
      <c r="N100" s="47">
        <f>IFERROR(VLOOKUP(A100,PARTIDAS!A:F,6,FALSE()),0)</f>
        <v>5</v>
      </c>
      <c r="O100" s="247">
        <f t="shared" si="12"/>
        <v>1.04707986</v>
      </c>
      <c r="P100" s="247" t="str">
        <f>+_xlfn.XLOOKUP(A100,PPTO_GENERADOR!Q:Q,PPTO_GENERADOR!E:E,"-",0)</f>
        <v>-</v>
      </c>
      <c r="Q100" s="247">
        <f t="shared" si="13"/>
        <v>0</v>
      </c>
      <c r="R100" s="259" t="str">
        <f>+_xlfn.XLOOKUP(A100,PPTO_GENERADOR!$Q:$Q,PPTO_GENERADOR!A:A,"-",0)</f>
        <v>-</v>
      </c>
    </row>
    <row r="101" spans="1:18" ht="15" customHeight="1" x14ac:dyDescent="0.35">
      <c r="A101" s="38" t="s">
        <v>2471</v>
      </c>
      <c r="B101" s="38" t="s">
        <v>2776</v>
      </c>
      <c r="C101" s="38" t="s">
        <v>2777</v>
      </c>
      <c r="D101" s="237" t="s">
        <v>1577</v>
      </c>
      <c r="E101" s="44" t="str">
        <f>IFERROR(VLOOKUP(D101,MANO_DE_OBRA!A:B,2,FALSE()),"?")</f>
        <v>AYUDANTE</v>
      </c>
      <c r="F101" s="44" t="s">
        <v>2778</v>
      </c>
      <c r="G101" s="45">
        <v>1</v>
      </c>
      <c r="H101" s="46">
        <v>0</v>
      </c>
      <c r="I101" s="47">
        <f>IFERROR(VLOOKUP(D101,MANO_DE_OBRA!A:C,3,FALSE()),0)</f>
        <v>60860.580776572002</v>
      </c>
      <c r="J101" s="42">
        <f>G101*I101</f>
        <v>60860.580776572002</v>
      </c>
      <c r="K101" s="15" t="str">
        <f t="shared" si="10"/>
        <v>ALB-041|MO</v>
      </c>
      <c r="L101" s="15">
        <f>COUNTIFS($K$2:K101,K101)</f>
        <v>1</v>
      </c>
      <c r="M101" s="15" t="str">
        <f t="shared" si="11"/>
        <v>ALB-041|MO|1</v>
      </c>
      <c r="N101" s="47">
        <f>IFERROR(VLOOKUP(A101,PARTIDAS!A:F,6,FALSE()),0)</f>
        <v>5</v>
      </c>
      <c r="O101" s="247">
        <f t="shared" si="12"/>
        <v>0.2</v>
      </c>
      <c r="P101" s="247" t="str">
        <f>+_xlfn.XLOOKUP(A101,PPTO_GENERADOR!Q:Q,PPTO_GENERADOR!E:E,"-",0)</f>
        <v>-</v>
      </c>
      <c r="Q101" s="247">
        <f t="shared" si="13"/>
        <v>0</v>
      </c>
      <c r="R101" s="259" t="str">
        <f>+_xlfn.XLOOKUP(A101,PPTO_GENERADOR!$Q:$Q,PPTO_GENERADOR!A:A,"-",0)</f>
        <v>-</v>
      </c>
    </row>
    <row r="102" spans="1:18" ht="15" customHeight="1" x14ac:dyDescent="0.35">
      <c r="A102" s="38" t="s">
        <v>2471</v>
      </c>
      <c r="B102" s="38" t="s">
        <v>2776</v>
      </c>
      <c r="C102" s="38" t="s">
        <v>2777</v>
      </c>
      <c r="D102" s="237" t="s">
        <v>1568</v>
      </c>
      <c r="E102" s="44" t="str">
        <f>IFERROR(VLOOKUP(D102,MANO_DE_OBRA!A:B,2,FALSE()),"?")</f>
        <v>ESPECIALIZADO</v>
      </c>
      <c r="F102" s="44" t="s">
        <v>2778</v>
      </c>
      <c r="G102" s="45">
        <v>1</v>
      </c>
      <c r="H102" s="46">
        <v>0</v>
      </c>
      <c r="I102" s="47">
        <f>IFERROR(VLOOKUP(D102,MANO_DE_OBRA!A:C,3,FALSE()),0)</f>
        <v>85927.097156571996</v>
      </c>
      <c r="J102" s="42">
        <f>G102*I102</f>
        <v>85927.097156571996</v>
      </c>
      <c r="K102" s="15" t="str">
        <f t="shared" si="10"/>
        <v>ALB-041|MO</v>
      </c>
      <c r="L102" s="15">
        <f>COUNTIFS($K$2:K102,K102)</f>
        <v>2</v>
      </c>
      <c r="M102" s="15" t="str">
        <f t="shared" si="11"/>
        <v>ALB-041|MO|2</v>
      </c>
      <c r="N102" s="47">
        <f>IFERROR(VLOOKUP(A102,PARTIDAS!A:F,6,FALSE()),0)</f>
        <v>5</v>
      </c>
      <c r="O102" s="247">
        <f t="shared" si="12"/>
        <v>0.2</v>
      </c>
      <c r="P102" s="247" t="str">
        <f>+_xlfn.XLOOKUP(A102,PPTO_GENERADOR!Q:Q,PPTO_GENERADOR!E:E,"-",0)</f>
        <v>-</v>
      </c>
      <c r="Q102" s="247">
        <f t="shared" si="13"/>
        <v>0</v>
      </c>
      <c r="R102" s="259" t="str">
        <f>+_xlfn.XLOOKUP(A102,PPTO_GENERADOR!$Q:$Q,PPTO_GENERADOR!A:A,"-",0)</f>
        <v>-</v>
      </c>
    </row>
    <row r="103" spans="1:18" ht="15" customHeight="1" x14ac:dyDescent="0.35">
      <c r="A103" s="38" t="s">
        <v>2474</v>
      </c>
      <c r="B103" s="38" t="s">
        <v>2773</v>
      </c>
      <c r="C103" s="38"/>
      <c r="D103" s="38" t="s">
        <v>1592</v>
      </c>
      <c r="E103" s="44" t="str">
        <f>IFERROR(VLOOKUP(D103,EQUIPOS!A:B,2,FALSE()),"?")</f>
        <v>ANDAMIO TUBULAR DE UNO A TRES CUERPOS</v>
      </c>
      <c r="F103" s="44"/>
      <c r="G103" s="45">
        <v>0.5</v>
      </c>
      <c r="H103" s="46">
        <v>0</v>
      </c>
      <c r="I103" s="47">
        <f>IFERROR(VLOOKUP(D103,EQUIPOS!A:F,6,FALSE()),0)</f>
        <v>571.1794909807611</v>
      </c>
      <c r="J103" s="42">
        <f>G103*I103</f>
        <v>285.58974549038055</v>
      </c>
      <c r="K103" s="15" t="str">
        <f t="shared" si="10"/>
        <v>ALB-042|EQ</v>
      </c>
      <c r="L103" s="15">
        <f>COUNTIFS($K$2:K103,K103)</f>
        <v>1</v>
      </c>
      <c r="M103" s="15" t="str">
        <f t="shared" si="11"/>
        <v>ALB-042|EQ|1</v>
      </c>
      <c r="N103" s="47">
        <f>IFERROR(VLOOKUP(A103,PARTIDAS!A:F,6,FALSE()),0)</f>
        <v>28</v>
      </c>
      <c r="O103" s="247">
        <f t="shared" si="12"/>
        <v>0.5</v>
      </c>
      <c r="P103" s="247" t="str">
        <f>+_xlfn.XLOOKUP(A103,PPTO_GENERADOR!Q:Q,PPTO_GENERADOR!E:E,"-",0)</f>
        <v>-</v>
      </c>
      <c r="Q103" s="247">
        <f t="shared" si="13"/>
        <v>0</v>
      </c>
      <c r="R103" s="259" t="str">
        <f>+_xlfn.XLOOKUP(A103,PPTO_GENERADOR!$Q:$Q,PPTO_GENERADOR!A:A,"-",0)</f>
        <v>-</v>
      </c>
    </row>
    <row r="104" spans="1:18" ht="15" customHeight="1" x14ac:dyDescent="0.35">
      <c r="A104" s="38" t="s">
        <v>2474</v>
      </c>
      <c r="B104" s="38" t="s">
        <v>2773</v>
      </c>
      <c r="C104" s="38"/>
      <c r="D104" s="38" t="s">
        <v>1595</v>
      </c>
      <c r="E104" s="44" t="str">
        <f>IFERROR(VLOOKUP(D104,EQUIPOS!A:B,2,FALSE()),"?")</f>
        <v>EQUIPO DE ALBAÑILERIA, carpetas, ladrillo</v>
      </c>
      <c r="F104" s="44"/>
      <c r="G104" s="45">
        <v>1</v>
      </c>
      <c r="H104" s="46">
        <v>0</v>
      </c>
      <c r="I104" s="47">
        <f>IFERROR(VLOOKUP(D104,EQUIPOS!A:F,6,FALSE()),0)</f>
        <v>2287.1357450968057</v>
      </c>
      <c r="J104" s="42">
        <f>G104*I104</f>
        <v>2287.1357450968057</v>
      </c>
      <c r="K104" s="15" t="str">
        <f t="shared" si="10"/>
        <v>ALB-042|EQ</v>
      </c>
      <c r="L104" s="15">
        <f>COUNTIFS($K$2:K104,K104)</f>
        <v>2</v>
      </c>
      <c r="M104" s="15" t="str">
        <f t="shared" si="11"/>
        <v>ALB-042|EQ|2</v>
      </c>
      <c r="N104" s="47">
        <f>IFERROR(VLOOKUP(A104,PARTIDAS!A:F,6,FALSE()),0)</f>
        <v>28</v>
      </c>
      <c r="O104" s="247">
        <f t="shared" si="12"/>
        <v>1</v>
      </c>
      <c r="P104" s="247" t="str">
        <f>+_xlfn.XLOOKUP(A104,PPTO_GENERADOR!Q:Q,PPTO_GENERADOR!E:E,"-",0)</f>
        <v>-</v>
      </c>
      <c r="Q104" s="247">
        <f t="shared" si="13"/>
        <v>0</v>
      </c>
      <c r="R104" s="259" t="str">
        <f>+_xlfn.XLOOKUP(A104,PPTO_GENERADOR!$Q:$Q,PPTO_GENERADOR!A:A,"-",0)</f>
        <v>-</v>
      </c>
    </row>
    <row r="105" spans="1:18" ht="15" customHeight="1" x14ac:dyDescent="0.35">
      <c r="A105" s="38" t="s">
        <v>2474</v>
      </c>
      <c r="B105" s="38" t="s">
        <v>2773</v>
      </c>
      <c r="C105" s="38"/>
      <c r="D105" s="38" t="s">
        <v>1613</v>
      </c>
      <c r="E105" s="44" t="str">
        <f>IFERROR(VLOOKUP(D105,EQUIPOS!A:B,2,FALSE()),"?")</f>
        <v>Hormigonera De 150 Litros 1hp Con Rueda Maciza</v>
      </c>
      <c r="F105" s="44"/>
      <c r="G105" s="45">
        <v>1</v>
      </c>
      <c r="H105" s="46">
        <v>0</v>
      </c>
      <c r="I105" s="47">
        <f>IFERROR(VLOOKUP(D105,EQUIPOS!A:F,6,FALSE()),0)</f>
        <v>957.25319614994726</v>
      </c>
      <c r="J105" s="42">
        <f>G105*I105</f>
        <v>957.25319614994726</v>
      </c>
      <c r="K105" s="15" t="str">
        <f t="shared" si="10"/>
        <v>ALB-042|EQ</v>
      </c>
      <c r="L105" s="15">
        <f>COUNTIFS($K$2:K105,K105)</f>
        <v>3</v>
      </c>
      <c r="M105" s="15" t="str">
        <f t="shared" si="11"/>
        <v>ALB-042|EQ|3</v>
      </c>
      <c r="N105" s="47">
        <f>IFERROR(VLOOKUP(A105,PARTIDAS!A:F,6,FALSE()),0)</f>
        <v>28</v>
      </c>
      <c r="O105" s="247">
        <f t="shared" si="12"/>
        <v>1</v>
      </c>
      <c r="P105" s="247" t="str">
        <f>+_xlfn.XLOOKUP(A105,PPTO_GENERADOR!Q:Q,PPTO_GENERADOR!E:E,"-",0)</f>
        <v>-</v>
      </c>
      <c r="Q105" s="247">
        <f t="shared" si="13"/>
        <v>0</v>
      </c>
      <c r="R105" s="259" t="str">
        <f>+_xlfn.XLOOKUP(A105,PPTO_GENERADOR!$Q:$Q,PPTO_GENERADOR!A:A,"-",0)</f>
        <v>-</v>
      </c>
    </row>
    <row r="106" spans="1:18" ht="15" customHeight="1" x14ac:dyDescent="0.35">
      <c r="A106" s="38" t="s">
        <v>2474</v>
      </c>
      <c r="B106" s="38" t="s">
        <v>2774</v>
      </c>
      <c r="C106" s="38" t="s">
        <v>2775</v>
      </c>
      <c r="D106" s="38" t="s">
        <v>588</v>
      </c>
      <c r="E106" s="44" t="str">
        <f>IFERROR(VLOOKUP(D106,MATERIALES!A:B,2,FALSE()),"?")</f>
        <v>ARENA LAVADA</v>
      </c>
      <c r="F106" s="44" t="str">
        <f>IFERROR(VLOOKUP(D106,MATERIALES!A:C,3,FALSE()),"?")</f>
        <v>m3</v>
      </c>
      <c r="G106" s="45">
        <v>6.0000000000000001E-3</v>
      </c>
      <c r="H106" s="46">
        <v>0.1</v>
      </c>
      <c r="I106" s="47">
        <f>IFERROR(VLOOKUP(D106,MATERIALES!A:D,4,FALSE()),0)</f>
        <v>32399.77</v>
      </c>
      <c r="J106" s="42">
        <f>G106*I106*(1+H106)</f>
        <v>213.838482</v>
      </c>
      <c r="K106" s="15" t="str">
        <f t="shared" si="10"/>
        <v>ALB-042|MAT</v>
      </c>
      <c r="L106" s="15">
        <f>COUNTIFS($K$2:K106,K106)</f>
        <v>1</v>
      </c>
      <c r="M106" s="15" t="str">
        <f t="shared" si="11"/>
        <v>ALB-042|MAT|1</v>
      </c>
      <c r="N106" s="47">
        <f>IFERROR(VLOOKUP(A106,PARTIDAS!A:F,6,FALSE()),0)</f>
        <v>28</v>
      </c>
      <c r="O106" s="247">
        <f t="shared" si="12"/>
        <v>6.0000000000000001E-3</v>
      </c>
      <c r="P106" s="247" t="str">
        <f>+_xlfn.XLOOKUP(A106,PPTO_GENERADOR!Q:Q,PPTO_GENERADOR!E:E,"-",0)</f>
        <v>-</v>
      </c>
      <c r="Q106" s="247">
        <f t="shared" si="13"/>
        <v>0</v>
      </c>
      <c r="R106" s="259" t="str">
        <f>+_xlfn.XLOOKUP(A106,PPTO_GENERADOR!$Q:$Q,PPTO_GENERADOR!A:A,"-",0)</f>
        <v>-</v>
      </c>
    </row>
    <row r="107" spans="1:18" ht="15" customHeight="1" x14ac:dyDescent="0.35">
      <c r="A107" s="38" t="s">
        <v>2474</v>
      </c>
      <c r="B107" s="38" t="s">
        <v>2774</v>
      </c>
      <c r="C107" s="38" t="s">
        <v>2775</v>
      </c>
      <c r="D107" s="38" t="s">
        <v>599</v>
      </c>
      <c r="E107" s="44" t="str">
        <f>IFERROR(VLOOKUP(D107,MATERIALES!A:B,2,FALSE()),"?")</f>
        <v>Cemento Portland x 50kg</v>
      </c>
      <c r="F107" s="44" t="str">
        <f>IFERROR(VLOOKUP(D107,MATERIALES!A:C,3,FALSE()),"?")</f>
        <v>Bol</v>
      </c>
      <c r="G107" s="45">
        <v>5.3999999999999999E-2</v>
      </c>
      <c r="H107" s="46">
        <v>0.1</v>
      </c>
      <c r="I107" s="47">
        <f>IFERROR(VLOOKUP(D107,MATERIALES!A:D,4,FALSE()),0)</f>
        <v>7809.48</v>
      </c>
      <c r="J107" s="42">
        <f>G107*I107*(1+H107)</f>
        <v>463.88311199999998</v>
      </c>
      <c r="K107" s="15" t="str">
        <f t="shared" si="10"/>
        <v>ALB-042|MAT</v>
      </c>
      <c r="L107" s="15">
        <f>COUNTIFS($K$2:K107,K107)</f>
        <v>2</v>
      </c>
      <c r="M107" s="15" t="str">
        <f t="shared" si="11"/>
        <v>ALB-042|MAT|2</v>
      </c>
      <c r="N107" s="47">
        <f>IFERROR(VLOOKUP(A107,PARTIDAS!A:F,6,FALSE()),0)</f>
        <v>28</v>
      </c>
      <c r="O107" s="247">
        <f t="shared" si="12"/>
        <v>5.3999999999999999E-2</v>
      </c>
      <c r="P107" s="247" t="str">
        <f>+_xlfn.XLOOKUP(A107,PPTO_GENERADOR!Q:Q,PPTO_GENERADOR!E:E,"-",0)</f>
        <v>-</v>
      </c>
      <c r="Q107" s="247">
        <f t="shared" si="13"/>
        <v>0</v>
      </c>
      <c r="R107" s="259" t="str">
        <f>+_xlfn.XLOOKUP(A107,PPTO_GENERADOR!$Q:$Q,PPTO_GENERADOR!A:A,"-",0)</f>
        <v>-</v>
      </c>
    </row>
    <row r="108" spans="1:18" ht="15" customHeight="1" x14ac:dyDescent="0.35">
      <c r="A108" s="38" t="s">
        <v>2474</v>
      </c>
      <c r="B108" s="38" t="s">
        <v>2774</v>
      </c>
      <c r="C108" s="38" t="s">
        <v>2775</v>
      </c>
      <c r="D108" s="38" t="s">
        <v>660</v>
      </c>
      <c r="E108" s="44" t="str">
        <f>IFERROR(VLOOKUP(D108,MATERIALES!A:B,2,FALSE()),"?")</f>
        <v>Aditivo Hidrofugo en pasta - Ceresita x 1kg</v>
      </c>
      <c r="F108" s="44" t="str">
        <f>IFERROR(VLOOKUP(D108,MATERIALES!A:C,3,FALSE()),"?")</f>
        <v>kg</v>
      </c>
      <c r="G108" s="45">
        <v>0.1</v>
      </c>
      <c r="H108" s="46">
        <v>0.05</v>
      </c>
      <c r="I108" s="47">
        <f>IFERROR(VLOOKUP(D108,MATERIALES!A:D,4,FALSE()),0)</f>
        <v>1256.1279999999999</v>
      </c>
      <c r="J108" s="42">
        <f>G108*I108*(1+H108)</f>
        <v>131.89344</v>
      </c>
      <c r="K108" s="15" t="str">
        <f t="shared" si="10"/>
        <v>ALB-042|MAT</v>
      </c>
      <c r="L108" s="15">
        <f>COUNTIFS($K$2:K108,K108)</f>
        <v>3</v>
      </c>
      <c r="M108" s="15" t="str">
        <f t="shared" si="11"/>
        <v>ALB-042|MAT|3</v>
      </c>
      <c r="N108" s="47">
        <f>IFERROR(VLOOKUP(A108,PARTIDAS!A:F,6,FALSE()),0)</f>
        <v>28</v>
      </c>
      <c r="O108" s="247">
        <f t="shared" si="12"/>
        <v>0.1</v>
      </c>
      <c r="P108" s="247" t="str">
        <f>+_xlfn.XLOOKUP(A108,PPTO_GENERADOR!Q:Q,PPTO_GENERADOR!E:E,"-",0)</f>
        <v>-</v>
      </c>
      <c r="Q108" s="247">
        <f t="shared" si="13"/>
        <v>0</v>
      </c>
      <c r="R108" s="259" t="str">
        <f>+_xlfn.XLOOKUP(A108,PPTO_GENERADOR!$Q:$Q,PPTO_GENERADOR!A:A,"-",0)</f>
        <v>-</v>
      </c>
    </row>
    <row r="109" spans="1:18" ht="15" customHeight="1" x14ac:dyDescent="0.35">
      <c r="A109" s="38" t="s">
        <v>2474</v>
      </c>
      <c r="B109" s="38" t="s">
        <v>2776</v>
      </c>
      <c r="C109" s="38" t="s">
        <v>2777</v>
      </c>
      <c r="D109" s="237" t="s">
        <v>1577</v>
      </c>
      <c r="E109" s="44" t="str">
        <f>IFERROR(VLOOKUP(D109,MANO_DE_OBRA!A:B,2,FALSE()),"?")</f>
        <v>AYUDANTE</v>
      </c>
      <c r="F109" s="44" t="s">
        <v>2778</v>
      </c>
      <c r="G109" s="45">
        <v>0.4</v>
      </c>
      <c r="H109" s="46">
        <v>0</v>
      </c>
      <c r="I109" s="47">
        <f>IFERROR(VLOOKUP(D109,MANO_DE_OBRA!A:C,3,FALSE()),0)</f>
        <v>60860.580776572002</v>
      </c>
      <c r="J109" s="42">
        <f>G109*I109</f>
        <v>24344.232310628802</v>
      </c>
      <c r="K109" s="15" t="str">
        <f t="shared" si="10"/>
        <v>ALB-042|MO</v>
      </c>
      <c r="L109" s="15">
        <f>COUNTIFS($K$2:K109,K109)</f>
        <v>1</v>
      </c>
      <c r="M109" s="15" t="str">
        <f t="shared" si="11"/>
        <v>ALB-042|MO|1</v>
      </c>
      <c r="N109" s="47">
        <f>IFERROR(VLOOKUP(A109,PARTIDAS!A:F,6,FALSE()),0)</f>
        <v>28</v>
      </c>
      <c r="O109" s="247">
        <f t="shared" si="12"/>
        <v>1.4285714285714287E-2</v>
      </c>
      <c r="P109" s="247" t="str">
        <f>+_xlfn.XLOOKUP(A109,PPTO_GENERADOR!Q:Q,PPTO_GENERADOR!E:E,"-",0)</f>
        <v>-</v>
      </c>
      <c r="Q109" s="247">
        <f t="shared" si="13"/>
        <v>0</v>
      </c>
      <c r="R109" s="259" t="str">
        <f>+_xlfn.XLOOKUP(A109,PPTO_GENERADOR!$Q:$Q,PPTO_GENERADOR!A:A,"-",0)</f>
        <v>-</v>
      </c>
    </row>
    <row r="110" spans="1:18" ht="15" customHeight="1" x14ac:dyDescent="0.35">
      <c r="A110" s="38" t="s">
        <v>2474</v>
      </c>
      <c r="B110" s="38" t="s">
        <v>2776</v>
      </c>
      <c r="C110" s="38" t="s">
        <v>2777</v>
      </c>
      <c r="D110" s="237" t="s">
        <v>1568</v>
      </c>
      <c r="E110" s="44" t="str">
        <f>IFERROR(VLOOKUP(D110,MANO_DE_OBRA!A:B,2,FALSE()),"?")</f>
        <v>ESPECIALIZADO</v>
      </c>
      <c r="F110" s="44" t="s">
        <v>2778</v>
      </c>
      <c r="G110" s="45">
        <v>1</v>
      </c>
      <c r="H110" s="46">
        <v>0</v>
      </c>
      <c r="I110" s="47">
        <f>IFERROR(VLOOKUP(D110,MANO_DE_OBRA!A:C,3,FALSE()),0)</f>
        <v>85927.097156571996</v>
      </c>
      <c r="J110" s="42">
        <f>G110*I110</f>
        <v>85927.097156571996</v>
      </c>
      <c r="K110" s="15" t="str">
        <f t="shared" si="10"/>
        <v>ALB-042|MO</v>
      </c>
      <c r="L110" s="15">
        <f>COUNTIFS($K$2:K110,K110)</f>
        <v>2</v>
      </c>
      <c r="M110" s="15" t="str">
        <f t="shared" si="11"/>
        <v>ALB-042|MO|2</v>
      </c>
      <c r="N110" s="47">
        <f>IFERROR(VLOOKUP(A110,PARTIDAS!A:F,6,FALSE()),0)</f>
        <v>28</v>
      </c>
      <c r="O110" s="247">
        <f t="shared" si="12"/>
        <v>3.5714285714285712E-2</v>
      </c>
      <c r="P110" s="247" t="str">
        <f>+_xlfn.XLOOKUP(A110,PPTO_GENERADOR!Q:Q,PPTO_GENERADOR!E:E,"-",0)</f>
        <v>-</v>
      </c>
      <c r="Q110" s="247">
        <f t="shared" si="13"/>
        <v>0</v>
      </c>
      <c r="R110" s="259" t="str">
        <f>+_xlfn.XLOOKUP(A110,PPTO_GENERADOR!$Q:$Q,PPTO_GENERADOR!A:A,"-",0)</f>
        <v>-</v>
      </c>
    </row>
    <row r="111" spans="1:18" ht="15" customHeight="1" x14ac:dyDescent="0.35">
      <c r="A111" s="38" t="s">
        <v>2477</v>
      </c>
      <c r="B111" s="38" t="s">
        <v>2773</v>
      </c>
      <c r="C111" s="38"/>
      <c r="D111" s="38" t="s">
        <v>1592</v>
      </c>
      <c r="E111" s="44" t="str">
        <f>IFERROR(VLOOKUP(D111,EQUIPOS!A:B,2,FALSE()),"?")</f>
        <v>ANDAMIO TUBULAR DE UNO A TRES CUERPOS</v>
      </c>
      <c r="F111" s="44"/>
      <c r="G111" s="45">
        <v>0.5</v>
      </c>
      <c r="H111" s="46">
        <v>0</v>
      </c>
      <c r="I111" s="47">
        <f>IFERROR(VLOOKUP(D111,EQUIPOS!A:F,6,FALSE()),0)</f>
        <v>571.1794909807611</v>
      </c>
      <c r="J111" s="42">
        <f>G111*I111</f>
        <v>285.58974549038055</v>
      </c>
      <c r="K111" s="15" t="str">
        <f t="shared" si="10"/>
        <v>ALB-043|EQ</v>
      </c>
      <c r="L111" s="15">
        <f>COUNTIFS($K$2:K111,K111)</f>
        <v>1</v>
      </c>
      <c r="M111" s="15" t="str">
        <f t="shared" si="11"/>
        <v>ALB-043|EQ|1</v>
      </c>
      <c r="N111" s="47">
        <f>IFERROR(VLOOKUP(A111,PARTIDAS!A:F,6,FALSE()),0)</f>
        <v>6</v>
      </c>
      <c r="O111" s="247">
        <f t="shared" si="12"/>
        <v>0.5</v>
      </c>
      <c r="P111" s="247" t="str">
        <f>+_xlfn.XLOOKUP(A111,PPTO_GENERADOR!Q:Q,PPTO_GENERADOR!E:E,"-",0)</f>
        <v>-</v>
      </c>
      <c r="Q111" s="247">
        <f t="shared" si="13"/>
        <v>0</v>
      </c>
      <c r="R111" s="259" t="str">
        <f>+_xlfn.XLOOKUP(A111,PPTO_GENERADOR!$Q:$Q,PPTO_GENERADOR!A:A,"-",0)</f>
        <v>-</v>
      </c>
    </row>
    <row r="112" spans="1:18" ht="15" customHeight="1" x14ac:dyDescent="0.35">
      <c r="A112" s="38" t="s">
        <v>2477</v>
      </c>
      <c r="B112" s="38" t="s">
        <v>2773</v>
      </c>
      <c r="C112" s="38"/>
      <c r="D112" s="38" t="s">
        <v>1595</v>
      </c>
      <c r="E112" s="44" t="str">
        <f>IFERROR(VLOOKUP(D112,EQUIPOS!A:B,2,FALSE()),"?")</f>
        <v>EQUIPO DE ALBAÑILERIA, carpetas, ladrillo</v>
      </c>
      <c r="F112" s="44"/>
      <c r="G112" s="45">
        <v>1</v>
      </c>
      <c r="H112" s="46">
        <v>0</v>
      </c>
      <c r="I112" s="47">
        <f>IFERROR(VLOOKUP(D112,EQUIPOS!A:F,6,FALSE()),0)</f>
        <v>2287.1357450968057</v>
      </c>
      <c r="J112" s="42">
        <f>G112*I112</f>
        <v>2287.1357450968057</v>
      </c>
      <c r="K112" s="15" t="str">
        <f t="shared" si="10"/>
        <v>ALB-043|EQ</v>
      </c>
      <c r="L112" s="15">
        <f>COUNTIFS($K$2:K112,K112)</f>
        <v>2</v>
      </c>
      <c r="M112" s="15" t="str">
        <f t="shared" si="11"/>
        <v>ALB-043|EQ|2</v>
      </c>
      <c r="N112" s="47">
        <f>IFERROR(VLOOKUP(A112,PARTIDAS!A:F,6,FALSE()),0)</f>
        <v>6</v>
      </c>
      <c r="O112" s="247">
        <f t="shared" si="12"/>
        <v>1</v>
      </c>
      <c r="P112" s="247" t="str">
        <f>+_xlfn.XLOOKUP(A112,PPTO_GENERADOR!Q:Q,PPTO_GENERADOR!E:E,"-",0)</f>
        <v>-</v>
      </c>
      <c r="Q112" s="247">
        <f t="shared" si="13"/>
        <v>0</v>
      </c>
      <c r="R112" s="259" t="str">
        <f>+_xlfn.XLOOKUP(A112,PPTO_GENERADOR!$Q:$Q,PPTO_GENERADOR!A:A,"-",0)</f>
        <v>-</v>
      </c>
    </row>
    <row r="113" spans="1:18" ht="15" customHeight="1" x14ac:dyDescent="0.35">
      <c r="A113" s="38" t="s">
        <v>2477</v>
      </c>
      <c r="B113" s="38" t="s">
        <v>2773</v>
      </c>
      <c r="C113" s="38"/>
      <c r="D113" s="38" t="s">
        <v>1613</v>
      </c>
      <c r="E113" s="44" t="str">
        <f>IFERROR(VLOOKUP(D113,EQUIPOS!A:B,2,FALSE()),"?")</f>
        <v>Hormigonera De 150 Litros 1hp Con Rueda Maciza</v>
      </c>
      <c r="F113" s="44"/>
      <c r="G113" s="45">
        <v>1</v>
      </c>
      <c r="H113" s="46">
        <v>0</v>
      </c>
      <c r="I113" s="47">
        <f>IFERROR(VLOOKUP(D113,EQUIPOS!A:F,6,FALSE()),0)</f>
        <v>957.25319614994726</v>
      </c>
      <c r="J113" s="42">
        <f>G113*I113</f>
        <v>957.25319614994726</v>
      </c>
      <c r="K113" s="15" t="str">
        <f t="shared" si="10"/>
        <v>ALB-043|EQ</v>
      </c>
      <c r="L113" s="15">
        <f>COUNTIFS($K$2:K113,K113)</f>
        <v>3</v>
      </c>
      <c r="M113" s="15" t="str">
        <f t="shared" si="11"/>
        <v>ALB-043|EQ|3</v>
      </c>
      <c r="N113" s="47">
        <f>IFERROR(VLOOKUP(A113,PARTIDAS!A:F,6,FALSE()),0)</f>
        <v>6</v>
      </c>
      <c r="O113" s="247">
        <f t="shared" si="12"/>
        <v>1</v>
      </c>
      <c r="P113" s="247" t="str">
        <f>+_xlfn.XLOOKUP(A113,PPTO_GENERADOR!Q:Q,PPTO_GENERADOR!E:E,"-",0)</f>
        <v>-</v>
      </c>
      <c r="Q113" s="247">
        <f t="shared" si="13"/>
        <v>0</v>
      </c>
      <c r="R113" s="259" t="str">
        <f>+_xlfn.XLOOKUP(A113,PPTO_GENERADOR!$Q:$Q,PPTO_GENERADOR!A:A,"-",0)</f>
        <v>-</v>
      </c>
    </row>
    <row r="114" spans="1:18" ht="15" customHeight="1" x14ac:dyDescent="0.35">
      <c r="A114" s="38" t="s">
        <v>2477</v>
      </c>
      <c r="B114" s="38" t="s">
        <v>2774</v>
      </c>
      <c r="C114" s="38" t="s">
        <v>2775</v>
      </c>
      <c r="D114" s="38" t="s">
        <v>588</v>
      </c>
      <c r="E114" s="44" t="str">
        <f>IFERROR(VLOOKUP(D114,MATERIALES!A:B,2,FALSE()),"?")</f>
        <v>ARENA LAVADA</v>
      </c>
      <c r="F114" s="44" t="str">
        <f>IFERROR(VLOOKUP(D114,MATERIALES!A:C,3,FALSE()),"?")</f>
        <v>m3</v>
      </c>
      <c r="G114" s="45">
        <v>2.7E-2</v>
      </c>
      <c r="H114" s="46">
        <v>0.1</v>
      </c>
      <c r="I114" s="47">
        <f>IFERROR(VLOOKUP(D114,MATERIALES!A:D,4,FALSE()),0)</f>
        <v>32399.77</v>
      </c>
      <c r="J114" s="42">
        <f>G114*I114*(1+H114)</f>
        <v>962.27316900000017</v>
      </c>
      <c r="K114" s="15" t="str">
        <f t="shared" si="10"/>
        <v>ALB-043|MAT</v>
      </c>
      <c r="L114" s="15">
        <f>COUNTIFS($K$2:K114,K114)</f>
        <v>1</v>
      </c>
      <c r="M114" s="15" t="str">
        <f t="shared" si="11"/>
        <v>ALB-043|MAT|1</v>
      </c>
      <c r="N114" s="47">
        <f>IFERROR(VLOOKUP(A114,PARTIDAS!A:F,6,FALSE()),0)</f>
        <v>6</v>
      </c>
      <c r="O114" s="247">
        <f t="shared" si="12"/>
        <v>2.7E-2</v>
      </c>
      <c r="P114" s="247" t="str">
        <f>+_xlfn.XLOOKUP(A114,PPTO_GENERADOR!Q:Q,PPTO_GENERADOR!E:E,"-",0)</f>
        <v>-</v>
      </c>
      <c r="Q114" s="247">
        <f t="shared" si="13"/>
        <v>0</v>
      </c>
      <c r="R114" s="259" t="str">
        <f>+_xlfn.XLOOKUP(A114,PPTO_GENERADOR!$Q:$Q,PPTO_GENERADOR!A:A,"-",0)</f>
        <v>-</v>
      </c>
    </row>
    <row r="115" spans="1:18" ht="15" customHeight="1" x14ac:dyDescent="0.35">
      <c r="A115" s="38" t="s">
        <v>2477</v>
      </c>
      <c r="B115" s="38" t="s">
        <v>2774</v>
      </c>
      <c r="C115" s="38" t="s">
        <v>2775</v>
      </c>
      <c r="D115" s="38" t="s">
        <v>599</v>
      </c>
      <c r="E115" s="44" t="str">
        <f>IFERROR(VLOOKUP(D115,MATERIALES!A:B,2,FALSE()),"?")</f>
        <v>Cemento Portland x 50kg</v>
      </c>
      <c r="F115" s="44" t="str">
        <f>IFERROR(VLOOKUP(D115,MATERIALES!A:C,3,FALSE()),"?")</f>
        <v>Bol</v>
      </c>
      <c r="G115" s="45">
        <v>4.5999999999999999E-2</v>
      </c>
      <c r="H115" s="46">
        <v>0.1</v>
      </c>
      <c r="I115" s="47">
        <f>IFERROR(VLOOKUP(D115,MATERIALES!A:D,4,FALSE()),0)</f>
        <v>7809.48</v>
      </c>
      <c r="J115" s="42">
        <f>G115*I115*(1+H115)</f>
        <v>395.15968799999996</v>
      </c>
      <c r="K115" s="15" t="str">
        <f t="shared" si="10"/>
        <v>ALB-043|MAT</v>
      </c>
      <c r="L115" s="15">
        <f>COUNTIFS($K$2:K115,K115)</f>
        <v>2</v>
      </c>
      <c r="M115" s="15" t="str">
        <f t="shared" si="11"/>
        <v>ALB-043|MAT|2</v>
      </c>
      <c r="N115" s="47">
        <f>IFERROR(VLOOKUP(A115,PARTIDAS!A:F,6,FALSE()),0)</f>
        <v>6</v>
      </c>
      <c r="O115" s="247">
        <f t="shared" si="12"/>
        <v>4.5999999999999999E-2</v>
      </c>
      <c r="P115" s="247" t="str">
        <f>+_xlfn.XLOOKUP(A115,PPTO_GENERADOR!Q:Q,PPTO_GENERADOR!E:E,"-",0)</f>
        <v>-</v>
      </c>
      <c r="Q115" s="247">
        <f t="shared" si="13"/>
        <v>0</v>
      </c>
      <c r="R115" s="259" t="str">
        <f>+_xlfn.XLOOKUP(A115,PPTO_GENERADOR!$Q:$Q,PPTO_GENERADOR!A:A,"-",0)</f>
        <v>-</v>
      </c>
    </row>
    <row r="116" spans="1:18" ht="15" customHeight="1" x14ac:dyDescent="0.35">
      <c r="A116" s="38" t="s">
        <v>2477</v>
      </c>
      <c r="B116" s="38" t="s">
        <v>2774</v>
      </c>
      <c r="C116" s="38" t="s">
        <v>2775</v>
      </c>
      <c r="D116" s="38" t="s">
        <v>604</v>
      </c>
      <c r="E116" s="44" t="str">
        <f>IFERROR(VLOOKUP(D116,MATERIALES!A:B,2,FALSE()),"?")</f>
        <v>Cal Comun x 25kg</v>
      </c>
      <c r="F116" s="44" t="str">
        <f>IFERROR(VLOOKUP(D116,MATERIALES!A:C,3,FALSE()),"?")</f>
        <v>bol</v>
      </c>
      <c r="G116" s="45">
        <v>0.14399999999999999</v>
      </c>
      <c r="H116" s="46">
        <v>0.1</v>
      </c>
      <c r="I116" s="47">
        <f>IFERROR(VLOOKUP(D116,MATERIALES!A:D,4,FALSE()),0)</f>
        <v>3837.96</v>
      </c>
      <c r="J116" s="42">
        <f>G116*I116*(1+H116)</f>
        <v>607.93286400000011</v>
      </c>
      <c r="K116" s="15" t="str">
        <f t="shared" si="10"/>
        <v>ALB-043|MAT</v>
      </c>
      <c r="L116" s="15">
        <f>COUNTIFS($K$2:K116,K116)</f>
        <v>3</v>
      </c>
      <c r="M116" s="15" t="str">
        <f t="shared" si="11"/>
        <v>ALB-043|MAT|3</v>
      </c>
      <c r="N116" s="47">
        <f>IFERROR(VLOOKUP(A116,PARTIDAS!A:F,6,FALSE()),0)</f>
        <v>6</v>
      </c>
      <c r="O116" s="247">
        <f t="shared" si="12"/>
        <v>0.14399999999999999</v>
      </c>
      <c r="P116" s="247" t="str">
        <f>+_xlfn.XLOOKUP(A116,PPTO_GENERADOR!Q:Q,PPTO_GENERADOR!E:E,"-",0)</f>
        <v>-</v>
      </c>
      <c r="Q116" s="247">
        <f t="shared" si="13"/>
        <v>0</v>
      </c>
      <c r="R116" s="259" t="str">
        <f>+_xlfn.XLOOKUP(A116,PPTO_GENERADOR!$Q:$Q,PPTO_GENERADOR!A:A,"-",0)</f>
        <v>-</v>
      </c>
    </row>
    <row r="117" spans="1:18" ht="15" customHeight="1" x14ac:dyDescent="0.35">
      <c r="A117" s="38" t="s">
        <v>2477</v>
      </c>
      <c r="B117" s="38" t="s">
        <v>2774</v>
      </c>
      <c r="C117" s="38" t="s">
        <v>2775</v>
      </c>
      <c r="D117" s="38" t="s">
        <v>608</v>
      </c>
      <c r="E117" s="44" t="str">
        <f>IFERROR(VLOOKUP(D117,MATERIALES!A:B,2,FALSE()),"?")</f>
        <v>cal milagro</v>
      </c>
      <c r="F117" s="44" t="str">
        <f>IFERROR(VLOOKUP(D117,MATERIALES!A:C,3,FALSE()),"?")</f>
        <v>bol</v>
      </c>
      <c r="G117" s="45">
        <v>6.4000000000000001E-2</v>
      </c>
      <c r="H117" s="46">
        <v>0.1</v>
      </c>
      <c r="I117" s="47">
        <f>IFERROR(VLOOKUP(D117,MATERIALES!A:D,4,FALSE()),0)</f>
        <v>10936.8</v>
      </c>
      <c r="J117" s="42">
        <f>G117*I117*(1+H117)</f>
        <v>769.95072000000005</v>
      </c>
      <c r="K117" s="15" t="str">
        <f t="shared" si="10"/>
        <v>ALB-043|MAT</v>
      </c>
      <c r="L117" s="15">
        <f>COUNTIFS($K$2:K117,K117)</f>
        <v>4</v>
      </c>
      <c r="M117" s="15" t="str">
        <f t="shared" si="11"/>
        <v>ALB-043|MAT|4</v>
      </c>
      <c r="N117" s="47">
        <f>IFERROR(VLOOKUP(A117,PARTIDAS!A:F,6,FALSE()),0)</f>
        <v>6</v>
      </c>
      <c r="O117" s="247">
        <f t="shared" si="12"/>
        <v>6.4000000000000001E-2</v>
      </c>
      <c r="P117" s="247" t="str">
        <f>+_xlfn.XLOOKUP(A117,PPTO_GENERADOR!Q:Q,PPTO_GENERADOR!E:E,"-",0)</f>
        <v>-</v>
      </c>
      <c r="Q117" s="247">
        <f t="shared" si="13"/>
        <v>0</v>
      </c>
      <c r="R117" s="259" t="str">
        <f>+_xlfn.XLOOKUP(A117,PPTO_GENERADOR!$Q:$Q,PPTO_GENERADOR!A:A,"-",0)</f>
        <v>-</v>
      </c>
    </row>
    <row r="118" spans="1:18" ht="15" customHeight="1" x14ac:dyDescent="0.35">
      <c r="A118" s="38" t="s">
        <v>2477</v>
      </c>
      <c r="B118" s="38" t="s">
        <v>2776</v>
      </c>
      <c r="C118" s="38" t="s">
        <v>2777</v>
      </c>
      <c r="D118" s="237" t="s">
        <v>1577</v>
      </c>
      <c r="E118" s="44" t="str">
        <f>IFERROR(VLOOKUP(D118,MANO_DE_OBRA!A:B,2,FALSE()),"?")</f>
        <v>AYUDANTE</v>
      </c>
      <c r="F118" s="44" t="s">
        <v>2778</v>
      </c>
      <c r="G118" s="45">
        <v>0.65</v>
      </c>
      <c r="H118" s="46">
        <v>0</v>
      </c>
      <c r="I118" s="47">
        <f>IFERROR(VLOOKUP(D118,MANO_DE_OBRA!A:C,3,FALSE()),0)</f>
        <v>60860.580776572002</v>
      </c>
      <c r="J118" s="42">
        <f>G118*I118</f>
        <v>39559.377504771801</v>
      </c>
      <c r="K118" s="15" t="str">
        <f t="shared" si="10"/>
        <v>ALB-043|MO</v>
      </c>
      <c r="L118" s="15">
        <f>COUNTIFS($K$2:K118,K118)</f>
        <v>1</v>
      </c>
      <c r="M118" s="15" t="str">
        <f t="shared" si="11"/>
        <v>ALB-043|MO|1</v>
      </c>
      <c r="N118" s="47">
        <f>IFERROR(VLOOKUP(A118,PARTIDAS!A:F,6,FALSE()),0)</f>
        <v>6</v>
      </c>
      <c r="O118" s="247">
        <f t="shared" si="12"/>
        <v>0.10833333333333334</v>
      </c>
      <c r="P118" s="247" t="str">
        <f>+_xlfn.XLOOKUP(A118,PPTO_GENERADOR!Q:Q,PPTO_GENERADOR!E:E,"-",0)</f>
        <v>-</v>
      </c>
      <c r="Q118" s="247">
        <f t="shared" si="13"/>
        <v>0</v>
      </c>
      <c r="R118" s="259" t="str">
        <f>+_xlfn.XLOOKUP(A118,PPTO_GENERADOR!$Q:$Q,PPTO_GENERADOR!A:A,"-",0)</f>
        <v>-</v>
      </c>
    </row>
    <row r="119" spans="1:18" ht="15" customHeight="1" x14ac:dyDescent="0.35">
      <c r="A119" s="38" t="s">
        <v>2477</v>
      </c>
      <c r="B119" s="38" t="s">
        <v>2776</v>
      </c>
      <c r="C119" s="38" t="s">
        <v>2777</v>
      </c>
      <c r="D119" s="237" t="s">
        <v>1568</v>
      </c>
      <c r="E119" s="44" t="str">
        <f>IFERROR(VLOOKUP(D119,MANO_DE_OBRA!A:B,2,FALSE()),"?")</f>
        <v>ESPECIALIZADO</v>
      </c>
      <c r="F119" s="44" t="s">
        <v>2778</v>
      </c>
      <c r="G119" s="45">
        <v>1</v>
      </c>
      <c r="H119" s="46">
        <v>0</v>
      </c>
      <c r="I119" s="47">
        <f>IFERROR(VLOOKUP(D119,MANO_DE_OBRA!A:C,3,FALSE()),0)</f>
        <v>85927.097156571996</v>
      </c>
      <c r="J119" s="42">
        <f>G119*I119</f>
        <v>85927.097156571996</v>
      </c>
      <c r="K119" s="15" t="str">
        <f t="shared" si="10"/>
        <v>ALB-043|MO</v>
      </c>
      <c r="L119" s="15">
        <f>COUNTIFS($K$2:K119,K119)</f>
        <v>2</v>
      </c>
      <c r="M119" s="15" t="str">
        <f t="shared" si="11"/>
        <v>ALB-043|MO|2</v>
      </c>
      <c r="N119" s="47">
        <f>IFERROR(VLOOKUP(A119,PARTIDAS!A:F,6,FALSE()),0)</f>
        <v>6</v>
      </c>
      <c r="O119" s="247">
        <f t="shared" si="12"/>
        <v>0.16666666666666666</v>
      </c>
      <c r="P119" s="247" t="str">
        <f>+_xlfn.XLOOKUP(A119,PPTO_GENERADOR!Q:Q,PPTO_GENERADOR!E:E,"-",0)</f>
        <v>-</v>
      </c>
      <c r="Q119" s="247">
        <f t="shared" si="13"/>
        <v>0</v>
      </c>
      <c r="R119" s="259" t="str">
        <f>+_xlfn.XLOOKUP(A119,PPTO_GENERADOR!$Q:$Q,PPTO_GENERADOR!A:A,"-",0)</f>
        <v>-</v>
      </c>
    </row>
    <row r="120" spans="1:18" ht="15" customHeight="1" x14ac:dyDescent="0.35">
      <c r="A120" s="38" t="s">
        <v>143</v>
      </c>
      <c r="B120" s="38" t="s">
        <v>2773</v>
      </c>
      <c r="C120" s="38"/>
      <c r="D120" s="38" t="s">
        <v>1592</v>
      </c>
      <c r="E120" s="44" t="str">
        <f>IFERROR(VLOOKUP(D120,EQUIPOS!A:B,2,FALSE()),"?")</f>
        <v>ANDAMIO TUBULAR DE UNO A TRES CUERPOS</v>
      </c>
      <c r="F120" s="44"/>
      <c r="G120" s="45">
        <v>0.5</v>
      </c>
      <c r="H120" s="46">
        <v>0</v>
      </c>
      <c r="I120" s="47">
        <f>IFERROR(VLOOKUP(D120,EQUIPOS!A:F,6,FALSE()),0)</f>
        <v>571.1794909807611</v>
      </c>
      <c r="J120" s="42">
        <f>G120*I120</f>
        <v>285.58974549038055</v>
      </c>
      <c r="K120" s="15" t="str">
        <f t="shared" si="10"/>
        <v>ALB-044|EQ</v>
      </c>
      <c r="L120" s="15">
        <f>COUNTIFS($K$2:K120,K120)</f>
        <v>1</v>
      </c>
      <c r="M120" s="15" t="str">
        <f t="shared" si="11"/>
        <v>ALB-044|EQ|1</v>
      </c>
      <c r="N120" s="47">
        <f>IFERROR(VLOOKUP(A120,PARTIDAS!A:F,6,FALSE()),0)</f>
        <v>11.5</v>
      </c>
      <c r="O120" s="247">
        <f t="shared" si="12"/>
        <v>0.5</v>
      </c>
      <c r="P120" s="247">
        <f>+_xlfn.XLOOKUP(A120,PPTO_GENERADOR!Q:Q,PPTO_GENERADOR!E:E,"-",0)</f>
        <v>879</v>
      </c>
      <c r="Q120" s="247">
        <f t="shared" si="13"/>
        <v>439.5</v>
      </c>
      <c r="R120" s="259">
        <f>+_xlfn.XLOOKUP(A120,PPTO_GENERADOR!$Q:$Q,PPTO_GENERADOR!A:A,"-",0)</f>
        <v>7.01</v>
      </c>
    </row>
    <row r="121" spans="1:18" ht="15" customHeight="1" x14ac:dyDescent="0.35">
      <c r="A121" s="38" t="s">
        <v>143</v>
      </c>
      <c r="B121" s="38" t="s">
        <v>2773</v>
      </c>
      <c r="C121" s="38"/>
      <c r="D121" s="38" t="s">
        <v>1595</v>
      </c>
      <c r="E121" s="44" t="str">
        <f>IFERROR(VLOOKUP(D121,EQUIPOS!A:B,2,FALSE()),"?")</f>
        <v>EQUIPO DE ALBAÑILERIA, carpetas, ladrillo</v>
      </c>
      <c r="F121" s="44"/>
      <c r="G121" s="45">
        <v>1</v>
      </c>
      <c r="H121" s="46">
        <v>0</v>
      </c>
      <c r="I121" s="47">
        <f>IFERROR(VLOOKUP(D121,EQUIPOS!A:F,6,FALSE()),0)</f>
        <v>2287.1357450968057</v>
      </c>
      <c r="J121" s="42">
        <f>G121*I121</f>
        <v>2287.1357450968057</v>
      </c>
      <c r="K121" s="15" t="str">
        <f t="shared" si="10"/>
        <v>ALB-044|EQ</v>
      </c>
      <c r="L121" s="15">
        <f>COUNTIFS($K$2:K121,K121)</f>
        <v>2</v>
      </c>
      <c r="M121" s="15" t="str">
        <f t="shared" si="11"/>
        <v>ALB-044|EQ|2</v>
      </c>
      <c r="N121" s="47">
        <f>IFERROR(VLOOKUP(A121,PARTIDAS!A:F,6,FALSE()),0)</f>
        <v>11.5</v>
      </c>
      <c r="O121" s="247">
        <f t="shared" si="12"/>
        <v>1</v>
      </c>
      <c r="P121" s="247">
        <f>+_xlfn.XLOOKUP(A121,PPTO_GENERADOR!Q:Q,PPTO_GENERADOR!E:E,"-",0)</f>
        <v>879</v>
      </c>
      <c r="Q121" s="247">
        <f t="shared" si="13"/>
        <v>879</v>
      </c>
      <c r="R121" s="259">
        <f>+_xlfn.XLOOKUP(A121,PPTO_GENERADOR!$Q:$Q,PPTO_GENERADOR!A:A,"-",0)</f>
        <v>7.01</v>
      </c>
    </row>
    <row r="122" spans="1:18" ht="15" customHeight="1" x14ac:dyDescent="0.35">
      <c r="A122" s="38" t="s">
        <v>143</v>
      </c>
      <c r="B122" s="38" t="s">
        <v>2773</v>
      </c>
      <c r="C122" s="38"/>
      <c r="D122" s="38" t="s">
        <v>1613</v>
      </c>
      <c r="E122" s="44" t="str">
        <f>IFERROR(VLOOKUP(D122,EQUIPOS!A:B,2,FALSE()),"?")</f>
        <v>Hormigonera De 150 Litros 1hp Con Rueda Maciza</v>
      </c>
      <c r="F122" s="44"/>
      <c r="G122" s="45">
        <v>1</v>
      </c>
      <c r="H122" s="46">
        <v>0</v>
      </c>
      <c r="I122" s="47">
        <f>IFERROR(VLOOKUP(D122,EQUIPOS!A:F,6,FALSE()),0)</f>
        <v>957.25319614994726</v>
      </c>
      <c r="J122" s="42">
        <f>G122*I122</f>
        <v>957.25319614994726</v>
      </c>
      <c r="K122" s="15" t="str">
        <f t="shared" si="10"/>
        <v>ALB-044|EQ</v>
      </c>
      <c r="L122" s="15">
        <f>COUNTIFS($K$2:K122,K122)</f>
        <v>3</v>
      </c>
      <c r="M122" s="15" t="str">
        <f t="shared" si="11"/>
        <v>ALB-044|EQ|3</v>
      </c>
      <c r="N122" s="47">
        <f>IFERROR(VLOOKUP(A122,PARTIDAS!A:F,6,FALSE()),0)</f>
        <v>11.5</v>
      </c>
      <c r="O122" s="247">
        <f t="shared" si="12"/>
        <v>1</v>
      </c>
      <c r="P122" s="247">
        <f>+_xlfn.XLOOKUP(A122,PPTO_GENERADOR!Q:Q,PPTO_GENERADOR!E:E,"-",0)</f>
        <v>879</v>
      </c>
      <c r="Q122" s="247">
        <f t="shared" si="13"/>
        <v>879</v>
      </c>
      <c r="R122" s="259">
        <f>+_xlfn.XLOOKUP(A122,PPTO_GENERADOR!$Q:$Q,PPTO_GENERADOR!A:A,"-",0)</f>
        <v>7.01</v>
      </c>
    </row>
    <row r="123" spans="1:18" ht="15" customHeight="1" x14ac:dyDescent="0.35">
      <c r="A123" s="38" t="s">
        <v>143</v>
      </c>
      <c r="B123" s="38" t="s">
        <v>2774</v>
      </c>
      <c r="C123" s="38" t="s">
        <v>2775</v>
      </c>
      <c r="D123" s="38" t="s">
        <v>588</v>
      </c>
      <c r="E123" s="44" t="str">
        <f>IFERROR(VLOOKUP(D123,MATERIALES!A:B,2,FALSE()),"?")</f>
        <v>ARENA LAVADA</v>
      </c>
      <c r="F123" s="44" t="str">
        <f>IFERROR(VLOOKUP(D123,MATERIALES!A:C,3,FALSE()),"?")</f>
        <v>m3</v>
      </c>
      <c r="G123" s="45">
        <v>2.5999999999999999E-2</v>
      </c>
      <c r="H123" s="46">
        <v>0.1</v>
      </c>
      <c r="I123" s="47">
        <f>IFERROR(VLOOKUP(D123,MATERIALES!A:D,4,FALSE()),0)</f>
        <v>32399.77</v>
      </c>
      <c r="J123" s="42">
        <f>G123*I123*(1+H123)</f>
        <v>926.633422</v>
      </c>
      <c r="K123" s="15" t="str">
        <f t="shared" si="10"/>
        <v>ALB-044|MAT</v>
      </c>
      <c r="L123" s="15">
        <f>COUNTIFS($K$2:K123,K123)</f>
        <v>1</v>
      </c>
      <c r="M123" s="15" t="str">
        <f t="shared" si="11"/>
        <v>ALB-044|MAT|1</v>
      </c>
      <c r="N123" s="47">
        <f>IFERROR(VLOOKUP(A123,PARTIDAS!A:F,6,FALSE()),0)</f>
        <v>11.5</v>
      </c>
      <c r="O123" s="247">
        <f t="shared" si="12"/>
        <v>2.5999999999999999E-2</v>
      </c>
      <c r="P123" s="247">
        <f>+_xlfn.XLOOKUP(A123,PPTO_GENERADOR!Q:Q,PPTO_GENERADOR!E:E,"-",0)</f>
        <v>879</v>
      </c>
      <c r="Q123" s="247">
        <f t="shared" si="13"/>
        <v>22.853999999999999</v>
      </c>
      <c r="R123" s="259">
        <f>+_xlfn.XLOOKUP(A123,PPTO_GENERADOR!$Q:$Q,PPTO_GENERADOR!A:A,"-",0)</f>
        <v>7.01</v>
      </c>
    </row>
    <row r="124" spans="1:18" ht="15" customHeight="1" x14ac:dyDescent="0.35">
      <c r="A124" s="38" t="s">
        <v>143</v>
      </c>
      <c r="B124" s="38" t="s">
        <v>2774</v>
      </c>
      <c r="C124" s="38" t="s">
        <v>2775</v>
      </c>
      <c r="D124" s="38" t="s">
        <v>599</v>
      </c>
      <c r="E124" s="44" t="str">
        <f>IFERROR(VLOOKUP(D124,MATERIALES!A:B,2,FALSE()),"?")</f>
        <v>Cemento Portland x 50kg</v>
      </c>
      <c r="F124" s="44" t="str">
        <f>IFERROR(VLOOKUP(D124,MATERIALES!A:C,3,FALSE()),"?")</f>
        <v>Bol</v>
      </c>
      <c r="G124" s="45">
        <v>0.314</v>
      </c>
      <c r="H124" s="46">
        <v>0.1</v>
      </c>
      <c r="I124" s="47">
        <f>IFERROR(VLOOKUP(D124,MATERIALES!A:D,4,FALSE()),0)</f>
        <v>7809.48</v>
      </c>
      <c r="J124" s="42">
        <f>G124*I124*(1+H124)</f>
        <v>2697.3943920000002</v>
      </c>
      <c r="K124" s="15" t="str">
        <f t="shared" si="10"/>
        <v>ALB-044|MAT</v>
      </c>
      <c r="L124" s="15">
        <f>COUNTIFS($K$2:K124,K124)</f>
        <v>2</v>
      </c>
      <c r="M124" s="15" t="str">
        <f t="shared" si="11"/>
        <v>ALB-044|MAT|2</v>
      </c>
      <c r="N124" s="47">
        <f>IFERROR(VLOOKUP(A124,PARTIDAS!A:F,6,FALSE()),0)</f>
        <v>11.5</v>
      </c>
      <c r="O124" s="247">
        <f t="shared" si="12"/>
        <v>0.314</v>
      </c>
      <c r="P124" s="247">
        <f>+_xlfn.XLOOKUP(A124,PPTO_GENERADOR!Q:Q,PPTO_GENERADOR!E:E,"-",0)</f>
        <v>879</v>
      </c>
      <c r="Q124" s="247">
        <f t="shared" si="13"/>
        <v>276.00600000000003</v>
      </c>
      <c r="R124" s="259">
        <f>+_xlfn.XLOOKUP(A124,PPTO_GENERADOR!$Q:$Q,PPTO_GENERADOR!A:A,"-",0)</f>
        <v>7.01</v>
      </c>
    </row>
    <row r="125" spans="1:18" ht="15" customHeight="1" x14ac:dyDescent="0.35">
      <c r="A125" s="38" t="s">
        <v>143</v>
      </c>
      <c r="B125" s="38" t="s">
        <v>2774</v>
      </c>
      <c r="C125" s="38" t="s">
        <v>2775</v>
      </c>
      <c r="D125" s="38" t="s">
        <v>604</v>
      </c>
      <c r="E125" s="44" t="str">
        <f>IFERROR(VLOOKUP(D125,MATERIALES!A:B,2,FALSE()),"?")</f>
        <v>Cal Comun x 25kg</v>
      </c>
      <c r="F125" s="44" t="str">
        <f>IFERROR(VLOOKUP(D125,MATERIALES!A:C,3,FALSE()),"?")</f>
        <v>bol</v>
      </c>
      <c r="G125" s="45">
        <v>0.06</v>
      </c>
      <c r="H125" s="46">
        <v>0.1</v>
      </c>
      <c r="I125" s="47">
        <f>IFERROR(VLOOKUP(D125,MATERIALES!A:D,4,FALSE()),0)</f>
        <v>3837.96</v>
      </c>
      <c r="J125" s="42">
        <f>G125*I125*(1+H125)</f>
        <v>253.30536000000004</v>
      </c>
      <c r="K125" s="15" t="str">
        <f t="shared" si="10"/>
        <v>ALB-044|MAT</v>
      </c>
      <c r="L125" s="15">
        <f>COUNTIFS($K$2:K125,K125)</f>
        <v>3</v>
      </c>
      <c r="M125" s="15" t="str">
        <f t="shared" si="11"/>
        <v>ALB-044|MAT|3</v>
      </c>
      <c r="N125" s="47">
        <f>IFERROR(VLOOKUP(A125,PARTIDAS!A:F,6,FALSE()),0)</f>
        <v>11.5</v>
      </c>
      <c r="O125" s="247">
        <f t="shared" si="12"/>
        <v>0.06</v>
      </c>
      <c r="P125" s="247">
        <f>+_xlfn.XLOOKUP(A125,PPTO_GENERADOR!Q:Q,PPTO_GENERADOR!E:E,"-",0)</f>
        <v>879</v>
      </c>
      <c r="Q125" s="247">
        <f t="shared" si="13"/>
        <v>52.739999999999995</v>
      </c>
      <c r="R125" s="259">
        <f>+_xlfn.XLOOKUP(A125,PPTO_GENERADOR!$Q:$Q,PPTO_GENERADOR!A:A,"-",0)</f>
        <v>7.01</v>
      </c>
    </row>
    <row r="126" spans="1:18" ht="15" customHeight="1" x14ac:dyDescent="0.35">
      <c r="A126" s="38" t="s">
        <v>143</v>
      </c>
      <c r="B126" s="38" t="s">
        <v>2774</v>
      </c>
      <c r="C126" s="38" t="s">
        <v>2775</v>
      </c>
      <c r="D126" s="38" t="s">
        <v>660</v>
      </c>
      <c r="E126" s="44" t="str">
        <f>IFERROR(VLOOKUP(D126,MATERIALES!A:B,2,FALSE()),"?")</f>
        <v>Aditivo Hidrofugo en pasta - Ceresita x 1kg</v>
      </c>
      <c r="F126" s="44" t="str">
        <f>IFERROR(VLOOKUP(D126,MATERIALES!A:C,3,FALSE()),"?")</f>
        <v>kg</v>
      </c>
      <c r="G126" s="45">
        <v>0.1</v>
      </c>
      <c r="H126" s="46">
        <v>0.05</v>
      </c>
      <c r="I126" s="47">
        <f>IFERROR(VLOOKUP(D126,MATERIALES!A:D,4,FALSE()),0)</f>
        <v>1256.1279999999999</v>
      </c>
      <c r="J126" s="42">
        <f>G126*I126*(1+H126)</f>
        <v>131.89344</v>
      </c>
      <c r="K126" s="15" t="str">
        <f t="shared" si="10"/>
        <v>ALB-044|MAT</v>
      </c>
      <c r="L126" s="15">
        <f>COUNTIFS($K$2:K126,K126)</f>
        <v>4</v>
      </c>
      <c r="M126" s="15" t="str">
        <f t="shared" si="11"/>
        <v>ALB-044|MAT|4</v>
      </c>
      <c r="N126" s="47">
        <f>IFERROR(VLOOKUP(A126,PARTIDAS!A:F,6,FALSE()),0)</f>
        <v>11.5</v>
      </c>
      <c r="O126" s="247">
        <f t="shared" si="12"/>
        <v>0.1</v>
      </c>
      <c r="P126" s="247">
        <f>+_xlfn.XLOOKUP(A126,PPTO_GENERADOR!Q:Q,PPTO_GENERADOR!E:E,"-",0)</f>
        <v>879</v>
      </c>
      <c r="Q126" s="247">
        <f t="shared" si="13"/>
        <v>87.9</v>
      </c>
      <c r="R126" s="259">
        <f>+_xlfn.XLOOKUP(A126,PPTO_GENERADOR!$Q:$Q,PPTO_GENERADOR!A:A,"-",0)</f>
        <v>7.01</v>
      </c>
    </row>
    <row r="127" spans="1:18" ht="15" customHeight="1" x14ac:dyDescent="0.35">
      <c r="A127" s="38" t="s">
        <v>143</v>
      </c>
      <c r="B127" s="38" t="s">
        <v>2776</v>
      </c>
      <c r="C127" s="38" t="s">
        <v>2777</v>
      </c>
      <c r="D127" s="237" t="s">
        <v>1577</v>
      </c>
      <c r="E127" s="44" t="str">
        <f>IFERROR(VLOOKUP(D127,MANO_DE_OBRA!A:B,2,FALSE()),"?")</f>
        <v>AYUDANTE</v>
      </c>
      <c r="F127" s="44" t="s">
        <v>2778</v>
      </c>
      <c r="G127" s="45">
        <v>0.6</v>
      </c>
      <c r="H127" s="46">
        <v>0</v>
      </c>
      <c r="I127" s="47">
        <f>IFERROR(VLOOKUP(D127,MANO_DE_OBRA!A:C,3,FALSE()),0)</f>
        <v>60860.580776572002</v>
      </c>
      <c r="J127" s="42">
        <f>G127*I127</f>
        <v>36516.3484659432</v>
      </c>
      <c r="K127" s="15" t="str">
        <f t="shared" si="10"/>
        <v>ALB-044|MO</v>
      </c>
      <c r="L127" s="15">
        <f>COUNTIFS($K$2:K127,K127)</f>
        <v>1</v>
      </c>
      <c r="M127" s="15" t="str">
        <f t="shared" si="11"/>
        <v>ALB-044|MO|1</v>
      </c>
      <c r="N127" s="47">
        <f>IFERROR(VLOOKUP(A127,PARTIDAS!A:F,6,FALSE()),0)</f>
        <v>11.5</v>
      </c>
      <c r="O127" s="247">
        <f t="shared" si="12"/>
        <v>5.2173913043478258E-2</v>
      </c>
      <c r="P127" s="247">
        <f>+_xlfn.XLOOKUP(A127,PPTO_GENERADOR!Q:Q,PPTO_GENERADOR!E:E,"-",0)</f>
        <v>879</v>
      </c>
      <c r="Q127" s="247">
        <f t="shared" si="13"/>
        <v>45.860869565217392</v>
      </c>
      <c r="R127" s="259">
        <f>+_xlfn.XLOOKUP(A127,PPTO_GENERADOR!$Q:$Q,PPTO_GENERADOR!A:A,"-",0)</f>
        <v>7.01</v>
      </c>
    </row>
    <row r="128" spans="1:18" ht="15" customHeight="1" x14ac:dyDescent="0.35">
      <c r="A128" s="38" t="s">
        <v>143</v>
      </c>
      <c r="B128" s="38" t="s">
        <v>2776</v>
      </c>
      <c r="C128" s="38" t="s">
        <v>2777</v>
      </c>
      <c r="D128" s="237" t="s">
        <v>1568</v>
      </c>
      <c r="E128" s="44" t="str">
        <f>IFERROR(VLOOKUP(D128,MANO_DE_OBRA!A:B,2,FALSE()),"?")</f>
        <v>ESPECIALIZADO</v>
      </c>
      <c r="F128" s="44" t="s">
        <v>2778</v>
      </c>
      <c r="G128" s="45">
        <v>1</v>
      </c>
      <c r="H128" s="46">
        <v>0</v>
      </c>
      <c r="I128" s="47">
        <f>IFERROR(VLOOKUP(D128,MANO_DE_OBRA!A:C,3,FALSE()),0)</f>
        <v>85927.097156571996</v>
      </c>
      <c r="J128" s="42">
        <f>G128*I128</f>
        <v>85927.097156571996</v>
      </c>
      <c r="K128" s="15" t="str">
        <f t="shared" si="10"/>
        <v>ALB-044|MO</v>
      </c>
      <c r="L128" s="15">
        <f>COUNTIFS($K$2:K128,K128)</f>
        <v>2</v>
      </c>
      <c r="M128" s="15" t="str">
        <f t="shared" si="11"/>
        <v>ALB-044|MO|2</v>
      </c>
      <c r="N128" s="47">
        <f>IFERROR(VLOOKUP(A128,PARTIDAS!A:F,6,FALSE()),0)</f>
        <v>11.5</v>
      </c>
      <c r="O128" s="247">
        <f t="shared" si="12"/>
        <v>8.6956521739130432E-2</v>
      </c>
      <c r="P128" s="247">
        <f>+_xlfn.XLOOKUP(A128,PPTO_GENERADOR!Q:Q,PPTO_GENERADOR!E:E,"-",0)</f>
        <v>879</v>
      </c>
      <c r="Q128" s="247">
        <f t="shared" si="13"/>
        <v>76.434782608695656</v>
      </c>
      <c r="R128" s="259">
        <f>+_xlfn.XLOOKUP(A128,PPTO_GENERADOR!$Q:$Q,PPTO_GENERADOR!A:A,"-",0)</f>
        <v>7.01</v>
      </c>
    </row>
    <row r="129" spans="1:18" ht="15" customHeight="1" x14ac:dyDescent="0.35">
      <c r="A129" s="38" t="s">
        <v>2482</v>
      </c>
      <c r="B129" s="38" t="s">
        <v>2773</v>
      </c>
      <c r="C129" s="38"/>
      <c r="D129" s="38" t="s">
        <v>1628</v>
      </c>
      <c r="E129" s="44" t="str">
        <f>IFERROR(VLOOKUP(D129,EQUIPOS!A:B,2,FALSE()),"?")</f>
        <v>Balancin</v>
      </c>
      <c r="F129" s="44"/>
      <c r="G129" s="45">
        <v>1</v>
      </c>
      <c r="H129" s="46">
        <v>0</v>
      </c>
      <c r="I129" s="47">
        <f>IFERROR(VLOOKUP(D129,EQUIPOS!A:F,6,FALSE()),0)</f>
        <v>2910.133166666667</v>
      </c>
      <c r="J129" s="42">
        <f>G129*I129</f>
        <v>2910.133166666667</v>
      </c>
      <c r="K129" s="15" t="str">
        <f t="shared" si="10"/>
        <v>ALB-045|EQ</v>
      </c>
      <c r="L129" s="15">
        <f>COUNTIFS($K$2:K129,K129)</f>
        <v>1</v>
      </c>
      <c r="M129" s="15" t="str">
        <f t="shared" si="11"/>
        <v>ALB-045|EQ|1</v>
      </c>
      <c r="N129" s="47">
        <f>IFERROR(VLOOKUP(A129,PARTIDAS!A:F,6,FALSE()),0)</f>
        <v>8</v>
      </c>
      <c r="O129" s="247">
        <f t="shared" si="12"/>
        <v>1</v>
      </c>
      <c r="P129" s="247" t="str">
        <f>+_xlfn.XLOOKUP(A129,PPTO_GENERADOR!Q:Q,PPTO_GENERADOR!E:E,"-",0)</f>
        <v>-</v>
      </c>
      <c r="Q129" s="247">
        <f t="shared" si="13"/>
        <v>0</v>
      </c>
      <c r="R129" s="259" t="str">
        <f>+_xlfn.XLOOKUP(A129,PPTO_GENERADOR!$Q:$Q,PPTO_GENERADOR!A:A,"-",0)</f>
        <v>-</v>
      </c>
    </row>
    <row r="130" spans="1:18" ht="15" customHeight="1" x14ac:dyDescent="0.35">
      <c r="A130" s="38" t="s">
        <v>2482</v>
      </c>
      <c r="B130" s="38" t="s">
        <v>2773</v>
      </c>
      <c r="C130" s="38"/>
      <c r="D130" s="38" t="s">
        <v>1595</v>
      </c>
      <c r="E130" s="44" t="str">
        <f>IFERROR(VLOOKUP(D130,EQUIPOS!A:B,2,FALSE()),"?")</f>
        <v>EQUIPO DE ALBAÑILERIA, carpetas, ladrillo</v>
      </c>
      <c r="F130" s="44"/>
      <c r="G130" s="45">
        <v>1</v>
      </c>
      <c r="H130" s="46">
        <v>0</v>
      </c>
      <c r="I130" s="47">
        <f>IFERROR(VLOOKUP(D130,EQUIPOS!A:F,6,FALSE()),0)</f>
        <v>2287.1357450968057</v>
      </c>
      <c r="J130" s="42">
        <f>G130*I130</f>
        <v>2287.1357450968057</v>
      </c>
      <c r="K130" s="15" t="str">
        <f t="shared" ref="K130:K193" si="15">A130&amp;"|"&amp;B130</f>
        <v>ALB-045|EQ</v>
      </c>
      <c r="L130" s="15">
        <f>COUNTIFS($K$2:K130,K130)</f>
        <v>2</v>
      </c>
      <c r="M130" s="15" t="str">
        <f t="shared" ref="M130:M193" si="16">K130&amp;"|"&amp;L130</f>
        <v>ALB-045|EQ|2</v>
      </c>
      <c r="N130" s="47">
        <f>IFERROR(VLOOKUP(A130,PARTIDAS!A:F,6,FALSE()),0)</f>
        <v>8</v>
      </c>
      <c r="O130" s="247">
        <f t="shared" si="12"/>
        <v>1</v>
      </c>
      <c r="P130" s="247" t="str">
        <f>+_xlfn.XLOOKUP(A130,PPTO_GENERADOR!Q:Q,PPTO_GENERADOR!E:E,"-",0)</f>
        <v>-</v>
      </c>
      <c r="Q130" s="247">
        <f t="shared" si="13"/>
        <v>0</v>
      </c>
      <c r="R130" s="259" t="str">
        <f>+_xlfn.XLOOKUP(A130,PPTO_GENERADOR!$Q:$Q,PPTO_GENERADOR!A:A,"-",0)</f>
        <v>-</v>
      </c>
    </row>
    <row r="131" spans="1:18" ht="15" customHeight="1" x14ac:dyDescent="0.35">
      <c r="A131" s="38" t="s">
        <v>2482</v>
      </c>
      <c r="B131" s="38" t="s">
        <v>2773</v>
      </c>
      <c r="C131" s="38"/>
      <c r="D131" s="38" t="s">
        <v>1613</v>
      </c>
      <c r="E131" s="44" t="str">
        <f>IFERROR(VLOOKUP(D131,EQUIPOS!A:B,2,FALSE()),"?")</f>
        <v>Hormigonera De 150 Litros 1hp Con Rueda Maciza</v>
      </c>
      <c r="F131" s="44"/>
      <c r="G131" s="45">
        <v>1</v>
      </c>
      <c r="H131" s="46">
        <v>0</v>
      </c>
      <c r="I131" s="47">
        <f>IFERROR(VLOOKUP(D131,EQUIPOS!A:F,6,FALSE()),0)</f>
        <v>957.25319614994726</v>
      </c>
      <c r="J131" s="42">
        <f>G131*I131</f>
        <v>957.25319614994726</v>
      </c>
      <c r="K131" s="15" t="str">
        <f t="shared" si="15"/>
        <v>ALB-045|EQ</v>
      </c>
      <c r="L131" s="15">
        <f>COUNTIFS($K$2:K131,K131)</f>
        <v>3</v>
      </c>
      <c r="M131" s="15" t="str">
        <f t="shared" si="16"/>
        <v>ALB-045|EQ|3</v>
      </c>
      <c r="N131" s="47">
        <f>IFERROR(VLOOKUP(A131,PARTIDAS!A:F,6,FALSE()),0)</f>
        <v>8</v>
      </c>
      <c r="O131" s="247">
        <f t="shared" ref="O131:O194" si="17">+IF(C131="ALB",G131/N131,G131)</f>
        <v>1</v>
      </c>
      <c r="P131" s="247" t="str">
        <f>+_xlfn.XLOOKUP(A131,PPTO_GENERADOR!Q:Q,PPTO_GENERADOR!E:E,"-",0)</f>
        <v>-</v>
      </c>
      <c r="Q131" s="247">
        <f t="shared" ref="Q131:Q194" si="18">IFERROR(P131*O131,0)</f>
        <v>0</v>
      </c>
      <c r="R131" s="259" t="str">
        <f>+_xlfn.XLOOKUP(A131,PPTO_GENERADOR!$Q:$Q,PPTO_GENERADOR!A:A,"-",0)</f>
        <v>-</v>
      </c>
    </row>
    <row r="132" spans="1:18" ht="15" customHeight="1" x14ac:dyDescent="0.35">
      <c r="A132" s="38" t="s">
        <v>2482</v>
      </c>
      <c r="B132" s="38" t="s">
        <v>2774</v>
      </c>
      <c r="C132" s="38" t="s">
        <v>2775</v>
      </c>
      <c r="D132" s="38" t="s">
        <v>588</v>
      </c>
      <c r="E132" s="44" t="str">
        <f>IFERROR(VLOOKUP(D132,MATERIALES!A:B,2,FALSE()),"?")</f>
        <v>ARENA LAVADA</v>
      </c>
      <c r="F132" s="44" t="str">
        <f>IFERROR(VLOOKUP(D132,MATERIALES!A:C,3,FALSE()),"?")</f>
        <v>m3</v>
      </c>
      <c r="G132" s="45">
        <v>2.5999999999999999E-2</v>
      </c>
      <c r="H132" s="46">
        <v>0.1</v>
      </c>
      <c r="I132" s="47">
        <f>IFERROR(VLOOKUP(D132,MATERIALES!A:D,4,FALSE()),0)</f>
        <v>32399.77</v>
      </c>
      <c r="J132" s="42">
        <f>G132*I132*(1+H132)</f>
        <v>926.633422</v>
      </c>
      <c r="K132" s="15" t="str">
        <f t="shared" si="15"/>
        <v>ALB-045|MAT</v>
      </c>
      <c r="L132" s="15">
        <f>COUNTIFS($K$2:K132,K132)</f>
        <v>1</v>
      </c>
      <c r="M132" s="15" t="str">
        <f t="shared" si="16"/>
        <v>ALB-045|MAT|1</v>
      </c>
      <c r="N132" s="47">
        <f>IFERROR(VLOOKUP(A132,PARTIDAS!A:F,6,FALSE()),0)</f>
        <v>8</v>
      </c>
      <c r="O132" s="247">
        <f t="shared" si="17"/>
        <v>2.5999999999999999E-2</v>
      </c>
      <c r="P132" s="247" t="str">
        <f>+_xlfn.XLOOKUP(A132,PPTO_GENERADOR!Q:Q,PPTO_GENERADOR!E:E,"-",0)</f>
        <v>-</v>
      </c>
      <c r="Q132" s="247">
        <f t="shared" si="18"/>
        <v>0</v>
      </c>
      <c r="R132" s="259" t="str">
        <f>+_xlfn.XLOOKUP(A132,PPTO_GENERADOR!$Q:$Q,PPTO_GENERADOR!A:A,"-",0)</f>
        <v>-</v>
      </c>
    </row>
    <row r="133" spans="1:18" ht="15" customHeight="1" x14ac:dyDescent="0.35">
      <c r="A133" s="38" t="s">
        <v>2482</v>
      </c>
      <c r="B133" s="38" t="s">
        <v>2774</v>
      </c>
      <c r="C133" s="38" t="s">
        <v>2775</v>
      </c>
      <c r="D133" s="38" t="s">
        <v>599</v>
      </c>
      <c r="E133" s="44" t="str">
        <f>IFERROR(VLOOKUP(D133,MATERIALES!A:B,2,FALSE()),"?")</f>
        <v>Cemento Portland x 50kg</v>
      </c>
      <c r="F133" s="44" t="str">
        <f>IFERROR(VLOOKUP(D133,MATERIALES!A:C,3,FALSE()),"?")</f>
        <v>Bol</v>
      </c>
      <c r="G133" s="45">
        <v>0.314</v>
      </c>
      <c r="H133" s="46">
        <v>0.1</v>
      </c>
      <c r="I133" s="47">
        <f>IFERROR(VLOOKUP(D133,MATERIALES!A:D,4,FALSE()),0)</f>
        <v>7809.48</v>
      </c>
      <c r="J133" s="42">
        <f>G133*I133*(1+H133)</f>
        <v>2697.3943920000002</v>
      </c>
      <c r="K133" s="15" t="str">
        <f t="shared" si="15"/>
        <v>ALB-045|MAT</v>
      </c>
      <c r="L133" s="15">
        <f>COUNTIFS($K$2:K133,K133)</f>
        <v>2</v>
      </c>
      <c r="M133" s="15" t="str">
        <f t="shared" si="16"/>
        <v>ALB-045|MAT|2</v>
      </c>
      <c r="N133" s="47">
        <f>IFERROR(VLOOKUP(A133,PARTIDAS!A:F,6,FALSE()),0)</f>
        <v>8</v>
      </c>
      <c r="O133" s="247">
        <f t="shared" si="17"/>
        <v>0.314</v>
      </c>
      <c r="P133" s="247" t="str">
        <f>+_xlfn.XLOOKUP(A133,PPTO_GENERADOR!Q:Q,PPTO_GENERADOR!E:E,"-",0)</f>
        <v>-</v>
      </c>
      <c r="Q133" s="247">
        <f t="shared" si="18"/>
        <v>0</v>
      </c>
      <c r="R133" s="259" t="str">
        <f>+_xlfn.XLOOKUP(A133,PPTO_GENERADOR!$Q:$Q,PPTO_GENERADOR!A:A,"-",0)</f>
        <v>-</v>
      </c>
    </row>
    <row r="134" spans="1:18" ht="15" customHeight="1" x14ac:dyDescent="0.35">
      <c r="A134" s="38" t="s">
        <v>2482</v>
      </c>
      <c r="B134" s="38" t="s">
        <v>2774</v>
      </c>
      <c r="C134" s="38" t="s">
        <v>2775</v>
      </c>
      <c r="D134" s="38" t="s">
        <v>604</v>
      </c>
      <c r="E134" s="44" t="str">
        <f>IFERROR(VLOOKUP(D134,MATERIALES!A:B,2,FALSE()),"?")</f>
        <v>Cal Comun x 25kg</v>
      </c>
      <c r="F134" s="44" t="str">
        <f>IFERROR(VLOOKUP(D134,MATERIALES!A:C,3,FALSE()),"?")</f>
        <v>bol</v>
      </c>
      <c r="G134" s="45">
        <v>0.06</v>
      </c>
      <c r="H134" s="46">
        <v>0.1</v>
      </c>
      <c r="I134" s="47">
        <f>IFERROR(VLOOKUP(D134,MATERIALES!A:D,4,FALSE()),0)</f>
        <v>3837.96</v>
      </c>
      <c r="J134" s="42">
        <f>G134*I134*(1+H134)</f>
        <v>253.30536000000004</v>
      </c>
      <c r="K134" s="15" t="str">
        <f t="shared" si="15"/>
        <v>ALB-045|MAT</v>
      </c>
      <c r="L134" s="15">
        <f>COUNTIFS($K$2:K134,K134)</f>
        <v>3</v>
      </c>
      <c r="M134" s="15" t="str">
        <f t="shared" si="16"/>
        <v>ALB-045|MAT|3</v>
      </c>
      <c r="N134" s="47">
        <f>IFERROR(VLOOKUP(A134,PARTIDAS!A:F,6,FALSE()),0)</f>
        <v>8</v>
      </c>
      <c r="O134" s="247">
        <f t="shared" si="17"/>
        <v>0.06</v>
      </c>
      <c r="P134" s="247" t="str">
        <f>+_xlfn.XLOOKUP(A134,PPTO_GENERADOR!Q:Q,PPTO_GENERADOR!E:E,"-",0)</f>
        <v>-</v>
      </c>
      <c r="Q134" s="247">
        <f t="shared" si="18"/>
        <v>0</v>
      </c>
      <c r="R134" s="259" t="str">
        <f>+_xlfn.XLOOKUP(A134,PPTO_GENERADOR!$Q:$Q,PPTO_GENERADOR!A:A,"-",0)</f>
        <v>-</v>
      </c>
    </row>
    <row r="135" spans="1:18" ht="15" customHeight="1" x14ac:dyDescent="0.35">
      <c r="A135" s="38" t="s">
        <v>2482</v>
      </c>
      <c r="B135" s="38" t="s">
        <v>2774</v>
      </c>
      <c r="C135" s="38" t="s">
        <v>2775</v>
      </c>
      <c r="D135" s="38" t="s">
        <v>660</v>
      </c>
      <c r="E135" s="44" t="str">
        <f>IFERROR(VLOOKUP(D135,MATERIALES!A:B,2,FALSE()),"?")</f>
        <v>Aditivo Hidrofugo en pasta - Ceresita x 1kg</v>
      </c>
      <c r="F135" s="44" t="str">
        <f>IFERROR(VLOOKUP(D135,MATERIALES!A:C,3,FALSE()),"?")</f>
        <v>kg</v>
      </c>
      <c r="G135" s="45">
        <v>0.1</v>
      </c>
      <c r="H135" s="46">
        <v>0.05</v>
      </c>
      <c r="I135" s="47">
        <f>IFERROR(VLOOKUP(D135,MATERIALES!A:D,4,FALSE()),0)</f>
        <v>1256.1279999999999</v>
      </c>
      <c r="J135" s="42">
        <f>G135*I135*(1+H135)</f>
        <v>131.89344</v>
      </c>
      <c r="K135" s="15" t="str">
        <f t="shared" si="15"/>
        <v>ALB-045|MAT</v>
      </c>
      <c r="L135" s="15">
        <f>COUNTIFS($K$2:K135,K135)</f>
        <v>4</v>
      </c>
      <c r="M135" s="15" t="str">
        <f t="shared" si="16"/>
        <v>ALB-045|MAT|4</v>
      </c>
      <c r="N135" s="47">
        <f>IFERROR(VLOOKUP(A135,PARTIDAS!A:F,6,FALSE()),0)</f>
        <v>8</v>
      </c>
      <c r="O135" s="247">
        <f t="shared" si="17"/>
        <v>0.1</v>
      </c>
      <c r="P135" s="247" t="str">
        <f>+_xlfn.XLOOKUP(A135,PPTO_GENERADOR!Q:Q,PPTO_GENERADOR!E:E,"-",0)</f>
        <v>-</v>
      </c>
      <c r="Q135" s="247">
        <f t="shared" si="18"/>
        <v>0</v>
      </c>
      <c r="R135" s="259" t="str">
        <f>+_xlfn.XLOOKUP(A135,PPTO_GENERADOR!$Q:$Q,PPTO_GENERADOR!A:A,"-",0)</f>
        <v>-</v>
      </c>
    </row>
    <row r="136" spans="1:18" ht="15" customHeight="1" x14ac:dyDescent="0.35">
      <c r="A136" s="38" t="s">
        <v>2482</v>
      </c>
      <c r="B136" s="38" t="s">
        <v>2776</v>
      </c>
      <c r="C136" s="38" t="s">
        <v>2777</v>
      </c>
      <c r="D136" s="237" t="s">
        <v>1577</v>
      </c>
      <c r="E136" s="44" t="str">
        <f>IFERROR(VLOOKUP(D136,MANO_DE_OBRA!A:B,2,FALSE()),"?")</f>
        <v>AYUDANTE</v>
      </c>
      <c r="F136" s="44" t="s">
        <v>2778</v>
      </c>
      <c r="G136" s="45">
        <v>0.6</v>
      </c>
      <c r="H136" s="46">
        <v>0</v>
      </c>
      <c r="I136" s="47">
        <f>IFERROR(VLOOKUP(D136,MANO_DE_OBRA!A:C,3,FALSE()),0)</f>
        <v>60860.580776572002</v>
      </c>
      <c r="J136" s="42">
        <f>G136*I136</f>
        <v>36516.3484659432</v>
      </c>
      <c r="K136" s="15" t="str">
        <f t="shared" si="15"/>
        <v>ALB-045|MO</v>
      </c>
      <c r="L136" s="15">
        <f>COUNTIFS($K$2:K136,K136)</f>
        <v>1</v>
      </c>
      <c r="M136" s="15" t="str">
        <f t="shared" si="16"/>
        <v>ALB-045|MO|1</v>
      </c>
      <c r="N136" s="47">
        <f>IFERROR(VLOOKUP(A136,PARTIDAS!A:F,6,FALSE()),0)</f>
        <v>8</v>
      </c>
      <c r="O136" s="247">
        <f t="shared" si="17"/>
        <v>7.4999999999999997E-2</v>
      </c>
      <c r="P136" s="247" t="str">
        <f>+_xlfn.XLOOKUP(A136,PPTO_GENERADOR!Q:Q,PPTO_GENERADOR!E:E,"-",0)</f>
        <v>-</v>
      </c>
      <c r="Q136" s="247">
        <f t="shared" si="18"/>
        <v>0</v>
      </c>
      <c r="R136" s="259" t="str">
        <f>+_xlfn.XLOOKUP(A136,PPTO_GENERADOR!$Q:$Q,PPTO_GENERADOR!A:A,"-",0)</f>
        <v>-</v>
      </c>
    </row>
    <row r="137" spans="1:18" ht="15" customHeight="1" x14ac:dyDescent="0.35">
      <c r="A137" s="38" t="s">
        <v>2482</v>
      </c>
      <c r="B137" s="38" t="s">
        <v>2776</v>
      </c>
      <c r="C137" s="38" t="s">
        <v>2777</v>
      </c>
      <c r="D137" s="237" t="s">
        <v>1568</v>
      </c>
      <c r="E137" s="44" t="str">
        <f>IFERROR(VLOOKUP(D137,MANO_DE_OBRA!A:B,2,FALSE()),"?")</f>
        <v>ESPECIALIZADO</v>
      </c>
      <c r="F137" s="44" t="s">
        <v>2778</v>
      </c>
      <c r="G137" s="45">
        <v>1</v>
      </c>
      <c r="H137" s="46">
        <v>0</v>
      </c>
      <c r="I137" s="47">
        <f>IFERROR(VLOOKUP(D137,MANO_DE_OBRA!A:C,3,FALSE()),0)</f>
        <v>85927.097156571996</v>
      </c>
      <c r="J137" s="42">
        <f>G137*I137</f>
        <v>85927.097156571996</v>
      </c>
      <c r="K137" s="15" t="str">
        <f t="shared" si="15"/>
        <v>ALB-045|MO</v>
      </c>
      <c r="L137" s="15">
        <f>COUNTIFS($K$2:K137,K137)</f>
        <v>2</v>
      </c>
      <c r="M137" s="15" t="str">
        <f t="shared" si="16"/>
        <v>ALB-045|MO|2</v>
      </c>
      <c r="N137" s="47">
        <f>IFERROR(VLOOKUP(A137,PARTIDAS!A:F,6,FALSE()),0)</f>
        <v>8</v>
      </c>
      <c r="O137" s="247">
        <f t="shared" si="17"/>
        <v>0.125</v>
      </c>
      <c r="P137" s="247" t="str">
        <f>+_xlfn.XLOOKUP(A137,PPTO_GENERADOR!Q:Q,PPTO_GENERADOR!E:E,"-",0)</f>
        <v>-</v>
      </c>
      <c r="Q137" s="247">
        <f t="shared" si="18"/>
        <v>0</v>
      </c>
      <c r="R137" s="259" t="str">
        <f>+_xlfn.XLOOKUP(A137,PPTO_GENERADOR!$Q:$Q,PPTO_GENERADOR!A:A,"-",0)</f>
        <v>-</v>
      </c>
    </row>
    <row r="138" spans="1:18" ht="15" customHeight="1" x14ac:dyDescent="0.35">
      <c r="A138" s="38" t="s">
        <v>2485</v>
      </c>
      <c r="B138" s="38" t="s">
        <v>2773</v>
      </c>
      <c r="C138" s="38"/>
      <c r="D138" s="38" t="s">
        <v>1595</v>
      </c>
      <c r="E138" s="44" t="str">
        <f>IFERROR(VLOOKUP(D138,EQUIPOS!A:B,2,FALSE()),"?")</f>
        <v>EQUIPO DE ALBAÑILERIA, carpetas, ladrillo</v>
      </c>
      <c r="F138" s="44"/>
      <c r="G138" s="45">
        <v>1</v>
      </c>
      <c r="H138" s="46">
        <v>0</v>
      </c>
      <c r="I138" s="47">
        <f>IFERROR(VLOOKUP(D138,EQUIPOS!A:F,6,FALSE()),0)</f>
        <v>2287.1357450968057</v>
      </c>
      <c r="J138" s="42">
        <f>G138*I138</f>
        <v>2287.1357450968057</v>
      </c>
      <c r="K138" s="15" t="str">
        <f t="shared" si="15"/>
        <v>ALB-046|EQ</v>
      </c>
      <c r="L138" s="15">
        <f>COUNTIFS($K$2:K138,K138)</f>
        <v>1</v>
      </c>
      <c r="M138" s="15" t="str">
        <f t="shared" si="16"/>
        <v>ALB-046|EQ|1</v>
      </c>
      <c r="N138" s="47">
        <f>IFERROR(VLOOKUP(A138,PARTIDAS!A:F,6,FALSE()),0)</f>
        <v>1.4</v>
      </c>
      <c r="O138" s="247">
        <f t="shared" si="17"/>
        <v>1</v>
      </c>
      <c r="P138" s="247" t="str">
        <f>+_xlfn.XLOOKUP(A138,PPTO_GENERADOR!Q:Q,PPTO_GENERADOR!E:E,"-",0)</f>
        <v>-</v>
      </c>
      <c r="Q138" s="247">
        <f t="shared" si="18"/>
        <v>0</v>
      </c>
      <c r="R138" s="259" t="str">
        <f>+_xlfn.XLOOKUP(A138,PPTO_GENERADOR!$Q:$Q,PPTO_GENERADOR!A:A,"-",0)</f>
        <v>-</v>
      </c>
    </row>
    <row r="139" spans="1:18" ht="15" customHeight="1" x14ac:dyDescent="0.35">
      <c r="A139" s="38" t="s">
        <v>2485</v>
      </c>
      <c r="B139" s="38" t="s">
        <v>2773</v>
      </c>
      <c r="C139" s="38"/>
      <c r="D139" s="38" t="s">
        <v>1613</v>
      </c>
      <c r="E139" s="44" t="str">
        <f>IFERROR(VLOOKUP(D139,EQUIPOS!A:B,2,FALSE()),"?")</f>
        <v>Hormigonera De 150 Litros 1hp Con Rueda Maciza</v>
      </c>
      <c r="F139" s="44"/>
      <c r="G139" s="45">
        <v>1</v>
      </c>
      <c r="H139" s="46">
        <v>0</v>
      </c>
      <c r="I139" s="47">
        <f>IFERROR(VLOOKUP(D139,EQUIPOS!A:F,6,FALSE()),0)</f>
        <v>957.25319614994726</v>
      </c>
      <c r="J139" s="42">
        <f>G139*I139</f>
        <v>957.25319614994726</v>
      </c>
      <c r="K139" s="15" t="str">
        <f t="shared" si="15"/>
        <v>ALB-046|EQ</v>
      </c>
      <c r="L139" s="15">
        <f>COUNTIFS($K$2:K139,K139)</f>
        <v>2</v>
      </c>
      <c r="M139" s="15" t="str">
        <f t="shared" si="16"/>
        <v>ALB-046|EQ|2</v>
      </c>
      <c r="N139" s="47">
        <f>IFERROR(VLOOKUP(A139,PARTIDAS!A:F,6,FALSE()),0)</f>
        <v>1.4</v>
      </c>
      <c r="O139" s="247">
        <f t="shared" si="17"/>
        <v>1</v>
      </c>
      <c r="P139" s="247" t="str">
        <f>+_xlfn.XLOOKUP(A139,PPTO_GENERADOR!Q:Q,PPTO_GENERADOR!E:E,"-",0)</f>
        <v>-</v>
      </c>
      <c r="Q139" s="247">
        <f t="shared" si="18"/>
        <v>0</v>
      </c>
      <c r="R139" s="259" t="str">
        <f>+_xlfn.XLOOKUP(A139,PPTO_GENERADOR!$Q:$Q,PPTO_GENERADOR!A:A,"-",0)</f>
        <v>-</v>
      </c>
    </row>
    <row r="140" spans="1:18" ht="15" customHeight="1" x14ac:dyDescent="0.35">
      <c r="A140" s="38" t="s">
        <v>2485</v>
      </c>
      <c r="B140" s="38" t="s">
        <v>2774</v>
      </c>
      <c r="C140" s="38" t="s">
        <v>2775</v>
      </c>
      <c r="D140" s="38" t="s">
        <v>588</v>
      </c>
      <c r="E140" s="44" t="str">
        <f>IFERROR(VLOOKUP(D140,MATERIALES!A:B,2,FALSE()),"?")</f>
        <v>ARENA LAVADA</v>
      </c>
      <c r="F140" s="44" t="str">
        <f>IFERROR(VLOOKUP(D140,MATERIALES!A:C,3,FALSE()),"?")</f>
        <v>m3</v>
      </c>
      <c r="G140" s="45">
        <v>0.51500000000000001</v>
      </c>
      <c r="H140" s="46">
        <v>0.1</v>
      </c>
      <c r="I140" s="47">
        <f>IFERROR(VLOOKUP(D140,MATERIALES!A:D,4,FALSE()),0)</f>
        <v>32399.77</v>
      </c>
      <c r="J140" s="42">
        <f>G140*I140*(1+H140)</f>
        <v>18354.469705000003</v>
      </c>
      <c r="K140" s="15" t="str">
        <f t="shared" si="15"/>
        <v>ALB-046|MAT</v>
      </c>
      <c r="L140" s="15">
        <f>COUNTIFS($K$2:K140,K140)</f>
        <v>1</v>
      </c>
      <c r="M140" s="15" t="str">
        <f t="shared" si="16"/>
        <v>ALB-046|MAT|1</v>
      </c>
      <c r="N140" s="47">
        <f>IFERROR(VLOOKUP(A140,PARTIDAS!A:F,6,FALSE()),0)</f>
        <v>1.4</v>
      </c>
      <c r="O140" s="247">
        <f t="shared" si="17"/>
        <v>0.51500000000000001</v>
      </c>
      <c r="P140" s="247" t="str">
        <f>+_xlfn.XLOOKUP(A140,PPTO_GENERADOR!Q:Q,PPTO_GENERADOR!E:E,"-",0)</f>
        <v>-</v>
      </c>
      <c r="Q140" s="247">
        <f t="shared" si="18"/>
        <v>0</v>
      </c>
      <c r="R140" s="259" t="str">
        <f>+_xlfn.XLOOKUP(A140,PPTO_GENERADOR!$Q:$Q,PPTO_GENERADOR!A:A,"-",0)</f>
        <v>-</v>
      </c>
    </row>
    <row r="141" spans="1:18" ht="15" customHeight="1" x14ac:dyDescent="0.35">
      <c r="A141" s="38" t="s">
        <v>2485</v>
      </c>
      <c r="B141" s="38" t="s">
        <v>2774</v>
      </c>
      <c r="C141" s="38" t="s">
        <v>2775</v>
      </c>
      <c r="D141" s="38" t="s">
        <v>597</v>
      </c>
      <c r="E141" s="44" t="str">
        <f>IFERROR(VLOOKUP(D141,MATERIALES!A:B,2,FALSE()),"?")</f>
        <v>Cascote</v>
      </c>
      <c r="F141" s="44" t="str">
        <f>IFERROR(VLOOKUP(D141,MATERIALES!A:C,3,FALSE()),"?")</f>
        <v>m3</v>
      </c>
      <c r="G141" s="45">
        <v>0.77</v>
      </c>
      <c r="H141" s="46">
        <v>0.1</v>
      </c>
      <c r="I141" s="47">
        <f>IFERROR(VLOOKUP(D141,MATERIALES!A:D,4,FALSE()),0)</f>
        <v>34246.800000000003</v>
      </c>
      <c r="J141" s="42">
        <f>G141*I141*(1+H141)</f>
        <v>29007.039600000007</v>
      </c>
      <c r="K141" s="15" t="str">
        <f t="shared" si="15"/>
        <v>ALB-046|MAT</v>
      </c>
      <c r="L141" s="15">
        <f>COUNTIFS($K$2:K141,K141)</f>
        <v>2</v>
      </c>
      <c r="M141" s="15" t="str">
        <f t="shared" si="16"/>
        <v>ALB-046|MAT|2</v>
      </c>
      <c r="N141" s="47">
        <f>IFERROR(VLOOKUP(A141,PARTIDAS!A:F,6,FALSE()),0)</f>
        <v>1.4</v>
      </c>
      <c r="O141" s="247">
        <f t="shared" si="17"/>
        <v>0.77</v>
      </c>
      <c r="P141" s="247" t="str">
        <f>+_xlfn.XLOOKUP(A141,PPTO_GENERADOR!Q:Q,PPTO_GENERADOR!E:E,"-",0)</f>
        <v>-</v>
      </c>
      <c r="Q141" s="247">
        <f t="shared" si="18"/>
        <v>0</v>
      </c>
      <c r="R141" s="259" t="str">
        <f>+_xlfn.XLOOKUP(A141,PPTO_GENERADOR!$Q:$Q,PPTO_GENERADOR!A:A,"-",0)</f>
        <v>-</v>
      </c>
    </row>
    <row r="142" spans="1:18" ht="15" customHeight="1" x14ac:dyDescent="0.35">
      <c r="A142" s="38" t="s">
        <v>2485</v>
      </c>
      <c r="B142" s="38" t="s">
        <v>2774</v>
      </c>
      <c r="C142" s="38" t="s">
        <v>2775</v>
      </c>
      <c r="D142" s="38" t="s">
        <v>599</v>
      </c>
      <c r="E142" s="44" t="str">
        <f>IFERROR(VLOOKUP(D142,MATERIALES!A:B,2,FALSE()),"?")</f>
        <v>Cemento Portland x 50kg</v>
      </c>
      <c r="F142" s="44" t="str">
        <f>IFERROR(VLOOKUP(D142,MATERIALES!A:C,3,FALSE()),"?")</f>
        <v>Bol</v>
      </c>
      <c r="G142" s="45">
        <v>0.748</v>
      </c>
      <c r="H142" s="46">
        <v>0.1</v>
      </c>
      <c r="I142" s="47">
        <f>IFERROR(VLOOKUP(D142,MATERIALES!A:D,4,FALSE()),0)</f>
        <v>7809.48</v>
      </c>
      <c r="J142" s="42">
        <f>G142*I142*(1+H142)</f>
        <v>6425.640144</v>
      </c>
      <c r="K142" s="15" t="str">
        <f t="shared" si="15"/>
        <v>ALB-046|MAT</v>
      </c>
      <c r="L142" s="15">
        <f>COUNTIFS($K$2:K142,K142)</f>
        <v>3</v>
      </c>
      <c r="M142" s="15" t="str">
        <f t="shared" si="16"/>
        <v>ALB-046|MAT|3</v>
      </c>
      <c r="N142" s="47">
        <f>IFERROR(VLOOKUP(A142,PARTIDAS!A:F,6,FALSE()),0)</f>
        <v>1.4</v>
      </c>
      <c r="O142" s="247">
        <f t="shared" si="17"/>
        <v>0.748</v>
      </c>
      <c r="P142" s="247" t="str">
        <f>+_xlfn.XLOOKUP(A142,PPTO_GENERADOR!Q:Q,PPTO_GENERADOR!E:E,"-",0)</f>
        <v>-</v>
      </c>
      <c r="Q142" s="247">
        <f t="shared" si="18"/>
        <v>0</v>
      </c>
      <c r="R142" s="259" t="str">
        <f>+_xlfn.XLOOKUP(A142,PPTO_GENERADOR!$Q:$Q,PPTO_GENERADOR!A:A,"-",0)</f>
        <v>-</v>
      </c>
    </row>
    <row r="143" spans="1:18" ht="15" customHeight="1" x14ac:dyDescent="0.35">
      <c r="A143" s="38" t="s">
        <v>2485</v>
      </c>
      <c r="B143" s="38" t="s">
        <v>2774</v>
      </c>
      <c r="C143" s="38" t="s">
        <v>2775</v>
      </c>
      <c r="D143" s="38" t="s">
        <v>604</v>
      </c>
      <c r="E143" s="44" t="str">
        <f>IFERROR(VLOOKUP(D143,MATERIALES!A:B,2,FALSE()),"?")</f>
        <v>Cal Comun x 25kg</v>
      </c>
      <c r="F143" s="44" t="str">
        <f>IFERROR(VLOOKUP(D143,MATERIALES!A:C,3,FALSE()),"?")</f>
        <v>bol</v>
      </c>
      <c r="G143" s="45">
        <v>3.24</v>
      </c>
      <c r="H143" s="46">
        <v>0.1</v>
      </c>
      <c r="I143" s="47">
        <f>IFERROR(VLOOKUP(D143,MATERIALES!A:D,4,FALSE()),0)</f>
        <v>3837.96</v>
      </c>
      <c r="J143" s="42">
        <f>G143*I143*(1+H143)</f>
        <v>13678.489440000001</v>
      </c>
      <c r="K143" s="15" t="str">
        <f t="shared" si="15"/>
        <v>ALB-046|MAT</v>
      </c>
      <c r="L143" s="15">
        <f>COUNTIFS($K$2:K143,K143)</f>
        <v>4</v>
      </c>
      <c r="M143" s="15" t="str">
        <f t="shared" si="16"/>
        <v>ALB-046|MAT|4</v>
      </c>
      <c r="N143" s="47">
        <f>IFERROR(VLOOKUP(A143,PARTIDAS!A:F,6,FALSE()),0)</f>
        <v>1.4</v>
      </c>
      <c r="O143" s="247">
        <f t="shared" si="17"/>
        <v>3.24</v>
      </c>
      <c r="P143" s="247" t="str">
        <f>+_xlfn.XLOOKUP(A143,PPTO_GENERADOR!Q:Q,PPTO_GENERADOR!E:E,"-",0)</f>
        <v>-</v>
      </c>
      <c r="Q143" s="247">
        <f t="shared" si="18"/>
        <v>0</v>
      </c>
      <c r="R143" s="259" t="str">
        <f>+_xlfn.XLOOKUP(A143,PPTO_GENERADOR!$Q:$Q,PPTO_GENERADOR!A:A,"-",0)</f>
        <v>-</v>
      </c>
    </row>
    <row r="144" spans="1:18" ht="15" customHeight="1" x14ac:dyDescent="0.35">
      <c r="A144" s="38" t="s">
        <v>2485</v>
      </c>
      <c r="B144" s="38" t="s">
        <v>2776</v>
      </c>
      <c r="C144" s="38" t="s">
        <v>2777</v>
      </c>
      <c r="D144" s="237" t="s">
        <v>1577</v>
      </c>
      <c r="E144" s="44" t="str">
        <f>IFERROR(VLOOKUP(D144,MANO_DE_OBRA!A:B,2,FALSE()),"?")</f>
        <v>AYUDANTE</v>
      </c>
      <c r="F144" s="44" t="s">
        <v>2778</v>
      </c>
      <c r="G144" s="45">
        <v>1</v>
      </c>
      <c r="H144" s="46">
        <v>0</v>
      </c>
      <c r="I144" s="47">
        <f>IFERROR(VLOOKUP(D144,MANO_DE_OBRA!A:C,3,FALSE()),0)</f>
        <v>60860.580776572002</v>
      </c>
      <c r="J144" s="42">
        <f>G144*I144</f>
        <v>60860.580776572002</v>
      </c>
      <c r="K144" s="15" t="str">
        <f t="shared" si="15"/>
        <v>ALB-046|MO</v>
      </c>
      <c r="L144" s="15">
        <f>COUNTIFS($K$2:K144,K144)</f>
        <v>1</v>
      </c>
      <c r="M144" s="15" t="str">
        <f t="shared" si="16"/>
        <v>ALB-046|MO|1</v>
      </c>
      <c r="N144" s="47">
        <f>IFERROR(VLOOKUP(A144,PARTIDAS!A:F,6,FALSE()),0)</f>
        <v>1.4</v>
      </c>
      <c r="O144" s="247">
        <f t="shared" si="17"/>
        <v>0.7142857142857143</v>
      </c>
      <c r="P144" s="247" t="str">
        <f>+_xlfn.XLOOKUP(A144,PPTO_GENERADOR!Q:Q,PPTO_GENERADOR!E:E,"-",0)</f>
        <v>-</v>
      </c>
      <c r="Q144" s="247">
        <f t="shared" si="18"/>
        <v>0</v>
      </c>
      <c r="R144" s="259" t="str">
        <f>+_xlfn.XLOOKUP(A144,PPTO_GENERADOR!$Q:$Q,PPTO_GENERADOR!A:A,"-",0)</f>
        <v>-</v>
      </c>
    </row>
    <row r="145" spans="1:18" ht="15" customHeight="1" x14ac:dyDescent="0.35">
      <c r="A145" s="38" t="s">
        <v>2485</v>
      </c>
      <c r="B145" s="38" t="s">
        <v>2776</v>
      </c>
      <c r="C145" s="38" t="s">
        <v>2777</v>
      </c>
      <c r="D145" s="237" t="s">
        <v>1568</v>
      </c>
      <c r="E145" s="44" t="str">
        <f>IFERROR(VLOOKUP(D145,MANO_DE_OBRA!A:B,2,FALSE()),"?")</f>
        <v>ESPECIALIZADO</v>
      </c>
      <c r="F145" s="44" t="s">
        <v>2778</v>
      </c>
      <c r="G145" s="45">
        <v>0.75</v>
      </c>
      <c r="H145" s="46">
        <v>0</v>
      </c>
      <c r="I145" s="47">
        <f>IFERROR(VLOOKUP(D145,MANO_DE_OBRA!A:C,3,FALSE()),0)</f>
        <v>85927.097156571996</v>
      </c>
      <c r="J145" s="42">
        <f>G145*I145</f>
        <v>64445.322867429</v>
      </c>
      <c r="K145" s="15" t="str">
        <f t="shared" si="15"/>
        <v>ALB-046|MO</v>
      </c>
      <c r="L145" s="15">
        <f>COUNTIFS($K$2:K145,K145)</f>
        <v>2</v>
      </c>
      <c r="M145" s="15" t="str">
        <f t="shared" si="16"/>
        <v>ALB-046|MO|2</v>
      </c>
      <c r="N145" s="47">
        <f>IFERROR(VLOOKUP(A145,PARTIDAS!A:F,6,FALSE()),0)</f>
        <v>1.4</v>
      </c>
      <c r="O145" s="247">
        <f t="shared" si="17"/>
        <v>0.5357142857142857</v>
      </c>
      <c r="P145" s="247" t="str">
        <f>+_xlfn.XLOOKUP(A145,PPTO_GENERADOR!Q:Q,PPTO_GENERADOR!E:E,"-",0)</f>
        <v>-</v>
      </c>
      <c r="Q145" s="247">
        <f t="shared" si="18"/>
        <v>0</v>
      </c>
      <c r="R145" s="259" t="str">
        <f>+_xlfn.XLOOKUP(A145,PPTO_GENERADOR!$Q:$Q,PPTO_GENERADOR!A:A,"-",0)</f>
        <v>-</v>
      </c>
    </row>
    <row r="146" spans="1:18" ht="15" customHeight="1" x14ac:dyDescent="0.35">
      <c r="A146" s="38" t="s">
        <v>2488</v>
      </c>
      <c r="B146" s="38" t="s">
        <v>2773</v>
      </c>
      <c r="C146" s="38"/>
      <c r="D146" s="38" t="s">
        <v>1595</v>
      </c>
      <c r="E146" s="44" t="str">
        <f>IFERROR(VLOOKUP(D146,EQUIPOS!A:B,2,FALSE()),"?")</f>
        <v>EQUIPO DE ALBAÑILERIA, carpetas, ladrillo</v>
      </c>
      <c r="F146" s="44"/>
      <c r="G146" s="45">
        <v>1</v>
      </c>
      <c r="H146" s="46">
        <v>0</v>
      </c>
      <c r="I146" s="47">
        <f>IFERROR(VLOOKUP(D146,EQUIPOS!A:F,6,FALSE()),0)</f>
        <v>2287.1357450968057</v>
      </c>
      <c r="J146" s="42">
        <f>G146*I146</f>
        <v>2287.1357450968057</v>
      </c>
      <c r="K146" s="15" t="str">
        <f t="shared" si="15"/>
        <v>ALB-047|EQ</v>
      </c>
      <c r="L146" s="15">
        <f>COUNTIFS($K$2:K146,K146)</f>
        <v>1</v>
      </c>
      <c r="M146" s="15" t="str">
        <f t="shared" si="16"/>
        <v>ALB-047|EQ|1</v>
      </c>
      <c r="N146" s="47">
        <f>IFERROR(VLOOKUP(A146,PARTIDAS!A:F,6,FALSE()),0)</f>
        <v>15</v>
      </c>
      <c r="O146" s="247">
        <f t="shared" si="17"/>
        <v>1</v>
      </c>
      <c r="P146" s="247" t="str">
        <f>+_xlfn.XLOOKUP(A146,PPTO_GENERADOR!Q:Q,PPTO_GENERADOR!E:E,"-",0)</f>
        <v>-</v>
      </c>
      <c r="Q146" s="247">
        <f t="shared" si="18"/>
        <v>0</v>
      </c>
      <c r="R146" s="259" t="str">
        <f>+_xlfn.XLOOKUP(A146,PPTO_GENERADOR!$Q:$Q,PPTO_GENERADOR!A:A,"-",0)</f>
        <v>-</v>
      </c>
    </row>
    <row r="147" spans="1:18" ht="15" customHeight="1" x14ac:dyDescent="0.35">
      <c r="A147" s="38" t="s">
        <v>2488</v>
      </c>
      <c r="B147" s="38" t="s">
        <v>2773</v>
      </c>
      <c r="C147" s="38"/>
      <c r="D147" s="38" t="s">
        <v>1613</v>
      </c>
      <c r="E147" s="44" t="str">
        <f>IFERROR(VLOOKUP(D147,EQUIPOS!A:B,2,FALSE()),"?")</f>
        <v>Hormigonera De 150 Litros 1hp Con Rueda Maciza</v>
      </c>
      <c r="F147" s="44"/>
      <c r="G147" s="45">
        <v>1</v>
      </c>
      <c r="H147" s="46">
        <v>0</v>
      </c>
      <c r="I147" s="47">
        <f>IFERROR(VLOOKUP(D147,EQUIPOS!A:F,6,FALSE()),0)</f>
        <v>957.25319614994726</v>
      </c>
      <c r="J147" s="42">
        <f>G147*I147</f>
        <v>957.25319614994726</v>
      </c>
      <c r="K147" s="15" t="str">
        <f t="shared" si="15"/>
        <v>ALB-047|EQ</v>
      </c>
      <c r="L147" s="15">
        <f>COUNTIFS($K$2:K147,K147)</f>
        <v>2</v>
      </c>
      <c r="M147" s="15" t="str">
        <f t="shared" si="16"/>
        <v>ALB-047|EQ|2</v>
      </c>
      <c r="N147" s="47">
        <f>IFERROR(VLOOKUP(A147,PARTIDAS!A:F,6,FALSE()),0)</f>
        <v>15</v>
      </c>
      <c r="O147" s="247">
        <f t="shared" si="17"/>
        <v>1</v>
      </c>
      <c r="P147" s="247" t="str">
        <f>+_xlfn.XLOOKUP(A147,PPTO_GENERADOR!Q:Q,PPTO_GENERADOR!E:E,"-",0)</f>
        <v>-</v>
      </c>
      <c r="Q147" s="247">
        <f t="shared" si="18"/>
        <v>0</v>
      </c>
      <c r="R147" s="259" t="str">
        <f>+_xlfn.XLOOKUP(A147,PPTO_GENERADOR!$Q:$Q,PPTO_GENERADOR!A:A,"-",0)</f>
        <v>-</v>
      </c>
    </row>
    <row r="148" spans="1:18" ht="15" customHeight="1" x14ac:dyDescent="0.35">
      <c r="A148" s="38" t="s">
        <v>2488</v>
      </c>
      <c r="B148" s="38" t="s">
        <v>2774</v>
      </c>
      <c r="C148" s="38" t="s">
        <v>2775</v>
      </c>
      <c r="D148" s="38" t="s">
        <v>588</v>
      </c>
      <c r="E148" s="44" t="str">
        <f>IFERROR(VLOOKUP(D148,MATERIALES!A:B,2,FALSE()),"?")</f>
        <v>ARENA LAVADA</v>
      </c>
      <c r="F148" s="44" t="str">
        <f>IFERROR(VLOOKUP(D148,MATERIALES!A:C,3,FALSE()),"?")</f>
        <v>m3</v>
      </c>
      <c r="G148" s="45">
        <v>0.03</v>
      </c>
      <c r="H148" s="46">
        <v>0.1</v>
      </c>
      <c r="I148" s="47">
        <f>IFERROR(VLOOKUP(D148,MATERIALES!A:D,4,FALSE()),0)</f>
        <v>32399.77</v>
      </c>
      <c r="J148" s="42">
        <f>G148*I148*(1+H148)</f>
        <v>1069.1924100000001</v>
      </c>
      <c r="K148" s="15" t="str">
        <f t="shared" si="15"/>
        <v>ALB-047|MAT</v>
      </c>
      <c r="L148" s="15">
        <f>COUNTIFS($K$2:K148,K148)</f>
        <v>1</v>
      </c>
      <c r="M148" s="15" t="str">
        <f t="shared" si="16"/>
        <v>ALB-047|MAT|1</v>
      </c>
      <c r="N148" s="47">
        <f>IFERROR(VLOOKUP(A148,PARTIDAS!A:F,6,FALSE()),0)</f>
        <v>15</v>
      </c>
      <c r="O148" s="247">
        <f t="shared" si="17"/>
        <v>0.03</v>
      </c>
      <c r="P148" s="247" t="str">
        <f>+_xlfn.XLOOKUP(A148,PPTO_GENERADOR!Q:Q,PPTO_GENERADOR!E:E,"-",0)</f>
        <v>-</v>
      </c>
      <c r="Q148" s="247">
        <f t="shared" si="18"/>
        <v>0</v>
      </c>
      <c r="R148" s="259" t="str">
        <f>+_xlfn.XLOOKUP(A148,PPTO_GENERADOR!$Q:$Q,PPTO_GENERADOR!A:A,"-",0)</f>
        <v>-</v>
      </c>
    </row>
    <row r="149" spans="1:18" ht="15" customHeight="1" x14ac:dyDescent="0.35">
      <c r="A149" s="38" t="s">
        <v>2488</v>
      </c>
      <c r="B149" s="38" t="s">
        <v>2774</v>
      </c>
      <c r="C149" s="38" t="s">
        <v>2775</v>
      </c>
      <c r="D149" s="38" t="s">
        <v>599</v>
      </c>
      <c r="E149" s="44" t="str">
        <f>IFERROR(VLOOKUP(D149,MATERIALES!A:B,2,FALSE()),"?")</f>
        <v>Cemento Portland x 50kg</v>
      </c>
      <c r="F149" s="44" t="str">
        <f>IFERROR(VLOOKUP(D149,MATERIALES!A:C,3,FALSE()),"?")</f>
        <v>Bol</v>
      </c>
      <c r="G149" s="45">
        <v>0.27</v>
      </c>
      <c r="H149" s="46">
        <v>0.1</v>
      </c>
      <c r="I149" s="47">
        <f>IFERROR(VLOOKUP(D149,MATERIALES!A:D,4,FALSE()),0)</f>
        <v>7809.48</v>
      </c>
      <c r="J149" s="42">
        <f>G149*I149*(1+H149)</f>
        <v>2319.4155600000004</v>
      </c>
      <c r="K149" s="15" t="str">
        <f t="shared" si="15"/>
        <v>ALB-047|MAT</v>
      </c>
      <c r="L149" s="15">
        <f>COUNTIFS($K$2:K149,K149)</f>
        <v>2</v>
      </c>
      <c r="M149" s="15" t="str">
        <f t="shared" si="16"/>
        <v>ALB-047|MAT|2</v>
      </c>
      <c r="N149" s="47">
        <f>IFERROR(VLOOKUP(A149,PARTIDAS!A:F,6,FALSE()),0)</f>
        <v>15</v>
      </c>
      <c r="O149" s="247">
        <f t="shared" si="17"/>
        <v>0.27</v>
      </c>
      <c r="P149" s="247" t="str">
        <f>+_xlfn.XLOOKUP(A149,PPTO_GENERADOR!Q:Q,PPTO_GENERADOR!E:E,"-",0)</f>
        <v>-</v>
      </c>
      <c r="Q149" s="247">
        <f t="shared" si="18"/>
        <v>0</v>
      </c>
      <c r="R149" s="259" t="str">
        <f>+_xlfn.XLOOKUP(A149,PPTO_GENERADOR!$Q:$Q,PPTO_GENERADOR!A:A,"-",0)</f>
        <v>-</v>
      </c>
    </row>
    <row r="150" spans="1:18" ht="15" customHeight="1" x14ac:dyDescent="0.35">
      <c r="A150" s="38" t="s">
        <v>2488</v>
      </c>
      <c r="B150" s="38" t="s">
        <v>2776</v>
      </c>
      <c r="C150" s="38" t="s">
        <v>2777</v>
      </c>
      <c r="D150" s="237" t="s">
        <v>1577</v>
      </c>
      <c r="E150" s="44" t="str">
        <f>IFERROR(VLOOKUP(D150,MANO_DE_OBRA!A:B,2,FALSE()),"?")</f>
        <v>AYUDANTE</v>
      </c>
      <c r="F150" s="44" t="s">
        <v>2778</v>
      </c>
      <c r="G150" s="45">
        <v>0.45</v>
      </c>
      <c r="H150" s="46">
        <v>0</v>
      </c>
      <c r="I150" s="47">
        <f>IFERROR(VLOOKUP(D150,MANO_DE_OBRA!A:C,3,FALSE()),0)</f>
        <v>60860.580776572002</v>
      </c>
      <c r="J150" s="42">
        <f>G150*I150</f>
        <v>27387.2613494574</v>
      </c>
      <c r="K150" s="15" t="str">
        <f t="shared" si="15"/>
        <v>ALB-047|MO</v>
      </c>
      <c r="L150" s="15">
        <f>COUNTIFS($K$2:K150,K150)</f>
        <v>1</v>
      </c>
      <c r="M150" s="15" t="str">
        <f t="shared" si="16"/>
        <v>ALB-047|MO|1</v>
      </c>
      <c r="N150" s="47">
        <f>IFERROR(VLOOKUP(A150,PARTIDAS!A:F,6,FALSE()),0)</f>
        <v>15</v>
      </c>
      <c r="O150" s="247">
        <f t="shared" si="17"/>
        <v>3.0000000000000002E-2</v>
      </c>
      <c r="P150" s="247" t="str">
        <f>+_xlfn.XLOOKUP(A150,PPTO_GENERADOR!Q:Q,PPTO_GENERADOR!E:E,"-",0)</f>
        <v>-</v>
      </c>
      <c r="Q150" s="247">
        <f t="shared" si="18"/>
        <v>0</v>
      </c>
      <c r="R150" s="259" t="str">
        <f>+_xlfn.XLOOKUP(A150,PPTO_GENERADOR!$Q:$Q,PPTO_GENERADOR!A:A,"-",0)</f>
        <v>-</v>
      </c>
    </row>
    <row r="151" spans="1:18" ht="15" customHeight="1" x14ac:dyDescent="0.35">
      <c r="A151" s="38" t="s">
        <v>2488</v>
      </c>
      <c r="B151" s="38" t="s">
        <v>2776</v>
      </c>
      <c r="C151" s="38" t="s">
        <v>2777</v>
      </c>
      <c r="D151" s="237" t="s">
        <v>1568</v>
      </c>
      <c r="E151" s="44" t="str">
        <f>IFERROR(VLOOKUP(D151,MANO_DE_OBRA!A:B,2,FALSE()),"?")</f>
        <v>ESPECIALIZADO</v>
      </c>
      <c r="F151" s="44" t="s">
        <v>2778</v>
      </c>
      <c r="G151" s="45">
        <v>1</v>
      </c>
      <c r="H151" s="46">
        <v>0</v>
      </c>
      <c r="I151" s="47">
        <f>IFERROR(VLOOKUP(D151,MANO_DE_OBRA!A:C,3,FALSE()),0)</f>
        <v>85927.097156571996</v>
      </c>
      <c r="J151" s="42">
        <f>G151*I151</f>
        <v>85927.097156571996</v>
      </c>
      <c r="K151" s="15" t="str">
        <f t="shared" si="15"/>
        <v>ALB-047|MO</v>
      </c>
      <c r="L151" s="15">
        <f>COUNTIFS($K$2:K151,K151)</f>
        <v>2</v>
      </c>
      <c r="M151" s="15" t="str">
        <f t="shared" si="16"/>
        <v>ALB-047|MO|2</v>
      </c>
      <c r="N151" s="47">
        <f>IFERROR(VLOOKUP(A151,PARTIDAS!A:F,6,FALSE()),0)</f>
        <v>15</v>
      </c>
      <c r="O151" s="247">
        <f t="shared" si="17"/>
        <v>6.6666666666666666E-2</v>
      </c>
      <c r="P151" s="247" t="str">
        <f>+_xlfn.XLOOKUP(A151,PPTO_GENERADOR!Q:Q,PPTO_GENERADOR!E:E,"-",0)</f>
        <v>-</v>
      </c>
      <c r="Q151" s="247">
        <f t="shared" si="18"/>
        <v>0</v>
      </c>
      <c r="R151" s="259" t="str">
        <f>+_xlfn.XLOOKUP(A151,PPTO_GENERADOR!$Q:$Q,PPTO_GENERADOR!A:A,"-",0)</f>
        <v>-</v>
      </c>
    </row>
    <row r="152" spans="1:18" ht="15" customHeight="1" x14ac:dyDescent="0.35">
      <c r="A152" s="38" t="s">
        <v>2491</v>
      </c>
      <c r="B152" s="38" t="s">
        <v>2773</v>
      </c>
      <c r="C152" s="38"/>
      <c r="D152" s="38" t="s">
        <v>1595</v>
      </c>
      <c r="E152" s="44" t="str">
        <f>IFERROR(VLOOKUP(D152,EQUIPOS!A:B,2,FALSE()),"?")</f>
        <v>EQUIPO DE ALBAÑILERIA, carpetas, ladrillo</v>
      </c>
      <c r="F152" s="44"/>
      <c r="G152" s="45">
        <v>1</v>
      </c>
      <c r="H152" s="46">
        <v>0</v>
      </c>
      <c r="I152" s="47">
        <f>IFERROR(VLOOKUP(D152,EQUIPOS!A:F,6,FALSE()),0)</f>
        <v>2287.1357450968057</v>
      </c>
      <c r="J152" s="42">
        <f>G152*I152</f>
        <v>2287.1357450968057</v>
      </c>
      <c r="K152" s="15" t="str">
        <f t="shared" si="15"/>
        <v>ALB-048|EQ</v>
      </c>
      <c r="L152" s="15">
        <f>COUNTIFS($K$2:K152,K152)</f>
        <v>1</v>
      </c>
      <c r="M152" s="15" t="str">
        <f t="shared" si="16"/>
        <v>ALB-048|EQ|1</v>
      </c>
      <c r="N152" s="47">
        <f>IFERROR(VLOOKUP(A152,PARTIDAS!A:F,6,FALSE()),0)</f>
        <v>35</v>
      </c>
      <c r="O152" s="247">
        <f t="shared" si="17"/>
        <v>1</v>
      </c>
      <c r="P152" s="247" t="str">
        <f>+_xlfn.XLOOKUP(A152,PPTO_GENERADOR!Q:Q,PPTO_GENERADOR!E:E,"-",0)</f>
        <v>-</v>
      </c>
      <c r="Q152" s="247">
        <f t="shared" si="18"/>
        <v>0</v>
      </c>
      <c r="R152" s="259" t="str">
        <f>+_xlfn.XLOOKUP(A152,PPTO_GENERADOR!$Q:$Q,PPTO_GENERADOR!A:A,"-",0)</f>
        <v>-</v>
      </c>
    </row>
    <row r="153" spans="1:18" ht="15" customHeight="1" x14ac:dyDescent="0.35">
      <c r="A153" s="38" t="s">
        <v>2491</v>
      </c>
      <c r="B153" s="38" t="s">
        <v>2773</v>
      </c>
      <c r="C153" s="38"/>
      <c r="D153" s="38" t="s">
        <v>1613</v>
      </c>
      <c r="E153" s="44" t="str">
        <f>IFERROR(VLOOKUP(D153,EQUIPOS!A:B,2,FALSE()),"?")</f>
        <v>Hormigonera De 150 Litros 1hp Con Rueda Maciza</v>
      </c>
      <c r="F153" s="44"/>
      <c r="G153" s="45">
        <v>2</v>
      </c>
      <c r="H153" s="46">
        <v>0</v>
      </c>
      <c r="I153" s="47">
        <f>IFERROR(VLOOKUP(D153,EQUIPOS!A:F,6,FALSE()),0)</f>
        <v>957.25319614994726</v>
      </c>
      <c r="J153" s="42">
        <f>G153*I153</f>
        <v>1914.5063922998945</v>
      </c>
      <c r="K153" s="15" t="str">
        <f t="shared" si="15"/>
        <v>ALB-048|EQ</v>
      </c>
      <c r="L153" s="15">
        <f>COUNTIFS($K$2:K153,K153)</f>
        <v>2</v>
      </c>
      <c r="M153" s="15" t="str">
        <f t="shared" si="16"/>
        <v>ALB-048|EQ|2</v>
      </c>
      <c r="N153" s="47">
        <f>IFERROR(VLOOKUP(A153,PARTIDAS!A:F,6,FALSE()),0)</f>
        <v>35</v>
      </c>
      <c r="O153" s="247">
        <f t="shared" si="17"/>
        <v>2</v>
      </c>
      <c r="P153" s="247" t="str">
        <f>+_xlfn.XLOOKUP(A153,PPTO_GENERADOR!Q:Q,PPTO_GENERADOR!E:E,"-",0)</f>
        <v>-</v>
      </c>
      <c r="Q153" s="247">
        <f t="shared" si="18"/>
        <v>0</v>
      </c>
      <c r="R153" s="259" t="str">
        <f>+_xlfn.XLOOKUP(A153,PPTO_GENERADOR!$Q:$Q,PPTO_GENERADOR!A:A,"-",0)</f>
        <v>-</v>
      </c>
    </row>
    <row r="154" spans="1:18" ht="15" customHeight="1" x14ac:dyDescent="0.35">
      <c r="A154" s="38" t="s">
        <v>2491</v>
      </c>
      <c r="B154" s="38" t="s">
        <v>2774</v>
      </c>
      <c r="C154" s="38" t="s">
        <v>2775</v>
      </c>
      <c r="D154" s="38" t="s">
        <v>688</v>
      </c>
      <c r="E154" s="44" t="str">
        <f>IFERROR(VLOOKUP(D154,MATERIALES!A:B,2,FALSE()),"?")</f>
        <v>Sika Poro Plus x 10 kg</v>
      </c>
      <c r="F154" s="44" t="str">
        <f>IFERROR(VLOOKUP(D154,MATERIALES!A:C,3,FALSE()),"?")</f>
        <v>b</v>
      </c>
      <c r="G154" s="45">
        <v>2.4499999999999999E-3</v>
      </c>
      <c r="H154" s="46">
        <v>0.05</v>
      </c>
      <c r="I154" s="47">
        <f>IFERROR(VLOOKUP(D154,MATERIALES!A:D,4,FALSE()),0)</f>
        <v>252066.115702479</v>
      </c>
      <c r="J154" s="42">
        <f>G154*I154*(1+H154)</f>
        <v>648.44008264462718</v>
      </c>
      <c r="K154" s="15" t="str">
        <f t="shared" si="15"/>
        <v>ALB-048|MAT</v>
      </c>
      <c r="L154" s="15">
        <f>COUNTIFS($K$2:K154,K154)</f>
        <v>1</v>
      </c>
      <c r="M154" s="15" t="str">
        <f t="shared" si="16"/>
        <v>ALB-048|MAT|1</v>
      </c>
      <c r="N154" s="47">
        <f>IFERROR(VLOOKUP(A154,PARTIDAS!A:F,6,FALSE()),0)</f>
        <v>35</v>
      </c>
      <c r="O154" s="247">
        <f t="shared" si="17"/>
        <v>2.4499999999999999E-3</v>
      </c>
      <c r="P154" s="247" t="str">
        <f>+_xlfn.XLOOKUP(A154,PPTO_GENERADOR!Q:Q,PPTO_GENERADOR!E:E,"-",0)</f>
        <v>-</v>
      </c>
      <c r="Q154" s="247">
        <f t="shared" si="18"/>
        <v>0</v>
      </c>
      <c r="R154" s="259" t="str">
        <f>+_xlfn.XLOOKUP(A154,PPTO_GENERADOR!$Q:$Q,PPTO_GENERADOR!A:A,"-",0)</f>
        <v>-</v>
      </c>
    </row>
    <row r="155" spans="1:18" ht="15" customHeight="1" x14ac:dyDescent="0.35">
      <c r="A155" s="38" t="s">
        <v>2491</v>
      </c>
      <c r="B155" s="38" t="s">
        <v>2774</v>
      </c>
      <c r="C155" s="38" t="s">
        <v>2775</v>
      </c>
      <c r="D155" s="38" t="s">
        <v>588</v>
      </c>
      <c r="E155" s="44" t="str">
        <f>IFERROR(VLOOKUP(D155,MATERIALES!A:B,2,FALSE()),"?")</f>
        <v>ARENA LAVADA</v>
      </c>
      <c r="F155" s="44" t="str">
        <f>IFERROR(VLOOKUP(D155,MATERIALES!A:C,3,FALSE()),"?")</f>
        <v>m3</v>
      </c>
      <c r="G155" s="45">
        <v>5.9499999999999997E-2</v>
      </c>
      <c r="H155" s="46">
        <v>0.1</v>
      </c>
      <c r="I155" s="47">
        <f>IFERROR(VLOOKUP(D155,MATERIALES!A:D,4,FALSE()),0)</f>
        <v>32399.77</v>
      </c>
      <c r="J155" s="42">
        <f>G155*I155*(1+H155)</f>
        <v>2120.5649465000001</v>
      </c>
      <c r="K155" s="15" t="str">
        <f t="shared" si="15"/>
        <v>ALB-048|MAT</v>
      </c>
      <c r="L155" s="15">
        <f>COUNTIFS($K$2:K155,K155)</f>
        <v>2</v>
      </c>
      <c r="M155" s="15" t="str">
        <f t="shared" si="16"/>
        <v>ALB-048|MAT|2</v>
      </c>
      <c r="N155" s="47">
        <f>IFERROR(VLOOKUP(A155,PARTIDAS!A:F,6,FALSE()),0)</f>
        <v>35</v>
      </c>
      <c r="O155" s="247">
        <f t="shared" si="17"/>
        <v>5.9499999999999997E-2</v>
      </c>
      <c r="P155" s="247" t="str">
        <f>+_xlfn.XLOOKUP(A155,PPTO_GENERADOR!Q:Q,PPTO_GENERADOR!E:E,"-",0)</f>
        <v>-</v>
      </c>
      <c r="Q155" s="247">
        <f t="shared" si="18"/>
        <v>0</v>
      </c>
      <c r="R155" s="259" t="str">
        <f>+_xlfn.XLOOKUP(A155,PPTO_GENERADOR!$Q:$Q,PPTO_GENERADOR!A:A,"-",0)</f>
        <v>-</v>
      </c>
    </row>
    <row r="156" spans="1:18" ht="15" customHeight="1" x14ac:dyDescent="0.35">
      <c r="A156" s="38" t="s">
        <v>2491</v>
      </c>
      <c r="B156" s="38" t="s">
        <v>2774</v>
      </c>
      <c r="C156" s="38" t="s">
        <v>2775</v>
      </c>
      <c r="D156" s="38" t="s">
        <v>599</v>
      </c>
      <c r="E156" s="44" t="str">
        <f>IFERROR(VLOOKUP(D156,MATERIALES!A:B,2,FALSE()),"?")</f>
        <v>Cemento Portland x 50kg</v>
      </c>
      <c r="F156" s="44" t="str">
        <f>IFERROR(VLOOKUP(D156,MATERIALES!A:C,3,FALSE()),"?")</f>
        <v>Bol</v>
      </c>
      <c r="G156" s="45">
        <v>0.42</v>
      </c>
      <c r="H156" s="46">
        <v>0.1</v>
      </c>
      <c r="I156" s="47">
        <f>IFERROR(VLOOKUP(D156,MATERIALES!A:D,4,FALSE()),0)</f>
        <v>7809.48</v>
      </c>
      <c r="J156" s="42">
        <f>G156*I156*(1+H156)</f>
        <v>3607.9797599999997</v>
      </c>
      <c r="K156" s="15" t="str">
        <f t="shared" si="15"/>
        <v>ALB-048|MAT</v>
      </c>
      <c r="L156" s="15">
        <f>COUNTIFS($K$2:K156,K156)</f>
        <v>3</v>
      </c>
      <c r="M156" s="15" t="str">
        <f t="shared" si="16"/>
        <v>ALB-048|MAT|3</v>
      </c>
      <c r="N156" s="47">
        <f>IFERROR(VLOOKUP(A156,PARTIDAS!A:F,6,FALSE()),0)</f>
        <v>35</v>
      </c>
      <c r="O156" s="247">
        <f t="shared" si="17"/>
        <v>0.42</v>
      </c>
      <c r="P156" s="247" t="str">
        <f>+_xlfn.XLOOKUP(A156,PPTO_GENERADOR!Q:Q,PPTO_GENERADOR!E:E,"-",0)</f>
        <v>-</v>
      </c>
      <c r="Q156" s="247">
        <f t="shared" si="18"/>
        <v>0</v>
      </c>
      <c r="R156" s="259" t="str">
        <f>+_xlfn.XLOOKUP(A156,PPTO_GENERADOR!$Q:$Q,PPTO_GENERADOR!A:A,"-",0)</f>
        <v>-</v>
      </c>
    </row>
    <row r="157" spans="1:18" ht="15" customHeight="1" x14ac:dyDescent="0.35">
      <c r="A157" s="38" t="s">
        <v>2491</v>
      </c>
      <c r="B157" s="38" t="s">
        <v>2774</v>
      </c>
      <c r="C157" s="38" t="s">
        <v>2775</v>
      </c>
      <c r="D157" s="38" t="s">
        <v>604</v>
      </c>
      <c r="E157" s="44" t="str">
        <f>IFERROR(VLOOKUP(D157,MATERIALES!A:B,2,FALSE()),"?")</f>
        <v>Cal Comun x 25kg</v>
      </c>
      <c r="F157" s="44" t="str">
        <f>IFERROR(VLOOKUP(D157,MATERIALES!A:C,3,FALSE()),"?")</f>
        <v>bol</v>
      </c>
      <c r="G157" s="45">
        <v>0.14000000000000001</v>
      </c>
      <c r="H157" s="46">
        <v>0.1</v>
      </c>
      <c r="I157" s="47">
        <f>IFERROR(VLOOKUP(D157,MATERIALES!A:D,4,FALSE()),0)</f>
        <v>3837.96</v>
      </c>
      <c r="J157" s="42">
        <f>G157*I157*(1+H157)</f>
        <v>591.04584000000011</v>
      </c>
      <c r="K157" s="15" t="str">
        <f t="shared" si="15"/>
        <v>ALB-048|MAT</v>
      </c>
      <c r="L157" s="15">
        <f>COUNTIFS($K$2:K157,K157)</f>
        <v>4</v>
      </c>
      <c r="M157" s="15" t="str">
        <f t="shared" si="16"/>
        <v>ALB-048|MAT|4</v>
      </c>
      <c r="N157" s="47">
        <f>IFERROR(VLOOKUP(A157,PARTIDAS!A:F,6,FALSE()),0)</f>
        <v>35</v>
      </c>
      <c r="O157" s="247">
        <f t="shared" si="17"/>
        <v>0.14000000000000001</v>
      </c>
      <c r="P157" s="247" t="str">
        <f>+_xlfn.XLOOKUP(A157,PPTO_GENERADOR!Q:Q,PPTO_GENERADOR!E:E,"-",0)</f>
        <v>-</v>
      </c>
      <c r="Q157" s="247">
        <f t="shared" si="18"/>
        <v>0</v>
      </c>
      <c r="R157" s="259" t="str">
        <f>+_xlfn.XLOOKUP(A157,PPTO_GENERADOR!$Q:$Q,PPTO_GENERADOR!A:A,"-",0)</f>
        <v>-</v>
      </c>
    </row>
    <row r="158" spans="1:18" ht="15" customHeight="1" x14ac:dyDescent="0.35">
      <c r="A158" s="38" t="s">
        <v>2491</v>
      </c>
      <c r="B158" s="38" t="s">
        <v>2776</v>
      </c>
      <c r="C158" s="38" t="s">
        <v>2777</v>
      </c>
      <c r="D158" s="237" t="s">
        <v>1577</v>
      </c>
      <c r="E158" s="44" t="str">
        <f>IFERROR(VLOOKUP(D158,MANO_DE_OBRA!A:B,2,FALSE()),"?")</f>
        <v>AYUDANTE</v>
      </c>
      <c r="F158" s="44" t="s">
        <v>2778</v>
      </c>
      <c r="G158" s="45">
        <v>3</v>
      </c>
      <c r="H158" s="46">
        <v>0</v>
      </c>
      <c r="I158" s="47">
        <f>IFERROR(VLOOKUP(D158,MANO_DE_OBRA!A:C,3,FALSE()),0)</f>
        <v>60860.580776572002</v>
      </c>
      <c r="J158" s="42">
        <f>G158*I158</f>
        <v>182581.74232971601</v>
      </c>
      <c r="K158" s="15" t="str">
        <f t="shared" si="15"/>
        <v>ALB-048|MO</v>
      </c>
      <c r="L158" s="15">
        <f>COUNTIFS($K$2:K158,K158)</f>
        <v>1</v>
      </c>
      <c r="M158" s="15" t="str">
        <f t="shared" si="16"/>
        <v>ALB-048|MO|1</v>
      </c>
      <c r="N158" s="47">
        <f>IFERROR(VLOOKUP(A158,PARTIDAS!A:F,6,FALSE()),0)</f>
        <v>35</v>
      </c>
      <c r="O158" s="247">
        <f t="shared" si="17"/>
        <v>8.5714285714285715E-2</v>
      </c>
      <c r="P158" s="247" t="str">
        <f>+_xlfn.XLOOKUP(A158,PPTO_GENERADOR!Q:Q,PPTO_GENERADOR!E:E,"-",0)</f>
        <v>-</v>
      </c>
      <c r="Q158" s="247">
        <f t="shared" si="18"/>
        <v>0</v>
      </c>
      <c r="R158" s="259" t="str">
        <f>+_xlfn.XLOOKUP(A158,PPTO_GENERADOR!$Q:$Q,PPTO_GENERADOR!A:A,"-",0)</f>
        <v>-</v>
      </c>
    </row>
    <row r="159" spans="1:18" ht="15" customHeight="1" x14ac:dyDescent="0.35">
      <c r="A159" s="38" t="s">
        <v>2491</v>
      </c>
      <c r="B159" s="38" t="s">
        <v>2776</v>
      </c>
      <c r="C159" s="38" t="s">
        <v>2777</v>
      </c>
      <c r="D159" s="237" t="s">
        <v>1568</v>
      </c>
      <c r="E159" s="44" t="str">
        <f>IFERROR(VLOOKUP(D159,MANO_DE_OBRA!A:B,2,FALSE()),"?")</f>
        <v>ESPECIALIZADO</v>
      </c>
      <c r="F159" s="44" t="s">
        <v>2778</v>
      </c>
      <c r="G159" s="45">
        <v>2</v>
      </c>
      <c r="H159" s="46">
        <v>0</v>
      </c>
      <c r="I159" s="47">
        <f>IFERROR(VLOOKUP(D159,MANO_DE_OBRA!A:C,3,FALSE()),0)</f>
        <v>85927.097156571996</v>
      </c>
      <c r="J159" s="42">
        <f>G159*I159</f>
        <v>171854.19431314399</v>
      </c>
      <c r="K159" s="15" t="str">
        <f t="shared" si="15"/>
        <v>ALB-048|MO</v>
      </c>
      <c r="L159" s="15">
        <f>COUNTIFS($K$2:K159,K159)</f>
        <v>2</v>
      </c>
      <c r="M159" s="15" t="str">
        <f t="shared" si="16"/>
        <v>ALB-048|MO|2</v>
      </c>
      <c r="N159" s="47">
        <f>IFERROR(VLOOKUP(A159,PARTIDAS!A:F,6,FALSE()),0)</f>
        <v>35</v>
      </c>
      <c r="O159" s="247">
        <f t="shared" si="17"/>
        <v>5.7142857142857141E-2</v>
      </c>
      <c r="P159" s="247" t="str">
        <f>+_xlfn.XLOOKUP(A159,PPTO_GENERADOR!Q:Q,PPTO_GENERADOR!E:E,"-",0)</f>
        <v>-</v>
      </c>
      <c r="Q159" s="247">
        <f t="shared" si="18"/>
        <v>0</v>
      </c>
      <c r="R159" s="259" t="str">
        <f>+_xlfn.XLOOKUP(A159,PPTO_GENERADOR!$Q:$Q,PPTO_GENERADOR!A:A,"-",0)</f>
        <v>-</v>
      </c>
    </row>
    <row r="160" spans="1:18" ht="15" customHeight="1" x14ac:dyDescent="0.35">
      <c r="A160" s="38" t="s">
        <v>2494</v>
      </c>
      <c r="B160" s="38" t="s">
        <v>2773</v>
      </c>
      <c r="C160" s="38"/>
      <c r="D160" s="38" t="s">
        <v>1595</v>
      </c>
      <c r="E160" s="44" t="str">
        <f>IFERROR(VLOOKUP(D160,EQUIPOS!A:B,2,FALSE()),"?")</f>
        <v>EQUIPO DE ALBAÑILERIA, carpetas, ladrillo</v>
      </c>
      <c r="F160" s="44"/>
      <c r="G160" s="45">
        <v>1</v>
      </c>
      <c r="H160" s="46">
        <v>0</v>
      </c>
      <c r="I160" s="47">
        <f>IFERROR(VLOOKUP(D160,EQUIPOS!A:F,6,FALSE()),0)</f>
        <v>2287.1357450968057</v>
      </c>
      <c r="J160" s="42">
        <f>G160*I160</f>
        <v>2287.1357450968057</v>
      </c>
      <c r="K160" s="15" t="str">
        <f t="shared" si="15"/>
        <v>ALB-049|EQ</v>
      </c>
      <c r="L160" s="15">
        <f>COUNTIFS($K$2:K160,K160)</f>
        <v>1</v>
      </c>
      <c r="M160" s="15" t="str">
        <f t="shared" si="16"/>
        <v>ALB-049|EQ|1</v>
      </c>
      <c r="N160" s="47">
        <f>IFERROR(VLOOKUP(A160,PARTIDAS!A:F,6,FALSE()),0)</f>
        <v>15</v>
      </c>
      <c r="O160" s="247">
        <f t="shared" si="17"/>
        <v>1</v>
      </c>
      <c r="P160" s="247" t="str">
        <f>+_xlfn.XLOOKUP(A160,PPTO_GENERADOR!Q:Q,PPTO_GENERADOR!E:E,"-",0)</f>
        <v>-</v>
      </c>
      <c r="Q160" s="247">
        <f t="shared" si="18"/>
        <v>0</v>
      </c>
      <c r="R160" s="259" t="str">
        <f>+_xlfn.XLOOKUP(A160,PPTO_GENERADOR!$Q:$Q,PPTO_GENERADOR!A:A,"-",0)</f>
        <v>-</v>
      </c>
    </row>
    <row r="161" spans="1:18" ht="15" customHeight="1" x14ac:dyDescent="0.35">
      <c r="A161" s="38" t="s">
        <v>2494</v>
      </c>
      <c r="B161" s="38" t="s">
        <v>2773</v>
      </c>
      <c r="C161" s="38"/>
      <c r="D161" s="38" t="s">
        <v>1613</v>
      </c>
      <c r="E161" s="44" t="str">
        <f>IFERROR(VLOOKUP(D161,EQUIPOS!A:B,2,FALSE()),"?")</f>
        <v>Hormigonera De 150 Litros 1hp Con Rueda Maciza</v>
      </c>
      <c r="F161" s="44"/>
      <c r="G161" s="45">
        <v>1</v>
      </c>
      <c r="H161" s="46">
        <v>0</v>
      </c>
      <c r="I161" s="47">
        <f>IFERROR(VLOOKUP(D161,EQUIPOS!A:F,6,FALSE()),0)</f>
        <v>957.25319614994726</v>
      </c>
      <c r="J161" s="42">
        <f>G161*I161</f>
        <v>957.25319614994726</v>
      </c>
      <c r="K161" s="15" t="str">
        <f t="shared" si="15"/>
        <v>ALB-049|EQ</v>
      </c>
      <c r="L161" s="15">
        <f>COUNTIFS($K$2:K161,K161)</f>
        <v>2</v>
      </c>
      <c r="M161" s="15" t="str">
        <f t="shared" si="16"/>
        <v>ALB-049|EQ|2</v>
      </c>
      <c r="N161" s="47">
        <f>IFERROR(VLOOKUP(A161,PARTIDAS!A:F,6,FALSE()),0)</f>
        <v>15</v>
      </c>
      <c r="O161" s="247">
        <f t="shared" si="17"/>
        <v>1</v>
      </c>
      <c r="P161" s="247" t="str">
        <f>+_xlfn.XLOOKUP(A161,PPTO_GENERADOR!Q:Q,PPTO_GENERADOR!E:E,"-",0)</f>
        <v>-</v>
      </c>
      <c r="Q161" s="247">
        <f t="shared" si="18"/>
        <v>0</v>
      </c>
      <c r="R161" s="259" t="str">
        <f>+_xlfn.XLOOKUP(A161,PPTO_GENERADOR!$Q:$Q,PPTO_GENERADOR!A:A,"-",0)</f>
        <v>-</v>
      </c>
    </row>
    <row r="162" spans="1:18" ht="15" customHeight="1" x14ac:dyDescent="0.35">
      <c r="A162" s="38" t="s">
        <v>2494</v>
      </c>
      <c r="B162" s="38" t="s">
        <v>2774</v>
      </c>
      <c r="C162" s="38" t="s">
        <v>2775</v>
      </c>
      <c r="D162" s="38" t="s">
        <v>588</v>
      </c>
      <c r="E162" s="44" t="str">
        <f>IFERROR(VLOOKUP(D162,MATERIALES!A:B,2,FALSE()),"?")</f>
        <v>ARENA LAVADA</v>
      </c>
      <c r="F162" s="44" t="str">
        <f>IFERROR(VLOOKUP(D162,MATERIALES!A:C,3,FALSE()),"?")</f>
        <v>m3</v>
      </c>
      <c r="G162" s="45">
        <v>0.03</v>
      </c>
      <c r="H162" s="46">
        <v>0.1</v>
      </c>
      <c r="I162" s="47">
        <f>IFERROR(VLOOKUP(D162,MATERIALES!A:D,4,FALSE()),0)</f>
        <v>32399.77</v>
      </c>
      <c r="J162" s="42">
        <f>G162*I162*(1+H162)</f>
        <v>1069.1924100000001</v>
      </c>
      <c r="K162" s="15" t="str">
        <f t="shared" si="15"/>
        <v>ALB-049|MAT</v>
      </c>
      <c r="L162" s="15">
        <f>COUNTIFS($K$2:K162,K162)</f>
        <v>1</v>
      </c>
      <c r="M162" s="15" t="str">
        <f t="shared" si="16"/>
        <v>ALB-049|MAT|1</v>
      </c>
      <c r="N162" s="47">
        <f>IFERROR(VLOOKUP(A162,PARTIDAS!A:F,6,FALSE()),0)</f>
        <v>15</v>
      </c>
      <c r="O162" s="247">
        <f t="shared" si="17"/>
        <v>0.03</v>
      </c>
      <c r="P162" s="247" t="str">
        <f>+_xlfn.XLOOKUP(A162,PPTO_GENERADOR!Q:Q,PPTO_GENERADOR!E:E,"-",0)</f>
        <v>-</v>
      </c>
      <c r="Q162" s="247">
        <f t="shared" si="18"/>
        <v>0</v>
      </c>
      <c r="R162" s="259" t="str">
        <f>+_xlfn.XLOOKUP(A162,PPTO_GENERADOR!$Q:$Q,PPTO_GENERADOR!A:A,"-",0)</f>
        <v>-</v>
      </c>
    </row>
    <row r="163" spans="1:18" ht="15" customHeight="1" x14ac:dyDescent="0.35">
      <c r="A163" s="38" t="s">
        <v>2494</v>
      </c>
      <c r="B163" s="38" t="s">
        <v>2774</v>
      </c>
      <c r="C163" s="38" t="s">
        <v>2775</v>
      </c>
      <c r="D163" s="38" t="s">
        <v>599</v>
      </c>
      <c r="E163" s="44" t="str">
        <f>IFERROR(VLOOKUP(D163,MATERIALES!A:B,2,FALSE()),"?")</f>
        <v>Cemento Portland x 50kg</v>
      </c>
      <c r="F163" s="44" t="str">
        <f>IFERROR(VLOOKUP(D163,MATERIALES!A:C,3,FALSE()),"?")</f>
        <v>Bol</v>
      </c>
      <c r="G163" s="45">
        <v>0.27</v>
      </c>
      <c r="H163" s="46">
        <v>0.1</v>
      </c>
      <c r="I163" s="47">
        <f>IFERROR(VLOOKUP(D163,MATERIALES!A:D,4,FALSE()),0)</f>
        <v>7809.48</v>
      </c>
      <c r="J163" s="42">
        <f>G163*I163*(1+H163)</f>
        <v>2319.4155600000004</v>
      </c>
      <c r="K163" s="15" t="str">
        <f t="shared" si="15"/>
        <v>ALB-049|MAT</v>
      </c>
      <c r="L163" s="15">
        <f>COUNTIFS($K$2:K163,K163)</f>
        <v>2</v>
      </c>
      <c r="M163" s="15" t="str">
        <f t="shared" si="16"/>
        <v>ALB-049|MAT|2</v>
      </c>
      <c r="N163" s="47">
        <f>IFERROR(VLOOKUP(A163,PARTIDAS!A:F,6,FALSE()),0)</f>
        <v>15</v>
      </c>
      <c r="O163" s="247">
        <f t="shared" si="17"/>
        <v>0.27</v>
      </c>
      <c r="P163" s="247" t="str">
        <f>+_xlfn.XLOOKUP(A163,PPTO_GENERADOR!Q:Q,PPTO_GENERADOR!E:E,"-",0)</f>
        <v>-</v>
      </c>
      <c r="Q163" s="247">
        <f t="shared" si="18"/>
        <v>0</v>
      </c>
      <c r="R163" s="259" t="str">
        <f>+_xlfn.XLOOKUP(A163,PPTO_GENERADOR!$Q:$Q,PPTO_GENERADOR!A:A,"-",0)</f>
        <v>-</v>
      </c>
    </row>
    <row r="164" spans="1:18" ht="15" customHeight="1" x14ac:dyDescent="0.35">
      <c r="A164" s="38" t="s">
        <v>2494</v>
      </c>
      <c r="B164" s="38" t="s">
        <v>2774</v>
      </c>
      <c r="C164" s="38" t="s">
        <v>2775</v>
      </c>
      <c r="D164" s="38" t="s">
        <v>660</v>
      </c>
      <c r="E164" s="44" t="str">
        <f>IFERROR(VLOOKUP(D164,MATERIALES!A:B,2,FALSE()),"?")</f>
        <v>Aditivo Hidrofugo en pasta - Ceresita x 1kg</v>
      </c>
      <c r="F164" s="44" t="str">
        <f>IFERROR(VLOOKUP(D164,MATERIALES!A:C,3,FALSE()),"?")</f>
        <v>kg</v>
      </c>
      <c r="G164" s="45">
        <v>0.5</v>
      </c>
      <c r="H164" s="46">
        <v>0.05</v>
      </c>
      <c r="I164" s="47">
        <f>IFERROR(VLOOKUP(D164,MATERIALES!A:D,4,FALSE()),0)</f>
        <v>1256.1279999999999</v>
      </c>
      <c r="J164" s="42">
        <f>G164*I164*(1+H164)</f>
        <v>659.46719999999993</v>
      </c>
      <c r="K164" s="15" t="str">
        <f t="shared" si="15"/>
        <v>ALB-049|MAT</v>
      </c>
      <c r="L164" s="15">
        <f>COUNTIFS($K$2:K164,K164)</f>
        <v>3</v>
      </c>
      <c r="M164" s="15" t="str">
        <f t="shared" si="16"/>
        <v>ALB-049|MAT|3</v>
      </c>
      <c r="N164" s="47">
        <f>IFERROR(VLOOKUP(A164,PARTIDAS!A:F,6,FALSE()),0)</f>
        <v>15</v>
      </c>
      <c r="O164" s="247">
        <f t="shared" si="17"/>
        <v>0.5</v>
      </c>
      <c r="P164" s="247" t="str">
        <f>+_xlfn.XLOOKUP(A164,PPTO_GENERADOR!Q:Q,PPTO_GENERADOR!E:E,"-",0)</f>
        <v>-</v>
      </c>
      <c r="Q164" s="247">
        <f t="shared" si="18"/>
        <v>0</v>
      </c>
      <c r="R164" s="259" t="str">
        <f>+_xlfn.XLOOKUP(A164,PPTO_GENERADOR!$Q:$Q,PPTO_GENERADOR!A:A,"-",0)</f>
        <v>-</v>
      </c>
    </row>
    <row r="165" spans="1:18" ht="15" customHeight="1" x14ac:dyDescent="0.35">
      <c r="A165" s="38" t="s">
        <v>2494</v>
      </c>
      <c r="B165" s="38" t="s">
        <v>2776</v>
      </c>
      <c r="C165" s="38" t="s">
        <v>2777</v>
      </c>
      <c r="D165" s="237" t="s">
        <v>1577</v>
      </c>
      <c r="E165" s="44" t="str">
        <f>IFERROR(VLOOKUP(D165,MANO_DE_OBRA!A:B,2,FALSE()),"?")</f>
        <v>AYUDANTE</v>
      </c>
      <c r="F165" s="44" t="s">
        <v>2778</v>
      </c>
      <c r="G165" s="45">
        <v>0.45</v>
      </c>
      <c r="H165" s="46">
        <v>0</v>
      </c>
      <c r="I165" s="47">
        <f>IFERROR(VLOOKUP(D165,MANO_DE_OBRA!A:C,3,FALSE()),0)</f>
        <v>60860.580776572002</v>
      </c>
      <c r="J165" s="42">
        <f>G165*I165</f>
        <v>27387.2613494574</v>
      </c>
      <c r="K165" s="15" t="str">
        <f t="shared" si="15"/>
        <v>ALB-049|MO</v>
      </c>
      <c r="L165" s="15">
        <f>COUNTIFS($K$2:K165,K165)</f>
        <v>1</v>
      </c>
      <c r="M165" s="15" t="str">
        <f t="shared" si="16"/>
        <v>ALB-049|MO|1</v>
      </c>
      <c r="N165" s="47">
        <f>IFERROR(VLOOKUP(A165,PARTIDAS!A:F,6,FALSE()),0)</f>
        <v>15</v>
      </c>
      <c r="O165" s="247">
        <f t="shared" si="17"/>
        <v>3.0000000000000002E-2</v>
      </c>
      <c r="P165" s="247" t="str">
        <f>+_xlfn.XLOOKUP(A165,PPTO_GENERADOR!Q:Q,PPTO_GENERADOR!E:E,"-",0)</f>
        <v>-</v>
      </c>
      <c r="Q165" s="247">
        <f t="shared" si="18"/>
        <v>0</v>
      </c>
      <c r="R165" s="259" t="str">
        <f>+_xlfn.XLOOKUP(A165,PPTO_GENERADOR!$Q:$Q,PPTO_GENERADOR!A:A,"-",0)</f>
        <v>-</v>
      </c>
    </row>
    <row r="166" spans="1:18" ht="15" customHeight="1" x14ac:dyDescent="0.35">
      <c r="A166" s="38" t="s">
        <v>2494</v>
      </c>
      <c r="B166" s="38" t="s">
        <v>2776</v>
      </c>
      <c r="C166" s="38" t="s">
        <v>2777</v>
      </c>
      <c r="D166" s="237" t="s">
        <v>1568</v>
      </c>
      <c r="E166" s="44" t="str">
        <f>IFERROR(VLOOKUP(D166,MANO_DE_OBRA!A:B,2,FALSE()),"?")</f>
        <v>ESPECIALIZADO</v>
      </c>
      <c r="F166" s="44" t="s">
        <v>2778</v>
      </c>
      <c r="G166" s="45">
        <v>1</v>
      </c>
      <c r="H166" s="46">
        <v>0</v>
      </c>
      <c r="I166" s="47">
        <f>IFERROR(VLOOKUP(D166,MANO_DE_OBRA!A:C,3,FALSE()),0)</f>
        <v>85927.097156571996</v>
      </c>
      <c r="J166" s="42">
        <f>G166*I166</f>
        <v>85927.097156571996</v>
      </c>
      <c r="K166" s="15" t="str">
        <f t="shared" si="15"/>
        <v>ALB-049|MO</v>
      </c>
      <c r="L166" s="15">
        <f>COUNTIFS($K$2:K166,K166)</f>
        <v>2</v>
      </c>
      <c r="M166" s="15" t="str">
        <f t="shared" si="16"/>
        <v>ALB-049|MO|2</v>
      </c>
      <c r="N166" s="47">
        <f>IFERROR(VLOOKUP(A166,PARTIDAS!A:F,6,FALSE()),0)</f>
        <v>15</v>
      </c>
      <c r="O166" s="247">
        <f t="shared" si="17"/>
        <v>6.6666666666666666E-2</v>
      </c>
      <c r="P166" s="247" t="str">
        <f>+_xlfn.XLOOKUP(A166,PPTO_GENERADOR!Q:Q,PPTO_GENERADOR!E:E,"-",0)</f>
        <v>-</v>
      </c>
      <c r="Q166" s="247">
        <f t="shared" si="18"/>
        <v>0</v>
      </c>
      <c r="R166" s="259" t="str">
        <f>+_xlfn.XLOOKUP(A166,PPTO_GENERADOR!$Q:$Q,PPTO_GENERADOR!A:A,"-",0)</f>
        <v>-</v>
      </c>
    </row>
    <row r="167" spans="1:18" ht="15" customHeight="1" x14ac:dyDescent="0.35">
      <c r="A167" s="38" t="s">
        <v>2497</v>
      </c>
      <c r="B167" s="38" t="s">
        <v>2773</v>
      </c>
      <c r="C167" s="38"/>
      <c r="D167" s="38" t="s">
        <v>1595</v>
      </c>
      <c r="E167" s="44" t="str">
        <f>IFERROR(VLOOKUP(D167,EQUIPOS!A:B,2,FALSE()),"?")</f>
        <v>EQUIPO DE ALBAÑILERIA, carpetas, ladrillo</v>
      </c>
      <c r="F167" s="44"/>
      <c r="G167" s="45">
        <v>1</v>
      </c>
      <c r="H167" s="46">
        <v>0</v>
      </c>
      <c r="I167" s="47">
        <f>IFERROR(VLOOKUP(D167,EQUIPOS!A:F,6,FALSE()),0)</f>
        <v>2287.1357450968057</v>
      </c>
      <c r="J167" s="42">
        <f>G167*I167</f>
        <v>2287.1357450968057</v>
      </c>
      <c r="K167" s="15" t="str">
        <f t="shared" si="15"/>
        <v>ALB-050|EQ</v>
      </c>
      <c r="L167" s="15">
        <f>COUNTIFS($K$2:K167,K167)</f>
        <v>1</v>
      </c>
      <c r="M167" s="15" t="str">
        <f t="shared" si="16"/>
        <v>ALB-050|EQ|1</v>
      </c>
      <c r="N167" s="47">
        <f>IFERROR(VLOOKUP(A167,PARTIDAS!A:F,6,FALSE()),0)</f>
        <v>11.5</v>
      </c>
      <c r="O167" s="247">
        <f t="shared" si="17"/>
        <v>1</v>
      </c>
      <c r="P167" s="247" t="str">
        <f>+_xlfn.XLOOKUP(A167,PPTO_GENERADOR!Q:Q,PPTO_GENERADOR!E:E,"-",0)</f>
        <v>-</v>
      </c>
      <c r="Q167" s="247">
        <f t="shared" si="18"/>
        <v>0</v>
      </c>
      <c r="R167" s="259" t="str">
        <f>+_xlfn.XLOOKUP(A167,PPTO_GENERADOR!$Q:$Q,PPTO_GENERADOR!A:A,"-",0)</f>
        <v>-</v>
      </c>
    </row>
    <row r="168" spans="1:18" ht="15" customHeight="1" x14ac:dyDescent="0.35">
      <c r="A168" s="38" t="s">
        <v>2497</v>
      </c>
      <c r="B168" s="38" t="s">
        <v>2773</v>
      </c>
      <c r="C168" s="38"/>
      <c r="D168" s="38" t="s">
        <v>1613</v>
      </c>
      <c r="E168" s="44" t="str">
        <f>IFERROR(VLOOKUP(D168,EQUIPOS!A:B,2,FALSE()),"?")</f>
        <v>Hormigonera De 150 Litros 1hp Con Rueda Maciza</v>
      </c>
      <c r="F168" s="44"/>
      <c r="G168" s="45">
        <v>1</v>
      </c>
      <c r="H168" s="46">
        <v>0</v>
      </c>
      <c r="I168" s="47">
        <f>IFERROR(VLOOKUP(D168,EQUIPOS!A:F,6,FALSE()),0)</f>
        <v>957.25319614994726</v>
      </c>
      <c r="J168" s="42">
        <f>G168*I168</f>
        <v>957.25319614994726</v>
      </c>
      <c r="K168" s="15" t="str">
        <f t="shared" si="15"/>
        <v>ALB-050|EQ</v>
      </c>
      <c r="L168" s="15">
        <f>COUNTIFS($K$2:K168,K168)</f>
        <v>2</v>
      </c>
      <c r="M168" s="15" t="str">
        <f t="shared" si="16"/>
        <v>ALB-050|EQ|2</v>
      </c>
      <c r="N168" s="47">
        <f>IFERROR(VLOOKUP(A168,PARTIDAS!A:F,6,FALSE()),0)</f>
        <v>11.5</v>
      </c>
      <c r="O168" s="247">
        <f t="shared" si="17"/>
        <v>1</v>
      </c>
      <c r="P168" s="247" t="str">
        <f>+_xlfn.XLOOKUP(A168,PPTO_GENERADOR!Q:Q,PPTO_GENERADOR!E:E,"-",0)</f>
        <v>-</v>
      </c>
      <c r="Q168" s="247">
        <f t="shared" si="18"/>
        <v>0</v>
      </c>
      <c r="R168" s="259" t="str">
        <f>+_xlfn.XLOOKUP(A168,PPTO_GENERADOR!$Q:$Q,PPTO_GENERADOR!A:A,"-",0)</f>
        <v>-</v>
      </c>
    </row>
    <row r="169" spans="1:18" ht="15" customHeight="1" x14ac:dyDescent="0.35">
      <c r="A169" s="38" t="s">
        <v>2497</v>
      </c>
      <c r="B169" s="38" t="s">
        <v>2774</v>
      </c>
      <c r="C169" s="38" t="s">
        <v>2775</v>
      </c>
      <c r="D169" s="38" t="s">
        <v>588</v>
      </c>
      <c r="E169" s="44" t="str">
        <f>IFERROR(VLOOKUP(D169,MATERIALES!A:B,2,FALSE()),"?")</f>
        <v>ARENA LAVADA</v>
      </c>
      <c r="F169" s="44" t="str">
        <f>IFERROR(VLOOKUP(D169,MATERIALES!A:C,3,FALSE()),"?")</f>
        <v>m3</v>
      </c>
      <c r="G169" s="45">
        <v>3.5999999999999997E-2</v>
      </c>
      <c r="H169" s="46">
        <v>0.1</v>
      </c>
      <c r="I169" s="47">
        <f>IFERROR(VLOOKUP(D169,MATERIALES!A:D,4,FALSE()),0)</f>
        <v>32399.77</v>
      </c>
      <c r="J169" s="42">
        <f>G169*I169*(1+H169)</f>
        <v>1283.030892</v>
      </c>
      <c r="K169" s="15" t="str">
        <f t="shared" si="15"/>
        <v>ALB-050|MAT</v>
      </c>
      <c r="L169" s="15">
        <f>COUNTIFS($K$2:K169,K169)</f>
        <v>1</v>
      </c>
      <c r="M169" s="15" t="str">
        <f t="shared" si="16"/>
        <v>ALB-050|MAT|1</v>
      </c>
      <c r="N169" s="47">
        <f>IFERROR(VLOOKUP(A169,PARTIDAS!A:F,6,FALSE()),0)</f>
        <v>11.5</v>
      </c>
      <c r="O169" s="247">
        <f t="shared" si="17"/>
        <v>3.5999999999999997E-2</v>
      </c>
      <c r="P169" s="247" t="str">
        <f>+_xlfn.XLOOKUP(A169,PPTO_GENERADOR!Q:Q,PPTO_GENERADOR!E:E,"-",0)</f>
        <v>-</v>
      </c>
      <c r="Q169" s="247">
        <f t="shared" si="18"/>
        <v>0</v>
      </c>
      <c r="R169" s="259" t="str">
        <f>+_xlfn.XLOOKUP(A169,PPTO_GENERADOR!$Q:$Q,PPTO_GENERADOR!A:A,"-",0)</f>
        <v>-</v>
      </c>
    </row>
    <row r="170" spans="1:18" ht="15" customHeight="1" x14ac:dyDescent="0.35">
      <c r="A170" s="38" t="s">
        <v>2497</v>
      </c>
      <c r="B170" s="38" t="s">
        <v>2774</v>
      </c>
      <c r="C170" s="38" t="s">
        <v>2775</v>
      </c>
      <c r="D170" s="38" t="s">
        <v>599</v>
      </c>
      <c r="E170" s="44" t="str">
        <f>IFERROR(VLOOKUP(D170,MATERIALES!A:B,2,FALSE()),"?")</f>
        <v>Cemento Portland x 50kg</v>
      </c>
      <c r="F170" s="44" t="str">
        <f>IFERROR(VLOOKUP(D170,MATERIALES!A:C,3,FALSE()),"?")</f>
        <v>Bol</v>
      </c>
      <c r="G170" s="45">
        <v>0.32400000000000001</v>
      </c>
      <c r="H170" s="46">
        <v>0.1</v>
      </c>
      <c r="I170" s="47">
        <f>IFERROR(VLOOKUP(D170,MATERIALES!A:D,4,FALSE()),0)</f>
        <v>7809.48</v>
      </c>
      <c r="J170" s="42">
        <f>G170*I170*(1+H170)</f>
        <v>2783.2986719999999</v>
      </c>
      <c r="K170" s="15" t="str">
        <f t="shared" si="15"/>
        <v>ALB-050|MAT</v>
      </c>
      <c r="L170" s="15">
        <f>COUNTIFS($K$2:K170,K170)</f>
        <v>2</v>
      </c>
      <c r="M170" s="15" t="str">
        <f t="shared" si="16"/>
        <v>ALB-050|MAT|2</v>
      </c>
      <c r="N170" s="47">
        <f>IFERROR(VLOOKUP(A170,PARTIDAS!A:F,6,FALSE()),0)</f>
        <v>11.5</v>
      </c>
      <c r="O170" s="247">
        <f t="shared" si="17"/>
        <v>0.32400000000000001</v>
      </c>
      <c r="P170" s="247" t="str">
        <f>+_xlfn.XLOOKUP(A170,PPTO_GENERADOR!Q:Q,PPTO_GENERADOR!E:E,"-",0)</f>
        <v>-</v>
      </c>
      <c r="Q170" s="247">
        <f t="shared" si="18"/>
        <v>0</v>
      </c>
      <c r="R170" s="259" t="str">
        <f>+_xlfn.XLOOKUP(A170,PPTO_GENERADOR!$Q:$Q,PPTO_GENERADOR!A:A,"-",0)</f>
        <v>-</v>
      </c>
    </row>
    <row r="171" spans="1:18" ht="15" customHeight="1" x14ac:dyDescent="0.35">
      <c r="A171" s="38" t="s">
        <v>2497</v>
      </c>
      <c r="B171" s="38" t="s">
        <v>2776</v>
      </c>
      <c r="C171" s="38" t="s">
        <v>2777</v>
      </c>
      <c r="D171" s="237" t="s">
        <v>1577</v>
      </c>
      <c r="E171" s="44" t="str">
        <f>IFERROR(VLOOKUP(D171,MANO_DE_OBRA!A:B,2,FALSE()),"?")</f>
        <v>AYUDANTE</v>
      </c>
      <c r="F171" s="44" t="s">
        <v>2778</v>
      </c>
      <c r="G171" s="45">
        <v>0.5</v>
      </c>
      <c r="H171" s="46">
        <v>0</v>
      </c>
      <c r="I171" s="47">
        <f>IFERROR(VLOOKUP(D171,MANO_DE_OBRA!A:C,3,FALSE()),0)</f>
        <v>60860.580776572002</v>
      </c>
      <c r="J171" s="42">
        <f>G171*I171</f>
        <v>30430.290388286001</v>
      </c>
      <c r="K171" s="15" t="str">
        <f t="shared" si="15"/>
        <v>ALB-050|MO</v>
      </c>
      <c r="L171" s="15">
        <f>COUNTIFS($K$2:K171,K171)</f>
        <v>1</v>
      </c>
      <c r="M171" s="15" t="str">
        <f t="shared" si="16"/>
        <v>ALB-050|MO|1</v>
      </c>
      <c r="N171" s="47">
        <f>IFERROR(VLOOKUP(A171,PARTIDAS!A:F,6,FALSE()),0)</f>
        <v>11.5</v>
      </c>
      <c r="O171" s="247">
        <f t="shared" si="17"/>
        <v>4.3478260869565216E-2</v>
      </c>
      <c r="P171" s="247" t="str">
        <f>+_xlfn.XLOOKUP(A171,PPTO_GENERADOR!Q:Q,PPTO_GENERADOR!E:E,"-",0)</f>
        <v>-</v>
      </c>
      <c r="Q171" s="247">
        <f t="shared" si="18"/>
        <v>0</v>
      </c>
      <c r="R171" s="259" t="str">
        <f>+_xlfn.XLOOKUP(A171,PPTO_GENERADOR!$Q:$Q,PPTO_GENERADOR!A:A,"-",0)</f>
        <v>-</v>
      </c>
    </row>
    <row r="172" spans="1:18" ht="15" customHeight="1" x14ac:dyDescent="0.35">
      <c r="A172" s="38" t="s">
        <v>2497</v>
      </c>
      <c r="B172" s="38" t="s">
        <v>2776</v>
      </c>
      <c r="C172" s="38" t="s">
        <v>2777</v>
      </c>
      <c r="D172" s="237" t="s">
        <v>1568</v>
      </c>
      <c r="E172" s="44" t="str">
        <f>IFERROR(VLOOKUP(D172,MANO_DE_OBRA!A:B,2,FALSE()),"?")</f>
        <v>ESPECIALIZADO</v>
      </c>
      <c r="F172" s="44" t="s">
        <v>2778</v>
      </c>
      <c r="G172" s="45">
        <v>1</v>
      </c>
      <c r="H172" s="46">
        <v>0</v>
      </c>
      <c r="I172" s="47">
        <f>IFERROR(VLOOKUP(D172,MANO_DE_OBRA!A:C,3,FALSE()),0)</f>
        <v>85927.097156571996</v>
      </c>
      <c r="J172" s="42">
        <f>G172*I172</f>
        <v>85927.097156571996</v>
      </c>
      <c r="K172" s="15" t="str">
        <f t="shared" si="15"/>
        <v>ALB-050|MO</v>
      </c>
      <c r="L172" s="15">
        <f>COUNTIFS($K$2:K172,K172)</f>
        <v>2</v>
      </c>
      <c r="M172" s="15" t="str">
        <f t="shared" si="16"/>
        <v>ALB-050|MO|2</v>
      </c>
      <c r="N172" s="47">
        <f>IFERROR(VLOOKUP(A172,PARTIDAS!A:F,6,FALSE()),0)</f>
        <v>11.5</v>
      </c>
      <c r="O172" s="247">
        <f t="shared" si="17"/>
        <v>8.6956521739130432E-2</v>
      </c>
      <c r="P172" s="247" t="str">
        <f>+_xlfn.XLOOKUP(A172,PPTO_GENERADOR!Q:Q,PPTO_GENERADOR!E:E,"-",0)</f>
        <v>-</v>
      </c>
      <c r="Q172" s="247">
        <f t="shared" si="18"/>
        <v>0</v>
      </c>
      <c r="R172" s="259" t="str">
        <f>+_xlfn.XLOOKUP(A172,PPTO_GENERADOR!$Q:$Q,PPTO_GENERADOR!A:A,"-",0)</f>
        <v>-</v>
      </c>
    </row>
    <row r="173" spans="1:18" ht="15" customHeight="1" x14ac:dyDescent="0.35">
      <c r="A173" s="38" t="s">
        <v>2549</v>
      </c>
      <c r="B173" s="38" t="s">
        <v>2773</v>
      </c>
      <c r="C173" s="38"/>
      <c r="D173" s="38" t="s">
        <v>1592</v>
      </c>
      <c r="E173" s="44" t="str">
        <f>IFERROR(VLOOKUP(D173,EQUIPOS!A:B,2,FALSE()),"?")</f>
        <v>ANDAMIO TUBULAR DE UNO A TRES CUERPOS</v>
      </c>
      <c r="F173" s="44"/>
      <c r="G173" s="45">
        <v>0.5</v>
      </c>
      <c r="H173" s="46">
        <v>0</v>
      </c>
      <c r="I173" s="47">
        <f>IFERROR(VLOOKUP(D173,EQUIPOS!A:F,6,FALSE()),0)</f>
        <v>571.1794909807611</v>
      </c>
      <c r="J173" s="42">
        <f>G173*I173</f>
        <v>285.58974549038055</v>
      </c>
      <c r="K173" s="15" t="str">
        <f t="shared" si="15"/>
        <v>ALB-068|EQ</v>
      </c>
      <c r="L173" s="15">
        <f>COUNTIFS($K$2:K173,K173)</f>
        <v>1</v>
      </c>
      <c r="M173" s="15" t="str">
        <f t="shared" si="16"/>
        <v>ALB-068|EQ|1</v>
      </c>
      <c r="N173" s="47">
        <f>IFERROR(VLOOKUP(A173,PARTIDAS!A:F,6,FALSE()),0)</f>
        <v>15</v>
      </c>
      <c r="O173" s="247">
        <f t="shared" si="17"/>
        <v>0.5</v>
      </c>
      <c r="P173" s="247" t="str">
        <f>+_xlfn.XLOOKUP(A173,PPTO_GENERADOR!Q:Q,PPTO_GENERADOR!E:E,"-",0)</f>
        <v>-</v>
      </c>
      <c r="Q173" s="247">
        <f t="shared" si="18"/>
        <v>0</v>
      </c>
      <c r="R173" s="259" t="str">
        <f>+_xlfn.XLOOKUP(A173,PPTO_GENERADOR!$Q:$Q,PPTO_GENERADOR!A:A,"-",0)</f>
        <v>-</v>
      </c>
    </row>
    <row r="174" spans="1:18" ht="15" customHeight="1" x14ac:dyDescent="0.35">
      <c r="A174" s="38" t="s">
        <v>2549</v>
      </c>
      <c r="B174" s="38" t="s">
        <v>2773</v>
      </c>
      <c r="C174" s="38"/>
      <c r="D174" s="38" t="s">
        <v>1595</v>
      </c>
      <c r="E174" s="44" t="str">
        <f>IFERROR(VLOOKUP(D174,EQUIPOS!A:B,2,FALSE()),"?")</f>
        <v>EQUIPO DE ALBAÑILERIA, carpetas, ladrillo</v>
      </c>
      <c r="F174" s="44"/>
      <c r="G174" s="45">
        <v>1</v>
      </c>
      <c r="H174" s="46">
        <v>0</v>
      </c>
      <c r="I174" s="47">
        <f>IFERROR(VLOOKUP(D174,EQUIPOS!A:F,6,FALSE()),0)</f>
        <v>2287.1357450968057</v>
      </c>
      <c r="J174" s="42">
        <f>G174*I174</f>
        <v>2287.1357450968057</v>
      </c>
      <c r="K174" s="15" t="str">
        <f t="shared" si="15"/>
        <v>ALB-068|EQ</v>
      </c>
      <c r="L174" s="15">
        <f>COUNTIFS($K$2:K174,K174)</f>
        <v>2</v>
      </c>
      <c r="M174" s="15" t="str">
        <f t="shared" si="16"/>
        <v>ALB-068|EQ|2</v>
      </c>
      <c r="N174" s="47">
        <f>IFERROR(VLOOKUP(A174,PARTIDAS!A:F,6,FALSE()),0)</f>
        <v>15</v>
      </c>
      <c r="O174" s="247">
        <f t="shared" si="17"/>
        <v>1</v>
      </c>
      <c r="P174" s="247" t="str">
        <f>+_xlfn.XLOOKUP(A174,PPTO_GENERADOR!Q:Q,PPTO_GENERADOR!E:E,"-",0)</f>
        <v>-</v>
      </c>
      <c r="Q174" s="247">
        <f t="shared" si="18"/>
        <v>0</v>
      </c>
      <c r="R174" s="259" t="str">
        <f>+_xlfn.XLOOKUP(A174,PPTO_GENERADOR!$Q:$Q,PPTO_GENERADOR!A:A,"-",0)</f>
        <v>-</v>
      </c>
    </row>
    <row r="175" spans="1:18" ht="15" customHeight="1" x14ac:dyDescent="0.35">
      <c r="A175" s="38" t="s">
        <v>2549</v>
      </c>
      <c r="B175" s="38" t="s">
        <v>2773</v>
      </c>
      <c r="C175" s="38"/>
      <c r="D175" s="38" t="s">
        <v>1613</v>
      </c>
      <c r="E175" s="44" t="str">
        <f>IFERROR(VLOOKUP(D175,EQUIPOS!A:B,2,FALSE()),"?")</f>
        <v>Hormigonera De 150 Litros 1hp Con Rueda Maciza</v>
      </c>
      <c r="F175" s="44"/>
      <c r="G175" s="45">
        <v>1</v>
      </c>
      <c r="H175" s="46">
        <v>0</v>
      </c>
      <c r="I175" s="47">
        <f>IFERROR(VLOOKUP(D175,EQUIPOS!A:F,6,FALSE()),0)</f>
        <v>957.25319614994726</v>
      </c>
      <c r="J175" s="42">
        <f>G175*I175</f>
        <v>957.25319614994726</v>
      </c>
      <c r="K175" s="15" t="str">
        <f t="shared" si="15"/>
        <v>ALB-068|EQ</v>
      </c>
      <c r="L175" s="15">
        <f>COUNTIFS($K$2:K175,K175)</f>
        <v>3</v>
      </c>
      <c r="M175" s="15" t="str">
        <f t="shared" si="16"/>
        <v>ALB-068|EQ|3</v>
      </c>
      <c r="N175" s="47">
        <f>IFERROR(VLOOKUP(A175,PARTIDAS!A:F,6,FALSE()),0)</f>
        <v>15</v>
      </c>
      <c r="O175" s="247">
        <f t="shared" si="17"/>
        <v>1</v>
      </c>
      <c r="P175" s="247" t="str">
        <f>+_xlfn.XLOOKUP(A175,PPTO_GENERADOR!Q:Q,PPTO_GENERADOR!E:E,"-",0)</f>
        <v>-</v>
      </c>
      <c r="Q175" s="247">
        <f t="shared" si="18"/>
        <v>0</v>
      </c>
      <c r="R175" s="259" t="str">
        <f>+_xlfn.XLOOKUP(A175,PPTO_GENERADOR!$Q:$Q,PPTO_GENERADOR!A:A,"-",0)</f>
        <v>-</v>
      </c>
    </row>
    <row r="176" spans="1:18" ht="15" customHeight="1" x14ac:dyDescent="0.35">
      <c r="A176" s="38" t="s">
        <v>2549</v>
      </c>
      <c r="B176" s="38" t="s">
        <v>2774</v>
      </c>
      <c r="C176" s="38" t="s">
        <v>2775</v>
      </c>
      <c r="D176" s="38" t="s">
        <v>611</v>
      </c>
      <c r="E176" s="44" t="str">
        <f>IFERROR(VLOOKUP(D176,MATERIALES!A:B,2,FALSE()),"?")</f>
        <v>Barra de Acero Aleteado - 6mm x 12m</v>
      </c>
      <c r="F176" s="44" t="str">
        <f>IFERROR(VLOOKUP(D176,MATERIALES!A:C,3,FALSE()),"?")</f>
        <v>u</v>
      </c>
      <c r="G176" s="45">
        <v>0.17</v>
      </c>
      <c r="H176" s="46">
        <v>0.1</v>
      </c>
      <c r="I176" s="47">
        <f>IFERROR(VLOOKUP(D176,MATERIALES!A:D,4,FALSE()),0)</f>
        <v>3424.53</v>
      </c>
      <c r="J176" s="42">
        <f>G176*I176*(1+H176)</f>
        <v>640.38711000000012</v>
      </c>
      <c r="K176" s="15" t="str">
        <f t="shared" si="15"/>
        <v>ALB-068|MAT</v>
      </c>
      <c r="L176" s="15">
        <f>COUNTIFS($K$2:K176,K176)</f>
        <v>1</v>
      </c>
      <c r="M176" s="15" t="str">
        <f t="shared" si="16"/>
        <v>ALB-068|MAT|1</v>
      </c>
      <c r="N176" s="47">
        <f>IFERROR(VLOOKUP(A176,PARTIDAS!A:F,6,FALSE()),0)</f>
        <v>15</v>
      </c>
      <c r="O176" s="247">
        <f t="shared" si="17"/>
        <v>0.17</v>
      </c>
      <c r="P176" s="247" t="str">
        <f>+_xlfn.XLOOKUP(A176,PPTO_GENERADOR!Q:Q,PPTO_GENERADOR!E:E,"-",0)</f>
        <v>-</v>
      </c>
      <c r="Q176" s="247">
        <f t="shared" si="18"/>
        <v>0</v>
      </c>
      <c r="R176" s="259" t="str">
        <f>+_xlfn.XLOOKUP(A176,PPTO_GENERADOR!$Q:$Q,PPTO_GENERADOR!A:A,"-",0)</f>
        <v>-</v>
      </c>
    </row>
    <row r="177" spans="1:18" ht="15" customHeight="1" x14ac:dyDescent="0.35">
      <c r="A177" s="38" t="s">
        <v>2549</v>
      </c>
      <c r="B177" s="38" t="s">
        <v>2774</v>
      </c>
      <c r="C177" s="38" t="s">
        <v>2775</v>
      </c>
      <c r="D177" s="38" t="s">
        <v>588</v>
      </c>
      <c r="E177" s="44" t="str">
        <f>IFERROR(VLOOKUP(D177,MATERIALES!A:B,2,FALSE()),"?")</f>
        <v>ARENA LAVADA</v>
      </c>
      <c r="F177" s="44" t="str">
        <f>IFERROR(VLOOKUP(D177,MATERIALES!A:C,3,FALSE()),"?")</f>
        <v>m3</v>
      </c>
      <c r="G177" s="45">
        <v>0.03</v>
      </c>
      <c r="H177" s="46">
        <v>0.05</v>
      </c>
      <c r="I177" s="47">
        <f>IFERROR(VLOOKUP(D177,MATERIALES!A:D,4,FALSE()),0)</f>
        <v>32399.77</v>
      </c>
      <c r="J177" s="42">
        <f>G177*I177*(1+H177)</f>
        <v>1020.5927550000001</v>
      </c>
      <c r="K177" s="15" t="str">
        <f t="shared" si="15"/>
        <v>ALB-068|MAT</v>
      </c>
      <c r="L177" s="15">
        <f>COUNTIFS($K$2:K177,K177)</f>
        <v>2</v>
      </c>
      <c r="M177" s="15" t="str">
        <f t="shared" si="16"/>
        <v>ALB-068|MAT|2</v>
      </c>
      <c r="N177" s="47">
        <f>IFERROR(VLOOKUP(A177,PARTIDAS!A:F,6,FALSE()),0)</f>
        <v>15</v>
      </c>
      <c r="O177" s="247">
        <f t="shared" si="17"/>
        <v>0.03</v>
      </c>
      <c r="P177" s="247" t="str">
        <f>+_xlfn.XLOOKUP(A177,PPTO_GENERADOR!Q:Q,PPTO_GENERADOR!E:E,"-",0)</f>
        <v>-</v>
      </c>
      <c r="Q177" s="247">
        <f t="shared" si="18"/>
        <v>0</v>
      </c>
      <c r="R177" s="259" t="str">
        <f>+_xlfn.XLOOKUP(A177,PPTO_GENERADOR!$Q:$Q,PPTO_GENERADOR!A:A,"-",0)</f>
        <v>-</v>
      </c>
    </row>
    <row r="178" spans="1:18" ht="15" customHeight="1" x14ac:dyDescent="0.35">
      <c r="A178" s="38" t="s">
        <v>2549</v>
      </c>
      <c r="B178" s="38" t="s">
        <v>2774</v>
      </c>
      <c r="C178" s="38" t="s">
        <v>2775</v>
      </c>
      <c r="D178" s="38" t="s">
        <v>599</v>
      </c>
      <c r="E178" s="44" t="str">
        <f>IFERROR(VLOOKUP(D178,MATERIALES!A:B,2,FALSE()),"?")</f>
        <v>Cemento Portland x 50kg</v>
      </c>
      <c r="F178" s="44" t="str">
        <f>IFERROR(VLOOKUP(D178,MATERIALES!A:C,3,FALSE()),"?")</f>
        <v>Bol</v>
      </c>
      <c r="G178" s="45">
        <v>0.125</v>
      </c>
      <c r="H178" s="46">
        <v>0.03</v>
      </c>
      <c r="I178" s="47">
        <f>IFERROR(VLOOKUP(D178,MATERIALES!A:D,4,FALSE()),0)</f>
        <v>7809.48</v>
      </c>
      <c r="J178" s="42">
        <f>G178*I178*(1+H178)</f>
        <v>1005.47055</v>
      </c>
      <c r="K178" s="15" t="str">
        <f t="shared" si="15"/>
        <v>ALB-068|MAT</v>
      </c>
      <c r="L178" s="15">
        <f>COUNTIFS($K$2:K178,K178)</f>
        <v>3</v>
      </c>
      <c r="M178" s="15" t="str">
        <f t="shared" si="16"/>
        <v>ALB-068|MAT|3</v>
      </c>
      <c r="N178" s="47">
        <f>IFERROR(VLOOKUP(A178,PARTIDAS!A:F,6,FALSE()),0)</f>
        <v>15</v>
      </c>
      <c r="O178" s="247">
        <f t="shared" si="17"/>
        <v>0.125</v>
      </c>
      <c r="P178" s="247" t="str">
        <f>+_xlfn.XLOOKUP(A178,PPTO_GENERADOR!Q:Q,PPTO_GENERADOR!E:E,"-",0)</f>
        <v>-</v>
      </c>
      <c r="Q178" s="247">
        <f t="shared" si="18"/>
        <v>0</v>
      </c>
      <c r="R178" s="259" t="str">
        <f>+_xlfn.XLOOKUP(A178,PPTO_GENERADOR!$Q:$Q,PPTO_GENERADOR!A:A,"-",0)</f>
        <v>-</v>
      </c>
    </row>
    <row r="179" spans="1:18" ht="15" customHeight="1" x14ac:dyDescent="0.35">
      <c r="A179" s="38" t="s">
        <v>2549</v>
      </c>
      <c r="B179" s="38" t="s">
        <v>2774</v>
      </c>
      <c r="C179" s="38" t="s">
        <v>2775</v>
      </c>
      <c r="D179" s="38" t="s">
        <v>604</v>
      </c>
      <c r="E179" s="44" t="str">
        <f>IFERROR(VLOOKUP(D179,MATERIALES!A:B,2,FALSE()),"?")</f>
        <v>Cal Comun x 25kg</v>
      </c>
      <c r="F179" s="44" t="str">
        <f>IFERROR(VLOOKUP(D179,MATERIALES!A:C,3,FALSE()),"?")</f>
        <v>bol</v>
      </c>
      <c r="G179" s="45">
        <v>0.25</v>
      </c>
      <c r="H179" s="46">
        <v>0.05</v>
      </c>
      <c r="I179" s="47">
        <f>IFERROR(VLOOKUP(D179,MATERIALES!A:D,4,FALSE()),0)</f>
        <v>3837.96</v>
      </c>
      <c r="J179" s="42">
        <f>G179*I179*(1+H179)</f>
        <v>1007.4645</v>
      </c>
      <c r="K179" s="15" t="str">
        <f t="shared" si="15"/>
        <v>ALB-068|MAT</v>
      </c>
      <c r="L179" s="15">
        <f>COUNTIFS($K$2:K179,K179)</f>
        <v>4</v>
      </c>
      <c r="M179" s="15" t="str">
        <f t="shared" si="16"/>
        <v>ALB-068|MAT|4</v>
      </c>
      <c r="N179" s="47">
        <f>IFERROR(VLOOKUP(A179,PARTIDAS!A:F,6,FALSE()),0)</f>
        <v>15</v>
      </c>
      <c r="O179" s="247">
        <f t="shared" si="17"/>
        <v>0.25</v>
      </c>
      <c r="P179" s="247" t="str">
        <f>+_xlfn.XLOOKUP(A179,PPTO_GENERADOR!Q:Q,PPTO_GENERADOR!E:E,"-",0)</f>
        <v>-</v>
      </c>
      <c r="Q179" s="247">
        <f t="shared" si="18"/>
        <v>0</v>
      </c>
      <c r="R179" s="259" t="str">
        <f>+_xlfn.XLOOKUP(A179,PPTO_GENERADOR!$Q:$Q,PPTO_GENERADOR!A:A,"-",0)</f>
        <v>-</v>
      </c>
    </row>
    <row r="180" spans="1:18" ht="15" customHeight="1" x14ac:dyDescent="0.35">
      <c r="A180" s="38" t="s">
        <v>2549</v>
      </c>
      <c r="B180" s="38" t="s">
        <v>2774</v>
      </c>
      <c r="C180" s="38" t="s">
        <v>2775</v>
      </c>
      <c r="D180" s="38" t="s">
        <v>637</v>
      </c>
      <c r="E180" s="44" t="str">
        <f>IFERROR(VLOOKUP(D180,MATERIALES!A:B,2,FALSE()),"?")</f>
        <v>LADRILLO CERAMICO 18 x 18 x 33 cm</v>
      </c>
      <c r="F180" s="44" t="str">
        <f>IFERROR(VLOOKUP(D180,MATERIALES!A:C,3,FALSE()),"?")</f>
        <v>u</v>
      </c>
      <c r="G180" s="45">
        <v>15</v>
      </c>
      <c r="H180" s="46">
        <v>0.05</v>
      </c>
      <c r="I180" s="47">
        <f>IFERROR(VLOOKUP(D180,MATERIALES!A:D,4,FALSE()),0)</f>
        <v>519.12</v>
      </c>
      <c r="J180" s="42">
        <f>G180*I180*(1+H180)</f>
        <v>8176.14</v>
      </c>
      <c r="K180" s="15" t="str">
        <f t="shared" si="15"/>
        <v>ALB-068|MAT</v>
      </c>
      <c r="L180" s="15">
        <f>COUNTIFS($K$2:K180,K180)</f>
        <v>5</v>
      </c>
      <c r="M180" s="15" t="str">
        <f t="shared" si="16"/>
        <v>ALB-068|MAT|5</v>
      </c>
      <c r="N180" s="47">
        <f>IFERROR(VLOOKUP(A180,PARTIDAS!A:F,6,FALSE()),0)</f>
        <v>15</v>
      </c>
      <c r="O180" s="247">
        <f t="shared" si="17"/>
        <v>15</v>
      </c>
      <c r="P180" s="247" t="str">
        <f>+_xlfn.XLOOKUP(A180,PPTO_GENERADOR!Q:Q,PPTO_GENERADOR!E:E,"-",0)</f>
        <v>-</v>
      </c>
      <c r="Q180" s="247">
        <f t="shared" si="18"/>
        <v>0</v>
      </c>
      <c r="R180" s="259" t="str">
        <f>+_xlfn.XLOOKUP(A180,PPTO_GENERADOR!$Q:$Q,PPTO_GENERADOR!A:A,"-",0)</f>
        <v>-</v>
      </c>
    </row>
    <row r="181" spans="1:18" ht="15" customHeight="1" x14ac:dyDescent="0.35">
      <c r="A181" s="38" t="s">
        <v>2549</v>
      </c>
      <c r="B181" s="38" t="s">
        <v>2776</v>
      </c>
      <c r="C181" s="38" t="s">
        <v>2777</v>
      </c>
      <c r="D181" s="237" t="s">
        <v>1577</v>
      </c>
      <c r="E181" s="44" t="str">
        <f>IFERROR(VLOOKUP(D181,MANO_DE_OBRA!A:B,2,FALSE()),"?")</f>
        <v>AYUDANTE</v>
      </c>
      <c r="F181" s="44" t="s">
        <v>2778</v>
      </c>
      <c r="G181" s="45">
        <v>1</v>
      </c>
      <c r="H181" s="46">
        <v>0</v>
      </c>
      <c r="I181" s="47">
        <f>IFERROR(VLOOKUP(D181,MANO_DE_OBRA!A:C,3,FALSE()),0)</f>
        <v>60860.580776572002</v>
      </c>
      <c r="J181" s="42">
        <f>G181*I181</f>
        <v>60860.580776572002</v>
      </c>
      <c r="K181" s="15" t="str">
        <f t="shared" si="15"/>
        <v>ALB-068|MO</v>
      </c>
      <c r="L181" s="15">
        <f>COUNTIFS($K$2:K181,K181)</f>
        <v>1</v>
      </c>
      <c r="M181" s="15" t="str">
        <f t="shared" si="16"/>
        <v>ALB-068|MO|1</v>
      </c>
      <c r="N181" s="47">
        <f>IFERROR(VLOOKUP(A181,PARTIDAS!A:F,6,FALSE()),0)</f>
        <v>15</v>
      </c>
      <c r="O181" s="247">
        <f t="shared" si="17"/>
        <v>6.6666666666666666E-2</v>
      </c>
      <c r="P181" s="247" t="str">
        <f>+_xlfn.XLOOKUP(A181,PPTO_GENERADOR!Q:Q,PPTO_GENERADOR!E:E,"-",0)</f>
        <v>-</v>
      </c>
      <c r="Q181" s="247">
        <f t="shared" si="18"/>
        <v>0</v>
      </c>
      <c r="R181" s="259" t="str">
        <f>+_xlfn.XLOOKUP(A181,PPTO_GENERADOR!$Q:$Q,PPTO_GENERADOR!A:A,"-",0)</f>
        <v>-</v>
      </c>
    </row>
    <row r="182" spans="1:18" ht="15" customHeight="1" x14ac:dyDescent="0.35">
      <c r="A182" s="38" t="s">
        <v>2549</v>
      </c>
      <c r="B182" s="38" t="s">
        <v>2776</v>
      </c>
      <c r="C182" s="38" t="s">
        <v>2777</v>
      </c>
      <c r="D182" s="237" t="s">
        <v>1568</v>
      </c>
      <c r="E182" s="44" t="str">
        <f>IFERROR(VLOOKUP(D182,MANO_DE_OBRA!A:B,2,FALSE()),"?")</f>
        <v>ESPECIALIZADO</v>
      </c>
      <c r="F182" s="44" t="s">
        <v>2778</v>
      </c>
      <c r="G182" s="45">
        <v>1</v>
      </c>
      <c r="H182" s="46">
        <v>0</v>
      </c>
      <c r="I182" s="47">
        <f>IFERROR(VLOOKUP(D182,MANO_DE_OBRA!A:C,3,FALSE()),0)</f>
        <v>85927.097156571996</v>
      </c>
      <c r="J182" s="42">
        <f>G182*I182</f>
        <v>85927.097156571996</v>
      </c>
      <c r="K182" s="15" t="str">
        <f t="shared" si="15"/>
        <v>ALB-068|MO</v>
      </c>
      <c r="L182" s="15">
        <f>COUNTIFS($K$2:K182,K182)</f>
        <v>2</v>
      </c>
      <c r="M182" s="15" t="str">
        <f t="shared" si="16"/>
        <v>ALB-068|MO|2</v>
      </c>
      <c r="N182" s="47">
        <f>IFERROR(VLOOKUP(A182,PARTIDAS!A:F,6,FALSE()),0)</f>
        <v>15</v>
      </c>
      <c r="O182" s="247">
        <f t="shared" si="17"/>
        <v>6.6666666666666666E-2</v>
      </c>
      <c r="P182" s="247" t="str">
        <f>+_xlfn.XLOOKUP(A182,PPTO_GENERADOR!Q:Q,PPTO_GENERADOR!E:E,"-",0)</f>
        <v>-</v>
      </c>
      <c r="Q182" s="247">
        <f t="shared" si="18"/>
        <v>0</v>
      </c>
      <c r="R182" s="259" t="str">
        <f>+_xlfn.XLOOKUP(A182,PPTO_GENERADOR!$Q:$Q,PPTO_GENERADOR!A:A,"-",0)</f>
        <v>-</v>
      </c>
    </row>
    <row r="183" spans="1:18" ht="15" customHeight="1" x14ac:dyDescent="0.35">
      <c r="A183" s="38" t="s">
        <v>2552</v>
      </c>
      <c r="B183" s="38" t="s">
        <v>2773</v>
      </c>
      <c r="C183" s="38"/>
      <c r="D183" s="38" t="s">
        <v>1616</v>
      </c>
      <c r="E183" s="44" t="str">
        <f>IFERROR(VLOOKUP(D183,EQUIPOS!A:B,2,FALSE()),"?")</f>
        <v>Soldador Soplete A Gas Techista Membrana 10 Kg Boca 50mm</v>
      </c>
      <c r="F183" s="44"/>
      <c r="G183" s="45">
        <v>1</v>
      </c>
      <c r="H183" s="46">
        <v>0</v>
      </c>
      <c r="I183" s="47">
        <f>IFERROR(VLOOKUP(D183,EQUIPOS!A:F,6,FALSE()),0)</f>
        <v>804.50568716120006</v>
      </c>
      <c r="J183" s="42">
        <f>G183*I183</f>
        <v>804.50568716120006</v>
      </c>
      <c r="K183" s="15" t="str">
        <f t="shared" si="15"/>
        <v>ALB-070|EQ</v>
      </c>
      <c r="L183" s="15">
        <f>COUNTIFS($K$2:K183,K183)</f>
        <v>1</v>
      </c>
      <c r="M183" s="15" t="str">
        <f t="shared" si="16"/>
        <v>ALB-070|EQ|1</v>
      </c>
      <c r="N183" s="47">
        <f>IFERROR(VLOOKUP(A183,PARTIDAS!A:F,6,FALSE()),0)</f>
        <v>25</v>
      </c>
      <c r="O183" s="247">
        <f t="shared" si="17"/>
        <v>1</v>
      </c>
      <c r="P183" s="247" t="str">
        <f>+_xlfn.XLOOKUP(A183,PPTO_GENERADOR!Q:Q,PPTO_GENERADOR!E:E,"-",0)</f>
        <v>-</v>
      </c>
      <c r="Q183" s="247">
        <f t="shared" si="18"/>
        <v>0</v>
      </c>
      <c r="R183" s="259" t="str">
        <f>+_xlfn.XLOOKUP(A183,PPTO_GENERADOR!$Q:$Q,PPTO_GENERADOR!A:A,"-",0)</f>
        <v>-</v>
      </c>
    </row>
    <row r="184" spans="1:18" ht="15" customHeight="1" x14ac:dyDescent="0.35">
      <c r="A184" s="38" t="s">
        <v>2552</v>
      </c>
      <c r="B184" s="38" t="s">
        <v>2774</v>
      </c>
      <c r="C184" s="38" t="s">
        <v>2775</v>
      </c>
      <c r="D184" s="38" t="s">
        <v>845</v>
      </c>
      <c r="E184" s="44" t="str">
        <f>IFERROR(VLOOKUP(D184,MATERIALES!A:B,2,FALSE()),"?")</f>
        <v>Aguarras Hydrarras Hydra x 18lts</v>
      </c>
      <c r="F184" s="44" t="str">
        <f>IFERROR(VLOOKUP(D184,MATERIALES!A:C,3,FALSE()),"?")</f>
        <v>b</v>
      </c>
      <c r="G184" s="45">
        <v>0.01</v>
      </c>
      <c r="H184" s="46">
        <v>0.05</v>
      </c>
      <c r="I184" s="47">
        <f>IFERROR(VLOOKUP(D184,MATERIALES!A:D,4,FALSE()),0)</f>
        <v>26907.33</v>
      </c>
      <c r="J184" s="42">
        <f t="shared" ref="J184:J191" si="19">G184*I184*(1+H184)</f>
        <v>282.52696500000002</v>
      </c>
      <c r="K184" s="15" t="str">
        <f t="shared" si="15"/>
        <v>ALB-070|MAT</v>
      </c>
      <c r="L184" s="15">
        <f>COUNTIFS($K$2:K184,K184)</f>
        <v>1</v>
      </c>
      <c r="M184" s="15" t="str">
        <f t="shared" si="16"/>
        <v>ALB-070|MAT|1</v>
      </c>
      <c r="N184" s="47">
        <f>IFERROR(VLOOKUP(A184,PARTIDAS!A:F,6,FALSE()),0)</f>
        <v>25</v>
      </c>
      <c r="O184" s="247">
        <f t="shared" si="17"/>
        <v>0.01</v>
      </c>
      <c r="P184" s="247" t="str">
        <f>+_xlfn.XLOOKUP(A184,PPTO_GENERADOR!Q:Q,PPTO_GENERADOR!E:E,"-",0)</f>
        <v>-</v>
      </c>
      <c r="Q184" s="247">
        <f t="shared" si="18"/>
        <v>0</v>
      </c>
      <c r="R184" s="259" t="str">
        <f>+_xlfn.XLOOKUP(A184,PPTO_GENERADOR!$Q:$Q,PPTO_GENERADOR!A:A,"-",0)</f>
        <v>-</v>
      </c>
    </row>
    <row r="185" spans="1:18" ht="15" customHeight="1" x14ac:dyDescent="0.35">
      <c r="A185" s="38" t="s">
        <v>2552</v>
      </c>
      <c r="B185" s="38" t="s">
        <v>2774</v>
      </c>
      <c r="C185" s="38" t="s">
        <v>2775</v>
      </c>
      <c r="D185" s="38" t="s">
        <v>855</v>
      </c>
      <c r="E185" s="44" t="str">
        <f>IFERROR(VLOOKUP(D185,MATERIALES!A:B,2,FALSE()),"?")</f>
        <v>Trapo</v>
      </c>
      <c r="F185" s="44" t="str">
        <f>IFERROR(VLOOKUP(D185,MATERIALES!A:C,3,FALSE()),"?")</f>
        <v>u</v>
      </c>
      <c r="G185" s="45">
        <v>0.02</v>
      </c>
      <c r="H185" s="46">
        <v>0.05</v>
      </c>
      <c r="I185" s="47">
        <f>IFERROR(VLOOKUP(D185,MATERIALES!A:D,4,FALSE()),0)</f>
        <v>735.06</v>
      </c>
      <c r="J185" s="42">
        <f t="shared" si="19"/>
        <v>15.436260000000001</v>
      </c>
      <c r="K185" s="15" t="str">
        <f t="shared" si="15"/>
        <v>ALB-070|MAT</v>
      </c>
      <c r="L185" s="15">
        <f>COUNTIFS($K$2:K185,K185)</f>
        <v>2</v>
      </c>
      <c r="M185" s="15" t="str">
        <f t="shared" si="16"/>
        <v>ALB-070|MAT|2</v>
      </c>
      <c r="N185" s="47">
        <f>IFERROR(VLOOKUP(A185,PARTIDAS!A:F,6,FALSE()),0)</f>
        <v>25</v>
      </c>
      <c r="O185" s="247">
        <f t="shared" si="17"/>
        <v>0.02</v>
      </c>
      <c r="P185" s="247" t="str">
        <f>+_xlfn.XLOOKUP(A185,PPTO_GENERADOR!Q:Q,PPTO_GENERADOR!E:E,"-",0)</f>
        <v>-</v>
      </c>
      <c r="Q185" s="247">
        <f t="shared" si="18"/>
        <v>0</v>
      </c>
      <c r="R185" s="259" t="str">
        <f>+_xlfn.XLOOKUP(A185,PPTO_GENERADOR!$Q:$Q,PPTO_GENERADOR!A:A,"-",0)</f>
        <v>-</v>
      </c>
    </row>
    <row r="186" spans="1:18" ht="15" customHeight="1" x14ac:dyDescent="0.35">
      <c r="A186" s="38" t="s">
        <v>2552</v>
      </c>
      <c r="B186" s="38" t="s">
        <v>2774</v>
      </c>
      <c r="C186" s="38" t="s">
        <v>2775</v>
      </c>
      <c r="D186" s="38" t="s">
        <v>863</v>
      </c>
      <c r="E186" s="44" t="str">
        <f>IFERROR(VLOOKUP(D186,MATERIALES!A:B,2,FALSE()),"?")</f>
        <v>Rodillo de lana pelo largo N°22 - El Galgo</v>
      </c>
      <c r="F186" s="44" t="str">
        <f>IFERROR(VLOOKUP(D186,MATERIALES!A:C,3,FALSE()),"?")</f>
        <v>u</v>
      </c>
      <c r="G186" s="45">
        <v>0.01</v>
      </c>
      <c r="H186" s="46">
        <v>0.05</v>
      </c>
      <c r="I186" s="47">
        <f>IFERROR(VLOOKUP(D186,MATERIALES!A:D,4,FALSE()),0)</f>
        <v>6678.36</v>
      </c>
      <c r="J186" s="42">
        <f t="shared" si="19"/>
        <v>70.122779999999992</v>
      </c>
      <c r="K186" s="15" t="str">
        <f t="shared" si="15"/>
        <v>ALB-070|MAT</v>
      </c>
      <c r="L186" s="15">
        <f>COUNTIFS($K$2:K186,K186)</f>
        <v>3</v>
      </c>
      <c r="M186" s="15" t="str">
        <f t="shared" si="16"/>
        <v>ALB-070|MAT|3</v>
      </c>
      <c r="N186" s="47">
        <f>IFERROR(VLOOKUP(A186,PARTIDAS!A:F,6,FALSE()),0)</f>
        <v>25</v>
      </c>
      <c r="O186" s="247">
        <f t="shared" si="17"/>
        <v>0.01</v>
      </c>
      <c r="P186" s="247" t="str">
        <f>+_xlfn.XLOOKUP(A186,PPTO_GENERADOR!Q:Q,PPTO_GENERADOR!E:E,"-",0)</f>
        <v>-</v>
      </c>
      <c r="Q186" s="247">
        <f t="shared" si="18"/>
        <v>0</v>
      </c>
      <c r="R186" s="259" t="str">
        <f>+_xlfn.XLOOKUP(A186,PPTO_GENERADOR!$Q:$Q,PPTO_GENERADOR!A:A,"-",0)</f>
        <v>-</v>
      </c>
    </row>
    <row r="187" spans="1:18" ht="15" customHeight="1" x14ac:dyDescent="0.35">
      <c r="A187" s="38" t="s">
        <v>2552</v>
      </c>
      <c r="B187" s="38" t="s">
        <v>2774</v>
      </c>
      <c r="C187" s="38" t="s">
        <v>2775</v>
      </c>
      <c r="D187" s="38" t="s">
        <v>865</v>
      </c>
      <c r="E187" s="44" t="str">
        <f>IFERROR(VLOOKUP(D187,MATERIALES!A:B,2,FALSE()),"?")</f>
        <v>Pincel N° 20 - El Galgo</v>
      </c>
      <c r="F187" s="44" t="str">
        <f>IFERROR(VLOOKUP(D187,MATERIALES!A:C,3,FALSE()),"?")</f>
        <v>u</v>
      </c>
      <c r="G187" s="45">
        <v>0.02</v>
      </c>
      <c r="H187" s="46">
        <v>0.05</v>
      </c>
      <c r="I187" s="47">
        <f>IFERROR(VLOOKUP(D187,MATERIALES!A:D,4,FALSE()),0)</f>
        <v>5282.24</v>
      </c>
      <c r="J187" s="42">
        <f t="shared" si="19"/>
        <v>110.92704000000001</v>
      </c>
      <c r="K187" s="15" t="str">
        <f t="shared" si="15"/>
        <v>ALB-070|MAT</v>
      </c>
      <c r="L187" s="15">
        <f>COUNTIFS($K$2:K187,K187)</f>
        <v>4</v>
      </c>
      <c r="M187" s="15" t="str">
        <f t="shared" si="16"/>
        <v>ALB-070|MAT|4</v>
      </c>
      <c r="N187" s="47">
        <f>IFERROR(VLOOKUP(A187,PARTIDAS!A:F,6,FALSE()),0)</f>
        <v>25</v>
      </c>
      <c r="O187" s="247">
        <f t="shared" si="17"/>
        <v>0.02</v>
      </c>
      <c r="P187" s="247" t="str">
        <f>+_xlfn.XLOOKUP(A187,PPTO_GENERADOR!Q:Q,PPTO_GENERADOR!E:E,"-",0)</f>
        <v>-</v>
      </c>
      <c r="Q187" s="247">
        <f t="shared" si="18"/>
        <v>0</v>
      </c>
      <c r="R187" s="259" t="str">
        <f>+_xlfn.XLOOKUP(A187,PPTO_GENERADOR!$Q:$Q,PPTO_GENERADOR!A:A,"-",0)</f>
        <v>-</v>
      </c>
    </row>
    <row r="188" spans="1:18" ht="15" customHeight="1" x14ac:dyDescent="0.35">
      <c r="A188" s="38" t="s">
        <v>2552</v>
      </c>
      <c r="B188" s="38" t="s">
        <v>2774</v>
      </c>
      <c r="C188" s="38" t="s">
        <v>2775</v>
      </c>
      <c r="D188" s="38" t="s">
        <v>982</v>
      </c>
      <c r="E188" s="44" t="str">
        <f>IFERROR(VLOOKUP(D188,MATERIALES!A:B,2,FALSE()),"?")</f>
        <v>Guante Vaqueta Medio Paseo</v>
      </c>
      <c r="F188" s="44" t="str">
        <f>IFERROR(VLOOKUP(D188,MATERIALES!A:C,3,FALSE()),"?")</f>
        <v>par</v>
      </c>
      <c r="G188" s="45">
        <v>0.06</v>
      </c>
      <c r="H188" s="46">
        <v>0.05</v>
      </c>
      <c r="I188" s="47">
        <f>IFERROR(VLOOKUP(D188,MATERIALES!A:D,4,FALSE()),0)</f>
        <v>4842</v>
      </c>
      <c r="J188" s="42">
        <f t="shared" si="19"/>
        <v>305.04599999999999</v>
      </c>
      <c r="K188" s="15" t="str">
        <f t="shared" si="15"/>
        <v>ALB-070|MAT</v>
      </c>
      <c r="L188" s="15">
        <f>COUNTIFS($K$2:K188,K188)</f>
        <v>5</v>
      </c>
      <c r="M188" s="15" t="str">
        <f t="shared" si="16"/>
        <v>ALB-070|MAT|5</v>
      </c>
      <c r="N188" s="47">
        <f>IFERROR(VLOOKUP(A188,PARTIDAS!A:F,6,FALSE()),0)</f>
        <v>25</v>
      </c>
      <c r="O188" s="247">
        <f t="shared" si="17"/>
        <v>0.06</v>
      </c>
      <c r="P188" s="247" t="str">
        <f>+_xlfn.XLOOKUP(A188,PPTO_GENERADOR!Q:Q,PPTO_GENERADOR!E:E,"-",0)</f>
        <v>-</v>
      </c>
      <c r="Q188" s="247">
        <f t="shared" si="18"/>
        <v>0</v>
      </c>
      <c r="R188" s="259" t="str">
        <f>+_xlfn.XLOOKUP(A188,PPTO_GENERADOR!$Q:$Q,PPTO_GENERADOR!A:A,"-",0)</f>
        <v>-</v>
      </c>
    </row>
    <row r="189" spans="1:18" ht="15" customHeight="1" x14ac:dyDescent="0.35">
      <c r="A189" s="38" t="s">
        <v>2552</v>
      </c>
      <c r="B189" s="38" t="s">
        <v>2774</v>
      </c>
      <c r="C189" s="38" t="s">
        <v>2775</v>
      </c>
      <c r="D189" s="38" t="s">
        <v>985</v>
      </c>
      <c r="E189" s="44" t="str">
        <f>IFERROR(VLOOKUP(D189,MATERIALES!A:B,2,FALSE()),"?")</f>
        <v>Recarga de garrafa</v>
      </c>
      <c r="F189" s="44" t="str">
        <f>IFERROR(VLOOKUP(D189,MATERIALES!A:C,3,FALSE()),"?")</f>
        <v>u</v>
      </c>
      <c r="G189" s="45">
        <v>0.02</v>
      </c>
      <c r="H189" s="46">
        <v>0.05</v>
      </c>
      <c r="I189" s="47">
        <f>IFERROR(VLOOKUP(D189,MATERIALES!A:D,4,FALSE()),0)</f>
        <v>12396.694214876001</v>
      </c>
      <c r="J189" s="42">
        <f t="shared" si="19"/>
        <v>260.33057851239602</v>
      </c>
      <c r="K189" s="15" t="str">
        <f t="shared" si="15"/>
        <v>ALB-070|MAT</v>
      </c>
      <c r="L189" s="15">
        <f>COUNTIFS($K$2:K189,K189)</f>
        <v>6</v>
      </c>
      <c r="M189" s="15" t="str">
        <f t="shared" si="16"/>
        <v>ALB-070|MAT|6</v>
      </c>
      <c r="N189" s="47">
        <f>IFERROR(VLOOKUP(A189,PARTIDAS!A:F,6,FALSE()),0)</f>
        <v>25</v>
      </c>
      <c r="O189" s="247">
        <f t="shared" si="17"/>
        <v>0.02</v>
      </c>
      <c r="P189" s="247" t="str">
        <f>+_xlfn.XLOOKUP(A189,PPTO_GENERADOR!Q:Q,PPTO_GENERADOR!E:E,"-",0)</f>
        <v>-</v>
      </c>
      <c r="Q189" s="247">
        <f t="shared" si="18"/>
        <v>0</v>
      </c>
      <c r="R189" s="259" t="str">
        <f>+_xlfn.XLOOKUP(A189,PPTO_GENERADOR!$Q:$Q,PPTO_GENERADOR!A:A,"-",0)</f>
        <v>-</v>
      </c>
    </row>
    <row r="190" spans="1:18" ht="15" customHeight="1" x14ac:dyDescent="0.35">
      <c r="A190" s="38" t="s">
        <v>2552</v>
      </c>
      <c r="B190" s="38" t="s">
        <v>2774</v>
      </c>
      <c r="C190" s="38" t="s">
        <v>2775</v>
      </c>
      <c r="D190" s="38" t="s">
        <v>822</v>
      </c>
      <c r="E190" s="44" t="str">
        <f>IFERROR(VLOOKUP(D190,MATERIALES!A:B,2,FALSE()),"?")</f>
        <v>Pintura Asfaltica Asfasol x18ts</v>
      </c>
      <c r="F190" s="44" t="str">
        <f>IFERROR(VLOOKUP(D190,MATERIALES!A:C,3,FALSE()),"?")</f>
        <v>b</v>
      </c>
      <c r="G190" s="45">
        <v>2.7777777777777801E-2</v>
      </c>
      <c r="H190" s="46">
        <v>0.1</v>
      </c>
      <c r="I190" s="47">
        <f>IFERROR(VLOOKUP(D190,MATERIALES!A:D,4,FALSE()),0)</f>
        <v>32845.78</v>
      </c>
      <c r="J190" s="42">
        <f t="shared" si="19"/>
        <v>1003.6210555555565</v>
      </c>
      <c r="K190" s="15" t="str">
        <f t="shared" si="15"/>
        <v>ALB-070|MAT</v>
      </c>
      <c r="L190" s="15">
        <f>COUNTIFS($K$2:K190,K190)</f>
        <v>7</v>
      </c>
      <c r="M190" s="15" t="str">
        <f t="shared" si="16"/>
        <v>ALB-070|MAT|7</v>
      </c>
      <c r="N190" s="47">
        <f>IFERROR(VLOOKUP(A190,PARTIDAS!A:F,6,FALSE()),0)</f>
        <v>25</v>
      </c>
      <c r="O190" s="247">
        <f t="shared" si="17"/>
        <v>2.7777777777777801E-2</v>
      </c>
      <c r="P190" s="247" t="str">
        <f>+_xlfn.XLOOKUP(A190,PPTO_GENERADOR!Q:Q,PPTO_GENERADOR!E:E,"-",0)</f>
        <v>-</v>
      </c>
      <c r="Q190" s="247">
        <f t="shared" si="18"/>
        <v>0</v>
      </c>
      <c r="R190" s="259" t="str">
        <f>+_xlfn.XLOOKUP(A190,PPTO_GENERADOR!$Q:$Q,PPTO_GENERADOR!A:A,"-",0)</f>
        <v>-</v>
      </c>
    </row>
    <row r="191" spans="1:18" ht="15" customHeight="1" x14ac:dyDescent="0.35">
      <c r="A191" s="38" t="s">
        <v>2552</v>
      </c>
      <c r="B191" s="38" t="s">
        <v>2774</v>
      </c>
      <c r="C191" s="38" t="s">
        <v>2775</v>
      </c>
      <c r="D191" s="38" t="s">
        <v>831</v>
      </c>
      <c r="E191" s="44" t="str">
        <f>IFERROR(VLOOKUP(D191,MATERIALES!A:B,2,FALSE()),"?")</f>
        <v>Membrana Geotextil Ormiflex 4mm - (35kg) x10m</v>
      </c>
      <c r="F191" s="44" t="str">
        <f>IFERROR(VLOOKUP(D191,MATERIALES!A:C,3,FALSE()),"?")</f>
        <v>u</v>
      </c>
      <c r="G191" s="45">
        <v>0.1</v>
      </c>
      <c r="H191" s="46">
        <v>0.1</v>
      </c>
      <c r="I191" s="47">
        <f>IFERROR(VLOOKUP(D191,MATERIALES!A:D,4,FALSE()),0)</f>
        <v>70192.210000000006</v>
      </c>
      <c r="J191" s="42">
        <f t="shared" si="19"/>
        <v>7721.1431000000021</v>
      </c>
      <c r="K191" s="15" t="str">
        <f t="shared" si="15"/>
        <v>ALB-070|MAT</v>
      </c>
      <c r="L191" s="15">
        <f>COUNTIFS($K$2:K191,K191)</f>
        <v>8</v>
      </c>
      <c r="M191" s="15" t="str">
        <f t="shared" si="16"/>
        <v>ALB-070|MAT|8</v>
      </c>
      <c r="N191" s="47">
        <f>IFERROR(VLOOKUP(A191,PARTIDAS!A:F,6,FALSE()),0)</f>
        <v>25</v>
      </c>
      <c r="O191" s="247">
        <f t="shared" si="17"/>
        <v>0.1</v>
      </c>
      <c r="P191" s="247" t="str">
        <f>+_xlfn.XLOOKUP(A191,PPTO_GENERADOR!Q:Q,PPTO_GENERADOR!E:E,"-",0)</f>
        <v>-</v>
      </c>
      <c r="Q191" s="247">
        <f t="shared" si="18"/>
        <v>0</v>
      </c>
      <c r="R191" s="259" t="str">
        <f>+_xlfn.XLOOKUP(A191,PPTO_GENERADOR!$Q:$Q,PPTO_GENERADOR!A:A,"-",0)</f>
        <v>-</v>
      </c>
    </row>
    <row r="192" spans="1:18" ht="15" customHeight="1" x14ac:dyDescent="0.35">
      <c r="A192" s="38" t="s">
        <v>2552</v>
      </c>
      <c r="B192" s="38" t="s">
        <v>2776</v>
      </c>
      <c r="C192" s="38" t="s">
        <v>2777</v>
      </c>
      <c r="D192" s="237" t="s">
        <v>1577</v>
      </c>
      <c r="E192" s="44" t="str">
        <f>IFERROR(VLOOKUP(D192,MANO_DE_OBRA!A:B,2,FALSE()),"?")</f>
        <v>AYUDANTE</v>
      </c>
      <c r="F192" s="44" t="s">
        <v>2778</v>
      </c>
      <c r="G192" s="45">
        <v>1</v>
      </c>
      <c r="H192" s="46">
        <v>0</v>
      </c>
      <c r="I192" s="47">
        <f>IFERROR(VLOOKUP(D192,MANO_DE_OBRA!A:C,3,FALSE()),0)</f>
        <v>60860.580776572002</v>
      </c>
      <c r="J192" s="42">
        <f>G192*I192</f>
        <v>60860.580776572002</v>
      </c>
      <c r="K192" s="15" t="str">
        <f t="shared" si="15"/>
        <v>ALB-070|MO</v>
      </c>
      <c r="L192" s="15">
        <f>COUNTIFS($K$2:K192,K192)</f>
        <v>1</v>
      </c>
      <c r="M192" s="15" t="str">
        <f t="shared" si="16"/>
        <v>ALB-070|MO|1</v>
      </c>
      <c r="N192" s="47">
        <f>IFERROR(VLOOKUP(A192,PARTIDAS!A:F,6,FALSE()),0)</f>
        <v>25</v>
      </c>
      <c r="O192" s="247">
        <f t="shared" si="17"/>
        <v>0.04</v>
      </c>
      <c r="P192" s="247" t="str">
        <f>+_xlfn.XLOOKUP(A192,PPTO_GENERADOR!Q:Q,PPTO_GENERADOR!E:E,"-",0)</f>
        <v>-</v>
      </c>
      <c r="Q192" s="247">
        <f t="shared" si="18"/>
        <v>0</v>
      </c>
      <c r="R192" s="259" t="str">
        <f>+_xlfn.XLOOKUP(A192,PPTO_GENERADOR!$Q:$Q,PPTO_GENERADOR!A:A,"-",0)</f>
        <v>-</v>
      </c>
    </row>
    <row r="193" spans="1:18" ht="15" customHeight="1" x14ac:dyDescent="0.35">
      <c r="A193" s="38" t="s">
        <v>2552</v>
      </c>
      <c r="B193" s="38" t="s">
        <v>2776</v>
      </c>
      <c r="C193" s="38" t="s">
        <v>2777</v>
      </c>
      <c r="D193" s="237" t="s">
        <v>1568</v>
      </c>
      <c r="E193" s="44" t="str">
        <f>IFERROR(VLOOKUP(D193,MANO_DE_OBRA!A:B,2,FALSE()),"?")</f>
        <v>ESPECIALIZADO</v>
      </c>
      <c r="F193" s="44" t="s">
        <v>2778</v>
      </c>
      <c r="G193" s="45">
        <v>1</v>
      </c>
      <c r="H193" s="46">
        <v>0</v>
      </c>
      <c r="I193" s="47">
        <f>IFERROR(VLOOKUP(D193,MANO_DE_OBRA!A:C,3,FALSE()),0)</f>
        <v>85927.097156571996</v>
      </c>
      <c r="J193" s="42">
        <f>G193*I193</f>
        <v>85927.097156571996</v>
      </c>
      <c r="K193" s="15" t="str">
        <f t="shared" si="15"/>
        <v>ALB-070|MO</v>
      </c>
      <c r="L193" s="15">
        <f>COUNTIFS($K$2:K193,K193)</f>
        <v>2</v>
      </c>
      <c r="M193" s="15" t="str">
        <f t="shared" si="16"/>
        <v>ALB-070|MO|2</v>
      </c>
      <c r="N193" s="47">
        <f>IFERROR(VLOOKUP(A193,PARTIDAS!A:F,6,FALSE()),0)</f>
        <v>25</v>
      </c>
      <c r="O193" s="247">
        <f t="shared" si="17"/>
        <v>0.04</v>
      </c>
      <c r="P193" s="247" t="str">
        <f>+_xlfn.XLOOKUP(A193,PPTO_GENERADOR!Q:Q,PPTO_GENERADOR!E:E,"-",0)</f>
        <v>-</v>
      </c>
      <c r="Q193" s="247">
        <f t="shared" si="18"/>
        <v>0</v>
      </c>
      <c r="R193" s="259" t="str">
        <f>+_xlfn.XLOOKUP(A193,PPTO_GENERADOR!$Q:$Q,PPTO_GENERADOR!A:A,"-",0)</f>
        <v>-</v>
      </c>
    </row>
    <row r="194" spans="1:18" ht="15" customHeight="1" x14ac:dyDescent="0.35">
      <c r="A194" s="38" t="s">
        <v>2509</v>
      </c>
      <c r="B194" s="38" t="s">
        <v>2773</v>
      </c>
      <c r="C194" s="38"/>
      <c r="D194" s="38" t="s">
        <v>1604</v>
      </c>
      <c r="E194" s="44" t="str">
        <f>IFERROR(VLOOKUP(D194,EQUIPOS!A:B,2,FALSE()),"?")</f>
        <v>EQUIPO PARA PINTAR</v>
      </c>
      <c r="F194" s="44"/>
      <c r="G194" s="45">
        <v>1</v>
      </c>
      <c r="H194" s="46">
        <v>0</v>
      </c>
      <c r="I194" s="47">
        <f>IFERROR(VLOOKUP(D194,EQUIPOS!A:F,6,FALSE()),0)</f>
        <v>1723.6259595547085</v>
      </c>
      <c r="J194" s="42">
        <f>G194*I194</f>
        <v>1723.6259595547085</v>
      </c>
      <c r="K194" s="15" t="str">
        <f t="shared" ref="K194:K257" si="20">A194&amp;"|"&amp;B194</f>
        <v>ALB-074|EQ</v>
      </c>
      <c r="L194" s="15">
        <f>COUNTIFS($K$2:K194,K194)</f>
        <v>1</v>
      </c>
      <c r="M194" s="15" t="str">
        <f t="shared" ref="M194:M257" si="21">K194&amp;"|"&amp;L194</f>
        <v>ALB-074|EQ|1</v>
      </c>
      <c r="N194" s="47">
        <f>IFERROR(VLOOKUP(A194,PARTIDAS!A:F,6,FALSE()),0)</f>
        <v>15.5</v>
      </c>
      <c r="O194" s="247">
        <f t="shared" si="17"/>
        <v>1</v>
      </c>
      <c r="P194" s="247" t="str">
        <f>+_xlfn.XLOOKUP(A194,PPTO_GENERADOR!Q:Q,PPTO_GENERADOR!E:E,"-",0)</f>
        <v>-</v>
      </c>
      <c r="Q194" s="247">
        <f t="shared" si="18"/>
        <v>0</v>
      </c>
      <c r="R194" s="259" t="str">
        <f>+_xlfn.XLOOKUP(A194,PPTO_GENERADOR!$Q:$Q,PPTO_GENERADOR!A:A,"-",0)</f>
        <v>-</v>
      </c>
    </row>
    <row r="195" spans="1:18" ht="15" customHeight="1" x14ac:dyDescent="0.35">
      <c r="A195" s="38" t="s">
        <v>2509</v>
      </c>
      <c r="B195" s="38" t="s">
        <v>2773</v>
      </c>
      <c r="C195" s="38"/>
      <c r="D195" s="38" t="s">
        <v>1749</v>
      </c>
      <c r="E195" s="44" t="str">
        <f>IFERROR(VLOOKUP(D195,EQUIPOS!A:B,2,FALSE()),"?")</f>
        <v>ESCALERA MADERA PINTOR 8 ESCALONES</v>
      </c>
      <c r="F195" s="44"/>
      <c r="G195" s="45">
        <v>1</v>
      </c>
      <c r="H195" s="46">
        <v>0</v>
      </c>
      <c r="I195" s="47">
        <f>IFERROR(VLOOKUP(D195,EQUIPOS!A:F,6,FALSE()),0)</f>
        <v>200.25307946474501</v>
      </c>
      <c r="J195" s="42">
        <f>G195*I195</f>
        <v>200.25307946474501</v>
      </c>
      <c r="K195" s="15" t="str">
        <f t="shared" si="20"/>
        <v>ALB-074|EQ</v>
      </c>
      <c r="L195" s="15">
        <f>COUNTIFS($K$2:K195,K195)</f>
        <v>2</v>
      </c>
      <c r="M195" s="15" t="str">
        <f t="shared" si="21"/>
        <v>ALB-074|EQ|2</v>
      </c>
      <c r="N195" s="47">
        <f>IFERROR(VLOOKUP(A195,PARTIDAS!A:F,6,FALSE()),0)</f>
        <v>15.5</v>
      </c>
      <c r="O195" s="247">
        <f t="shared" ref="O195:O258" si="22">+IF(C195="ALB",G195/N195,G195)</f>
        <v>1</v>
      </c>
      <c r="P195" s="247" t="str">
        <f>+_xlfn.XLOOKUP(A195,PPTO_GENERADOR!Q:Q,PPTO_GENERADOR!E:E,"-",0)</f>
        <v>-</v>
      </c>
      <c r="Q195" s="247">
        <f t="shared" ref="Q195:Q258" si="23">IFERROR(P195*O195,0)</f>
        <v>0</v>
      </c>
      <c r="R195" s="259" t="str">
        <f>+_xlfn.XLOOKUP(A195,PPTO_GENERADOR!$Q:$Q,PPTO_GENERADOR!A:A,"-",0)</f>
        <v>-</v>
      </c>
    </row>
    <row r="196" spans="1:18" ht="15" customHeight="1" x14ac:dyDescent="0.35">
      <c r="A196" s="38" t="s">
        <v>2509</v>
      </c>
      <c r="B196" s="38" t="s">
        <v>2774</v>
      </c>
      <c r="C196" s="38" t="s">
        <v>2775</v>
      </c>
      <c r="D196" s="38" t="s">
        <v>842</v>
      </c>
      <c r="E196" s="44" t="str">
        <f>IFERROR(VLOOKUP(D196,MATERIALES!A:B,2,FALSE()),"?")</f>
        <v>Fijador al agua x 20 lts</v>
      </c>
      <c r="F196" s="44" t="str">
        <f>IFERROR(VLOOKUP(D196,MATERIALES!A:C,3,FALSE()),"?")</f>
        <v>b</v>
      </c>
      <c r="G196" s="45">
        <v>4.0000000000000001E-3</v>
      </c>
      <c r="H196" s="46">
        <v>0.05</v>
      </c>
      <c r="I196" s="47">
        <f>IFERROR(VLOOKUP(D196,MATERIALES!A:D,4,FALSE()),0)</f>
        <v>30467.49</v>
      </c>
      <c r="J196" s="42">
        <f t="shared" ref="J196:J203" si="24">G196*I196*(1+H196)</f>
        <v>127.96345800000002</v>
      </c>
      <c r="K196" s="15" t="str">
        <f t="shared" si="20"/>
        <v>ALB-074|MAT</v>
      </c>
      <c r="L196" s="15">
        <f>COUNTIFS($K$2:K196,K196)</f>
        <v>1</v>
      </c>
      <c r="M196" s="15" t="str">
        <f t="shared" si="21"/>
        <v>ALB-074|MAT|1</v>
      </c>
      <c r="N196" s="47">
        <f>IFERROR(VLOOKUP(A196,PARTIDAS!A:F,6,FALSE()),0)</f>
        <v>15.5</v>
      </c>
      <c r="O196" s="247">
        <f t="shared" si="22"/>
        <v>4.0000000000000001E-3</v>
      </c>
      <c r="P196" s="247" t="str">
        <f>+_xlfn.XLOOKUP(A196,PPTO_GENERADOR!Q:Q,PPTO_GENERADOR!E:E,"-",0)</f>
        <v>-</v>
      </c>
      <c r="Q196" s="247">
        <f t="shared" si="23"/>
        <v>0</v>
      </c>
      <c r="R196" s="259" t="str">
        <f>+_xlfn.XLOOKUP(A196,PPTO_GENERADOR!$Q:$Q,PPTO_GENERADOR!A:A,"-",0)</f>
        <v>-</v>
      </c>
    </row>
    <row r="197" spans="1:18" ht="15" customHeight="1" x14ac:dyDescent="0.35">
      <c r="A197" s="38" t="s">
        <v>2509</v>
      </c>
      <c r="B197" s="38" t="s">
        <v>2774</v>
      </c>
      <c r="C197" s="38" t="s">
        <v>2775</v>
      </c>
      <c r="D197" s="38" t="s">
        <v>848</v>
      </c>
      <c r="E197" s="44" t="str">
        <f>IFERROR(VLOOKUP(D197,MATERIALES!A:B,2,FALSE()),"?")</f>
        <v>Lija 180 al agua x 10u</v>
      </c>
      <c r="F197" s="44" t="str">
        <f>IFERROR(VLOOKUP(D197,MATERIALES!A:C,3,FALSE()),"?")</f>
        <v>u</v>
      </c>
      <c r="G197" s="45">
        <v>0.01</v>
      </c>
      <c r="H197" s="46">
        <v>0.05</v>
      </c>
      <c r="I197" s="47">
        <f>IFERROR(VLOOKUP(D197,MATERIALES!A:D,4,FALSE()),0)</f>
        <v>5661.4</v>
      </c>
      <c r="J197" s="42">
        <f t="shared" si="24"/>
        <v>59.444699999999997</v>
      </c>
      <c r="K197" s="15" t="str">
        <f t="shared" si="20"/>
        <v>ALB-074|MAT</v>
      </c>
      <c r="L197" s="15">
        <f>COUNTIFS($K$2:K197,K197)</f>
        <v>2</v>
      </c>
      <c r="M197" s="15" t="str">
        <f t="shared" si="21"/>
        <v>ALB-074|MAT|2</v>
      </c>
      <c r="N197" s="47">
        <f>IFERROR(VLOOKUP(A197,PARTIDAS!A:F,6,FALSE()),0)</f>
        <v>15.5</v>
      </c>
      <c r="O197" s="247">
        <f t="shared" si="22"/>
        <v>0.01</v>
      </c>
      <c r="P197" s="247" t="str">
        <f>+_xlfn.XLOOKUP(A197,PPTO_GENERADOR!Q:Q,PPTO_GENERADOR!E:E,"-",0)</f>
        <v>-</v>
      </c>
      <c r="Q197" s="247">
        <f t="shared" si="23"/>
        <v>0</v>
      </c>
      <c r="R197" s="259" t="str">
        <f>+_xlfn.XLOOKUP(A197,PPTO_GENERADOR!$Q:$Q,PPTO_GENERADOR!A:A,"-",0)</f>
        <v>-</v>
      </c>
    </row>
    <row r="198" spans="1:18" ht="15" customHeight="1" x14ac:dyDescent="0.35">
      <c r="A198" s="38" t="s">
        <v>2509</v>
      </c>
      <c r="B198" s="38" t="s">
        <v>2774</v>
      </c>
      <c r="C198" s="38" t="s">
        <v>2775</v>
      </c>
      <c r="D198" s="38" t="s">
        <v>851</v>
      </c>
      <c r="E198" s="44" t="str">
        <f>IFERROR(VLOOKUP(D198,MATERIALES!A:B,2,FALSE()),"?")</f>
        <v>Cinta de Papel 36 mm x 40m</v>
      </c>
      <c r="F198" s="44" t="str">
        <f>IFERROR(VLOOKUP(D198,MATERIALES!A:C,3,FALSE()),"?")</f>
        <v>u</v>
      </c>
      <c r="G198" s="45">
        <v>0.01</v>
      </c>
      <c r="H198" s="46">
        <v>0.1</v>
      </c>
      <c r="I198" s="47">
        <f>IFERROR(VLOOKUP(D198,MATERIALES!A:D,4,FALSE()),0)</f>
        <v>3293.01</v>
      </c>
      <c r="J198" s="42">
        <f t="shared" si="24"/>
        <v>36.223110000000005</v>
      </c>
      <c r="K198" s="15" t="str">
        <f t="shared" si="20"/>
        <v>ALB-074|MAT</v>
      </c>
      <c r="L198" s="15">
        <f>COUNTIFS($K$2:K198,K198)</f>
        <v>3</v>
      </c>
      <c r="M198" s="15" t="str">
        <f t="shared" si="21"/>
        <v>ALB-074|MAT|3</v>
      </c>
      <c r="N198" s="47">
        <f>IFERROR(VLOOKUP(A198,PARTIDAS!A:F,6,FALSE()),0)</f>
        <v>15.5</v>
      </c>
      <c r="O198" s="247">
        <f t="shared" si="22"/>
        <v>0.01</v>
      </c>
      <c r="P198" s="247" t="str">
        <f>+_xlfn.XLOOKUP(A198,PPTO_GENERADOR!Q:Q,PPTO_GENERADOR!E:E,"-",0)</f>
        <v>-</v>
      </c>
      <c r="Q198" s="247">
        <f t="shared" si="23"/>
        <v>0</v>
      </c>
      <c r="R198" s="259" t="str">
        <f>+_xlfn.XLOOKUP(A198,PPTO_GENERADOR!$Q:$Q,PPTO_GENERADOR!A:A,"-",0)</f>
        <v>-</v>
      </c>
    </row>
    <row r="199" spans="1:18" ht="15" customHeight="1" x14ac:dyDescent="0.35">
      <c r="A199" s="38" t="s">
        <v>2509</v>
      </c>
      <c r="B199" s="38" t="s">
        <v>2774</v>
      </c>
      <c r="C199" s="38" t="s">
        <v>2775</v>
      </c>
      <c r="D199" s="38" t="s">
        <v>855</v>
      </c>
      <c r="E199" s="44" t="str">
        <f>IFERROR(VLOOKUP(D199,MATERIALES!A:B,2,FALSE()),"?")</f>
        <v>Trapo</v>
      </c>
      <c r="F199" s="44" t="str">
        <f>IFERROR(VLOOKUP(D199,MATERIALES!A:C,3,FALSE()),"?")</f>
        <v>u</v>
      </c>
      <c r="G199" s="45">
        <v>0.01</v>
      </c>
      <c r="H199" s="46">
        <v>0.05</v>
      </c>
      <c r="I199" s="47">
        <f>IFERROR(VLOOKUP(D199,MATERIALES!A:D,4,FALSE()),0)</f>
        <v>735.06</v>
      </c>
      <c r="J199" s="42">
        <f t="shared" si="24"/>
        <v>7.7181300000000004</v>
      </c>
      <c r="K199" s="15" t="str">
        <f t="shared" si="20"/>
        <v>ALB-074|MAT</v>
      </c>
      <c r="L199" s="15">
        <f>COUNTIFS($K$2:K199,K199)</f>
        <v>4</v>
      </c>
      <c r="M199" s="15" t="str">
        <f t="shared" si="21"/>
        <v>ALB-074|MAT|4</v>
      </c>
      <c r="N199" s="47">
        <f>IFERROR(VLOOKUP(A199,PARTIDAS!A:F,6,FALSE()),0)</f>
        <v>15.5</v>
      </c>
      <c r="O199" s="247">
        <f t="shared" si="22"/>
        <v>0.01</v>
      </c>
      <c r="P199" s="247" t="str">
        <f>+_xlfn.XLOOKUP(A199,PPTO_GENERADOR!Q:Q,PPTO_GENERADOR!E:E,"-",0)</f>
        <v>-</v>
      </c>
      <c r="Q199" s="247">
        <f t="shared" si="23"/>
        <v>0</v>
      </c>
      <c r="R199" s="259" t="str">
        <f>+_xlfn.XLOOKUP(A199,PPTO_GENERADOR!$Q:$Q,PPTO_GENERADOR!A:A,"-",0)</f>
        <v>-</v>
      </c>
    </row>
    <row r="200" spans="1:18" ht="15" customHeight="1" x14ac:dyDescent="0.35">
      <c r="A200" s="38" t="s">
        <v>2509</v>
      </c>
      <c r="B200" s="38" t="s">
        <v>2774</v>
      </c>
      <c r="C200" s="38" t="s">
        <v>2775</v>
      </c>
      <c r="D200" s="38" t="s">
        <v>863</v>
      </c>
      <c r="E200" s="44" t="str">
        <f>IFERROR(VLOOKUP(D200,MATERIALES!A:B,2,FALSE()),"?")</f>
        <v>Rodillo de lana pelo largo N°22 - El Galgo</v>
      </c>
      <c r="F200" s="44" t="str">
        <f>IFERROR(VLOOKUP(D200,MATERIALES!A:C,3,FALSE()),"?")</f>
        <v>u</v>
      </c>
      <c r="G200" s="45">
        <v>5.0000000000000001E-3</v>
      </c>
      <c r="H200" s="46">
        <v>0.05</v>
      </c>
      <c r="I200" s="47">
        <f>IFERROR(VLOOKUP(D200,MATERIALES!A:D,4,FALSE()),0)</f>
        <v>6678.36</v>
      </c>
      <c r="J200" s="42">
        <f t="shared" si="24"/>
        <v>35.061389999999996</v>
      </c>
      <c r="K200" s="15" t="str">
        <f t="shared" si="20"/>
        <v>ALB-074|MAT</v>
      </c>
      <c r="L200" s="15">
        <f>COUNTIFS($K$2:K200,K200)</f>
        <v>5</v>
      </c>
      <c r="M200" s="15" t="str">
        <f t="shared" si="21"/>
        <v>ALB-074|MAT|5</v>
      </c>
      <c r="N200" s="47">
        <f>IFERROR(VLOOKUP(A200,PARTIDAS!A:F,6,FALSE()),0)</f>
        <v>15.5</v>
      </c>
      <c r="O200" s="247">
        <f t="shared" si="22"/>
        <v>5.0000000000000001E-3</v>
      </c>
      <c r="P200" s="247" t="str">
        <f>+_xlfn.XLOOKUP(A200,PPTO_GENERADOR!Q:Q,PPTO_GENERADOR!E:E,"-",0)</f>
        <v>-</v>
      </c>
      <c r="Q200" s="247">
        <f t="shared" si="23"/>
        <v>0</v>
      </c>
      <c r="R200" s="259" t="str">
        <f>+_xlfn.XLOOKUP(A200,PPTO_GENERADOR!$Q:$Q,PPTO_GENERADOR!A:A,"-",0)</f>
        <v>-</v>
      </c>
    </row>
    <row r="201" spans="1:18" ht="15" customHeight="1" x14ac:dyDescent="0.35">
      <c r="A201" s="38" t="s">
        <v>2509</v>
      </c>
      <c r="B201" s="38" t="s">
        <v>2774</v>
      </c>
      <c r="C201" s="38" t="s">
        <v>2775</v>
      </c>
      <c r="D201" s="38" t="s">
        <v>865</v>
      </c>
      <c r="E201" s="44" t="str">
        <f>IFERROR(VLOOKUP(D201,MATERIALES!A:B,2,FALSE()),"?")</f>
        <v>Pincel N° 20 - El Galgo</v>
      </c>
      <c r="F201" s="44" t="str">
        <f>IFERROR(VLOOKUP(D201,MATERIALES!A:C,3,FALSE()),"?")</f>
        <v>u</v>
      </c>
      <c r="G201" s="45">
        <v>5.0000000000000001E-3</v>
      </c>
      <c r="H201" s="46">
        <v>0.05</v>
      </c>
      <c r="I201" s="47">
        <f>IFERROR(VLOOKUP(D201,MATERIALES!A:D,4,FALSE()),0)</f>
        <v>5282.24</v>
      </c>
      <c r="J201" s="42">
        <f t="shared" si="24"/>
        <v>27.731760000000001</v>
      </c>
      <c r="K201" s="15" t="str">
        <f t="shared" si="20"/>
        <v>ALB-074|MAT</v>
      </c>
      <c r="L201" s="15">
        <f>COUNTIFS($K$2:K201,K201)</f>
        <v>6</v>
      </c>
      <c r="M201" s="15" t="str">
        <f t="shared" si="21"/>
        <v>ALB-074|MAT|6</v>
      </c>
      <c r="N201" s="47">
        <f>IFERROR(VLOOKUP(A201,PARTIDAS!A:F,6,FALSE()),0)</f>
        <v>15.5</v>
      </c>
      <c r="O201" s="247">
        <f t="shared" si="22"/>
        <v>5.0000000000000001E-3</v>
      </c>
      <c r="P201" s="247" t="str">
        <f>+_xlfn.XLOOKUP(A201,PPTO_GENERADOR!Q:Q,PPTO_GENERADOR!E:E,"-",0)</f>
        <v>-</v>
      </c>
      <c r="Q201" s="247">
        <f t="shared" si="23"/>
        <v>0</v>
      </c>
      <c r="R201" s="259" t="str">
        <f>+_xlfn.XLOOKUP(A201,PPTO_GENERADOR!$Q:$Q,PPTO_GENERADOR!A:A,"-",0)</f>
        <v>-</v>
      </c>
    </row>
    <row r="202" spans="1:18" ht="15" customHeight="1" x14ac:dyDescent="0.35">
      <c r="A202" s="38" t="s">
        <v>2509</v>
      </c>
      <c r="B202" s="38" t="s">
        <v>2774</v>
      </c>
      <c r="C202" s="38" t="s">
        <v>2775</v>
      </c>
      <c r="D202" s="38" t="s">
        <v>868</v>
      </c>
      <c r="E202" s="44" t="str">
        <f>IFERROR(VLOOKUP(D202,MATERIALES!A:B,2,FALSE()),"?")</f>
        <v>Rollo de cartón corrugado 0,90 x 25 mts</v>
      </c>
      <c r="F202" s="44" t="str">
        <f>IFERROR(VLOOKUP(D202,MATERIALES!A:C,3,FALSE()),"?")</f>
        <v>u</v>
      </c>
      <c r="G202" s="45">
        <v>0.01</v>
      </c>
      <c r="H202" s="46">
        <v>0.05</v>
      </c>
      <c r="I202" s="47">
        <f>IFERROR(VLOOKUP(D202,MATERIALES!A:D,4,FALSE()),0)</f>
        <v>7427.6</v>
      </c>
      <c r="J202" s="42">
        <f t="shared" si="24"/>
        <v>77.989800000000017</v>
      </c>
      <c r="K202" s="15" t="str">
        <f t="shared" si="20"/>
        <v>ALB-074|MAT</v>
      </c>
      <c r="L202" s="15">
        <f>COUNTIFS($K$2:K202,K202)</f>
        <v>7</v>
      </c>
      <c r="M202" s="15" t="str">
        <f t="shared" si="21"/>
        <v>ALB-074|MAT|7</v>
      </c>
      <c r="N202" s="47">
        <f>IFERROR(VLOOKUP(A202,PARTIDAS!A:F,6,FALSE()),0)</f>
        <v>15.5</v>
      </c>
      <c r="O202" s="247">
        <f t="shared" si="22"/>
        <v>0.01</v>
      </c>
      <c r="P202" s="247" t="str">
        <f>+_xlfn.XLOOKUP(A202,PPTO_GENERADOR!Q:Q,PPTO_GENERADOR!E:E,"-",0)</f>
        <v>-</v>
      </c>
      <c r="Q202" s="247">
        <f t="shared" si="23"/>
        <v>0</v>
      </c>
      <c r="R202" s="259" t="str">
        <f>+_xlfn.XLOOKUP(A202,PPTO_GENERADOR!$Q:$Q,PPTO_GENERADOR!A:A,"-",0)</f>
        <v>-</v>
      </c>
    </row>
    <row r="203" spans="1:18" ht="15" customHeight="1" x14ac:dyDescent="0.35">
      <c r="A203" s="38" t="s">
        <v>2509</v>
      </c>
      <c r="B203" s="38" t="s">
        <v>2774</v>
      </c>
      <c r="C203" s="38" t="s">
        <v>2775</v>
      </c>
      <c r="D203" s="38" t="s">
        <v>795</v>
      </c>
      <c r="E203" s="44" t="str">
        <f>IFERROR(VLOOKUP(D203,MATERIALES!A:B,2,FALSE()),"?")</f>
        <v>Latex Loxon Interior Sherwin Williams Mate Bco x 20lts</v>
      </c>
      <c r="F203" s="44" t="str">
        <f>IFERROR(VLOOKUP(D203,MATERIALES!A:C,3,FALSE()),"?")</f>
        <v>B</v>
      </c>
      <c r="G203" s="45">
        <v>1.2500000000000001E-2</v>
      </c>
      <c r="H203" s="46">
        <v>0.1</v>
      </c>
      <c r="I203" s="47">
        <f>IFERROR(VLOOKUP(D203,MATERIALES!A:D,4,FALSE()),0)</f>
        <v>120622.23</v>
      </c>
      <c r="J203" s="42">
        <f t="shared" si="24"/>
        <v>1658.5556625000002</v>
      </c>
      <c r="K203" s="15" t="str">
        <f t="shared" si="20"/>
        <v>ALB-074|MAT</v>
      </c>
      <c r="L203" s="15">
        <f>COUNTIFS($K$2:K203,K203)</f>
        <v>8</v>
      </c>
      <c r="M203" s="15" t="str">
        <f t="shared" si="21"/>
        <v>ALB-074|MAT|8</v>
      </c>
      <c r="N203" s="47">
        <f>IFERROR(VLOOKUP(A203,PARTIDAS!A:F,6,FALSE()),0)</f>
        <v>15.5</v>
      </c>
      <c r="O203" s="247">
        <f t="shared" si="22"/>
        <v>1.2500000000000001E-2</v>
      </c>
      <c r="P203" s="247" t="str">
        <f>+_xlfn.XLOOKUP(A203,PPTO_GENERADOR!Q:Q,PPTO_GENERADOR!E:E,"-",0)</f>
        <v>-</v>
      </c>
      <c r="Q203" s="247">
        <f t="shared" si="23"/>
        <v>0</v>
      </c>
      <c r="R203" s="259" t="str">
        <f>+_xlfn.XLOOKUP(A203,PPTO_GENERADOR!$Q:$Q,PPTO_GENERADOR!A:A,"-",0)</f>
        <v>-</v>
      </c>
    </row>
    <row r="204" spans="1:18" ht="15" customHeight="1" x14ac:dyDescent="0.35">
      <c r="A204" s="38" t="s">
        <v>2509</v>
      </c>
      <c r="B204" s="38" t="s">
        <v>2776</v>
      </c>
      <c r="C204" s="38" t="s">
        <v>2777</v>
      </c>
      <c r="D204" s="237" t="s">
        <v>1568</v>
      </c>
      <c r="E204" s="44" t="str">
        <f>IFERROR(VLOOKUP(D204,MANO_DE_OBRA!A:B,2,FALSE()),"?")</f>
        <v>ESPECIALIZADO</v>
      </c>
      <c r="F204" s="44" t="s">
        <v>2778</v>
      </c>
      <c r="G204" s="45">
        <v>1</v>
      </c>
      <c r="H204" s="46">
        <v>0</v>
      </c>
      <c r="I204" s="47">
        <f>IFERROR(VLOOKUP(D204,MANO_DE_OBRA!A:C,3,FALSE()),0)</f>
        <v>85927.097156571996</v>
      </c>
      <c r="J204" s="42">
        <f>G204*I204</f>
        <v>85927.097156571996</v>
      </c>
      <c r="K204" s="15" t="str">
        <f t="shared" si="20"/>
        <v>ALB-074|MO</v>
      </c>
      <c r="L204" s="15">
        <f>COUNTIFS($K$2:K204,K204)</f>
        <v>1</v>
      </c>
      <c r="M204" s="15" t="str">
        <f t="shared" si="21"/>
        <v>ALB-074|MO|1</v>
      </c>
      <c r="N204" s="47">
        <f>IFERROR(VLOOKUP(A204,PARTIDAS!A:F,6,FALSE()),0)</f>
        <v>15.5</v>
      </c>
      <c r="O204" s="247">
        <f t="shared" si="22"/>
        <v>6.4516129032258063E-2</v>
      </c>
      <c r="P204" s="247" t="str">
        <f>+_xlfn.XLOOKUP(A204,PPTO_GENERADOR!Q:Q,PPTO_GENERADOR!E:E,"-",0)</f>
        <v>-</v>
      </c>
      <c r="Q204" s="247">
        <f t="shared" si="23"/>
        <v>0</v>
      </c>
      <c r="R204" s="259" t="str">
        <f>+_xlfn.XLOOKUP(A204,PPTO_GENERADOR!$Q:$Q,PPTO_GENERADOR!A:A,"-",0)</f>
        <v>-</v>
      </c>
    </row>
    <row r="205" spans="1:18" ht="15" customHeight="1" x14ac:dyDescent="0.35">
      <c r="A205" s="38" t="s">
        <v>2564</v>
      </c>
      <c r="B205" s="38" t="s">
        <v>2773</v>
      </c>
      <c r="C205" s="38"/>
      <c r="D205" s="38" t="s">
        <v>1592</v>
      </c>
      <c r="E205" s="44" t="str">
        <f>IFERROR(VLOOKUP(D205,EQUIPOS!A:B,2,FALSE()),"?")</f>
        <v>ANDAMIO TUBULAR DE UNO A TRES CUERPOS</v>
      </c>
      <c r="F205" s="44"/>
      <c r="G205" s="45">
        <v>0.5</v>
      </c>
      <c r="H205" s="46">
        <v>0</v>
      </c>
      <c r="I205" s="47">
        <f>IFERROR(VLOOKUP(D205,EQUIPOS!A:F,6,FALSE()),0)</f>
        <v>571.1794909807611</v>
      </c>
      <c r="J205" s="42">
        <f>G205*I205</f>
        <v>285.58974549038055</v>
      </c>
      <c r="K205" s="15" t="str">
        <f t="shared" si="20"/>
        <v>ALB-075|EQ</v>
      </c>
      <c r="L205" s="15">
        <f>COUNTIFS($K$2:K205,K205)</f>
        <v>1</v>
      </c>
      <c r="M205" s="15" t="str">
        <f t="shared" si="21"/>
        <v>ALB-075|EQ|1</v>
      </c>
      <c r="N205" s="47">
        <f>IFERROR(VLOOKUP(A205,PARTIDAS!A:F,6,FALSE()),0)</f>
        <v>15</v>
      </c>
      <c r="O205" s="247">
        <f t="shared" si="22"/>
        <v>0.5</v>
      </c>
      <c r="P205" s="247" t="str">
        <f>+_xlfn.XLOOKUP(A205,PPTO_GENERADOR!Q:Q,PPTO_GENERADOR!E:E,"-",0)</f>
        <v>-</v>
      </c>
      <c r="Q205" s="247">
        <f t="shared" si="23"/>
        <v>0</v>
      </c>
      <c r="R205" s="259" t="str">
        <f>+_xlfn.XLOOKUP(A205,PPTO_GENERADOR!$Q:$Q,PPTO_GENERADOR!A:A,"-",0)</f>
        <v>-</v>
      </c>
    </row>
    <row r="206" spans="1:18" ht="15" customHeight="1" x14ac:dyDescent="0.35">
      <c r="A206" s="38" t="s">
        <v>2564</v>
      </c>
      <c r="B206" s="38" t="s">
        <v>2773</v>
      </c>
      <c r="C206" s="38"/>
      <c r="D206" s="38" t="s">
        <v>1595</v>
      </c>
      <c r="E206" s="44" t="str">
        <f>IFERROR(VLOOKUP(D206,EQUIPOS!A:B,2,FALSE()),"?")</f>
        <v>EQUIPO DE ALBAÑILERIA, carpetas, ladrillo</v>
      </c>
      <c r="F206" s="44"/>
      <c r="G206" s="45">
        <v>1</v>
      </c>
      <c r="H206" s="46">
        <v>0</v>
      </c>
      <c r="I206" s="47">
        <f>IFERROR(VLOOKUP(D206,EQUIPOS!A:F,6,FALSE()),0)</f>
        <v>2287.1357450968057</v>
      </c>
      <c r="J206" s="42">
        <f>G206*I206</f>
        <v>2287.1357450968057</v>
      </c>
      <c r="K206" s="15" t="str">
        <f t="shared" si="20"/>
        <v>ALB-075|EQ</v>
      </c>
      <c r="L206" s="15">
        <f>COUNTIFS($K$2:K206,K206)</f>
        <v>2</v>
      </c>
      <c r="M206" s="15" t="str">
        <f t="shared" si="21"/>
        <v>ALB-075|EQ|2</v>
      </c>
      <c r="N206" s="47">
        <f>IFERROR(VLOOKUP(A206,PARTIDAS!A:F,6,FALSE()),0)</f>
        <v>15</v>
      </c>
      <c r="O206" s="247">
        <f t="shared" si="22"/>
        <v>1</v>
      </c>
      <c r="P206" s="247" t="str">
        <f>+_xlfn.XLOOKUP(A206,PPTO_GENERADOR!Q:Q,PPTO_GENERADOR!E:E,"-",0)</f>
        <v>-</v>
      </c>
      <c r="Q206" s="247">
        <f t="shared" si="23"/>
        <v>0</v>
      </c>
      <c r="R206" s="259" t="str">
        <f>+_xlfn.XLOOKUP(A206,PPTO_GENERADOR!$Q:$Q,PPTO_GENERADOR!A:A,"-",0)</f>
        <v>-</v>
      </c>
    </row>
    <row r="207" spans="1:18" ht="15" customHeight="1" x14ac:dyDescent="0.35">
      <c r="A207" s="38" t="s">
        <v>2564</v>
      </c>
      <c r="B207" s="38" t="s">
        <v>2773</v>
      </c>
      <c r="C207" s="38"/>
      <c r="D207" s="38" t="s">
        <v>1613</v>
      </c>
      <c r="E207" s="44" t="str">
        <f>IFERROR(VLOOKUP(D207,EQUIPOS!A:B,2,FALSE()),"?")</f>
        <v>Hormigonera De 150 Litros 1hp Con Rueda Maciza</v>
      </c>
      <c r="F207" s="44"/>
      <c r="G207" s="45">
        <v>1</v>
      </c>
      <c r="H207" s="46">
        <v>0</v>
      </c>
      <c r="I207" s="47">
        <f>IFERROR(VLOOKUP(D207,EQUIPOS!A:F,6,FALSE()),0)</f>
        <v>957.25319614994726</v>
      </c>
      <c r="J207" s="42">
        <f>G207*I207</f>
        <v>957.25319614994726</v>
      </c>
      <c r="K207" s="15" t="str">
        <f t="shared" si="20"/>
        <v>ALB-075|EQ</v>
      </c>
      <c r="L207" s="15">
        <f>COUNTIFS($K$2:K207,K207)</f>
        <v>3</v>
      </c>
      <c r="M207" s="15" t="str">
        <f t="shared" si="21"/>
        <v>ALB-075|EQ|3</v>
      </c>
      <c r="N207" s="47">
        <f>IFERROR(VLOOKUP(A207,PARTIDAS!A:F,6,FALSE()),0)</f>
        <v>15</v>
      </c>
      <c r="O207" s="247">
        <f t="shared" si="22"/>
        <v>1</v>
      </c>
      <c r="P207" s="247" t="str">
        <f>+_xlfn.XLOOKUP(A207,PPTO_GENERADOR!Q:Q,PPTO_GENERADOR!E:E,"-",0)</f>
        <v>-</v>
      </c>
      <c r="Q207" s="247">
        <f t="shared" si="23"/>
        <v>0</v>
      </c>
      <c r="R207" s="259" t="str">
        <f>+_xlfn.XLOOKUP(A207,PPTO_GENERADOR!$Q:$Q,PPTO_GENERADOR!A:A,"-",0)</f>
        <v>-</v>
      </c>
    </row>
    <row r="208" spans="1:18" ht="15" customHeight="1" x14ac:dyDescent="0.35">
      <c r="A208" s="38" t="s">
        <v>2564</v>
      </c>
      <c r="B208" s="38" t="s">
        <v>2774</v>
      </c>
      <c r="C208" s="38" t="s">
        <v>2775</v>
      </c>
      <c r="D208" s="38" t="s">
        <v>611</v>
      </c>
      <c r="E208" s="44" t="str">
        <f>IFERROR(VLOOKUP(D208,MATERIALES!A:B,2,FALSE()),"?")</f>
        <v>Barra de Acero Aleteado - 6mm x 12m</v>
      </c>
      <c r="F208" s="44" t="str">
        <f>IFERROR(VLOOKUP(D208,MATERIALES!A:C,3,FALSE()),"?")</f>
        <v>u</v>
      </c>
      <c r="G208" s="45">
        <v>0.17</v>
      </c>
      <c r="H208" s="46">
        <v>0.1</v>
      </c>
      <c r="I208" s="47">
        <f>IFERROR(VLOOKUP(D208,MATERIALES!A:D,4,FALSE()),0)</f>
        <v>3424.53</v>
      </c>
      <c r="J208" s="42">
        <f t="shared" ref="J208:J213" si="25">G208*I208*(1+H208)</f>
        <v>640.38711000000012</v>
      </c>
      <c r="K208" s="15" t="str">
        <f t="shared" si="20"/>
        <v>ALB-075|MAT</v>
      </c>
      <c r="L208" s="15">
        <f>COUNTIFS($K$2:K208,K208)</f>
        <v>1</v>
      </c>
      <c r="M208" s="15" t="str">
        <f t="shared" si="21"/>
        <v>ALB-075|MAT|1</v>
      </c>
      <c r="N208" s="47">
        <f>IFERROR(VLOOKUP(A208,PARTIDAS!A:F,6,FALSE()),0)</f>
        <v>15</v>
      </c>
      <c r="O208" s="247">
        <f t="shared" si="22"/>
        <v>0.17</v>
      </c>
      <c r="P208" s="247" t="str">
        <f>+_xlfn.XLOOKUP(A208,PPTO_GENERADOR!Q:Q,PPTO_GENERADOR!E:E,"-",0)</f>
        <v>-</v>
      </c>
      <c r="Q208" s="247">
        <f t="shared" si="23"/>
        <v>0</v>
      </c>
      <c r="R208" s="259" t="str">
        <f>+_xlfn.XLOOKUP(A208,PPTO_GENERADOR!$Q:$Q,PPTO_GENERADOR!A:A,"-",0)</f>
        <v>-</v>
      </c>
    </row>
    <row r="209" spans="1:18" ht="15" customHeight="1" x14ac:dyDescent="0.35">
      <c r="A209" s="38" t="s">
        <v>2564</v>
      </c>
      <c r="B209" s="38" t="s">
        <v>2774</v>
      </c>
      <c r="C209" s="38" t="s">
        <v>2775</v>
      </c>
      <c r="D209" s="38" t="s">
        <v>588</v>
      </c>
      <c r="E209" s="44" t="str">
        <f>IFERROR(VLOOKUP(D209,MATERIALES!A:B,2,FALSE()),"?")</f>
        <v>ARENA LAVADA</v>
      </c>
      <c r="F209" s="44" t="str">
        <f>IFERROR(VLOOKUP(D209,MATERIALES!A:C,3,FALSE()),"?")</f>
        <v>m3</v>
      </c>
      <c r="G209" s="45">
        <v>2.4E-2</v>
      </c>
      <c r="H209" s="46">
        <v>0.1</v>
      </c>
      <c r="I209" s="47">
        <f>IFERROR(VLOOKUP(D209,MATERIALES!A:D,4,FALSE()),0)</f>
        <v>32399.77</v>
      </c>
      <c r="J209" s="42">
        <f t="shared" si="25"/>
        <v>855.353928</v>
      </c>
      <c r="K209" s="15" t="str">
        <f t="shared" si="20"/>
        <v>ALB-075|MAT</v>
      </c>
      <c r="L209" s="15">
        <f>COUNTIFS($K$2:K209,K209)</f>
        <v>2</v>
      </c>
      <c r="M209" s="15" t="str">
        <f t="shared" si="21"/>
        <v>ALB-075|MAT|2</v>
      </c>
      <c r="N209" s="47">
        <f>IFERROR(VLOOKUP(A209,PARTIDAS!A:F,6,FALSE()),0)</f>
        <v>15</v>
      </c>
      <c r="O209" s="247">
        <f t="shared" si="22"/>
        <v>2.4E-2</v>
      </c>
      <c r="P209" s="247" t="str">
        <f>+_xlfn.XLOOKUP(A209,PPTO_GENERADOR!Q:Q,PPTO_GENERADOR!E:E,"-",0)</f>
        <v>-</v>
      </c>
      <c r="Q209" s="247">
        <f t="shared" si="23"/>
        <v>0</v>
      </c>
      <c r="R209" s="259" t="str">
        <f>+_xlfn.XLOOKUP(A209,PPTO_GENERADOR!$Q:$Q,PPTO_GENERADOR!A:A,"-",0)</f>
        <v>-</v>
      </c>
    </row>
    <row r="210" spans="1:18" ht="15" customHeight="1" x14ac:dyDescent="0.35">
      <c r="A210" s="38" t="s">
        <v>2564</v>
      </c>
      <c r="B210" s="38" t="s">
        <v>2774</v>
      </c>
      <c r="C210" s="38" t="s">
        <v>2775</v>
      </c>
      <c r="D210" s="38" t="s">
        <v>599</v>
      </c>
      <c r="E210" s="44" t="str">
        <f>IFERROR(VLOOKUP(D210,MATERIALES!A:B,2,FALSE()),"?")</f>
        <v>Cemento Portland x 50kg</v>
      </c>
      <c r="F210" s="44" t="str">
        <f>IFERROR(VLOOKUP(D210,MATERIALES!A:C,3,FALSE()),"?")</f>
        <v>Bol</v>
      </c>
      <c r="G210" s="45">
        <v>0.1</v>
      </c>
      <c r="H210" s="46">
        <v>0.1</v>
      </c>
      <c r="I210" s="47">
        <f>IFERROR(VLOOKUP(D210,MATERIALES!A:D,4,FALSE()),0)</f>
        <v>7809.48</v>
      </c>
      <c r="J210" s="42">
        <f t="shared" si="25"/>
        <v>859.04280000000006</v>
      </c>
      <c r="K210" s="15" t="str">
        <f t="shared" si="20"/>
        <v>ALB-075|MAT</v>
      </c>
      <c r="L210" s="15">
        <f>COUNTIFS($K$2:K210,K210)</f>
        <v>3</v>
      </c>
      <c r="M210" s="15" t="str">
        <f t="shared" si="21"/>
        <v>ALB-075|MAT|3</v>
      </c>
      <c r="N210" s="47">
        <f>IFERROR(VLOOKUP(A210,PARTIDAS!A:F,6,FALSE()),0)</f>
        <v>15</v>
      </c>
      <c r="O210" s="247">
        <f t="shared" si="22"/>
        <v>0.1</v>
      </c>
      <c r="P210" s="247" t="str">
        <f>+_xlfn.XLOOKUP(A210,PPTO_GENERADOR!Q:Q,PPTO_GENERADOR!E:E,"-",0)</f>
        <v>-</v>
      </c>
      <c r="Q210" s="247">
        <f t="shared" si="23"/>
        <v>0</v>
      </c>
      <c r="R210" s="259" t="str">
        <f>+_xlfn.XLOOKUP(A210,PPTO_GENERADOR!$Q:$Q,PPTO_GENERADOR!A:A,"-",0)</f>
        <v>-</v>
      </c>
    </row>
    <row r="211" spans="1:18" ht="15" customHeight="1" x14ac:dyDescent="0.35">
      <c r="A211" s="38" t="s">
        <v>2564</v>
      </c>
      <c r="B211" s="38" t="s">
        <v>2774</v>
      </c>
      <c r="C211" s="38" t="s">
        <v>2775</v>
      </c>
      <c r="D211" s="38" t="s">
        <v>604</v>
      </c>
      <c r="E211" s="44" t="str">
        <f>IFERROR(VLOOKUP(D211,MATERIALES!A:B,2,FALSE()),"?")</f>
        <v>Cal Comun x 25kg</v>
      </c>
      <c r="F211" s="44" t="str">
        <f>IFERROR(VLOOKUP(D211,MATERIALES!A:C,3,FALSE()),"?")</f>
        <v>bol</v>
      </c>
      <c r="G211" s="45">
        <v>0.2</v>
      </c>
      <c r="H211" s="46">
        <v>0.1</v>
      </c>
      <c r="I211" s="47">
        <f>IFERROR(VLOOKUP(D211,MATERIALES!A:D,4,FALSE()),0)</f>
        <v>3837.96</v>
      </c>
      <c r="J211" s="42">
        <f t="shared" si="25"/>
        <v>844.35120000000018</v>
      </c>
      <c r="K211" s="15" t="str">
        <f t="shared" si="20"/>
        <v>ALB-075|MAT</v>
      </c>
      <c r="L211" s="15">
        <f>COUNTIFS($K$2:K211,K211)</f>
        <v>4</v>
      </c>
      <c r="M211" s="15" t="str">
        <f t="shared" si="21"/>
        <v>ALB-075|MAT|4</v>
      </c>
      <c r="N211" s="47">
        <f>IFERROR(VLOOKUP(A211,PARTIDAS!A:F,6,FALSE()),0)</f>
        <v>15</v>
      </c>
      <c r="O211" s="247">
        <f t="shared" si="22"/>
        <v>0.2</v>
      </c>
      <c r="P211" s="247" t="str">
        <f>+_xlfn.XLOOKUP(A211,PPTO_GENERADOR!Q:Q,PPTO_GENERADOR!E:E,"-",0)</f>
        <v>-</v>
      </c>
      <c r="Q211" s="247">
        <f t="shared" si="23"/>
        <v>0</v>
      </c>
      <c r="R211" s="259" t="str">
        <f>+_xlfn.XLOOKUP(A211,PPTO_GENERADOR!$Q:$Q,PPTO_GENERADOR!A:A,"-",0)</f>
        <v>-</v>
      </c>
    </row>
    <row r="212" spans="1:18" ht="15" customHeight="1" x14ac:dyDescent="0.35">
      <c r="A212" s="38" t="s">
        <v>2564</v>
      </c>
      <c r="B212" s="38" t="s">
        <v>2774</v>
      </c>
      <c r="C212" s="38" t="s">
        <v>2775</v>
      </c>
      <c r="D212" s="38" t="s">
        <v>633</v>
      </c>
      <c r="E212" s="44" t="str">
        <f>IFERROR(VLOOKUP(D212,MATERIALES!A:B,2,FALSE()),"?")</f>
        <v>LADRILLO CERAMICO 12 x 18 x 33 cm</v>
      </c>
      <c r="F212" s="44" t="str">
        <f>IFERROR(VLOOKUP(D212,MATERIALES!A:C,3,FALSE()),"?")</f>
        <v>u</v>
      </c>
      <c r="G212" s="45">
        <v>15</v>
      </c>
      <c r="H212" s="46">
        <v>0.05</v>
      </c>
      <c r="I212" s="47">
        <f>IFERROR(VLOOKUP(D212,MATERIALES!A:D,4,FALSE()),0)</f>
        <v>365.4</v>
      </c>
      <c r="J212" s="42">
        <f t="shared" si="25"/>
        <v>5755.05</v>
      </c>
      <c r="K212" s="15" t="str">
        <f t="shared" si="20"/>
        <v>ALB-075|MAT</v>
      </c>
      <c r="L212" s="15">
        <f>COUNTIFS($K$2:K212,K212)</f>
        <v>5</v>
      </c>
      <c r="M212" s="15" t="str">
        <f t="shared" si="21"/>
        <v>ALB-075|MAT|5</v>
      </c>
      <c r="N212" s="47">
        <f>IFERROR(VLOOKUP(A212,PARTIDAS!A:F,6,FALSE()),0)</f>
        <v>15</v>
      </c>
      <c r="O212" s="247">
        <f t="shared" si="22"/>
        <v>15</v>
      </c>
      <c r="P212" s="247" t="str">
        <f>+_xlfn.XLOOKUP(A212,PPTO_GENERADOR!Q:Q,PPTO_GENERADOR!E:E,"-",0)</f>
        <v>-</v>
      </c>
      <c r="Q212" s="247">
        <f t="shared" si="23"/>
        <v>0</v>
      </c>
      <c r="R212" s="259" t="str">
        <f>+_xlfn.XLOOKUP(A212,PPTO_GENERADOR!$Q:$Q,PPTO_GENERADOR!A:A,"-",0)</f>
        <v>-</v>
      </c>
    </row>
    <row r="213" spans="1:18" ht="15" customHeight="1" x14ac:dyDescent="0.35">
      <c r="A213" s="38" t="s">
        <v>2564</v>
      </c>
      <c r="B213" s="38" t="s">
        <v>2774</v>
      </c>
      <c r="C213" s="38" t="s">
        <v>2775</v>
      </c>
      <c r="D213" s="38" t="s">
        <v>1361</v>
      </c>
      <c r="E213" s="44" t="str">
        <f>IFERROR(VLOOKUP(D213,MATERIALES!A:B,2,FALSE()),"?")</f>
        <v>Consumibles</v>
      </c>
      <c r="F213" s="44" t="str">
        <f>IFERROR(VLOOKUP(D213,MATERIALES!A:C,3,FALSE()),"?")</f>
        <v>gl</v>
      </c>
      <c r="G213" s="45">
        <v>1.4557741900000001</v>
      </c>
      <c r="H213" s="46">
        <v>0</v>
      </c>
      <c r="I213" s="47">
        <f>IFERROR(VLOOKUP(D213,MATERIALES!A:D,4,FALSE()),0)</f>
        <v>1</v>
      </c>
      <c r="J213" s="42">
        <f t="shared" si="25"/>
        <v>1.4557741900000001</v>
      </c>
      <c r="K213" s="15" t="str">
        <f t="shared" si="20"/>
        <v>ALB-075|MAT</v>
      </c>
      <c r="L213" s="15">
        <f>COUNTIFS($K$2:K213,K213)</f>
        <v>6</v>
      </c>
      <c r="M213" s="15" t="str">
        <f t="shared" si="21"/>
        <v>ALB-075|MAT|6</v>
      </c>
      <c r="N213" s="47">
        <f>IFERROR(VLOOKUP(A213,PARTIDAS!A:F,6,FALSE()),0)</f>
        <v>15</v>
      </c>
      <c r="O213" s="247">
        <f t="shared" si="22"/>
        <v>1.4557741900000001</v>
      </c>
      <c r="P213" s="247" t="str">
        <f>+_xlfn.XLOOKUP(A213,PPTO_GENERADOR!Q:Q,PPTO_GENERADOR!E:E,"-",0)</f>
        <v>-</v>
      </c>
      <c r="Q213" s="247">
        <f t="shared" si="23"/>
        <v>0</v>
      </c>
      <c r="R213" s="259" t="str">
        <f>+_xlfn.XLOOKUP(A213,PPTO_GENERADOR!$Q:$Q,PPTO_GENERADOR!A:A,"-",0)</f>
        <v>-</v>
      </c>
    </row>
    <row r="214" spans="1:18" ht="15" customHeight="1" x14ac:dyDescent="0.35">
      <c r="A214" s="38" t="s">
        <v>2564</v>
      </c>
      <c r="B214" s="38" t="s">
        <v>2776</v>
      </c>
      <c r="C214" s="38" t="s">
        <v>2777</v>
      </c>
      <c r="D214" s="237" t="s">
        <v>1574</v>
      </c>
      <c r="E214" s="44" t="str">
        <f>IFERROR(VLOOKUP(D214,MANO_DE_OBRA!A:B,2,FALSE()),"?")</f>
        <v>MEDIO OFICIAL</v>
      </c>
      <c r="F214" s="44" t="s">
        <v>2778</v>
      </c>
      <c r="G214" s="45">
        <v>1</v>
      </c>
      <c r="H214" s="46">
        <v>0</v>
      </c>
      <c r="I214" s="47">
        <f>IFERROR(VLOOKUP(D214,MANO_DE_OBRA!A:C,3,FALSE()),0)</f>
        <v>65493.071636572</v>
      </c>
      <c r="J214" s="42">
        <f>G214*I214</f>
        <v>65493.071636572</v>
      </c>
      <c r="K214" s="15" t="str">
        <f t="shared" si="20"/>
        <v>ALB-075|MO</v>
      </c>
      <c r="L214" s="15">
        <f>COUNTIFS($K$2:K214,K214)</f>
        <v>1</v>
      </c>
      <c r="M214" s="15" t="str">
        <f t="shared" si="21"/>
        <v>ALB-075|MO|1</v>
      </c>
      <c r="N214" s="47">
        <f>IFERROR(VLOOKUP(A214,PARTIDAS!A:F,6,FALSE()),0)</f>
        <v>15</v>
      </c>
      <c r="O214" s="247">
        <f t="shared" si="22"/>
        <v>6.6666666666666666E-2</v>
      </c>
      <c r="P214" s="247" t="str">
        <f>+_xlfn.XLOOKUP(A214,PPTO_GENERADOR!Q:Q,PPTO_GENERADOR!E:E,"-",0)</f>
        <v>-</v>
      </c>
      <c r="Q214" s="247">
        <f t="shared" si="23"/>
        <v>0</v>
      </c>
      <c r="R214" s="259" t="str">
        <f>+_xlfn.XLOOKUP(A214,PPTO_GENERADOR!$Q:$Q,PPTO_GENERADOR!A:A,"-",0)</f>
        <v>-</v>
      </c>
    </row>
    <row r="215" spans="1:18" ht="15" customHeight="1" x14ac:dyDescent="0.35">
      <c r="A215" s="38" t="s">
        <v>2564</v>
      </c>
      <c r="B215" s="38" t="s">
        <v>2776</v>
      </c>
      <c r="C215" s="38" t="s">
        <v>2777</v>
      </c>
      <c r="D215" s="237" t="s">
        <v>1568</v>
      </c>
      <c r="E215" s="44" t="str">
        <f>IFERROR(VLOOKUP(D215,MANO_DE_OBRA!A:B,2,FALSE()),"?")</f>
        <v>ESPECIALIZADO</v>
      </c>
      <c r="F215" s="44" t="s">
        <v>2778</v>
      </c>
      <c r="G215" s="45">
        <v>1</v>
      </c>
      <c r="H215" s="46">
        <v>0</v>
      </c>
      <c r="I215" s="47">
        <f>IFERROR(VLOOKUP(D215,MANO_DE_OBRA!A:C,3,FALSE()),0)</f>
        <v>85927.097156571996</v>
      </c>
      <c r="J215" s="42">
        <f>G215*I215</f>
        <v>85927.097156571996</v>
      </c>
      <c r="K215" s="15" t="str">
        <f t="shared" si="20"/>
        <v>ALB-075|MO</v>
      </c>
      <c r="L215" s="15">
        <f>COUNTIFS($K$2:K215,K215)</f>
        <v>2</v>
      </c>
      <c r="M215" s="15" t="str">
        <f t="shared" si="21"/>
        <v>ALB-075|MO|2</v>
      </c>
      <c r="N215" s="47">
        <f>IFERROR(VLOOKUP(A215,PARTIDAS!A:F,6,FALSE()),0)</f>
        <v>15</v>
      </c>
      <c r="O215" s="247">
        <f t="shared" si="22"/>
        <v>6.6666666666666666E-2</v>
      </c>
      <c r="P215" s="247" t="str">
        <f>+_xlfn.XLOOKUP(A215,PPTO_GENERADOR!Q:Q,PPTO_GENERADOR!E:E,"-",0)</f>
        <v>-</v>
      </c>
      <c r="Q215" s="247">
        <f t="shared" si="23"/>
        <v>0</v>
      </c>
      <c r="R215" s="259" t="str">
        <f>+_xlfn.XLOOKUP(A215,PPTO_GENERADOR!$Q:$Q,PPTO_GENERADOR!A:A,"-",0)</f>
        <v>-</v>
      </c>
    </row>
    <row r="216" spans="1:18" ht="15" customHeight="1" x14ac:dyDescent="0.35">
      <c r="A216" s="38" t="s">
        <v>2613</v>
      </c>
      <c r="B216" s="38" t="s">
        <v>2774</v>
      </c>
      <c r="C216" s="38" t="s">
        <v>2775</v>
      </c>
      <c r="D216" s="38" t="s">
        <v>588</v>
      </c>
      <c r="E216" s="44" t="str">
        <f>IFERROR(VLOOKUP(D216,MATERIALES!A:B,2,FALSE()),"?")</f>
        <v>ARENA LAVADA</v>
      </c>
      <c r="F216" s="44" t="str">
        <f>IFERROR(VLOOKUP(D216,MATERIALES!A:C,3,FALSE()),"?")</f>
        <v>m3</v>
      </c>
      <c r="G216" s="45">
        <v>0.02</v>
      </c>
      <c r="H216" s="46">
        <v>0.03</v>
      </c>
      <c r="I216" s="47">
        <f>IFERROR(VLOOKUP(D216,MATERIALES!A:D,4,FALSE()),0)</f>
        <v>32399.77</v>
      </c>
      <c r="J216" s="42">
        <f>G216*I216*(1+H216)</f>
        <v>667.43526200000008</v>
      </c>
      <c r="K216" s="15" t="str">
        <f t="shared" si="20"/>
        <v>ALB-115|MAT</v>
      </c>
      <c r="L216" s="15">
        <f>COUNTIFS($K$2:K216,K216)</f>
        <v>1</v>
      </c>
      <c r="M216" s="15" t="str">
        <f t="shared" si="21"/>
        <v>ALB-115|MAT|1</v>
      </c>
      <c r="N216" s="47">
        <f>IFERROR(VLOOKUP(A216,PARTIDAS!A:F,6,FALSE()),0)</f>
        <v>15</v>
      </c>
      <c r="O216" s="247">
        <f t="shared" si="22"/>
        <v>0.02</v>
      </c>
      <c r="P216" s="247" t="str">
        <f>+_xlfn.XLOOKUP(A216,PPTO_GENERADOR!Q:Q,PPTO_GENERADOR!E:E,"-",0)</f>
        <v>-</v>
      </c>
      <c r="Q216" s="247">
        <f t="shared" si="23"/>
        <v>0</v>
      </c>
      <c r="R216" s="259" t="str">
        <f>+_xlfn.XLOOKUP(A216,PPTO_GENERADOR!$Q:$Q,PPTO_GENERADOR!A:A,"-",0)</f>
        <v>-</v>
      </c>
    </row>
    <row r="217" spans="1:18" ht="15" customHeight="1" x14ac:dyDescent="0.35">
      <c r="A217" s="38" t="s">
        <v>2613</v>
      </c>
      <c r="B217" s="38" t="s">
        <v>2774</v>
      </c>
      <c r="C217" s="38" t="s">
        <v>2775</v>
      </c>
      <c r="D217" s="38" t="s">
        <v>599</v>
      </c>
      <c r="E217" s="44" t="str">
        <f>IFERROR(VLOOKUP(D217,MATERIALES!A:B,2,FALSE()),"?")</f>
        <v>Cemento Portland x 50kg</v>
      </c>
      <c r="F217" s="44" t="str">
        <f>IFERROR(VLOOKUP(D217,MATERIALES!A:C,3,FALSE()),"?")</f>
        <v>Bol</v>
      </c>
      <c r="G217" s="45">
        <v>0.26</v>
      </c>
      <c r="H217" s="46">
        <v>0.03</v>
      </c>
      <c r="I217" s="47">
        <f>IFERROR(VLOOKUP(D217,MATERIALES!A:D,4,FALSE()),0)</f>
        <v>7809.48</v>
      </c>
      <c r="J217" s="42">
        <f>G217*I217*(1+H217)</f>
        <v>2091.3787440000001</v>
      </c>
      <c r="K217" s="15" t="str">
        <f t="shared" si="20"/>
        <v>ALB-115|MAT</v>
      </c>
      <c r="L217" s="15">
        <f>COUNTIFS($K$2:K217,K217)</f>
        <v>2</v>
      </c>
      <c r="M217" s="15" t="str">
        <f t="shared" si="21"/>
        <v>ALB-115|MAT|2</v>
      </c>
      <c r="N217" s="47">
        <f>IFERROR(VLOOKUP(A217,PARTIDAS!A:F,6,FALSE()),0)</f>
        <v>15</v>
      </c>
      <c r="O217" s="247">
        <f t="shared" si="22"/>
        <v>0.26</v>
      </c>
      <c r="P217" s="247" t="str">
        <f>+_xlfn.XLOOKUP(A217,PPTO_GENERADOR!Q:Q,PPTO_GENERADOR!E:E,"-",0)</f>
        <v>-</v>
      </c>
      <c r="Q217" s="247">
        <f t="shared" si="23"/>
        <v>0</v>
      </c>
      <c r="R217" s="259" t="str">
        <f>+_xlfn.XLOOKUP(A217,PPTO_GENERADOR!$Q:$Q,PPTO_GENERADOR!A:A,"-",0)</f>
        <v>-</v>
      </c>
    </row>
    <row r="218" spans="1:18" ht="15" customHeight="1" x14ac:dyDescent="0.35">
      <c r="A218" s="38" t="s">
        <v>2613</v>
      </c>
      <c r="B218" s="38" t="s">
        <v>2774</v>
      </c>
      <c r="C218" s="38" t="s">
        <v>2775</v>
      </c>
      <c r="D218" s="38" t="s">
        <v>604</v>
      </c>
      <c r="E218" s="44" t="str">
        <f>IFERROR(VLOOKUP(D218,MATERIALES!A:B,2,FALSE()),"?")</f>
        <v>Cal Comun x 25kg</v>
      </c>
      <c r="F218" s="44" t="str">
        <f>IFERROR(VLOOKUP(D218,MATERIALES!A:C,3,FALSE()),"?")</f>
        <v>bol</v>
      </c>
      <c r="G218" s="45">
        <v>0.06</v>
      </c>
      <c r="H218" s="46">
        <v>0.05</v>
      </c>
      <c r="I218" s="47">
        <f>IFERROR(VLOOKUP(D218,MATERIALES!A:D,4,FALSE()),0)</f>
        <v>3837.96</v>
      </c>
      <c r="J218" s="42">
        <f>G218*I218*(1+H218)</f>
        <v>241.79148000000001</v>
      </c>
      <c r="K218" s="15" t="str">
        <f t="shared" si="20"/>
        <v>ALB-115|MAT</v>
      </c>
      <c r="L218" s="15">
        <f>COUNTIFS($K$2:K218,K218)</f>
        <v>3</v>
      </c>
      <c r="M218" s="15" t="str">
        <f t="shared" si="21"/>
        <v>ALB-115|MAT|3</v>
      </c>
      <c r="N218" s="47">
        <f>IFERROR(VLOOKUP(A218,PARTIDAS!A:F,6,FALSE()),0)</f>
        <v>15</v>
      </c>
      <c r="O218" s="247">
        <f t="shared" si="22"/>
        <v>0.06</v>
      </c>
      <c r="P218" s="247" t="str">
        <f>+_xlfn.XLOOKUP(A218,PPTO_GENERADOR!Q:Q,PPTO_GENERADOR!E:E,"-",0)</f>
        <v>-</v>
      </c>
      <c r="Q218" s="247">
        <f t="shared" si="23"/>
        <v>0</v>
      </c>
      <c r="R218" s="259" t="str">
        <f>+_xlfn.XLOOKUP(A218,PPTO_GENERADOR!$Q:$Q,PPTO_GENERADOR!A:A,"-",0)</f>
        <v>-</v>
      </c>
    </row>
    <row r="219" spans="1:18" ht="15" customHeight="1" x14ac:dyDescent="0.35">
      <c r="A219" s="38" t="s">
        <v>2613</v>
      </c>
      <c r="B219" s="38" t="s">
        <v>2776</v>
      </c>
      <c r="C219" s="38" t="s">
        <v>2777</v>
      </c>
      <c r="D219" s="237" t="s">
        <v>1577</v>
      </c>
      <c r="E219" s="44" t="str">
        <f>IFERROR(VLOOKUP(D219,MANO_DE_OBRA!A:B,2,FALSE()),"?")</f>
        <v>AYUDANTE</v>
      </c>
      <c r="F219" s="44" t="s">
        <v>2778</v>
      </c>
      <c r="G219" s="45">
        <v>1</v>
      </c>
      <c r="H219" s="46">
        <v>0</v>
      </c>
      <c r="I219" s="47">
        <f>IFERROR(VLOOKUP(D219,MANO_DE_OBRA!A:C,3,FALSE()),0)</f>
        <v>60860.580776572002</v>
      </c>
      <c r="J219" s="42">
        <f>G219*I219</f>
        <v>60860.580776572002</v>
      </c>
      <c r="K219" s="15" t="str">
        <f t="shared" si="20"/>
        <v>ALB-115|MO</v>
      </c>
      <c r="L219" s="15">
        <f>COUNTIFS($K$2:K219,K219)</f>
        <v>1</v>
      </c>
      <c r="M219" s="15" t="str">
        <f t="shared" si="21"/>
        <v>ALB-115|MO|1</v>
      </c>
      <c r="N219" s="47">
        <f>IFERROR(VLOOKUP(A219,PARTIDAS!A:F,6,FALSE()),0)</f>
        <v>15</v>
      </c>
      <c r="O219" s="247">
        <f t="shared" si="22"/>
        <v>6.6666666666666666E-2</v>
      </c>
      <c r="P219" s="247" t="str">
        <f>+_xlfn.XLOOKUP(A219,PPTO_GENERADOR!Q:Q,PPTO_GENERADOR!E:E,"-",0)</f>
        <v>-</v>
      </c>
      <c r="Q219" s="247">
        <f t="shared" si="23"/>
        <v>0</v>
      </c>
      <c r="R219" s="259" t="str">
        <f>+_xlfn.XLOOKUP(A219,PPTO_GENERADOR!$Q:$Q,PPTO_GENERADOR!A:A,"-",0)</f>
        <v>-</v>
      </c>
    </row>
    <row r="220" spans="1:18" ht="15" customHeight="1" x14ac:dyDescent="0.35">
      <c r="A220" s="38" t="s">
        <v>2613</v>
      </c>
      <c r="B220" s="38" t="s">
        <v>2776</v>
      </c>
      <c r="C220" s="38" t="s">
        <v>2777</v>
      </c>
      <c r="D220" s="237" t="s">
        <v>1568</v>
      </c>
      <c r="E220" s="44" t="str">
        <f>IFERROR(VLOOKUP(D220,MANO_DE_OBRA!A:B,2,FALSE()),"?")</f>
        <v>ESPECIALIZADO</v>
      </c>
      <c r="F220" s="44" t="s">
        <v>2778</v>
      </c>
      <c r="G220" s="45">
        <v>1</v>
      </c>
      <c r="H220" s="46">
        <v>0</v>
      </c>
      <c r="I220" s="47">
        <f>IFERROR(VLOOKUP(D220,MANO_DE_OBRA!A:C,3,FALSE()),0)</f>
        <v>85927.097156571996</v>
      </c>
      <c r="J220" s="42">
        <f>G220*I220</f>
        <v>85927.097156571996</v>
      </c>
      <c r="K220" s="15" t="str">
        <f t="shared" si="20"/>
        <v>ALB-115|MO</v>
      </c>
      <c r="L220" s="15">
        <f>COUNTIFS($K$2:K220,K220)</f>
        <v>2</v>
      </c>
      <c r="M220" s="15" t="str">
        <f t="shared" si="21"/>
        <v>ALB-115|MO|2</v>
      </c>
      <c r="N220" s="47">
        <f>IFERROR(VLOOKUP(A220,PARTIDAS!A:F,6,FALSE()),0)</f>
        <v>15</v>
      </c>
      <c r="O220" s="247">
        <f t="shared" si="22"/>
        <v>6.6666666666666666E-2</v>
      </c>
      <c r="P220" s="247" t="str">
        <f>+_xlfn.XLOOKUP(A220,PPTO_GENERADOR!Q:Q,PPTO_GENERADOR!E:E,"-",0)</f>
        <v>-</v>
      </c>
      <c r="Q220" s="247">
        <f t="shared" si="23"/>
        <v>0</v>
      </c>
      <c r="R220" s="259" t="str">
        <f>+_xlfn.XLOOKUP(A220,PPTO_GENERADOR!$Q:$Q,PPTO_GENERADOR!A:A,"-",0)</f>
        <v>-</v>
      </c>
    </row>
    <row r="221" spans="1:18" ht="15" customHeight="1" x14ac:dyDescent="0.35">
      <c r="A221" s="38" t="s">
        <v>2619</v>
      </c>
      <c r="B221" s="38" t="s">
        <v>2773</v>
      </c>
      <c r="C221" s="38"/>
      <c r="D221" s="38" t="s">
        <v>1592</v>
      </c>
      <c r="E221" s="44" t="str">
        <f>IFERROR(VLOOKUP(D221,EQUIPOS!A:B,2,FALSE()),"?")</f>
        <v>ANDAMIO TUBULAR DE UNO A TRES CUERPOS</v>
      </c>
      <c r="F221" s="44"/>
      <c r="G221" s="45">
        <v>0.5</v>
      </c>
      <c r="H221" s="46">
        <v>0</v>
      </c>
      <c r="I221" s="47">
        <f>IFERROR(VLOOKUP(D221,EQUIPOS!A:F,6,FALSE()),0)</f>
        <v>571.1794909807611</v>
      </c>
      <c r="J221" s="42">
        <f>G221*I221</f>
        <v>285.58974549038055</v>
      </c>
      <c r="K221" s="15" t="str">
        <f t="shared" si="20"/>
        <v>ALB-118|EQ</v>
      </c>
      <c r="L221" s="15">
        <f>COUNTIFS($K$2:K221,K221)</f>
        <v>1</v>
      </c>
      <c r="M221" s="15" t="str">
        <f t="shared" si="21"/>
        <v>ALB-118|EQ|1</v>
      </c>
      <c r="N221" s="47">
        <f>IFERROR(VLOOKUP(A221,PARTIDAS!A:F,6,FALSE()),0)</f>
        <v>11.5</v>
      </c>
      <c r="O221" s="247">
        <f t="shared" si="22"/>
        <v>0.5</v>
      </c>
      <c r="P221" s="247" t="str">
        <f>+_xlfn.XLOOKUP(A221,PPTO_GENERADOR!Q:Q,PPTO_GENERADOR!E:E,"-",0)</f>
        <v>-</v>
      </c>
      <c r="Q221" s="247">
        <f t="shared" si="23"/>
        <v>0</v>
      </c>
      <c r="R221" s="259" t="str">
        <f>+_xlfn.XLOOKUP(A221,PPTO_GENERADOR!$Q:$Q,PPTO_GENERADOR!A:A,"-",0)</f>
        <v>-</v>
      </c>
    </row>
    <row r="222" spans="1:18" ht="15" customHeight="1" x14ac:dyDescent="0.35">
      <c r="A222" s="38" t="s">
        <v>2619</v>
      </c>
      <c r="B222" s="38" t="s">
        <v>2773</v>
      </c>
      <c r="C222" s="38"/>
      <c r="D222" s="38" t="s">
        <v>1595</v>
      </c>
      <c r="E222" s="44" t="str">
        <f>IFERROR(VLOOKUP(D222,EQUIPOS!A:B,2,FALSE()),"?")</f>
        <v>EQUIPO DE ALBAÑILERIA, carpetas, ladrillo</v>
      </c>
      <c r="F222" s="44"/>
      <c r="G222" s="45">
        <v>1</v>
      </c>
      <c r="H222" s="46">
        <v>0</v>
      </c>
      <c r="I222" s="47">
        <f>IFERROR(VLOOKUP(D222,EQUIPOS!A:F,6,FALSE()),0)</f>
        <v>2287.1357450968057</v>
      </c>
      <c r="J222" s="42">
        <f>G222*I222</f>
        <v>2287.1357450968057</v>
      </c>
      <c r="K222" s="15" t="str">
        <f t="shared" si="20"/>
        <v>ALB-118|EQ</v>
      </c>
      <c r="L222" s="15">
        <f>COUNTIFS($K$2:K222,K222)</f>
        <v>2</v>
      </c>
      <c r="M222" s="15" t="str">
        <f t="shared" si="21"/>
        <v>ALB-118|EQ|2</v>
      </c>
      <c r="N222" s="47">
        <f>IFERROR(VLOOKUP(A222,PARTIDAS!A:F,6,FALSE()),0)</f>
        <v>11.5</v>
      </c>
      <c r="O222" s="247">
        <f t="shared" si="22"/>
        <v>1</v>
      </c>
      <c r="P222" s="247" t="str">
        <f>+_xlfn.XLOOKUP(A222,PPTO_GENERADOR!Q:Q,PPTO_GENERADOR!E:E,"-",0)</f>
        <v>-</v>
      </c>
      <c r="Q222" s="247">
        <f t="shared" si="23"/>
        <v>0</v>
      </c>
      <c r="R222" s="259" t="str">
        <f>+_xlfn.XLOOKUP(A222,PPTO_GENERADOR!$Q:$Q,PPTO_GENERADOR!A:A,"-",0)</f>
        <v>-</v>
      </c>
    </row>
    <row r="223" spans="1:18" ht="15" customHeight="1" x14ac:dyDescent="0.35">
      <c r="A223" s="38" t="s">
        <v>2619</v>
      </c>
      <c r="B223" s="38" t="s">
        <v>2773</v>
      </c>
      <c r="C223" s="38"/>
      <c r="D223" s="38" t="s">
        <v>1613</v>
      </c>
      <c r="E223" s="44" t="str">
        <f>IFERROR(VLOOKUP(D223,EQUIPOS!A:B,2,FALSE()),"?")</f>
        <v>Hormigonera De 150 Litros 1hp Con Rueda Maciza</v>
      </c>
      <c r="F223" s="44"/>
      <c r="G223" s="45">
        <v>1</v>
      </c>
      <c r="H223" s="46">
        <v>0</v>
      </c>
      <c r="I223" s="47">
        <f>IFERROR(VLOOKUP(D223,EQUIPOS!A:F,6,FALSE()),0)</f>
        <v>957.25319614994726</v>
      </c>
      <c r="J223" s="42">
        <f>G223*I223</f>
        <v>957.25319614994726</v>
      </c>
      <c r="K223" s="15" t="str">
        <f t="shared" si="20"/>
        <v>ALB-118|EQ</v>
      </c>
      <c r="L223" s="15">
        <f>COUNTIFS($K$2:K223,K223)</f>
        <v>3</v>
      </c>
      <c r="M223" s="15" t="str">
        <f t="shared" si="21"/>
        <v>ALB-118|EQ|3</v>
      </c>
      <c r="N223" s="47">
        <f>IFERROR(VLOOKUP(A223,PARTIDAS!A:F,6,FALSE()),0)</f>
        <v>11.5</v>
      </c>
      <c r="O223" s="247">
        <f t="shared" si="22"/>
        <v>1</v>
      </c>
      <c r="P223" s="247" t="str">
        <f>+_xlfn.XLOOKUP(A223,PPTO_GENERADOR!Q:Q,PPTO_GENERADOR!E:E,"-",0)</f>
        <v>-</v>
      </c>
      <c r="Q223" s="247">
        <f t="shared" si="23"/>
        <v>0</v>
      </c>
      <c r="R223" s="259" t="str">
        <f>+_xlfn.XLOOKUP(A223,PPTO_GENERADOR!$Q:$Q,PPTO_GENERADOR!A:A,"-",0)</f>
        <v>-</v>
      </c>
    </row>
    <row r="224" spans="1:18" ht="15" customHeight="1" x14ac:dyDescent="0.35">
      <c r="A224" s="38" t="s">
        <v>2619</v>
      </c>
      <c r="B224" s="38" t="s">
        <v>2774</v>
      </c>
      <c r="C224" s="38" t="s">
        <v>2775</v>
      </c>
      <c r="D224" s="38" t="s">
        <v>611</v>
      </c>
      <c r="E224" s="44" t="str">
        <f>IFERROR(VLOOKUP(D224,MATERIALES!A:B,2,FALSE()),"?")</f>
        <v>Barra de Acero Aleteado - 6mm x 12m</v>
      </c>
      <c r="F224" s="44" t="str">
        <f>IFERROR(VLOOKUP(D224,MATERIALES!A:C,3,FALSE()),"?")</f>
        <v>u</v>
      </c>
      <c r="G224" s="45">
        <v>0.17</v>
      </c>
      <c r="H224" s="46">
        <v>0.1</v>
      </c>
      <c r="I224" s="47">
        <f>IFERROR(VLOOKUP(D224,MATERIALES!A:D,4,FALSE()),0)</f>
        <v>3424.53</v>
      </c>
      <c r="J224" s="42">
        <f t="shared" ref="J224:J229" si="26">G224*I224*(1+H224)</f>
        <v>640.38711000000012</v>
      </c>
      <c r="K224" s="15" t="str">
        <f t="shared" si="20"/>
        <v>ALB-118|MAT</v>
      </c>
      <c r="L224" s="15">
        <f>COUNTIFS($K$2:K224,K224)</f>
        <v>1</v>
      </c>
      <c r="M224" s="15" t="str">
        <f t="shared" si="21"/>
        <v>ALB-118|MAT|1</v>
      </c>
      <c r="N224" s="47">
        <f>IFERROR(VLOOKUP(A224,PARTIDAS!A:F,6,FALSE()),0)</f>
        <v>11.5</v>
      </c>
      <c r="O224" s="247">
        <f t="shared" si="22"/>
        <v>0.17</v>
      </c>
      <c r="P224" s="247" t="str">
        <f>+_xlfn.XLOOKUP(A224,PPTO_GENERADOR!Q:Q,PPTO_GENERADOR!E:E,"-",0)</f>
        <v>-</v>
      </c>
      <c r="Q224" s="247">
        <f t="shared" si="23"/>
        <v>0</v>
      </c>
      <c r="R224" s="259" t="str">
        <f>+_xlfn.XLOOKUP(A224,PPTO_GENERADOR!$Q:$Q,PPTO_GENERADOR!A:A,"-",0)</f>
        <v>-</v>
      </c>
    </row>
    <row r="225" spans="1:18" ht="15" customHeight="1" x14ac:dyDescent="0.35">
      <c r="A225" s="38" t="s">
        <v>2619</v>
      </c>
      <c r="B225" s="38" t="s">
        <v>2774</v>
      </c>
      <c r="C225" s="38" t="s">
        <v>2775</v>
      </c>
      <c r="D225" s="38" t="s">
        <v>588</v>
      </c>
      <c r="E225" s="44" t="str">
        <f>IFERROR(VLOOKUP(D225,MATERIALES!A:B,2,FALSE()),"?")</f>
        <v>ARENA LAVADA</v>
      </c>
      <c r="F225" s="44" t="str">
        <f>IFERROR(VLOOKUP(D225,MATERIALES!A:C,3,FALSE()),"?")</f>
        <v>m3</v>
      </c>
      <c r="G225" s="45">
        <v>1.2E-2</v>
      </c>
      <c r="H225" s="46">
        <v>0.1</v>
      </c>
      <c r="I225" s="47">
        <f>IFERROR(VLOOKUP(D225,MATERIALES!A:D,4,FALSE()),0)</f>
        <v>32399.77</v>
      </c>
      <c r="J225" s="42">
        <f t="shared" si="26"/>
        <v>427.676964</v>
      </c>
      <c r="K225" s="15" t="str">
        <f t="shared" si="20"/>
        <v>ALB-118|MAT</v>
      </c>
      <c r="L225" s="15">
        <f>COUNTIFS($K$2:K225,K225)</f>
        <v>2</v>
      </c>
      <c r="M225" s="15" t="str">
        <f t="shared" si="21"/>
        <v>ALB-118|MAT|2</v>
      </c>
      <c r="N225" s="47">
        <f>IFERROR(VLOOKUP(A225,PARTIDAS!A:F,6,FALSE()),0)</f>
        <v>11.5</v>
      </c>
      <c r="O225" s="247">
        <f t="shared" si="22"/>
        <v>1.2E-2</v>
      </c>
      <c r="P225" s="247" t="str">
        <f>+_xlfn.XLOOKUP(A225,PPTO_GENERADOR!Q:Q,PPTO_GENERADOR!E:E,"-",0)</f>
        <v>-</v>
      </c>
      <c r="Q225" s="247">
        <f t="shared" si="23"/>
        <v>0</v>
      </c>
      <c r="R225" s="259" t="str">
        <f>+_xlfn.XLOOKUP(A225,PPTO_GENERADOR!$Q:$Q,PPTO_GENERADOR!A:A,"-",0)</f>
        <v>-</v>
      </c>
    </row>
    <row r="226" spans="1:18" ht="15" customHeight="1" x14ac:dyDescent="0.35">
      <c r="A226" s="38" t="s">
        <v>2619</v>
      </c>
      <c r="B226" s="38" t="s">
        <v>2774</v>
      </c>
      <c r="C226" s="38" t="s">
        <v>2775</v>
      </c>
      <c r="D226" s="38" t="s">
        <v>599</v>
      </c>
      <c r="E226" s="44" t="str">
        <f>IFERROR(VLOOKUP(D226,MATERIALES!A:B,2,FALSE()),"?")</f>
        <v>Cemento Portland x 50kg</v>
      </c>
      <c r="F226" s="44" t="str">
        <f>IFERROR(VLOOKUP(D226,MATERIALES!A:C,3,FALSE()),"?")</f>
        <v>Bol</v>
      </c>
      <c r="G226" s="45">
        <v>5.1999999999999998E-2</v>
      </c>
      <c r="H226" s="46">
        <v>0.1</v>
      </c>
      <c r="I226" s="47">
        <f>IFERROR(VLOOKUP(D226,MATERIALES!A:D,4,FALSE()),0)</f>
        <v>7809.48</v>
      </c>
      <c r="J226" s="42">
        <f t="shared" si="26"/>
        <v>446.70225599999998</v>
      </c>
      <c r="K226" s="15" t="str">
        <f t="shared" si="20"/>
        <v>ALB-118|MAT</v>
      </c>
      <c r="L226" s="15">
        <f>COUNTIFS($K$2:K226,K226)</f>
        <v>3</v>
      </c>
      <c r="M226" s="15" t="str">
        <f t="shared" si="21"/>
        <v>ALB-118|MAT|3</v>
      </c>
      <c r="N226" s="47">
        <f>IFERROR(VLOOKUP(A226,PARTIDAS!A:F,6,FALSE()),0)</f>
        <v>11.5</v>
      </c>
      <c r="O226" s="247">
        <f t="shared" si="22"/>
        <v>5.1999999999999998E-2</v>
      </c>
      <c r="P226" s="247" t="str">
        <f>+_xlfn.XLOOKUP(A226,PPTO_GENERADOR!Q:Q,PPTO_GENERADOR!E:E,"-",0)</f>
        <v>-</v>
      </c>
      <c r="Q226" s="247">
        <f t="shared" si="23"/>
        <v>0</v>
      </c>
      <c r="R226" s="259" t="str">
        <f>+_xlfn.XLOOKUP(A226,PPTO_GENERADOR!$Q:$Q,PPTO_GENERADOR!A:A,"-",0)</f>
        <v>-</v>
      </c>
    </row>
    <row r="227" spans="1:18" ht="15" customHeight="1" x14ac:dyDescent="0.35">
      <c r="A227" s="38" t="s">
        <v>2619</v>
      </c>
      <c r="B227" s="38" t="s">
        <v>2774</v>
      </c>
      <c r="C227" s="38" t="s">
        <v>2775</v>
      </c>
      <c r="D227" s="38" t="s">
        <v>604</v>
      </c>
      <c r="E227" s="44" t="str">
        <f>IFERROR(VLOOKUP(D227,MATERIALES!A:B,2,FALSE()),"?")</f>
        <v>Cal Comun x 25kg</v>
      </c>
      <c r="F227" s="44" t="str">
        <f>IFERROR(VLOOKUP(D227,MATERIALES!A:C,3,FALSE()),"?")</f>
        <v>bol</v>
      </c>
      <c r="G227" s="45">
        <v>0.1</v>
      </c>
      <c r="H227" s="46">
        <v>0.1</v>
      </c>
      <c r="I227" s="47">
        <f>IFERROR(VLOOKUP(D227,MATERIALES!A:D,4,FALSE()),0)</f>
        <v>3837.96</v>
      </c>
      <c r="J227" s="42">
        <f t="shared" si="26"/>
        <v>422.17560000000009</v>
      </c>
      <c r="K227" s="15" t="str">
        <f t="shared" si="20"/>
        <v>ALB-118|MAT</v>
      </c>
      <c r="L227" s="15">
        <f>COUNTIFS($K$2:K227,K227)</f>
        <v>4</v>
      </c>
      <c r="M227" s="15" t="str">
        <f t="shared" si="21"/>
        <v>ALB-118|MAT|4</v>
      </c>
      <c r="N227" s="47">
        <f>IFERROR(VLOOKUP(A227,PARTIDAS!A:F,6,FALSE()),0)</f>
        <v>11.5</v>
      </c>
      <c r="O227" s="247">
        <f t="shared" si="22"/>
        <v>0.1</v>
      </c>
      <c r="P227" s="247" t="str">
        <f>+_xlfn.XLOOKUP(A227,PPTO_GENERADOR!Q:Q,PPTO_GENERADOR!E:E,"-",0)</f>
        <v>-</v>
      </c>
      <c r="Q227" s="247">
        <f t="shared" si="23"/>
        <v>0</v>
      </c>
      <c r="R227" s="259" t="str">
        <f>+_xlfn.XLOOKUP(A227,PPTO_GENERADOR!$Q:$Q,PPTO_GENERADOR!A:A,"-",0)</f>
        <v>-</v>
      </c>
    </row>
    <row r="228" spans="1:18" ht="15" customHeight="1" x14ac:dyDescent="0.35">
      <c r="A228" s="38" t="s">
        <v>2619</v>
      </c>
      <c r="B228" s="38" t="s">
        <v>2774</v>
      </c>
      <c r="C228" s="38" t="s">
        <v>2775</v>
      </c>
      <c r="D228" s="38" t="s">
        <v>650</v>
      </c>
      <c r="E228" s="44" t="str">
        <f>IFERROR(VLOOKUP(D228,MATERIALES!A:B,2,FALSE()),"?")</f>
        <v>Bloque de Hormigon 10 x 19 x 39</v>
      </c>
      <c r="F228" s="44" t="str">
        <f>IFERROR(VLOOKUP(D228,MATERIALES!A:C,3,FALSE()),"?")</f>
        <v>u</v>
      </c>
      <c r="G228" s="45">
        <v>12.5</v>
      </c>
      <c r="H228" s="46">
        <v>0.05</v>
      </c>
      <c r="I228" s="47">
        <f>IFERROR(VLOOKUP(D228,MATERIALES!A:D,4,FALSE()),0)</f>
        <v>682.52</v>
      </c>
      <c r="J228" s="42">
        <f t="shared" si="26"/>
        <v>8958.0750000000007</v>
      </c>
      <c r="K228" s="15" t="str">
        <f t="shared" si="20"/>
        <v>ALB-118|MAT</v>
      </c>
      <c r="L228" s="15">
        <f>COUNTIFS($K$2:K228,K228)</f>
        <v>5</v>
      </c>
      <c r="M228" s="15" t="str">
        <f t="shared" si="21"/>
        <v>ALB-118|MAT|5</v>
      </c>
      <c r="N228" s="47">
        <f>IFERROR(VLOOKUP(A228,PARTIDAS!A:F,6,FALSE()),0)</f>
        <v>11.5</v>
      </c>
      <c r="O228" s="247">
        <f t="shared" si="22"/>
        <v>12.5</v>
      </c>
      <c r="P228" s="247" t="str">
        <f>+_xlfn.XLOOKUP(A228,PPTO_GENERADOR!Q:Q,PPTO_GENERADOR!E:E,"-",0)</f>
        <v>-</v>
      </c>
      <c r="Q228" s="247">
        <f t="shared" si="23"/>
        <v>0</v>
      </c>
      <c r="R228" s="259" t="str">
        <f>+_xlfn.XLOOKUP(A228,PPTO_GENERADOR!$Q:$Q,PPTO_GENERADOR!A:A,"-",0)</f>
        <v>-</v>
      </c>
    </row>
    <row r="229" spans="1:18" ht="15" customHeight="1" x14ac:dyDescent="0.35">
      <c r="A229" s="38" t="s">
        <v>2619</v>
      </c>
      <c r="B229" s="38" t="s">
        <v>2774</v>
      </c>
      <c r="C229" s="38" t="s">
        <v>2775</v>
      </c>
      <c r="D229" s="38" t="s">
        <v>1361</v>
      </c>
      <c r="E229" s="44" t="str">
        <f>IFERROR(VLOOKUP(D229,MATERIALES!A:B,2,FALSE()),"?")</f>
        <v>Consumibles</v>
      </c>
      <c r="F229" s="44" t="str">
        <f>IFERROR(VLOOKUP(D229,MATERIALES!A:C,3,FALSE()),"?")</f>
        <v>gl</v>
      </c>
      <c r="G229" s="45">
        <v>1.1221867400000001</v>
      </c>
      <c r="H229" s="46">
        <v>0</v>
      </c>
      <c r="I229" s="47">
        <f>IFERROR(VLOOKUP(D229,MATERIALES!A:D,4,FALSE()),0)</f>
        <v>1</v>
      </c>
      <c r="J229" s="42">
        <f t="shared" si="26"/>
        <v>1.1221867400000001</v>
      </c>
      <c r="K229" s="15" t="str">
        <f t="shared" si="20"/>
        <v>ALB-118|MAT</v>
      </c>
      <c r="L229" s="15">
        <f>COUNTIFS($K$2:K229,K229)</f>
        <v>6</v>
      </c>
      <c r="M229" s="15" t="str">
        <f t="shared" si="21"/>
        <v>ALB-118|MAT|6</v>
      </c>
      <c r="N229" s="47">
        <f>IFERROR(VLOOKUP(A229,PARTIDAS!A:F,6,FALSE()),0)</f>
        <v>11.5</v>
      </c>
      <c r="O229" s="247">
        <f t="shared" si="22"/>
        <v>1.1221867400000001</v>
      </c>
      <c r="P229" s="247" t="str">
        <f>+_xlfn.XLOOKUP(A229,PPTO_GENERADOR!Q:Q,PPTO_GENERADOR!E:E,"-",0)</f>
        <v>-</v>
      </c>
      <c r="Q229" s="247">
        <f t="shared" si="23"/>
        <v>0</v>
      </c>
      <c r="R229" s="259" t="str">
        <f>+_xlfn.XLOOKUP(A229,PPTO_GENERADOR!$Q:$Q,PPTO_GENERADOR!A:A,"-",0)</f>
        <v>-</v>
      </c>
    </row>
    <row r="230" spans="1:18" ht="15" customHeight="1" x14ac:dyDescent="0.35">
      <c r="A230" s="38" t="s">
        <v>2619</v>
      </c>
      <c r="B230" s="38" t="s">
        <v>2776</v>
      </c>
      <c r="C230" s="38" t="s">
        <v>2777</v>
      </c>
      <c r="D230" s="237" t="s">
        <v>1577</v>
      </c>
      <c r="E230" s="44" t="str">
        <f>IFERROR(VLOOKUP(D230,MANO_DE_OBRA!A:B,2,FALSE()),"?")</f>
        <v>AYUDANTE</v>
      </c>
      <c r="F230" s="44" t="s">
        <v>2778</v>
      </c>
      <c r="G230" s="45">
        <v>0.75</v>
      </c>
      <c r="H230" s="46">
        <v>0</v>
      </c>
      <c r="I230" s="47">
        <f>IFERROR(VLOOKUP(D230,MANO_DE_OBRA!A:C,3,FALSE()),0)</f>
        <v>60860.580776572002</v>
      </c>
      <c r="J230" s="42">
        <f>G230*I230</f>
        <v>45645.435582429003</v>
      </c>
      <c r="K230" s="15" t="str">
        <f t="shared" si="20"/>
        <v>ALB-118|MO</v>
      </c>
      <c r="L230" s="15">
        <f>COUNTIFS($K$2:K230,K230)</f>
        <v>1</v>
      </c>
      <c r="M230" s="15" t="str">
        <f t="shared" si="21"/>
        <v>ALB-118|MO|1</v>
      </c>
      <c r="N230" s="47">
        <f>IFERROR(VLOOKUP(A230,PARTIDAS!A:F,6,FALSE()),0)</f>
        <v>11.5</v>
      </c>
      <c r="O230" s="247">
        <f t="shared" si="22"/>
        <v>6.5217391304347824E-2</v>
      </c>
      <c r="P230" s="247" t="str">
        <f>+_xlfn.XLOOKUP(A230,PPTO_GENERADOR!Q:Q,PPTO_GENERADOR!E:E,"-",0)</f>
        <v>-</v>
      </c>
      <c r="Q230" s="247">
        <f t="shared" si="23"/>
        <v>0</v>
      </c>
      <c r="R230" s="259" t="str">
        <f>+_xlfn.XLOOKUP(A230,PPTO_GENERADOR!$Q:$Q,PPTO_GENERADOR!A:A,"-",0)</f>
        <v>-</v>
      </c>
    </row>
    <row r="231" spans="1:18" ht="15" customHeight="1" x14ac:dyDescent="0.35">
      <c r="A231" s="38" t="s">
        <v>2619</v>
      </c>
      <c r="B231" s="38" t="s">
        <v>2776</v>
      </c>
      <c r="C231" s="38" t="s">
        <v>2777</v>
      </c>
      <c r="D231" s="237" t="s">
        <v>1568</v>
      </c>
      <c r="E231" s="44" t="str">
        <f>IFERROR(VLOOKUP(D231,MANO_DE_OBRA!A:B,2,FALSE()),"?")</f>
        <v>ESPECIALIZADO</v>
      </c>
      <c r="F231" s="44" t="s">
        <v>2778</v>
      </c>
      <c r="G231" s="45">
        <v>1</v>
      </c>
      <c r="H231" s="46">
        <v>0</v>
      </c>
      <c r="I231" s="47">
        <f>IFERROR(VLOOKUP(D231,MANO_DE_OBRA!A:C,3,FALSE()),0)</f>
        <v>85927.097156571996</v>
      </c>
      <c r="J231" s="42">
        <f>G231*I231</f>
        <v>85927.097156571996</v>
      </c>
      <c r="K231" s="15" t="str">
        <f t="shared" si="20"/>
        <v>ALB-118|MO</v>
      </c>
      <c r="L231" s="15">
        <f>COUNTIFS($K$2:K231,K231)</f>
        <v>2</v>
      </c>
      <c r="M231" s="15" t="str">
        <f t="shared" si="21"/>
        <v>ALB-118|MO|2</v>
      </c>
      <c r="N231" s="47">
        <f>IFERROR(VLOOKUP(A231,PARTIDAS!A:F,6,FALSE()),0)</f>
        <v>11.5</v>
      </c>
      <c r="O231" s="247">
        <f t="shared" si="22"/>
        <v>8.6956521739130432E-2</v>
      </c>
      <c r="P231" s="247" t="str">
        <f>+_xlfn.XLOOKUP(A231,PPTO_GENERADOR!Q:Q,PPTO_GENERADOR!E:E,"-",0)</f>
        <v>-</v>
      </c>
      <c r="Q231" s="247">
        <f t="shared" si="23"/>
        <v>0</v>
      </c>
      <c r="R231" s="259" t="str">
        <f>+_xlfn.XLOOKUP(A231,PPTO_GENERADOR!$Q:$Q,PPTO_GENERADOR!A:A,"-",0)</f>
        <v>-</v>
      </c>
    </row>
    <row r="232" spans="1:18" ht="15" customHeight="1" x14ac:dyDescent="0.35">
      <c r="A232" s="38" t="s">
        <v>2621</v>
      </c>
      <c r="B232" s="38" t="s">
        <v>2773</v>
      </c>
      <c r="C232" s="38"/>
      <c r="D232" s="38" t="s">
        <v>1592</v>
      </c>
      <c r="E232" s="44" t="str">
        <f>IFERROR(VLOOKUP(D232,EQUIPOS!A:B,2,FALSE()),"?")</f>
        <v>ANDAMIO TUBULAR DE UNO A TRES CUERPOS</v>
      </c>
      <c r="F232" s="44"/>
      <c r="G232" s="45">
        <v>0.5</v>
      </c>
      <c r="H232" s="46">
        <v>0</v>
      </c>
      <c r="I232" s="47">
        <f>IFERROR(VLOOKUP(D232,EQUIPOS!A:F,6,FALSE()),0)</f>
        <v>571.1794909807611</v>
      </c>
      <c r="J232" s="42">
        <f>G232*I232</f>
        <v>285.58974549038055</v>
      </c>
      <c r="K232" s="15" t="str">
        <f t="shared" si="20"/>
        <v>ALB-119|EQ</v>
      </c>
      <c r="L232" s="15">
        <f>COUNTIFS($K$2:K232,K232)</f>
        <v>1</v>
      </c>
      <c r="M232" s="15" t="str">
        <f t="shared" si="21"/>
        <v>ALB-119|EQ|1</v>
      </c>
      <c r="N232" s="47">
        <f>IFERROR(VLOOKUP(A232,PARTIDAS!A:F,6,FALSE()),0)</f>
        <v>11.5</v>
      </c>
      <c r="O232" s="247">
        <f t="shared" si="22"/>
        <v>0.5</v>
      </c>
      <c r="P232" s="247" t="str">
        <f>+_xlfn.XLOOKUP(A232,PPTO_GENERADOR!Q:Q,PPTO_GENERADOR!E:E,"-",0)</f>
        <v>-</v>
      </c>
      <c r="Q232" s="247">
        <f t="shared" si="23"/>
        <v>0</v>
      </c>
      <c r="R232" s="259" t="str">
        <f>+_xlfn.XLOOKUP(A232,PPTO_GENERADOR!$Q:$Q,PPTO_GENERADOR!A:A,"-",0)</f>
        <v>-</v>
      </c>
    </row>
    <row r="233" spans="1:18" ht="15" customHeight="1" x14ac:dyDescent="0.35">
      <c r="A233" s="38" t="s">
        <v>2621</v>
      </c>
      <c r="B233" s="38" t="s">
        <v>2773</v>
      </c>
      <c r="C233" s="38"/>
      <c r="D233" s="38" t="s">
        <v>1595</v>
      </c>
      <c r="E233" s="44" t="str">
        <f>IFERROR(VLOOKUP(D233,EQUIPOS!A:B,2,FALSE()),"?")</f>
        <v>EQUIPO DE ALBAÑILERIA, carpetas, ladrillo</v>
      </c>
      <c r="F233" s="44"/>
      <c r="G233" s="45">
        <v>1</v>
      </c>
      <c r="H233" s="46">
        <v>0</v>
      </c>
      <c r="I233" s="47">
        <f>IFERROR(VLOOKUP(D233,EQUIPOS!A:F,6,FALSE()),0)</f>
        <v>2287.1357450968057</v>
      </c>
      <c r="J233" s="42">
        <f>G233*I233</f>
        <v>2287.1357450968057</v>
      </c>
      <c r="K233" s="15" t="str">
        <f t="shared" si="20"/>
        <v>ALB-119|EQ</v>
      </c>
      <c r="L233" s="15">
        <f>COUNTIFS($K$2:K233,K233)</f>
        <v>2</v>
      </c>
      <c r="M233" s="15" t="str">
        <f t="shared" si="21"/>
        <v>ALB-119|EQ|2</v>
      </c>
      <c r="N233" s="47">
        <f>IFERROR(VLOOKUP(A233,PARTIDAS!A:F,6,FALSE()),0)</f>
        <v>11.5</v>
      </c>
      <c r="O233" s="247">
        <f t="shared" si="22"/>
        <v>1</v>
      </c>
      <c r="P233" s="247" t="str">
        <f>+_xlfn.XLOOKUP(A233,PPTO_GENERADOR!Q:Q,PPTO_GENERADOR!E:E,"-",0)</f>
        <v>-</v>
      </c>
      <c r="Q233" s="247">
        <f t="shared" si="23"/>
        <v>0</v>
      </c>
      <c r="R233" s="259" t="str">
        <f>+_xlfn.XLOOKUP(A233,PPTO_GENERADOR!$Q:$Q,PPTO_GENERADOR!A:A,"-",0)</f>
        <v>-</v>
      </c>
    </row>
    <row r="234" spans="1:18" ht="15" customHeight="1" x14ac:dyDescent="0.35">
      <c r="A234" s="38" t="s">
        <v>2621</v>
      </c>
      <c r="B234" s="38" t="s">
        <v>2773</v>
      </c>
      <c r="C234" s="38"/>
      <c r="D234" s="38" t="s">
        <v>1613</v>
      </c>
      <c r="E234" s="44" t="str">
        <f>IFERROR(VLOOKUP(D234,EQUIPOS!A:B,2,FALSE()),"?")</f>
        <v>Hormigonera De 150 Litros 1hp Con Rueda Maciza</v>
      </c>
      <c r="F234" s="44"/>
      <c r="G234" s="45">
        <v>1</v>
      </c>
      <c r="H234" s="46">
        <v>0</v>
      </c>
      <c r="I234" s="47">
        <f>IFERROR(VLOOKUP(D234,EQUIPOS!A:F,6,FALSE()),0)</f>
        <v>957.25319614994726</v>
      </c>
      <c r="J234" s="42">
        <f>G234*I234</f>
        <v>957.25319614994726</v>
      </c>
      <c r="K234" s="15" t="str">
        <f t="shared" si="20"/>
        <v>ALB-119|EQ</v>
      </c>
      <c r="L234" s="15">
        <f>COUNTIFS($K$2:K234,K234)</f>
        <v>3</v>
      </c>
      <c r="M234" s="15" t="str">
        <f t="shared" si="21"/>
        <v>ALB-119|EQ|3</v>
      </c>
      <c r="N234" s="47">
        <f>IFERROR(VLOOKUP(A234,PARTIDAS!A:F,6,FALSE()),0)</f>
        <v>11.5</v>
      </c>
      <c r="O234" s="247">
        <f t="shared" si="22"/>
        <v>1</v>
      </c>
      <c r="P234" s="247" t="str">
        <f>+_xlfn.XLOOKUP(A234,PPTO_GENERADOR!Q:Q,PPTO_GENERADOR!E:E,"-",0)</f>
        <v>-</v>
      </c>
      <c r="Q234" s="247">
        <f t="shared" si="23"/>
        <v>0</v>
      </c>
      <c r="R234" s="259" t="str">
        <f>+_xlfn.XLOOKUP(A234,PPTO_GENERADOR!$Q:$Q,PPTO_GENERADOR!A:A,"-",0)</f>
        <v>-</v>
      </c>
    </row>
    <row r="235" spans="1:18" ht="15" customHeight="1" x14ac:dyDescent="0.35">
      <c r="A235" s="38" t="s">
        <v>2621</v>
      </c>
      <c r="B235" s="38" t="s">
        <v>2774</v>
      </c>
      <c r="C235" s="38" t="s">
        <v>2775</v>
      </c>
      <c r="D235" s="38" t="s">
        <v>611</v>
      </c>
      <c r="E235" s="44" t="str">
        <f>IFERROR(VLOOKUP(D235,MATERIALES!A:B,2,FALSE()),"?")</f>
        <v>Barra de Acero Aleteado - 6mm x 12m</v>
      </c>
      <c r="F235" s="44" t="str">
        <f>IFERROR(VLOOKUP(D235,MATERIALES!A:C,3,FALSE()),"?")</f>
        <v>u</v>
      </c>
      <c r="G235" s="45">
        <v>0.17</v>
      </c>
      <c r="H235" s="46">
        <v>0.1</v>
      </c>
      <c r="I235" s="47">
        <f>IFERROR(VLOOKUP(D235,MATERIALES!A:D,4,FALSE()),0)</f>
        <v>3424.53</v>
      </c>
      <c r="J235" s="42">
        <f t="shared" ref="J235:J240" si="27">G235*I235*(1+H235)</f>
        <v>640.38711000000012</v>
      </c>
      <c r="K235" s="15" t="str">
        <f t="shared" si="20"/>
        <v>ALB-119|MAT</v>
      </c>
      <c r="L235" s="15">
        <f>COUNTIFS($K$2:K235,K235)</f>
        <v>1</v>
      </c>
      <c r="M235" s="15" t="str">
        <f t="shared" si="21"/>
        <v>ALB-119|MAT|1</v>
      </c>
      <c r="N235" s="47">
        <f>IFERROR(VLOOKUP(A235,PARTIDAS!A:F,6,FALSE()),0)</f>
        <v>11.5</v>
      </c>
      <c r="O235" s="247">
        <f t="shared" si="22"/>
        <v>0.17</v>
      </c>
      <c r="P235" s="247" t="str">
        <f>+_xlfn.XLOOKUP(A235,PPTO_GENERADOR!Q:Q,PPTO_GENERADOR!E:E,"-",0)</f>
        <v>-</v>
      </c>
      <c r="Q235" s="247">
        <f t="shared" si="23"/>
        <v>0</v>
      </c>
      <c r="R235" s="259" t="str">
        <f>+_xlfn.XLOOKUP(A235,PPTO_GENERADOR!$Q:$Q,PPTO_GENERADOR!A:A,"-",0)</f>
        <v>-</v>
      </c>
    </row>
    <row r="236" spans="1:18" ht="15" customHeight="1" x14ac:dyDescent="0.35">
      <c r="A236" s="38" t="s">
        <v>2621</v>
      </c>
      <c r="B236" s="38" t="s">
        <v>2774</v>
      </c>
      <c r="C236" s="38" t="s">
        <v>2775</v>
      </c>
      <c r="D236" s="38" t="s">
        <v>588</v>
      </c>
      <c r="E236" s="44" t="str">
        <f>IFERROR(VLOOKUP(D236,MATERIALES!A:B,2,FALSE()),"?")</f>
        <v>ARENA LAVADA</v>
      </c>
      <c r="F236" s="44" t="str">
        <f>IFERROR(VLOOKUP(D236,MATERIALES!A:C,3,FALSE()),"?")</f>
        <v>m3</v>
      </c>
      <c r="G236" s="45">
        <v>1.44E-2</v>
      </c>
      <c r="H236" s="46">
        <v>0.1</v>
      </c>
      <c r="I236" s="47">
        <f>IFERROR(VLOOKUP(D236,MATERIALES!A:D,4,FALSE()),0)</f>
        <v>32399.77</v>
      </c>
      <c r="J236" s="42">
        <f t="shared" si="27"/>
        <v>513.21235680000007</v>
      </c>
      <c r="K236" s="15" t="str">
        <f t="shared" si="20"/>
        <v>ALB-119|MAT</v>
      </c>
      <c r="L236" s="15">
        <f>COUNTIFS($K$2:K236,K236)</f>
        <v>2</v>
      </c>
      <c r="M236" s="15" t="str">
        <f t="shared" si="21"/>
        <v>ALB-119|MAT|2</v>
      </c>
      <c r="N236" s="47">
        <f>IFERROR(VLOOKUP(A236,PARTIDAS!A:F,6,FALSE()),0)</f>
        <v>11.5</v>
      </c>
      <c r="O236" s="247">
        <f t="shared" si="22"/>
        <v>1.44E-2</v>
      </c>
      <c r="P236" s="247" t="str">
        <f>+_xlfn.XLOOKUP(A236,PPTO_GENERADOR!Q:Q,PPTO_GENERADOR!E:E,"-",0)</f>
        <v>-</v>
      </c>
      <c r="Q236" s="247">
        <f t="shared" si="23"/>
        <v>0</v>
      </c>
      <c r="R236" s="259" t="str">
        <f>+_xlfn.XLOOKUP(A236,PPTO_GENERADOR!$Q:$Q,PPTO_GENERADOR!A:A,"-",0)</f>
        <v>-</v>
      </c>
    </row>
    <row r="237" spans="1:18" ht="15" customHeight="1" x14ac:dyDescent="0.35">
      <c r="A237" s="38" t="s">
        <v>2621</v>
      </c>
      <c r="B237" s="38" t="s">
        <v>2774</v>
      </c>
      <c r="C237" s="38" t="s">
        <v>2775</v>
      </c>
      <c r="D237" s="38" t="s">
        <v>599</v>
      </c>
      <c r="E237" s="44" t="str">
        <f>IFERROR(VLOOKUP(D237,MATERIALES!A:B,2,FALSE()),"?")</f>
        <v>Cemento Portland x 50kg</v>
      </c>
      <c r="F237" s="44" t="str">
        <f>IFERROR(VLOOKUP(D237,MATERIALES!A:C,3,FALSE()),"?")</f>
        <v>Bol</v>
      </c>
      <c r="G237" s="45">
        <v>6.2399999999999997E-2</v>
      </c>
      <c r="H237" s="46">
        <v>0.1</v>
      </c>
      <c r="I237" s="47">
        <f>IFERROR(VLOOKUP(D237,MATERIALES!A:D,4,FALSE()),0)</f>
        <v>7809.48</v>
      </c>
      <c r="J237" s="42">
        <f t="shared" si="27"/>
        <v>536.0427072</v>
      </c>
      <c r="K237" s="15" t="str">
        <f t="shared" si="20"/>
        <v>ALB-119|MAT</v>
      </c>
      <c r="L237" s="15">
        <f>COUNTIFS($K$2:K237,K237)</f>
        <v>3</v>
      </c>
      <c r="M237" s="15" t="str">
        <f t="shared" si="21"/>
        <v>ALB-119|MAT|3</v>
      </c>
      <c r="N237" s="47">
        <f>IFERROR(VLOOKUP(A237,PARTIDAS!A:F,6,FALSE()),0)</f>
        <v>11.5</v>
      </c>
      <c r="O237" s="247">
        <f t="shared" si="22"/>
        <v>6.2399999999999997E-2</v>
      </c>
      <c r="P237" s="247" t="str">
        <f>+_xlfn.XLOOKUP(A237,PPTO_GENERADOR!Q:Q,PPTO_GENERADOR!E:E,"-",0)</f>
        <v>-</v>
      </c>
      <c r="Q237" s="247">
        <f t="shared" si="23"/>
        <v>0</v>
      </c>
      <c r="R237" s="259" t="str">
        <f>+_xlfn.XLOOKUP(A237,PPTO_GENERADOR!$Q:$Q,PPTO_GENERADOR!A:A,"-",0)</f>
        <v>-</v>
      </c>
    </row>
    <row r="238" spans="1:18" ht="15" customHeight="1" x14ac:dyDescent="0.35">
      <c r="A238" s="38" t="s">
        <v>2621</v>
      </c>
      <c r="B238" s="38" t="s">
        <v>2774</v>
      </c>
      <c r="C238" s="38" t="s">
        <v>2775</v>
      </c>
      <c r="D238" s="38" t="s">
        <v>604</v>
      </c>
      <c r="E238" s="44" t="str">
        <f>IFERROR(VLOOKUP(D238,MATERIALES!A:B,2,FALSE()),"?")</f>
        <v>Cal Comun x 25kg</v>
      </c>
      <c r="F238" s="44" t="str">
        <f>IFERROR(VLOOKUP(D238,MATERIALES!A:C,3,FALSE()),"?")</f>
        <v>bol</v>
      </c>
      <c r="G238" s="45">
        <v>0.12</v>
      </c>
      <c r="H238" s="46">
        <v>0.1</v>
      </c>
      <c r="I238" s="47">
        <f>IFERROR(VLOOKUP(D238,MATERIALES!A:D,4,FALSE()),0)</f>
        <v>3837.96</v>
      </c>
      <c r="J238" s="42">
        <f t="shared" si="27"/>
        <v>506.61072000000007</v>
      </c>
      <c r="K238" s="15" t="str">
        <f t="shared" si="20"/>
        <v>ALB-119|MAT</v>
      </c>
      <c r="L238" s="15">
        <f>COUNTIFS($K$2:K238,K238)</f>
        <v>4</v>
      </c>
      <c r="M238" s="15" t="str">
        <f t="shared" si="21"/>
        <v>ALB-119|MAT|4</v>
      </c>
      <c r="N238" s="47">
        <f>IFERROR(VLOOKUP(A238,PARTIDAS!A:F,6,FALSE()),0)</f>
        <v>11.5</v>
      </c>
      <c r="O238" s="247">
        <f t="shared" si="22"/>
        <v>0.12</v>
      </c>
      <c r="P238" s="247" t="str">
        <f>+_xlfn.XLOOKUP(A238,PPTO_GENERADOR!Q:Q,PPTO_GENERADOR!E:E,"-",0)</f>
        <v>-</v>
      </c>
      <c r="Q238" s="247">
        <f t="shared" si="23"/>
        <v>0</v>
      </c>
      <c r="R238" s="259" t="str">
        <f>+_xlfn.XLOOKUP(A238,PPTO_GENERADOR!$Q:$Q,PPTO_GENERADOR!A:A,"-",0)</f>
        <v>-</v>
      </c>
    </row>
    <row r="239" spans="1:18" ht="15" customHeight="1" x14ac:dyDescent="0.35">
      <c r="A239" s="38" t="s">
        <v>2621</v>
      </c>
      <c r="B239" s="38" t="s">
        <v>2774</v>
      </c>
      <c r="C239" s="38" t="s">
        <v>2775</v>
      </c>
      <c r="D239" s="38" t="s">
        <v>648</v>
      </c>
      <c r="E239" s="44" t="str">
        <f>IFERROR(VLOOKUP(D239,MATERIALES!A:B,2,FALSE()),"?")</f>
        <v>Bloque de Hormigon 19 x 19 x 39</v>
      </c>
      <c r="F239" s="44" t="str">
        <f>IFERROR(VLOOKUP(D239,MATERIALES!A:C,3,FALSE()),"?")</f>
        <v>u</v>
      </c>
      <c r="G239" s="45">
        <v>12.5</v>
      </c>
      <c r="H239" s="46">
        <v>0.05</v>
      </c>
      <c r="I239" s="47">
        <f>IFERROR(VLOOKUP(D239,MATERIALES!A:D,4,FALSE()),0)</f>
        <v>1016.6</v>
      </c>
      <c r="J239" s="42">
        <f t="shared" si="27"/>
        <v>13342.875</v>
      </c>
      <c r="K239" s="15" t="str">
        <f t="shared" si="20"/>
        <v>ALB-119|MAT</v>
      </c>
      <c r="L239" s="15">
        <f>COUNTIFS($K$2:K239,K239)</f>
        <v>5</v>
      </c>
      <c r="M239" s="15" t="str">
        <f t="shared" si="21"/>
        <v>ALB-119|MAT|5</v>
      </c>
      <c r="N239" s="47">
        <f>IFERROR(VLOOKUP(A239,PARTIDAS!A:F,6,FALSE()),0)</f>
        <v>11.5</v>
      </c>
      <c r="O239" s="247">
        <f t="shared" si="22"/>
        <v>12.5</v>
      </c>
      <c r="P239" s="247" t="str">
        <f>+_xlfn.XLOOKUP(A239,PPTO_GENERADOR!Q:Q,PPTO_GENERADOR!E:E,"-",0)</f>
        <v>-</v>
      </c>
      <c r="Q239" s="247">
        <f t="shared" si="23"/>
        <v>0</v>
      </c>
      <c r="R239" s="259" t="str">
        <f>+_xlfn.XLOOKUP(A239,PPTO_GENERADOR!$Q:$Q,PPTO_GENERADOR!A:A,"-",0)</f>
        <v>-</v>
      </c>
    </row>
    <row r="240" spans="1:18" ht="15" customHeight="1" x14ac:dyDescent="0.35">
      <c r="A240" s="38" t="s">
        <v>2621</v>
      </c>
      <c r="B240" s="38" t="s">
        <v>2774</v>
      </c>
      <c r="C240" s="38" t="s">
        <v>2775</v>
      </c>
      <c r="D240" s="38" t="s">
        <v>1361</v>
      </c>
      <c r="E240" s="44" t="str">
        <f>IFERROR(VLOOKUP(D240,MATERIALES!A:B,2,FALSE()),"?")</f>
        <v>Consumibles</v>
      </c>
      <c r="F240" s="44" t="str">
        <f>IFERROR(VLOOKUP(D240,MATERIALES!A:C,3,FALSE()),"?")</f>
        <v>gl</v>
      </c>
      <c r="G240" s="45">
        <v>1.6005301700000001</v>
      </c>
      <c r="H240" s="46">
        <v>0</v>
      </c>
      <c r="I240" s="47">
        <f>IFERROR(VLOOKUP(D240,MATERIALES!A:D,4,FALSE()),0)</f>
        <v>1</v>
      </c>
      <c r="J240" s="42">
        <f t="shared" si="27"/>
        <v>1.6005301700000001</v>
      </c>
      <c r="K240" s="15" t="str">
        <f t="shared" si="20"/>
        <v>ALB-119|MAT</v>
      </c>
      <c r="L240" s="15">
        <f>COUNTIFS($K$2:K240,K240)</f>
        <v>6</v>
      </c>
      <c r="M240" s="15" t="str">
        <f t="shared" si="21"/>
        <v>ALB-119|MAT|6</v>
      </c>
      <c r="N240" s="47">
        <f>IFERROR(VLOOKUP(A240,PARTIDAS!A:F,6,FALSE()),0)</f>
        <v>11.5</v>
      </c>
      <c r="O240" s="247">
        <f t="shared" si="22"/>
        <v>1.6005301700000001</v>
      </c>
      <c r="P240" s="247" t="str">
        <f>+_xlfn.XLOOKUP(A240,PPTO_GENERADOR!Q:Q,PPTO_GENERADOR!E:E,"-",0)</f>
        <v>-</v>
      </c>
      <c r="Q240" s="247">
        <f t="shared" si="23"/>
        <v>0</v>
      </c>
      <c r="R240" s="259" t="str">
        <f>+_xlfn.XLOOKUP(A240,PPTO_GENERADOR!$Q:$Q,PPTO_GENERADOR!A:A,"-",0)</f>
        <v>-</v>
      </c>
    </row>
    <row r="241" spans="1:18" ht="15" customHeight="1" x14ac:dyDescent="0.35">
      <c r="A241" s="38" t="s">
        <v>2621</v>
      </c>
      <c r="B241" s="38" t="s">
        <v>2776</v>
      </c>
      <c r="C241" s="38" t="s">
        <v>2777</v>
      </c>
      <c r="D241" s="237" t="s">
        <v>1577</v>
      </c>
      <c r="E241" s="44" t="str">
        <f>IFERROR(VLOOKUP(D241,MANO_DE_OBRA!A:B,2,FALSE()),"?")</f>
        <v>AYUDANTE</v>
      </c>
      <c r="F241" s="44" t="s">
        <v>2778</v>
      </c>
      <c r="G241" s="45">
        <v>0.75</v>
      </c>
      <c r="H241" s="46">
        <v>0</v>
      </c>
      <c r="I241" s="47">
        <f>IFERROR(VLOOKUP(D241,MANO_DE_OBRA!A:C,3,FALSE()),0)</f>
        <v>60860.580776572002</v>
      </c>
      <c r="J241" s="42">
        <f>G241*I241</f>
        <v>45645.435582429003</v>
      </c>
      <c r="K241" s="15" t="str">
        <f t="shared" si="20"/>
        <v>ALB-119|MO</v>
      </c>
      <c r="L241" s="15">
        <f>COUNTIFS($K$2:K241,K241)</f>
        <v>1</v>
      </c>
      <c r="M241" s="15" t="str">
        <f t="shared" si="21"/>
        <v>ALB-119|MO|1</v>
      </c>
      <c r="N241" s="47">
        <f>IFERROR(VLOOKUP(A241,PARTIDAS!A:F,6,FALSE()),0)</f>
        <v>11.5</v>
      </c>
      <c r="O241" s="247">
        <f t="shared" si="22"/>
        <v>6.5217391304347824E-2</v>
      </c>
      <c r="P241" s="247" t="str">
        <f>+_xlfn.XLOOKUP(A241,PPTO_GENERADOR!Q:Q,PPTO_GENERADOR!E:E,"-",0)</f>
        <v>-</v>
      </c>
      <c r="Q241" s="247">
        <f t="shared" si="23"/>
        <v>0</v>
      </c>
      <c r="R241" s="259" t="str">
        <f>+_xlfn.XLOOKUP(A241,PPTO_GENERADOR!$Q:$Q,PPTO_GENERADOR!A:A,"-",0)</f>
        <v>-</v>
      </c>
    </row>
    <row r="242" spans="1:18" ht="15" customHeight="1" x14ac:dyDescent="0.35">
      <c r="A242" s="38" t="s">
        <v>2621</v>
      </c>
      <c r="B242" s="38" t="s">
        <v>2776</v>
      </c>
      <c r="C242" s="38" t="s">
        <v>2777</v>
      </c>
      <c r="D242" s="237" t="s">
        <v>1568</v>
      </c>
      <c r="E242" s="44" t="str">
        <f>IFERROR(VLOOKUP(D242,MANO_DE_OBRA!A:B,2,FALSE()),"?")</f>
        <v>ESPECIALIZADO</v>
      </c>
      <c r="F242" s="44" t="s">
        <v>2778</v>
      </c>
      <c r="G242" s="45">
        <v>1</v>
      </c>
      <c r="H242" s="46">
        <v>0</v>
      </c>
      <c r="I242" s="47">
        <f>IFERROR(VLOOKUP(D242,MANO_DE_OBRA!A:C,3,FALSE()),0)</f>
        <v>85927.097156571996</v>
      </c>
      <c r="J242" s="42">
        <f>G242*I242</f>
        <v>85927.097156571996</v>
      </c>
      <c r="K242" s="15" t="str">
        <f t="shared" si="20"/>
        <v>ALB-119|MO</v>
      </c>
      <c r="L242" s="15">
        <f>COUNTIFS($K$2:K242,K242)</f>
        <v>2</v>
      </c>
      <c r="M242" s="15" t="str">
        <f t="shared" si="21"/>
        <v>ALB-119|MO|2</v>
      </c>
      <c r="N242" s="47">
        <f>IFERROR(VLOOKUP(A242,PARTIDAS!A:F,6,FALSE()),0)</f>
        <v>11.5</v>
      </c>
      <c r="O242" s="247">
        <f t="shared" si="22"/>
        <v>8.6956521739130432E-2</v>
      </c>
      <c r="P242" s="247" t="str">
        <f>+_xlfn.XLOOKUP(A242,PPTO_GENERADOR!Q:Q,PPTO_GENERADOR!E:E,"-",0)</f>
        <v>-</v>
      </c>
      <c r="Q242" s="247">
        <f t="shared" si="23"/>
        <v>0</v>
      </c>
      <c r="R242" s="259" t="str">
        <f>+_xlfn.XLOOKUP(A242,PPTO_GENERADOR!$Q:$Q,PPTO_GENERADOR!A:A,"-",0)</f>
        <v>-</v>
      </c>
    </row>
    <row r="243" spans="1:18" ht="15" customHeight="1" x14ac:dyDescent="0.35">
      <c r="A243" s="38" t="s">
        <v>168</v>
      </c>
      <c r="B243" s="38" t="s">
        <v>2773</v>
      </c>
      <c r="C243" s="38"/>
      <c r="D243" s="38" t="s">
        <v>1595</v>
      </c>
      <c r="E243" s="44" t="str">
        <f>IFERROR(VLOOKUP(D243,EQUIPOS!A:B,2,FALSE()),"?")</f>
        <v>EQUIPO DE ALBAÑILERIA, carpetas, ladrillo</v>
      </c>
      <c r="F243" s="44"/>
      <c r="G243" s="45">
        <v>1</v>
      </c>
      <c r="H243" s="46">
        <v>0</v>
      </c>
      <c r="I243" s="47">
        <f>IFERROR(VLOOKUP(D243,EQUIPOS!A:F,6,FALSE()),0)</f>
        <v>2287.1357450968057</v>
      </c>
      <c r="J243" s="42">
        <f>G243*I243</f>
        <v>2287.1357450968057</v>
      </c>
      <c r="K243" s="15" t="str">
        <f t="shared" si="20"/>
        <v>ALB-136|EQ</v>
      </c>
      <c r="L243" s="15">
        <f>COUNTIFS($K$2:K243,K243)</f>
        <v>1</v>
      </c>
      <c r="M243" s="15" t="str">
        <f t="shared" si="21"/>
        <v>ALB-136|EQ|1</v>
      </c>
      <c r="N243" s="47">
        <f>IFERROR(VLOOKUP(A243,PARTIDAS!A:F,6,FALSE()),0)</f>
        <v>14.5</v>
      </c>
      <c r="O243" s="247">
        <f t="shared" si="22"/>
        <v>1</v>
      </c>
      <c r="P243" s="247">
        <f>+_xlfn.XLOOKUP(A243,PPTO_GENERADOR!Q:Q,PPTO_GENERADOR!E:E,"-",0)</f>
        <v>442</v>
      </c>
      <c r="Q243" s="247">
        <f t="shared" si="23"/>
        <v>442</v>
      </c>
      <c r="R243" s="259">
        <f>+_xlfn.XLOOKUP(A243,PPTO_GENERADOR!$Q:$Q,PPTO_GENERADOR!A:A,"-",0)</f>
        <v>8.07</v>
      </c>
    </row>
    <row r="244" spans="1:18" ht="15" customHeight="1" x14ac:dyDescent="0.35">
      <c r="A244" s="38" t="s">
        <v>168</v>
      </c>
      <c r="B244" s="38" t="s">
        <v>2773</v>
      </c>
      <c r="C244" s="38"/>
      <c r="D244" s="38" t="s">
        <v>1613</v>
      </c>
      <c r="E244" s="44" t="str">
        <f>IFERROR(VLOOKUP(D244,EQUIPOS!A:B,2,FALSE()),"?")</f>
        <v>Hormigonera De 150 Litros 1hp Con Rueda Maciza</v>
      </c>
      <c r="F244" s="44"/>
      <c r="G244" s="45">
        <v>1</v>
      </c>
      <c r="H244" s="46">
        <v>0</v>
      </c>
      <c r="I244" s="47">
        <f>IFERROR(VLOOKUP(D244,EQUIPOS!A:F,6,FALSE()),0)</f>
        <v>957.25319614994726</v>
      </c>
      <c r="J244" s="42">
        <f>G244*I244</f>
        <v>957.25319614994726</v>
      </c>
      <c r="K244" s="15" t="str">
        <f t="shared" si="20"/>
        <v>ALB-136|EQ</v>
      </c>
      <c r="L244" s="15">
        <f>COUNTIFS($K$2:K244,K244)</f>
        <v>2</v>
      </c>
      <c r="M244" s="15" t="str">
        <f t="shared" si="21"/>
        <v>ALB-136|EQ|2</v>
      </c>
      <c r="N244" s="47">
        <f>IFERROR(VLOOKUP(A244,PARTIDAS!A:F,6,FALSE()),0)</f>
        <v>14.5</v>
      </c>
      <c r="O244" s="247">
        <f t="shared" si="22"/>
        <v>1</v>
      </c>
      <c r="P244" s="247">
        <f>+_xlfn.XLOOKUP(A244,PPTO_GENERADOR!Q:Q,PPTO_GENERADOR!E:E,"-",0)</f>
        <v>442</v>
      </c>
      <c r="Q244" s="247">
        <f t="shared" si="23"/>
        <v>442</v>
      </c>
      <c r="R244" s="259">
        <f>+_xlfn.XLOOKUP(A244,PPTO_GENERADOR!$Q:$Q,PPTO_GENERADOR!A:A,"-",0)</f>
        <v>8.07</v>
      </c>
    </row>
    <row r="245" spans="1:18" ht="15" customHeight="1" x14ac:dyDescent="0.35">
      <c r="A245" s="38" t="s">
        <v>168</v>
      </c>
      <c r="B245" s="38" t="s">
        <v>2774</v>
      </c>
      <c r="C245" s="38" t="s">
        <v>2775</v>
      </c>
      <c r="D245" s="38" t="s">
        <v>588</v>
      </c>
      <c r="E245" s="44" t="str">
        <f>IFERROR(VLOOKUP(D245,MATERIALES!A:B,2,FALSE()),"?")</f>
        <v>ARENA LAVADA</v>
      </c>
      <c r="F245" s="44" t="str">
        <f>IFERROR(VLOOKUP(D245,MATERIALES!A:C,3,FALSE()),"?")</f>
        <v>m3</v>
      </c>
      <c r="G245" s="45">
        <v>0.03</v>
      </c>
      <c r="H245" s="46">
        <v>0.1</v>
      </c>
      <c r="I245" s="47">
        <f>IFERROR(VLOOKUP(D245,MATERIALES!A:D,4,FALSE()),0)</f>
        <v>32399.77</v>
      </c>
      <c r="J245" s="42">
        <f>G245*I245*(1+H245)</f>
        <v>1069.1924100000001</v>
      </c>
      <c r="K245" s="15" t="str">
        <f t="shared" si="20"/>
        <v>ALB-136|MAT</v>
      </c>
      <c r="L245" s="15">
        <f>COUNTIFS($K$2:K245,K245)</f>
        <v>1</v>
      </c>
      <c r="M245" s="15" t="str">
        <f t="shared" si="21"/>
        <v>ALB-136|MAT|1</v>
      </c>
      <c r="N245" s="47">
        <f>IFERROR(VLOOKUP(A245,PARTIDAS!A:F,6,FALSE()),0)</f>
        <v>14.5</v>
      </c>
      <c r="O245" s="247">
        <f t="shared" si="22"/>
        <v>0.03</v>
      </c>
      <c r="P245" s="247">
        <f>+_xlfn.XLOOKUP(A245,PPTO_GENERADOR!Q:Q,PPTO_GENERADOR!E:E,"-",0)</f>
        <v>442</v>
      </c>
      <c r="Q245" s="247">
        <f t="shared" si="23"/>
        <v>13.26</v>
      </c>
      <c r="R245" s="259">
        <f>+_xlfn.XLOOKUP(A245,PPTO_GENERADOR!$Q:$Q,PPTO_GENERADOR!A:A,"-",0)</f>
        <v>8.07</v>
      </c>
    </row>
    <row r="246" spans="1:18" ht="15" customHeight="1" x14ac:dyDescent="0.35">
      <c r="A246" s="38" t="s">
        <v>168</v>
      </c>
      <c r="B246" s="38" t="s">
        <v>2774</v>
      </c>
      <c r="C246" s="38" t="s">
        <v>2775</v>
      </c>
      <c r="D246" s="38" t="s">
        <v>599</v>
      </c>
      <c r="E246" s="44" t="str">
        <f>IFERROR(VLOOKUP(D246,MATERIALES!A:B,2,FALSE()),"?")</f>
        <v>Cemento Portland x 50kg</v>
      </c>
      <c r="F246" s="44" t="str">
        <f>IFERROR(VLOOKUP(D246,MATERIALES!A:C,3,FALSE()),"?")</f>
        <v>Bol</v>
      </c>
      <c r="G246" s="45">
        <v>7.0000000000000007E-2</v>
      </c>
      <c r="H246" s="46">
        <v>0.1</v>
      </c>
      <c r="I246" s="47">
        <f>IFERROR(VLOOKUP(D246,MATERIALES!A:D,4,FALSE()),0)</f>
        <v>7809.48</v>
      </c>
      <c r="J246" s="42">
        <f>G246*I246*(1+H246)</f>
        <v>601.32996000000003</v>
      </c>
      <c r="K246" s="15" t="str">
        <f t="shared" si="20"/>
        <v>ALB-136|MAT</v>
      </c>
      <c r="L246" s="15">
        <f>COUNTIFS($K$2:K246,K246)</f>
        <v>2</v>
      </c>
      <c r="M246" s="15" t="str">
        <f t="shared" si="21"/>
        <v>ALB-136|MAT|2</v>
      </c>
      <c r="N246" s="47">
        <f>IFERROR(VLOOKUP(A246,PARTIDAS!A:F,6,FALSE()),0)</f>
        <v>14.5</v>
      </c>
      <c r="O246" s="247">
        <f t="shared" si="22"/>
        <v>7.0000000000000007E-2</v>
      </c>
      <c r="P246" s="247">
        <f>+_xlfn.XLOOKUP(A246,PPTO_GENERADOR!Q:Q,PPTO_GENERADOR!E:E,"-",0)</f>
        <v>442</v>
      </c>
      <c r="Q246" s="247">
        <f t="shared" si="23"/>
        <v>30.94</v>
      </c>
      <c r="R246" s="259">
        <f>+_xlfn.XLOOKUP(A246,PPTO_GENERADOR!$Q:$Q,PPTO_GENERADOR!A:A,"-",0)</f>
        <v>8.07</v>
      </c>
    </row>
    <row r="247" spans="1:18" ht="15" customHeight="1" x14ac:dyDescent="0.35">
      <c r="A247" s="38" t="s">
        <v>168</v>
      </c>
      <c r="B247" s="38" t="s">
        <v>2774</v>
      </c>
      <c r="C247" s="38" t="s">
        <v>2775</v>
      </c>
      <c r="D247" s="38" t="s">
        <v>604</v>
      </c>
      <c r="E247" s="44" t="str">
        <f>IFERROR(VLOOKUP(D247,MATERIALES!A:B,2,FALSE()),"?")</f>
        <v>Cal Comun x 25kg</v>
      </c>
      <c r="F247" s="44" t="str">
        <f>IFERROR(VLOOKUP(D247,MATERIALES!A:C,3,FALSE()),"?")</f>
        <v>bol</v>
      </c>
      <c r="G247" s="45">
        <v>0.248</v>
      </c>
      <c r="H247" s="46">
        <v>0.1</v>
      </c>
      <c r="I247" s="47">
        <f>IFERROR(VLOOKUP(D247,MATERIALES!A:D,4,FALSE()),0)</f>
        <v>3837.96</v>
      </c>
      <c r="J247" s="42">
        <f>G247*I247*(1+H247)</f>
        <v>1046.995488</v>
      </c>
      <c r="K247" s="15" t="str">
        <f t="shared" si="20"/>
        <v>ALB-136|MAT</v>
      </c>
      <c r="L247" s="15">
        <f>COUNTIFS($K$2:K247,K247)</f>
        <v>3</v>
      </c>
      <c r="M247" s="15" t="str">
        <f t="shared" si="21"/>
        <v>ALB-136|MAT|3</v>
      </c>
      <c r="N247" s="47">
        <f>IFERROR(VLOOKUP(A247,PARTIDAS!A:F,6,FALSE()),0)</f>
        <v>14.5</v>
      </c>
      <c r="O247" s="247">
        <f t="shared" si="22"/>
        <v>0.248</v>
      </c>
      <c r="P247" s="247">
        <f>+_xlfn.XLOOKUP(A247,PPTO_GENERADOR!Q:Q,PPTO_GENERADOR!E:E,"-",0)</f>
        <v>442</v>
      </c>
      <c r="Q247" s="247">
        <f t="shared" si="23"/>
        <v>109.616</v>
      </c>
      <c r="R247" s="259">
        <f>+_xlfn.XLOOKUP(A247,PPTO_GENERADOR!$Q:$Q,PPTO_GENERADOR!A:A,"-",0)</f>
        <v>8.07</v>
      </c>
    </row>
    <row r="248" spans="1:18" ht="15" customHeight="1" x14ac:dyDescent="0.35">
      <c r="A248" s="38" t="s">
        <v>168</v>
      </c>
      <c r="B248" s="38" t="s">
        <v>2776</v>
      </c>
      <c r="C248" s="38" t="s">
        <v>2777</v>
      </c>
      <c r="D248" s="237" t="s">
        <v>1577</v>
      </c>
      <c r="E248" s="44" t="str">
        <f>IFERROR(VLOOKUP(D248,MANO_DE_OBRA!A:B,2,FALSE()),"?")</f>
        <v>AYUDANTE</v>
      </c>
      <c r="F248" s="44" t="s">
        <v>2778</v>
      </c>
      <c r="G248" s="45">
        <v>0.45</v>
      </c>
      <c r="H248" s="46">
        <v>0</v>
      </c>
      <c r="I248" s="47">
        <f>IFERROR(VLOOKUP(D248,MANO_DE_OBRA!A:C,3,FALSE()),0)</f>
        <v>60860.580776572002</v>
      </c>
      <c r="J248" s="42">
        <f>G248*I248</f>
        <v>27387.2613494574</v>
      </c>
      <c r="K248" s="15" t="str">
        <f t="shared" si="20"/>
        <v>ALB-136|MO</v>
      </c>
      <c r="L248" s="15">
        <f>COUNTIFS($K$2:K248,K248)</f>
        <v>1</v>
      </c>
      <c r="M248" s="15" t="str">
        <f t="shared" si="21"/>
        <v>ALB-136|MO|1</v>
      </c>
      <c r="N248" s="47">
        <f>IFERROR(VLOOKUP(A248,PARTIDAS!A:F,6,FALSE()),0)</f>
        <v>14.5</v>
      </c>
      <c r="O248" s="247">
        <f t="shared" si="22"/>
        <v>3.1034482758620689E-2</v>
      </c>
      <c r="P248" s="247">
        <f>+_xlfn.XLOOKUP(A248,PPTO_GENERADOR!Q:Q,PPTO_GENERADOR!E:E,"-",0)</f>
        <v>442</v>
      </c>
      <c r="Q248" s="247">
        <f t="shared" si="23"/>
        <v>13.717241379310344</v>
      </c>
      <c r="R248" s="259">
        <f>+_xlfn.XLOOKUP(A248,PPTO_GENERADOR!$Q:$Q,PPTO_GENERADOR!A:A,"-",0)</f>
        <v>8.07</v>
      </c>
    </row>
    <row r="249" spans="1:18" ht="15" customHeight="1" x14ac:dyDescent="0.35">
      <c r="A249" s="38" t="s">
        <v>168</v>
      </c>
      <c r="B249" s="38" t="s">
        <v>2776</v>
      </c>
      <c r="C249" s="38" t="s">
        <v>2777</v>
      </c>
      <c r="D249" s="237" t="s">
        <v>1568</v>
      </c>
      <c r="E249" s="44" t="str">
        <f>IFERROR(VLOOKUP(D249,MANO_DE_OBRA!A:B,2,FALSE()),"?")</f>
        <v>ESPECIALIZADO</v>
      </c>
      <c r="F249" s="44" t="s">
        <v>2778</v>
      </c>
      <c r="G249" s="45">
        <v>1</v>
      </c>
      <c r="H249" s="46">
        <v>0</v>
      </c>
      <c r="I249" s="47">
        <f>IFERROR(VLOOKUP(D249,MANO_DE_OBRA!A:C,3,FALSE()),0)</f>
        <v>85927.097156571996</v>
      </c>
      <c r="J249" s="42">
        <f>G249*I249</f>
        <v>85927.097156571996</v>
      </c>
      <c r="K249" s="15" t="str">
        <f t="shared" si="20"/>
        <v>ALB-136|MO</v>
      </c>
      <c r="L249" s="15">
        <f>COUNTIFS($K$2:K249,K249)</f>
        <v>2</v>
      </c>
      <c r="M249" s="15" t="str">
        <f t="shared" si="21"/>
        <v>ALB-136|MO|2</v>
      </c>
      <c r="N249" s="47">
        <f>IFERROR(VLOOKUP(A249,PARTIDAS!A:F,6,FALSE()),0)</f>
        <v>14.5</v>
      </c>
      <c r="O249" s="247">
        <f t="shared" si="22"/>
        <v>6.8965517241379309E-2</v>
      </c>
      <c r="P249" s="247">
        <f>+_xlfn.XLOOKUP(A249,PPTO_GENERADOR!Q:Q,PPTO_GENERADOR!E:E,"-",0)</f>
        <v>442</v>
      </c>
      <c r="Q249" s="247">
        <f t="shared" si="23"/>
        <v>30.482758620689655</v>
      </c>
      <c r="R249" s="259">
        <f>+_xlfn.XLOOKUP(A249,PPTO_GENERADOR!$Q:$Q,PPTO_GENERADOR!A:A,"-",0)</f>
        <v>8.07</v>
      </c>
    </row>
    <row r="250" spans="1:18" ht="15" customHeight="1" x14ac:dyDescent="0.35">
      <c r="A250" s="38" t="s">
        <v>190</v>
      </c>
      <c r="B250" s="38" t="s">
        <v>2773</v>
      </c>
      <c r="C250" s="38"/>
      <c r="D250" s="38" t="s">
        <v>1619</v>
      </c>
      <c r="E250" s="44" t="str">
        <f>IFERROR(VLOOKUP(D250,EQUIPOS!A:B,2,FALSE()),"?")</f>
        <v>CORTADORA CERAMICA PROFESIONAL 1200MM (PORCELANATO HASTA 16MM)</v>
      </c>
      <c r="F250" s="44"/>
      <c r="G250" s="45">
        <v>1</v>
      </c>
      <c r="H250" s="46">
        <v>0</v>
      </c>
      <c r="I250" s="47">
        <f>IFERROR(VLOOKUP(D250,EQUIPOS!A:F,6,FALSE()),0)</f>
        <v>298.42384358082836</v>
      </c>
      <c r="J250" s="42">
        <f>G250*I250</f>
        <v>298.42384358082836</v>
      </c>
      <c r="K250" s="15" t="str">
        <f t="shared" si="20"/>
        <v>COL-056|EQ</v>
      </c>
      <c r="L250" s="15">
        <f>COUNTIFS($K$2:K250,K250)</f>
        <v>1</v>
      </c>
      <c r="M250" s="15" t="str">
        <f t="shared" si="21"/>
        <v>COL-056|EQ|1</v>
      </c>
      <c r="N250" s="47">
        <f>IFERROR(VLOOKUP(A250,PARTIDAS!A:F,6,FALSE()),0)</f>
        <v>13</v>
      </c>
      <c r="O250" s="247">
        <f t="shared" si="22"/>
        <v>1</v>
      </c>
      <c r="P250" s="247">
        <f>+_xlfn.XLOOKUP(A250,PPTO_GENERADOR!Q:Q,PPTO_GENERADOR!E:E,"-",0)</f>
        <v>48</v>
      </c>
      <c r="Q250" s="247">
        <f t="shared" si="23"/>
        <v>48</v>
      </c>
      <c r="R250" s="259">
        <f>+_xlfn.XLOOKUP(A250,PPTO_GENERADOR!$Q:$Q,PPTO_GENERADOR!A:A,"-",0)</f>
        <v>11.03</v>
      </c>
    </row>
    <row r="251" spans="1:18" ht="15" customHeight="1" x14ac:dyDescent="0.35">
      <c r="A251" s="38" t="s">
        <v>190</v>
      </c>
      <c r="B251" s="38" t="s">
        <v>2773</v>
      </c>
      <c r="C251" s="38"/>
      <c r="D251" s="38" t="s">
        <v>1598</v>
      </c>
      <c r="E251" s="44" t="str">
        <f>IFERROR(VLOOKUP(D251,EQUIPOS!A:B,2,FALSE()),"?")</f>
        <v>EQUIPO PARA COLOCACION DE CERAMICA</v>
      </c>
      <c r="F251" s="44"/>
      <c r="G251" s="45">
        <v>1</v>
      </c>
      <c r="H251" s="46">
        <v>0</v>
      </c>
      <c r="I251" s="47">
        <f>IFERROR(VLOOKUP(D251,EQUIPOS!A:F,6,FALSE()),0)</f>
        <v>2637.1418444899073</v>
      </c>
      <c r="J251" s="42">
        <f>G251*I251</f>
        <v>2637.1418444899073</v>
      </c>
      <c r="K251" s="15" t="str">
        <f t="shared" si="20"/>
        <v>COL-056|EQ</v>
      </c>
      <c r="L251" s="15">
        <f>COUNTIFS($K$2:K251,K251)</f>
        <v>2</v>
      </c>
      <c r="M251" s="15" t="str">
        <f t="shared" si="21"/>
        <v>COL-056|EQ|2</v>
      </c>
      <c r="N251" s="47">
        <f>IFERROR(VLOOKUP(A251,PARTIDAS!A:F,6,FALSE()),0)</f>
        <v>13</v>
      </c>
      <c r="O251" s="247">
        <f t="shared" si="22"/>
        <v>1</v>
      </c>
      <c r="P251" s="247">
        <f>+_xlfn.XLOOKUP(A251,PPTO_GENERADOR!Q:Q,PPTO_GENERADOR!E:E,"-",0)</f>
        <v>48</v>
      </c>
      <c r="Q251" s="247">
        <f t="shared" si="23"/>
        <v>48</v>
      </c>
      <c r="R251" s="259">
        <f>+_xlfn.XLOOKUP(A251,PPTO_GENERADOR!$Q:$Q,PPTO_GENERADOR!A:A,"-",0)</f>
        <v>11.03</v>
      </c>
    </row>
    <row r="252" spans="1:18" ht="15" customHeight="1" x14ac:dyDescent="0.35">
      <c r="A252" s="38" t="s">
        <v>190</v>
      </c>
      <c r="B252" s="38" t="s">
        <v>2774</v>
      </c>
      <c r="C252" s="38" t="s">
        <v>2779</v>
      </c>
      <c r="D252" s="38" t="s">
        <v>652</v>
      </c>
      <c r="E252" s="44" t="str">
        <f>IFERROR(VLOOKUP(D252,MATERIALES!A:B,2,FALSE()),"?")</f>
        <v>Adhesivo Klaukol Porcellanato Fluido x 30Kg</v>
      </c>
      <c r="F252" s="44" t="str">
        <f>IFERROR(VLOOKUP(D252,MATERIALES!A:C,3,FALSE()),"?")</f>
        <v>bol</v>
      </c>
      <c r="G252" s="45">
        <v>0.2</v>
      </c>
      <c r="H252" s="46">
        <v>0.2</v>
      </c>
      <c r="I252" s="47">
        <f>IFERROR(VLOOKUP(D252,MATERIALES!A:D,4,FALSE()),0)</f>
        <v>18802.511999999999</v>
      </c>
      <c r="J252" s="42">
        <f>G252*I252*(1+H252)</f>
        <v>4512.6028799999995</v>
      </c>
      <c r="K252" s="15" t="str">
        <f t="shared" si="20"/>
        <v>COL-056|MAT</v>
      </c>
      <c r="L252" s="15">
        <f>COUNTIFS($K$2:K252,K252)</f>
        <v>1</v>
      </c>
      <c r="M252" s="15" t="str">
        <f t="shared" si="21"/>
        <v>COL-056|MAT|1</v>
      </c>
      <c r="N252" s="47">
        <f>IFERROR(VLOOKUP(A252,PARTIDAS!A:F,6,FALSE()),0)</f>
        <v>13</v>
      </c>
      <c r="O252" s="247">
        <f t="shared" si="22"/>
        <v>0.2</v>
      </c>
      <c r="P252" s="247">
        <f>+_xlfn.XLOOKUP(A252,PPTO_GENERADOR!Q:Q,PPTO_GENERADOR!E:E,"-",0)</f>
        <v>48</v>
      </c>
      <c r="Q252" s="247">
        <f t="shared" si="23"/>
        <v>9.6000000000000014</v>
      </c>
      <c r="R252" s="259">
        <f>+_xlfn.XLOOKUP(A252,PPTO_GENERADOR!$Q:$Q,PPTO_GENERADOR!A:A,"-",0)</f>
        <v>11.03</v>
      </c>
    </row>
    <row r="253" spans="1:18" ht="15" customHeight="1" x14ac:dyDescent="0.35">
      <c r="A253" s="38" t="s">
        <v>190</v>
      </c>
      <c r="B253" s="38" t="s">
        <v>2774</v>
      </c>
      <c r="C253" s="38" t="s">
        <v>2779</v>
      </c>
      <c r="D253" s="38" t="s">
        <v>671</v>
      </c>
      <c r="E253" s="44" t="str">
        <f>IFERROR(VLOOKUP(D253,MATERIALES!A:B,2,FALSE()),"?")</f>
        <v>Pastina Klaukol x 1kg - Alta performance</v>
      </c>
      <c r="F253" s="44" t="str">
        <f>IFERROR(VLOOKUP(D253,MATERIALES!A:C,3,FALSE()),"?")</f>
        <v>u</v>
      </c>
      <c r="G253" s="45">
        <v>0.2</v>
      </c>
      <c r="H253" s="46">
        <v>0.05</v>
      </c>
      <c r="I253" s="47">
        <f>IFERROR(VLOOKUP(D253,MATERIALES!A:D,4,FALSE()),0)</f>
        <v>3214.35</v>
      </c>
      <c r="J253" s="42">
        <f>G253*I253*(1+H253)</f>
        <v>675.01350000000002</v>
      </c>
      <c r="K253" s="15" t="str">
        <f t="shared" si="20"/>
        <v>COL-056|MAT</v>
      </c>
      <c r="L253" s="15">
        <f>COUNTIFS($K$2:K253,K253)</f>
        <v>2</v>
      </c>
      <c r="M253" s="15" t="str">
        <f t="shared" si="21"/>
        <v>COL-056|MAT|2</v>
      </c>
      <c r="N253" s="47">
        <f>IFERROR(VLOOKUP(A253,PARTIDAS!A:F,6,FALSE()),0)</f>
        <v>13</v>
      </c>
      <c r="O253" s="247">
        <f t="shared" si="22"/>
        <v>0.2</v>
      </c>
      <c r="P253" s="247">
        <f>+_xlfn.XLOOKUP(A253,PPTO_GENERADOR!Q:Q,PPTO_GENERADOR!E:E,"-",0)</f>
        <v>48</v>
      </c>
      <c r="Q253" s="247">
        <f t="shared" si="23"/>
        <v>9.6000000000000014</v>
      </c>
      <c r="R253" s="259">
        <f>+_xlfn.XLOOKUP(A253,PPTO_GENERADOR!$Q:$Q,PPTO_GENERADOR!A:A,"-",0)</f>
        <v>11.03</v>
      </c>
    </row>
    <row r="254" spans="1:18" ht="15" customHeight="1" x14ac:dyDescent="0.35">
      <c r="A254" s="38" t="s">
        <v>190</v>
      </c>
      <c r="B254" s="38" t="s">
        <v>2774</v>
      </c>
      <c r="C254" s="38" t="s">
        <v>2779</v>
      </c>
      <c r="D254" s="38" t="s">
        <v>855</v>
      </c>
      <c r="E254" s="44" t="str">
        <f>IFERROR(VLOOKUP(D254,MATERIALES!A:B,2,FALSE()),"?")</f>
        <v>Trapo</v>
      </c>
      <c r="F254" s="44" t="str">
        <f>IFERROR(VLOOKUP(D254,MATERIALES!A:C,3,FALSE()),"?")</f>
        <v>u</v>
      </c>
      <c r="G254" s="45">
        <v>0.01</v>
      </c>
      <c r="H254" s="46">
        <v>0.03</v>
      </c>
      <c r="I254" s="47">
        <f>IFERROR(VLOOKUP(D254,MATERIALES!A:D,4,FALSE()),0)</f>
        <v>735.06</v>
      </c>
      <c r="J254" s="42">
        <f>G254*I254*(1+H254)</f>
        <v>7.5711180000000002</v>
      </c>
      <c r="K254" s="15" t="str">
        <f t="shared" si="20"/>
        <v>COL-056|MAT</v>
      </c>
      <c r="L254" s="15">
        <f>COUNTIFS($K$2:K254,K254)</f>
        <v>3</v>
      </c>
      <c r="M254" s="15" t="str">
        <f t="shared" si="21"/>
        <v>COL-056|MAT|3</v>
      </c>
      <c r="N254" s="47">
        <f>IFERROR(VLOOKUP(A254,PARTIDAS!A:F,6,FALSE()),0)</f>
        <v>13</v>
      </c>
      <c r="O254" s="247">
        <f t="shared" si="22"/>
        <v>0.01</v>
      </c>
      <c r="P254" s="247">
        <f>+_xlfn.XLOOKUP(A254,PPTO_GENERADOR!Q:Q,PPTO_GENERADOR!E:E,"-",0)</f>
        <v>48</v>
      </c>
      <c r="Q254" s="247">
        <f t="shared" si="23"/>
        <v>0.48</v>
      </c>
      <c r="R254" s="259">
        <f>+_xlfn.XLOOKUP(A254,PPTO_GENERADOR!$Q:$Q,PPTO_GENERADOR!A:A,"-",0)</f>
        <v>11.03</v>
      </c>
    </row>
    <row r="255" spans="1:18" ht="15" customHeight="1" x14ac:dyDescent="0.35">
      <c r="A255" s="38" t="s">
        <v>190</v>
      </c>
      <c r="B255" s="38" t="s">
        <v>2774</v>
      </c>
      <c r="C255" s="38" t="s">
        <v>2779</v>
      </c>
      <c r="D255" s="38" t="s">
        <v>976</v>
      </c>
      <c r="E255" s="44" t="str">
        <f>IFERROR(VLOOKUP(D255,MATERIALES!A:B,2,FALSE()),"?")</f>
        <v>Disco Diamantado Aliafor Turbo Fino TRF</v>
      </c>
      <c r="F255" s="44" t="str">
        <f>IFERROR(VLOOKUP(D255,MATERIALES!A:C,3,FALSE()),"?")</f>
        <v>u</v>
      </c>
      <c r="G255" s="45">
        <v>4.0000000000000001E-3</v>
      </c>
      <c r="H255" s="46">
        <v>0.05</v>
      </c>
      <c r="I255" s="47">
        <f>IFERROR(VLOOKUP(D255,MATERIALES!A:D,4,FALSE()),0)</f>
        <v>20237</v>
      </c>
      <c r="J255" s="42">
        <f>G255*I255*(1+H255)</f>
        <v>84.995400000000018</v>
      </c>
      <c r="K255" s="15" t="str">
        <f t="shared" si="20"/>
        <v>COL-056|MAT</v>
      </c>
      <c r="L255" s="15">
        <f>COUNTIFS($K$2:K255,K255)</f>
        <v>4</v>
      </c>
      <c r="M255" s="15" t="str">
        <f t="shared" si="21"/>
        <v>COL-056|MAT|4</v>
      </c>
      <c r="N255" s="47">
        <f>IFERROR(VLOOKUP(A255,PARTIDAS!A:F,6,FALSE()),0)</f>
        <v>13</v>
      </c>
      <c r="O255" s="247">
        <f t="shared" si="22"/>
        <v>4.0000000000000001E-3</v>
      </c>
      <c r="P255" s="247">
        <f>+_xlfn.XLOOKUP(A255,PPTO_GENERADOR!Q:Q,PPTO_GENERADOR!E:E,"-",0)</f>
        <v>48</v>
      </c>
      <c r="Q255" s="247">
        <f t="shared" si="23"/>
        <v>0.192</v>
      </c>
      <c r="R255" s="259">
        <f>+_xlfn.XLOOKUP(A255,PPTO_GENERADOR!$Q:$Q,PPTO_GENERADOR!A:A,"-",0)</f>
        <v>11.03</v>
      </c>
    </row>
    <row r="256" spans="1:18" ht="15" customHeight="1" x14ac:dyDescent="0.35">
      <c r="A256" s="38" t="s">
        <v>190</v>
      </c>
      <c r="B256" s="38" t="s">
        <v>2774</v>
      </c>
      <c r="C256" s="38" t="s">
        <v>2779</v>
      </c>
      <c r="D256" s="38" t="s">
        <v>979</v>
      </c>
      <c r="E256" s="44" t="str">
        <f>IFERROR(VLOOKUP(D256,MATERIALES!A:B,2,FALSE()),"?")</f>
        <v>Arco y cuña niveladores porcelanatos x 150 un</v>
      </c>
      <c r="F256" s="44" t="str">
        <f>IFERROR(VLOOKUP(D256,MATERIALES!A:C,3,FALSE()),"?")</f>
        <v>b</v>
      </c>
      <c r="G256" s="45">
        <v>0.04</v>
      </c>
      <c r="H256" s="46">
        <v>0.05</v>
      </c>
      <c r="I256" s="47">
        <f>IFERROR(VLOOKUP(D256,MATERIALES!A:D,4,FALSE()),0)</f>
        <v>44669.4214876033</v>
      </c>
      <c r="J256" s="42">
        <f>G256*I256*(1+H256)</f>
        <v>1876.1157024793388</v>
      </c>
      <c r="K256" s="15" t="str">
        <f t="shared" si="20"/>
        <v>COL-056|MAT</v>
      </c>
      <c r="L256" s="15">
        <f>COUNTIFS($K$2:K256,K256)</f>
        <v>5</v>
      </c>
      <c r="M256" s="15" t="str">
        <f t="shared" si="21"/>
        <v>COL-056|MAT|5</v>
      </c>
      <c r="N256" s="47">
        <f>IFERROR(VLOOKUP(A256,PARTIDAS!A:F,6,FALSE()),0)</f>
        <v>13</v>
      </c>
      <c r="O256" s="247">
        <f t="shared" si="22"/>
        <v>0.04</v>
      </c>
      <c r="P256" s="247">
        <f>+_xlfn.XLOOKUP(A256,PPTO_GENERADOR!Q:Q,PPTO_GENERADOR!E:E,"-",0)</f>
        <v>48</v>
      </c>
      <c r="Q256" s="247">
        <f t="shared" si="23"/>
        <v>1.92</v>
      </c>
      <c r="R256" s="259">
        <f>+_xlfn.XLOOKUP(A256,PPTO_GENERADOR!$Q:$Q,PPTO_GENERADOR!A:A,"-",0)</f>
        <v>11.03</v>
      </c>
    </row>
    <row r="257" spans="1:18" ht="15" customHeight="1" x14ac:dyDescent="0.35">
      <c r="A257" s="38" t="s">
        <v>190</v>
      </c>
      <c r="B257" s="38" t="s">
        <v>2776</v>
      </c>
      <c r="C257" s="38" t="s">
        <v>2777</v>
      </c>
      <c r="D257" s="237" t="s">
        <v>1574</v>
      </c>
      <c r="E257" s="44" t="str">
        <f>IFERROR(VLOOKUP(D257,MANO_DE_OBRA!A:B,2,FALSE()),"?")</f>
        <v>MEDIO OFICIAL</v>
      </c>
      <c r="F257" s="44" t="s">
        <v>2778</v>
      </c>
      <c r="G257" s="45">
        <v>1</v>
      </c>
      <c r="H257" s="46">
        <v>0</v>
      </c>
      <c r="I257" s="47">
        <f>IFERROR(VLOOKUP(D257,MANO_DE_OBRA!A:C,3,FALSE()),0)</f>
        <v>65493.071636572</v>
      </c>
      <c r="J257" s="42">
        <f>G257*I257</f>
        <v>65493.071636572</v>
      </c>
      <c r="K257" s="15" t="str">
        <f t="shared" si="20"/>
        <v>COL-056|MO</v>
      </c>
      <c r="L257" s="15">
        <f>COUNTIFS($K$2:K257,K257)</f>
        <v>1</v>
      </c>
      <c r="M257" s="15" t="str">
        <f t="shared" si="21"/>
        <v>COL-056|MO|1</v>
      </c>
      <c r="N257" s="47">
        <f>IFERROR(VLOOKUP(A257,PARTIDAS!A:F,6,FALSE()),0)</f>
        <v>13</v>
      </c>
      <c r="O257" s="247">
        <f t="shared" si="22"/>
        <v>7.6923076923076927E-2</v>
      </c>
      <c r="P257" s="247">
        <f>+_xlfn.XLOOKUP(A257,PPTO_GENERADOR!Q:Q,PPTO_GENERADOR!E:E,"-",0)</f>
        <v>48</v>
      </c>
      <c r="Q257" s="247">
        <f t="shared" si="23"/>
        <v>3.6923076923076925</v>
      </c>
      <c r="R257" s="259">
        <f>+_xlfn.XLOOKUP(A257,PPTO_GENERADOR!$Q:$Q,PPTO_GENERADOR!A:A,"-",0)</f>
        <v>11.03</v>
      </c>
    </row>
    <row r="258" spans="1:18" ht="15" customHeight="1" x14ac:dyDescent="0.35">
      <c r="A258" s="38" t="s">
        <v>190</v>
      </c>
      <c r="B258" s="38" t="s">
        <v>2776</v>
      </c>
      <c r="C258" s="38" t="s">
        <v>2777</v>
      </c>
      <c r="D258" s="237" t="s">
        <v>1571</v>
      </c>
      <c r="E258" s="44" t="str">
        <f>IFERROR(VLOOKUP(D258,MANO_DE_OBRA!A:B,2,FALSE()),"?")</f>
        <v>OFICIAL</v>
      </c>
      <c r="F258" s="44" t="s">
        <v>2778</v>
      </c>
      <c r="G258" s="45">
        <v>1</v>
      </c>
      <c r="H258" s="46">
        <v>0</v>
      </c>
      <c r="I258" s="47">
        <f>IFERROR(VLOOKUP(D258,MANO_DE_OBRA!A:C,3,FALSE()),0)</f>
        <v>76955.079706571996</v>
      </c>
      <c r="J258" s="42">
        <f>G258*I258</f>
        <v>76955.079706571996</v>
      </c>
      <c r="K258" s="15" t="str">
        <f t="shared" ref="K258:K321" si="28">A258&amp;"|"&amp;B258</f>
        <v>COL-056|MO</v>
      </c>
      <c r="L258" s="15">
        <f>COUNTIFS($K$2:K258,K258)</f>
        <v>2</v>
      </c>
      <c r="M258" s="15" t="str">
        <f t="shared" ref="M258:M321" si="29">K258&amp;"|"&amp;L258</f>
        <v>COL-056|MO|2</v>
      </c>
      <c r="N258" s="47">
        <f>IFERROR(VLOOKUP(A258,PARTIDAS!A:F,6,FALSE()),0)</f>
        <v>13</v>
      </c>
      <c r="O258" s="247">
        <f t="shared" si="22"/>
        <v>7.6923076923076927E-2</v>
      </c>
      <c r="P258" s="247">
        <f>+_xlfn.XLOOKUP(A258,PPTO_GENERADOR!Q:Q,PPTO_GENERADOR!E:E,"-",0)</f>
        <v>48</v>
      </c>
      <c r="Q258" s="247">
        <f t="shared" si="23"/>
        <v>3.6923076923076925</v>
      </c>
      <c r="R258" s="259">
        <f>+_xlfn.XLOOKUP(A258,PPTO_GENERADOR!$Q:$Q,PPTO_GENERADOR!A:A,"-",0)</f>
        <v>11.03</v>
      </c>
    </row>
    <row r="259" spans="1:18" ht="15" customHeight="1" x14ac:dyDescent="0.35">
      <c r="A259" s="38" t="s">
        <v>200</v>
      </c>
      <c r="B259" s="38" t="s">
        <v>2773</v>
      </c>
      <c r="C259" s="38"/>
      <c r="D259" s="38" t="s">
        <v>1619</v>
      </c>
      <c r="E259" s="44" t="str">
        <f>IFERROR(VLOOKUP(D259,EQUIPOS!A:B,2,FALSE()),"?")</f>
        <v>CORTADORA CERAMICA PROFESIONAL 1200MM (PORCELANATO HASTA 16MM)</v>
      </c>
      <c r="F259" s="44"/>
      <c r="G259" s="45">
        <v>1</v>
      </c>
      <c r="H259" s="46">
        <v>0</v>
      </c>
      <c r="I259" s="47">
        <f>IFERROR(VLOOKUP(D259,EQUIPOS!A:F,6,FALSE()),0)</f>
        <v>298.42384358082836</v>
      </c>
      <c r="J259" s="42">
        <f>G259*I259</f>
        <v>298.42384358082836</v>
      </c>
      <c r="K259" s="15" t="str">
        <f t="shared" si="28"/>
        <v>COL-057|EQ</v>
      </c>
      <c r="L259" s="15">
        <f>COUNTIFS($K$2:K259,K259)</f>
        <v>1</v>
      </c>
      <c r="M259" s="15" t="str">
        <f t="shared" si="29"/>
        <v>COL-057|EQ|1</v>
      </c>
      <c r="N259" s="47">
        <f>IFERROR(VLOOKUP(A259,PARTIDAS!A:F,6,FALSE()),0)</f>
        <v>10</v>
      </c>
      <c r="O259" s="247">
        <f t="shared" ref="O259:O322" si="30">+IF(C259="ALB",G259/N259,G259)</f>
        <v>1</v>
      </c>
      <c r="P259" s="247">
        <f>+_xlfn.XLOOKUP(A259,PPTO_GENERADOR!Q:Q,PPTO_GENERADOR!E:E,"-",0)</f>
        <v>73</v>
      </c>
      <c r="Q259" s="247">
        <f t="shared" ref="Q259:Q322" si="31">IFERROR(P259*O259,0)</f>
        <v>73</v>
      </c>
      <c r="R259" s="259">
        <f>+_xlfn.XLOOKUP(A259,PPTO_GENERADOR!$Q:$Q,PPTO_GENERADOR!A:A,"-",0)</f>
        <v>11.09</v>
      </c>
    </row>
    <row r="260" spans="1:18" ht="15" customHeight="1" x14ac:dyDescent="0.35">
      <c r="A260" s="38" t="s">
        <v>200</v>
      </c>
      <c r="B260" s="38" t="s">
        <v>2773</v>
      </c>
      <c r="C260" s="38"/>
      <c r="D260" s="38" t="s">
        <v>1598</v>
      </c>
      <c r="E260" s="44" t="str">
        <f>IFERROR(VLOOKUP(D260,EQUIPOS!A:B,2,FALSE()),"?")</f>
        <v>EQUIPO PARA COLOCACION DE CERAMICA</v>
      </c>
      <c r="F260" s="44"/>
      <c r="G260" s="45">
        <v>1</v>
      </c>
      <c r="H260" s="46">
        <v>0</v>
      </c>
      <c r="I260" s="47">
        <f>IFERROR(VLOOKUP(D260,EQUIPOS!A:F,6,FALSE()),0)</f>
        <v>2637.1418444899073</v>
      </c>
      <c r="J260" s="42">
        <f>G260*I260</f>
        <v>2637.1418444899073</v>
      </c>
      <c r="K260" s="15" t="str">
        <f t="shared" si="28"/>
        <v>COL-057|EQ</v>
      </c>
      <c r="L260" s="15">
        <f>COUNTIFS($K$2:K260,K260)</f>
        <v>2</v>
      </c>
      <c r="M260" s="15" t="str">
        <f t="shared" si="29"/>
        <v>COL-057|EQ|2</v>
      </c>
      <c r="N260" s="47">
        <f>IFERROR(VLOOKUP(A260,PARTIDAS!A:F,6,FALSE()),0)</f>
        <v>10</v>
      </c>
      <c r="O260" s="247">
        <f t="shared" si="30"/>
        <v>1</v>
      </c>
      <c r="P260" s="247">
        <f>+_xlfn.XLOOKUP(A260,PPTO_GENERADOR!Q:Q,PPTO_GENERADOR!E:E,"-",0)</f>
        <v>73</v>
      </c>
      <c r="Q260" s="247">
        <f t="shared" si="31"/>
        <v>73</v>
      </c>
      <c r="R260" s="259">
        <f>+_xlfn.XLOOKUP(A260,PPTO_GENERADOR!$Q:$Q,PPTO_GENERADOR!A:A,"-",0)</f>
        <v>11.09</v>
      </c>
    </row>
    <row r="261" spans="1:18" ht="15" customHeight="1" x14ac:dyDescent="0.35">
      <c r="A261" s="38" t="s">
        <v>200</v>
      </c>
      <c r="B261" s="38" t="s">
        <v>2774</v>
      </c>
      <c r="C261" s="38" t="s">
        <v>2779</v>
      </c>
      <c r="D261" s="38" t="s">
        <v>652</v>
      </c>
      <c r="E261" s="44" t="str">
        <f>IFERROR(VLOOKUP(D261,MATERIALES!A:B,2,FALSE()),"?")</f>
        <v>Adhesivo Klaukol Porcellanato Fluido x 30Kg</v>
      </c>
      <c r="F261" s="44" t="str">
        <f>IFERROR(VLOOKUP(D261,MATERIALES!A:C,3,FALSE()),"?")</f>
        <v>bol</v>
      </c>
      <c r="G261" s="45">
        <v>0.2</v>
      </c>
      <c r="H261" s="46">
        <v>0.2</v>
      </c>
      <c r="I261" s="47">
        <f>IFERROR(VLOOKUP(D261,MATERIALES!A:D,4,FALSE()),0)</f>
        <v>18802.511999999999</v>
      </c>
      <c r="J261" s="42">
        <f>G261*I261*(1+H261)</f>
        <v>4512.6028799999995</v>
      </c>
      <c r="K261" s="15" t="str">
        <f t="shared" si="28"/>
        <v>COL-057|MAT</v>
      </c>
      <c r="L261" s="15">
        <f>COUNTIFS($K$2:K261,K261)</f>
        <v>1</v>
      </c>
      <c r="M261" s="15" t="str">
        <f t="shared" si="29"/>
        <v>COL-057|MAT|1</v>
      </c>
      <c r="N261" s="47">
        <f>IFERROR(VLOOKUP(A261,PARTIDAS!A:F,6,FALSE()),0)</f>
        <v>10</v>
      </c>
      <c r="O261" s="247">
        <f t="shared" si="30"/>
        <v>0.2</v>
      </c>
      <c r="P261" s="247">
        <f>+_xlfn.XLOOKUP(A261,PPTO_GENERADOR!Q:Q,PPTO_GENERADOR!E:E,"-",0)</f>
        <v>73</v>
      </c>
      <c r="Q261" s="247">
        <f t="shared" si="31"/>
        <v>14.600000000000001</v>
      </c>
      <c r="R261" s="259">
        <f>+_xlfn.XLOOKUP(A261,PPTO_GENERADOR!$Q:$Q,PPTO_GENERADOR!A:A,"-",0)</f>
        <v>11.09</v>
      </c>
    </row>
    <row r="262" spans="1:18" ht="15" customHeight="1" x14ac:dyDescent="0.35">
      <c r="A262" s="38" t="s">
        <v>200</v>
      </c>
      <c r="B262" s="38" t="s">
        <v>2774</v>
      </c>
      <c r="C262" s="38" t="s">
        <v>2779</v>
      </c>
      <c r="D262" s="38" t="s">
        <v>671</v>
      </c>
      <c r="E262" s="44" t="str">
        <f>IFERROR(VLOOKUP(D262,MATERIALES!A:B,2,FALSE()),"?")</f>
        <v>Pastina Klaukol x 1kg - Alta performance</v>
      </c>
      <c r="F262" s="44" t="str">
        <f>IFERROR(VLOOKUP(D262,MATERIALES!A:C,3,FALSE()),"?")</f>
        <v>u</v>
      </c>
      <c r="G262" s="45">
        <v>0.2</v>
      </c>
      <c r="H262" s="46">
        <v>0.05</v>
      </c>
      <c r="I262" s="47">
        <f>IFERROR(VLOOKUP(D262,MATERIALES!A:D,4,FALSE()),0)</f>
        <v>3214.35</v>
      </c>
      <c r="J262" s="42">
        <f>G262*I262*(1+H262)</f>
        <v>675.01350000000002</v>
      </c>
      <c r="K262" s="15" t="str">
        <f t="shared" si="28"/>
        <v>COL-057|MAT</v>
      </c>
      <c r="L262" s="15">
        <f>COUNTIFS($K$2:K262,K262)</f>
        <v>2</v>
      </c>
      <c r="M262" s="15" t="str">
        <f t="shared" si="29"/>
        <v>COL-057|MAT|2</v>
      </c>
      <c r="N262" s="47">
        <f>IFERROR(VLOOKUP(A262,PARTIDAS!A:F,6,FALSE()),0)</f>
        <v>10</v>
      </c>
      <c r="O262" s="247">
        <f t="shared" si="30"/>
        <v>0.2</v>
      </c>
      <c r="P262" s="247">
        <f>+_xlfn.XLOOKUP(A262,PPTO_GENERADOR!Q:Q,PPTO_GENERADOR!E:E,"-",0)</f>
        <v>73</v>
      </c>
      <c r="Q262" s="247">
        <f t="shared" si="31"/>
        <v>14.600000000000001</v>
      </c>
      <c r="R262" s="259">
        <f>+_xlfn.XLOOKUP(A262,PPTO_GENERADOR!$Q:$Q,PPTO_GENERADOR!A:A,"-",0)</f>
        <v>11.09</v>
      </c>
    </row>
    <row r="263" spans="1:18" ht="15" customHeight="1" x14ac:dyDescent="0.35">
      <c r="A263" s="38" t="s">
        <v>200</v>
      </c>
      <c r="B263" s="38" t="s">
        <v>2774</v>
      </c>
      <c r="C263" s="38" t="s">
        <v>2779</v>
      </c>
      <c r="D263" s="38" t="s">
        <v>855</v>
      </c>
      <c r="E263" s="44" t="str">
        <f>IFERROR(VLOOKUP(D263,MATERIALES!A:B,2,FALSE()),"?")</f>
        <v>Trapo</v>
      </c>
      <c r="F263" s="44" t="str">
        <f>IFERROR(VLOOKUP(D263,MATERIALES!A:C,3,FALSE()),"?")</f>
        <v>u</v>
      </c>
      <c r="G263" s="45">
        <v>0.01</v>
      </c>
      <c r="H263" s="46">
        <v>0.03</v>
      </c>
      <c r="I263" s="47">
        <f>IFERROR(VLOOKUP(D263,MATERIALES!A:D,4,FALSE()),0)</f>
        <v>735.06</v>
      </c>
      <c r="J263" s="42">
        <f>G263*I263*(1+H263)</f>
        <v>7.5711180000000002</v>
      </c>
      <c r="K263" s="15" t="str">
        <f t="shared" si="28"/>
        <v>COL-057|MAT</v>
      </c>
      <c r="L263" s="15">
        <f>COUNTIFS($K$2:K263,K263)</f>
        <v>3</v>
      </c>
      <c r="M263" s="15" t="str">
        <f t="shared" si="29"/>
        <v>COL-057|MAT|3</v>
      </c>
      <c r="N263" s="47">
        <f>IFERROR(VLOOKUP(A263,PARTIDAS!A:F,6,FALSE()),0)</f>
        <v>10</v>
      </c>
      <c r="O263" s="247">
        <f t="shared" si="30"/>
        <v>0.01</v>
      </c>
      <c r="P263" s="247">
        <f>+_xlfn.XLOOKUP(A263,PPTO_GENERADOR!Q:Q,PPTO_GENERADOR!E:E,"-",0)</f>
        <v>73</v>
      </c>
      <c r="Q263" s="247">
        <f t="shared" si="31"/>
        <v>0.73</v>
      </c>
      <c r="R263" s="259">
        <f>+_xlfn.XLOOKUP(A263,PPTO_GENERADOR!$Q:$Q,PPTO_GENERADOR!A:A,"-",0)</f>
        <v>11.09</v>
      </c>
    </row>
    <row r="264" spans="1:18" ht="15" customHeight="1" x14ac:dyDescent="0.35">
      <c r="A264" s="38" t="s">
        <v>200</v>
      </c>
      <c r="B264" s="38" t="s">
        <v>2774</v>
      </c>
      <c r="C264" s="38" t="s">
        <v>2779</v>
      </c>
      <c r="D264" s="38" t="s">
        <v>976</v>
      </c>
      <c r="E264" s="44" t="str">
        <f>IFERROR(VLOOKUP(D264,MATERIALES!A:B,2,FALSE()),"?")</f>
        <v>Disco Diamantado Aliafor Turbo Fino TRF</v>
      </c>
      <c r="F264" s="44" t="str">
        <f>IFERROR(VLOOKUP(D264,MATERIALES!A:C,3,FALSE()),"?")</f>
        <v>u</v>
      </c>
      <c r="G264" s="45">
        <v>4.0000000000000001E-3</v>
      </c>
      <c r="H264" s="46">
        <v>0.05</v>
      </c>
      <c r="I264" s="47">
        <f>IFERROR(VLOOKUP(D264,MATERIALES!A:D,4,FALSE()),0)</f>
        <v>20237</v>
      </c>
      <c r="J264" s="42">
        <f>G264*I264*(1+H264)</f>
        <v>84.995400000000018</v>
      </c>
      <c r="K264" s="15" t="str">
        <f t="shared" si="28"/>
        <v>COL-057|MAT</v>
      </c>
      <c r="L264" s="15">
        <f>COUNTIFS($K$2:K264,K264)</f>
        <v>4</v>
      </c>
      <c r="M264" s="15" t="str">
        <f t="shared" si="29"/>
        <v>COL-057|MAT|4</v>
      </c>
      <c r="N264" s="47">
        <f>IFERROR(VLOOKUP(A264,PARTIDAS!A:F,6,FALSE()),0)</f>
        <v>10</v>
      </c>
      <c r="O264" s="247">
        <f t="shared" si="30"/>
        <v>4.0000000000000001E-3</v>
      </c>
      <c r="P264" s="247">
        <f>+_xlfn.XLOOKUP(A264,PPTO_GENERADOR!Q:Q,PPTO_GENERADOR!E:E,"-",0)</f>
        <v>73</v>
      </c>
      <c r="Q264" s="247">
        <f t="shared" si="31"/>
        <v>0.29199999999999998</v>
      </c>
      <c r="R264" s="259">
        <f>+_xlfn.XLOOKUP(A264,PPTO_GENERADOR!$Q:$Q,PPTO_GENERADOR!A:A,"-",0)</f>
        <v>11.09</v>
      </c>
    </row>
    <row r="265" spans="1:18" ht="15" customHeight="1" x14ac:dyDescent="0.35">
      <c r="A265" s="38" t="s">
        <v>200</v>
      </c>
      <c r="B265" s="38" t="s">
        <v>2774</v>
      </c>
      <c r="C265" s="38" t="s">
        <v>2779</v>
      </c>
      <c r="D265" s="38" t="s">
        <v>979</v>
      </c>
      <c r="E265" s="44" t="str">
        <f>IFERROR(VLOOKUP(D265,MATERIALES!A:B,2,FALSE()),"?")</f>
        <v>Arco y cuña niveladores porcelanatos x 150 un</v>
      </c>
      <c r="F265" s="44" t="str">
        <f>IFERROR(VLOOKUP(D265,MATERIALES!A:C,3,FALSE()),"?")</f>
        <v>b</v>
      </c>
      <c r="G265" s="45">
        <v>0.04</v>
      </c>
      <c r="H265" s="46">
        <v>0.05</v>
      </c>
      <c r="I265" s="47">
        <f>IFERROR(VLOOKUP(D265,MATERIALES!A:D,4,FALSE()),0)</f>
        <v>44669.4214876033</v>
      </c>
      <c r="J265" s="42">
        <f>G265*I265*(1+H265)</f>
        <v>1876.1157024793388</v>
      </c>
      <c r="K265" s="15" t="str">
        <f t="shared" si="28"/>
        <v>COL-057|MAT</v>
      </c>
      <c r="L265" s="15">
        <f>COUNTIFS($K$2:K265,K265)</f>
        <v>5</v>
      </c>
      <c r="M265" s="15" t="str">
        <f t="shared" si="29"/>
        <v>COL-057|MAT|5</v>
      </c>
      <c r="N265" s="47">
        <f>IFERROR(VLOOKUP(A265,PARTIDAS!A:F,6,FALSE()),0)</f>
        <v>10</v>
      </c>
      <c r="O265" s="247">
        <f t="shared" si="30"/>
        <v>0.04</v>
      </c>
      <c r="P265" s="247">
        <f>+_xlfn.XLOOKUP(A265,PPTO_GENERADOR!Q:Q,PPTO_GENERADOR!E:E,"-",0)</f>
        <v>73</v>
      </c>
      <c r="Q265" s="247">
        <f t="shared" si="31"/>
        <v>2.92</v>
      </c>
      <c r="R265" s="259">
        <f>+_xlfn.XLOOKUP(A265,PPTO_GENERADOR!$Q:$Q,PPTO_GENERADOR!A:A,"-",0)</f>
        <v>11.09</v>
      </c>
    </row>
    <row r="266" spans="1:18" ht="15" customHeight="1" x14ac:dyDescent="0.35">
      <c r="A266" s="38" t="s">
        <v>200</v>
      </c>
      <c r="B266" s="38" t="s">
        <v>2776</v>
      </c>
      <c r="C266" s="38" t="s">
        <v>2777</v>
      </c>
      <c r="D266" s="237" t="s">
        <v>1574</v>
      </c>
      <c r="E266" s="44" t="str">
        <f>IFERROR(VLOOKUP(D266,MANO_DE_OBRA!A:B,2,FALSE()),"?")</f>
        <v>MEDIO OFICIAL</v>
      </c>
      <c r="F266" s="44" t="s">
        <v>2778</v>
      </c>
      <c r="G266" s="45">
        <v>1</v>
      </c>
      <c r="H266" s="46">
        <v>0</v>
      </c>
      <c r="I266" s="47">
        <f>IFERROR(VLOOKUP(D266,MANO_DE_OBRA!A:C,3,FALSE()),0)</f>
        <v>65493.071636572</v>
      </c>
      <c r="J266" s="42">
        <f>G266*I266</f>
        <v>65493.071636572</v>
      </c>
      <c r="K266" s="15" t="str">
        <f t="shared" si="28"/>
        <v>COL-057|MO</v>
      </c>
      <c r="L266" s="15">
        <f>COUNTIFS($K$2:K266,K266)</f>
        <v>1</v>
      </c>
      <c r="M266" s="15" t="str">
        <f t="shared" si="29"/>
        <v>COL-057|MO|1</v>
      </c>
      <c r="N266" s="47">
        <f>IFERROR(VLOOKUP(A266,PARTIDAS!A:F,6,FALSE()),0)</f>
        <v>10</v>
      </c>
      <c r="O266" s="247">
        <f t="shared" si="30"/>
        <v>0.1</v>
      </c>
      <c r="P266" s="247">
        <f>+_xlfn.XLOOKUP(A266,PPTO_GENERADOR!Q:Q,PPTO_GENERADOR!E:E,"-",0)</f>
        <v>73</v>
      </c>
      <c r="Q266" s="247">
        <f t="shared" si="31"/>
        <v>7.3000000000000007</v>
      </c>
      <c r="R266" s="259">
        <f>+_xlfn.XLOOKUP(A266,PPTO_GENERADOR!$Q:$Q,PPTO_GENERADOR!A:A,"-",0)</f>
        <v>11.09</v>
      </c>
    </row>
    <row r="267" spans="1:18" ht="15" customHeight="1" x14ac:dyDescent="0.35">
      <c r="A267" s="38" t="s">
        <v>200</v>
      </c>
      <c r="B267" s="38" t="s">
        <v>2776</v>
      </c>
      <c r="C267" s="38" t="s">
        <v>2777</v>
      </c>
      <c r="D267" s="237" t="s">
        <v>1571</v>
      </c>
      <c r="E267" s="44" t="str">
        <f>IFERROR(VLOOKUP(D267,MANO_DE_OBRA!A:B,2,FALSE()),"?")</f>
        <v>OFICIAL</v>
      </c>
      <c r="F267" s="44" t="s">
        <v>2778</v>
      </c>
      <c r="G267" s="45">
        <v>1</v>
      </c>
      <c r="H267" s="46">
        <v>0</v>
      </c>
      <c r="I267" s="47">
        <f>IFERROR(VLOOKUP(D267,MANO_DE_OBRA!A:C,3,FALSE()),0)</f>
        <v>76955.079706571996</v>
      </c>
      <c r="J267" s="42">
        <f>G267*I267</f>
        <v>76955.079706571996</v>
      </c>
      <c r="K267" s="15" t="str">
        <f t="shared" si="28"/>
        <v>COL-057|MO</v>
      </c>
      <c r="L267" s="15">
        <f>COUNTIFS($K$2:K267,K267)</f>
        <v>2</v>
      </c>
      <c r="M267" s="15" t="str">
        <f t="shared" si="29"/>
        <v>COL-057|MO|2</v>
      </c>
      <c r="N267" s="47">
        <f>IFERROR(VLOOKUP(A267,PARTIDAS!A:F,6,FALSE()),0)</f>
        <v>10</v>
      </c>
      <c r="O267" s="247">
        <f t="shared" si="30"/>
        <v>0.1</v>
      </c>
      <c r="P267" s="247">
        <f>+_xlfn.XLOOKUP(A267,PPTO_GENERADOR!Q:Q,PPTO_GENERADOR!E:E,"-",0)</f>
        <v>73</v>
      </c>
      <c r="Q267" s="247">
        <f t="shared" si="31"/>
        <v>7.3000000000000007</v>
      </c>
      <c r="R267" s="259">
        <f>+_xlfn.XLOOKUP(A267,PPTO_GENERADOR!$Q:$Q,PPTO_GENERADOR!A:A,"-",0)</f>
        <v>11.09</v>
      </c>
    </row>
    <row r="268" spans="1:18" ht="15" customHeight="1" x14ac:dyDescent="0.35">
      <c r="A268" s="38" t="s">
        <v>209</v>
      </c>
      <c r="B268" s="38" t="s">
        <v>2773</v>
      </c>
      <c r="C268" s="38"/>
      <c r="D268" s="38" t="s">
        <v>1619</v>
      </c>
      <c r="E268" s="44" t="str">
        <f>IFERROR(VLOOKUP(D268,EQUIPOS!A:B,2,FALSE()),"?")</f>
        <v>CORTADORA CERAMICA PROFESIONAL 1200MM (PORCELANATO HASTA 16MM)</v>
      </c>
      <c r="F268" s="44"/>
      <c r="G268" s="45">
        <v>1</v>
      </c>
      <c r="H268" s="46">
        <v>0</v>
      </c>
      <c r="I268" s="47">
        <f>IFERROR(VLOOKUP(D268,EQUIPOS!A:F,6,FALSE()),0)</f>
        <v>298.42384358082836</v>
      </c>
      <c r="J268" s="42">
        <f>G268*I268</f>
        <v>298.42384358082836</v>
      </c>
      <c r="K268" s="15" t="str">
        <f t="shared" si="28"/>
        <v>COL-058|EQ</v>
      </c>
      <c r="L268" s="15">
        <f>COUNTIFS($K$2:K268,K268)</f>
        <v>1</v>
      </c>
      <c r="M268" s="15" t="str">
        <f t="shared" si="29"/>
        <v>COL-058|EQ|1</v>
      </c>
      <c r="N268" s="47">
        <f>IFERROR(VLOOKUP(A268,PARTIDAS!A:F,6,FALSE()),0)</f>
        <v>30</v>
      </c>
      <c r="O268" s="247">
        <f t="shared" si="30"/>
        <v>1</v>
      </c>
      <c r="P268" s="247">
        <f>+_xlfn.XLOOKUP(A268,PPTO_GENERADOR!Q:Q,PPTO_GENERADOR!E:E,"-",0)</f>
        <v>386</v>
      </c>
      <c r="Q268" s="247">
        <f t="shared" si="31"/>
        <v>386</v>
      </c>
      <c r="R268" s="259">
        <f>+_xlfn.XLOOKUP(A268,PPTO_GENERADOR!$Q:$Q,PPTO_GENERADOR!A:A,"-",0)</f>
        <v>12.03</v>
      </c>
    </row>
    <row r="269" spans="1:18" ht="15" customHeight="1" x14ac:dyDescent="0.35">
      <c r="A269" s="38" t="s">
        <v>209</v>
      </c>
      <c r="B269" s="38" t="s">
        <v>2773</v>
      </c>
      <c r="C269" s="38"/>
      <c r="D269" s="38" t="s">
        <v>1598</v>
      </c>
      <c r="E269" s="44" t="str">
        <f>IFERROR(VLOOKUP(D269,EQUIPOS!A:B,2,FALSE()),"?")</f>
        <v>EQUIPO PARA COLOCACION DE CERAMICA</v>
      </c>
      <c r="F269" s="44"/>
      <c r="G269" s="45">
        <v>1</v>
      </c>
      <c r="H269" s="46">
        <v>0</v>
      </c>
      <c r="I269" s="47">
        <f>IFERROR(VLOOKUP(D269,EQUIPOS!A:F,6,FALSE()),0)</f>
        <v>2637.1418444899073</v>
      </c>
      <c r="J269" s="42">
        <f>G269*I269</f>
        <v>2637.1418444899073</v>
      </c>
      <c r="K269" s="15" t="str">
        <f t="shared" si="28"/>
        <v>COL-058|EQ</v>
      </c>
      <c r="L269" s="15">
        <f>COUNTIFS($K$2:K269,K269)</f>
        <v>2</v>
      </c>
      <c r="M269" s="15" t="str">
        <f t="shared" si="29"/>
        <v>COL-058|EQ|2</v>
      </c>
      <c r="N269" s="47">
        <f>IFERROR(VLOOKUP(A269,PARTIDAS!A:F,6,FALSE()),0)</f>
        <v>30</v>
      </c>
      <c r="O269" s="247">
        <f t="shared" si="30"/>
        <v>1</v>
      </c>
      <c r="P269" s="247">
        <f>+_xlfn.XLOOKUP(A269,PPTO_GENERADOR!Q:Q,PPTO_GENERADOR!E:E,"-",0)</f>
        <v>386</v>
      </c>
      <c r="Q269" s="247">
        <f t="shared" si="31"/>
        <v>386</v>
      </c>
      <c r="R269" s="259">
        <f>+_xlfn.XLOOKUP(A269,PPTO_GENERADOR!$Q:$Q,PPTO_GENERADOR!A:A,"-",0)</f>
        <v>12.03</v>
      </c>
    </row>
    <row r="270" spans="1:18" ht="15" customHeight="1" x14ac:dyDescent="0.35">
      <c r="A270" s="38" t="s">
        <v>209</v>
      </c>
      <c r="B270" s="38" t="s">
        <v>2774</v>
      </c>
      <c r="C270" s="38" t="s">
        <v>2779</v>
      </c>
      <c r="D270" s="38" t="s">
        <v>652</v>
      </c>
      <c r="E270" s="44" t="str">
        <f>IFERROR(VLOOKUP(D270,MATERIALES!A:B,2,FALSE()),"?")</f>
        <v>Adhesivo Klaukol Porcellanato Fluido x 30Kg</v>
      </c>
      <c r="F270" s="44" t="str">
        <f>IFERROR(VLOOKUP(D270,MATERIALES!A:C,3,FALSE()),"?")</f>
        <v>bol</v>
      </c>
      <c r="G270" s="45">
        <v>0.04</v>
      </c>
      <c r="H270" s="46">
        <v>0.2</v>
      </c>
      <c r="I270" s="47">
        <f>IFERROR(VLOOKUP(D270,MATERIALES!A:D,4,FALSE()),0)</f>
        <v>18802.511999999999</v>
      </c>
      <c r="J270" s="42">
        <f>G270*I270*(1+H270)</f>
        <v>902.52057599999989</v>
      </c>
      <c r="K270" s="15" t="str">
        <f t="shared" si="28"/>
        <v>COL-058|MAT</v>
      </c>
      <c r="L270" s="15">
        <f>COUNTIFS($K$2:K270,K270)</f>
        <v>1</v>
      </c>
      <c r="M270" s="15" t="str">
        <f t="shared" si="29"/>
        <v>COL-058|MAT|1</v>
      </c>
      <c r="N270" s="47">
        <f>IFERROR(VLOOKUP(A270,PARTIDAS!A:F,6,FALSE()),0)</f>
        <v>30</v>
      </c>
      <c r="O270" s="247">
        <f t="shared" si="30"/>
        <v>0.04</v>
      </c>
      <c r="P270" s="247">
        <f>+_xlfn.XLOOKUP(A270,PPTO_GENERADOR!Q:Q,PPTO_GENERADOR!E:E,"-",0)</f>
        <v>386</v>
      </c>
      <c r="Q270" s="247">
        <f t="shared" si="31"/>
        <v>15.44</v>
      </c>
      <c r="R270" s="259">
        <f>+_xlfn.XLOOKUP(A270,PPTO_GENERADOR!$Q:$Q,PPTO_GENERADOR!A:A,"-",0)</f>
        <v>12.03</v>
      </c>
    </row>
    <row r="271" spans="1:18" ht="15" customHeight="1" x14ac:dyDescent="0.35">
      <c r="A271" s="38" t="s">
        <v>209</v>
      </c>
      <c r="B271" s="38" t="s">
        <v>2774</v>
      </c>
      <c r="C271" s="38" t="s">
        <v>2779</v>
      </c>
      <c r="D271" s="38" t="s">
        <v>671</v>
      </c>
      <c r="E271" s="44" t="str">
        <f>IFERROR(VLOOKUP(D271,MATERIALES!A:B,2,FALSE()),"?")</f>
        <v>Pastina Klaukol x 1kg - Alta performance</v>
      </c>
      <c r="F271" s="44" t="str">
        <f>IFERROR(VLOOKUP(D271,MATERIALES!A:C,3,FALSE()),"?")</f>
        <v>u</v>
      </c>
      <c r="G271" s="45">
        <v>0.04</v>
      </c>
      <c r="H271" s="46">
        <v>0.05</v>
      </c>
      <c r="I271" s="47">
        <f>IFERROR(VLOOKUP(D271,MATERIALES!A:D,4,FALSE()),0)</f>
        <v>3214.35</v>
      </c>
      <c r="J271" s="42">
        <f>G271*I271*(1+H271)</f>
        <v>135.00270000000003</v>
      </c>
      <c r="K271" s="15" t="str">
        <f t="shared" si="28"/>
        <v>COL-058|MAT</v>
      </c>
      <c r="L271" s="15">
        <f>COUNTIFS($K$2:K271,K271)</f>
        <v>2</v>
      </c>
      <c r="M271" s="15" t="str">
        <f t="shared" si="29"/>
        <v>COL-058|MAT|2</v>
      </c>
      <c r="N271" s="47">
        <f>IFERROR(VLOOKUP(A271,PARTIDAS!A:F,6,FALSE()),0)</f>
        <v>30</v>
      </c>
      <c r="O271" s="247">
        <f t="shared" si="30"/>
        <v>0.04</v>
      </c>
      <c r="P271" s="247">
        <f>+_xlfn.XLOOKUP(A271,PPTO_GENERADOR!Q:Q,PPTO_GENERADOR!E:E,"-",0)</f>
        <v>386</v>
      </c>
      <c r="Q271" s="247">
        <f t="shared" si="31"/>
        <v>15.44</v>
      </c>
      <c r="R271" s="259">
        <f>+_xlfn.XLOOKUP(A271,PPTO_GENERADOR!$Q:$Q,PPTO_GENERADOR!A:A,"-",0)</f>
        <v>12.03</v>
      </c>
    </row>
    <row r="272" spans="1:18" ht="15" customHeight="1" x14ac:dyDescent="0.35">
      <c r="A272" s="38" t="s">
        <v>209</v>
      </c>
      <c r="B272" s="38" t="s">
        <v>2774</v>
      </c>
      <c r="C272" s="38" t="s">
        <v>2779</v>
      </c>
      <c r="D272" s="38" t="s">
        <v>855</v>
      </c>
      <c r="E272" s="44" t="str">
        <f>IFERROR(VLOOKUP(D272,MATERIALES!A:B,2,FALSE()),"?")</f>
        <v>Trapo</v>
      </c>
      <c r="F272" s="44" t="str">
        <f>IFERROR(VLOOKUP(D272,MATERIALES!A:C,3,FALSE()),"?")</f>
        <v>u</v>
      </c>
      <c r="G272" s="45">
        <v>0.01</v>
      </c>
      <c r="H272" s="46">
        <v>0.03</v>
      </c>
      <c r="I272" s="47">
        <f>IFERROR(VLOOKUP(D272,MATERIALES!A:D,4,FALSE()),0)</f>
        <v>735.06</v>
      </c>
      <c r="J272" s="42">
        <f>G272*I272*(1+H272)</f>
        <v>7.5711180000000002</v>
      </c>
      <c r="K272" s="15" t="str">
        <f t="shared" si="28"/>
        <v>COL-058|MAT</v>
      </c>
      <c r="L272" s="15">
        <f>COUNTIFS($K$2:K272,K272)</f>
        <v>3</v>
      </c>
      <c r="M272" s="15" t="str">
        <f t="shared" si="29"/>
        <v>COL-058|MAT|3</v>
      </c>
      <c r="N272" s="47">
        <f>IFERROR(VLOOKUP(A272,PARTIDAS!A:F,6,FALSE()),0)</f>
        <v>30</v>
      </c>
      <c r="O272" s="247">
        <f t="shared" si="30"/>
        <v>0.01</v>
      </c>
      <c r="P272" s="247">
        <f>+_xlfn.XLOOKUP(A272,PPTO_GENERADOR!Q:Q,PPTO_GENERADOR!E:E,"-",0)</f>
        <v>386</v>
      </c>
      <c r="Q272" s="247">
        <f t="shared" si="31"/>
        <v>3.86</v>
      </c>
      <c r="R272" s="259">
        <f>+_xlfn.XLOOKUP(A272,PPTO_GENERADOR!$Q:$Q,PPTO_GENERADOR!A:A,"-",0)</f>
        <v>12.03</v>
      </c>
    </row>
    <row r="273" spans="1:18" ht="15" customHeight="1" x14ac:dyDescent="0.35">
      <c r="A273" s="38" t="s">
        <v>209</v>
      </c>
      <c r="B273" s="38" t="s">
        <v>2774</v>
      </c>
      <c r="C273" s="38" t="s">
        <v>2779</v>
      </c>
      <c r="D273" s="38" t="s">
        <v>976</v>
      </c>
      <c r="E273" s="44" t="str">
        <f>IFERROR(VLOOKUP(D273,MATERIALES!A:B,2,FALSE()),"?")</f>
        <v>Disco Diamantado Aliafor Turbo Fino TRF</v>
      </c>
      <c r="F273" s="44" t="str">
        <f>IFERROR(VLOOKUP(D273,MATERIALES!A:C,3,FALSE()),"?")</f>
        <v>u</v>
      </c>
      <c r="G273" s="45">
        <v>1E-3</v>
      </c>
      <c r="H273" s="46">
        <v>0.05</v>
      </c>
      <c r="I273" s="47">
        <f>IFERROR(VLOOKUP(D273,MATERIALES!A:D,4,FALSE()),0)</f>
        <v>20237</v>
      </c>
      <c r="J273" s="42">
        <f>G273*I273*(1+H273)</f>
        <v>21.248850000000004</v>
      </c>
      <c r="K273" s="15" t="str">
        <f t="shared" si="28"/>
        <v>COL-058|MAT</v>
      </c>
      <c r="L273" s="15">
        <f>COUNTIFS($K$2:K273,K273)</f>
        <v>4</v>
      </c>
      <c r="M273" s="15" t="str">
        <f t="shared" si="29"/>
        <v>COL-058|MAT|4</v>
      </c>
      <c r="N273" s="47">
        <f>IFERROR(VLOOKUP(A273,PARTIDAS!A:F,6,FALSE()),0)</f>
        <v>30</v>
      </c>
      <c r="O273" s="247">
        <f t="shared" si="30"/>
        <v>1E-3</v>
      </c>
      <c r="P273" s="247">
        <f>+_xlfn.XLOOKUP(A273,PPTO_GENERADOR!Q:Q,PPTO_GENERADOR!E:E,"-",0)</f>
        <v>386</v>
      </c>
      <c r="Q273" s="247">
        <f t="shared" si="31"/>
        <v>0.38600000000000001</v>
      </c>
      <c r="R273" s="259">
        <f>+_xlfn.XLOOKUP(A273,PPTO_GENERADOR!$Q:$Q,PPTO_GENERADOR!A:A,"-",0)</f>
        <v>12.03</v>
      </c>
    </row>
    <row r="274" spans="1:18" ht="15" customHeight="1" x14ac:dyDescent="0.35">
      <c r="A274" s="38" t="s">
        <v>209</v>
      </c>
      <c r="B274" s="38" t="s">
        <v>2776</v>
      </c>
      <c r="C274" s="38" t="s">
        <v>2777</v>
      </c>
      <c r="D274" s="237" t="s">
        <v>1574</v>
      </c>
      <c r="E274" s="44" t="str">
        <f>IFERROR(VLOOKUP(D274,MANO_DE_OBRA!A:B,2,FALSE()),"?")</f>
        <v>MEDIO OFICIAL</v>
      </c>
      <c r="F274" s="44" t="s">
        <v>2778</v>
      </c>
      <c r="G274" s="45">
        <v>1</v>
      </c>
      <c r="H274" s="46">
        <v>0</v>
      </c>
      <c r="I274" s="47">
        <f>IFERROR(VLOOKUP(D274,MANO_DE_OBRA!A:C,3,FALSE()),0)</f>
        <v>65493.071636572</v>
      </c>
      <c r="J274" s="42">
        <f>G274*I274</f>
        <v>65493.071636572</v>
      </c>
      <c r="K274" s="15" t="str">
        <f t="shared" si="28"/>
        <v>COL-058|MO</v>
      </c>
      <c r="L274" s="15">
        <f>COUNTIFS($K$2:K274,K274)</f>
        <v>1</v>
      </c>
      <c r="M274" s="15" t="str">
        <f t="shared" si="29"/>
        <v>COL-058|MO|1</v>
      </c>
      <c r="N274" s="47">
        <f>IFERROR(VLOOKUP(A274,PARTIDAS!A:F,6,FALSE()),0)</f>
        <v>30</v>
      </c>
      <c r="O274" s="247">
        <f t="shared" si="30"/>
        <v>3.3333333333333333E-2</v>
      </c>
      <c r="P274" s="247">
        <f>+_xlfn.XLOOKUP(A274,PPTO_GENERADOR!Q:Q,PPTO_GENERADOR!E:E,"-",0)</f>
        <v>386</v>
      </c>
      <c r="Q274" s="247">
        <f t="shared" si="31"/>
        <v>12.866666666666667</v>
      </c>
      <c r="R274" s="259">
        <f>+_xlfn.XLOOKUP(A274,PPTO_GENERADOR!$Q:$Q,PPTO_GENERADOR!A:A,"-",0)</f>
        <v>12.03</v>
      </c>
    </row>
    <row r="275" spans="1:18" ht="15" customHeight="1" x14ac:dyDescent="0.35">
      <c r="A275" s="38" t="s">
        <v>209</v>
      </c>
      <c r="B275" s="38" t="s">
        <v>2776</v>
      </c>
      <c r="C275" s="38" t="s">
        <v>2777</v>
      </c>
      <c r="D275" s="237" t="s">
        <v>1571</v>
      </c>
      <c r="E275" s="44" t="str">
        <f>IFERROR(VLOOKUP(D275,MANO_DE_OBRA!A:B,2,FALSE()),"?")</f>
        <v>OFICIAL</v>
      </c>
      <c r="F275" s="44" t="s">
        <v>2778</v>
      </c>
      <c r="G275" s="45">
        <v>1</v>
      </c>
      <c r="H275" s="46">
        <v>0</v>
      </c>
      <c r="I275" s="47">
        <f>IFERROR(VLOOKUP(D275,MANO_DE_OBRA!A:C,3,FALSE()),0)</f>
        <v>76955.079706571996</v>
      </c>
      <c r="J275" s="42">
        <f>G275*I275</f>
        <v>76955.079706571996</v>
      </c>
      <c r="K275" s="15" t="str">
        <f t="shared" si="28"/>
        <v>COL-058|MO</v>
      </c>
      <c r="L275" s="15">
        <f>COUNTIFS($K$2:K275,K275)</f>
        <v>2</v>
      </c>
      <c r="M275" s="15" t="str">
        <f t="shared" si="29"/>
        <v>COL-058|MO|2</v>
      </c>
      <c r="N275" s="47">
        <f>IFERROR(VLOOKUP(A275,PARTIDAS!A:F,6,FALSE()),0)</f>
        <v>30</v>
      </c>
      <c r="O275" s="247">
        <f t="shared" si="30"/>
        <v>3.3333333333333333E-2</v>
      </c>
      <c r="P275" s="247">
        <f>+_xlfn.XLOOKUP(A275,PPTO_GENERADOR!Q:Q,PPTO_GENERADOR!E:E,"-",0)</f>
        <v>386</v>
      </c>
      <c r="Q275" s="247">
        <f t="shared" si="31"/>
        <v>12.866666666666667</v>
      </c>
      <c r="R275" s="259">
        <f>+_xlfn.XLOOKUP(A275,PPTO_GENERADOR!$Q:$Q,PPTO_GENERADOR!A:A,"-",0)</f>
        <v>12.03</v>
      </c>
    </row>
    <row r="276" spans="1:18" ht="15" customHeight="1" x14ac:dyDescent="0.35">
      <c r="A276" s="38" t="s">
        <v>2567</v>
      </c>
      <c r="B276" s="38" t="s">
        <v>2774</v>
      </c>
      <c r="C276" s="38" t="s">
        <v>2775</v>
      </c>
      <c r="D276" s="38" t="s">
        <v>685</v>
      </c>
      <c r="E276" s="44" t="str">
        <f>IFERROR(VLOOKUP(D276,MATERIALES!A:B,2,FALSE()),"?")</f>
        <v>Alambre de Fardo</v>
      </c>
      <c r="F276" s="44" t="str">
        <f>IFERROR(VLOOKUP(D276,MATERIALES!A:C,3,FALSE()),"?")</f>
        <v>kg</v>
      </c>
      <c r="G276" s="45">
        <v>6.7000000000000004E-2</v>
      </c>
      <c r="H276" s="46">
        <v>0.15</v>
      </c>
      <c r="I276" s="47">
        <f>IFERROR(VLOOKUP(D276,MATERIALES!A:D,4,FALSE()),0)</f>
        <v>2302.02</v>
      </c>
      <c r="J276" s="42">
        <f>G276*I276*(1+H276)</f>
        <v>177.37064100000001</v>
      </c>
      <c r="K276" s="15" t="str">
        <f t="shared" si="28"/>
        <v>COL-080|MAT</v>
      </c>
      <c r="L276" s="15">
        <f>COUNTIFS($K$2:K276,K276)</f>
        <v>1</v>
      </c>
      <c r="M276" s="15" t="str">
        <f t="shared" si="29"/>
        <v>COL-080|MAT|1</v>
      </c>
      <c r="N276" s="47">
        <f>IFERROR(VLOOKUP(A276,PARTIDAS!A:F,6,FALSE()),0)</f>
        <v>450</v>
      </c>
      <c r="O276" s="247">
        <f t="shared" si="30"/>
        <v>6.7000000000000004E-2</v>
      </c>
      <c r="P276" s="247" t="str">
        <f>+_xlfn.XLOOKUP(A276,PPTO_GENERADOR!Q:Q,PPTO_GENERADOR!E:E,"-",0)</f>
        <v>-</v>
      </c>
      <c r="Q276" s="247">
        <f t="shared" si="31"/>
        <v>0</v>
      </c>
      <c r="R276" s="259" t="str">
        <f>+_xlfn.XLOOKUP(A276,PPTO_GENERADOR!$Q:$Q,PPTO_GENERADOR!A:A,"-",0)</f>
        <v>-</v>
      </c>
    </row>
    <row r="277" spans="1:18" ht="15" customHeight="1" x14ac:dyDescent="0.35">
      <c r="A277" s="38" t="s">
        <v>2567</v>
      </c>
      <c r="B277" s="38" t="s">
        <v>2774</v>
      </c>
      <c r="C277" s="38" t="s">
        <v>2775</v>
      </c>
      <c r="D277" s="38" t="s">
        <v>893</v>
      </c>
      <c r="E277" s="44" t="str">
        <f>IFERROR(VLOOKUP(D277,MATERIALES!A:B,2,FALSE()),"?")</f>
        <v>ACERO ESTRUCTURAL POR KILO</v>
      </c>
      <c r="F277" s="44" t="str">
        <f>IFERROR(VLOOKUP(D277,MATERIALES!A:C,3,FALSE()),"?")</f>
        <v>KGF</v>
      </c>
      <c r="G277" s="45">
        <v>1</v>
      </c>
      <c r="H277" s="46">
        <v>7.0000000000000007E-2</v>
      </c>
      <c r="I277" s="47">
        <f>IFERROR(VLOOKUP(D277,MATERIALES!A:D,4,FALSE()),0)</f>
        <v>1269.26</v>
      </c>
      <c r="J277" s="42">
        <f>G277*I277*(1+H277)</f>
        <v>1358.1082000000001</v>
      </c>
      <c r="K277" s="15" t="str">
        <f t="shared" si="28"/>
        <v>COL-080|MAT</v>
      </c>
      <c r="L277" s="15">
        <f>COUNTIFS($K$2:K277,K277)</f>
        <v>2</v>
      </c>
      <c r="M277" s="15" t="str">
        <f t="shared" si="29"/>
        <v>COL-080|MAT|2</v>
      </c>
      <c r="N277" s="47">
        <f>IFERROR(VLOOKUP(A277,PARTIDAS!A:F,6,FALSE()),0)</f>
        <v>450</v>
      </c>
      <c r="O277" s="247">
        <f t="shared" si="30"/>
        <v>1</v>
      </c>
      <c r="P277" s="247" t="str">
        <f>+_xlfn.XLOOKUP(A277,PPTO_GENERADOR!Q:Q,PPTO_GENERADOR!E:E,"-",0)</f>
        <v>-</v>
      </c>
      <c r="Q277" s="247">
        <f t="shared" si="31"/>
        <v>0</v>
      </c>
      <c r="R277" s="259" t="str">
        <f>+_xlfn.XLOOKUP(A277,PPTO_GENERADOR!$Q:$Q,PPTO_GENERADOR!A:A,"-",0)</f>
        <v>-</v>
      </c>
    </row>
    <row r="278" spans="1:18" ht="15" customHeight="1" x14ac:dyDescent="0.35">
      <c r="A278" s="38" t="s">
        <v>2567</v>
      </c>
      <c r="B278" s="38" t="s">
        <v>2776</v>
      </c>
      <c r="C278" s="38" t="s">
        <v>2777</v>
      </c>
      <c r="D278" s="237" t="s">
        <v>1577</v>
      </c>
      <c r="E278" s="44" t="str">
        <f>IFERROR(VLOOKUP(D278,MANO_DE_OBRA!A:B,2,FALSE()),"?")</f>
        <v>AYUDANTE</v>
      </c>
      <c r="F278" s="44" t="s">
        <v>2778</v>
      </c>
      <c r="G278" s="45">
        <v>1</v>
      </c>
      <c r="H278" s="46">
        <v>0</v>
      </c>
      <c r="I278" s="47">
        <f>IFERROR(VLOOKUP(D278,MANO_DE_OBRA!A:C,3,FALSE()),0)</f>
        <v>60860.580776572002</v>
      </c>
      <c r="J278" s="42">
        <f>G278*I278</f>
        <v>60860.580776572002</v>
      </c>
      <c r="K278" s="15" t="str">
        <f t="shared" si="28"/>
        <v>COL-080|MO</v>
      </c>
      <c r="L278" s="15">
        <f>COUNTIFS($K$2:K278,K278)</f>
        <v>1</v>
      </c>
      <c r="M278" s="15" t="str">
        <f t="shared" si="29"/>
        <v>COL-080|MO|1</v>
      </c>
      <c r="N278" s="47">
        <f>IFERROR(VLOOKUP(A278,PARTIDAS!A:F,6,FALSE()),0)</f>
        <v>450</v>
      </c>
      <c r="O278" s="247">
        <f t="shared" si="30"/>
        <v>2.2222222222222222E-3</v>
      </c>
      <c r="P278" s="247" t="str">
        <f>+_xlfn.XLOOKUP(A278,PPTO_GENERADOR!Q:Q,PPTO_GENERADOR!E:E,"-",0)</f>
        <v>-</v>
      </c>
      <c r="Q278" s="247">
        <f t="shared" si="31"/>
        <v>0</v>
      </c>
      <c r="R278" s="259" t="str">
        <f>+_xlfn.XLOOKUP(A278,PPTO_GENERADOR!$Q:$Q,PPTO_GENERADOR!A:A,"-",0)</f>
        <v>-</v>
      </c>
    </row>
    <row r="279" spans="1:18" ht="15" customHeight="1" x14ac:dyDescent="0.35">
      <c r="A279" s="38" t="s">
        <v>2567</v>
      </c>
      <c r="B279" s="38" t="s">
        <v>2776</v>
      </c>
      <c r="C279" s="38" t="s">
        <v>2777</v>
      </c>
      <c r="D279" s="237" t="s">
        <v>1568</v>
      </c>
      <c r="E279" s="44" t="str">
        <f>IFERROR(VLOOKUP(D279,MANO_DE_OBRA!A:B,2,FALSE()),"?")</f>
        <v>ESPECIALIZADO</v>
      </c>
      <c r="F279" s="44" t="s">
        <v>2778</v>
      </c>
      <c r="G279" s="45">
        <v>2</v>
      </c>
      <c r="H279" s="46">
        <v>0</v>
      </c>
      <c r="I279" s="47">
        <f>IFERROR(VLOOKUP(D279,MANO_DE_OBRA!A:C,3,FALSE()),0)</f>
        <v>85927.097156571996</v>
      </c>
      <c r="J279" s="42">
        <f>G279*I279</f>
        <v>171854.19431314399</v>
      </c>
      <c r="K279" s="15" t="str">
        <f t="shared" si="28"/>
        <v>COL-080|MO</v>
      </c>
      <c r="L279" s="15">
        <f>COUNTIFS($K$2:K279,K279)</f>
        <v>2</v>
      </c>
      <c r="M279" s="15" t="str">
        <f t="shared" si="29"/>
        <v>COL-080|MO|2</v>
      </c>
      <c r="N279" s="47">
        <f>IFERROR(VLOOKUP(A279,PARTIDAS!A:F,6,FALSE()),0)</f>
        <v>450</v>
      </c>
      <c r="O279" s="247">
        <f t="shared" si="30"/>
        <v>4.4444444444444444E-3</v>
      </c>
      <c r="P279" s="247" t="str">
        <f>+_xlfn.XLOOKUP(A279,PPTO_GENERADOR!Q:Q,PPTO_GENERADOR!E:E,"-",0)</f>
        <v>-</v>
      </c>
      <c r="Q279" s="247">
        <f t="shared" si="31"/>
        <v>0</v>
      </c>
      <c r="R279" s="259" t="str">
        <f>+_xlfn.XLOOKUP(A279,PPTO_GENERADOR!$Q:$Q,PPTO_GENERADOR!A:A,"-",0)</f>
        <v>-</v>
      </c>
    </row>
    <row r="280" spans="1:18" ht="15" customHeight="1" x14ac:dyDescent="0.35">
      <c r="A280" s="38" t="s">
        <v>2567</v>
      </c>
      <c r="B280" s="38" t="s">
        <v>2776</v>
      </c>
      <c r="C280" s="38" t="s">
        <v>2777</v>
      </c>
      <c r="D280" s="237" t="s">
        <v>1568</v>
      </c>
      <c r="E280" s="44" t="str">
        <f>IFERROR(VLOOKUP(D280,MANO_DE_OBRA!A:B,2,FALSE()),"?")</f>
        <v>ESPECIALIZADO</v>
      </c>
      <c r="F280" s="44" t="s">
        <v>2778</v>
      </c>
      <c r="G280" s="45">
        <v>2</v>
      </c>
      <c r="H280" s="46">
        <v>0</v>
      </c>
      <c r="I280" s="47">
        <f>IFERROR(VLOOKUP(D280,MANO_DE_OBRA!A:C,3,FALSE()),0)</f>
        <v>85927.097156571996</v>
      </c>
      <c r="J280" s="42">
        <f>G280*I280</f>
        <v>171854.19431314399</v>
      </c>
      <c r="K280" s="15" t="str">
        <f t="shared" si="28"/>
        <v>COL-080|MO</v>
      </c>
      <c r="L280" s="15">
        <f>COUNTIFS($K$2:K280,K280)</f>
        <v>3</v>
      </c>
      <c r="M280" s="15" t="str">
        <f t="shared" si="29"/>
        <v>COL-080|MO|3</v>
      </c>
      <c r="N280" s="47">
        <f>IFERROR(VLOOKUP(A280,PARTIDAS!A:F,6,FALSE()),0)</f>
        <v>450</v>
      </c>
      <c r="O280" s="247">
        <f t="shared" si="30"/>
        <v>4.4444444444444444E-3</v>
      </c>
      <c r="P280" s="247" t="str">
        <f>+_xlfn.XLOOKUP(A280,PPTO_GENERADOR!Q:Q,PPTO_GENERADOR!E:E,"-",0)</f>
        <v>-</v>
      </c>
      <c r="Q280" s="247">
        <f t="shared" si="31"/>
        <v>0</v>
      </c>
      <c r="R280" s="259" t="str">
        <f>+_xlfn.XLOOKUP(A280,PPTO_GENERADOR!$Q:$Q,PPTO_GENERADOR!A:A,"-",0)</f>
        <v>-</v>
      </c>
    </row>
    <row r="281" spans="1:18" ht="15" customHeight="1" x14ac:dyDescent="0.35">
      <c r="A281" s="38" t="s">
        <v>2571</v>
      </c>
      <c r="B281" s="38" t="s">
        <v>2774</v>
      </c>
      <c r="C281" s="38" t="s">
        <v>2775</v>
      </c>
      <c r="D281" s="38" t="s">
        <v>685</v>
      </c>
      <c r="E281" s="44" t="str">
        <f>IFERROR(VLOOKUP(D281,MATERIALES!A:B,2,FALSE()),"?")</f>
        <v>Alambre de Fardo</v>
      </c>
      <c r="F281" s="44" t="str">
        <f>IFERROR(VLOOKUP(D281,MATERIALES!A:C,3,FALSE()),"?")</f>
        <v>kg</v>
      </c>
      <c r="G281" s="45">
        <v>6.7000000000000004E-2</v>
      </c>
      <c r="H281" s="46">
        <v>0.15</v>
      </c>
      <c r="I281" s="47">
        <f>IFERROR(VLOOKUP(D281,MATERIALES!A:D,4,FALSE()),0)</f>
        <v>2302.02</v>
      </c>
      <c r="J281" s="42">
        <f>G281*I281*(1+H281)</f>
        <v>177.37064100000001</v>
      </c>
      <c r="K281" s="15" t="str">
        <f t="shared" si="28"/>
        <v>COL-081|MAT</v>
      </c>
      <c r="L281" s="15">
        <f>COUNTIFS($K$2:K281,K281)</f>
        <v>1</v>
      </c>
      <c r="M281" s="15" t="str">
        <f t="shared" si="29"/>
        <v>COL-081|MAT|1</v>
      </c>
      <c r="N281" s="47">
        <f>IFERROR(VLOOKUP(A281,PARTIDAS!A:F,6,FALSE()),0)</f>
        <v>380</v>
      </c>
      <c r="O281" s="247">
        <f t="shared" si="30"/>
        <v>6.7000000000000004E-2</v>
      </c>
      <c r="P281" s="247" t="str">
        <f>+_xlfn.XLOOKUP(A281,PPTO_GENERADOR!Q:Q,PPTO_GENERADOR!E:E,"-",0)</f>
        <v>-</v>
      </c>
      <c r="Q281" s="247">
        <f t="shared" si="31"/>
        <v>0</v>
      </c>
      <c r="R281" s="259" t="str">
        <f>+_xlfn.XLOOKUP(A281,PPTO_GENERADOR!$Q:$Q,PPTO_GENERADOR!A:A,"-",0)</f>
        <v>-</v>
      </c>
    </row>
    <row r="282" spans="1:18" ht="15" customHeight="1" x14ac:dyDescent="0.35">
      <c r="A282" s="38" t="s">
        <v>2571</v>
      </c>
      <c r="B282" s="38" t="s">
        <v>2774</v>
      </c>
      <c r="C282" s="38" t="s">
        <v>2775</v>
      </c>
      <c r="D282" s="38" t="s">
        <v>893</v>
      </c>
      <c r="E282" s="44" t="str">
        <f>IFERROR(VLOOKUP(D282,MATERIALES!A:B,2,FALSE()),"?")</f>
        <v>ACERO ESTRUCTURAL POR KILO</v>
      </c>
      <c r="F282" s="44" t="str">
        <f>IFERROR(VLOOKUP(D282,MATERIALES!A:C,3,FALSE()),"?")</f>
        <v>KGF</v>
      </c>
      <c r="G282" s="45">
        <v>1</v>
      </c>
      <c r="H282" s="46">
        <v>7.0000000000000007E-2</v>
      </c>
      <c r="I282" s="47">
        <f>IFERROR(VLOOKUP(D282,MATERIALES!A:D,4,FALSE()),0)</f>
        <v>1269.26</v>
      </c>
      <c r="J282" s="42">
        <f>G282*I282*(1+H282)</f>
        <v>1358.1082000000001</v>
      </c>
      <c r="K282" s="15" t="str">
        <f t="shared" si="28"/>
        <v>COL-081|MAT</v>
      </c>
      <c r="L282" s="15">
        <f>COUNTIFS($K$2:K282,K282)</f>
        <v>2</v>
      </c>
      <c r="M282" s="15" t="str">
        <f t="shared" si="29"/>
        <v>COL-081|MAT|2</v>
      </c>
      <c r="N282" s="47">
        <f>IFERROR(VLOOKUP(A282,PARTIDAS!A:F,6,FALSE()),0)</f>
        <v>380</v>
      </c>
      <c r="O282" s="247">
        <f t="shared" si="30"/>
        <v>1</v>
      </c>
      <c r="P282" s="247" t="str">
        <f>+_xlfn.XLOOKUP(A282,PPTO_GENERADOR!Q:Q,PPTO_GENERADOR!E:E,"-",0)</f>
        <v>-</v>
      </c>
      <c r="Q282" s="247">
        <f t="shared" si="31"/>
        <v>0</v>
      </c>
      <c r="R282" s="259" t="str">
        <f>+_xlfn.XLOOKUP(A282,PPTO_GENERADOR!$Q:$Q,PPTO_GENERADOR!A:A,"-",0)</f>
        <v>-</v>
      </c>
    </row>
    <row r="283" spans="1:18" ht="15" customHeight="1" x14ac:dyDescent="0.35">
      <c r="A283" s="38" t="s">
        <v>2571</v>
      </c>
      <c r="B283" s="38" t="s">
        <v>2776</v>
      </c>
      <c r="C283" s="38" t="s">
        <v>2777</v>
      </c>
      <c r="D283" s="237" t="s">
        <v>1577</v>
      </c>
      <c r="E283" s="44" t="str">
        <f>IFERROR(VLOOKUP(D283,MANO_DE_OBRA!A:B,2,FALSE()),"?")</f>
        <v>AYUDANTE</v>
      </c>
      <c r="F283" s="44" t="s">
        <v>2778</v>
      </c>
      <c r="G283" s="45">
        <v>1</v>
      </c>
      <c r="H283" s="46">
        <v>0</v>
      </c>
      <c r="I283" s="47">
        <f>IFERROR(VLOOKUP(D283,MANO_DE_OBRA!A:C,3,FALSE()),0)</f>
        <v>60860.580776572002</v>
      </c>
      <c r="J283" s="42">
        <f>G283*I283</f>
        <v>60860.580776572002</v>
      </c>
      <c r="K283" s="15" t="str">
        <f t="shared" si="28"/>
        <v>COL-081|MO</v>
      </c>
      <c r="L283" s="15">
        <f>COUNTIFS($K$2:K283,K283)</f>
        <v>1</v>
      </c>
      <c r="M283" s="15" t="str">
        <f t="shared" si="29"/>
        <v>COL-081|MO|1</v>
      </c>
      <c r="N283" s="47">
        <f>IFERROR(VLOOKUP(A283,PARTIDAS!A:F,6,FALSE()),0)</f>
        <v>380</v>
      </c>
      <c r="O283" s="247">
        <f t="shared" si="30"/>
        <v>2.631578947368421E-3</v>
      </c>
      <c r="P283" s="247" t="str">
        <f>+_xlfn.XLOOKUP(A283,PPTO_GENERADOR!Q:Q,PPTO_GENERADOR!E:E,"-",0)</f>
        <v>-</v>
      </c>
      <c r="Q283" s="247">
        <f t="shared" si="31"/>
        <v>0</v>
      </c>
      <c r="R283" s="259" t="str">
        <f>+_xlfn.XLOOKUP(A283,PPTO_GENERADOR!$Q:$Q,PPTO_GENERADOR!A:A,"-",0)</f>
        <v>-</v>
      </c>
    </row>
    <row r="284" spans="1:18" ht="15" customHeight="1" x14ac:dyDescent="0.35">
      <c r="A284" s="38" t="s">
        <v>2571</v>
      </c>
      <c r="B284" s="38" t="s">
        <v>2776</v>
      </c>
      <c r="C284" s="38" t="s">
        <v>2777</v>
      </c>
      <c r="D284" s="237" t="s">
        <v>1568</v>
      </c>
      <c r="E284" s="44" t="str">
        <f>IFERROR(VLOOKUP(D284,MANO_DE_OBRA!A:B,2,FALSE()),"?")</f>
        <v>ESPECIALIZADO</v>
      </c>
      <c r="F284" s="44" t="s">
        <v>2778</v>
      </c>
      <c r="G284" s="45">
        <v>2</v>
      </c>
      <c r="H284" s="46">
        <v>0</v>
      </c>
      <c r="I284" s="47">
        <f>IFERROR(VLOOKUP(D284,MANO_DE_OBRA!A:C,3,FALSE()),0)</f>
        <v>85927.097156571996</v>
      </c>
      <c r="J284" s="42">
        <f>G284*I284</f>
        <v>171854.19431314399</v>
      </c>
      <c r="K284" s="15" t="str">
        <f t="shared" si="28"/>
        <v>COL-081|MO</v>
      </c>
      <c r="L284" s="15">
        <f>COUNTIFS($K$2:K284,K284)</f>
        <v>2</v>
      </c>
      <c r="M284" s="15" t="str">
        <f t="shared" si="29"/>
        <v>COL-081|MO|2</v>
      </c>
      <c r="N284" s="47">
        <f>IFERROR(VLOOKUP(A284,PARTIDAS!A:F,6,FALSE()),0)</f>
        <v>380</v>
      </c>
      <c r="O284" s="247">
        <f t="shared" si="30"/>
        <v>5.263157894736842E-3</v>
      </c>
      <c r="P284" s="247" t="str">
        <f>+_xlfn.XLOOKUP(A284,PPTO_GENERADOR!Q:Q,PPTO_GENERADOR!E:E,"-",0)</f>
        <v>-</v>
      </c>
      <c r="Q284" s="247">
        <f t="shared" si="31"/>
        <v>0</v>
      </c>
      <c r="R284" s="259" t="str">
        <f>+_xlfn.XLOOKUP(A284,PPTO_GENERADOR!$Q:$Q,PPTO_GENERADOR!A:A,"-",0)</f>
        <v>-</v>
      </c>
    </row>
    <row r="285" spans="1:18" ht="15" customHeight="1" x14ac:dyDescent="0.35">
      <c r="A285" s="38" t="s">
        <v>2571</v>
      </c>
      <c r="B285" s="38" t="s">
        <v>2776</v>
      </c>
      <c r="C285" s="38" t="s">
        <v>2777</v>
      </c>
      <c r="D285" s="237" t="s">
        <v>1568</v>
      </c>
      <c r="E285" s="44" t="str">
        <f>IFERROR(VLOOKUP(D285,MANO_DE_OBRA!A:B,2,FALSE()),"?")</f>
        <v>ESPECIALIZADO</v>
      </c>
      <c r="F285" s="44" t="s">
        <v>2778</v>
      </c>
      <c r="G285" s="45">
        <v>2</v>
      </c>
      <c r="H285" s="46">
        <v>0</v>
      </c>
      <c r="I285" s="47">
        <f>IFERROR(VLOOKUP(D285,MANO_DE_OBRA!A:C,3,FALSE()),0)</f>
        <v>85927.097156571996</v>
      </c>
      <c r="J285" s="42">
        <f>G285*I285</f>
        <v>171854.19431314399</v>
      </c>
      <c r="K285" s="15" t="str">
        <f t="shared" si="28"/>
        <v>COL-081|MO</v>
      </c>
      <c r="L285" s="15">
        <f>COUNTIFS($K$2:K285,K285)</f>
        <v>3</v>
      </c>
      <c r="M285" s="15" t="str">
        <f t="shared" si="29"/>
        <v>COL-081|MO|3</v>
      </c>
      <c r="N285" s="47">
        <f>IFERROR(VLOOKUP(A285,PARTIDAS!A:F,6,FALSE()),0)</f>
        <v>380</v>
      </c>
      <c r="O285" s="247">
        <f t="shared" si="30"/>
        <v>5.263157894736842E-3</v>
      </c>
      <c r="P285" s="247" t="str">
        <f>+_xlfn.XLOOKUP(A285,PPTO_GENERADOR!Q:Q,PPTO_GENERADOR!E:E,"-",0)</f>
        <v>-</v>
      </c>
      <c r="Q285" s="247">
        <f t="shared" si="31"/>
        <v>0</v>
      </c>
      <c r="R285" s="259" t="str">
        <f>+_xlfn.XLOOKUP(A285,PPTO_GENERADOR!$Q:$Q,PPTO_GENERADOR!A:A,"-",0)</f>
        <v>-</v>
      </c>
    </row>
    <row r="286" spans="1:18" ht="15" customHeight="1" x14ac:dyDescent="0.35">
      <c r="A286" s="38" t="s">
        <v>2574</v>
      </c>
      <c r="B286" s="38" t="s">
        <v>2774</v>
      </c>
      <c r="C286" s="38" t="s">
        <v>2775</v>
      </c>
      <c r="D286" s="38" t="s">
        <v>685</v>
      </c>
      <c r="E286" s="44" t="str">
        <f>IFERROR(VLOOKUP(D286,MATERIALES!A:B,2,FALSE()),"?")</f>
        <v>Alambre de Fardo</v>
      </c>
      <c r="F286" s="44" t="str">
        <f>IFERROR(VLOOKUP(D286,MATERIALES!A:C,3,FALSE()),"?")</f>
        <v>kg</v>
      </c>
      <c r="G286" s="45">
        <v>6.7000000000000004E-2</v>
      </c>
      <c r="H286" s="46">
        <v>0.15</v>
      </c>
      <c r="I286" s="47">
        <f>IFERROR(VLOOKUP(D286,MATERIALES!A:D,4,FALSE()),0)</f>
        <v>2302.02</v>
      </c>
      <c r="J286" s="42">
        <f>G286*I286*(1+H286)</f>
        <v>177.37064100000001</v>
      </c>
      <c r="K286" s="15" t="str">
        <f t="shared" si="28"/>
        <v>COL-082|MAT</v>
      </c>
      <c r="L286" s="15">
        <f>COUNTIFS($K$2:K286,K286)</f>
        <v>1</v>
      </c>
      <c r="M286" s="15" t="str">
        <f t="shared" si="29"/>
        <v>COL-082|MAT|1</v>
      </c>
      <c r="N286" s="47">
        <f>IFERROR(VLOOKUP(A286,PARTIDAS!A:F,6,FALSE()),0)</f>
        <v>420</v>
      </c>
      <c r="O286" s="247">
        <f t="shared" si="30"/>
        <v>6.7000000000000004E-2</v>
      </c>
      <c r="P286" s="247" t="str">
        <f>+_xlfn.XLOOKUP(A286,PPTO_GENERADOR!Q:Q,PPTO_GENERADOR!E:E,"-",0)</f>
        <v>-</v>
      </c>
      <c r="Q286" s="247">
        <f t="shared" si="31"/>
        <v>0</v>
      </c>
      <c r="R286" s="259" t="str">
        <f>+_xlfn.XLOOKUP(A286,PPTO_GENERADOR!$Q:$Q,PPTO_GENERADOR!A:A,"-",0)</f>
        <v>-</v>
      </c>
    </row>
    <row r="287" spans="1:18" ht="15" customHeight="1" x14ac:dyDescent="0.35">
      <c r="A287" s="38" t="s">
        <v>2574</v>
      </c>
      <c r="B287" s="38" t="s">
        <v>2774</v>
      </c>
      <c r="C287" s="38" t="s">
        <v>2775</v>
      </c>
      <c r="D287" s="38" t="s">
        <v>893</v>
      </c>
      <c r="E287" s="44" t="str">
        <f>IFERROR(VLOOKUP(D287,MATERIALES!A:B,2,FALSE()),"?")</f>
        <v>ACERO ESTRUCTURAL POR KILO</v>
      </c>
      <c r="F287" s="44" t="str">
        <f>IFERROR(VLOOKUP(D287,MATERIALES!A:C,3,FALSE()),"?")</f>
        <v>KGF</v>
      </c>
      <c r="G287" s="45">
        <v>1</v>
      </c>
      <c r="H287" s="46">
        <v>7.0000000000000007E-2</v>
      </c>
      <c r="I287" s="47">
        <f>IFERROR(VLOOKUP(D287,MATERIALES!A:D,4,FALSE()),0)</f>
        <v>1269.26</v>
      </c>
      <c r="J287" s="42">
        <f>G287*I287*(1+H287)</f>
        <v>1358.1082000000001</v>
      </c>
      <c r="K287" s="15" t="str">
        <f t="shared" si="28"/>
        <v>COL-082|MAT</v>
      </c>
      <c r="L287" s="15">
        <f>COUNTIFS($K$2:K287,K287)</f>
        <v>2</v>
      </c>
      <c r="M287" s="15" t="str">
        <f t="shared" si="29"/>
        <v>COL-082|MAT|2</v>
      </c>
      <c r="N287" s="47">
        <f>IFERROR(VLOOKUP(A287,PARTIDAS!A:F,6,FALSE()),0)</f>
        <v>420</v>
      </c>
      <c r="O287" s="247">
        <f t="shared" si="30"/>
        <v>1</v>
      </c>
      <c r="P287" s="247" t="str">
        <f>+_xlfn.XLOOKUP(A287,PPTO_GENERADOR!Q:Q,PPTO_GENERADOR!E:E,"-",0)</f>
        <v>-</v>
      </c>
      <c r="Q287" s="247">
        <f t="shared" si="31"/>
        <v>0</v>
      </c>
      <c r="R287" s="259" t="str">
        <f>+_xlfn.XLOOKUP(A287,PPTO_GENERADOR!$Q:$Q,PPTO_GENERADOR!A:A,"-",0)</f>
        <v>-</v>
      </c>
    </row>
    <row r="288" spans="1:18" ht="15" customHeight="1" x14ac:dyDescent="0.35">
      <c r="A288" s="38" t="s">
        <v>2574</v>
      </c>
      <c r="B288" s="38" t="s">
        <v>2776</v>
      </c>
      <c r="C288" s="38" t="s">
        <v>2777</v>
      </c>
      <c r="D288" s="237" t="s">
        <v>1577</v>
      </c>
      <c r="E288" s="44" t="str">
        <f>IFERROR(VLOOKUP(D288,MANO_DE_OBRA!A:B,2,FALSE()),"?")</f>
        <v>AYUDANTE</v>
      </c>
      <c r="F288" s="44" t="s">
        <v>2778</v>
      </c>
      <c r="G288" s="45">
        <v>1</v>
      </c>
      <c r="H288" s="46">
        <v>0</v>
      </c>
      <c r="I288" s="47">
        <f>IFERROR(VLOOKUP(D288,MANO_DE_OBRA!A:C,3,FALSE()),0)</f>
        <v>60860.580776572002</v>
      </c>
      <c r="J288" s="42">
        <f>G288*I288</f>
        <v>60860.580776572002</v>
      </c>
      <c r="K288" s="15" t="str">
        <f t="shared" si="28"/>
        <v>COL-082|MO</v>
      </c>
      <c r="L288" s="15">
        <f>COUNTIFS($K$2:K288,K288)</f>
        <v>1</v>
      </c>
      <c r="M288" s="15" t="str">
        <f t="shared" si="29"/>
        <v>COL-082|MO|1</v>
      </c>
      <c r="N288" s="47">
        <f>IFERROR(VLOOKUP(A288,PARTIDAS!A:F,6,FALSE()),0)</f>
        <v>420</v>
      </c>
      <c r="O288" s="247">
        <f t="shared" si="30"/>
        <v>2.3809523809523812E-3</v>
      </c>
      <c r="P288" s="247" t="str">
        <f>+_xlfn.XLOOKUP(A288,PPTO_GENERADOR!Q:Q,PPTO_GENERADOR!E:E,"-",0)</f>
        <v>-</v>
      </c>
      <c r="Q288" s="247">
        <f t="shared" si="31"/>
        <v>0</v>
      </c>
      <c r="R288" s="259" t="str">
        <f>+_xlfn.XLOOKUP(A288,PPTO_GENERADOR!$Q:$Q,PPTO_GENERADOR!A:A,"-",0)</f>
        <v>-</v>
      </c>
    </row>
    <row r="289" spans="1:18" ht="15" customHeight="1" x14ac:dyDescent="0.35">
      <c r="A289" s="38" t="s">
        <v>2574</v>
      </c>
      <c r="B289" s="38" t="s">
        <v>2776</v>
      </c>
      <c r="C289" s="38" t="s">
        <v>2777</v>
      </c>
      <c r="D289" s="237" t="s">
        <v>1568</v>
      </c>
      <c r="E289" s="44" t="str">
        <f>IFERROR(VLOOKUP(D289,MANO_DE_OBRA!A:B,2,FALSE()),"?")</f>
        <v>ESPECIALIZADO</v>
      </c>
      <c r="F289" s="44" t="s">
        <v>2778</v>
      </c>
      <c r="G289" s="45">
        <v>2</v>
      </c>
      <c r="H289" s="46">
        <v>0</v>
      </c>
      <c r="I289" s="47">
        <f>IFERROR(VLOOKUP(D289,MANO_DE_OBRA!A:C,3,FALSE()),0)</f>
        <v>85927.097156571996</v>
      </c>
      <c r="J289" s="42">
        <f>G289*I289</f>
        <v>171854.19431314399</v>
      </c>
      <c r="K289" s="15" t="str">
        <f t="shared" si="28"/>
        <v>COL-082|MO</v>
      </c>
      <c r="L289" s="15">
        <f>COUNTIFS($K$2:K289,K289)</f>
        <v>2</v>
      </c>
      <c r="M289" s="15" t="str">
        <f t="shared" si="29"/>
        <v>COL-082|MO|2</v>
      </c>
      <c r="N289" s="47">
        <f>IFERROR(VLOOKUP(A289,PARTIDAS!A:F,6,FALSE()),0)</f>
        <v>420</v>
      </c>
      <c r="O289" s="247">
        <f t="shared" si="30"/>
        <v>4.7619047619047623E-3</v>
      </c>
      <c r="P289" s="247" t="str">
        <f>+_xlfn.XLOOKUP(A289,PPTO_GENERADOR!Q:Q,PPTO_GENERADOR!E:E,"-",0)</f>
        <v>-</v>
      </c>
      <c r="Q289" s="247">
        <f t="shared" si="31"/>
        <v>0</v>
      </c>
      <c r="R289" s="259" t="str">
        <f>+_xlfn.XLOOKUP(A289,PPTO_GENERADOR!$Q:$Q,PPTO_GENERADOR!A:A,"-",0)</f>
        <v>-</v>
      </c>
    </row>
    <row r="290" spans="1:18" ht="15" customHeight="1" x14ac:dyDescent="0.35">
      <c r="A290" s="38" t="s">
        <v>2574</v>
      </c>
      <c r="B290" s="38" t="s">
        <v>2776</v>
      </c>
      <c r="C290" s="38" t="s">
        <v>2777</v>
      </c>
      <c r="D290" s="237" t="s">
        <v>1568</v>
      </c>
      <c r="E290" s="44" t="str">
        <f>IFERROR(VLOOKUP(D290,MANO_DE_OBRA!A:B,2,FALSE()),"?")</f>
        <v>ESPECIALIZADO</v>
      </c>
      <c r="F290" s="44" t="s">
        <v>2778</v>
      </c>
      <c r="G290" s="45">
        <v>2</v>
      </c>
      <c r="H290" s="46">
        <v>0</v>
      </c>
      <c r="I290" s="47">
        <f>IFERROR(VLOOKUP(D290,MANO_DE_OBRA!A:C,3,FALSE()),0)</f>
        <v>85927.097156571996</v>
      </c>
      <c r="J290" s="42">
        <f>G290*I290</f>
        <v>171854.19431314399</v>
      </c>
      <c r="K290" s="15" t="str">
        <f t="shared" si="28"/>
        <v>COL-082|MO</v>
      </c>
      <c r="L290" s="15">
        <f>COUNTIFS($K$2:K290,K290)</f>
        <v>3</v>
      </c>
      <c r="M290" s="15" t="str">
        <f t="shared" si="29"/>
        <v>COL-082|MO|3</v>
      </c>
      <c r="N290" s="47">
        <f>IFERROR(VLOOKUP(A290,PARTIDAS!A:F,6,FALSE()),0)</f>
        <v>420</v>
      </c>
      <c r="O290" s="247">
        <f t="shared" si="30"/>
        <v>4.7619047619047623E-3</v>
      </c>
      <c r="P290" s="247" t="str">
        <f>+_xlfn.XLOOKUP(A290,PPTO_GENERADOR!Q:Q,PPTO_GENERADOR!E:E,"-",0)</f>
        <v>-</v>
      </c>
      <c r="Q290" s="247">
        <f t="shared" si="31"/>
        <v>0</v>
      </c>
      <c r="R290" s="259" t="str">
        <f>+_xlfn.XLOOKUP(A290,PPTO_GENERADOR!$Q:$Q,PPTO_GENERADOR!A:A,"-",0)</f>
        <v>-</v>
      </c>
    </row>
    <row r="291" spans="1:18" ht="15" customHeight="1" x14ac:dyDescent="0.35">
      <c r="A291" s="38" t="s">
        <v>2577</v>
      </c>
      <c r="B291" s="38" t="s">
        <v>2774</v>
      </c>
      <c r="C291" s="38" t="s">
        <v>2775</v>
      </c>
      <c r="D291" s="38" t="s">
        <v>685</v>
      </c>
      <c r="E291" s="44" t="str">
        <f>IFERROR(VLOOKUP(D291,MATERIALES!A:B,2,FALSE()),"?")</f>
        <v>Alambre de Fardo</v>
      </c>
      <c r="F291" s="44" t="str">
        <f>IFERROR(VLOOKUP(D291,MATERIALES!A:C,3,FALSE()),"?")</f>
        <v>kg</v>
      </c>
      <c r="G291" s="45">
        <v>6.7000000000000004E-2</v>
      </c>
      <c r="H291" s="46">
        <v>0.15</v>
      </c>
      <c r="I291" s="47">
        <f>IFERROR(VLOOKUP(D291,MATERIALES!A:D,4,FALSE()),0)</f>
        <v>2302.02</v>
      </c>
      <c r="J291" s="42">
        <f>G291*I291*(1+H291)</f>
        <v>177.37064100000001</v>
      </c>
      <c r="K291" s="15" t="str">
        <f t="shared" si="28"/>
        <v>COL-083|MAT</v>
      </c>
      <c r="L291" s="15">
        <f>COUNTIFS($K$2:K291,K291)</f>
        <v>1</v>
      </c>
      <c r="M291" s="15" t="str">
        <f t="shared" si="29"/>
        <v>COL-083|MAT|1</v>
      </c>
      <c r="N291" s="47">
        <f>IFERROR(VLOOKUP(A291,PARTIDAS!A:F,6,FALSE()),0)</f>
        <v>400</v>
      </c>
      <c r="O291" s="247">
        <f t="shared" si="30"/>
        <v>6.7000000000000004E-2</v>
      </c>
      <c r="P291" s="247" t="str">
        <f>+_xlfn.XLOOKUP(A291,PPTO_GENERADOR!Q:Q,PPTO_GENERADOR!E:E,"-",0)</f>
        <v>-</v>
      </c>
      <c r="Q291" s="247">
        <f t="shared" si="31"/>
        <v>0</v>
      </c>
      <c r="R291" s="259" t="str">
        <f>+_xlfn.XLOOKUP(A291,PPTO_GENERADOR!$Q:$Q,PPTO_GENERADOR!A:A,"-",0)</f>
        <v>-</v>
      </c>
    </row>
    <row r="292" spans="1:18" ht="15" customHeight="1" x14ac:dyDescent="0.35">
      <c r="A292" s="38" t="s">
        <v>2577</v>
      </c>
      <c r="B292" s="38" t="s">
        <v>2774</v>
      </c>
      <c r="C292" s="38" t="s">
        <v>2775</v>
      </c>
      <c r="D292" s="38" t="s">
        <v>893</v>
      </c>
      <c r="E292" s="44" t="str">
        <f>IFERROR(VLOOKUP(D292,MATERIALES!A:B,2,FALSE()),"?")</f>
        <v>ACERO ESTRUCTURAL POR KILO</v>
      </c>
      <c r="F292" s="44" t="str">
        <f>IFERROR(VLOOKUP(D292,MATERIALES!A:C,3,FALSE()),"?")</f>
        <v>KGF</v>
      </c>
      <c r="G292" s="45">
        <v>1</v>
      </c>
      <c r="H292" s="46">
        <v>7.0000000000000007E-2</v>
      </c>
      <c r="I292" s="47">
        <f>IFERROR(VLOOKUP(D292,MATERIALES!A:D,4,FALSE()),0)</f>
        <v>1269.26</v>
      </c>
      <c r="J292" s="42">
        <f>G292*I292*(1+H292)</f>
        <v>1358.1082000000001</v>
      </c>
      <c r="K292" s="15" t="str">
        <f t="shared" si="28"/>
        <v>COL-083|MAT</v>
      </c>
      <c r="L292" s="15">
        <f>COUNTIFS($K$2:K292,K292)</f>
        <v>2</v>
      </c>
      <c r="M292" s="15" t="str">
        <f t="shared" si="29"/>
        <v>COL-083|MAT|2</v>
      </c>
      <c r="N292" s="47">
        <f>IFERROR(VLOOKUP(A292,PARTIDAS!A:F,6,FALSE()),0)</f>
        <v>400</v>
      </c>
      <c r="O292" s="247">
        <f t="shared" si="30"/>
        <v>1</v>
      </c>
      <c r="P292" s="247" t="str">
        <f>+_xlfn.XLOOKUP(A292,PPTO_GENERADOR!Q:Q,PPTO_GENERADOR!E:E,"-",0)</f>
        <v>-</v>
      </c>
      <c r="Q292" s="247">
        <f t="shared" si="31"/>
        <v>0</v>
      </c>
      <c r="R292" s="259" t="str">
        <f>+_xlfn.XLOOKUP(A292,PPTO_GENERADOR!$Q:$Q,PPTO_GENERADOR!A:A,"-",0)</f>
        <v>-</v>
      </c>
    </row>
    <row r="293" spans="1:18" ht="15" customHeight="1" x14ac:dyDescent="0.35">
      <c r="A293" s="38" t="s">
        <v>2577</v>
      </c>
      <c r="B293" s="38" t="s">
        <v>2776</v>
      </c>
      <c r="C293" s="38" t="s">
        <v>2777</v>
      </c>
      <c r="D293" s="237" t="s">
        <v>1577</v>
      </c>
      <c r="E293" s="44" t="str">
        <f>IFERROR(VLOOKUP(D293,MANO_DE_OBRA!A:B,2,FALSE()),"?")</f>
        <v>AYUDANTE</v>
      </c>
      <c r="F293" s="44" t="s">
        <v>2778</v>
      </c>
      <c r="G293" s="45">
        <v>1</v>
      </c>
      <c r="H293" s="46">
        <v>0</v>
      </c>
      <c r="I293" s="47">
        <f>IFERROR(VLOOKUP(D293,MANO_DE_OBRA!A:C,3,FALSE()),0)</f>
        <v>60860.580776572002</v>
      </c>
      <c r="J293" s="42">
        <f>G293*I293</f>
        <v>60860.580776572002</v>
      </c>
      <c r="K293" s="15" t="str">
        <f t="shared" si="28"/>
        <v>COL-083|MO</v>
      </c>
      <c r="L293" s="15">
        <f>COUNTIFS($K$2:K293,K293)</f>
        <v>1</v>
      </c>
      <c r="M293" s="15" t="str">
        <f t="shared" si="29"/>
        <v>COL-083|MO|1</v>
      </c>
      <c r="N293" s="47">
        <f>IFERROR(VLOOKUP(A293,PARTIDAS!A:F,6,FALSE()),0)</f>
        <v>400</v>
      </c>
      <c r="O293" s="247">
        <f t="shared" si="30"/>
        <v>2.5000000000000001E-3</v>
      </c>
      <c r="P293" s="247" t="str">
        <f>+_xlfn.XLOOKUP(A293,PPTO_GENERADOR!Q:Q,PPTO_GENERADOR!E:E,"-",0)</f>
        <v>-</v>
      </c>
      <c r="Q293" s="247">
        <f t="shared" si="31"/>
        <v>0</v>
      </c>
      <c r="R293" s="259" t="str">
        <f>+_xlfn.XLOOKUP(A293,PPTO_GENERADOR!$Q:$Q,PPTO_GENERADOR!A:A,"-",0)</f>
        <v>-</v>
      </c>
    </row>
    <row r="294" spans="1:18" ht="15" customHeight="1" x14ac:dyDescent="0.35">
      <c r="A294" s="38" t="s">
        <v>2577</v>
      </c>
      <c r="B294" s="38" t="s">
        <v>2776</v>
      </c>
      <c r="C294" s="38" t="s">
        <v>2777</v>
      </c>
      <c r="D294" s="237" t="s">
        <v>1568</v>
      </c>
      <c r="E294" s="44" t="str">
        <f>IFERROR(VLOOKUP(D294,MANO_DE_OBRA!A:B,2,FALSE()),"?")</f>
        <v>ESPECIALIZADO</v>
      </c>
      <c r="F294" s="44" t="s">
        <v>2778</v>
      </c>
      <c r="G294" s="45">
        <v>2</v>
      </c>
      <c r="H294" s="46">
        <v>0</v>
      </c>
      <c r="I294" s="47">
        <f>IFERROR(VLOOKUP(D294,MANO_DE_OBRA!A:C,3,FALSE()),0)</f>
        <v>85927.097156571996</v>
      </c>
      <c r="J294" s="42">
        <f>G294*I294</f>
        <v>171854.19431314399</v>
      </c>
      <c r="K294" s="15" t="str">
        <f t="shared" si="28"/>
        <v>COL-083|MO</v>
      </c>
      <c r="L294" s="15">
        <f>COUNTIFS($K$2:K294,K294)</f>
        <v>2</v>
      </c>
      <c r="M294" s="15" t="str">
        <f t="shared" si="29"/>
        <v>COL-083|MO|2</v>
      </c>
      <c r="N294" s="47">
        <f>IFERROR(VLOOKUP(A294,PARTIDAS!A:F,6,FALSE()),0)</f>
        <v>400</v>
      </c>
      <c r="O294" s="247">
        <f t="shared" si="30"/>
        <v>5.0000000000000001E-3</v>
      </c>
      <c r="P294" s="247" t="str">
        <f>+_xlfn.XLOOKUP(A294,PPTO_GENERADOR!Q:Q,PPTO_GENERADOR!E:E,"-",0)</f>
        <v>-</v>
      </c>
      <c r="Q294" s="247">
        <f t="shared" si="31"/>
        <v>0</v>
      </c>
      <c r="R294" s="259" t="str">
        <f>+_xlfn.XLOOKUP(A294,PPTO_GENERADOR!$Q:$Q,PPTO_GENERADOR!A:A,"-",0)</f>
        <v>-</v>
      </c>
    </row>
    <row r="295" spans="1:18" ht="15" customHeight="1" x14ac:dyDescent="0.35">
      <c r="A295" s="38" t="s">
        <v>2577</v>
      </c>
      <c r="B295" s="38" t="s">
        <v>2776</v>
      </c>
      <c r="C295" s="38" t="s">
        <v>2777</v>
      </c>
      <c r="D295" s="237" t="s">
        <v>1568</v>
      </c>
      <c r="E295" s="44" t="str">
        <f>IFERROR(VLOOKUP(D295,MANO_DE_OBRA!A:B,2,FALSE()),"?")</f>
        <v>ESPECIALIZADO</v>
      </c>
      <c r="F295" s="44" t="s">
        <v>2778</v>
      </c>
      <c r="G295" s="45">
        <v>2</v>
      </c>
      <c r="H295" s="46">
        <v>0</v>
      </c>
      <c r="I295" s="47">
        <f>IFERROR(VLOOKUP(D295,MANO_DE_OBRA!A:C,3,FALSE()),0)</f>
        <v>85927.097156571996</v>
      </c>
      <c r="J295" s="42">
        <f>G295*I295</f>
        <v>171854.19431314399</v>
      </c>
      <c r="K295" s="15" t="str">
        <f t="shared" si="28"/>
        <v>COL-083|MO</v>
      </c>
      <c r="L295" s="15">
        <f>COUNTIFS($K$2:K295,K295)</f>
        <v>3</v>
      </c>
      <c r="M295" s="15" t="str">
        <f t="shared" si="29"/>
        <v>COL-083|MO|3</v>
      </c>
      <c r="N295" s="47">
        <f>IFERROR(VLOOKUP(A295,PARTIDAS!A:F,6,FALSE()),0)</f>
        <v>400</v>
      </c>
      <c r="O295" s="247">
        <f t="shared" si="30"/>
        <v>5.0000000000000001E-3</v>
      </c>
      <c r="P295" s="247" t="str">
        <f>+_xlfn.XLOOKUP(A295,PPTO_GENERADOR!Q:Q,PPTO_GENERADOR!E:E,"-",0)</f>
        <v>-</v>
      </c>
      <c r="Q295" s="247">
        <f t="shared" si="31"/>
        <v>0</v>
      </c>
      <c r="R295" s="259" t="str">
        <f>+_xlfn.XLOOKUP(A295,PPTO_GENERADOR!$Q:$Q,PPTO_GENERADOR!A:A,"-",0)</f>
        <v>-</v>
      </c>
    </row>
    <row r="296" spans="1:18" ht="15" customHeight="1" x14ac:dyDescent="0.35">
      <c r="A296" s="38" t="s">
        <v>2580</v>
      </c>
      <c r="B296" s="38" t="s">
        <v>2774</v>
      </c>
      <c r="C296" s="38" t="s">
        <v>2775</v>
      </c>
      <c r="D296" s="38" t="s">
        <v>685</v>
      </c>
      <c r="E296" s="44" t="str">
        <f>IFERROR(VLOOKUP(D296,MATERIALES!A:B,2,FALSE()),"?")</f>
        <v>Alambre de Fardo</v>
      </c>
      <c r="F296" s="44" t="str">
        <f>IFERROR(VLOOKUP(D296,MATERIALES!A:C,3,FALSE()),"?")</f>
        <v>kg</v>
      </c>
      <c r="G296" s="45">
        <v>6.5000000000000002E-2</v>
      </c>
      <c r="H296" s="46">
        <v>0.15</v>
      </c>
      <c r="I296" s="47">
        <f>IFERROR(VLOOKUP(D296,MATERIALES!A:D,4,FALSE()),0)</f>
        <v>2302.02</v>
      </c>
      <c r="J296" s="42">
        <f>G296*I296*(1+H296)</f>
        <v>172.07599500000001</v>
      </c>
      <c r="K296" s="15" t="str">
        <f t="shared" si="28"/>
        <v>COL-084|MAT</v>
      </c>
      <c r="L296" s="15">
        <f>COUNTIFS($K$2:K296,K296)</f>
        <v>1</v>
      </c>
      <c r="M296" s="15" t="str">
        <f t="shared" si="29"/>
        <v>COL-084|MAT|1</v>
      </c>
      <c r="N296" s="47">
        <f>IFERROR(VLOOKUP(A296,PARTIDAS!A:F,6,FALSE()),0)</f>
        <v>150</v>
      </c>
      <c r="O296" s="247">
        <f t="shared" si="30"/>
        <v>6.5000000000000002E-2</v>
      </c>
      <c r="P296" s="247" t="str">
        <f>+_xlfn.XLOOKUP(A296,PPTO_GENERADOR!Q:Q,PPTO_GENERADOR!E:E,"-",0)</f>
        <v>-</v>
      </c>
      <c r="Q296" s="247">
        <f t="shared" si="31"/>
        <v>0</v>
      </c>
      <c r="R296" s="259" t="str">
        <f>+_xlfn.XLOOKUP(A296,PPTO_GENERADOR!$Q:$Q,PPTO_GENERADOR!A:A,"-",0)</f>
        <v>-</v>
      </c>
    </row>
    <row r="297" spans="1:18" ht="15" customHeight="1" x14ac:dyDescent="0.35">
      <c r="A297" s="38" t="s">
        <v>2580</v>
      </c>
      <c r="B297" s="38" t="s">
        <v>2774</v>
      </c>
      <c r="C297" s="38" t="s">
        <v>2775</v>
      </c>
      <c r="D297" s="38" t="s">
        <v>893</v>
      </c>
      <c r="E297" s="44" t="str">
        <f>IFERROR(VLOOKUP(D297,MATERIALES!A:B,2,FALSE()),"?")</f>
        <v>ACERO ESTRUCTURAL POR KILO</v>
      </c>
      <c r="F297" s="44" t="str">
        <f>IFERROR(VLOOKUP(D297,MATERIALES!A:C,3,FALSE()),"?")</f>
        <v>KGF</v>
      </c>
      <c r="G297" s="45">
        <v>8.3333333333333301E-2</v>
      </c>
      <c r="H297" s="46">
        <v>7.0000000000000007E-2</v>
      </c>
      <c r="I297" s="47">
        <f>IFERROR(VLOOKUP(D297,MATERIALES!A:D,4,FALSE()),0)</f>
        <v>1269.26</v>
      </c>
      <c r="J297" s="42">
        <f>G297*I297*(1+H297)</f>
        <v>113.17568333333328</v>
      </c>
      <c r="K297" s="15" t="str">
        <f t="shared" si="28"/>
        <v>COL-084|MAT</v>
      </c>
      <c r="L297" s="15">
        <f>COUNTIFS($K$2:K297,K297)</f>
        <v>2</v>
      </c>
      <c r="M297" s="15" t="str">
        <f t="shared" si="29"/>
        <v>COL-084|MAT|2</v>
      </c>
      <c r="N297" s="47">
        <f>IFERROR(VLOOKUP(A297,PARTIDAS!A:F,6,FALSE()),0)</f>
        <v>150</v>
      </c>
      <c r="O297" s="247">
        <f t="shared" si="30"/>
        <v>8.3333333333333301E-2</v>
      </c>
      <c r="P297" s="247" t="str">
        <f>+_xlfn.XLOOKUP(A297,PPTO_GENERADOR!Q:Q,PPTO_GENERADOR!E:E,"-",0)</f>
        <v>-</v>
      </c>
      <c r="Q297" s="247">
        <f t="shared" si="31"/>
        <v>0</v>
      </c>
      <c r="R297" s="259" t="str">
        <f>+_xlfn.XLOOKUP(A297,PPTO_GENERADOR!$Q:$Q,PPTO_GENERADOR!A:A,"-",0)</f>
        <v>-</v>
      </c>
    </row>
    <row r="298" spans="1:18" ht="15" customHeight="1" x14ac:dyDescent="0.35">
      <c r="A298" s="38" t="s">
        <v>2580</v>
      </c>
      <c r="B298" s="38" t="s">
        <v>2776</v>
      </c>
      <c r="C298" s="38" t="s">
        <v>2777</v>
      </c>
      <c r="D298" s="237" t="s">
        <v>1568</v>
      </c>
      <c r="E298" s="44" t="str">
        <f>IFERROR(VLOOKUP(D298,MANO_DE_OBRA!A:B,2,FALSE()),"?")</f>
        <v>ESPECIALIZADO</v>
      </c>
      <c r="F298" s="44" t="s">
        <v>2778</v>
      </c>
      <c r="G298" s="45">
        <v>3</v>
      </c>
      <c r="H298" s="46">
        <v>0</v>
      </c>
      <c r="I298" s="47">
        <f>IFERROR(VLOOKUP(D298,MANO_DE_OBRA!A:C,3,FALSE()),0)</f>
        <v>85927.097156571996</v>
      </c>
      <c r="J298" s="42">
        <f>G298*I298</f>
        <v>257781.291469716</v>
      </c>
      <c r="K298" s="15" t="str">
        <f t="shared" si="28"/>
        <v>COL-084|MO</v>
      </c>
      <c r="L298" s="15">
        <f>COUNTIFS($K$2:K298,K298)</f>
        <v>1</v>
      </c>
      <c r="M298" s="15" t="str">
        <f t="shared" si="29"/>
        <v>COL-084|MO|1</v>
      </c>
      <c r="N298" s="47">
        <f>IFERROR(VLOOKUP(A298,PARTIDAS!A:F,6,FALSE()),0)</f>
        <v>150</v>
      </c>
      <c r="O298" s="247">
        <f t="shared" si="30"/>
        <v>0.02</v>
      </c>
      <c r="P298" s="247" t="str">
        <f>+_xlfn.XLOOKUP(A298,PPTO_GENERADOR!Q:Q,PPTO_GENERADOR!E:E,"-",0)</f>
        <v>-</v>
      </c>
      <c r="Q298" s="247">
        <f t="shared" si="31"/>
        <v>0</v>
      </c>
      <c r="R298" s="259" t="str">
        <f>+_xlfn.XLOOKUP(A298,PPTO_GENERADOR!$Q:$Q,PPTO_GENERADOR!A:A,"-",0)</f>
        <v>-</v>
      </c>
    </row>
    <row r="299" spans="1:18" ht="15" customHeight="1" x14ac:dyDescent="0.35">
      <c r="A299" s="38" t="s">
        <v>2580</v>
      </c>
      <c r="B299" s="38" t="s">
        <v>2776</v>
      </c>
      <c r="C299" s="38" t="s">
        <v>2777</v>
      </c>
      <c r="D299" s="237" t="s">
        <v>1568</v>
      </c>
      <c r="E299" s="44" t="str">
        <f>IFERROR(VLOOKUP(D299,MANO_DE_OBRA!A:B,2,FALSE()),"?")</f>
        <v>ESPECIALIZADO</v>
      </c>
      <c r="F299" s="44" t="s">
        <v>2778</v>
      </c>
      <c r="G299" s="45">
        <v>2</v>
      </c>
      <c r="H299" s="46">
        <v>0</v>
      </c>
      <c r="I299" s="47">
        <f>IFERROR(VLOOKUP(D299,MANO_DE_OBRA!A:C,3,FALSE()),0)</f>
        <v>85927.097156571996</v>
      </c>
      <c r="J299" s="42">
        <f>G299*I299</f>
        <v>171854.19431314399</v>
      </c>
      <c r="K299" s="15" t="str">
        <f t="shared" si="28"/>
        <v>COL-084|MO</v>
      </c>
      <c r="L299" s="15">
        <f>COUNTIFS($K$2:K299,K299)</f>
        <v>2</v>
      </c>
      <c r="M299" s="15" t="str">
        <f t="shared" si="29"/>
        <v>COL-084|MO|2</v>
      </c>
      <c r="N299" s="47">
        <f>IFERROR(VLOOKUP(A299,PARTIDAS!A:F,6,FALSE()),0)</f>
        <v>150</v>
      </c>
      <c r="O299" s="247">
        <f t="shared" si="30"/>
        <v>1.3333333333333334E-2</v>
      </c>
      <c r="P299" s="247" t="str">
        <f>+_xlfn.XLOOKUP(A299,PPTO_GENERADOR!Q:Q,PPTO_GENERADOR!E:E,"-",0)</f>
        <v>-</v>
      </c>
      <c r="Q299" s="247">
        <f t="shared" si="31"/>
        <v>0</v>
      </c>
      <c r="R299" s="259" t="str">
        <f>+_xlfn.XLOOKUP(A299,PPTO_GENERADOR!$Q:$Q,PPTO_GENERADOR!A:A,"-",0)</f>
        <v>-</v>
      </c>
    </row>
    <row r="300" spans="1:18" ht="15" customHeight="1" x14ac:dyDescent="0.35">
      <c r="A300" s="38" t="s">
        <v>2583</v>
      </c>
      <c r="B300" s="38" t="s">
        <v>2774</v>
      </c>
      <c r="C300" s="38" t="s">
        <v>2775</v>
      </c>
      <c r="D300" s="38" t="s">
        <v>685</v>
      </c>
      <c r="E300" s="44" t="str">
        <f>IFERROR(VLOOKUP(D300,MATERIALES!A:B,2,FALSE()),"?")</f>
        <v>Alambre de Fardo</v>
      </c>
      <c r="F300" s="44" t="str">
        <f>IFERROR(VLOOKUP(D300,MATERIALES!A:C,3,FALSE()),"?")</f>
        <v>kg</v>
      </c>
      <c r="G300" s="45">
        <v>6.7000000000000004E-2</v>
      </c>
      <c r="H300" s="46">
        <v>0.15</v>
      </c>
      <c r="I300" s="47">
        <f>IFERROR(VLOOKUP(D300,MATERIALES!A:D,4,FALSE()),0)</f>
        <v>2302.02</v>
      </c>
      <c r="J300" s="42">
        <f>G300*I300*(1+H300)</f>
        <v>177.37064100000001</v>
      </c>
      <c r="K300" s="15" t="str">
        <f t="shared" si="28"/>
        <v>COL-086|MAT</v>
      </c>
      <c r="L300" s="15">
        <f>COUNTIFS($K$2:K300,K300)</f>
        <v>1</v>
      </c>
      <c r="M300" s="15" t="str">
        <f t="shared" si="29"/>
        <v>COL-086|MAT|1</v>
      </c>
      <c r="N300" s="47">
        <f>IFERROR(VLOOKUP(A300,PARTIDAS!A:F,6,FALSE()),0)</f>
        <v>400</v>
      </c>
      <c r="O300" s="247">
        <f t="shared" si="30"/>
        <v>6.7000000000000004E-2</v>
      </c>
      <c r="P300" s="247" t="str">
        <f>+_xlfn.XLOOKUP(A300,PPTO_GENERADOR!Q:Q,PPTO_GENERADOR!E:E,"-",0)</f>
        <v>-</v>
      </c>
      <c r="Q300" s="247">
        <f t="shared" si="31"/>
        <v>0</v>
      </c>
      <c r="R300" s="259" t="str">
        <f>+_xlfn.XLOOKUP(A300,PPTO_GENERADOR!$Q:$Q,PPTO_GENERADOR!A:A,"-",0)</f>
        <v>-</v>
      </c>
    </row>
    <row r="301" spans="1:18" ht="15" customHeight="1" x14ac:dyDescent="0.35">
      <c r="A301" s="38" t="s">
        <v>2583</v>
      </c>
      <c r="B301" s="38" t="s">
        <v>2774</v>
      </c>
      <c r="C301" s="38" t="s">
        <v>2775</v>
      </c>
      <c r="D301" s="38" t="s">
        <v>893</v>
      </c>
      <c r="E301" s="44" t="str">
        <f>IFERROR(VLOOKUP(D301,MATERIALES!A:B,2,FALSE()),"?")</f>
        <v>ACERO ESTRUCTURAL POR KILO</v>
      </c>
      <c r="F301" s="44" t="str">
        <f>IFERROR(VLOOKUP(D301,MATERIALES!A:C,3,FALSE()),"?")</f>
        <v>KGF</v>
      </c>
      <c r="G301" s="45">
        <v>1</v>
      </c>
      <c r="H301" s="46">
        <v>7.0000000000000007E-2</v>
      </c>
      <c r="I301" s="47">
        <f>IFERROR(VLOOKUP(D301,MATERIALES!A:D,4,FALSE()),0)</f>
        <v>1269.26</v>
      </c>
      <c r="J301" s="42">
        <f>G301*I301*(1+H301)</f>
        <v>1358.1082000000001</v>
      </c>
      <c r="K301" s="15" t="str">
        <f t="shared" si="28"/>
        <v>COL-086|MAT</v>
      </c>
      <c r="L301" s="15">
        <f>COUNTIFS($K$2:K301,K301)</f>
        <v>2</v>
      </c>
      <c r="M301" s="15" t="str">
        <f t="shared" si="29"/>
        <v>COL-086|MAT|2</v>
      </c>
      <c r="N301" s="47">
        <f>IFERROR(VLOOKUP(A301,PARTIDAS!A:F,6,FALSE()),0)</f>
        <v>400</v>
      </c>
      <c r="O301" s="247">
        <f t="shared" si="30"/>
        <v>1</v>
      </c>
      <c r="P301" s="247" t="str">
        <f>+_xlfn.XLOOKUP(A301,PPTO_GENERADOR!Q:Q,PPTO_GENERADOR!E:E,"-",0)</f>
        <v>-</v>
      </c>
      <c r="Q301" s="247">
        <f t="shared" si="31"/>
        <v>0</v>
      </c>
      <c r="R301" s="259" t="str">
        <f>+_xlfn.XLOOKUP(A301,PPTO_GENERADOR!$Q:$Q,PPTO_GENERADOR!A:A,"-",0)</f>
        <v>-</v>
      </c>
    </row>
    <row r="302" spans="1:18" ht="15" customHeight="1" x14ac:dyDescent="0.35">
      <c r="A302" s="38" t="s">
        <v>2583</v>
      </c>
      <c r="B302" s="38" t="s">
        <v>2776</v>
      </c>
      <c r="C302" s="38" t="s">
        <v>2777</v>
      </c>
      <c r="D302" s="237" t="s">
        <v>1577</v>
      </c>
      <c r="E302" s="44" t="str">
        <f>IFERROR(VLOOKUP(D302,MANO_DE_OBRA!A:B,2,FALSE()),"?")</f>
        <v>AYUDANTE</v>
      </c>
      <c r="F302" s="44" t="s">
        <v>2778</v>
      </c>
      <c r="G302" s="45">
        <v>1</v>
      </c>
      <c r="H302" s="46">
        <v>0</v>
      </c>
      <c r="I302" s="47">
        <f>IFERROR(VLOOKUP(D302,MANO_DE_OBRA!A:C,3,FALSE()),0)</f>
        <v>60860.580776572002</v>
      </c>
      <c r="J302" s="42">
        <f>G302*I302</f>
        <v>60860.580776572002</v>
      </c>
      <c r="K302" s="15" t="str">
        <f t="shared" si="28"/>
        <v>COL-086|MO</v>
      </c>
      <c r="L302" s="15">
        <f>COUNTIFS($K$2:K302,K302)</f>
        <v>1</v>
      </c>
      <c r="M302" s="15" t="str">
        <f t="shared" si="29"/>
        <v>COL-086|MO|1</v>
      </c>
      <c r="N302" s="47">
        <f>IFERROR(VLOOKUP(A302,PARTIDAS!A:F,6,FALSE()),0)</f>
        <v>400</v>
      </c>
      <c r="O302" s="247">
        <f t="shared" si="30"/>
        <v>2.5000000000000001E-3</v>
      </c>
      <c r="P302" s="247" t="str">
        <f>+_xlfn.XLOOKUP(A302,PPTO_GENERADOR!Q:Q,PPTO_GENERADOR!E:E,"-",0)</f>
        <v>-</v>
      </c>
      <c r="Q302" s="247">
        <f t="shared" si="31"/>
        <v>0</v>
      </c>
      <c r="R302" s="259" t="str">
        <f>+_xlfn.XLOOKUP(A302,PPTO_GENERADOR!$Q:$Q,PPTO_GENERADOR!A:A,"-",0)</f>
        <v>-</v>
      </c>
    </row>
    <row r="303" spans="1:18" ht="15" customHeight="1" x14ac:dyDescent="0.35">
      <c r="A303" s="38" t="s">
        <v>2583</v>
      </c>
      <c r="B303" s="38" t="s">
        <v>2776</v>
      </c>
      <c r="C303" s="38" t="s">
        <v>2777</v>
      </c>
      <c r="D303" s="237" t="s">
        <v>1568</v>
      </c>
      <c r="E303" s="44" t="str">
        <f>IFERROR(VLOOKUP(D303,MANO_DE_OBRA!A:B,2,FALSE()),"?")</f>
        <v>ESPECIALIZADO</v>
      </c>
      <c r="F303" s="44" t="s">
        <v>2778</v>
      </c>
      <c r="G303" s="45">
        <v>2</v>
      </c>
      <c r="H303" s="46">
        <v>0</v>
      </c>
      <c r="I303" s="47">
        <f>IFERROR(VLOOKUP(D303,MANO_DE_OBRA!A:C,3,FALSE()),0)</f>
        <v>85927.097156571996</v>
      </c>
      <c r="J303" s="42">
        <f>G303*I303</f>
        <v>171854.19431314399</v>
      </c>
      <c r="K303" s="15" t="str">
        <f t="shared" si="28"/>
        <v>COL-086|MO</v>
      </c>
      <c r="L303" s="15">
        <f>COUNTIFS($K$2:K303,K303)</f>
        <v>2</v>
      </c>
      <c r="M303" s="15" t="str">
        <f t="shared" si="29"/>
        <v>COL-086|MO|2</v>
      </c>
      <c r="N303" s="47">
        <f>IFERROR(VLOOKUP(A303,PARTIDAS!A:F,6,FALSE()),0)</f>
        <v>400</v>
      </c>
      <c r="O303" s="247">
        <f t="shared" si="30"/>
        <v>5.0000000000000001E-3</v>
      </c>
      <c r="P303" s="247" t="str">
        <f>+_xlfn.XLOOKUP(A303,PPTO_GENERADOR!Q:Q,PPTO_GENERADOR!E:E,"-",0)</f>
        <v>-</v>
      </c>
      <c r="Q303" s="247">
        <f t="shared" si="31"/>
        <v>0</v>
      </c>
      <c r="R303" s="259" t="str">
        <f>+_xlfn.XLOOKUP(A303,PPTO_GENERADOR!$Q:$Q,PPTO_GENERADOR!A:A,"-",0)</f>
        <v>-</v>
      </c>
    </row>
    <row r="304" spans="1:18" ht="15" customHeight="1" x14ac:dyDescent="0.35">
      <c r="A304" s="38" t="s">
        <v>2583</v>
      </c>
      <c r="B304" s="38" t="s">
        <v>2776</v>
      </c>
      <c r="C304" s="38" t="s">
        <v>2777</v>
      </c>
      <c r="D304" s="237" t="s">
        <v>1568</v>
      </c>
      <c r="E304" s="44" t="str">
        <f>IFERROR(VLOOKUP(D304,MANO_DE_OBRA!A:B,2,FALSE()),"?")</f>
        <v>ESPECIALIZADO</v>
      </c>
      <c r="F304" s="44" t="s">
        <v>2778</v>
      </c>
      <c r="G304" s="45">
        <v>2</v>
      </c>
      <c r="H304" s="46">
        <v>0</v>
      </c>
      <c r="I304" s="47">
        <f>IFERROR(VLOOKUP(D304,MANO_DE_OBRA!A:C,3,FALSE()),0)</f>
        <v>85927.097156571996</v>
      </c>
      <c r="J304" s="42">
        <f>G304*I304</f>
        <v>171854.19431314399</v>
      </c>
      <c r="K304" s="15" t="str">
        <f t="shared" si="28"/>
        <v>COL-086|MO</v>
      </c>
      <c r="L304" s="15">
        <f>COUNTIFS($K$2:K304,K304)</f>
        <v>3</v>
      </c>
      <c r="M304" s="15" t="str">
        <f t="shared" si="29"/>
        <v>COL-086|MO|3</v>
      </c>
      <c r="N304" s="47">
        <f>IFERROR(VLOOKUP(A304,PARTIDAS!A:F,6,FALSE()),0)</f>
        <v>400</v>
      </c>
      <c r="O304" s="247">
        <f t="shared" si="30"/>
        <v>5.0000000000000001E-3</v>
      </c>
      <c r="P304" s="247" t="str">
        <f>+_xlfn.XLOOKUP(A304,PPTO_GENERADOR!Q:Q,PPTO_GENERADOR!E:E,"-",0)</f>
        <v>-</v>
      </c>
      <c r="Q304" s="247">
        <f t="shared" si="31"/>
        <v>0</v>
      </c>
      <c r="R304" s="259" t="str">
        <f>+_xlfn.XLOOKUP(A304,PPTO_GENERADOR!$Q:$Q,PPTO_GENERADOR!A:A,"-",0)</f>
        <v>-</v>
      </c>
    </row>
    <row r="305" spans="1:18" ht="15" customHeight="1" x14ac:dyDescent="0.35">
      <c r="A305" s="38" t="s">
        <v>2525</v>
      </c>
      <c r="B305" s="38" t="s">
        <v>2773</v>
      </c>
      <c r="C305" s="38"/>
      <c r="D305" s="38" t="s">
        <v>1622</v>
      </c>
      <c r="E305" s="44" t="str">
        <f>IFERROR(VLOOKUP(D305,EQUIPOS!A:B,2,FALSE()),"?")</f>
        <v>ESCALERA GLOSS ALUMINIO ARTICULADA 4 X 4 ESCALONES HASTA 150KG</v>
      </c>
      <c r="F305" s="44"/>
      <c r="G305" s="45">
        <v>1</v>
      </c>
      <c r="H305" s="46">
        <v>0</v>
      </c>
      <c r="I305" s="47">
        <f>IFERROR(VLOOKUP(D305,EQUIPOS!A:F,6,FALSE()),0)</f>
        <v>140.19809259430903</v>
      </c>
      <c r="J305" s="42">
        <f>G305*I305</f>
        <v>140.19809259430903</v>
      </c>
      <c r="K305" s="15" t="str">
        <f t="shared" si="28"/>
        <v>DUR-060|EQ</v>
      </c>
      <c r="L305" s="15">
        <f>COUNTIFS($K$2:K305,K305)</f>
        <v>1</v>
      </c>
      <c r="M305" s="15" t="str">
        <f t="shared" si="29"/>
        <v>DUR-060|EQ|1</v>
      </c>
      <c r="N305" s="47">
        <f>IFERROR(VLOOKUP(A305,PARTIDAS!A:F,6,FALSE()),0)</f>
        <v>9.5</v>
      </c>
      <c r="O305" s="247">
        <f t="shared" si="30"/>
        <v>1</v>
      </c>
      <c r="P305" s="247" t="str">
        <f>+_xlfn.XLOOKUP(A305,PPTO_GENERADOR!Q:Q,PPTO_GENERADOR!E:E,"-",0)</f>
        <v>-</v>
      </c>
      <c r="Q305" s="247">
        <f t="shared" si="31"/>
        <v>0</v>
      </c>
      <c r="R305" s="259" t="str">
        <f>+_xlfn.XLOOKUP(A305,PPTO_GENERADOR!$Q:$Q,PPTO_GENERADOR!A:A,"-",0)</f>
        <v>-</v>
      </c>
    </row>
    <row r="306" spans="1:18" ht="15" customHeight="1" x14ac:dyDescent="0.35">
      <c r="A306" s="38" t="s">
        <v>2525</v>
      </c>
      <c r="B306" s="38" t="s">
        <v>2773</v>
      </c>
      <c r="C306" s="38"/>
      <c r="D306" s="38" t="s">
        <v>1744</v>
      </c>
      <c r="E306" s="44" t="str">
        <f>IFERROR(VLOOKUP(D306,EQUIPOS!A:B,2,FALSE()),"?")</f>
        <v>EQUIPO DE CONSTRUCCION EN SECO</v>
      </c>
      <c r="F306" s="44"/>
      <c r="G306" s="45">
        <v>1</v>
      </c>
      <c r="H306" s="46">
        <v>0</v>
      </c>
      <c r="I306" s="47">
        <f>IFERROR(VLOOKUP(D306,EQUIPOS!A:F,6,FALSE()),0)</f>
        <v>2365.2381485799501</v>
      </c>
      <c r="J306" s="42">
        <f>G306*I306</f>
        <v>2365.2381485799501</v>
      </c>
      <c r="K306" s="15" t="str">
        <f t="shared" si="28"/>
        <v>DUR-060|EQ</v>
      </c>
      <c r="L306" s="15">
        <f>COUNTIFS($K$2:K306,K306)</f>
        <v>2</v>
      </c>
      <c r="M306" s="15" t="str">
        <f t="shared" si="29"/>
        <v>DUR-060|EQ|2</v>
      </c>
      <c r="N306" s="47">
        <f>IFERROR(VLOOKUP(A306,PARTIDAS!A:F,6,FALSE()),0)</f>
        <v>9.5</v>
      </c>
      <c r="O306" s="247">
        <f t="shared" si="30"/>
        <v>1</v>
      </c>
      <c r="P306" s="247" t="str">
        <f>+_xlfn.XLOOKUP(A306,PPTO_GENERADOR!Q:Q,PPTO_GENERADOR!E:E,"-",0)</f>
        <v>-</v>
      </c>
      <c r="Q306" s="247">
        <f t="shared" si="31"/>
        <v>0</v>
      </c>
      <c r="R306" s="259" t="str">
        <f>+_xlfn.XLOOKUP(A306,PPTO_GENERADOR!$Q:$Q,PPTO_GENERADOR!A:A,"-",0)</f>
        <v>-</v>
      </c>
    </row>
    <row r="307" spans="1:18" ht="15" customHeight="1" x14ac:dyDescent="0.35">
      <c r="A307" s="38" t="s">
        <v>2525</v>
      </c>
      <c r="B307" s="38" t="s">
        <v>2774</v>
      </c>
      <c r="C307" s="38" t="s">
        <v>2775</v>
      </c>
      <c r="D307" s="38" t="s">
        <v>745</v>
      </c>
      <c r="E307" s="44" t="str">
        <f>IFERROR(VLOOKUP(D307,MATERIALES!A:B,2,FALSE()),"?")</f>
        <v>Solera 35mm x 2.60m</v>
      </c>
      <c r="F307" s="44" t="str">
        <f>IFERROR(VLOOKUP(D307,MATERIALES!A:C,3,FALSE()),"?")</f>
        <v>u</v>
      </c>
      <c r="G307" s="45">
        <v>0.507692307692308</v>
      </c>
      <c r="H307" s="46">
        <v>0.1</v>
      </c>
      <c r="I307" s="47">
        <f>IFERROR(VLOOKUP(D307,MATERIALES!A:D,4,FALSE()),0)</f>
        <v>2147.85</v>
      </c>
      <c r="J307" s="42">
        <f t="shared" ref="J307:J314" si="32">G307*I307*(1+H307)</f>
        <v>1199.4916153846161</v>
      </c>
      <c r="K307" s="15" t="str">
        <f t="shared" si="28"/>
        <v>DUR-060|MAT</v>
      </c>
      <c r="L307" s="15">
        <f>COUNTIFS($K$2:K307,K307)</f>
        <v>1</v>
      </c>
      <c r="M307" s="15" t="str">
        <f t="shared" si="29"/>
        <v>DUR-060|MAT|1</v>
      </c>
      <c r="N307" s="47">
        <f>IFERROR(VLOOKUP(A307,PARTIDAS!A:F,6,FALSE()),0)</f>
        <v>9.5</v>
      </c>
      <c r="O307" s="247">
        <f t="shared" si="30"/>
        <v>0.507692307692308</v>
      </c>
      <c r="P307" s="247" t="str">
        <f>+_xlfn.XLOOKUP(A307,PPTO_GENERADOR!Q:Q,PPTO_GENERADOR!E:E,"-",0)</f>
        <v>-</v>
      </c>
      <c r="Q307" s="247">
        <f t="shared" si="31"/>
        <v>0</v>
      </c>
      <c r="R307" s="259" t="str">
        <f>+_xlfn.XLOOKUP(A307,PPTO_GENERADOR!$Q:$Q,PPTO_GENERADOR!A:A,"-",0)</f>
        <v>-</v>
      </c>
    </row>
    <row r="308" spans="1:18" ht="15" customHeight="1" x14ac:dyDescent="0.35">
      <c r="A308" s="38" t="s">
        <v>2525</v>
      </c>
      <c r="B308" s="38" t="s">
        <v>2774</v>
      </c>
      <c r="C308" s="38" t="s">
        <v>2775</v>
      </c>
      <c r="D308" s="38" t="s">
        <v>747</v>
      </c>
      <c r="E308" s="44" t="str">
        <f>IFERROR(VLOOKUP(D308,MATERIALES!A:B,2,FALSE()),"?")</f>
        <v>Montante 34mm x 2.60m</v>
      </c>
      <c r="F308" s="44" t="str">
        <f>IFERROR(VLOOKUP(D308,MATERIALES!A:C,3,FALSE()),"?")</f>
        <v>u</v>
      </c>
      <c r="G308" s="45">
        <v>1.2307692307692299</v>
      </c>
      <c r="H308" s="46">
        <v>0.1</v>
      </c>
      <c r="I308" s="47">
        <f>IFERROR(VLOOKUP(D308,MATERIALES!A:D,4,FALSE()),0)</f>
        <v>2468.66</v>
      </c>
      <c r="J308" s="42">
        <f t="shared" si="32"/>
        <v>3342.1858461538441</v>
      </c>
      <c r="K308" s="15" t="str">
        <f t="shared" si="28"/>
        <v>DUR-060|MAT</v>
      </c>
      <c r="L308" s="15">
        <f>COUNTIFS($K$2:K308,K308)</f>
        <v>2</v>
      </c>
      <c r="M308" s="15" t="str">
        <f t="shared" si="29"/>
        <v>DUR-060|MAT|2</v>
      </c>
      <c r="N308" s="47">
        <f>IFERROR(VLOOKUP(A308,PARTIDAS!A:F,6,FALSE()),0)</f>
        <v>9.5</v>
      </c>
      <c r="O308" s="247">
        <f t="shared" si="30"/>
        <v>1.2307692307692299</v>
      </c>
      <c r="P308" s="247" t="str">
        <f>+_xlfn.XLOOKUP(A308,PPTO_GENERADOR!Q:Q,PPTO_GENERADOR!E:E,"-",0)</f>
        <v>-</v>
      </c>
      <c r="Q308" s="247">
        <f t="shared" si="31"/>
        <v>0</v>
      </c>
      <c r="R308" s="259" t="str">
        <f>+_xlfn.XLOOKUP(A308,PPTO_GENERADOR!$Q:$Q,PPTO_GENERADOR!A:A,"-",0)</f>
        <v>-</v>
      </c>
    </row>
    <row r="309" spans="1:18" ht="15" customHeight="1" x14ac:dyDescent="0.35">
      <c r="A309" s="38" t="s">
        <v>2525</v>
      </c>
      <c r="B309" s="38" t="s">
        <v>2774</v>
      </c>
      <c r="C309" s="38" t="s">
        <v>2775</v>
      </c>
      <c r="D309" s="38" t="s">
        <v>763</v>
      </c>
      <c r="E309" s="44" t="str">
        <f>IFERROR(VLOOKUP(D309,MATERIALES!A:B,2,FALSE()),"?")</f>
        <v>Masilla x 32kg</v>
      </c>
      <c r="F309" s="44" t="str">
        <f>IFERROR(VLOOKUP(D309,MATERIALES!A:C,3,FALSE()),"?")</f>
        <v>u</v>
      </c>
      <c r="G309" s="45">
        <v>2.8125000000000001E-2</v>
      </c>
      <c r="H309" s="46">
        <v>0.05</v>
      </c>
      <c r="I309" s="47">
        <f>IFERROR(VLOOKUP(D309,MATERIALES!A:D,4,FALSE()),0)</f>
        <v>26872.02</v>
      </c>
      <c r="J309" s="42">
        <f t="shared" si="32"/>
        <v>793.564340625</v>
      </c>
      <c r="K309" s="15" t="str">
        <f t="shared" si="28"/>
        <v>DUR-060|MAT</v>
      </c>
      <c r="L309" s="15">
        <f>COUNTIFS($K$2:K309,K309)</f>
        <v>3</v>
      </c>
      <c r="M309" s="15" t="str">
        <f t="shared" si="29"/>
        <v>DUR-060|MAT|3</v>
      </c>
      <c r="N309" s="47">
        <f>IFERROR(VLOOKUP(A309,PARTIDAS!A:F,6,FALSE()),0)</f>
        <v>9.5</v>
      </c>
      <c r="O309" s="247">
        <f t="shared" si="30"/>
        <v>2.8125000000000001E-2</v>
      </c>
      <c r="P309" s="247" t="str">
        <f>+_xlfn.XLOOKUP(A309,PPTO_GENERADOR!Q:Q,PPTO_GENERADOR!E:E,"-",0)</f>
        <v>-</v>
      </c>
      <c r="Q309" s="247">
        <f t="shared" si="31"/>
        <v>0</v>
      </c>
      <c r="R309" s="259" t="str">
        <f>+_xlfn.XLOOKUP(A309,PPTO_GENERADOR!$Q:$Q,PPTO_GENERADOR!A:A,"-",0)</f>
        <v>-</v>
      </c>
    </row>
    <row r="310" spans="1:18" ht="15" customHeight="1" x14ac:dyDescent="0.35">
      <c r="A310" s="38" t="s">
        <v>2525</v>
      </c>
      <c r="B310" s="38" t="s">
        <v>2774</v>
      </c>
      <c r="C310" s="38" t="s">
        <v>2775</v>
      </c>
      <c r="D310" s="38" t="s">
        <v>749</v>
      </c>
      <c r="E310" s="44" t="str">
        <f>IFERROR(VLOOKUP(D310,MATERIALES!A:B,2,FALSE()),"?")</f>
        <v>Tornillo T1 - Aguja</v>
      </c>
      <c r="F310" s="44" t="str">
        <f>IFERROR(VLOOKUP(D310,MATERIALES!A:C,3,FALSE()),"?")</f>
        <v>u</v>
      </c>
      <c r="G310" s="45">
        <v>16</v>
      </c>
      <c r="H310" s="46">
        <v>0.05</v>
      </c>
      <c r="I310" s="47">
        <f>IFERROR(VLOOKUP(D310,MATERIALES!A:D,4,FALSE()),0)</f>
        <v>32.707173553719002</v>
      </c>
      <c r="J310" s="42">
        <f t="shared" si="32"/>
        <v>549.48051570247924</v>
      </c>
      <c r="K310" s="15" t="str">
        <f t="shared" si="28"/>
        <v>DUR-060|MAT</v>
      </c>
      <c r="L310" s="15">
        <f>COUNTIFS($K$2:K310,K310)</f>
        <v>4</v>
      </c>
      <c r="M310" s="15" t="str">
        <f t="shared" si="29"/>
        <v>DUR-060|MAT|4</v>
      </c>
      <c r="N310" s="47">
        <f>IFERROR(VLOOKUP(A310,PARTIDAS!A:F,6,FALSE()),0)</f>
        <v>9.5</v>
      </c>
      <c r="O310" s="247">
        <f t="shared" si="30"/>
        <v>16</v>
      </c>
      <c r="P310" s="247" t="str">
        <f>+_xlfn.XLOOKUP(A310,PPTO_GENERADOR!Q:Q,PPTO_GENERADOR!E:E,"-",0)</f>
        <v>-</v>
      </c>
      <c r="Q310" s="247">
        <f t="shared" si="31"/>
        <v>0</v>
      </c>
      <c r="R310" s="259" t="str">
        <f>+_xlfn.XLOOKUP(A310,PPTO_GENERADOR!$Q:$Q,PPTO_GENERADOR!A:A,"-",0)</f>
        <v>-</v>
      </c>
    </row>
    <row r="311" spans="1:18" ht="15" customHeight="1" x14ac:dyDescent="0.35">
      <c r="A311" s="38" t="s">
        <v>2525</v>
      </c>
      <c r="B311" s="38" t="s">
        <v>2774</v>
      </c>
      <c r="C311" s="38" t="s">
        <v>2775</v>
      </c>
      <c r="D311" s="38" t="s">
        <v>752</v>
      </c>
      <c r="E311" s="44" t="str">
        <f>IFERROR(VLOOKUP(D311,MATERIALES!A:B,2,FALSE()),"?")</f>
        <v>Tornillo T2 - Aguja</v>
      </c>
      <c r="F311" s="44" t="str">
        <f>IFERROR(VLOOKUP(D311,MATERIALES!A:C,3,FALSE()),"?")</f>
        <v>u</v>
      </c>
      <c r="G311" s="45">
        <v>18</v>
      </c>
      <c r="H311" s="46">
        <v>0.05</v>
      </c>
      <c r="I311" s="47">
        <f>IFERROR(VLOOKUP(D311,MATERIALES!A:D,4,FALSE()),0)</f>
        <v>17.1963177226814</v>
      </c>
      <c r="J311" s="42">
        <f t="shared" si="32"/>
        <v>325.01040495867846</v>
      </c>
      <c r="K311" s="15" t="str">
        <f t="shared" si="28"/>
        <v>DUR-060|MAT</v>
      </c>
      <c r="L311" s="15">
        <f>COUNTIFS($K$2:K311,K311)</f>
        <v>5</v>
      </c>
      <c r="M311" s="15" t="str">
        <f t="shared" si="29"/>
        <v>DUR-060|MAT|5</v>
      </c>
      <c r="N311" s="47">
        <f>IFERROR(VLOOKUP(A311,PARTIDAS!A:F,6,FALSE()),0)</f>
        <v>9.5</v>
      </c>
      <c r="O311" s="247">
        <f t="shared" si="30"/>
        <v>18</v>
      </c>
      <c r="P311" s="247" t="str">
        <f>+_xlfn.XLOOKUP(A311,PPTO_GENERADOR!Q:Q,PPTO_GENERADOR!E:E,"-",0)</f>
        <v>-</v>
      </c>
      <c r="Q311" s="247">
        <f t="shared" si="31"/>
        <v>0</v>
      </c>
      <c r="R311" s="259" t="str">
        <f>+_xlfn.XLOOKUP(A311,PPTO_GENERADOR!$Q:$Q,PPTO_GENERADOR!A:A,"-",0)</f>
        <v>-</v>
      </c>
    </row>
    <row r="312" spans="1:18" ht="15" customHeight="1" x14ac:dyDescent="0.35">
      <c r="A312" s="38" t="s">
        <v>2525</v>
      </c>
      <c r="B312" s="38" t="s">
        <v>2774</v>
      </c>
      <c r="C312" s="38" t="s">
        <v>2775</v>
      </c>
      <c r="D312" s="38" t="s">
        <v>756</v>
      </c>
      <c r="E312" s="44" t="str">
        <f>IFERROR(VLOOKUP(D312,MATERIALES!A:B,2,FALSE()),"?")</f>
        <v>Fijacion completa del 8</v>
      </c>
      <c r="F312" s="44" t="str">
        <f>IFERROR(VLOOKUP(D312,MATERIALES!A:C,3,FALSE()),"?")</f>
        <v>u</v>
      </c>
      <c r="G312" s="45">
        <v>6</v>
      </c>
      <c r="H312" s="46">
        <v>0.05</v>
      </c>
      <c r="I312" s="47">
        <f>IFERROR(VLOOKUP(D312,MATERIALES!A:D,4,FALSE()),0)</f>
        <v>65.919008264462803</v>
      </c>
      <c r="J312" s="42">
        <f t="shared" si="32"/>
        <v>415.28975206611568</v>
      </c>
      <c r="K312" s="15" t="str">
        <f t="shared" si="28"/>
        <v>DUR-060|MAT</v>
      </c>
      <c r="L312" s="15">
        <f>COUNTIFS($K$2:K312,K312)</f>
        <v>6</v>
      </c>
      <c r="M312" s="15" t="str">
        <f t="shared" si="29"/>
        <v>DUR-060|MAT|6</v>
      </c>
      <c r="N312" s="47">
        <f>IFERROR(VLOOKUP(A312,PARTIDAS!A:F,6,FALSE()),0)</f>
        <v>9.5</v>
      </c>
      <c r="O312" s="247">
        <f t="shared" si="30"/>
        <v>6</v>
      </c>
      <c r="P312" s="247" t="str">
        <f>+_xlfn.XLOOKUP(A312,PPTO_GENERADOR!Q:Q,PPTO_GENERADOR!E:E,"-",0)</f>
        <v>-</v>
      </c>
      <c r="Q312" s="247">
        <f t="shared" si="31"/>
        <v>0</v>
      </c>
      <c r="R312" s="259" t="str">
        <f>+_xlfn.XLOOKUP(A312,PPTO_GENERADOR!$Q:$Q,PPTO_GENERADOR!A:A,"-",0)</f>
        <v>-</v>
      </c>
    </row>
    <row r="313" spans="1:18" ht="15" customHeight="1" x14ac:dyDescent="0.35">
      <c r="A313" s="38" t="s">
        <v>2525</v>
      </c>
      <c r="B313" s="38" t="s">
        <v>2774</v>
      </c>
      <c r="C313" s="38" t="s">
        <v>2775</v>
      </c>
      <c r="D313" s="38" t="s">
        <v>758</v>
      </c>
      <c r="E313" s="44" t="str">
        <f>IFERROR(VLOOKUP(D313,MATERIALES!A:B,2,FALSE()),"?")</f>
        <v>Cinta Entramada - 90m</v>
      </c>
      <c r="F313" s="44" t="str">
        <f>IFERROR(VLOOKUP(D313,MATERIALES!A:C,3,FALSE()),"?")</f>
        <v>u</v>
      </c>
      <c r="G313" s="45">
        <v>1.8333333333333299E-2</v>
      </c>
      <c r="H313" s="46">
        <v>0.05</v>
      </c>
      <c r="I313" s="47">
        <f>IFERROR(VLOOKUP(D313,MATERIALES!A:D,4,FALSE()),0)</f>
        <v>4042.71</v>
      </c>
      <c r="J313" s="42">
        <f t="shared" si="32"/>
        <v>77.82216749999985</v>
      </c>
      <c r="K313" s="15" t="str">
        <f t="shared" si="28"/>
        <v>DUR-060|MAT</v>
      </c>
      <c r="L313" s="15">
        <f>COUNTIFS($K$2:K313,K313)</f>
        <v>7</v>
      </c>
      <c r="M313" s="15" t="str">
        <f t="shared" si="29"/>
        <v>DUR-060|MAT|7</v>
      </c>
      <c r="N313" s="47">
        <f>IFERROR(VLOOKUP(A313,PARTIDAS!A:F,6,FALSE()),0)</f>
        <v>9.5</v>
      </c>
      <c r="O313" s="247">
        <f t="shared" si="30"/>
        <v>1.8333333333333299E-2</v>
      </c>
      <c r="P313" s="247" t="str">
        <f>+_xlfn.XLOOKUP(A313,PPTO_GENERADOR!Q:Q,PPTO_GENERADOR!E:E,"-",0)</f>
        <v>-</v>
      </c>
      <c r="Q313" s="247">
        <f t="shared" si="31"/>
        <v>0</v>
      </c>
      <c r="R313" s="259" t="str">
        <f>+_xlfn.XLOOKUP(A313,PPTO_GENERADOR!$Q:$Q,PPTO_GENERADOR!A:A,"-",0)</f>
        <v>-</v>
      </c>
    </row>
    <row r="314" spans="1:18" ht="15" customHeight="1" x14ac:dyDescent="0.35">
      <c r="A314" s="38" t="s">
        <v>2525</v>
      </c>
      <c r="B314" s="38" t="s">
        <v>2774</v>
      </c>
      <c r="C314" s="38" t="s">
        <v>2775</v>
      </c>
      <c r="D314" s="38" t="s">
        <v>765</v>
      </c>
      <c r="E314" s="44" t="str">
        <f>IFERROR(VLOOKUP(D314,MATERIALES!A:B,2,FALSE()),"?")</f>
        <v>Placa Roca de Yeso 1220 x 2440 - 12.5mm - STD</v>
      </c>
      <c r="F314" s="44" t="str">
        <f>IFERROR(VLOOKUP(D314,MATERIALES!A:C,3,FALSE()),"?")</f>
        <v>u</v>
      </c>
      <c r="G314" s="45">
        <v>0.36</v>
      </c>
      <c r="H314" s="46">
        <v>0.1</v>
      </c>
      <c r="I314" s="47">
        <f>IFERROR(VLOOKUP(D314,MATERIALES!A:D,4,FALSE()),0)</f>
        <v>10022.959999999999</v>
      </c>
      <c r="J314" s="42">
        <f t="shared" si="32"/>
        <v>3969.0921600000001</v>
      </c>
      <c r="K314" s="15" t="str">
        <f t="shared" si="28"/>
        <v>DUR-060|MAT</v>
      </c>
      <c r="L314" s="15">
        <f>COUNTIFS($K$2:K314,K314)</f>
        <v>8</v>
      </c>
      <c r="M314" s="15" t="str">
        <f t="shared" si="29"/>
        <v>DUR-060|MAT|8</v>
      </c>
      <c r="N314" s="47">
        <f>IFERROR(VLOOKUP(A314,PARTIDAS!A:F,6,FALSE()),0)</f>
        <v>9.5</v>
      </c>
      <c r="O314" s="247">
        <f t="shared" si="30"/>
        <v>0.36</v>
      </c>
      <c r="P314" s="247" t="str">
        <f>+_xlfn.XLOOKUP(A314,PPTO_GENERADOR!Q:Q,PPTO_GENERADOR!E:E,"-",0)</f>
        <v>-</v>
      </c>
      <c r="Q314" s="247">
        <f t="shared" si="31"/>
        <v>0</v>
      </c>
      <c r="R314" s="259" t="str">
        <f>+_xlfn.XLOOKUP(A314,PPTO_GENERADOR!$Q:$Q,PPTO_GENERADOR!A:A,"-",0)</f>
        <v>-</v>
      </c>
    </row>
    <row r="315" spans="1:18" ht="15" customHeight="1" x14ac:dyDescent="0.35">
      <c r="A315" s="38" t="s">
        <v>2525</v>
      </c>
      <c r="B315" s="38" t="s">
        <v>2776</v>
      </c>
      <c r="C315" s="38" t="s">
        <v>2777</v>
      </c>
      <c r="D315" s="237" t="s">
        <v>1574</v>
      </c>
      <c r="E315" s="44" t="str">
        <f>IFERROR(VLOOKUP(D315,MANO_DE_OBRA!A:B,2,FALSE()),"?")</f>
        <v>MEDIO OFICIAL</v>
      </c>
      <c r="F315" s="44" t="s">
        <v>2778</v>
      </c>
      <c r="G315" s="45">
        <v>1</v>
      </c>
      <c r="H315" s="46">
        <v>0</v>
      </c>
      <c r="I315" s="47">
        <f>IFERROR(VLOOKUP(D315,MANO_DE_OBRA!A:C,3,FALSE()),0)</f>
        <v>65493.071636572</v>
      </c>
      <c r="J315" s="42">
        <f>G315*I315</f>
        <v>65493.071636572</v>
      </c>
      <c r="K315" s="15" t="str">
        <f t="shared" si="28"/>
        <v>DUR-060|MO</v>
      </c>
      <c r="L315" s="15">
        <f>COUNTIFS($K$2:K315,K315)</f>
        <v>1</v>
      </c>
      <c r="M315" s="15" t="str">
        <f t="shared" si="29"/>
        <v>DUR-060|MO|1</v>
      </c>
      <c r="N315" s="47">
        <f>IFERROR(VLOOKUP(A315,PARTIDAS!A:F,6,FALSE()),0)</f>
        <v>9.5</v>
      </c>
      <c r="O315" s="247">
        <f t="shared" si="30"/>
        <v>0.10526315789473684</v>
      </c>
      <c r="P315" s="247" t="str">
        <f>+_xlfn.XLOOKUP(A315,PPTO_GENERADOR!Q:Q,PPTO_GENERADOR!E:E,"-",0)</f>
        <v>-</v>
      </c>
      <c r="Q315" s="247">
        <f t="shared" si="31"/>
        <v>0</v>
      </c>
      <c r="R315" s="259" t="str">
        <f>+_xlfn.XLOOKUP(A315,PPTO_GENERADOR!$Q:$Q,PPTO_GENERADOR!A:A,"-",0)</f>
        <v>-</v>
      </c>
    </row>
    <row r="316" spans="1:18" ht="15" customHeight="1" x14ac:dyDescent="0.35">
      <c r="A316" s="38" t="s">
        <v>2525</v>
      </c>
      <c r="B316" s="38" t="s">
        <v>2776</v>
      </c>
      <c r="C316" s="38" t="s">
        <v>2777</v>
      </c>
      <c r="D316" s="237" t="s">
        <v>1568</v>
      </c>
      <c r="E316" s="44" t="str">
        <f>IFERROR(VLOOKUP(D316,MANO_DE_OBRA!A:B,2,FALSE()),"?")</f>
        <v>ESPECIALIZADO</v>
      </c>
      <c r="F316" s="44" t="s">
        <v>2778</v>
      </c>
      <c r="G316" s="45">
        <v>1</v>
      </c>
      <c r="H316" s="46">
        <v>0</v>
      </c>
      <c r="I316" s="47">
        <f>IFERROR(VLOOKUP(D316,MANO_DE_OBRA!A:C,3,FALSE()),0)</f>
        <v>85927.097156571996</v>
      </c>
      <c r="J316" s="42">
        <f>G316*I316</f>
        <v>85927.097156571996</v>
      </c>
      <c r="K316" s="15" t="str">
        <f t="shared" si="28"/>
        <v>DUR-060|MO</v>
      </c>
      <c r="L316" s="15">
        <f>COUNTIFS($K$2:K316,K316)</f>
        <v>2</v>
      </c>
      <c r="M316" s="15" t="str">
        <f t="shared" si="29"/>
        <v>DUR-060|MO|2</v>
      </c>
      <c r="N316" s="47">
        <f>IFERROR(VLOOKUP(A316,PARTIDAS!A:F,6,FALSE()),0)</f>
        <v>9.5</v>
      </c>
      <c r="O316" s="247">
        <f t="shared" si="30"/>
        <v>0.10526315789473684</v>
      </c>
      <c r="P316" s="247" t="str">
        <f>+_xlfn.XLOOKUP(A316,PPTO_GENERADOR!Q:Q,PPTO_GENERADOR!E:E,"-",0)</f>
        <v>-</v>
      </c>
      <c r="Q316" s="247">
        <f t="shared" si="31"/>
        <v>0</v>
      </c>
      <c r="R316" s="259" t="str">
        <f>+_xlfn.XLOOKUP(A316,PPTO_GENERADOR!$Q:$Q,PPTO_GENERADOR!A:A,"-",0)</f>
        <v>-</v>
      </c>
    </row>
    <row r="317" spans="1:18" ht="15" customHeight="1" x14ac:dyDescent="0.35">
      <c r="A317" s="38" t="s">
        <v>2528</v>
      </c>
      <c r="B317" s="38" t="s">
        <v>2773</v>
      </c>
      <c r="C317" s="38"/>
      <c r="D317" s="38" t="s">
        <v>1622</v>
      </c>
      <c r="E317" s="44" t="str">
        <f>IFERROR(VLOOKUP(D317,EQUIPOS!A:B,2,FALSE()),"?")</f>
        <v>ESCALERA GLOSS ALUMINIO ARTICULADA 4 X 4 ESCALONES HASTA 150KG</v>
      </c>
      <c r="F317" s="44"/>
      <c r="G317" s="45">
        <v>1</v>
      </c>
      <c r="H317" s="46">
        <v>0</v>
      </c>
      <c r="I317" s="47">
        <f>IFERROR(VLOOKUP(D317,EQUIPOS!A:F,6,FALSE()),0)</f>
        <v>140.19809259430903</v>
      </c>
      <c r="J317" s="42">
        <f>G317*I317</f>
        <v>140.19809259430903</v>
      </c>
      <c r="K317" s="15" t="str">
        <f t="shared" si="28"/>
        <v>DUR-061|EQ</v>
      </c>
      <c r="L317" s="15">
        <f>COUNTIFS($K$2:K317,K317)</f>
        <v>1</v>
      </c>
      <c r="M317" s="15" t="str">
        <f t="shared" si="29"/>
        <v>DUR-061|EQ|1</v>
      </c>
      <c r="N317" s="47">
        <f>IFERROR(VLOOKUP(A317,PARTIDAS!A:F,6,FALSE()),0)</f>
        <v>9.5</v>
      </c>
      <c r="O317" s="247">
        <f t="shared" si="30"/>
        <v>1</v>
      </c>
      <c r="P317" s="247" t="str">
        <f>+_xlfn.XLOOKUP(A317,PPTO_GENERADOR!Q:Q,PPTO_GENERADOR!E:E,"-",0)</f>
        <v>-</v>
      </c>
      <c r="Q317" s="247">
        <f t="shared" si="31"/>
        <v>0</v>
      </c>
      <c r="R317" s="259" t="str">
        <f>+_xlfn.XLOOKUP(A317,PPTO_GENERADOR!$Q:$Q,PPTO_GENERADOR!A:A,"-",0)</f>
        <v>-</v>
      </c>
    </row>
    <row r="318" spans="1:18" ht="15" customHeight="1" x14ac:dyDescent="0.35">
      <c r="A318" s="38" t="s">
        <v>2528</v>
      </c>
      <c r="B318" s="38" t="s">
        <v>2773</v>
      </c>
      <c r="C318" s="38"/>
      <c r="D318" s="38" t="s">
        <v>1744</v>
      </c>
      <c r="E318" s="44" t="str">
        <f>IFERROR(VLOOKUP(D318,EQUIPOS!A:B,2,FALSE()),"?")</f>
        <v>EQUIPO DE CONSTRUCCION EN SECO</v>
      </c>
      <c r="F318" s="44"/>
      <c r="G318" s="45">
        <v>1</v>
      </c>
      <c r="H318" s="46">
        <v>0</v>
      </c>
      <c r="I318" s="47">
        <f>IFERROR(VLOOKUP(D318,EQUIPOS!A:F,6,FALSE()),0)</f>
        <v>2365.2381485799501</v>
      </c>
      <c r="J318" s="42">
        <f>G318*I318</f>
        <v>2365.2381485799501</v>
      </c>
      <c r="K318" s="15" t="str">
        <f t="shared" si="28"/>
        <v>DUR-061|EQ</v>
      </c>
      <c r="L318" s="15">
        <f>COUNTIFS($K$2:K318,K318)</f>
        <v>2</v>
      </c>
      <c r="M318" s="15" t="str">
        <f t="shared" si="29"/>
        <v>DUR-061|EQ|2</v>
      </c>
      <c r="N318" s="47">
        <f>IFERROR(VLOOKUP(A318,PARTIDAS!A:F,6,FALSE()),0)</f>
        <v>9.5</v>
      </c>
      <c r="O318" s="247">
        <f t="shared" si="30"/>
        <v>1</v>
      </c>
      <c r="P318" s="247" t="str">
        <f>+_xlfn.XLOOKUP(A318,PPTO_GENERADOR!Q:Q,PPTO_GENERADOR!E:E,"-",0)</f>
        <v>-</v>
      </c>
      <c r="Q318" s="247">
        <f t="shared" si="31"/>
        <v>0</v>
      </c>
      <c r="R318" s="259" t="str">
        <f>+_xlfn.XLOOKUP(A318,PPTO_GENERADOR!$Q:$Q,PPTO_GENERADOR!A:A,"-",0)</f>
        <v>-</v>
      </c>
    </row>
    <row r="319" spans="1:18" ht="15" customHeight="1" x14ac:dyDescent="0.35">
      <c r="A319" s="38" t="s">
        <v>2528</v>
      </c>
      <c r="B319" s="38" t="s">
        <v>2774</v>
      </c>
      <c r="C319" s="38" t="s">
        <v>2775</v>
      </c>
      <c r="D319" s="38" t="s">
        <v>740</v>
      </c>
      <c r="E319" s="44" t="str">
        <f>IFERROR(VLOOKUP(D319,MATERIALES!A:B,2,FALSE()),"?")</f>
        <v>Solera 70mm x 2.60m</v>
      </c>
      <c r="F319" s="44" t="str">
        <f>IFERROR(VLOOKUP(D319,MATERIALES!A:C,3,FALSE()),"?")</f>
        <v>u</v>
      </c>
      <c r="G319" s="45">
        <v>0.507692307692308</v>
      </c>
      <c r="H319" s="46">
        <v>0.1</v>
      </c>
      <c r="I319" s="47">
        <f>IFERROR(VLOOKUP(D319,MATERIALES!A:D,4,FALSE()),0)</f>
        <v>2932.93</v>
      </c>
      <c r="J319" s="42">
        <f t="shared" ref="J319:J326" si="33">G319*I319*(1+H319)</f>
        <v>1637.9286000000009</v>
      </c>
      <c r="K319" s="15" t="str">
        <f t="shared" si="28"/>
        <v>DUR-061|MAT</v>
      </c>
      <c r="L319" s="15">
        <f>COUNTIFS($K$2:K319,K319)</f>
        <v>1</v>
      </c>
      <c r="M319" s="15" t="str">
        <f t="shared" si="29"/>
        <v>DUR-061|MAT|1</v>
      </c>
      <c r="N319" s="47">
        <f>IFERROR(VLOOKUP(A319,PARTIDAS!A:F,6,FALSE()),0)</f>
        <v>9.5</v>
      </c>
      <c r="O319" s="247">
        <f t="shared" si="30"/>
        <v>0.507692307692308</v>
      </c>
      <c r="P319" s="247" t="str">
        <f>+_xlfn.XLOOKUP(A319,PPTO_GENERADOR!Q:Q,PPTO_GENERADOR!E:E,"-",0)</f>
        <v>-</v>
      </c>
      <c r="Q319" s="247">
        <f t="shared" si="31"/>
        <v>0</v>
      </c>
      <c r="R319" s="259" t="str">
        <f>+_xlfn.XLOOKUP(A319,PPTO_GENERADOR!$Q:$Q,PPTO_GENERADOR!A:A,"-",0)</f>
        <v>-</v>
      </c>
    </row>
    <row r="320" spans="1:18" ht="15" customHeight="1" x14ac:dyDescent="0.35">
      <c r="A320" s="38" t="s">
        <v>2528</v>
      </c>
      <c r="B320" s="38" t="s">
        <v>2774</v>
      </c>
      <c r="C320" s="38" t="s">
        <v>2775</v>
      </c>
      <c r="D320" s="38" t="s">
        <v>743</v>
      </c>
      <c r="E320" s="44" t="str">
        <f>IFERROR(VLOOKUP(D320,MATERIALES!A:B,2,FALSE()),"?")</f>
        <v>Montante 69mm x 2.60m</v>
      </c>
      <c r="F320" s="44" t="str">
        <f>IFERROR(VLOOKUP(D320,MATERIALES!A:C,3,FALSE()),"?")</f>
        <v>u</v>
      </c>
      <c r="G320" s="45">
        <v>1.2307692307692299</v>
      </c>
      <c r="H320" s="46">
        <v>0.1</v>
      </c>
      <c r="I320" s="47">
        <f>IFERROR(VLOOKUP(D320,MATERIALES!A:D,4,FALSE()),0)</f>
        <v>3295.47</v>
      </c>
      <c r="J320" s="42">
        <f t="shared" si="33"/>
        <v>4461.5593846153815</v>
      </c>
      <c r="K320" s="15" t="str">
        <f t="shared" si="28"/>
        <v>DUR-061|MAT</v>
      </c>
      <c r="L320" s="15">
        <f>COUNTIFS($K$2:K320,K320)</f>
        <v>2</v>
      </c>
      <c r="M320" s="15" t="str">
        <f t="shared" si="29"/>
        <v>DUR-061|MAT|2</v>
      </c>
      <c r="N320" s="47">
        <f>IFERROR(VLOOKUP(A320,PARTIDAS!A:F,6,FALSE()),0)</f>
        <v>9.5</v>
      </c>
      <c r="O320" s="247">
        <f t="shared" si="30"/>
        <v>1.2307692307692299</v>
      </c>
      <c r="P320" s="247" t="str">
        <f>+_xlfn.XLOOKUP(A320,PPTO_GENERADOR!Q:Q,PPTO_GENERADOR!E:E,"-",0)</f>
        <v>-</v>
      </c>
      <c r="Q320" s="247">
        <f t="shared" si="31"/>
        <v>0</v>
      </c>
      <c r="R320" s="259" t="str">
        <f>+_xlfn.XLOOKUP(A320,PPTO_GENERADOR!$Q:$Q,PPTO_GENERADOR!A:A,"-",0)</f>
        <v>-</v>
      </c>
    </row>
    <row r="321" spans="1:18" ht="15" customHeight="1" x14ac:dyDescent="0.35">
      <c r="A321" s="38" t="s">
        <v>2528</v>
      </c>
      <c r="B321" s="38" t="s">
        <v>2774</v>
      </c>
      <c r="C321" s="38" t="s">
        <v>2775</v>
      </c>
      <c r="D321" s="38" t="s">
        <v>763</v>
      </c>
      <c r="E321" s="44" t="str">
        <f>IFERROR(VLOOKUP(D321,MATERIALES!A:B,2,FALSE()),"?")</f>
        <v>Masilla x 32kg</v>
      </c>
      <c r="F321" s="44" t="str">
        <f>IFERROR(VLOOKUP(D321,MATERIALES!A:C,3,FALSE()),"?")</f>
        <v>u</v>
      </c>
      <c r="G321" s="45">
        <v>2.8125000000000001E-2</v>
      </c>
      <c r="H321" s="46">
        <v>0.05</v>
      </c>
      <c r="I321" s="47">
        <f>IFERROR(VLOOKUP(D321,MATERIALES!A:D,4,FALSE()),0)</f>
        <v>26872.02</v>
      </c>
      <c r="J321" s="42">
        <f t="shared" si="33"/>
        <v>793.564340625</v>
      </c>
      <c r="K321" s="15" t="str">
        <f t="shared" si="28"/>
        <v>DUR-061|MAT</v>
      </c>
      <c r="L321" s="15">
        <f>COUNTIFS($K$2:K321,K321)</f>
        <v>3</v>
      </c>
      <c r="M321" s="15" t="str">
        <f t="shared" si="29"/>
        <v>DUR-061|MAT|3</v>
      </c>
      <c r="N321" s="47">
        <f>IFERROR(VLOOKUP(A321,PARTIDAS!A:F,6,FALSE()),0)</f>
        <v>9.5</v>
      </c>
      <c r="O321" s="247">
        <f t="shared" si="30"/>
        <v>2.8125000000000001E-2</v>
      </c>
      <c r="P321" s="247" t="str">
        <f>+_xlfn.XLOOKUP(A321,PPTO_GENERADOR!Q:Q,PPTO_GENERADOR!E:E,"-",0)</f>
        <v>-</v>
      </c>
      <c r="Q321" s="247">
        <f t="shared" si="31"/>
        <v>0</v>
      </c>
      <c r="R321" s="259" t="str">
        <f>+_xlfn.XLOOKUP(A321,PPTO_GENERADOR!$Q:$Q,PPTO_GENERADOR!A:A,"-",0)</f>
        <v>-</v>
      </c>
    </row>
    <row r="322" spans="1:18" ht="15" customHeight="1" x14ac:dyDescent="0.35">
      <c r="A322" s="38" t="s">
        <v>2528</v>
      </c>
      <c r="B322" s="38" t="s">
        <v>2774</v>
      </c>
      <c r="C322" s="38" t="s">
        <v>2775</v>
      </c>
      <c r="D322" s="38" t="s">
        <v>749</v>
      </c>
      <c r="E322" s="44" t="str">
        <f>IFERROR(VLOOKUP(D322,MATERIALES!A:B,2,FALSE()),"?")</f>
        <v>Tornillo T1 - Aguja</v>
      </c>
      <c r="F322" s="44" t="str">
        <f>IFERROR(VLOOKUP(D322,MATERIALES!A:C,3,FALSE()),"?")</f>
        <v>u</v>
      </c>
      <c r="G322" s="45">
        <v>16</v>
      </c>
      <c r="H322" s="46">
        <v>0.05</v>
      </c>
      <c r="I322" s="47">
        <f>IFERROR(VLOOKUP(D322,MATERIALES!A:D,4,FALSE()),0)</f>
        <v>32.707173553719002</v>
      </c>
      <c r="J322" s="42">
        <f t="shared" si="33"/>
        <v>549.48051570247924</v>
      </c>
      <c r="K322" s="15" t="str">
        <f t="shared" ref="K322:K385" si="34">A322&amp;"|"&amp;B322</f>
        <v>DUR-061|MAT</v>
      </c>
      <c r="L322" s="15">
        <f>COUNTIFS($K$2:K322,K322)</f>
        <v>4</v>
      </c>
      <c r="M322" s="15" t="str">
        <f t="shared" ref="M322:M385" si="35">K322&amp;"|"&amp;L322</f>
        <v>DUR-061|MAT|4</v>
      </c>
      <c r="N322" s="47">
        <f>IFERROR(VLOOKUP(A322,PARTIDAS!A:F,6,FALSE()),0)</f>
        <v>9.5</v>
      </c>
      <c r="O322" s="247">
        <f t="shared" si="30"/>
        <v>16</v>
      </c>
      <c r="P322" s="247" t="str">
        <f>+_xlfn.XLOOKUP(A322,PPTO_GENERADOR!Q:Q,PPTO_GENERADOR!E:E,"-",0)</f>
        <v>-</v>
      </c>
      <c r="Q322" s="247">
        <f t="shared" si="31"/>
        <v>0</v>
      </c>
      <c r="R322" s="259" t="str">
        <f>+_xlfn.XLOOKUP(A322,PPTO_GENERADOR!$Q:$Q,PPTO_GENERADOR!A:A,"-",0)</f>
        <v>-</v>
      </c>
    </row>
    <row r="323" spans="1:18" ht="15" customHeight="1" x14ac:dyDescent="0.35">
      <c r="A323" s="38" t="s">
        <v>2528</v>
      </c>
      <c r="B323" s="38" t="s">
        <v>2774</v>
      </c>
      <c r="C323" s="38" t="s">
        <v>2775</v>
      </c>
      <c r="D323" s="38" t="s">
        <v>752</v>
      </c>
      <c r="E323" s="44" t="str">
        <f>IFERROR(VLOOKUP(D323,MATERIALES!A:B,2,FALSE()),"?")</f>
        <v>Tornillo T2 - Aguja</v>
      </c>
      <c r="F323" s="44" t="str">
        <f>IFERROR(VLOOKUP(D323,MATERIALES!A:C,3,FALSE()),"?")</f>
        <v>u</v>
      </c>
      <c r="G323" s="45">
        <v>18</v>
      </c>
      <c r="H323" s="46">
        <v>0.05</v>
      </c>
      <c r="I323" s="47">
        <f>IFERROR(VLOOKUP(D323,MATERIALES!A:D,4,FALSE()),0)</f>
        <v>17.1963177226814</v>
      </c>
      <c r="J323" s="42">
        <f t="shared" si="33"/>
        <v>325.01040495867846</v>
      </c>
      <c r="K323" s="15" t="str">
        <f t="shared" si="34"/>
        <v>DUR-061|MAT</v>
      </c>
      <c r="L323" s="15">
        <f>COUNTIFS($K$2:K323,K323)</f>
        <v>5</v>
      </c>
      <c r="M323" s="15" t="str">
        <f t="shared" si="35"/>
        <v>DUR-061|MAT|5</v>
      </c>
      <c r="N323" s="47">
        <f>IFERROR(VLOOKUP(A323,PARTIDAS!A:F,6,FALSE()),0)</f>
        <v>9.5</v>
      </c>
      <c r="O323" s="247">
        <f t="shared" ref="O323:O386" si="36">+IF(C323="ALB",G323/N323,G323)</f>
        <v>18</v>
      </c>
      <c r="P323" s="247" t="str">
        <f>+_xlfn.XLOOKUP(A323,PPTO_GENERADOR!Q:Q,PPTO_GENERADOR!E:E,"-",0)</f>
        <v>-</v>
      </c>
      <c r="Q323" s="247">
        <f t="shared" ref="Q323:Q386" si="37">IFERROR(P323*O323,0)</f>
        <v>0</v>
      </c>
      <c r="R323" s="259" t="str">
        <f>+_xlfn.XLOOKUP(A323,PPTO_GENERADOR!$Q:$Q,PPTO_GENERADOR!A:A,"-",0)</f>
        <v>-</v>
      </c>
    </row>
    <row r="324" spans="1:18" ht="15" customHeight="1" x14ac:dyDescent="0.35">
      <c r="A324" s="38" t="s">
        <v>2528</v>
      </c>
      <c r="B324" s="38" t="s">
        <v>2774</v>
      </c>
      <c r="C324" s="38" t="s">
        <v>2775</v>
      </c>
      <c r="D324" s="38" t="s">
        <v>756</v>
      </c>
      <c r="E324" s="44" t="str">
        <f>IFERROR(VLOOKUP(D324,MATERIALES!A:B,2,FALSE()),"?")</f>
        <v>Fijacion completa del 8</v>
      </c>
      <c r="F324" s="44" t="str">
        <f>IFERROR(VLOOKUP(D324,MATERIALES!A:C,3,FALSE()),"?")</f>
        <v>u</v>
      </c>
      <c r="G324" s="45">
        <v>6</v>
      </c>
      <c r="H324" s="46">
        <v>0.05</v>
      </c>
      <c r="I324" s="47">
        <f>IFERROR(VLOOKUP(D324,MATERIALES!A:D,4,FALSE()),0)</f>
        <v>65.919008264462803</v>
      </c>
      <c r="J324" s="42">
        <f t="shared" si="33"/>
        <v>415.28975206611568</v>
      </c>
      <c r="K324" s="15" t="str">
        <f t="shared" si="34"/>
        <v>DUR-061|MAT</v>
      </c>
      <c r="L324" s="15">
        <f>COUNTIFS($K$2:K324,K324)</f>
        <v>6</v>
      </c>
      <c r="M324" s="15" t="str">
        <f t="shared" si="35"/>
        <v>DUR-061|MAT|6</v>
      </c>
      <c r="N324" s="47">
        <f>IFERROR(VLOOKUP(A324,PARTIDAS!A:F,6,FALSE()),0)</f>
        <v>9.5</v>
      </c>
      <c r="O324" s="247">
        <f t="shared" si="36"/>
        <v>6</v>
      </c>
      <c r="P324" s="247" t="str">
        <f>+_xlfn.XLOOKUP(A324,PPTO_GENERADOR!Q:Q,PPTO_GENERADOR!E:E,"-",0)</f>
        <v>-</v>
      </c>
      <c r="Q324" s="247">
        <f t="shared" si="37"/>
        <v>0</v>
      </c>
      <c r="R324" s="259" t="str">
        <f>+_xlfn.XLOOKUP(A324,PPTO_GENERADOR!$Q:$Q,PPTO_GENERADOR!A:A,"-",0)</f>
        <v>-</v>
      </c>
    </row>
    <row r="325" spans="1:18" ht="15" customHeight="1" x14ac:dyDescent="0.35">
      <c r="A325" s="38" t="s">
        <v>2528</v>
      </c>
      <c r="B325" s="38" t="s">
        <v>2774</v>
      </c>
      <c r="C325" s="38" t="s">
        <v>2775</v>
      </c>
      <c r="D325" s="38" t="s">
        <v>758</v>
      </c>
      <c r="E325" s="44" t="str">
        <f>IFERROR(VLOOKUP(D325,MATERIALES!A:B,2,FALSE()),"?")</f>
        <v>Cinta Entramada - 90m</v>
      </c>
      <c r="F325" s="44" t="str">
        <f>IFERROR(VLOOKUP(D325,MATERIALES!A:C,3,FALSE()),"?")</f>
        <v>u</v>
      </c>
      <c r="G325" s="45">
        <v>1.8333333333333299E-2</v>
      </c>
      <c r="H325" s="46">
        <v>0.05</v>
      </c>
      <c r="I325" s="47">
        <f>IFERROR(VLOOKUP(D325,MATERIALES!A:D,4,FALSE()),0)</f>
        <v>4042.71</v>
      </c>
      <c r="J325" s="42">
        <f t="shared" si="33"/>
        <v>77.82216749999985</v>
      </c>
      <c r="K325" s="15" t="str">
        <f t="shared" si="34"/>
        <v>DUR-061|MAT</v>
      </c>
      <c r="L325" s="15">
        <f>COUNTIFS($K$2:K325,K325)</f>
        <v>7</v>
      </c>
      <c r="M325" s="15" t="str">
        <f t="shared" si="35"/>
        <v>DUR-061|MAT|7</v>
      </c>
      <c r="N325" s="47">
        <f>IFERROR(VLOOKUP(A325,PARTIDAS!A:F,6,FALSE()),0)</f>
        <v>9.5</v>
      </c>
      <c r="O325" s="247">
        <f t="shared" si="36"/>
        <v>1.8333333333333299E-2</v>
      </c>
      <c r="P325" s="247" t="str">
        <f>+_xlfn.XLOOKUP(A325,PPTO_GENERADOR!Q:Q,PPTO_GENERADOR!E:E,"-",0)</f>
        <v>-</v>
      </c>
      <c r="Q325" s="247">
        <f t="shared" si="37"/>
        <v>0</v>
      </c>
      <c r="R325" s="259" t="str">
        <f>+_xlfn.XLOOKUP(A325,PPTO_GENERADOR!$Q:$Q,PPTO_GENERADOR!A:A,"-",0)</f>
        <v>-</v>
      </c>
    </row>
    <row r="326" spans="1:18" ht="15" customHeight="1" x14ac:dyDescent="0.35">
      <c r="A326" s="38" t="s">
        <v>2528</v>
      </c>
      <c r="B326" s="38" t="s">
        <v>2774</v>
      </c>
      <c r="C326" s="38" t="s">
        <v>2775</v>
      </c>
      <c r="D326" s="38" t="s">
        <v>767</v>
      </c>
      <c r="E326" s="44" t="str">
        <f>IFERROR(VLOOKUP(D326,MATERIALES!A:B,2,FALSE()),"?")</f>
        <v>Placa Roca de Yeso 1220 x 2440 - 12.5mm - RH</v>
      </c>
      <c r="F326" s="44" t="str">
        <f>IFERROR(VLOOKUP(D326,MATERIALES!A:C,3,FALSE()),"?")</f>
        <v>u</v>
      </c>
      <c r="G326" s="45">
        <v>0.36</v>
      </c>
      <c r="H326" s="46">
        <v>0.1</v>
      </c>
      <c r="I326" s="47">
        <f>IFERROR(VLOOKUP(D326,MATERIALES!A:D,4,FALSE()),0)</f>
        <v>16160.1</v>
      </c>
      <c r="J326" s="42">
        <f t="shared" si="33"/>
        <v>6399.3995999999997</v>
      </c>
      <c r="K326" s="15" t="str">
        <f t="shared" si="34"/>
        <v>DUR-061|MAT</v>
      </c>
      <c r="L326" s="15">
        <f>COUNTIFS($K$2:K326,K326)</f>
        <v>8</v>
      </c>
      <c r="M326" s="15" t="str">
        <f t="shared" si="35"/>
        <v>DUR-061|MAT|8</v>
      </c>
      <c r="N326" s="47">
        <f>IFERROR(VLOOKUP(A326,PARTIDAS!A:F,6,FALSE()),0)</f>
        <v>9.5</v>
      </c>
      <c r="O326" s="247">
        <f t="shared" si="36"/>
        <v>0.36</v>
      </c>
      <c r="P326" s="247" t="str">
        <f>+_xlfn.XLOOKUP(A326,PPTO_GENERADOR!Q:Q,PPTO_GENERADOR!E:E,"-",0)</f>
        <v>-</v>
      </c>
      <c r="Q326" s="247">
        <f t="shared" si="37"/>
        <v>0</v>
      </c>
      <c r="R326" s="259" t="str">
        <f>+_xlfn.XLOOKUP(A326,PPTO_GENERADOR!$Q:$Q,PPTO_GENERADOR!A:A,"-",0)</f>
        <v>-</v>
      </c>
    </row>
    <row r="327" spans="1:18" ht="15" customHeight="1" x14ac:dyDescent="0.35">
      <c r="A327" s="38" t="s">
        <v>2528</v>
      </c>
      <c r="B327" s="38" t="s">
        <v>2776</v>
      </c>
      <c r="C327" s="38" t="s">
        <v>2777</v>
      </c>
      <c r="D327" s="237" t="s">
        <v>1574</v>
      </c>
      <c r="E327" s="44" t="str">
        <f>IFERROR(VLOOKUP(D327,MANO_DE_OBRA!A:B,2,FALSE()),"?")</f>
        <v>MEDIO OFICIAL</v>
      </c>
      <c r="F327" s="44" t="s">
        <v>2778</v>
      </c>
      <c r="G327" s="45">
        <v>1</v>
      </c>
      <c r="H327" s="46">
        <v>0</v>
      </c>
      <c r="I327" s="47">
        <f>IFERROR(VLOOKUP(D327,MANO_DE_OBRA!A:C,3,FALSE()),0)</f>
        <v>65493.071636572</v>
      </c>
      <c r="J327" s="42">
        <f>G327*I327</f>
        <v>65493.071636572</v>
      </c>
      <c r="K327" s="15" t="str">
        <f t="shared" si="34"/>
        <v>DUR-061|MO</v>
      </c>
      <c r="L327" s="15">
        <f>COUNTIFS($K$2:K327,K327)</f>
        <v>1</v>
      </c>
      <c r="M327" s="15" t="str">
        <f t="shared" si="35"/>
        <v>DUR-061|MO|1</v>
      </c>
      <c r="N327" s="47">
        <f>IFERROR(VLOOKUP(A327,PARTIDAS!A:F,6,FALSE()),0)</f>
        <v>9.5</v>
      </c>
      <c r="O327" s="247">
        <f t="shared" si="36"/>
        <v>0.10526315789473684</v>
      </c>
      <c r="P327" s="247" t="str">
        <f>+_xlfn.XLOOKUP(A327,PPTO_GENERADOR!Q:Q,PPTO_GENERADOR!E:E,"-",0)</f>
        <v>-</v>
      </c>
      <c r="Q327" s="247">
        <f t="shared" si="37"/>
        <v>0</v>
      </c>
      <c r="R327" s="259" t="str">
        <f>+_xlfn.XLOOKUP(A327,PPTO_GENERADOR!$Q:$Q,PPTO_GENERADOR!A:A,"-",0)</f>
        <v>-</v>
      </c>
    </row>
    <row r="328" spans="1:18" ht="15" customHeight="1" x14ac:dyDescent="0.35">
      <c r="A328" s="38" t="s">
        <v>2528</v>
      </c>
      <c r="B328" s="38" t="s">
        <v>2776</v>
      </c>
      <c r="C328" s="38" t="s">
        <v>2777</v>
      </c>
      <c r="D328" s="237" t="s">
        <v>1568</v>
      </c>
      <c r="E328" s="44" t="str">
        <f>IFERROR(VLOOKUP(D328,MANO_DE_OBRA!A:B,2,FALSE()),"?")</f>
        <v>ESPECIALIZADO</v>
      </c>
      <c r="F328" s="44" t="s">
        <v>2778</v>
      </c>
      <c r="G328" s="45">
        <v>1</v>
      </c>
      <c r="H328" s="46">
        <v>0</v>
      </c>
      <c r="I328" s="47">
        <f>IFERROR(VLOOKUP(D328,MANO_DE_OBRA!A:C,3,FALSE()),0)</f>
        <v>85927.097156571996</v>
      </c>
      <c r="J328" s="42">
        <f>G328*I328</f>
        <v>85927.097156571996</v>
      </c>
      <c r="K328" s="15" t="str">
        <f t="shared" si="34"/>
        <v>DUR-061|MO</v>
      </c>
      <c r="L328" s="15">
        <f>COUNTIFS($K$2:K328,K328)</f>
        <v>2</v>
      </c>
      <c r="M328" s="15" t="str">
        <f t="shared" si="35"/>
        <v>DUR-061|MO|2</v>
      </c>
      <c r="N328" s="47">
        <f>IFERROR(VLOOKUP(A328,PARTIDAS!A:F,6,FALSE()),0)</f>
        <v>9.5</v>
      </c>
      <c r="O328" s="247">
        <f t="shared" si="36"/>
        <v>0.10526315789473684</v>
      </c>
      <c r="P328" s="247" t="str">
        <f>+_xlfn.XLOOKUP(A328,PPTO_GENERADOR!Q:Q,PPTO_GENERADOR!E:E,"-",0)</f>
        <v>-</v>
      </c>
      <c r="Q328" s="247">
        <f t="shared" si="37"/>
        <v>0</v>
      </c>
      <c r="R328" s="259" t="str">
        <f>+_xlfn.XLOOKUP(A328,PPTO_GENERADOR!$Q:$Q,PPTO_GENERADOR!A:A,"-",0)</f>
        <v>-</v>
      </c>
    </row>
    <row r="329" spans="1:18" ht="15" customHeight="1" x14ac:dyDescent="0.35">
      <c r="A329" s="38" t="s">
        <v>2531</v>
      </c>
      <c r="B329" s="38" t="s">
        <v>2773</v>
      </c>
      <c r="C329" s="38"/>
      <c r="D329" s="38" t="s">
        <v>1744</v>
      </c>
      <c r="E329" s="44" t="str">
        <f>IFERROR(VLOOKUP(D329,EQUIPOS!A:B,2,FALSE()),"?")</f>
        <v>EQUIPO DE CONSTRUCCION EN SECO</v>
      </c>
      <c r="F329" s="44"/>
      <c r="G329" s="45">
        <v>1</v>
      </c>
      <c r="H329" s="46">
        <v>0</v>
      </c>
      <c r="I329" s="47">
        <f>IFERROR(VLOOKUP(D329,EQUIPOS!A:F,6,FALSE()),0)</f>
        <v>2365.2381485799501</v>
      </c>
      <c r="J329" s="42">
        <f>G329*I329</f>
        <v>2365.2381485799501</v>
      </c>
      <c r="K329" s="15" t="str">
        <f t="shared" si="34"/>
        <v>DUR-062|EQ</v>
      </c>
      <c r="L329" s="15">
        <f>COUNTIFS($K$2:K329,K329)</f>
        <v>1</v>
      </c>
      <c r="M329" s="15" t="str">
        <f t="shared" si="35"/>
        <v>DUR-062|EQ|1</v>
      </c>
      <c r="N329" s="47">
        <f>IFERROR(VLOOKUP(A329,PARTIDAS!A:F,6,FALSE()),0)</f>
        <v>9.5</v>
      </c>
      <c r="O329" s="247">
        <f t="shared" si="36"/>
        <v>1</v>
      </c>
      <c r="P329" s="247" t="str">
        <f>+_xlfn.XLOOKUP(A329,PPTO_GENERADOR!Q:Q,PPTO_GENERADOR!E:E,"-",0)</f>
        <v>-</v>
      </c>
      <c r="Q329" s="247">
        <f t="shared" si="37"/>
        <v>0</v>
      </c>
      <c r="R329" s="259" t="str">
        <f>+_xlfn.XLOOKUP(A329,PPTO_GENERADOR!$Q:$Q,PPTO_GENERADOR!A:A,"-",0)</f>
        <v>-</v>
      </c>
    </row>
    <row r="330" spans="1:18" ht="15" customHeight="1" x14ac:dyDescent="0.35">
      <c r="A330" s="38" t="s">
        <v>2531</v>
      </c>
      <c r="B330" s="38" t="s">
        <v>2773</v>
      </c>
      <c r="C330" s="38"/>
      <c r="D330" s="38" t="s">
        <v>1622</v>
      </c>
      <c r="E330" s="44" t="str">
        <f>IFERROR(VLOOKUP(D330,EQUIPOS!A:B,2,FALSE()),"?")</f>
        <v>ESCALERA GLOSS ALUMINIO ARTICULADA 4 X 4 ESCALONES HASTA 150KG</v>
      </c>
      <c r="F330" s="44"/>
      <c r="G330" s="45">
        <v>1</v>
      </c>
      <c r="H330" s="46">
        <v>0</v>
      </c>
      <c r="I330" s="47">
        <f>IFERROR(VLOOKUP(D330,EQUIPOS!A:F,6,FALSE()),0)</f>
        <v>140.19809259430903</v>
      </c>
      <c r="J330" s="42">
        <f>G330*I330</f>
        <v>140.19809259430903</v>
      </c>
      <c r="K330" s="15" t="str">
        <f t="shared" si="34"/>
        <v>DUR-062|EQ</v>
      </c>
      <c r="L330" s="15">
        <f>COUNTIFS($K$2:K330,K330)</f>
        <v>2</v>
      </c>
      <c r="M330" s="15" t="str">
        <f t="shared" si="35"/>
        <v>DUR-062|EQ|2</v>
      </c>
      <c r="N330" s="47">
        <f>IFERROR(VLOOKUP(A330,PARTIDAS!A:F,6,FALSE()),0)</f>
        <v>9.5</v>
      </c>
      <c r="O330" s="247">
        <f t="shared" si="36"/>
        <v>1</v>
      </c>
      <c r="P330" s="247" t="str">
        <f>+_xlfn.XLOOKUP(A330,PPTO_GENERADOR!Q:Q,PPTO_GENERADOR!E:E,"-",0)</f>
        <v>-</v>
      </c>
      <c r="Q330" s="247">
        <f t="shared" si="37"/>
        <v>0</v>
      </c>
      <c r="R330" s="259" t="str">
        <f>+_xlfn.XLOOKUP(A330,PPTO_GENERADOR!$Q:$Q,PPTO_GENERADOR!A:A,"-",0)</f>
        <v>-</v>
      </c>
    </row>
    <row r="331" spans="1:18" ht="15" customHeight="1" x14ac:dyDescent="0.35">
      <c r="A331" s="38" t="s">
        <v>2531</v>
      </c>
      <c r="B331" s="38" t="s">
        <v>2774</v>
      </c>
      <c r="C331" s="38" t="s">
        <v>2775</v>
      </c>
      <c r="D331" s="38" t="s">
        <v>740</v>
      </c>
      <c r="E331" s="44" t="str">
        <f>IFERROR(VLOOKUP(D331,MATERIALES!A:B,2,FALSE()),"?")</f>
        <v>Solera 70mm x 2.60m</v>
      </c>
      <c r="F331" s="44" t="str">
        <f>IFERROR(VLOOKUP(D331,MATERIALES!A:C,3,FALSE()),"?")</f>
        <v>u</v>
      </c>
      <c r="G331" s="45">
        <v>0.50770000000000004</v>
      </c>
      <c r="H331" s="46">
        <v>0.1</v>
      </c>
      <c r="I331" s="47">
        <f>IFERROR(VLOOKUP(D331,MATERIALES!A:D,4,FALSE()),0)</f>
        <v>2932.93</v>
      </c>
      <c r="J331" s="42">
        <f t="shared" ref="J331:J338" si="38">G331*I331*(1+H331)</f>
        <v>1637.9534171000003</v>
      </c>
      <c r="K331" s="15" t="str">
        <f t="shared" si="34"/>
        <v>DUR-062|MAT</v>
      </c>
      <c r="L331" s="15">
        <f>COUNTIFS($K$2:K331,K331)</f>
        <v>1</v>
      </c>
      <c r="M331" s="15" t="str">
        <f t="shared" si="35"/>
        <v>DUR-062|MAT|1</v>
      </c>
      <c r="N331" s="47">
        <f>IFERROR(VLOOKUP(A331,PARTIDAS!A:F,6,FALSE()),0)</f>
        <v>9.5</v>
      </c>
      <c r="O331" s="247">
        <f t="shared" si="36"/>
        <v>0.50770000000000004</v>
      </c>
      <c r="P331" s="247" t="str">
        <f>+_xlfn.XLOOKUP(A331,PPTO_GENERADOR!Q:Q,PPTO_GENERADOR!E:E,"-",0)</f>
        <v>-</v>
      </c>
      <c r="Q331" s="247">
        <f t="shared" si="37"/>
        <v>0</v>
      </c>
      <c r="R331" s="259" t="str">
        <f>+_xlfn.XLOOKUP(A331,PPTO_GENERADOR!$Q:$Q,PPTO_GENERADOR!A:A,"-",0)</f>
        <v>-</v>
      </c>
    </row>
    <row r="332" spans="1:18" ht="15" customHeight="1" x14ac:dyDescent="0.35">
      <c r="A332" s="38" t="s">
        <v>2531</v>
      </c>
      <c r="B332" s="38" t="s">
        <v>2774</v>
      </c>
      <c r="C332" s="38" t="s">
        <v>2775</v>
      </c>
      <c r="D332" s="38" t="s">
        <v>743</v>
      </c>
      <c r="E332" s="44" t="str">
        <f>IFERROR(VLOOKUP(D332,MATERIALES!A:B,2,FALSE()),"?")</f>
        <v>Montante 69mm x 2.60m</v>
      </c>
      <c r="F332" s="44" t="str">
        <f>IFERROR(VLOOKUP(D332,MATERIALES!A:C,3,FALSE()),"?")</f>
        <v>u</v>
      </c>
      <c r="G332" s="45">
        <v>1.2307692307692299</v>
      </c>
      <c r="H332" s="46">
        <v>0.1</v>
      </c>
      <c r="I332" s="47">
        <f>IFERROR(VLOOKUP(D332,MATERIALES!A:D,4,FALSE()),0)</f>
        <v>3295.47</v>
      </c>
      <c r="J332" s="42">
        <f t="shared" si="38"/>
        <v>4461.5593846153815</v>
      </c>
      <c r="K332" s="15" t="str">
        <f t="shared" si="34"/>
        <v>DUR-062|MAT</v>
      </c>
      <c r="L332" s="15">
        <f>COUNTIFS($K$2:K332,K332)</f>
        <v>2</v>
      </c>
      <c r="M332" s="15" t="str">
        <f t="shared" si="35"/>
        <v>DUR-062|MAT|2</v>
      </c>
      <c r="N332" s="47">
        <f>IFERROR(VLOOKUP(A332,PARTIDAS!A:F,6,FALSE()),0)</f>
        <v>9.5</v>
      </c>
      <c r="O332" s="247">
        <f t="shared" si="36"/>
        <v>1.2307692307692299</v>
      </c>
      <c r="P332" s="247" t="str">
        <f>+_xlfn.XLOOKUP(A332,PPTO_GENERADOR!Q:Q,PPTO_GENERADOR!E:E,"-",0)</f>
        <v>-</v>
      </c>
      <c r="Q332" s="247">
        <f t="shared" si="37"/>
        <v>0</v>
      </c>
      <c r="R332" s="259" t="str">
        <f>+_xlfn.XLOOKUP(A332,PPTO_GENERADOR!$Q:$Q,PPTO_GENERADOR!A:A,"-",0)</f>
        <v>-</v>
      </c>
    </row>
    <row r="333" spans="1:18" ht="15" customHeight="1" x14ac:dyDescent="0.35">
      <c r="A333" s="38" t="s">
        <v>2531</v>
      </c>
      <c r="B333" s="38" t="s">
        <v>2774</v>
      </c>
      <c r="C333" s="38" t="s">
        <v>2775</v>
      </c>
      <c r="D333" s="38" t="s">
        <v>763</v>
      </c>
      <c r="E333" s="44" t="str">
        <f>IFERROR(VLOOKUP(D333,MATERIALES!A:B,2,FALSE()),"?")</f>
        <v>Masilla x 32kg</v>
      </c>
      <c r="F333" s="44" t="str">
        <f>IFERROR(VLOOKUP(D333,MATERIALES!A:C,3,FALSE()),"?")</f>
        <v>u</v>
      </c>
      <c r="G333" s="45">
        <v>2.8125000000000001E-2</v>
      </c>
      <c r="H333" s="46">
        <v>0.05</v>
      </c>
      <c r="I333" s="47">
        <f>IFERROR(VLOOKUP(D333,MATERIALES!A:D,4,FALSE()),0)</f>
        <v>26872.02</v>
      </c>
      <c r="J333" s="42">
        <f t="shared" si="38"/>
        <v>793.564340625</v>
      </c>
      <c r="K333" s="15" t="str">
        <f t="shared" si="34"/>
        <v>DUR-062|MAT</v>
      </c>
      <c r="L333" s="15">
        <f>COUNTIFS($K$2:K333,K333)</f>
        <v>3</v>
      </c>
      <c r="M333" s="15" t="str">
        <f t="shared" si="35"/>
        <v>DUR-062|MAT|3</v>
      </c>
      <c r="N333" s="47">
        <f>IFERROR(VLOOKUP(A333,PARTIDAS!A:F,6,FALSE()),0)</f>
        <v>9.5</v>
      </c>
      <c r="O333" s="247">
        <f t="shared" si="36"/>
        <v>2.8125000000000001E-2</v>
      </c>
      <c r="P333" s="247" t="str">
        <f>+_xlfn.XLOOKUP(A333,PPTO_GENERADOR!Q:Q,PPTO_GENERADOR!E:E,"-",0)</f>
        <v>-</v>
      </c>
      <c r="Q333" s="247">
        <f t="shared" si="37"/>
        <v>0</v>
      </c>
      <c r="R333" s="259" t="str">
        <f>+_xlfn.XLOOKUP(A333,PPTO_GENERADOR!$Q:$Q,PPTO_GENERADOR!A:A,"-",0)</f>
        <v>-</v>
      </c>
    </row>
    <row r="334" spans="1:18" ht="15" customHeight="1" x14ac:dyDescent="0.35">
      <c r="A334" s="38" t="s">
        <v>2531</v>
      </c>
      <c r="B334" s="38" t="s">
        <v>2774</v>
      </c>
      <c r="C334" s="38" t="s">
        <v>2775</v>
      </c>
      <c r="D334" s="38" t="s">
        <v>749</v>
      </c>
      <c r="E334" s="44" t="str">
        <f>IFERROR(VLOOKUP(D334,MATERIALES!A:B,2,FALSE()),"?")</f>
        <v>Tornillo T1 - Aguja</v>
      </c>
      <c r="F334" s="44" t="str">
        <f>IFERROR(VLOOKUP(D334,MATERIALES!A:C,3,FALSE()),"?")</f>
        <v>u</v>
      </c>
      <c r="G334" s="45">
        <v>16</v>
      </c>
      <c r="H334" s="46">
        <v>0.05</v>
      </c>
      <c r="I334" s="47">
        <f>IFERROR(VLOOKUP(D334,MATERIALES!A:D,4,FALSE()),0)</f>
        <v>32.707173553719002</v>
      </c>
      <c r="J334" s="42">
        <f t="shared" si="38"/>
        <v>549.48051570247924</v>
      </c>
      <c r="K334" s="15" t="str">
        <f t="shared" si="34"/>
        <v>DUR-062|MAT</v>
      </c>
      <c r="L334" s="15">
        <f>COUNTIFS($K$2:K334,K334)</f>
        <v>4</v>
      </c>
      <c r="M334" s="15" t="str">
        <f t="shared" si="35"/>
        <v>DUR-062|MAT|4</v>
      </c>
      <c r="N334" s="47">
        <f>IFERROR(VLOOKUP(A334,PARTIDAS!A:F,6,FALSE()),0)</f>
        <v>9.5</v>
      </c>
      <c r="O334" s="247">
        <f t="shared" si="36"/>
        <v>16</v>
      </c>
      <c r="P334" s="247" t="str">
        <f>+_xlfn.XLOOKUP(A334,PPTO_GENERADOR!Q:Q,PPTO_GENERADOR!E:E,"-",0)</f>
        <v>-</v>
      </c>
      <c r="Q334" s="247">
        <f t="shared" si="37"/>
        <v>0</v>
      </c>
      <c r="R334" s="259" t="str">
        <f>+_xlfn.XLOOKUP(A334,PPTO_GENERADOR!$Q:$Q,PPTO_GENERADOR!A:A,"-",0)</f>
        <v>-</v>
      </c>
    </row>
    <row r="335" spans="1:18" ht="15" customHeight="1" x14ac:dyDescent="0.35">
      <c r="A335" s="38" t="s">
        <v>2531</v>
      </c>
      <c r="B335" s="38" t="s">
        <v>2774</v>
      </c>
      <c r="C335" s="38" t="s">
        <v>2775</v>
      </c>
      <c r="D335" s="38" t="s">
        <v>752</v>
      </c>
      <c r="E335" s="44" t="str">
        <f>IFERROR(VLOOKUP(D335,MATERIALES!A:B,2,FALSE()),"?")</f>
        <v>Tornillo T2 - Aguja</v>
      </c>
      <c r="F335" s="44" t="str">
        <f>IFERROR(VLOOKUP(D335,MATERIALES!A:C,3,FALSE()),"?")</f>
        <v>u</v>
      </c>
      <c r="G335" s="45">
        <v>18</v>
      </c>
      <c r="H335" s="46">
        <v>0.05</v>
      </c>
      <c r="I335" s="47">
        <f>IFERROR(VLOOKUP(D335,MATERIALES!A:D,4,FALSE()),0)</f>
        <v>17.1963177226814</v>
      </c>
      <c r="J335" s="42">
        <f t="shared" si="38"/>
        <v>325.01040495867846</v>
      </c>
      <c r="K335" s="15" t="str">
        <f t="shared" si="34"/>
        <v>DUR-062|MAT</v>
      </c>
      <c r="L335" s="15">
        <f>COUNTIFS($K$2:K335,K335)</f>
        <v>5</v>
      </c>
      <c r="M335" s="15" t="str">
        <f t="shared" si="35"/>
        <v>DUR-062|MAT|5</v>
      </c>
      <c r="N335" s="47">
        <f>IFERROR(VLOOKUP(A335,PARTIDAS!A:F,6,FALSE()),0)</f>
        <v>9.5</v>
      </c>
      <c r="O335" s="247">
        <f t="shared" si="36"/>
        <v>18</v>
      </c>
      <c r="P335" s="247" t="str">
        <f>+_xlfn.XLOOKUP(A335,PPTO_GENERADOR!Q:Q,PPTO_GENERADOR!E:E,"-",0)</f>
        <v>-</v>
      </c>
      <c r="Q335" s="247">
        <f t="shared" si="37"/>
        <v>0</v>
      </c>
      <c r="R335" s="259" t="str">
        <f>+_xlfn.XLOOKUP(A335,PPTO_GENERADOR!$Q:$Q,PPTO_GENERADOR!A:A,"-",0)</f>
        <v>-</v>
      </c>
    </row>
    <row r="336" spans="1:18" ht="15" customHeight="1" x14ac:dyDescent="0.35">
      <c r="A336" s="38" t="s">
        <v>2531</v>
      </c>
      <c r="B336" s="38" t="s">
        <v>2774</v>
      </c>
      <c r="C336" s="38" t="s">
        <v>2775</v>
      </c>
      <c r="D336" s="38" t="s">
        <v>756</v>
      </c>
      <c r="E336" s="44" t="str">
        <f>IFERROR(VLOOKUP(D336,MATERIALES!A:B,2,FALSE()),"?")</f>
        <v>Fijacion completa del 8</v>
      </c>
      <c r="F336" s="44" t="str">
        <f>IFERROR(VLOOKUP(D336,MATERIALES!A:C,3,FALSE()),"?")</f>
        <v>u</v>
      </c>
      <c r="G336" s="45">
        <v>6</v>
      </c>
      <c r="H336" s="46">
        <v>0.05</v>
      </c>
      <c r="I336" s="47">
        <f>IFERROR(VLOOKUP(D336,MATERIALES!A:D,4,FALSE()),0)</f>
        <v>65.919008264462803</v>
      </c>
      <c r="J336" s="42">
        <f t="shared" si="38"/>
        <v>415.28975206611568</v>
      </c>
      <c r="K336" s="15" t="str">
        <f t="shared" si="34"/>
        <v>DUR-062|MAT</v>
      </c>
      <c r="L336" s="15">
        <f>COUNTIFS($K$2:K336,K336)</f>
        <v>6</v>
      </c>
      <c r="M336" s="15" t="str">
        <f t="shared" si="35"/>
        <v>DUR-062|MAT|6</v>
      </c>
      <c r="N336" s="47">
        <f>IFERROR(VLOOKUP(A336,PARTIDAS!A:F,6,FALSE()),0)</f>
        <v>9.5</v>
      </c>
      <c r="O336" s="247">
        <f t="shared" si="36"/>
        <v>6</v>
      </c>
      <c r="P336" s="247" t="str">
        <f>+_xlfn.XLOOKUP(A336,PPTO_GENERADOR!Q:Q,PPTO_GENERADOR!E:E,"-",0)</f>
        <v>-</v>
      </c>
      <c r="Q336" s="247">
        <f t="shared" si="37"/>
        <v>0</v>
      </c>
      <c r="R336" s="259" t="str">
        <f>+_xlfn.XLOOKUP(A336,PPTO_GENERADOR!$Q:$Q,PPTO_GENERADOR!A:A,"-",0)</f>
        <v>-</v>
      </c>
    </row>
    <row r="337" spans="1:18" ht="15" customHeight="1" x14ac:dyDescent="0.35">
      <c r="A337" s="38" t="s">
        <v>2531</v>
      </c>
      <c r="B337" s="38" t="s">
        <v>2774</v>
      </c>
      <c r="C337" s="38" t="s">
        <v>2775</v>
      </c>
      <c r="D337" s="38" t="s">
        <v>758</v>
      </c>
      <c r="E337" s="44" t="str">
        <f>IFERROR(VLOOKUP(D337,MATERIALES!A:B,2,FALSE()),"?")</f>
        <v>Cinta Entramada - 90m</v>
      </c>
      <c r="F337" s="44" t="str">
        <f>IFERROR(VLOOKUP(D337,MATERIALES!A:C,3,FALSE()),"?")</f>
        <v>u</v>
      </c>
      <c r="G337" s="45">
        <v>1.8333333333333299E-2</v>
      </c>
      <c r="H337" s="46">
        <v>0.05</v>
      </c>
      <c r="I337" s="47">
        <f>IFERROR(VLOOKUP(D337,MATERIALES!A:D,4,FALSE()),0)</f>
        <v>4042.71</v>
      </c>
      <c r="J337" s="42">
        <f t="shared" si="38"/>
        <v>77.82216749999985</v>
      </c>
      <c r="K337" s="15" t="str">
        <f t="shared" si="34"/>
        <v>DUR-062|MAT</v>
      </c>
      <c r="L337" s="15">
        <f>COUNTIFS($K$2:K337,K337)</f>
        <v>7</v>
      </c>
      <c r="M337" s="15" t="str">
        <f t="shared" si="35"/>
        <v>DUR-062|MAT|7</v>
      </c>
      <c r="N337" s="47">
        <f>IFERROR(VLOOKUP(A337,PARTIDAS!A:F,6,FALSE()),0)</f>
        <v>9.5</v>
      </c>
      <c r="O337" s="247">
        <f t="shared" si="36"/>
        <v>1.8333333333333299E-2</v>
      </c>
      <c r="P337" s="247" t="str">
        <f>+_xlfn.XLOOKUP(A337,PPTO_GENERADOR!Q:Q,PPTO_GENERADOR!E:E,"-",0)</f>
        <v>-</v>
      </c>
      <c r="Q337" s="247">
        <f t="shared" si="37"/>
        <v>0</v>
      </c>
      <c r="R337" s="259" t="str">
        <f>+_xlfn.XLOOKUP(A337,PPTO_GENERADOR!$Q:$Q,PPTO_GENERADOR!A:A,"-",0)</f>
        <v>-</v>
      </c>
    </row>
    <row r="338" spans="1:18" ht="15" customHeight="1" x14ac:dyDescent="0.35">
      <c r="A338" s="38" t="s">
        <v>2531</v>
      </c>
      <c r="B338" s="38" t="s">
        <v>2774</v>
      </c>
      <c r="C338" s="38" t="s">
        <v>2775</v>
      </c>
      <c r="D338" s="38" t="s">
        <v>769</v>
      </c>
      <c r="E338" s="44" t="str">
        <f>IFERROR(VLOOKUP(D338,MATERIALES!A:B,2,FALSE()),"?")</f>
        <v>Placa Roca de Yeso 1220 x 2440 - 12.5mm - RF</v>
      </c>
      <c r="F338" s="44" t="str">
        <f>IFERROR(VLOOKUP(D338,MATERIALES!A:C,3,FALSE()),"?")</f>
        <v>u</v>
      </c>
      <c r="G338" s="45">
        <v>0.36</v>
      </c>
      <c r="H338" s="46">
        <v>0.1</v>
      </c>
      <c r="I338" s="47">
        <f>IFERROR(VLOOKUP(D338,MATERIALES!A:D,4,FALSE()),0)</f>
        <v>14217.87</v>
      </c>
      <c r="J338" s="42">
        <f t="shared" si="38"/>
        <v>5630.2765200000013</v>
      </c>
      <c r="K338" s="15" t="str">
        <f t="shared" si="34"/>
        <v>DUR-062|MAT</v>
      </c>
      <c r="L338" s="15">
        <f>COUNTIFS($K$2:K338,K338)</f>
        <v>8</v>
      </c>
      <c r="M338" s="15" t="str">
        <f t="shared" si="35"/>
        <v>DUR-062|MAT|8</v>
      </c>
      <c r="N338" s="47">
        <f>IFERROR(VLOOKUP(A338,PARTIDAS!A:F,6,FALSE()),0)</f>
        <v>9.5</v>
      </c>
      <c r="O338" s="247">
        <f t="shared" si="36"/>
        <v>0.36</v>
      </c>
      <c r="P338" s="247" t="str">
        <f>+_xlfn.XLOOKUP(A338,PPTO_GENERADOR!Q:Q,PPTO_GENERADOR!E:E,"-",0)</f>
        <v>-</v>
      </c>
      <c r="Q338" s="247">
        <f t="shared" si="37"/>
        <v>0</v>
      </c>
      <c r="R338" s="259" t="str">
        <f>+_xlfn.XLOOKUP(A338,PPTO_GENERADOR!$Q:$Q,PPTO_GENERADOR!A:A,"-",0)</f>
        <v>-</v>
      </c>
    </row>
    <row r="339" spans="1:18" ht="15" customHeight="1" x14ac:dyDescent="0.35">
      <c r="A339" s="38" t="s">
        <v>2531</v>
      </c>
      <c r="B339" s="38" t="s">
        <v>2776</v>
      </c>
      <c r="C339" s="38" t="s">
        <v>2777</v>
      </c>
      <c r="D339" s="237" t="s">
        <v>1574</v>
      </c>
      <c r="E339" s="44" t="str">
        <f>IFERROR(VLOOKUP(D339,MANO_DE_OBRA!A:B,2,FALSE()),"?")</f>
        <v>MEDIO OFICIAL</v>
      </c>
      <c r="F339" s="44" t="s">
        <v>2778</v>
      </c>
      <c r="G339" s="45">
        <v>1</v>
      </c>
      <c r="H339" s="46">
        <v>0</v>
      </c>
      <c r="I339" s="47">
        <f>IFERROR(VLOOKUP(D339,MANO_DE_OBRA!A:C,3,FALSE()),0)</f>
        <v>65493.071636572</v>
      </c>
      <c r="J339" s="42">
        <f>G339*I339</f>
        <v>65493.071636572</v>
      </c>
      <c r="K339" s="15" t="str">
        <f t="shared" si="34"/>
        <v>DUR-062|MO</v>
      </c>
      <c r="L339" s="15">
        <f>COUNTIFS($K$2:K339,K339)</f>
        <v>1</v>
      </c>
      <c r="M339" s="15" t="str">
        <f t="shared" si="35"/>
        <v>DUR-062|MO|1</v>
      </c>
      <c r="N339" s="47">
        <f>IFERROR(VLOOKUP(A339,PARTIDAS!A:F,6,FALSE()),0)</f>
        <v>9.5</v>
      </c>
      <c r="O339" s="247">
        <f t="shared" si="36"/>
        <v>0.10526315789473684</v>
      </c>
      <c r="P339" s="247" t="str">
        <f>+_xlfn.XLOOKUP(A339,PPTO_GENERADOR!Q:Q,PPTO_GENERADOR!E:E,"-",0)</f>
        <v>-</v>
      </c>
      <c r="Q339" s="247">
        <f t="shared" si="37"/>
        <v>0</v>
      </c>
      <c r="R339" s="259" t="str">
        <f>+_xlfn.XLOOKUP(A339,PPTO_GENERADOR!$Q:$Q,PPTO_GENERADOR!A:A,"-",0)</f>
        <v>-</v>
      </c>
    </row>
    <row r="340" spans="1:18" ht="15" customHeight="1" x14ac:dyDescent="0.35">
      <c r="A340" s="38" t="s">
        <v>2531</v>
      </c>
      <c r="B340" s="38" t="s">
        <v>2776</v>
      </c>
      <c r="C340" s="38" t="s">
        <v>2777</v>
      </c>
      <c r="D340" s="237" t="s">
        <v>1568</v>
      </c>
      <c r="E340" s="44" t="str">
        <f>IFERROR(VLOOKUP(D340,MANO_DE_OBRA!A:B,2,FALSE()),"?")</f>
        <v>ESPECIALIZADO</v>
      </c>
      <c r="F340" s="44" t="s">
        <v>2778</v>
      </c>
      <c r="G340" s="45">
        <v>1</v>
      </c>
      <c r="H340" s="46">
        <v>0</v>
      </c>
      <c r="I340" s="47">
        <f>IFERROR(VLOOKUP(D340,MANO_DE_OBRA!A:C,3,FALSE()),0)</f>
        <v>85927.097156571996</v>
      </c>
      <c r="J340" s="42">
        <f>G340*I340</f>
        <v>85927.097156571996</v>
      </c>
      <c r="K340" s="15" t="str">
        <f t="shared" si="34"/>
        <v>DUR-062|MO</v>
      </c>
      <c r="L340" s="15">
        <f>COUNTIFS($K$2:K340,K340)</f>
        <v>2</v>
      </c>
      <c r="M340" s="15" t="str">
        <f t="shared" si="35"/>
        <v>DUR-062|MO|2</v>
      </c>
      <c r="N340" s="47">
        <f>IFERROR(VLOOKUP(A340,PARTIDAS!A:F,6,FALSE()),0)</f>
        <v>9.5</v>
      </c>
      <c r="O340" s="247">
        <f t="shared" si="36"/>
        <v>0.10526315789473684</v>
      </c>
      <c r="P340" s="247" t="str">
        <f>+_xlfn.XLOOKUP(A340,PPTO_GENERADOR!Q:Q,PPTO_GENERADOR!E:E,"-",0)</f>
        <v>-</v>
      </c>
      <c r="Q340" s="247">
        <f t="shared" si="37"/>
        <v>0</v>
      </c>
      <c r="R340" s="259" t="str">
        <f>+_xlfn.XLOOKUP(A340,PPTO_GENERADOR!$Q:$Q,PPTO_GENERADOR!A:A,"-",0)</f>
        <v>-</v>
      </c>
    </row>
    <row r="341" spans="1:18" ht="15" customHeight="1" x14ac:dyDescent="0.35">
      <c r="A341" s="38" t="s">
        <v>2534</v>
      </c>
      <c r="B341" s="38" t="s">
        <v>2773</v>
      </c>
      <c r="C341" s="38"/>
      <c r="D341" s="38" t="s">
        <v>1622</v>
      </c>
      <c r="E341" s="44" t="str">
        <f>IFERROR(VLOOKUP(D341,EQUIPOS!A:B,2,FALSE()),"?")</f>
        <v>ESCALERA GLOSS ALUMINIO ARTICULADA 4 X 4 ESCALONES HASTA 150KG</v>
      </c>
      <c r="F341" s="44"/>
      <c r="G341" s="45">
        <v>1</v>
      </c>
      <c r="H341" s="46">
        <v>0</v>
      </c>
      <c r="I341" s="47">
        <f>IFERROR(VLOOKUP(D341,EQUIPOS!A:F,6,FALSE()),0)</f>
        <v>140.19809259430903</v>
      </c>
      <c r="J341" s="42">
        <f>G341*I341</f>
        <v>140.19809259430903</v>
      </c>
      <c r="K341" s="15" t="str">
        <f t="shared" si="34"/>
        <v>DUR-063|EQ</v>
      </c>
      <c r="L341" s="15">
        <f>COUNTIFS($K$2:K341,K341)</f>
        <v>1</v>
      </c>
      <c r="M341" s="15" t="str">
        <f t="shared" si="35"/>
        <v>DUR-063|EQ|1</v>
      </c>
      <c r="N341" s="47">
        <f>IFERROR(VLOOKUP(A341,PARTIDAS!A:F,6,FALSE()),0)</f>
        <v>10</v>
      </c>
      <c r="O341" s="247">
        <f t="shared" si="36"/>
        <v>1</v>
      </c>
      <c r="P341" s="247" t="str">
        <f>+_xlfn.XLOOKUP(A341,PPTO_GENERADOR!Q:Q,PPTO_GENERADOR!E:E,"-",0)</f>
        <v>-</v>
      </c>
      <c r="Q341" s="247">
        <f t="shared" si="37"/>
        <v>0</v>
      </c>
      <c r="R341" s="259" t="str">
        <f>+_xlfn.XLOOKUP(A341,PPTO_GENERADOR!$Q:$Q,PPTO_GENERADOR!A:A,"-",0)</f>
        <v>-</v>
      </c>
    </row>
    <row r="342" spans="1:18" ht="15" customHeight="1" x14ac:dyDescent="0.35">
      <c r="A342" s="38" t="s">
        <v>2534</v>
      </c>
      <c r="B342" s="38" t="s">
        <v>2773</v>
      </c>
      <c r="C342" s="38"/>
      <c r="D342" s="38" t="s">
        <v>1744</v>
      </c>
      <c r="E342" s="44" t="str">
        <f>IFERROR(VLOOKUP(D342,EQUIPOS!A:B,2,FALSE()),"?")</f>
        <v>EQUIPO DE CONSTRUCCION EN SECO</v>
      </c>
      <c r="F342" s="44"/>
      <c r="G342" s="45">
        <v>1</v>
      </c>
      <c r="H342" s="46">
        <v>0</v>
      </c>
      <c r="I342" s="47">
        <f>IFERROR(VLOOKUP(D342,EQUIPOS!A:F,6,FALSE()),0)</f>
        <v>2365.2381485799501</v>
      </c>
      <c r="J342" s="42">
        <f>G342*I342</f>
        <v>2365.2381485799501</v>
      </c>
      <c r="K342" s="15" t="str">
        <f t="shared" si="34"/>
        <v>DUR-063|EQ</v>
      </c>
      <c r="L342" s="15">
        <f>COUNTIFS($K$2:K342,K342)</f>
        <v>2</v>
      </c>
      <c r="M342" s="15" t="str">
        <f t="shared" si="35"/>
        <v>DUR-063|EQ|2</v>
      </c>
      <c r="N342" s="47">
        <f>IFERROR(VLOOKUP(A342,PARTIDAS!A:F,6,FALSE()),0)</f>
        <v>10</v>
      </c>
      <c r="O342" s="247">
        <f t="shared" si="36"/>
        <v>1</v>
      </c>
      <c r="P342" s="247" t="str">
        <f>+_xlfn.XLOOKUP(A342,PPTO_GENERADOR!Q:Q,PPTO_GENERADOR!E:E,"-",0)</f>
        <v>-</v>
      </c>
      <c r="Q342" s="247">
        <f t="shared" si="37"/>
        <v>0</v>
      </c>
      <c r="R342" s="259" t="str">
        <f>+_xlfn.XLOOKUP(A342,PPTO_GENERADOR!$Q:$Q,PPTO_GENERADOR!A:A,"-",0)</f>
        <v>-</v>
      </c>
    </row>
    <row r="343" spans="1:18" ht="15" customHeight="1" x14ac:dyDescent="0.35">
      <c r="A343" s="38" t="s">
        <v>2534</v>
      </c>
      <c r="B343" s="38" t="s">
        <v>2774</v>
      </c>
      <c r="C343" s="38" t="s">
        <v>2775</v>
      </c>
      <c r="D343" s="38" t="s">
        <v>789</v>
      </c>
      <c r="E343" s="44" t="str">
        <f>IFERROR(VLOOKUP(D343,MATERIALES!A:B,2,FALSE()),"?")</f>
        <v>Alambre galvanizado N°14 x kg</v>
      </c>
      <c r="F343" s="44" t="str">
        <f>IFERROR(VLOOKUP(D343,MATERIALES!A:C,3,FALSE()),"?")</f>
        <v>u</v>
      </c>
      <c r="G343" s="45">
        <v>0.06</v>
      </c>
      <c r="H343" s="46">
        <v>0.05</v>
      </c>
      <c r="I343" s="47">
        <f>IFERROR(VLOOKUP(D343,MATERIALES!A:D,4,FALSE()),0)</f>
        <v>2474.34710743802</v>
      </c>
      <c r="J343" s="42">
        <f>G343*I343*(1+H343)</f>
        <v>155.88386776859528</v>
      </c>
      <c r="K343" s="15" t="str">
        <f t="shared" si="34"/>
        <v>DUR-063|MAT</v>
      </c>
      <c r="L343" s="15">
        <f>COUNTIFS($K$2:K343,K343)</f>
        <v>1</v>
      </c>
      <c r="M343" s="15" t="str">
        <f t="shared" si="35"/>
        <v>DUR-063|MAT|1</v>
      </c>
      <c r="N343" s="47">
        <f>IFERROR(VLOOKUP(A343,PARTIDAS!A:F,6,FALSE()),0)</f>
        <v>10</v>
      </c>
      <c r="O343" s="247">
        <f t="shared" si="36"/>
        <v>0.06</v>
      </c>
      <c r="P343" s="247" t="str">
        <f>+_xlfn.XLOOKUP(A343,PPTO_GENERADOR!Q:Q,PPTO_GENERADOR!E:E,"-",0)</f>
        <v>-</v>
      </c>
      <c r="Q343" s="247">
        <f t="shared" si="37"/>
        <v>0</v>
      </c>
      <c r="R343" s="259" t="str">
        <f>+_xlfn.XLOOKUP(A343,PPTO_GENERADOR!$Q:$Q,PPTO_GENERADOR!A:A,"-",0)</f>
        <v>-</v>
      </c>
    </row>
    <row r="344" spans="1:18" ht="15" customHeight="1" x14ac:dyDescent="0.35">
      <c r="A344" s="38" t="s">
        <v>2534</v>
      </c>
      <c r="B344" s="38" t="s">
        <v>2774</v>
      </c>
      <c r="C344" s="38" t="s">
        <v>2775</v>
      </c>
      <c r="D344" s="38" t="s">
        <v>778</v>
      </c>
      <c r="E344" s="44" t="str">
        <f>IFERROR(VLOOKUP(D344,MATERIALES!A:B,2,FALSE()),"?")</f>
        <v>Perfil Perimetral x 3.05</v>
      </c>
      <c r="F344" s="44" t="str">
        <f>IFERROR(VLOOKUP(D344,MATERIALES!A:C,3,FALSE()),"?")</f>
        <v>u</v>
      </c>
      <c r="G344" s="45">
        <v>0.49</v>
      </c>
      <c r="H344" s="46">
        <v>0.1</v>
      </c>
      <c r="I344" s="47">
        <f>IFERROR(VLOOKUP(D344,MATERIALES!A:D,4,FALSE()),0)</f>
        <v>2470.5619834710801</v>
      </c>
      <c r="J344" s="42">
        <f>G344*I344*(1+H344)</f>
        <v>1331.6329090909121</v>
      </c>
      <c r="K344" s="15" t="str">
        <f t="shared" si="34"/>
        <v>DUR-063|MAT</v>
      </c>
      <c r="L344" s="15">
        <f>COUNTIFS($K$2:K344,K344)</f>
        <v>2</v>
      </c>
      <c r="M344" s="15" t="str">
        <f t="shared" si="35"/>
        <v>DUR-063|MAT|2</v>
      </c>
      <c r="N344" s="47">
        <f>IFERROR(VLOOKUP(A344,PARTIDAS!A:F,6,FALSE()),0)</f>
        <v>10</v>
      </c>
      <c r="O344" s="247">
        <f t="shared" si="36"/>
        <v>0.49</v>
      </c>
      <c r="P344" s="247" t="str">
        <f>+_xlfn.XLOOKUP(A344,PPTO_GENERADOR!Q:Q,PPTO_GENERADOR!E:E,"-",0)</f>
        <v>-</v>
      </c>
      <c r="Q344" s="247">
        <f t="shared" si="37"/>
        <v>0</v>
      </c>
      <c r="R344" s="259" t="str">
        <f>+_xlfn.XLOOKUP(A344,PPTO_GENERADOR!$Q:$Q,PPTO_GENERADOR!A:A,"-",0)</f>
        <v>-</v>
      </c>
    </row>
    <row r="345" spans="1:18" ht="15" customHeight="1" x14ac:dyDescent="0.35">
      <c r="A345" s="38" t="s">
        <v>2534</v>
      </c>
      <c r="B345" s="38" t="s">
        <v>2774</v>
      </c>
      <c r="C345" s="38" t="s">
        <v>2775</v>
      </c>
      <c r="D345" s="38" t="s">
        <v>756</v>
      </c>
      <c r="E345" s="44" t="str">
        <f>IFERROR(VLOOKUP(D345,MATERIALES!A:B,2,FALSE()),"?")</f>
        <v>Fijacion completa del 8</v>
      </c>
      <c r="F345" s="44" t="str">
        <f>IFERROR(VLOOKUP(D345,MATERIALES!A:C,3,FALSE()),"?")</f>
        <v>u</v>
      </c>
      <c r="G345" s="45">
        <v>6</v>
      </c>
      <c r="H345" s="46">
        <v>0.05</v>
      </c>
      <c r="I345" s="47">
        <f>IFERROR(VLOOKUP(D345,MATERIALES!A:D,4,FALSE()),0)</f>
        <v>65.919008264462803</v>
      </c>
      <c r="J345" s="42">
        <f>G345*I345*(1+H345)</f>
        <v>415.28975206611568</v>
      </c>
      <c r="K345" s="15" t="str">
        <f t="shared" si="34"/>
        <v>DUR-063|MAT</v>
      </c>
      <c r="L345" s="15">
        <f>COUNTIFS($K$2:K345,K345)</f>
        <v>3</v>
      </c>
      <c r="M345" s="15" t="str">
        <f t="shared" si="35"/>
        <v>DUR-063|MAT|3</v>
      </c>
      <c r="N345" s="47">
        <f>IFERROR(VLOOKUP(A345,PARTIDAS!A:F,6,FALSE()),0)</f>
        <v>10</v>
      </c>
      <c r="O345" s="247">
        <f t="shared" si="36"/>
        <v>6</v>
      </c>
      <c r="P345" s="247" t="str">
        <f>+_xlfn.XLOOKUP(A345,PPTO_GENERADOR!Q:Q,PPTO_GENERADOR!E:E,"-",0)</f>
        <v>-</v>
      </c>
      <c r="Q345" s="247">
        <f t="shared" si="37"/>
        <v>0</v>
      </c>
      <c r="R345" s="259" t="str">
        <f>+_xlfn.XLOOKUP(A345,PPTO_GENERADOR!$Q:$Q,PPTO_GENERADOR!A:A,"-",0)</f>
        <v>-</v>
      </c>
    </row>
    <row r="346" spans="1:18" ht="15" customHeight="1" x14ac:dyDescent="0.35">
      <c r="A346" s="38" t="s">
        <v>2534</v>
      </c>
      <c r="B346" s="38" t="s">
        <v>2774</v>
      </c>
      <c r="C346" s="38" t="s">
        <v>2775</v>
      </c>
      <c r="D346" s="38" t="s">
        <v>780</v>
      </c>
      <c r="E346" s="44" t="str">
        <f>IFERROR(VLOOKUP(D346,MATERIALES!A:B,2,FALSE()),"?")</f>
        <v>Larguero x 3.66</v>
      </c>
      <c r="F346" s="44" t="str">
        <f>IFERROR(VLOOKUP(D346,MATERIALES!A:C,3,FALSE()),"?")</f>
        <v>u</v>
      </c>
      <c r="G346" s="45">
        <v>0.44</v>
      </c>
      <c r="H346" s="46">
        <v>0.05</v>
      </c>
      <c r="I346" s="47">
        <f>IFERROR(VLOOKUP(D346,MATERIALES!A:D,4,FALSE()),0)</f>
        <v>3894.6611570247901</v>
      </c>
      <c r="J346" s="42">
        <f>G346*I346*(1+H346)</f>
        <v>1799.3334545454532</v>
      </c>
      <c r="K346" s="15" t="str">
        <f t="shared" si="34"/>
        <v>DUR-063|MAT</v>
      </c>
      <c r="L346" s="15">
        <f>COUNTIFS($K$2:K346,K346)</f>
        <v>4</v>
      </c>
      <c r="M346" s="15" t="str">
        <f t="shared" si="35"/>
        <v>DUR-063|MAT|4</v>
      </c>
      <c r="N346" s="47">
        <f>IFERROR(VLOOKUP(A346,PARTIDAS!A:F,6,FALSE()),0)</f>
        <v>10</v>
      </c>
      <c r="O346" s="247">
        <f t="shared" si="36"/>
        <v>0.44</v>
      </c>
      <c r="P346" s="247" t="str">
        <f>+_xlfn.XLOOKUP(A346,PPTO_GENERADOR!Q:Q,PPTO_GENERADOR!E:E,"-",0)</f>
        <v>-</v>
      </c>
      <c r="Q346" s="247">
        <f t="shared" si="37"/>
        <v>0</v>
      </c>
      <c r="R346" s="259" t="str">
        <f>+_xlfn.XLOOKUP(A346,PPTO_GENERADOR!$Q:$Q,PPTO_GENERADOR!A:A,"-",0)</f>
        <v>-</v>
      </c>
    </row>
    <row r="347" spans="1:18" ht="15" customHeight="1" x14ac:dyDescent="0.35">
      <c r="A347" s="38" t="s">
        <v>2534</v>
      </c>
      <c r="B347" s="38" t="s">
        <v>2774</v>
      </c>
      <c r="C347" s="38" t="s">
        <v>2775</v>
      </c>
      <c r="D347" s="38" t="s">
        <v>784</v>
      </c>
      <c r="E347" s="44" t="str">
        <f>IFERROR(VLOOKUP(D347,MATERIALES!A:B,2,FALSE()),"?")</f>
        <v>Travesaño x 0.60</v>
      </c>
      <c r="F347" s="44" t="str">
        <f>IFERROR(VLOOKUP(D347,MATERIALES!A:C,3,FALSE()),"?")</f>
        <v>u</v>
      </c>
      <c r="G347" s="45">
        <v>2.67</v>
      </c>
      <c r="H347" s="46">
        <v>0.05</v>
      </c>
      <c r="I347" s="47">
        <f>IFERROR(VLOOKUP(D347,MATERIALES!A:D,4,FALSE()),0)</f>
        <v>647.24793388429805</v>
      </c>
      <c r="J347" s="42">
        <f>G347*I347*(1+H347)</f>
        <v>1814.5595826446295</v>
      </c>
      <c r="K347" s="15" t="str">
        <f t="shared" si="34"/>
        <v>DUR-063|MAT</v>
      </c>
      <c r="L347" s="15">
        <f>COUNTIFS($K$2:K347,K347)</f>
        <v>5</v>
      </c>
      <c r="M347" s="15" t="str">
        <f t="shared" si="35"/>
        <v>DUR-063|MAT|5</v>
      </c>
      <c r="N347" s="47">
        <f>IFERROR(VLOOKUP(A347,PARTIDAS!A:F,6,FALSE()),0)</f>
        <v>10</v>
      </c>
      <c r="O347" s="247">
        <f t="shared" si="36"/>
        <v>2.67</v>
      </c>
      <c r="P347" s="247" t="str">
        <f>+_xlfn.XLOOKUP(A347,PPTO_GENERADOR!Q:Q,PPTO_GENERADOR!E:E,"-",0)</f>
        <v>-</v>
      </c>
      <c r="Q347" s="247">
        <f t="shared" si="37"/>
        <v>0</v>
      </c>
      <c r="R347" s="259" t="str">
        <f>+_xlfn.XLOOKUP(A347,PPTO_GENERADOR!$Q:$Q,PPTO_GENERADOR!A:A,"-",0)</f>
        <v>-</v>
      </c>
    </row>
    <row r="348" spans="1:18" ht="15" customHeight="1" x14ac:dyDescent="0.35">
      <c r="A348" s="38" t="s">
        <v>2534</v>
      </c>
      <c r="B348" s="38" t="s">
        <v>2776</v>
      </c>
      <c r="C348" s="38" t="s">
        <v>2777</v>
      </c>
      <c r="D348" s="237" t="s">
        <v>1574</v>
      </c>
      <c r="E348" s="44" t="str">
        <f>IFERROR(VLOOKUP(D348,MANO_DE_OBRA!A:B,2,FALSE()),"?")</f>
        <v>MEDIO OFICIAL</v>
      </c>
      <c r="F348" s="44" t="s">
        <v>2778</v>
      </c>
      <c r="G348" s="45">
        <v>1</v>
      </c>
      <c r="H348" s="46">
        <v>0</v>
      </c>
      <c r="I348" s="47">
        <f>IFERROR(VLOOKUP(D348,MANO_DE_OBRA!A:C,3,FALSE()),0)</f>
        <v>65493.071636572</v>
      </c>
      <c r="J348" s="42">
        <f>G348*I348</f>
        <v>65493.071636572</v>
      </c>
      <c r="K348" s="15" t="str">
        <f t="shared" si="34"/>
        <v>DUR-063|MO</v>
      </c>
      <c r="L348" s="15">
        <f>COUNTIFS($K$2:K348,K348)</f>
        <v>1</v>
      </c>
      <c r="M348" s="15" t="str">
        <f t="shared" si="35"/>
        <v>DUR-063|MO|1</v>
      </c>
      <c r="N348" s="47">
        <f>IFERROR(VLOOKUP(A348,PARTIDAS!A:F,6,FALSE()),0)</f>
        <v>10</v>
      </c>
      <c r="O348" s="247">
        <f t="shared" si="36"/>
        <v>0.1</v>
      </c>
      <c r="P348" s="247" t="str">
        <f>+_xlfn.XLOOKUP(A348,PPTO_GENERADOR!Q:Q,PPTO_GENERADOR!E:E,"-",0)</f>
        <v>-</v>
      </c>
      <c r="Q348" s="247">
        <f t="shared" si="37"/>
        <v>0</v>
      </c>
      <c r="R348" s="259" t="str">
        <f>+_xlfn.XLOOKUP(A348,PPTO_GENERADOR!$Q:$Q,PPTO_GENERADOR!A:A,"-",0)</f>
        <v>-</v>
      </c>
    </row>
    <row r="349" spans="1:18" ht="15" customHeight="1" x14ac:dyDescent="0.35">
      <c r="A349" s="38" t="s">
        <v>2534</v>
      </c>
      <c r="B349" s="38" t="s">
        <v>2776</v>
      </c>
      <c r="C349" s="38" t="s">
        <v>2777</v>
      </c>
      <c r="D349" s="237" t="s">
        <v>1568</v>
      </c>
      <c r="E349" s="44" t="str">
        <f>IFERROR(VLOOKUP(D349,MANO_DE_OBRA!A:B,2,FALSE()),"?")</f>
        <v>ESPECIALIZADO</v>
      </c>
      <c r="F349" s="44" t="s">
        <v>2778</v>
      </c>
      <c r="G349" s="45">
        <v>1</v>
      </c>
      <c r="H349" s="46">
        <v>0</v>
      </c>
      <c r="I349" s="47">
        <f>IFERROR(VLOOKUP(D349,MANO_DE_OBRA!A:C,3,FALSE()),0)</f>
        <v>85927.097156571996</v>
      </c>
      <c r="J349" s="42">
        <f>G349*I349</f>
        <v>85927.097156571996</v>
      </c>
      <c r="K349" s="15" t="str">
        <f t="shared" si="34"/>
        <v>DUR-063|MO</v>
      </c>
      <c r="L349" s="15">
        <f>COUNTIFS($K$2:K349,K349)</f>
        <v>2</v>
      </c>
      <c r="M349" s="15" t="str">
        <f t="shared" si="35"/>
        <v>DUR-063|MO|2</v>
      </c>
      <c r="N349" s="47">
        <f>IFERROR(VLOOKUP(A349,PARTIDAS!A:F,6,FALSE()),0)</f>
        <v>10</v>
      </c>
      <c r="O349" s="247">
        <f t="shared" si="36"/>
        <v>0.1</v>
      </c>
      <c r="P349" s="247" t="str">
        <f>+_xlfn.XLOOKUP(A349,PPTO_GENERADOR!Q:Q,PPTO_GENERADOR!E:E,"-",0)</f>
        <v>-</v>
      </c>
      <c r="Q349" s="247">
        <f t="shared" si="37"/>
        <v>0</v>
      </c>
      <c r="R349" s="259" t="str">
        <f>+_xlfn.XLOOKUP(A349,PPTO_GENERADOR!$Q:$Q,PPTO_GENERADOR!A:A,"-",0)</f>
        <v>-</v>
      </c>
    </row>
    <row r="350" spans="1:18" ht="15" customHeight="1" x14ac:dyDescent="0.35">
      <c r="A350" s="38" t="s">
        <v>2537</v>
      </c>
      <c r="B350" s="38" t="s">
        <v>2773</v>
      </c>
      <c r="C350" s="38"/>
      <c r="D350" s="38" t="s">
        <v>1744</v>
      </c>
      <c r="E350" s="44" t="str">
        <f>IFERROR(VLOOKUP(D350,EQUIPOS!A:B,2,FALSE()),"?")</f>
        <v>EQUIPO DE CONSTRUCCION EN SECO</v>
      </c>
      <c r="F350" s="44"/>
      <c r="G350" s="45">
        <v>1</v>
      </c>
      <c r="H350" s="46">
        <v>0</v>
      </c>
      <c r="I350" s="47">
        <f>IFERROR(VLOOKUP(D350,EQUIPOS!A:F,6,FALSE()),0)</f>
        <v>2365.2381485799501</v>
      </c>
      <c r="J350" s="42">
        <f>G350*I350</f>
        <v>2365.2381485799501</v>
      </c>
      <c r="K350" s="15" t="str">
        <f t="shared" si="34"/>
        <v>DUR-064|EQ</v>
      </c>
      <c r="L350" s="15">
        <f>COUNTIFS($K$2:K350,K350)</f>
        <v>1</v>
      </c>
      <c r="M350" s="15" t="str">
        <f t="shared" si="35"/>
        <v>DUR-064|EQ|1</v>
      </c>
      <c r="N350" s="47">
        <f>IFERROR(VLOOKUP(A350,PARTIDAS!A:F,6,FALSE()),0)</f>
        <v>7</v>
      </c>
      <c r="O350" s="247">
        <f t="shared" si="36"/>
        <v>1</v>
      </c>
      <c r="P350" s="247" t="str">
        <f>+_xlfn.XLOOKUP(A350,PPTO_GENERADOR!Q:Q,PPTO_GENERADOR!E:E,"-",0)</f>
        <v>-</v>
      </c>
      <c r="Q350" s="247">
        <f t="shared" si="37"/>
        <v>0</v>
      </c>
      <c r="R350" s="259" t="str">
        <f>+_xlfn.XLOOKUP(A350,PPTO_GENERADOR!$Q:$Q,PPTO_GENERADOR!A:A,"-",0)</f>
        <v>-</v>
      </c>
    </row>
    <row r="351" spans="1:18" ht="15" customHeight="1" x14ac:dyDescent="0.35">
      <c r="A351" s="38" t="s">
        <v>2537</v>
      </c>
      <c r="B351" s="38" t="s">
        <v>2773</v>
      </c>
      <c r="C351" s="38"/>
      <c r="D351" s="38" t="s">
        <v>1622</v>
      </c>
      <c r="E351" s="44" t="str">
        <f>IFERROR(VLOOKUP(D351,EQUIPOS!A:B,2,FALSE()),"?")</f>
        <v>ESCALERA GLOSS ALUMINIO ARTICULADA 4 X 4 ESCALONES HASTA 150KG</v>
      </c>
      <c r="F351" s="44"/>
      <c r="G351" s="45">
        <v>0.5</v>
      </c>
      <c r="H351" s="46">
        <v>0</v>
      </c>
      <c r="I351" s="47">
        <f>IFERROR(VLOOKUP(D351,EQUIPOS!A:F,6,FALSE()),0)</f>
        <v>140.19809259430903</v>
      </c>
      <c r="J351" s="42">
        <f>G351*I351</f>
        <v>70.099046297154516</v>
      </c>
      <c r="K351" s="15" t="str">
        <f t="shared" si="34"/>
        <v>DUR-064|EQ</v>
      </c>
      <c r="L351" s="15">
        <f>COUNTIFS($K$2:K351,K351)</f>
        <v>2</v>
      </c>
      <c r="M351" s="15" t="str">
        <f t="shared" si="35"/>
        <v>DUR-064|EQ|2</v>
      </c>
      <c r="N351" s="47">
        <f>IFERROR(VLOOKUP(A351,PARTIDAS!A:F,6,FALSE()),0)</f>
        <v>7</v>
      </c>
      <c r="O351" s="247">
        <f t="shared" si="36"/>
        <v>0.5</v>
      </c>
      <c r="P351" s="247" t="str">
        <f>+_xlfn.XLOOKUP(A351,PPTO_GENERADOR!Q:Q,PPTO_GENERADOR!E:E,"-",0)</f>
        <v>-</v>
      </c>
      <c r="Q351" s="247">
        <f t="shared" si="37"/>
        <v>0</v>
      </c>
      <c r="R351" s="259" t="str">
        <f>+_xlfn.XLOOKUP(A351,PPTO_GENERADOR!$Q:$Q,PPTO_GENERADOR!A:A,"-",0)</f>
        <v>-</v>
      </c>
    </row>
    <row r="352" spans="1:18" ht="15" customHeight="1" x14ac:dyDescent="0.35">
      <c r="A352" s="38" t="s">
        <v>2537</v>
      </c>
      <c r="B352" s="38" t="s">
        <v>2774</v>
      </c>
      <c r="C352" s="38" t="s">
        <v>2775</v>
      </c>
      <c r="D352" s="38" t="s">
        <v>740</v>
      </c>
      <c r="E352" s="44" t="str">
        <f>IFERROR(VLOOKUP(D352,MATERIALES!A:B,2,FALSE()),"?")</f>
        <v>Solera 70mm x 2.60m</v>
      </c>
      <c r="F352" s="44" t="str">
        <f>IFERROR(VLOOKUP(D352,MATERIALES!A:C,3,FALSE()),"?")</f>
        <v>u</v>
      </c>
      <c r="G352" s="45">
        <v>0.46153846153846201</v>
      </c>
      <c r="H352" s="46">
        <v>0.1</v>
      </c>
      <c r="I352" s="47">
        <f>IFERROR(VLOOKUP(D352,MATERIALES!A:D,4,FALSE()),0)</f>
        <v>2932.93</v>
      </c>
      <c r="J352" s="42">
        <f t="shared" ref="J352:J359" si="39">G352*I352*(1+H352)</f>
        <v>1489.0260000000014</v>
      </c>
      <c r="K352" s="15" t="str">
        <f t="shared" si="34"/>
        <v>DUR-064|MAT</v>
      </c>
      <c r="L352" s="15">
        <f>COUNTIFS($K$2:K352,K352)</f>
        <v>1</v>
      </c>
      <c r="M352" s="15" t="str">
        <f t="shared" si="35"/>
        <v>DUR-064|MAT|1</v>
      </c>
      <c r="N352" s="47">
        <f>IFERROR(VLOOKUP(A352,PARTIDAS!A:F,6,FALSE()),0)</f>
        <v>7</v>
      </c>
      <c r="O352" s="247">
        <f t="shared" si="36"/>
        <v>0.46153846153846201</v>
      </c>
      <c r="P352" s="247" t="str">
        <f>+_xlfn.XLOOKUP(A352,PPTO_GENERADOR!Q:Q,PPTO_GENERADOR!E:E,"-",0)</f>
        <v>-</v>
      </c>
      <c r="Q352" s="247">
        <f t="shared" si="37"/>
        <v>0</v>
      </c>
      <c r="R352" s="259" t="str">
        <f>+_xlfn.XLOOKUP(A352,PPTO_GENERADOR!$Q:$Q,PPTO_GENERADOR!A:A,"-",0)</f>
        <v>-</v>
      </c>
    </row>
    <row r="353" spans="1:18" ht="15" customHeight="1" x14ac:dyDescent="0.35">
      <c r="A353" s="38" t="s">
        <v>2537</v>
      </c>
      <c r="B353" s="38" t="s">
        <v>2774</v>
      </c>
      <c r="C353" s="38" t="s">
        <v>2775</v>
      </c>
      <c r="D353" s="38" t="s">
        <v>743</v>
      </c>
      <c r="E353" s="44" t="str">
        <f>IFERROR(VLOOKUP(D353,MATERIALES!A:B,2,FALSE()),"?")</f>
        <v>Montante 69mm x 2.60m</v>
      </c>
      <c r="F353" s="44" t="str">
        <f>IFERROR(VLOOKUP(D353,MATERIALES!A:C,3,FALSE()),"?")</f>
        <v>u</v>
      </c>
      <c r="G353" s="45">
        <v>1.15384615384615</v>
      </c>
      <c r="H353" s="46">
        <v>0.1</v>
      </c>
      <c r="I353" s="47">
        <f>IFERROR(VLOOKUP(D353,MATERIALES!A:D,4,FALSE()),0)</f>
        <v>3295.47</v>
      </c>
      <c r="J353" s="42">
        <f t="shared" si="39"/>
        <v>4182.7119230769085</v>
      </c>
      <c r="K353" s="15" t="str">
        <f t="shared" si="34"/>
        <v>DUR-064|MAT</v>
      </c>
      <c r="L353" s="15">
        <f>COUNTIFS($K$2:K353,K353)</f>
        <v>2</v>
      </c>
      <c r="M353" s="15" t="str">
        <f t="shared" si="35"/>
        <v>DUR-064|MAT|2</v>
      </c>
      <c r="N353" s="47">
        <f>IFERROR(VLOOKUP(A353,PARTIDAS!A:F,6,FALSE()),0)</f>
        <v>7</v>
      </c>
      <c r="O353" s="247">
        <f t="shared" si="36"/>
        <v>1.15384615384615</v>
      </c>
      <c r="P353" s="247" t="str">
        <f>+_xlfn.XLOOKUP(A353,PPTO_GENERADOR!Q:Q,PPTO_GENERADOR!E:E,"-",0)</f>
        <v>-</v>
      </c>
      <c r="Q353" s="247">
        <f t="shared" si="37"/>
        <v>0</v>
      </c>
      <c r="R353" s="259" t="str">
        <f>+_xlfn.XLOOKUP(A353,PPTO_GENERADOR!$Q:$Q,PPTO_GENERADOR!A:A,"-",0)</f>
        <v>-</v>
      </c>
    </row>
    <row r="354" spans="1:18" ht="15" customHeight="1" x14ac:dyDescent="0.35">
      <c r="A354" s="38" t="s">
        <v>2537</v>
      </c>
      <c r="B354" s="38" t="s">
        <v>2774</v>
      </c>
      <c r="C354" s="38" t="s">
        <v>2775</v>
      </c>
      <c r="D354" s="38" t="s">
        <v>763</v>
      </c>
      <c r="E354" s="44" t="str">
        <f>IFERROR(VLOOKUP(D354,MATERIALES!A:B,2,FALSE()),"?")</f>
        <v>Masilla x 32kg</v>
      </c>
      <c r="F354" s="44" t="str">
        <f>IFERROR(VLOOKUP(D354,MATERIALES!A:C,3,FALSE()),"?")</f>
        <v>u</v>
      </c>
      <c r="G354" s="45">
        <v>5.6300000000000003E-2</v>
      </c>
      <c r="H354" s="46">
        <v>0.05</v>
      </c>
      <c r="I354" s="47">
        <f>IFERROR(VLOOKUP(D354,MATERIALES!A:D,4,FALSE()),0)</f>
        <v>26872.02</v>
      </c>
      <c r="J354" s="42">
        <f t="shared" si="39"/>
        <v>1588.5394623</v>
      </c>
      <c r="K354" s="15" t="str">
        <f t="shared" si="34"/>
        <v>DUR-064|MAT</v>
      </c>
      <c r="L354" s="15">
        <f>COUNTIFS($K$2:K354,K354)</f>
        <v>3</v>
      </c>
      <c r="M354" s="15" t="str">
        <f t="shared" si="35"/>
        <v>DUR-064|MAT|3</v>
      </c>
      <c r="N354" s="47">
        <f>IFERROR(VLOOKUP(A354,PARTIDAS!A:F,6,FALSE()),0)</f>
        <v>7</v>
      </c>
      <c r="O354" s="247">
        <f t="shared" si="36"/>
        <v>5.6300000000000003E-2</v>
      </c>
      <c r="P354" s="247" t="str">
        <f>+_xlfn.XLOOKUP(A354,PPTO_GENERADOR!Q:Q,PPTO_GENERADOR!E:E,"-",0)</f>
        <v>-</v>
      </c>
      <c r="Q354" s="247">
        <f t="shared" si="37"/>
        <v>0</v>
      </c>
      <c r="R354" s="259" t="str">
        <f>+_xlfn.XLOOKUP(A354,PPTO_GENERADOR!$Q:$Q,PPTO_GENERADOR!A:A,"-",0)</f>
        <v>-</v>
      </c>
    </row>
    <row r="355" spans="1:18" ht="15" customHeight="1" x14ac:dyDescent="0.35">
      <c r="A355" s="38" t="s">
        <v>2537</v>
      </c>
      <c r="B355" s="38" t="s">
        <v>2774</v>
      </c>
      <c r="C355" s="38" t="s">
        <v>2775</v>
      </c>
      <c r="D355" s="38" t="s">
        <v>749</v>
      </c>
      <c r="E355" s="44" t="str">
        <f>IFERROR(VLOOKUP(D355,MATERIALES!A:B,2,FALSE()),"?")</f>
        <v>Tornillo T1 - Aguja</v>
      </c>
      <c r="F355" s="44" t="str">
        <f>IFERROR(VLOOKUP(D355,MATERIALES!A:C,3,FALSE()),"?")</f>
        <v>u</v>
      </c>
      <c r="G355" s="45">
        <v>10</v>
      </c>
      <c r="H355" s="46">
        <v>0.05</v>
      </c>
      <c r="I355" s="47">
        <f>IFERROR(VLOOKUP(D355,MATERIALES!A:D,4,FALSE()),0)</f>
        <v>32.707173553719002</v>
      </c>
      <c r="J355" s="42">
        <f t="shared" si="39"/>
        <v>343.42532231404954</v>
      </c>
      <c r="K355" s="15" t="str">
        <f t="shared" si="34"/>
        <v>DUR-064|MAT</v>
      </c>
      <c r="L355" s="15">
        <f>COUNTIFS($K$2:K355,K355)</f>
        <v>4</v>
      </c>
      <c r="M355" s="15" t="str">
        <f t="shared" si="35"/>
        <v>DUR-064|MAT|4</v>
      </c>
      <c r="N355" s="47">
        <f>IFERROR(VLOOKUP(A355,PARTIDAS!A:F,6,FALSE()),0)</f>
        <v>7</v>
      </c>
      <c r="O355" s="247">
        <f t="shared" si="36"/>
        <v>10</v>
      </c>
      <c r="P355" s="247" t="str">
        <f>+_xlfn.XLOOKUP(A355,PPTO_GENERADOR!Q:Q,PPTO_GENERADOR!E:E,"-",0)</f>
        <v>-</v>
      </c>
      <c r="Q355" s="247">
        <f t="shared" si="37"/>
        <v>0</v>
      </c>
      <c r="R355" s="259" t="str">
        <f>+_xlfn.XLOOKUP(A355,PPTO_GENERADOR!$Q:$Q,PPTO_GENERADOR!A:A,"-",0)</f>
        <v>-</v>
      </c>
    </row>
    <row r="356" spans="1:18" ht="15" customHeight="1" x14ac:dyDescent="0.35">
      <c r="A356" s="38" t="s">
        <v>2537</v>
      </c>
      <c r="B356" s="38" t="s">
        <v>2774</v>
      </c>
      <c r="C356" s="38" t="s">
        <v>2775</v>
      </c>
      <c r="D356" s="38" t="s">
        <v>752</v>
      </c>
      <c r="E356" s="44" t="str">
        <f>IFERROR(VLOOKUP(D356,MATERIALES!A:B,2,FALSE()),"?")</f>
        <v>Tornillo T2 - Aguja</v>
      </c>
      <c r="F356" s="44" t="str">
        <f>IFERROR(VLOOKUP(D356,MATERIALES!A:C,3,FALSE()),"?")</f>
        <v>u</v>
      </c>
      <c r="G356" s="45">
        <v>30</v>
      </c>
      <c r="H356" s="46">
        <v>0.05</v>
      </c>
      <c r="I356" s="47">
        <f>IFERROR(VLOOKUP(D356,MATERIALES!A:D,4,FALSE()),0)</f>
        <v>17.1963177226814</v>
      </c>
      <c r="J356" s="42">
        <f t="shared" si="39"/>
        <v>541.68400826446418</v>
      </c>
      <c r="K356" s="15" t="str">
        <f t="shared" si="34"/>
        <v>DUR-064|MAT</v>
      </c>
      <c r="L356" s="15">
        <f>COUNTIFS($K$2:K356,K356)</f>
        <v>5</v>
      </c>
      <c r="M356" s="15" t="str">
        <f t="shared" si="35"/>
        <v>DUR-064|MAT|5</v>
      </c>
      <c r="N356" s="47">
        <f>IFERROR(VLOOKUP(A356,PARTIDAS!A:F,6,FALSE()),0)</f>
        <v>7</v>
      </c>
      <c r="O356" s="247">
        <f t="shared" si="36"/>
        <v>30</v>
      </c>
      <c r="P356" s="247" t="str">
        <f>+_xlfn.XLOOKUP(A356,PPTO_GENERADOR!Q:Q,PPTO_GENERADOR!E:E,"-",0)</f>
        <v>-</v>
      </c>
      <c r="Q356" s="247">
        <f t="shared" si="37"/>
        <v>0</v>
      </c>
      <c r="R356" s="259" t="str">
        <f>+_xlfn.XLOOKUP(A356,PPTO_GENERADOR!$Q:$Q,PPTO_GENERADOR!A:A,"-",0)</f>
        <v>-</v>
      </c>
    </row>
    <row r="357" spans="1:18" ht="15" customHeight="1" x14ac:dyDescent="0.35">
      <c r="A357" s="38" t="s">
        <v>2537</v>
      </c>
      <c r="B357" s="38" t="s">
        <v>2774</v>
      </c>
      <c r="C357" s="38" t="s">
        <v>2775</v>
      </c>
      <c r="D357" s="38" t="s">
        <v>756</v>
      </c>
      <c r="E357" s="44" t="str">
        <f>IFERROR(VLOOKUP(D357,MATERIALES!A:B,2,FALSE()),"?")</f>
        <v>Fijacion completa del 8</v>
      </c>
      <c r="F357" s="44" t="str">
        <f>IFERROR(VLOOKUP(D357,MATERIALES!A:C,3,FALSE()),"?")</f>
        <v>u</v>
      </c>
      <c r="G357" s="45">
        <v>3.5</v>
      </c>
      <c r="H357" s="46">
        <v>0.05</v>
      </c>
      <c r="I357" s="47">
        <f>IFERROR(VLOOKUP(D357,MATERIALES!A:D,4,FALSE()),0)</f>
        <v>65.919008264462803</v>
      </c>
      <c r="J357" s="42">
        <f t="shared" si="39"/>
        <v>242.25235537190079</v>
      </c>
      <c r="K357" s="15" t="str">
        <f t="shared" si="34"/>
        <v>DUR-064|MAT</v>
      </c>
      <c r="L357" s="15">
        <f>COUNTIFS($K$2:K357,K357)</f>
        <v>6</v>
      </c>
      <c r="M357" s="15" t="str">
        <f t="shared" si="35"/>
        <v>DUR-064|MAT|6</v>
      </c>
      <c r="N357" s="47">
        <f>IFERROR(VLOOKUP(A357,PARTIDAS!A:F,6,FALSE()),0)</f>
        <v>7</v>
      </c>
      <c r="O357" s="247">
        <f t="shared" si="36"/>
        <v>3.5</v>
      </c>
      <c r="P357" s="247" t="str">
        <f>+_xlfn.XLOOKUP(A357,PPTO_GENERADOR!Q:Q,PPTO_GENERADOR!E:E,"-",0)</f>
        <v>-</v>
      </c>
      <c r="Q357" s="247">
        <f t="shared" si="37"/>
        <v>0</v>
      </c>
      <c r="R357" s="259" t="str">
        <f>+_xlfn.XLOOKUP(A357,PPTO_GENERADOR!$Q:$Q,PPTO_GENERADOR!A:A,"-",0)</f>
        <v>-</v>
      </c>
    </row>
    <row r="358" spans="1:18" ht="15" customHeight="1" x14ac:dyDescent="0.35">
      <c r="A358" s="38" t="s">
        <v>2537</v>
      </c>
      <c r="B358" s="38" t="s">
        <v>2774</v>
      </c>
      <c r="C358" s="38" t="s">
        <v>2775</v>
      </c>
      <c r="D358" s="38" t="s">
        <v>758</v>
      </c>
      <c r="E358" s="44" t="str">
        <f>IFERROR(VLOOKUP(D358,MATERIALES!A:B,2,FALSE()),"?")</f>
        <v>Cinta Entramada - 90m</v>
      </c>
      <c r="F358" s="44" t="str">
        <f>IFERROR(VLOOKUP(D358,MATERIALES!A:C,3,FALSE()),"?")</f>
        <v>u</v>
      </c>
      <c r="G358" s="45">
        <v>0.04</v>
      </c>
      <c r="H358" s="46">
        <v>0.05</v>
      </c>
      <c r="I358" s="47">
        <f>IFERROR(VLOOKUP(D358,MATERIALES!A:D,4,FALSE()),0)</f>
        <v>4042.71</v>
      </c>
      <c r="J358" s="42">
        <f t="shared" si="39"/>
        <v>169.79382000000001</v>
      </c>
      <c r="K358" s="15" t="str">
        <f t="shared" si="34"/>
        <v>DUR-064|MAT</v>
      </c>
      <c r="L358" s="15">
        <f>COUNTIFS($K$2:K358,K358)</f>
        <v>7</v>
      </c>
      <c r="M358" s="15" t="str">
        <f t="shared" si="35"/>
        <v>DUR-064|MAT|7</v>
      </c>
      <c r="N358" s="47">
        <f>IFERROR(VLOOKUP(A358,PARTIDAS!A:F,6,FALSE()),0)</f>
        <v>7</v>
      </c>
      <c r="O358" s="247">
        <f t="shared" si="36"/>
        <v>0.04</v>
      </c>
      <c r="P358" s="247" t="str">
        <f>+_xlfn.XLOOKUP(A358,PPTO_GENERADOR!Q:Q,PPTO_GENERADOR!E:E,"-",0)</f>
        <v>-</v>
      </c>
      <c r="Q358" s="247">
        <f t="shared" si="37"/>
        <v>0</v>
      </c>
      <c r="R358" s="259" t="str">
        <f>+_xlfn.XLOOKUP(A358,PPTO_GENERADOR!$Q:$Q,PPTO_GENERADOR!A:A,"-",0)</f>
        <v>-</v>
      </c>
    </row>
    <row r="359" spans="1:18" ht="15" customHeight="1" x14ac:dyDescent="0.35">
      <c r="A359" s="38" t="s">
        <v>2537</v>
      </c>
      <c r="B359" s="38" t="s">
        <v>2774</v>
      </c>
      <c r="C359" s="38" t="s">
        <v>2775</v>
      </c>
      <c r="D359" s="38" t="s">
        <v>765</v>
      </c>
      <c r="E359" s="44" t="str">
        <f>IFERROR(VLOOKUP(D359,MATERIALES!A:B,2,FALSE()),"?")</f>
        <v>Placa Roca de Yeso 1220 x 2440 - 12.5mm - STD</v>
      </c>
      <c r="F359" s="44" t="str">
        <f>IFERROR(VLOOKUP(D359,MATERIALES!A:C,3,FALSE()),"?")</f>
        <v>u</v>
      </c>
      <c r="G359" s="45">
        <v>0.71</v>
      </c>
      <c r="H359" s="46">
        <v>0.1</v>
      </c>
      <c r="I359" s="47">
        <f>IFERROR(VLOOKUP(D359,MATERIALES!A:D,4,FALSE()),0)</f>
        <v>10022.959999999999</v>
      </c>
      <c r="J359" s="42">
        <f t="shared" si="39"/>
        <v>7827.9317599999995</v>
      </c>
      <c r="K359" s="15" t="str">
        <f t="shared" si="34"/>
        <v>DUR-064|MAT</v>
      </c>
      <c r="L359" s="15">
        <f>COUNTIFS($K$2:K359,K359)</f>
        <v>8</v>
      </c>
      <c r="M359" s="15" t="str">
        <f t="shared" si="35"/>
        <v>DUR-064|MAT|8</v>
      </c>
      <c r="N359" s="47">
        <f>IFERROR(VLOOKUP(A359,PARTIDAS!A:F,6,FALSE()),0)</f>
        <v>7</v>
      </c>
      <c r="O359" s="247">
        <f t="shared" si="36"/>
        <v>0.71</v>
      </c>
      <c r="P359" s="247" t="str">
        <f>+_xlfn.XLOOKUP(A359,PPTO_GENERADOR!Q:Q,PPTO_GENERADOR!E:E,"-",0)</f>
        <v>-</v>
      </c>
      <c r="Q359" s="247">
        <f t="shared" si="37"/>
        <v>0</v>
      </c>
      <c r="R359" s="259" t="str">
        <f>+_xlfn.XLOOKUP(A359,PPTO_GENERADOR!$Q:$Q,PPTO_GENERADOR!A:A,"-",0)</f>
        <v>-</v>
      </c>
    </row>
    <row r="360" spans="1:18" ht="15" customHeight="1" x14ac:dyDescent="0.35">
      <c r="A360" s="38" t="s">
        <v>2537</v>
      </c>
      <c r="B360" s="38" t="s">
        <v>2776</v>
      </c>
      <c r="C360" s="38" t="s">
        <v>2777</v>
      </c>
      <c r="D360" s="237" t="s">
        <v>1574</v>
      </c>
      <c r="E360" s="44" t="str">
        <f>IFERROR(VLOOKUP(D360,MANO_DE_OBRA!A:B,2,FALSE()),"?")</f>
        <v>MEDIO OFICIAL</v>
      </c>
      <c r="F360" s="44" t="s">
        <v>2778</v>
      </c>
      <c r="G360" s="45">
        <v>1</v>
      </c>
      <c r="H360" s="46">
        <v>0</v>
      </c>
      <c r="I360" s="47">
        <f>IFERROR(VLOOKUP(D360,MANO_DE_OBRA!A:C,3,FALSE()),0)</f>
        <v>65493.071636572</v>
      </c>
      <c r="J360" s="42">
        <f>G360*I360</f>
        <v>65493.071636572</v>
      </c>
      <c r="K360" s="15" t="str">
        <f t="shared" si="34"/>
        <v>DUR-064|MO</v>
      </c>
      <c r="L360" s="15">
        <f>COUNTIFS($K$2:K360,K360)</f>
        <v>1</v>
      </c>
      <c r="M360" s="15" t="str">
        <f t="shared" si="35"/>
        <v>DUR-064|MO|1</v>
      </c>
      <c r="N360" s="47">
        <f>IFERROR(VLOOKUP(A360,PARTIDAS!A:F,6,FALSE()),0)</f>
        <v>7</v>
      </c>
      <c r="O360" s="247">
        <f t="shared" si="36"/>
        <v>0.14285714285714285</v>
      </c>
      <c r="P360" s="247" t="str">
        <f>+_xlfn.XLOOKUP(A360,PPTO_GENERADOR!Q:Q,PPTO_GENERADOR!E:E,"-",0)</f>
        <v>-</v>
      </c>
      <c r="Q360" s="247">
        <f t="shared" si="37"/>
        <v>0</v>
      </c>
      <c r="R360" s="259" t="str">
        <f>+_xlfn.XLOOKUP(A360,PPTO_GENERADOR!$Q:$Q,PPTO_GENERADOR!A:A,"-",0)</f>
        <v>-</v>
      </c>
    </row>
    <row r="361" spans="1:18" ht="15" customHeight="1" x14ac:dyDescent="0.35">
      <c r="A361" s="38" t="s">
        <v>2537</v>
      </c>
      <c r="B361" s="38" t="s">
        <v>2776</v>
      </c>
      <c r="C361" s="38" t="s">
        <v>2777</v>
      </c>
      <c r="D361" s="237" t="s">
        <v>1568</v>
      </c>
      <c r="E361" s="44" t="str">
        <f>IFERROR(VLOOKUP(D361,MANO_DE_OBRA!A:B,2,FALSE()),"?")</f>
        <v>ESPECIALIZADO</v>
      </c>
      <c r="F361" s="44" t="s">
        <v>2778</v>
      </c>
      <c r="G361" s="45">
        <v>1</v>
      </c>
      <c r="H361" s="46">
        <v>0</v>
      </c>
      <c r="I361" s="47">
        <f>IFERROR(VLOOKUP(D361,MANO_DE_OBRA!A:C,3,FALSE()),0)</f>
        <v>85927.097156571996</v>
      </c>
      <c r="J361" s="42">
        <f>G361*I361</f>
        <v>85927.097156571996</v>
      </c>
      <c r="K361" s="15" t="str">
        <f t="shared" si="34"/>
        <v>DUR-064|MO</v>
      </c>
      <c r="L361" s="15">
        <f>COUNTIFS($K$2:K361,K361)</f>
        <v>2</v>
      </c>
      <c r="M361" s="15" t="str">
        <f t="shared" si="35"/>
        <v>DUR-064|MO|2</v>
      </c>
      <c r="N361" s="47">
        <f>IFERROR(VLOOKUP(A361,PARTIDAS!A:F,6,FALSE()),0)</f>
        <v>7</v>
      </c>
      <c r="O361" s="247">
        <f t="shared" si="36"/>
        <v>0.14285714285714285</v>
      </c>
      <c r="P361" s="247" t="str">
        <f>+_xlfn.XLOOKUP(A361,PPTO_GENERADOR!Q:Q,PPTO_GENERADOR!E:E,"-",0)</f>
        <v>-</v>
      </c>
      <c r="Q361" s="247">
        <f t="shared" si="37"/>
        <v>0</v>
      </c>
      <c r="R361" s="259" t="str">
        <f>+_xlfn.XLOOKUP(A361,PPTO_GENERADOR!$Q:$Q,PPTO_GENERADOR!A:A,"-",0)</f>
        <v>-</v>
      </c>
    </row>
    <row r="362" spans="1:18" ht="15" customHeight="1" x14ac:dyDescent="0.35">
      <c r="A362" s="38" t="s">
        <v>2540</v>
      </c>
      <c r="B362" s="38" t="s">
        <v>2773</v>
      </c>
      <c r="C362" s="38"/>
      <c r="D362" s="38" t="s">
        <v>1744</v>
      </c>
      <c r="E362" s="44" t="str">
        <f>IFERROR(VLOOKUP(D362,EQUIPOS!A:B,2,FALSE()),"?")</f>
        <v>EQUIPO DE CONSTRUCCION EN SECO</v>
      </c>
      <c r="F362" s="44"/>
      <c r="G362" s="45">
        <v>1</v>
      </c>
      <c r="H362" s="46">
        <v>0</v>
      </c>
      <c r="I362" s="47">
        <f>IFERROR(VLOOKUP(D362,EQUIPOS!A:F,6,FALSE()),0)</f>
        <v>2365.2381485799501</v>
      </c>
      <c r="J362" s="42">
        <f>G362*I362</f>
        <v>2365.2381485799501</v>
      </c>
      <c r="K362" s="15" t="str">
        <f t="shared" si="34"/>
        <v>DUR-065|EQ</v>
      </c>
      <c r="L362" s="15">
        <f>COUNTIFS($K$2:K362,K362)</f>
        <v>1</v>
      </c>
      <c r="M362" s="15" t="str">
        <f t="shared" si="35"/>
        <v>DUR-065|EQ|1</v>
      </c>
      <c r="N362" s="47">
        <f>IFERROR(VLOOKUP(A362,PARTIDAS!A:F,6,FALSE()),0)</f>
        <v>6</v>
      </c>
      <c r="O362" s="247">
        <f t="shared" si="36"/>
        <v>1</v>
      </c>
      <c r="P362" s="247" t="str">
        <f>+_xlfn.XLOOKUP(A362,PPTO_GENERADOR!Q:Q,PPTO_GENERADOR!E:E,"-",0)</f>
        <v>-</v>
      </c>
      <c r="Q362" s="247">
        <f t="shared" si="37"/>
        <v>0</v>
      </c>
      <c r="R362" s="259" t="str">
        <f>+_xlfn.XLOOKUP(A362,PPTO_GENERADOR!$Q:$Q,PPTO_GENERADOR!A:A,"-",0)</f>
        <v>-</v>
      </c>
    </row>
    <row r="363" spans="1:18" ht="15" customHeight="1" x14ac:dyDescent="0.35">
      <c r="A363" s="38" t="s">
        <v>2540</v>
      </c>
      <c r="B363" s="38" t="s">
        <v>2773</v>
      </c>
      <c r="C363" s="38"/>
      <c r="D363" s="38" t="s">
        <v>1622</v>
      </c>
      <c r="E363" s="44" t="str">
        <f>IFERROR(VLOOKUP(D363,EQUIPOS!A:B,2,FALSE()),"?")</f>
        <v>ESCALERA GLOSS ALUMINIO ARTICULADA 4 X 4 ESCALONES HASTA 150KG</v>
      </c>
      <c r="F363" s="44"/>
      <c r="G363" s="45">
        <v>0.5</v>
      </c>
      <c r="H363" s="46">
        <v>0</v>
      </c>
      <c r="I363" s="47">
        <f>IFERROR(VLOOKUP(D363,EQUIPOS!A:F,6,FALSE()),0)</f>
        <v>140.19809259430903</v>
      </c>
      <c r="J363" s="42">
        <f>G363*I363</f>
        <v>70.099046297154516</v>
      </c>
      <c r="K363" s="15" t="str">
        <f t="shared" si="34"/>
        <v>DUR-065|EQ</v>
      </c>
      <c r="L363" s="15">
        <f>COUNTIFS($K$2:K363,K363)</f>
        <v>2</v>
      </c>
      <c r="M363" s="15" t="str">
        <f t="shared" si="35"/>
        <v>DUR-065|EQ|2</v>
      </c>
      <c r="N363" s="47">
        <f>IFERROR(VLOOKUP(A363,PARTIDAS!A:F,6,FALSE()),0)</f>
        <v>6</v>
      </c>
      <c r="O363" s="247">
        <f t="shared" si="36"/>
        <v>0.5</v>
      </c>
      <c r="P363" s="247" t="str">
        <f>+_xlfn.XLOOKUP(A363,PPTO_GENERADOR!Q:Q,PPTO_GENERADOR!E:E,"-",0)</f>
        <v>-</v>
      </c>
      <c r="Q363" s="247">
        <f t="shared" si="37"/>
        <v>0</v>
      </c>
      <c r="R363" s="259" t="str">
        <f>+_xlfn.XLOOKUP(A363,PPTO_GENERADOR!$Q:$Q,PPTO_GENERADOR!A:A,"-",0)</f>
        <v>-</v>
      </c>
    </row>
    <row r="364" spans="1:18" ht="15" customHeight="1" x14ac:dyDescent="0.35">
      <c r="A364" s="38" t="s">
        <v>2540</v>
      </c>
      <c r="B364" s="38" t="s">
        <v>2774</v>
      </c>
      <c r="C364" s="38" t="s">
        <v>2775</v>
      </c>
      <c r="D364" s="38" t="s">
        <v>740</v>
      </c>
      <c r="E364" s="44" t="str">
        <f>IFERROR(VLOOKUP(D364,MATERIALES!A:B,2,FALSE()),"?")</f>
        <v>Solera 70mm x 2.60m</v>
      </c>
      <c r="F364" s="44" t="str">
        <f>IFERROR(VLOOKUP(D364,MATERIALES!A:C,3,FALSE()),"?")</f>
        <v>u</v>
      </c>
      <c r="G364" s="45">
        <v>0.46153846153846201</v>
      </c>
      <c r="H364" s="46">
        <v>0.1</v>
      </c>
      <c r="I364" s="47">
        <f>IFERROR(VLOOKUP(D364,MATERIALES!A:D,4,FALSE()),0)</f>
        <v>2932.93</v>
      </c>
      <c r="J364" s="42">
        <f t="shared" ref="J364:J373" si="40">G364*I364*(1+H364)</f>
        <v>1489.0260000000014</v>
      </c>
      <c r="K364" s="15" t="str">
        <f t="shared" si="34"/>
        <v>DUR-065|MAT</v>
      </c>
      <c r="L364" s="15">
        <f>COUNTIFS($K$2:K364,K364)</f>
        <v>1</v>
      </c>
      <c r="M364" s="15" t="str">
        <f t="shared" si="35"/>
        <v>DUR-065|MAT|1</v>
      </c>
      <c r="N364" s="47">
        <f>IFERROR(VLOOKUP(A364,PARTIDAS!A:F,6,FALSE()),0)</f>
        <v>6</v>
      </c>
      <c r="O364" s="247">
        <f t="shared" si="36"/>
        <v>0.46153846153846201</v>
      </c>
      <c r="P364" s="247" t="str">
        <f>+_xlfn.XLOOKUP(A364,PPTO_GENERADOR!Q:Q,PPTO_GENERADOR!E:E,"-",0)</f>
        <v>-</v>
      </c>
      <c r="Q364" s="247">
        <f t="shared" si="37"/>
        <v>0</v>
      </c>
      <c r="R364" s="259" t="str">
        <f>+_xlfn.XLOOKUP(A364,PPTO_GENERADOR!$Q:$Q,PPTO_GENERADOR!A:A,"-",0)</f>
        <v>-</v>
      </c>
    </row>
    <row r="365" spans="1:18" ht="15" customHeight="1" x14ac:dyDescent="0.35">
      <c r="A365" s="38" t="s">
        <v>2540</v>
      </c>
      <c r="B365" s="38" t="s">
        <v>2774</v>
      </c>
      <c r="C365" s="38" t="s">
        <v>2775</v>
      </c>
      <c r="D365" s="38" t="s">
        <v>743</v>
      </c>
      <c r="E365" s="44" t="str">
        <f>IFERROR(VLOOKUP(D365,MATERIALES!A:B,2,FALSE()),"?")</f>
        <v>Montante 69mm x 2.60m</v>
      </c>
      <c r="F365" s="44" t="str">
        <f>IFERROR(VLOOKUP(D365,MATERIALES!A:C,3,FALSE()),"?")</f>
        <v>u</v>
      </c>
      <c r="G365" s="45">
        <v>1.15384615384615</v>
      </c>
      <c r="H365" s="46">
        <v>0.1</v>
      </c>
      <c r="I365" s="47">
        <f>IFERROR(VLOOKUP(D365,MATERIALES!A:D,4,FALSE()),0)</f>
        <v>3295.47</v>
      </c>
      <c r="J365" s="42">
        <f t="shared" si="40"/>
        <v>4182.7119230769085</v>
      </c>
      <c r="K365" s="15" t="str">
        <f t="shared" si="34"/>
        <v>DUR-065|MAT</v>
      </c>
      <c r="L365" s="15">
        <f>COUNTIFS($K$2:K365,K365)</f>
        <v>2</v>
      </c>
      <c r="M365" s="15" t="str">
        <f t="shared" si="35"/>
        <v>DUR-065|MAT|2</v>
      </c>
      <c r="N365" s="47">
        <f>IFERROR(VLOOKUP(A365,PARTIDAS!A:F,6,FALSE()),0)</f>
        <v>6</v>
      </c>
      <c r="O365" s="247">
        <f t="shared" si="36"/>
        <v>1.15384615384615</v>
      </c>
      <c r="P365" s="247" t="str">
        <f>+_xlfn.XLOOKUP(A365,PPTO_GENERADOR!Q:Q,PPTO_GENERADOR!E:E,"-",0)</f>
        <v>-</v>
      </c>
      <c r="Q365" s="247">
        <f t="shared" si="37"/>
        <v>0</v>
      </c>
      <c r="R365" s="259" t="str">
        <f>+_xlfn.XLOOKUP(A365,PPTO_GENERADOR!$Q:$Q,PPTO_GENERADOR!A:A,"-",0)</f>
        <v>-</v>
      </c>
    </row>
    <row r="366" spans="1:18" ht="15" customHeight="1" x14ac:dyDescent="0.35">
      <c r="A366" s="38" t="s">
        <v>2540</v>
      </c>
      <c r="B366" s="38" t="s">
        <v>2774</v>
      </c>
      <c r="C366" s="38" t="s">
        <v>2775</v>
      </c>
      <c r="D366" s="38" t="s">
        <v>763</v>
      </c>
      <c r="E366" s="44" t="str">
        <f>IFERROR(VLOOKUP(D366,MATERIALES!A:B,2,FALSE()),"?")</f>
        <v>Masilla x 32kg</v>
      </c>
      <c r="F366" s="44" t="str">
        <f>IFERROR(VLOOKUP(D366,MATERIALES!A:C,3,FALSE()),"?")</f>
        <v>u</v>
      </c>
      <c r="G366" s="45">
        <v>5.6300000000000003E-2</v>
      </c>
      <c r="H366" s="46">
        <v>0.05</v>
      </c>
      <c r="I366" s="47">
        <f>IFERROR(VLOOKUP(D366,MATERIALES!A:D,4,FALSE()),0)</f>
        <v>26872.02</v>
      </c>
      <c r="J366" s="42">
        <f t="shared" si="40"/>
        <v>1588.5394623</v>
      </c>
      <c r="K366" s="15" t="str">
        <f t="shared" si="34"/>
        <v>DUR-065|MAT</v>
      </c>
      <c r="L366" s="15">
        <f>COUNTIFS($K$2:K366,K366)</f>
        <v>3</v>
      </c>
      <c r="M366" s="15" t="str">
        <f t="shared" si="35"/>
        <v>DUR-065|MAT|3</v>
      </c>
      <c r="N366" s="47">
        <f>IFERROR(VLOOKUP(A366,PARTIDAS!A:F,6,FALSE()),0)</f>
        <v>6</v>
      </c>
      <c r="O366" s="247">
        <f t="shared" si="36"/>
        <v>5.6300000000000003E-2</v>
      </c>
      <c r="P366" s="247" t="str">
        <f>+_xlfn.XLOOKUP(A366,PPTO_GENERADOR!Q:Q,PPTO_GENERADOR!E:E,"-",0)</f>
        <v>-</v>
      </c>
      <c r="Q366" s="247">
        <f t="shared" si="37"/>
        <v>0</v>
      </c>
      <c r="R366" s="259" t="str">
        <f>+_xlfn.XLOOKUP(A366,PPTO_GENERADOR!$Q:$Q,PPTO_GENERADOR!A:A,"-",0)</f>
        <v>-</v>
      </c>
    </row>
    <row r="367" spans="1:18" ht="15" customHeight="1" x14ac:dyDescent="0.35">
      <c r="A367" s="38" t="s">
        <v>2540</v>
      </c>
      <c r="B367" s="38" t="s">
        <v>2774</v>
      </c>
      <c r="C367" s="38" t="s">
        <v>2775</v>
      </c>
      <c r="D367" s="38" t="s">
        <v>775</v>
      </c>
      <c r="E367" s="44" t="str">
        <f>IFERROR(VLOOKUP(D367,MATERIALES!A:B,2,FALSE()),"?")</f>
        <v>Lana De Vidrio 40mm X 21,6m2 Alta Densidad</v>
      </c>
      <c r="F367" s="44" t="str">
        <f>IFERROR(VLOOKUP(D367,MATERIALES!A:C,3,FALSE()),"?")</f>
        <v>u</v>
      </c>
      <c r="G367" s="45">
        <v>4.6296296296296301E-2</v>
      </c>
      <c r="H367" s="46">
        <v>0.1</v>
      </c>
      <c r="I367" s="47">
        <f>IFERROR(VLOOKUP(D367,MATERIALES!A:D,4,FALSE()),0)</f>
        <v>97970.9</v>
      </c>
      <c r="J367" s="42">
        <f t="shared" si="40"/>
        <v>4989.2587962962971</v>
      </c>
      <c r="K367" s="15" t="str">
        <f t="shared" si="34"/>
        <v>DUR-065|MAT</v>
      </c>
      <c r="L367" s="15">
        <f>COUNTIFS($K$2:K367,K367)</f>
        <v>4</v>
      </c>
      <c r="M367" s="15" t="str">
        <f t="shared" si="35"/>
        <v>DUR-065|MAT|4</v>
      </c>
      <c r="N367" s="47">
        <f>IFERROR(VLOOKUP(A367,PARTIDAS!A:F,6,FALSE()),0)</f>
        <v>6</v>
      </c>
      <c r="O367" s="247">
        <f t="shared" si="36"/>
        <v>4.6296296296296301E-2</v>
      </c>
      <c r="P367" s="247" t="str">
        <f>+_xlfn.XLOOKUP(A367,PPTO_GENERADOR!Q:Q,PPTO_GENERADOR!E:E,"-",0)</f>
        <v>-</v>
      </c>
      <c r="Q367" s="247">
        <f t="shared" si="37"/>
        <v>0</v>
      </c>
      <c r="R367" s="259" t="str">
        <f>+_xlfn.XLOOKUP(A367,PPTO_GENERADOR!$Q:$Q,PPTO_GENERADOR!A:A,"-",0)</f>
        <v>-</v>
      </c>
    </row>
    <row r="368" spans="1:18" ht="15" customHeight="1" x14ac:dyDescent="0.35">
      <c r="A368" s="38" t="s">
        <v>2540</v>
      </c>
      <c r="B368" s="38" t="s">
        <v>2774</v>
      </c>
      <c r="C368" s="38" t="s">
        <v>2775</v>
      </c>
      <c r="D368" s="38" t="s">
        <v>749</v>
      </c>
      <c r="E368" s="44" t="str">
        <f>IFERROR(VLOOKUP(D368,MATERIALES!A:B,2,FALSE()),"?")</f>
        <v>Tornillo T1 - Aguja</v>
      </c>
      <c r="F368" s="44" t="str">
        <f>IFERROR(VLOOKUP(D368,MATERIALES!A:C,3,FALSE()),"?")</f>
        <v>u</v>
      </c>
      <c r="G368" s="45">
        <v>10</v>
      </c>
      <c r="H368" s="46">
        <v>0.05</v>
      </c>
      <c r="I368" s="47">
        <f>IFERROR(VLOOKUP(D368,MATERIALES!A:D,4,FALSE()),0)</f>
        <v>32.707173553719002</v>
      </c>
      <c r="J368" s="42">
        <f t="shared" si="40"/>
        <v>343.42532231404954</v>
      </c>
      <c r="K368" s="15" t="str">
        <f t="shared" si="34"/>
        <v>DUR-065|MAT</v>
      </c>
      <c r="L368" s="15">
        <f>COUNTIFS($K$2:K368,K368)</f>
        <v>5</v>
      </c>
      <c r="M368" s="15" t="str">
        <f t="shared" si="35"/>
        <v>DUR-065|MAT|5</v>
      </c>
      <c r="N368" s="47">
        <f>IFERROR(VLOOKUP(A368,PARTIDAS!A:F,6,FALSE()),0)</f>
        <v>6</v>
      </c>
      <c r="O368" s="247">
        <f t="shared" si="36"/>
        <v>10</v>
      </c>
      <c r="P368" s="247" t="str">
        <f>+_xlfn.XLOOKUP(A368,PPTO_GENERADOR!Q:Q,PPTO_GENERADOR!E:E,"-",0)</f>
        <v>-</v>
      </c>
      <c r="Q368" s="247">
        <f t="shared" si="37"/>
        <v>0</v>
      </c>
      <c r="R368" s="259" t="str">
        <f>+_xlfn.XLOOKUP(A368,PPTO_GENERADOR!$Q:$Q,PPTO_GENERADOR!A:A,"-",0)</f>
        <v>-</v>
      </c>
    </row>
    <row r="369" spans="1:18" ht="15" customHeight="1" x14ac:dyDescent="0.35">
      <c r="A369" s="38" t="s">
        <v>2540</v>
      </c>
      <c r="B369" s="38" t="s">
        <v>2774</v>
      </c>
      <c r="C369" s="38" t="s">
        <v>2775</v>
      </c>
      <c r="D369" s="38" t="s">
        <v>752</v>
      </c>
      <c r="E369" s="44" t="str">
        <f>IFERROR(VLOOKUP(D369,MATERIALES!A:B,2,FALSE()),"?")</f>
        <v>Tornillo T2 - Aguja</v>
      </c>
      <c r="F369" s="44" t="str">
        <f>IFERROR(VLOOKUP(D369,MATERIALES!A:C,3,FALSE()),"?")</f>
        <v>u</v>
      </c>
      <c r="G369" s="45">
        <v>15</v>
      </c>
      <c r="H369" s="46">
        <v>0.05</v>
      </c>
      <c r="I369" s="47">
        <f>IFERROR(VLOOKUP(D369,MATERIALES!A:D,4,FALSE()),0)</f>
        <v>17.1963177226814</v>
      </c>
      <c r="J369" s="42">
        <f t="shared" si="40"/>
        <v>270.84200413223209</v>
      </c>
      <c r="K369" s="15" t="str">
        <f t="shared" si="34"/>
        <v>DUR-065|MAT</v>
      </c>
      <c r="L369" s="15">
        <f>COUNTIFS($K$2:K369,K369)</f>
        <v>6</v>
      </c>
      <c r="M369" s="15" t="str">
        <f t="shared" si="35"/>
        <v>DUR-065|MAT|6</v>
      </c>
      <c r="N369" s="47">
        <f>IFERROR(VLOOKUP(A369,PARTIDAS!A:F,6,FALSE()),0)</f>
        <v>6</v>
      </c>
      <c r="O369" s="247">
        <f t="shared" si="36"/>
        <v>15</v>
      </c>
      <c r="P369" s="247" t="str">
        <f>+_xlfn.XLOOKUP(A369,PPTO_GENERADOR!Q:Q,PPTO_GENERADOR!E:E,"-",0)</f>
        <v>-</v>
      </c>
      <c r="Q369" s="247">
        <f t="shared" si="37"/>
        <v>0</v>
      </c>
      <c r="R369" s="259" t="str">
        <f>+_xlfn.XLOOKUP(A369,PPTO_GENERADOR!$Q:$Q,PPTO_GENERADOR!A:A,"-",0)</f>
        <v>-</v>
      </c>
    </row>
    <row r="370" spans="1:18" ht="15" customHeight="1" x14ac:dyDescent="0.35">
      <c r="A370" s="38" t="s">
        <v>2540</v>
      </c>
      <c r="B370" s="38" t="s">
        <v>2774</v>
      </c>
      <c r="C370" s="38" t="s">
        <v>2775</v>
      </c>
      <c r="D370" s="38" t="s">
        <v>754</v>
      </c>
      <c r="E370" s="44" t="str">
        <f>IFERROR(VLOOKUP(D370,MATERIALES!A:B,2,FALSE()),"?")</f>
        <v>Tornillo T3 - Aguja</v>
      </c>
      <c r="F370" s="44" t="str">
        <f>IFERROR(VLOOKUP(D370,MATERIALES!A:C,3,FALSE()),"?")</f>
        <v>u</v>
      </c>
      <c r="G370" s="45">
        <v>30</v>
      </c>
      <c r="H370" s="46">
        <v>0.05</v>
      </c>
      <c r="I370" s="47">
        <f>IFERROR(VLOOKUP(D370,MATERIALES!A:D,4,FALSE()),0)</f>
        <v>41.375227272727301</v>
      </c>
      <c r="J370" s="42">
        <f t="shared" si="40"/>
        <v>1303.3196590909099</v>
      </c>
      <c r="K370" s="15" t="str">
        <f t="shared" si="34"/>
        <v>DUR-065|MAT</v>
      </c>
      <c r="L370" s="15">
        <f>COUNTIFS($K$2:K370,K370)</f>
        <v>7</v>
      </c>
      <c r="M370" s="15" t="str">
        <f t="shared" si="35"/>
        <v>DUR-065|MAT|7</v>
      </c>
      <c r="N370" s="47">
        <f>IFERROR(VLOOKUP(A370,PARTIDAS!A:F,6,FALSE()),0)</f>
        <v>6</v>
      </c>
      <c r="O370" s="247">
        <f t="shared" si="36"/>
        <v>30</v>
      </c>
      <c r="P370" s="247" t="str">
        <f>+_xlfn.XLOOKUP(A370,PPTO_GENERADOR!Q:Q,PPTO_GENERADOR!E:E,"-",0)</f>
        <v>-</v>
      </c>
      <c r="Q370" s="247">
        <f t="shared" si="37"/>
        <v>0</v>
      </c>
      <c r="R370" s="259" t="str">
        <f>+_xlfn.XLOOKUP(A370,PPTO_GENERADOR!$Q:$Q,PPTO_GENERADOR!A:A,"-",0)</f>
        <v>-</v>
      </c>
    </row>
    <row r="371" spans="1:18" ht="15" customHeight="1" x14ac:dyDescent="0.35">
      <c r="A371" s="38" t="s">
        <v>2540</v>
      </c>
      <c r="B371" s="38" t="s">
        <v>2774</v>
      </c>
      <c r="C371" s="38" t="s">
        <v>2775</v>
      </c>
      <c r="D371" s="38" t="s">
        <v>756</v>
      </c>
      <c r="E371" s="44" t="str">
        <f>IFERROR(VLOOKUP(D371,MATERIALES!A:B,2,FALSE()),"?")</f>
        <v>Fijacion completa del 8</v>
      </c>
      <c r="F371" s="44" t="str">
        <f>IFERROR(VLOOKUP(D371,MATERIALES!A:C,3,FALSE()),"?")</f>
        <v>u</v>
      </c>
      <c r="G371" s="45">
        <v>3.5</v>
      </c>
      <c r="H371" s="46">
        <v>0.05</v>
      </c>
      <c r="I371" s="47">
        <f>IFERROR(VLOOKUP(D371,MATERIALES!A:D,4,FALSE()),0)</f>
        <v>65.919008264462803</v>
      </c>
      <c r="J371" s="42">
        <f t="shared" si="40"/>
        <v>242.25235537190079</v>
      </c>
      <c r="K371" s="15" t="str">
        <f t="shared" si="34"/>
        <v>DUR-065|MAT</v>
      </c>
      <c r="L371" s="15">
        <f>COUNTIFS($K$2:K371,K371)</f>
        <v>8</v>
      </c>
      <c r="M371" s="15" t="str">
        <f t="shared" si="35"/>
        <v>DUR-065|MAT|8</v>
      </c>
      <c r="N371" s="47">
        <f>IFERROR(VLOOKUP(A371,PARTIDAS!A:F,6,FALSE()),0)</f>
        <v>6</v>
      </c>
      <c r="O371" s="247">
        <f t="shared" si="36"/>
        <v>3.5</v>
      </c>
      <c r="P371" s="247" t="str">
        <f>+_xlfn.XLOOKUP(A371,PPTO_GENERADOR!Q:Q,PPTO_GENERADOR!E:E,"-",0)</f>
        <v>-</v>
      </c>
      <c r="Q371" s="247">
        <f t="shared" si="37"/>
        <v>0</v>
      </c>
      <c r="R371" s="259" t="str">
        <f>+_xlfn.XLOOKUP(A371,PPTO_GENERADOR!$Q:$Q,PPTO_GENERADOR!A:A,"-",0)</f>
        <v>-</v>
      </c>
    </row>
    <row r="372" spans="1:18" ht="15" customHeight="1" x14ac:dyDescent="0.35">
      <c r="A372" s="38" t="s">
        <v>2540</v>
      </c>
      <c r="B372" s="38" t="s">
        <v>2774</v>
      </c>
      <c r="C372" s="38" t="s">
        <v>2775</v>
      </c>
      <c r="D372" s="38" t="s">
        <v>758</v>
      </c>
      <c r="E372" s="44" t="str">
        <f>IFERROR(VLOOKUP(D372,MATERIALES!A:B,2,FALSE()),"?")</f>
        <v>Cinta Entramada - 90m</v>
      </c>
      <c r="F372" s="44" t="str">
        <f>IFERROR(VLOOKUP(D372,MATERIALES!A:C,3,FALSE()),"?")</f>
        <v>u</v>
      </c>
      <c r="G372" s="45">
        <v>0.04</v>
      </c>
      <c r="H372" s="46">
        <v>0.05</v>
      </c>
      <c r="I372" s="47">
        <f>IFERROR(VLOOKUP(D372,MATERIALES!A:D,4,FALSE()),0)</f>
        <v>4042.71</v>
      </c>
      <c r="J372" s="42">
        <f t="shared" si="40"/>
        <v>169.79382000000001</v>
      </c>
      <c r="K372" s="15" t="str">
        <f t="shared" si="34"/>
        <v>DUR-065|MAT</v>
      </c>
      <c r="L372" s="15">
        <f>COUNTIFS($K$2:K372,K372)</f>
        <v>9</v>
      </c>
      <c r="M372" s="15" t="str">
        <f t="shared" si="35"/>
        <v>DUR-065|MAT|9</v>
      </c>
      <c r="N372" s="47">
        <f>IFERROR(VLOOKUP(A372,PARTIDAS!A:F,6,FALSE()),0)</f>
        <v>6</v>
      </c>
      <c r="O372" s="247">
        <f t="shared" si="36"/>
        <v>0.04</v>
      </c>
      <c r="P372" s="247" t="str">
        <f>+_xlfn.XLOOKUP(A372,PPTO_GENERADOR!Q:Q,PPTO_GENERADOR!E:E,"-",0)</f>
        <v>-</v>
      </c>
      <c r="Q372" s="247">
        <f t="shared" si="37"/>
        <v>0</v>
      </c>
      <c r="R372" s="259" t="str">
        <f>+_xlfn.XLOOKUP(A372,PPTO_GENERADOR!$Q:$Q,PPTO_GENERADOR!A:A,"-",0)</f>
        <v>-</v>
      </c>
    </row>
    <row r="373" spans="1:18" ht="15" customHeight="1" x14ac:dyDescent="0.35">
      <c r="A373" s="38" t="s">
        <v>2540</v>
      </c>
      <c r="B373" s="38" t="s">
        <v>2774</v>
      </c>
      <c r="C373" s="38" t="s">
        <v>2775</v>
      </c>
      <c r="D373" s="38" t="s">
        <v>765</v>
      </c>
      <c r="E373" s="44" t="str">
        <f>IFERROR(VLOOKUP(D373,MATERIALES!A:B,2,FALSE()),"?")</f>
        <v>Placa Roca de Yeso 1220 x 2440 - 12.5mm - STD</v>
      </c>
      <c r="F373" s="44" t="str">
        <f>IFERROR(VLOOKUP(D373,MATERIALES!A:C,3,FALSE()),"?")</f>
        <v>u</v>
      </c>
      <c r="G373" s="45">
        <v>1.42</v>
      </c>
      <c r="H373" s="46">
        <v>0.1</v>
      </c>
      <c r="I373" s="47">
        <f>IFERROR(VLOOKUP(D373,MATERIALES!A:D,4,FALSE()),0)</f>
        <v>10022.959999999999</v>
      </c>
      <c r="J373" s="42">
        <f t="shared" si="40"/>
        <v>15655.863519999999</v>
      </c>
      <c r="K373" s="15" t="str">
        <f t="shared" si="34"/>
        <v>DUR-065|MAT</v>
      </c>
      <c r="L373" s="15">
        <f>COUNTIFS($K$2:K373,K373)</f>
        <v>10</v>
      </c>
      <c r="M373" s="15" t="str">
        <f t="shared" si="35"/>
        <v>DUR-065|MAT|10</v>
      </c>
      <c r="N373" s="47">
        <f>IFERROR(VLOOKUP(A373,PARTIDAS!A:F,6,FALSE()),0)</f>
        <v>6</v>
      </c>
      <c r="O373" s="247">
        <f t="shared" si="36"/>
        <v>1.42</v>
      </c>
      <c r="P373" s="247" t="str">
        <f>+_xlfn.XLOOKUP(A373,PPTO_GENERADOR!Q:Q,PPTO_GENERADOR!E:E,"-",0)</f>
        <v>-</v>
      </c>
      <c r="Q373" s="247">
        <f t="shared" si="37"/>
        <v>0</v>
      </c>
      <c r="R373" s="259" t="str">
        <f>+_xlfn.XLOOKUP(A373,PPTO_GENERADOR!$Q:$Q,PPTO_GENERADOR!A:A,"-",0)</f>
        <v>-</v>
      </c>
    </row>
    <row r="374" spans="1:18" ht="15" customHeight="1" x14ac:dyDescent="0.35">
      <c r="A374" s="38" t="s">
        <v>2540</v>
      </c>
      <c r="B374" s="38" t="s">
        <v>2776</v>
      </c>
      <c r="C374" s="38" t="s">
        <v>2777</v>
      </c>
      <c r="D374" s="237" t="s">
        <v>1574</v>
      </c>
      <c r="E374" s="44" t="str">
        <f>IFERROR(VLOOKUP(D374,MANO_DE_OBRA!A:B,2,FALSE()),"?")</f>
        <v>MEDIO OFICIAL</v>
      </c>
      <c r="F374" s="44" t="s">
        <v>2778</v>
      </c>
      <c r="G374" s="45">
        <v>1</v>
      </c>
      <c r="H374" s="46">
        <v>0</v>
      </c>
      <c r="I374" s="47">
        <f>IFERROR(VLOOKUP(D374,MANO_DE_OBRA!A:C,3,FALSE()),0)</f>
        <v>65493.071636572</v>
      </c>
      <c r="J374" s="42">
        <f>G374*I374</f>
        <v>65493.071636572</v>
      </c>
      <c r="K374" s="15" t="str">
        <f t="shared" si="34"/>
        <v>DUR-065|MO</v>
      </c>
      <c r="L374" s="15">
        <f>COUNTIFS($K$2:K374,K374)</f>
        <v>1</v>
      </c>
      <c r="M374" s="15" t="str">
        <f t="shared" si="35"/>
        <v>DUR-065|MO|1</v>
      </c>
      <c r="N374" s="47">
        <f>IFERROR(VLOOKUP(A374,PARTIDAS!A:F,6,FALSE()),0)</f>
        <v>6</v>
      </c>
      <c r="O374" s="247">
        <f t="shared" si="36"/>
        <v>0.16666666666666666</v>
      </c>
      <c r="P374" s="247" t="str">
        <f>+_xlfn.XLOOKUP(A374,PPTO_GENERADOR!Q:Q,PPTO_GENERADOR!E:E,"-",0)</f>
        <v>-</v>
      </c>
      <c r="Q374" s="247">
        <f t="shared" si="37"/>
        <v>0</v>
      </c>
      <c r="R374" s="259" t="str">
        <f>+_xlfn.XLOOKUP(A374,PPTO_GENERADOR!$Q:$Q,PPTO_GENERADOR!A:A,"-",0)</f>
        <v>-</v>
      </c>
    </row>
    <row r="375" spans="1:18" ht="15" customHeight="1" x14ac:dyDescent="0.35">
      <c r="A375" s="38" t="s">
        <v>2540</v>
      </c>
      <c r="B375" s="38" t="s">
        <v>2776</v>
      </c>
      <c r="C375" s="38" t="s">
        <v>2777</v>
      </c>
      <c r="D375" s="237" t="s">
        <v>1568</v>
      </c>
      <c r="E375" s="44" t="str">
        <f>IFERROR(VLOOKUP(D375,MANO_DE_OBRA!A:B,2,FALSE()),"?")</f>
        <v>ESPECIALIZADO</v>
      </c>
      <c r="F375" s="44" t="s">
        <v>2778</v>
      </c>
      <c r="G375" s="45">
        <v>1</v>
      </c>
      <c r="H375" s="46">
        <v>0</v>
      </c>
      <c r="I375" s="47">
        <f>IFERROR(VLOOKUP(D375,MANO_DE_OBRA!A:C,3,FALSE()),0)</f>
        <v>85927.097156571996</v>
      </c>
      <c r="J375" s="42">
        <f>G375*I375</f>
        <v>85927.097156571996</v>
      </c>
      <c r="K375" s="15" t="str">
        <f t="shared" si="34"/>
        <v>DUR-065|MO</v>
      </c>
      <c r="L375" s="15">
        <f>COUNTIFS($K$2:K375,K375)</f>
        <v>2</v>
      </c>
      <c r="M375" s="15" t="str">
        <f t="shared" si="35"/>
        <v>DUR-065|MO|2</v>
      </c>
      <c r="N375" s="47">
        <f>IFERROR(VLOOKUP(A375,PARTIDAS!A:F,6,FALSE()),0)</f>
        <v>6</v>
      </c>
      <c r="O375" s="247">
        <f t="shared" si="36"/>
        <v>0.16666666666666666</v>
      </c>
      <c r="P375" s="247" t="str">
        <f>+_xlfn.XLOOKUP(A375,PPTO_GENERADOR!Q:Q,PPTO_GENERADOR!E:E,"-",0)</f>
        <v>-</v>
      </c>
      <c r="Q375" s="247">
        <f t="shared" si="37"/>
        <v>0</v>
      </c>
      <c r="R375" s="259" t="str">
        <f>+_xlfn.XLOOKUP(A375,PPTO_GENERADOR!$Q:$Q,PPTO_GENERADOR!A:A,"-",0)</f>
        <v>-</v>
      </c>
    </row>
    <row r="376" spans="1:18" ht="15" customHeight="1" x14ac:dyDescent="0.35">
      <c r="A376" s="38" t="s">
        <v>2543</v>
      </c>
      <c r="B376" s="38" t="s">
        <v>2773</v>
      </c>
      <c r="C376" s="38"/>
      <c r="D376" s="38" t="s">
        <v>1744</v>
      </c>
      <c r="E376" s="44" t="str">
        <f>IFERROR(VLOOKUP(D376,EQUIPOS!A:B,2,FALSE()),"?")</f>
        <v>EQUIPO DE CONSTRUCCION EN SECO</v>
      </c>
      <c r="F376" s="44"/>
      <c r="G376" s="45">
        <v>1</v>
      </c>
      <c r="H376" s="46">
        <v>0</v>
      </c>
      <c r="I376" s="47">
        <f>IFERROR(VLOOKUP(D376,EQUIPOS!A:F,6,FALSE()),0)</f>
        <v>2365.2381485799501</v>
      </c>
      <c r="J376" s="42">
        <f>G376*I376</f>
        <v>2365.2381485799501</v>
      </c>
      <c r="K376" s="15" t="str">
        <f t="shared" si="34"/>
        <v>DUR-066|EQ</v>
      </c>
      <c r="L376" s="15">
        <f>COUNTIFS($K$2:K376,K376)</f>
        <v>1</v>
      </c>
      <c r="M376" s="15" t="str">
        <f t="shared" si="35"/>
        <v>DUR-066|EQ|1</v>
      </c>
      <c r="N376" s="47">
        <f>IFERROR(VLOOKUP(A376,PARTIDAS!A:F,6,FALSE()),0)</f>
        <v>11</v>
      </c>
      <c r="O376" s="247">
        <f t="shared" si="36"/>
        <v>1</v>
      </c>
      <c r="P376" s="247" t="str">
        <f>+_xlfn.XLOOKUP(A376,PPTO_GENERADOR!Q:Q,PPTO_GENERADOR!E:E,"-",0)</f>
        <v>-</v>
      </c>
      <c r="Q376" s="247">
        <f t="shared" si="37"/>
        <v>0</v>
      </c>
      <c r="R376" s="259" t="str">
        <f>+_xlfn.XLOOKUP(A376,PPTO_GENERADOR!$Q:$Q,PPTO_GENERADOR!A:A,"-",0)</f>
        <v>-</v>
      </c>
    </row>
    <row r="377" spans="1:18" ht="15" customHeight="1" x14ac:dyDescent="0.35">
      <c r="A377" s="38" t="s">
        <v>2543</v>
      </c>
      <c r="B377" s="38" t="s">
        <v>2773</v>
      </c>
      <c r="C377" s="38"/>
      <c r="D377" s="38" t="s">
        <v>1622</v>
      </c>
      <c r="E377" s="44" t="str">
        <f>IFERROR(VLOOKUP(D377,EQUIPOS!A:B,2,FALSE()),"?")</f>
        <v>ESCALERA GLOSS ALUMINIO ARTICULADA 4 X 4 ESCALONES HASTA 150KG</v>
      </c>
      <c r="F377" s="44"/>
      <c r="G377" s="45">
        <v>0.5</v>
      </c>
      <c r="H377" s="46">
        <v>0</v>
      </c>
      <c r="I377" s="47">
        <f>IFERROR(VLOOKUP(D377,EQUIPOS!A:F,6,FALSE()),0)</f>
        <v>140.19809259430903</v>
      </c>
      <c r="J377" s="42">
        <f>G377*I377</f>
        <v>70.099046297154516</v>
      </c>
      <c r="K377" s="15" t="str">
        <f t="shared" si="34"/>
        <v>DUR-066|EQ</v>
      </c>
      <c r="L377" s="15">
        <f>COUNTIFS($K$2:K377,K377)</f>
        <v>2</v>
      </c>
      <c r="M377" s="15" t="str">
        <f t="shared" si="35"/>
        <v>DUR-066|EQ|2</v>
      </c>
      <c r="N377" s="47">
        <f>IFERROR(VLOOKUP(A377,PARTIDAS!A:F,6,FALSE()),0)</f>
        <v>11</v>
      </c>
      <c r="O377" s="247">
        <f t="shared" si="36"/>
        <v>0.5</v>
      </c>
      <c r="P377" s="247" t="str">
        <f>+_xlfn.XLOOKUP(A377,PPTO_GENERADOR!Q:Q,PPTO_GENERADOR!E:E,"-",0)</f>
        <v>-</v>
      </c>
      <c r="Q377" s="247">
        <f t="shared" si="37"/>
        <v>0</v>
      </c>
      <c r="R377" s="259" t="str">
        <f>+_xlfn.XLOOKUP(A377,PPTO_GENERADOR!$Q:$Q,PPTO_GENERADOR!A:A,"-",0)</f>
        <v>-</v>
      </c>
    </row>
    <row r="378" spans="1:18" ht="15" customHeight="1" x14ac:dyDescent="0.35">
      <c r="A378" s="38" t="s">
        <v>2543</v>
      </c>
      <c r="B378" s="38" t="s">
        <v>2774</v>
      </c>
      <c r="C378" s="38" t="s">
        <v>2775</v>
      </c>
      <c r="D378" s="38" t="s">
        <v>740</v>
      </c>
      <c r="E378" s="44" t="str">
        <f>IFERROR(VLOOKUP(D378,MATERIALES!A:B,2,FALSE()),"?")</f>
        <v>Solera 70mm x 2.60m</v>
      </c>
      <c r="F378" s="44" t="str">
        <f>IFERROR(VLOOKUP(D378,MATERIALES!A:C,3,FALSE()),"?")</f>
        <v>u</v>
      </c>
      <c r="G378" s="45">
        <v>0.46153846153846201</v>
      </c>
      <c r="H378" s="46">
        <v>0.1</v>
      </c>
      <c r="I378" s="47">
        <f>IFERROR(VLOOKUP(D378,MATERIALES!A:D,4,FALSE()),0)</f>
        <v>2932.93</v>
      </c>
      <c r="J378" s="42">
        <f t="shared" ref="J378:J385" si="41">G378*I378*(1+H378)</f>
        <v>1489.0260000000014</v>
      </c>
      <c r="K378" s="15" t="str">
        <f t="shared" si="34"/>
        <v>DUR-066|MAT</v>
      </c>
      <c r="L378" s="15">
        <f>COUNTIFS($K$2:K378,K378)</f>
        <v>1</v>
      </c>
      <c r="M378" s="15" t="str">
        <f t="shared" si="35"/>
        <v>DUR-066|MAT|1</v>
      </c>
      <c r="N378" s="47">
        <f>IFERROR(VLOOKUP(A378,PARTIDAS!A:F,6,FALSE()),0)</f>
        <v>11</v>
      </c>
      <c r="O378" s="247">
        <f t="shared" si="36"/>
        <v>0.46153846153846201</v>
      </c>
      <c r="P378" s="247" t="str">
        <f>+_xlfn.XLOOKUP(A378,PPTO_GENERADOR!Q:Q,PPTO_GENERADOR!E:E,"-",0)</f>
        <v>-</v>
      </c>
      <c r="Q378" s="247">
        <f t="shared" si="37"/>
        <v>0</v>
      </c>
      <c r="R378" s="259" t="str">
        <f>+_xlfn.XLOOKUP(A378,PPTO_GENERADOR!$Q:$Q,PPTO_GENERADOR!A:A,"-",0)</f>
        <v>-</v>
      </c>
    </row>
    <row r="379" spans="1:18" ht="15" customHeight="1" x14ac:dyDescent="0.35">
      <c r="A379" s="38" t="s">
        <v>2543</v>
      </c>
      <c r="B379" s="38" t="s">
        <v>2774</v>
      </c>
      <c r="C379" s="38" t="s">
        <v>2775</v>
      </c>
      <c r="D379" s="38" t="s">
        <v>743</v>
      </c>
      <c r="E379" s="44" t="str">
        <f>IFERROR(VLOOKUP(D379,MATERIALES!A:B,2,FALSE()),"?")</f>
        <v>Montante 69mm x 2.60m</v>
      </c>
      <c r="F379" s="44" t="str">
        <f>IFERROR(VLOOKUP(D379,MATERIALES!A:C,3,FALSE()),"?")</f>
        <v>u</v>
      </c>
      <c r="G379" s="45">
        <v>1.15384615384615</v>
      </c>
      <c r="H379" s="46">
        <v>0.1</v>
      </c>
      <c r="I379" s="47">
        <f>IFERROR(VLOOKUP(D379,MATERIALES!A:D,4,FALSE()),0)</f>
        <v>3295.47</v>
      </c>
      <c r="J379" s="42">
        <f t="shared" si="41"/>
        <v>4182.7119230769085</v>
      </c>
      <c r="K379" s="15" t="str">
        <f t="shared" si="34"/>
        <v>DUR-066|MAT</v>
      </c>
      <c r="L379" s="15">
        <f>COUNTIFS($K$2:K379,K379)</f>
        <v>2</v>
      </c>
      <c r="M379" s="15" t="str">
        <f t="shared" si="35"/>
        <v>DUR-066|MAT|2</v>
      </c>
      <c r="N379" s="47">
        <f>IFERROR(VLOOKUP(A379,PARTIDAS!A:F,6,FALSE()),0)</f>
        <v>11</v>
      </c>
      <c r="O379" s="247">
        <f t="shared" si="36"/>
        <v>1.15384615384615</v>
      </c>
      <c r="P379" s="247" t="str">
        <f>+_xlfn.XLOOKUP(A379,PPTO_GENERADOR!Q:Q,PPTO_GENERADOR!E:E,"-",0)</f>
        <v>-</v>
      </c>
      <c r="Q379" s="247">
        <f t="shared" si="37"/>
        <v>0</v>
      </c>
      <c r="R379" s="259" t="str">
        <f>+_xlfn.XLOOKUP(A379,PPTO_GENERADOR!$Q:$Q,PPTO_GENERADOR!A:A,"-",0)</f>
        <v>-</v>
      </c>
    </row>
    <row r="380" spans="1:18" ht="15" customHeight="1" x14ac:dyDescent="0.35">
      <c r="A380" s="38" t="s">
        <v>2543</v>
      </c>
      <c r="B380" s="38" t="s">
        <v>2774</v>
      </c>
      <c r="C380" s="38" t="s">
        <v>2775</v>
      </c>
      <c r="D380" s="38" t="s">
        <v>763</v>
      </c>
      <c r="E380" s="44" t="str">
        <f>IFERROR(VLOOKUP(D380,MATERIALES!A:B,2,FALSE()),"?")</f>
        <v>Masilla x 32kg</v>
      </c>
      <c r="F380" s="44" t="str">
        <f>IFERROR(VLOOKUP(D380,MATERIALES!A:C,3,FALSE()),"?")</f>
        <v>u</v>
      </c>
      <c r="G380" s="45">
        <v>2.8125000000000001E-2</v>
      </c>
      <c r="H380" s="46">
        <v>0.1</v>
      </c>
      <c r="I380" s="47">
        <f>IFERROR(VLOOKUP(D380,MATERIALES!A:D,4,FALSE()),0)</f>
        <v>26872.02</v>
      </c>
      <c r="J380" s="42">
        <f t="shared" si="41"/>
        <v>831.35311875000002</v>
      </c>
      <c r="K380" s="15" t="str">
        <f t="shared" si="34"/>
        <v>DUR-066|MAT</v>
      </c>
      <c r="L380" s="15">
        <f>COUNTIFS($K$2:K380,K380)</f>
        <v>3</v>
      </c>
      <c r="M380" s="15" t="str">
        <f t="shared" si="35"/>
        <v>DUR-066|MAT|3</v>
      </c>
      <c r="N380" s="47">
        <f>IFERROR(VLOOKUP(A380,PARTIDAS!A:F,6,FALSE()),0)</f>
        <v>11</v>
      </c>
      <c r="O380" s="247">
        <f t="shared" si="36"/>
        <v>2.8125000000000001E-2</v>
      </c>
      <c r="P380" s="247" t="str">
        <f>+_xlfn.XLOOKUP(A380,PPTO_GENERADOR!Q:Q,PPTO_GENERADOR!E:E,"-",0)</f>
        <v>-</v>
      </c>
      <c r="Q380" s="247">
        <f t="shared" si="37"/>
        <v>0</v>
      </c>
      <c r="R380" s="259" t="str">
        <f>+_xlfn.XLOOKUP(A380,PPTO_GENERADOR!$Q:$Q,PPTO_GENERADOR!A:A,"-",0)</f>
        <v>-</v>
      </c>
    </row>
    <row r="381" spans="1:18" ht="15" customHeight="1" x14ac:dyDescent="0.35">
      <c r="A381" s="38" t="s">
        <v>2543</v>
      </c>
      <c r="B381" s="38" t="s">
        <v>2774</v>
      </c>
      <c r="C381" s="38" t="s">
        <v>2775</v>
      </c>
      <c r="D381" s="38" t="s">
        <v>749</v>
      </c>
      <c r="E381" s="44" t="str">
        <f>IFERROR(VLOOKUP(D381,MATERIALES!A:B,2,FALSE()),"?")</f>
        <v>Tornillo T1 - Aguja</v>
      </c>
      <c r="F381" s="44" t="str">
        <f>IFERROR(VLOOKUP(D381,MATERIALES!A:C,3,FALSE()),"?")</f>
        <v>u</v>
      </c>
      <c r="G381" s="45">
        <v>10</v>
      </c>
      <c r="H381" s="46">
        <v>0.1</v>
      </c>
      <c r="I381" s="47">
        <f>IFERROR(VLOOKUP(D381,MATERIALES!A:D,4,FALSE()),0)</f>
        <v>32.707173553719002</v>
      </c>
      <c r="J381" s="42">
        <f t="shared" si="41"/>
        <v>359.77890909090905</v>
      </c>
      <c r="K381" s="15" t="str">
        <f t="shared" si="34"/>
        <v>DUR-066|MAT</v>
      </c>
      <c r="L381" s="15">
        <f>COUNTIFS($K$2:K381,K381)</f>
        <v>4</v>
      </c>
      <c r="M381" s="15" t="str">
        <f t="shared" si="35"/>
        <v>DUR-066|MAT|4</v>
      </c>
      <c r="N381" s="47">
        <f>IFERROR(VLOOKUP(A381,PARTIDAS!A:F,6,FALSE()),0)</f>
        <v>11</v>
      </c>
      <c r="O381" s="247">
        <f t="shared" si="36"/>
        <v>10</v>
      </c>
      <c r="P381" s="247" t="str">
        <f>+_xlfn.XLOOKUP(A381,PPTO_GENERADOR!Q:Q,PPTO_GENERADOR!E:E,"-",0)</f>
        <v>-</v>
      </c>
      <c r="Q381" s="247">
        <f t="shared" si="37"/>
        <v>0</v>
      </c>
      <c r="R381" s="259" t="str">
        <f>+_xlfn.XLOOKUP(A381,PPTO_GENERADOR!$Q:$Q,PPTO_GENERADOR!A:A,"-",0)</f>
        <v>-</v>
      </c>
    </row>
    <row r="382" spans="1:18" ht="15" customHeight="1" x14ac:dyDescent="0.35">
      <c r="A382" s="38" t="s">
        <v>2543</v>
      </c>
      <c r="B382" s="38" t="s">
        <v>2774</v>
      </c>
      <c r="C382" s="38" t="s">
        <v>2775</v>
      </c>
      <c r="D382" s="38" t="s">
        <v>752</v>
      </c>
      <c r="E382" s="44" t="str">
        <f>IFERROR(VLOOKUP(D382,MATERIALES!A:B,2,FALSE()),"?")</f>
        <v>Tornillo T2 - Aguja</v>
      </c>
      <c r="F382" s="44" t="str">
        <f>IFERROR(VLOOKUP(D382,MATERIALES!A:C,3,FALSE()),"?")</f>
        <v>u</v>
      </c>
      <c r="G382" s="45">
        <v>15</v>
      </c>
      <c r="H382" s="46">
        <v>0.1</v>
      </c>
      <c r="I382" s="47">
        <f>IFERROR(VLOOKUP(D382,MATERIALES!A:D,4,FALSE()),0)</f>
        <v>17.1963177226814</v>
      </c>
      <c r="J382" s="42">
        <f t="shared" si="41"/>
        <v>283.73924242424312</v>
      </c>
      <c r="K382" s="15" t="str">
        <f t="shared" si="34"/>
        <v>DUR-066|MAT</v>
      </c>
      <c r="L382" s="15">
        <f>COUNTIFS($K$2:K382,K382)</f>
        <v>5</v>
      </c>
      <c r="M382" s="15" t="str">
        <f t="shared" si="35"/>
        <v>DUR-066|MAT|5</v>
      </c>
      <c r="N382" s="47">
        <f>IFERROR(VLOOKUP(A382,PARTIDAS!A:F,6,FALSE()),0)</f>
        <v>11</v>
      </c>
      <c r="O382" s="247">
        <f t="shared" si="36"/>
        <v>15</v>
      </c>
      <c r="P382" s="247" t="str">
        <f>+_xlfn.XLOOKUP(A382,PPTO_GENERADOR!Q:Q,PPTO_GENERADOR!E:E,"-",0)</f>
        <v>-</v>
      </c>
      <c r="Q382" s="247">
        <f t="shared" si="37"/>
        <v>0</v>
      </c>
      <c r="R382" s="259" t="str">
        <f>+_xlfn.XLOOKUP(A382,PPTO_GENERADOR!$Q:$Q,PPTO_GENERADOR!A:A,"-",0)</f>
        <v>-</v>
      </c>
    </row>
    <row r="383" spans="1:18" ht="15" customHeight="1" x14ac:dyDescent="0.35">
      <c r="A383" s="38" t="s">
        <v>2543</v>
      </c>
      <c r="B383" s="38" t="s">
        <v>2774</v>
      </c>
      <c r="C383" s="38" t="s">
        <v>2775</v>
      </c>
      <c r="D383" s="38" t="s">
        <v>756</v>
      </c>
      <c r="E383" s="44" t="str">
        <f>IFERROR(VLOOKUP(D383,MATERIALES!A:B,2,FALSE()),"?")</f>
        <v>Fijacion completa del 8</v>
      </c>
      <c r="F383" s="44" t="str">
        <f>IFERROR(VLOOKUP(D383,MATERIALES!A:C,3,FALSE()),"?")</f>
        <v>u</v>
      </c>
      <c r="G383" s="45">
        <v>3.5</v>
      </c>
      <c r="H383" s="46">
        <v>0.1</v>
      </c>
      <c r="I383" s="47">
        <f>IFERROR(VLOOKUP(D383,MATERIALES!A:D,4,FALSE()),0)</f>
        <v>65.919008264462803</v>
      </c>
      <c r="J383" s="42">
        <f t="shared" si="41"/>
        <v>253.78818181818181</v>
      </c>
      <c r="K383" s="15" t="str">
        <f t="shared" si="34"/>
        <v>DUR-066|MAT</v>
      </c>
      <c r="L383" s="15">
        <f>COUNTIFS($K$2:K383,K383)</f>
        <v>6</v>
      </c>
      <c r="M383" s="15" t="str">
        <f t="shared" si="35"/>
        <v>DUR-066|MAT|6</v>
      </c>
      <c r="N383" s="47">
        <f>IFERROR(VLOOKUP(A383,PARTIDAS!A:F,6,FALSE()),0)</f>
        <v>11</v>
      </c>
      <c r="O383" s="247">
        <f t="shared" si="36"/>
        <v>3.5</v>
      </c>
      <c r="P383" s="247" t="str">
        <f>+_xlfn.XLOOKUP(A383,PPTO_GENERADOR!Q:Q,PPTO_GENERADOR!E:E,"-",0)</f>
        <v>-</v>
      </c>
      <c r="Q383" s="247">
        <f t="shared" si="37"/>
        <v>0</v>
      </c>
      <c r="R383" s="259" t="str">
        <f>+_xlfn.XLOOKUP(A383,PPTO_GENERADOR!$Q:$Q,PPTO_GENERADOR!A:A,"-",0)</f>
        <v>-</v>
      </c>
    </row>
    <row r="384" spans="1:18" ht="15" customHeight="1" x14ac:dyDescent="0.35">
      <c r="A384" s="38" t="s">
        <v>2543</v>
      </c>
      <c r="B384" s="38" t="s">
        <v>2774</v>
      </c>
      <c r="C384" s="38" t="s">
        <v>2775</v>
      </c>
      <c r="D384" s="38" t="s">
        <v>758</v>
      </c>
      <c r="E384" s="44" t="str">
        <f>IFERROR(VLOOKUP(D384,MATERIALES!A:B,2,FALSE()),"?")</f>
        <v>Cinta Entramada - 90m</v>
      </c>
      <c r="F384" s="44" t="str">
        <f>IFERROR(VLOOKUP(D384,MATERIALES!A:C,3,FALSE()),"?")</f>
        <v>u</v>
      </c>
      <c r="G384" s="45">
        <v>0.02</v>
      </c>
      <c r="H384" s="46">
        <v>0.1</v>
      </c>
      <c r="I384" s="47">
        <f>IFERROR(VLOOKUP(D384,MATERIALES!A:D,4,FALSE()),0)</f>
        <v>4042.71</v>
      </c>
      <c r="J384" s="42">
        <f t="shared" si="41"/>
        <v>88.939620000000019</v>
      </c>
      <c r="K384" s="15" t="str">
        <f t="shared" si="34"/>
        <v>DUR-066|MAT</v>
      </c>
      <c r="L384" s="15">
        <f>COUNTIFS($K$2:K384,K384)</f>
        <v>7</v>
      </c>
      <c r="M384" s="15" t="str">
        <f t="shared" si="35"/>
        <v>DUR-066|MAT|7</v>
      </c>
      <c r="N384" s="47">
        <f>IFERROR(VLOOKUP(A384,PARTIDAS!A:F,6,FALSE()),0)</f>
        <v>11</v>
      </c>
      <c r="O384" s="247">
        <f t="shared" si="36"/>
        <v>0.02</v>
      </c>
      <c r="P384" s="247" t="str">
        <f>+_xlfn.XLOOKUP(A384,PPTO_GENERADOR!Q:Q,PPTO_GENERADOR!E:E,"-",0)</f>
        <v>-</v>
      </c>
      <c r="Q384" s="247">
        <f t="shared" si="37"/>
        <v>0</v>
      </c>
      <c r="R384" s="259" t="str">
        <f>+_xlfn.XLOOKUP(A384,PPTO_GENERADOR!$Q:$Q,PPTO_GENERADOR!A:A,"-",0)</f>
        <v>-</v>
      </c>
    </row>
    <row r="385" spans="1:18" ht="15" customHeight="1" x14ac:dyDescent="0.35">
      <c r="A385" s="38" t="s">
        <v>2543</v>
      </c>
      <c r="B385" s="38" t="s">
        <v>2774</v>
      </c>
      <c r="C385" s="38" t="s">
        <v>2775</v>
      </c>
      <c r="D385" s="38" t="s">
        <v>765</v>
      </c>
      <c r="E385" s="44" t="str">
        <f>IFERROR(VLOOKUP(D385,MATERIALES!A:B,2,FALSE()),"?")</f>
        <v>Placa Roca de Yeso 1220 x 2440 - 12.5mm - STD</v>
      </c>
      <c r="F385" s="44" t="str">
        <f>IFERROR(VLOOKUP(D385,MATERIALES!A:C,3,FALSE()),"?")</f>
        <v>u</v>
      </c>
      <c r="G385" s="45">
        <v>0.36</v>
      </c>
      <c r="H385" s="46">
        <v>0.1</v>
      </c>
      <c r="I385" s="47">
        <f>IFERROR(VLOOKUP(D385,MATERIALES!A:D,4,FALSE()),0)</f>
        <v>10022.959999999999</v>
      </c>
      <c r="J385" s="42">
        <f t="shared" si="41"/>
        <v>3969.0921600000001</v>
      </c>
      <c r="K385" s="15" t="str">
        <f t="shared" si="34"/>
        <v>DUR-066|MAT</v>
      </c>
      <c r="L385" s="15">
        <f>COUNTIFS($K$2:K385,K385)</f>
        <v>8</v>
      </c>
      <c r="M385" s="15" t="str">
        <f t="shared" si="35"/>
        <v>DUR-066|MAT|8</v>
      </c>
      <c r="N385" s="47">
        <f>IFERROR(VLOOKUP(A385,PARTIDAS!A:F,6,FALSE()),0)</f>
        <v>11</v>
      </c>
      <c r="O385" s="247">
        <f t="shared" si="36"/>
        <v>0.36</v>
      </c>
      <c r="P385" s="247" t="str">
        <f>+_xlfn.XLOOKUP(A385,PPTO_GENERADOR!Q:Q,PPTO_GENERADOR!E:E,"-",0)</f>
        <v>-</v>
      </c>
      <c r="Q385" s="247">
        <f t="shared" si="37"/>
        <v>0</v>
      </c>
      <c r="R385" s="259" t="str">
        <f>+_xlfn.XLOOKUP(A385,PPTO_GENERADOR!$Q:$Q,PPTO_GENERADOR!A:A,"-",0)</f>
        <v>-</v>
      </c>
    </row>
    <row r="386" spans="1:18" ht="15" customHeight="1" x14ac:dyDescent="0.35">
      <c r="A386" s="38" t="s">
        <v>2543</v>
      </c>
      <c r="B386" s="38" t="s">
        <v>2776</v>
      </c>
      <c r="C386" s="38" t="s">
        <v>2777</v>
      </c>
      <c r="D386" s="237" t="s">
        <v>1574</v>
      </c>
      <c r="E386" s="44" t="str">
        <f>IFERROR(VLOOKUP(D386,MANO_DE_OBRA!A:B,2,FALSE()),"?")</f>
        <v>MEDIO OFICIAL</v>
      </c>
      <c r="F386" s="44" t="s">
        <v>2778</v>
      </c>
      <c r="G386" s="45">
        <v>1</v>
      </c>
      <c r="H386" s="46">
        <v>0</v>
      </c>
      <c r="I386" s="47">
        <f>IFERROR(VLOOKUP(D386,MANO_DE_OBRA!A:C,3,FALSE()),0)</f>
        <v>65493.071636572</v>
      </c>
      <c r="J386" s="42">
        <f>G386*I386</f>
        <v>65493.071636572</v>
      </c>
      <c r="K386" s="15" t="str">
        <f t="shared" ref="K386:K449" si="42">A386&amp;"|"&amp;B386</f>
        <v>DUR-066|MO</v>
      </c>
      <c r="L386" s="15">
        <f>COUNTIFS($K$2:K386,K386)</f>
        <v>1</v>
      </c>
      <c r="M386" s="15" t="str">
        <f t="shared" ref="M386:M449" si="43">K386&amp;"|"&amp;L386</f>
        <v>DUR-066|MO|1</v>
      </c>
      <c r="N386" s="47">
        <f>IFERROR(VLOOKUP(A386,PARTIDAS!A:F,6,FALSE()),0)</f>
        <v>11</v>
      </c>
      <c r="O386" s="247">
        <f t="shared" si="36"/>
        <v>9.0909090909090912E-2</v>
      </c>
      <c r="P386" s="247" t="str">
        <f>+_xlfn.XLOOKUP(A386,PPTO_GENERADOR!Q:Q,PPTO_GENERADOR!E:E,"-",0)</f>
        <v>-</v>
      </c>
      <c r="Q386" s="247">
        <f t="shared" si="37"/>
        <v>0</v>
      </c>
      <c r="R386" s="259" t="str">
        <f>+_xlfn.XLOOKUP(A386,PPTO_GENERADOR!$Q:$Q,PPTO_GENERADOR!A:A,"-",0)</f>
        <v>-</v>
      </c>
    </row>
    <row r="387" spans="1:18" ht="15" customHeight="1" x14ac:dyDescent="0.35">
      <c r="A387" s="38" t="s">
        <v>2543</v>
      </c>
      <c r="B387" s="38" t="s">
        <v>2776</v>
      </c>
      <c r="C387" s="38" t="s">
        <v>2777</v>
      </c>
      <c r="D387" s="237" t="s">
        <v>1568</v>
      </c>
      <c r="E387" s="44" t="str">
        <f>IFERROR(VLOOKUP(D387,MANO_DE_OBRA!A:B,2,FALSE()),"?")</f>
        <v>ESPECIALIZADO</v>
      </c>
      <c r="F387" s="44" t="s">
        <v>2778</v>
      </c>
      <c r="G387" s="45">
        <v>1</v>
      </c>
      <c r="H387" s="46">
        <v>0</v>
      </c>
      <c r="I387" s="47">
        <f>IFERROR(VLOOKUP(D387,MANO_DE_OBRA!A:C,3,FALSE()),0)</f>
        <v>85927.097156571996</v>
      </c>
      <c r="J387" s="42">
        <f>G387*I387</f>
        <v>85927.097156571996</v>
      </c>
      <c r="K387" s="15" t="str">
        <f t="shared" si="42"/>
        <v>DUR-066|MO</v>
      </c>
      <c r="L387" s="15">
        <f>COUNTIFS($K$2:K387,K387)</f>
        <v>2</v>
      </c>
      <c r="M387" s="15" t="str">
        <f t="shared" si="43"/>
        <v>DUR-066|MO|2</v>
      </c>
      <c r="N387" s="47">
        <f>IFERROR(VLOOKUP(A387,PARTIDAS!A:F,6,FALSE()),0)</f>
        <v>11</v>
      </c>
      <c r="O387" s="247">
        <f t="shared" ref="O387:O450" si="44">+IF(C387="ALB",G387/N387,G387)</f>
        <v>9.0909090909090912E-2</v>
      </c>
      <c r="P387" s="247" t="str">
        <f>+_xlfn.XLOOKUP(A387,PPTO_GENERADOR!Q:Q,PPTO_GENERADOR!E:E,"-",0)</f>
        <v>-</v>
      </c>
      <c r="Q387" s="247">
        <f t="shared" ref="Q387:Q450" si="45">IFERROR(P387*O387,0)</f>
        <v>0</v>
      </c>
      <c r="R387" s="259" t="str">
        <f>+_xlfn.XLOOKUP(A387,PPTO_GENERADOR!$Q:$Q,PPTO_GENERADOR!A:A,"-",0)</f>
        <v>-</v>
      </c>
    </row>
    <row r="388" spans="1:18" ht="15" customHeight="1" x14ac:dyDescent="0.35">
      <c r="A388" s="38" t="s">
        <v>2598</v>
      </c>
      <c r="B388" s="38" t="s">
        <v>2774</v>
      </c>
      <c r="C388" s="38" t="s">
        <v>2775</v>
      </c>
      <c r="D388" s="38" t="s">
        <v>685</v>
      </c>
      <c r="E388" s="44" t="str">
        <f>IFERROR(VLOOKUP(D388,MATERIALES!A:B,2,FALSE()),"?")</f>
        <v>Alambre de Fardo</v>
      </c>
      <c r="F388" s="44" t="str">
        <f>IFERROR(VLOOKUP(D388,MATERIALES!A:C,3,FALSE()),"?")</f>
        <v>kg</v>
      </c>
      <c r="G388" s="45">
        <v>1.2500000000000001E-2</v>
      </c>
      <c r="H388" s="46">
        <v>0.15</v>
      </c>
      <c r="I388" s="47">
        <f>IFERROR(VLOOKUP(D388,MATERIALES!A:D,4,FALSE()),0)</f>
        <v>2302.02</v>
      </c>
      <c r="J388" s="42">
        <f t="shared" ref="J388:J393" si="46">G388*I388*(1+H388)</f>
        <v>33.091537499999994</v>
      </c>
      <c r="K388" s="15" t="str">
        <f t="shared" si="42"/>
        <v>DUR-091|MAT</v>
      </c>
      <c r="L388" s="15">
        <f>COUNTIFS($K$2:K388,K388)</f>
        <v>1</v>
      </c>
      <c r="M388" s="15" t="str">
        <f t="shared" si="43"/>
        <v>DUR-091|MAT|1</v>
      </c>
      <c r="N388" s="47">
        <f>IFERROR(VLOOKUP(A388,PARTIDAS!A:F,6,FALSE()),0)</f>
        <v>26</v>
      </c>
      <c r="O388" s="247">
        <f t="shared" si="44"/>
        <v>1.2500000000000001E-2</v>
      </c>
      <c r="P388" s="247" t="str">
        <f>+_xlfn.XLOOKUP(A388,PPTO_GENERADOR!Q:Q,PPTO_GENERADOR!E:E,"-",0)</f>
        <v>-</v>
      </c>
      <c r="Q388" s="247">
        <f t="shared" si="45"/>
        <v>0</v>
      </c>
      <c r="R388" s="259" t="str">
        <f>+_xlfn.XLOOKUP(A388,PPTO_GENERADOR!$Q:$Q,PPTO_GENERADOR!A:A,"-",0)</f>
        <v>-</v>
      </c>
    </row>
    <row r="389" spans="1:18" ht="15" customHeight="1" x14ac:dyDescent="0.35">
      <c r="A389" s="38" t="s">
        <v>2598</v>
      </c>
      <c r="B389" s="38" t="s">
        <v>2774</v>
      </c>
      <c r="C389" s="38" t="s">
        <v>2775</v>
      </c>
      <c r="D389" s="38" t="s">
        <v>872</v>
      </c>
      <c r="E389" s="44" t="str">
        <f>IFERROR(VLOOKUP(D389,MATERIALES!A:B,2,FALSE()),"?")</f>
        <v>CLAVOS DE 21/2" X 12</v>
      </c>
      <c r="F389" s="44" t="str">
        <f>IFERROR(VLOOKUP(D389,MATERIALES!A:C,3,FALSE()),"?")</f>
        <v>KG</v>
      </c>
      <c r="G389" s="45">
        <v>0.125</v>
      </c>
      <c r="H389" s="46">
        <v>0.05</v>
      </c>
      <c r="I389" s="47">
        <f>IFERROR(VLOOKUP(D389,MATERIALES!A:D,4,FALSE()),0)</f>
        <v>2130.1681250000001</v>
      </c>
      <c r="J389" s="42">
        <f t="shared" si="46"/>
        <v>279.58456640625002</v>
      </c>
      <c r="K389" s="15" t="str">
        <f t="shared" si="42"/>
        <v>DUR-091|MAT</v>
      </c>
      <c r="L389" s="15">
        <f>COUNTIFS($K$2:K389,K389)</f>
        <v>2</v>
      </c>
      <c r="M389" s="15" t="str">
        <f t="shared" si="43"/>
        <v>DUR-091|MAT|2</v>
      </c>
      <c r="N389" s="47">
        <f>IFERROR(VLOOKUP(A389,PARTIDAS!A:F,6,FALSE()),0)</f>
        <v>26</v>
      </c>
      <c r="O389" s="247">
        <f t="shared" si="44"/>
        <v>0.125</v>
      </c>
      <c r="P389" s="247" t="str">
        <f>+_xlfn.XLOOKUP(A389,PPTO_GENERADOR!Q:Q,PPTO_GENERADOR!E:E,"-",0)</f>
        <v>-</v>
      </c>
      <c r="Q389" s="247">
        <f t="shared" si="45"/>
        <v>0</v>
      </c>
      <c r="R389" s="259" t="str">
        <f>+_xlfn.XLOOKUP(A389,PPTO_GENERADOR!$Q:$Q,PPTO_GENERADOR!A:A,"-",0)</f>
        <v>-</v>
      </c>
    </row>
    <row r="390" spans="1:18" ht="15" customHeight="1" x14ac:dyDescent="0.35">
      <c r="A390" s="38" t="s">
        <v>2598</v>
      </c>
      <c r="B390" s="38" t="s">
        <v>2774</v>
      </c>
      <c r="C390" s="38" t="s">
        <v>2775</v>
      </c>
      <c r="D390" s="38" t="s">
        <v>1003</v>
      </c>
      <c r="E390" s="44" t="str">
        <f>IFERROR(VLOOKUP(D390,MATERIALES!A:B,2,FALSE()),"?")</f>
        <v>Estacas</v>
      </c>
      <c r="F390" s="44" t="str">
        <f>IFERROR(VLOOKUP(D390,MATERIALES!A:C,3,FALSE()),"?")</f>
        <v>u</v>
      </c>
      <c r="G390" s="45">
        <v>1.25E-3</v>
      </c>
      <c r="H390" s="46">
        <v>0</v>
      </c>
      <c r="I390" s="47">
        <f>IFERROR(VLOOKUP(D390,MATERIALES!A:D,4,FALSE()),0)</f>
        <v>1180.82</v>
      </c>
      <c r="J390" s="42">
        <f t="shared" si="46"/>
        <v>1.4760249999999999</v>
      </c>
      <c r="K390" s="15" t="str">
        <f t="shared" si="42"/>
        <v>DUR-091|MAT</v>
      </c>
      <c r="L390" s="15">
        <f>COUNTIFS($K$2:K390,K390)</f>
        <v>3</v>
      </c>
      <c r="M390" s="15" t="str">
        <f t="shared" si="43"/>
        <v>DUR-091|MAT|3</v>
      </c>
      <c r="N390" s="47">
        <f>IFERROR(VLOOKUP(A390,PARTIDAS!A:F,6,FALSE()),0)</f>
        <v>26</v>
      </c>
      <c r="O390" s="247">
        <f t="shared" si="44"/>
        <v>1.25E-3</v>
      </c>
      <c r="P390" s="247" t="str">
        <f>+_xlfn.XLOOKUP(A390,PPTO_GENERADOR!Q:Q,PPTO_GENERADOR!E:E,"-",0)</f>
        <v>-</v>
      </c>
      <c r="Q390" s="247">
        <f t="shared" si="45"/>
        <v>0</v>
      </c>
      <c r="R390" s="259" t="str">
        <f>+_xlfn.XLOOKUP(A390,PPTO_GENERADOR!$Q:$Q,PPTO_GENERADOR!A:A,"-",0)</f>
        <v>-</v>
      </c>
    </row>
    <row r="391" spans="1:18" ht="15" customHeight="1" x14ac:dyDescent="0.35">
      <c r="A391" s="38" t="s">
        <v>2598</v>
      </c>
      <c r="B391" s="38" t="s">
        <v>2774</v>
      </c>
      <c r="C391" s="38" t="s">
        <v>2775</v>
      </c>
      <c r="D391" s="38" t="s">
        <v>876</v>
      </c>
      <c r="E391" s="44" t="str">
        <f>IFERROR(VLOOKUP(D391,MATERIALES!A:B,2,FALSE()),"?")</f>
        <v>FENOLICO 18MM. COMUN 1.22 x 2.40</v>
      </c>
      <c r="F391" s="44" t="str">
        <f>IFERROR(VLOOKUP(D391,MATERIALES!A:C,3,FALSE()),"?")</f>
        <v>UD</v>
      </c>
      <c r="G391" s="45">
        <v>0.5</v>
      </c>
      <c r="H391" s="46">
        <v>0.05</v>
      </c>
      <c r="I391" s="47">
        <f>IFERROR(VLOOKUP(D391,MATERIALES!A:D,4,FALSE()),0)</f>
        <v>26322.68</v>
      </c>
      <c r="J391" s="42">
        <f t="shared" si="46"/>
        <v>13819.407000000001</v>
      </c>
      <c r="K391" s="15" t="str">
        <f t="shared" si="42"/>
        <v>DUR-091|MAT</v>
      </c>
      <c r="L391" s="15">
        <f>COUNTIFS($K$2:K391,K391)</f>
        <v>4</v>
      </c>
      <c r="M391" s="15" t="str">
        <f t="shared" si="43"/>
        <v>DUR-091|MAT|4</v>
      </c>
      <c r="N391" s="47">
        <f>IFERROR(VLOOKUP(A391,PARTIDAS!A:F,6,FALSE()),0)</f>
        <v>26</v>
      </c>
      <c r="O391" s="247">
        <f t="shared" si="44"/>
        <v>0.5</v>
      </c>
      <c r="P391" s="247" t="str">
        <f>+_xlfn.XLOOKUP(A391,PPTO_GENERADOR!Q:Q,PPTO_GENERADOR!E:E,"-",0)</f>
        <v>-</v>
      </c>
      <c r="Q391" s="247">
        <f t="shared" si="45"/>
        <v>0</v>
      </c>
      <c r="R391" s="259" t="str">
        <f>+_xlfn.XLOOKUP(A391,PPTO_GENERADOR!$Q:$Q,PPTO_GENERADOR!A:A,"-",0)</f>
        <v>-</v>
      </c>
    </row>
    <row r="392" spans="1:18" ht="15" customHeight="1" x14ac:dyDescent="0.35">
      <c r="A392" s="38" t="s">
        <v>2598</v>
      </c>
      <c r="B392" s="38" t="s">
        <v>2774</v>
      </c>
      <c r="C392" s="38" t="s">
        <v>2775</v>
      </c>
      <c r="D392" s="38" t="s">
        <v>887</v>
      </c>
      <c r="E392" s="44" t="str">
        <f>IFERROR(VLOOKUP(D392,MATERIALES!A:B,2,FALSE()),"?")</f>
        <v>tirante 3x3 para puntal 3.66</v>
      </c>
      <c r="F392" s="44" t="str">
        <f>IFERROR(VLOOKUP(D392,MATERIALES!A:C,3,FALSE()),"?")</f>
        <v>ml</v>
      </c>
      <c r="G392" s="45">
        <v>0.01</v>
      </c>
      <c r="H392" s="46">
        <v>0.02</v>
      </c>
      <c r="I392" s="47">
        <f>IFERROR(VLOOKUP(D392,MATERIALES!A:D,4,FALSE()),0)</f>
        <v>1213.73</v>
      </c>
      <c r="J392" s="42">
        <f t="shared" si="46"/>
        <v>12.380046</v>
      </c>
      <c r="K392" s="15" t="str">
        <f t="shared" si="42"/>
        <v>DUR-091|MAT</v>
      </c>
      <c r="L392" s="15">
        <f>COUNTIFS($K$2:K392,K392)</f>
        <v>5</v>
      </c>
      <c r="M392" s="15" t="str">
        <f t="shared" si="43"/>
        <v>DUR-091|MAT|5</v>
      </c>
      <c r="N392" s="47">
        <f>IFERROR(VLOOKUP(A392,PARTIDAS!A:F,6,FALSE()),0)</f>
        <v>26</v>
      </c>
      <c r="O392" s="247">
        <f t="shared" si="44"/>
        <v>0.01</v>
      </c>
      <c r="P392" s="247" t="str">
        <f>+_xlfn.XLOOKUP(A392,PPTO_GENERADOR!Q:Q,PPTO_GENERADOR!E:E,"-",0)</f>
        <v>-</v>
      </c>
      <c r="Q392" s="247">
        <f t="shared" si="45"/>
        <v>0</v>
      </c>
      <c r="R392" s="259" t="str">
        <f>+_xlfn.XLOOKUP(A392,PPTO_GENERADOR!$Q:$Q,PPTO_GENERADOR!A:A,"-",0)</f>
        <v>-</v>
      </c>
    </row>
    <row r="393" spans="1:18" ht="15" customHeight="1" x14ac:dyDescent="0.35">
      <c r="A393" s="38" t="s">
        <v>2598</v>
      </c>
      <c r="B393" s="38" t="s">
        <v>2774</v>
      </c>
      <c r="C393" s="38" t="s">
        <v>2775</v>
      </c>
      <c r="D393" s="38" t="s">
        <v>890</v>
      </c>
      <c r="E393" s="44" t="str">
        <f>IFERROR(VLOOKUP(D393,MATERIALES!A:B,2,FALSE()),"?")</f>
        <v>tirante 3x6 3.66</v>
      </c>
      <c r="F393" s="44" t="str">
        <f>IFERROR(VLOOKUP(D393,MATERIALES!A:C,3,FALSE()),"?")</f>
        <v>un</v>
      </c>
      <c r="G393" s="45">
        <v>2.4E-2</v>
      </c>
      <c r="H393" s="46">
        <v>0.02</v>
      </c>
      <c r="I393" s="47">
        <f>IFERROR(VLOOKUP(D393,MATERIALES!A:D,4,FALSE()),0)</f>
        <v>4442.2518</v>
      </c>
      <c r="J393" s="42">
        <f t="shared" si="46"/>
        <v>108.74632406399999</v>
      </c>
      <c r="K393" s="15" t="str">
        <f t="shared" si="42"/>
        <v>DUR-091|MAT</v>
      </c>
      <c r="L393" s="15">
        <f>COUNTIFS($K$2:K393,K393)</f>
        <v>6</v>
      </c>
      <c r="M393" s="15" t="str">
        <f t="shared" si="43"/>
        <v>DUR-091|MAT|6</v>
      </c>
      <c r="N393" s="47">
        <f>IFERROR(VLOOKUP(A393,PARTIDAS!A:F,6,FALSE()),0)</f>
        <v>26</v>
      </c>
      <c r="O393" s="247">
        <f t="shared" si="44"/>
        <v>2.4E-2</v>
      </c>
      <c r="P393" s="247" t="str">
        <f>+_xlfn.XLOOKUP(A393,PPTO_GENERADOR!Q:Q,PPTO_GENERADOR!E:E,"-",0)</f>
        <v>-</v>
      </c>
      <c r="Q393" s="247">
        <f t="shared" si="45"/>
        <v>0</v>
      </c>
      <c r="R393" s="259" t="str">
        <f>+_xlfn.XLOOKUP(A393,PPTO_GENERADOR!$Q:$Q,PPTO_GENERADOR!A:A,"-",0)</f>
        <v>-</v>
      </c>
    </row>
    <row r="394" spans="1:18" ht="15" customHeight="1" x14ac:dyDescent="0.35">
      <c r="A394" s="38" t="s">
        <v>2598</v>
      </c>
      <c r="B394" s="38" t="s">
        <v>2776</v>
      </c>
      <c r="C394" s="38" t="s">
        <v>2777</v>
      </c>
      <c r="D394" s="237" t="s">
        <v>1577</v>
      </c>
      <c r="E394" s="44" t="str">
        <f>IFERROR(VLOOKUP(D394,MANO_DE_OBRA!A:B,2,FALSE()),"?")</f>
        <v>AYUDANTE</v>
      </c>
      <c r="F394" s="44" t="s">
        <v>2778</v>
      </c>
      <c r="G394" s="45">
        <v>1</v>
      </c>
      <c r="H394" s="46">
        <v>0</v>
      </c>
      <c r="I394" s="47">
        <f>IFERROR(VLOOKUP(D394,MANO_DE_OBRA!A:C,3,FALSE()),0)</f>
        <v>60860.580776572002</v>
      </c>
      <c r="J394" s="42">
        <f>G394*I394</f>
        <v>60860.580776572002</v>
      </c>
      <c r="K394" s="15" t="str">
        <f t="shared" si="42"/>
        <v>DUR-091|MO</v>
      </c>
      <c r="L394" s="15">
        <f>COUNTIFS($K$2:K394,K394)</f>
        <v>1</v>
      </c>
      <c r="M394" s="15" t="str">
        <f t="shared" si="43"/>
        <v>DUR-091|MO|1</v>
      </c>
      <c r="N394" s="47">
        <f>IFERROR(VLOOKUP(A394,PARTIDAS!A:F,6,FALSE()),0)</f>
        <v>26</v>
      </c>
      <c r="O394" s="247">
        <f t="shared" si="44"/>
        <v>3.8461538461538464E-2</v>
      </c>
      <c r="P394" s="247" t="str">
        <f>+_xlfn.XLOOKUP(A394,PPTO_GENERADOR!Q:Q,PPTO_GENERADOR!E:E,"-",0)</f>
        <v>-</v>
      </c>
      <c r="Q394" s="247">
        <f t="shared" si="45"/>
        <v>0</v>
      </c>
      <c r="R394" s="259" t="str">
        <f>+_xlfn.XLOOKUP(A394,PPTO_GENERADOR!$Q:$Q,PPTO_GENERADOR!A:A,"-",0)</f>
        <v>-</v>
      </c>
    </row>
    <row r="395" spans="1:18" ht="15" customHeight="1" x14ac:dyDescent="0.35">
      <c r="A395" s="38" t="s">
        <v>2598</v>
      </c>
      <c r="B395" s="38" t="s">
        <v>2776</v>
      </c>
      <c r="C395" s="38" t="s">
        <v>2777</v>
      </c>
      <c r="D395" s="237" t="s">
        <v>1574</v>
      </c>
      <c r="E395" s="44" t="str">
        <f>IFERROR(VLOOKUP(D395,MANO_DE_OBRA!A:B,2,FALSE()),"?")</f>
        <v>MEDIO OFICIAL</v>
      </c>
      <c r="F395" s="44" t="s">
        <v>2778</v>
      </c>
      <c r="G395" s="45">
        <v>1</v>
      </c>
      <c r="H395" s="46">
        <v>0</v>
      </c>
      <c r="I395" s="47">
        <f>IFERROR(VLOOKUP(D395,MANO_DE_OBRA!A:C,3,FALSE()),0)</f>
        <v>65493.071636572</v>
      </c>
      <c r="J395" s="42">
        <f>G395*I395</f>
        <v>65493.071636572</v>
      </c>
      <c r="K395" s="15" t="str">
        <f t="shared" si="42"/>
        <v>DUR-091|MO</v>
      </c>
      <c r="L395" s="15">
        <f>COUNTIFS($K$2:K395,K395)</f>
        <v>2</v>
      </c>
      <c r="M395" s="15" t="str">
        <f t="shared" si="43"/>
        <v>DUR-091|MO|2</v>
      </c>
      <c r="N395" s="47">
        <f>IFERROR(VLOOKUP(A395,PARTIDAS!A:F,6,FALSE()),0)</f>
        <v>26</v>
      </c>
      <c r="O395" s="247">
        <f t="shared" si="44"/>
        <v>3.8461538461538464E-2</v>
      </c>
      <c r="P395" s="247" t="str">
        <f>+_xlfn.XLOOKUP(A395,PPTO_GENERADOR!Q:Q,PPTO_GENERADOR!E:E,"-",0)</f>
        <v>-</v>
      </c>
      <c r="Q395" s="247">
        <f t="shared" si="45"/>
        <v>0</v>
      </c>
      <c r="R395" s="259" t="str">
        <f>+_xlfn.XLOOKUP(A395,PPTO_GENERADOR!$Q:$Q,PPTO_GENERADOR!A:A,"-",0)</f>
        <v>-</v>
      </c>
    </row>
    <row r="396" spans="1:18" ht="15" customHeight="1" x14ac:dyDescent="0.35">
      <c r="A396" s="38" t="s">
        <v>2598</v>
      </c>
      <c r="B396" s="38" t="s">
        <v>2776</v>
      </c>
      <c r="C396" s="38" t="s">
        <v>2777</v>
      </c>
      <c r="D396" s="237" t="s">
        <v>1568</v>
      </c>
      <c r="E396" s="44" t="str">
        <f>IFERROR(VLOOKUP(D396,MANO_DE_OBRA!A:B,2,FALSE()),"?")</f>
        <v>ESPECIALIZADO</v>
      </c>
      <c r="F396" s="44" t="s">
        <v>2778</v>
      </c>
      <c r="G396" s="45">
        <v>1</v>
      </c>
      <c r="H396" s="46">
        <v>0</v>
      </c>
      <c r="I396" s="47">
        <f>IFERROR(VLOOKUP(D396,MANO_DE_OBRA!A:C,3,FALSE()),0)</f>
        <v>85927.097156571996</v>
      </c>
      <c r="J396" s="42">
        <f>G396*I396</f>
        <v>85927.097156571996</v>
      </c>
      <c r="K396" s="15" t="str">
        <f t="shared" si="42"/>
        <v>DUR-091|MO</v>
      </c>
      <c r="L396" s="15">
        <f>COUNTIFS($K$2:K396,K396)</f>
        <v>3</v>
      </c>
      <c r="M396" s="15" t="str">
        <f t="shared" si="43"/>
        <v>DUR-091|MO|3</v>
      </c>
      <c r="N396" s="47">
        <f>IFERROR(VLOOKUP(A396,PARTIDAS!A:F,6,FALSE()),0)</f>
        <v>26</v>
      </c>
      <c r="O396" s="247">
        <f t="shared" si="44"/>
        <v>3.8461538461538464E-2</v>
      </c>
      <c r="P396" s="247" t="str">
        <f>+_xlfn.XLOOKUP(A396,PPTO_GENERADOR!Q:Q,PPTO_GENERADOR!E:E,"-",0)</f>
        <v>-</v>
      </c>
      <c r="Q396" s="247">
        <f t="shared" si="45"/>
        <v>0</v>
      </c>
      <c r="R396" s="259" t="str">
        <f>+_xlfn.XLOOKUP(A396,PPTO_GENERADOR!$Q:$Q,PPTO_GENERADOR!A:A,"-",0)</f>
        <v>-</v>
      </c>
    </row>
    <row r="397" spans="1:18" ht="15" customHeight="1" x14ac:dyDescent="0.35">
      <c r="A397" s="38" t="s">
        <v>2616</v>
      </c>
      <c r="B397" s="38" t="s">
        <v>2773</v>
      </c>
      <c r="C397" s="38"/>
      <c r="D397" s="38" t="s">
        <v>1744</v>
      </c>
      <c r="E397" s="44" t="str">
        <f>IFERROR(VLOOKUP(D397,EQUIPOS!A:B,2,FALSE()),"?")</f>
        <v>EQUIPO DE CONSTRUCCION EN SECO</v>
      </c>
      <c r="F397" s="44"/>
      <c r="G397" s="45">
        <v>1</v>
      </c>
      <c r="H397" s="46">
        <v>0</v>
      </c>
      <c r="I397" s="47">
        <f>IFERROR(VLOOKUP(D397,EQUIPOS!A:F,6,FALSE()),0)</f>
        <v>2365.2381485799501</v>
      </c>
      <c r="J397" s="42">
        <f>G397*I397</f>
        <v>2365.2381485799501</v>
      </c>
      <c r="K397" s="15" t="str">
        <f t="shared" si="42"/>
        <v>DUR-116|EQ</v>
      </c>
      <c r="L397" s="15">
        <f>COUNTIFS($K$2:K397,K397)</f>
        <v>1</v>
      </c>
      <c r="M397" s="15" t="str">
        <f t="shared" si="43"/>
        <v>DUR-116|EQ|1</v>
      </c>
      <c r="N397" s="47">
        <f>IFERROR(VLOOKUP(A397,PARTIDAS!A:F,6,FALSE()),0)</f>
        <v>12</v>
      </c>
      <c r="O397" s="247">
        <f t="shared" si="44"/>
        <v>1</v>
      </c>
      <c r="P397" s="247" t="str">
        <f>+_xlfn.XLOOKUP(A397,PPTO_GENERADOR!Q:Q,PPTO_GENERADOR!E:E,"-",0)</f>
        <v>-</v>
      </c>
      <c r="Q397" s="247">
        <f t="shared" si="45"/>
        <v>0</v>
      </c>
      <c r="R397" s="259" t="str">
        <f>+_xlfn.XLOOKUP(A397,PPTO_GENERADOR!$Q:$Q,PPTO_GENERADOR!A:A,"-",0)</f>
        <v>-</v>
      </c>
    </row>
    <row r="398" spans="1:18" ht="15" customHeight="1" x14ac:dyDescent="0.35">
      <c r="A398" s="38" t="s">
        <v>2616</v>
      </c>
      <c r="B398" s="38" t="s">
        <v>2773</v>
      </c>
      <c r="C398" s="38"/>
      <c r="D398" s="38" t="s">
        <v>1622</v>
      </c>
      <c r="E398" s="44" t="str">
        <f>IFERROR(VLOOKUP(D398,EQUIPOS!A:B,2,FALSE()),"?")</f>
        <v>ESCALERA GLOSS ALUMINIO ARTICULADA 4 X 4 ESCALONES HASTA 150KG</v>
      </c>
      <c r="F398" s="44"/>
      <c r="G398" s="45">
        <v>1</v>
      </c>
      <c r="H398" s="46">
        <v>0</v>
      </c>
      <c r="I398" s="47">
        <f>IFERROR(VLOOKUP(D398,EQUIPOS!A:F,6,FALSE()),0)</f>
        <v>140.19809259430903</v>
      </c>
      <c r="J398" s="42">
        <f>G398*I398</f>
        <v>140.19809259430903</v>
      </c>
      <c r="K398" s="15" t="str">
        <f t="shared" si="42"/>
        <v>DUR-116|EQ</v>
      </c>
      <c r="L398" s="15">
        <f>COUNTIFS($K$2:K398,K398)</f>
        <v>2</v>
      </c>
      <c r="M398" s="15" t="str">
        <f t="shared" si="43"/>
        <v>DUR-116|EQ|2</v>
      </c>
      <c r="N398" s="47">
        <f>IFERROR(VLOOKUP(A398,PARTIDAS!A:F,6,FALSE()),0)</f>
        <v>12</v>
      </c>
      <c r="O398" s="247">
        <f t="shared" si="44"/>
        <v>1</v>
      </c>
      <c r="P398" s="247" t="str">
        <f>+_xlfn.XLOOKUP(A398,PPTO_GENERADOR!Q:Q,PPTO_GENERADOR!E:E,"-",0)</f>
        <v>-</v>
      </c>
      <c r="Q398" s="247">
        <f t="shared" si="45"/>
        <v>0</v>
      </c>
      <c r="R398" s="259" t="str">
        <f>+_xlfn.XLOOKUP(A398,PPTO_GENERADOR!$Q:$Q,PPTO_GENERADOR!A:A,"-",0)</f>
        <v>-</v>
      </c>
    </row>
    <row r="399" spans="1:18" ht="15" customHeight="1" x14ac:dyDescent="0.35">
      <c r="A399" s="38" t="s">
        <v>2616</v>
      </c>
      <c r="B399" s="38" t="s">
        <v>2774</v>
      </c>
      <c r="C399" s="38" t="s">
        <v>2775</v>
      </c>
      <c r="D399" s="38" t="s">
        <v>789</v>
      </c>
      <c r="E399" s="44" t="str">
        <f>IFERROR(VLOOKUP(D399,MATERIALES!A:B,2,FALSE()),"?")</f>
        <v>Alambre galvanizado N°14 x kg</v>
      </c>
      <c r="F399" s="44" t="str">
        <f>IFERROR(VLOOKUP(D399,MATERIALES!A:C,3,FALSE()),"?")</f>
        <v>u</v>
      </c>
      <c r="G399" s="45">
        <v>0.06</v>
      </c>
      <c r="H399" s="46">
        <v>0.1</v>
      </c>
      <c r="I399" s="47">
        <f>IFERROR(VLOOKUP(D399,MATERIALES!A:D,4,FALSE()),0)</f>
        <v>2474.34710743802</v>
      </c>
      <c r="J399" s="42">
        <f t="shared" ref="J399:J404" si="47">G399*I399*(1+H399)</f>
        <v>163.30690909090933</v>
      </c>
      <c r="K399" s="15" t="str">
        <f t="shared" si="42"/>
        <v>DUR-116|MAT</v>
      </c>
      <c r="L399" s="15">
        <f>COUNTIFS($K$2:K399,K399)</f>
        <v>1</v>
      </c>
      <c r="M399" s="15" t="str">
        <f t="shared" si="43"/>
        <v>DUR-116|MAT|1</v>
      </c>
      <c r="N399" s="47">
        <f>IFERROR(VLOOKUP(A399,PARTIDAS!A:F,6,FALSE()),0)</f>
        <v>12</v>
      </c>
      <c r="O399" s="247">
        <f t="shared" si="44"/>
        <v>0.06</v>
      </c>
      <c r="P399" s="247" t="str">
        <f>+_xlfn.XLOOKUP(A399,PPTO_GENERADOR!Q:Q,PPTO_GENERADOR!E:E,"-",0)</f>
        <v>-</v>
      </c>
      <c r="Q399" s="247">
        <f t="shared" si="45"/>
        <v>0</v>
      </c>
      <c r="R399" s="259" t="str">
        <f>+_xlfn.XLOOKUP(A399,PPTO_GENERADOR!$Q:$Q,PPTO_GENERADOR!A:A,"-",0)</f>
        <v>-</v>
      </c>
    </row>
    <row r="400" spans="1:18" ht="15" customHeight="1" x14ac:dyDescent="0.35">
      <c r="A400" s="38" t="s">
        <v>2616</v>
      </c>
      <c r="B400" s="38" t="s">
        <v>2774</v>
      </c>
      <c r="C400" s="38" t="s">
        <v>2775</v>
      </c>
      <c r="D400" s="38" t="s">
        <v>778</v>
      </c>
      <c r="E400" s="44" t="str">
        <f>IFERROR(VLOOKUP(D400,MATERIALES!A:B,2,FALSE()),"?")</f>
        <v>Perfil Perimetral x 3.05</v>
      </c>
      <c r="F400" s="44" t="str">
        <f>IFERROR(VLOOKUP(D400,MATERIALES!A:C,3,FALSE()),"?")</f>
        <v>u</v>
      </c>
      <c r="G400" s="45">
        <v>0.495</v>
      </c>
      <c r="H400" s="46">
        <v>0.1</v>
      </c>
      <c r="I400" s="47">
        <f>IFERROR(VLOOKUP(D400,MATERIALES!A:D,4,FALSE()),0)</f>
        <v>2470.5619834710801</v>
      </c>
      <c r="J400" s="42">
        <f t="shared" si="47"/>
        <v>1345.2210000000032</v>
      </c>
      <c r="K400" s="15" t="str">
        <f t="shared" si="42"/>
        <v>DUR-116|MAT</v>
      </c>
      <c r="L400" s="15">
        <f>COUNTIFS($K$2:K400,K400)</f>
        <v>2</v>
      </c>
      <c r="M400" s="15" t="str">
        <f t="shared" si="43"/>
        <v>DUR-116|MAT|2</v>
      </c>
      <c r="N400" s="47">
        <f>IFERROR(VLOOKUP(A400,PARTIDAS!A:F,6,FALSE()),0)</f>
        <v>12</v>
      </c>
      <c r="O400" s="247">
        <f t="shared" si="44"/>
        <v>0.495</v>
      </c>
      <c r="P400" s="247" t="str">
        <f>+_xlfn.XLOOKUP(A400,PPTO_GENERADOR!Q:Q,PPTO_GENERADOR!E:E,"-",0)</f>
        <v>-</v>
      </c>
      <c r="Q400" s="247">
        <f t="shared" si="45"/>
        <v>0</v>
      </c>
      <c r="R400" s="259" t="str">
        <f>+_xlfn.XLOOKUP(A400,PPTO_GENERADOR!$Q:$Q,PPTO_GENERADOR!A:A,"-",0)</f>
        <v>-</v>
      </c>
    </row>
    <row r="401" spans="1:18" ht="15" customHeight="1" x14ac:dyDescent="0.35">
      <c r="A401" s="38" t="s">
        <v>2616</v>
      </c>
      <c r="B401" s="38" t="s">
        <v>2774</v>
      </c>
      <c r="C401" s="38" t="s">
        <v>2775</v>
      </c>
      <c r="D401" s="38" t="s">
        <v>756</v>
      </c>
      <c r="E401" s="44" t="str">
        <f>IFERROR(VLOOKUP(D401,MATERIALES!A:B,2,FALSE()),"?")</f>
        <v>Fijacion completa del 8</v>
      </c>
      <c r="F401" s="44" t="str">
        <f>IFERROR(VLOOKUP(D401,MATERIALES!A:C,3,FALSE()),"?")</f>
        <v>u</v>
      </c>
      <c r="G401" s="45">
        <v>6</v>
      </c>
      <c r="H401" s="46">
        <v>0.1</v>
      </c>
      <c r="I401" s="47">
        <f>IFERROR(VLOOKUP(D401,MATERIALES!A:D,4,FALSE()),0)</f>
        <v>65.919008264462803</v>
      </c>
      <c r="J401" s="42">
        <f t="shared" si="47"/>
        <v>435.06545454545454</v>
      </c>
      <c r="K401" s="15" t="str">
        <f t="shared" si="42"/>
        <v>DUR-116|MAT</v>
      </c>
      <c r="L401" s="15">
        <f>COUNTIFS($K$2:K401,K401)</f>
        <v>3</v>
      </c>
      <c r="M401" s="15" t="str">
        <f t="shared" si="43"/>
        <v>DUR-116|MAT|3</v>
      </c>
      <c r="N401" s="47">
        <f>IFERROR(VLOOKUP(A401,PARTIDAS!A:F,6,FALSE()),0)</f>
        <v>12</v>
      </c>
      <c r="O401" s="247">
        <f t="shared" si="44"/>
        <v>6</v>
      </c>
      <c r="P401" s="247" t="str">
        <f>+_xlfn.XLOOKUP(A401,PPTO_GENERADOR!Q:Q,PPTO_GENERADOR!E:E,"-",0)</f>
        <v>-</v>
      </c>
      <c r="Q401" s="247">
        <f t="shared" si="45"/>
        <v>0</v>
      </c>
      <c r="R401" s="259" t="str">
        <f>+_xlfn.XLOOKUP(A401,PPTO_GENERADOR!$Q:$Q,PPTO_GENERADOR!A:A,"-",0)</f>
        <v>-</v>
      </c>
    </row>
    <row r="402" spans="1:18" ht="15" customHeight="1" x14ac:dyDescent="0.35">
      <c r="A402" s="38" t="s">
        <v>2616</v>
      </c>
      <c r="B402" s="38" t="s">
        <v>2774</v>
      </c>
      <c r="C402" s="38" t="s">
        <v>2775</v>
      </c>
      <c r="D402" s="38" t="s">
        <v>780</v>
      </c>
      <c r="E402" s="44" t="str">
        <f>IFERROR(VLOOKUP(D402,MATERIALES!A:B,2,FALSE()),"?")</f>
        <v>Larguero x 3.66</v>
      </c>
      <c r="F402" s="44" t="str">
        <f>IFERROR(VLOOKUP(D402,MATERIALES!A:C,3,FALSE()),"?")</f>
        <v>u</v>
      </c>
      <c r="G402" s="45">
        <v>0.45</v>
      </c>
      <c r="H402" s="46">
        <v>0.1</v>
      </c>
      <c r="I402" s="47">
        <f>IFERROR(VLOOKUP(D402,MATERIALES!A:D,4,FALSE()),0)</f>
        <v>3894.6611570247901</v>
      </c>
      <c r="J402" s="42">
        <f t="shared" si="47"/>
        <v>1927.8572727272713</v>
      </c>
      <c r="K402" s="15" t="str">
        <f t="shared" si="42"/>
        <v>DUR-116|MAT</v>
      </c>
      <c r="L402" s="15">
        <f>COUNTIFS($K$2:K402,K402)</f>
        <v>4</v>
      </c>
      <c r="M402" s="15" t="str">
        <f t="shared" si="43"/>
        <v>DUR-116|MAT|4</v>
      </c>
      <c r="N402" s="47">
        <f>IFERROR(VLOOKUP(A402,PARTIDAS!A:F,6,FALSE()),0)</f>
        <v>12</v>
      </c>
      <c r="O402" s="247">
        <f t="shared" si="44"/>
        <v>0.45</v>
      </c>
      <c r="P402" s="247" t="str">
        <f>+_xlfn.XLOOKUP(A402,PPTO_GENERADOR!Q:Q,PPTO_GENERADOR!E:E,"-",0)</f>
        <v>-</v>
      </c>
      <c r="Q402" s="247">
        <f t="shared" si="45"/>
        <v>0</v>
      </c>
      <c r="R402" s="259" t="str">
        <f>+_xlfn.XLOOKUP(A402,PPTO_GENERADOR!$Q:$Q,PPTO_GENERADOR!A:A,"-",0)</f>
        <v>-</v>
      </c>
    </row>
    <row r="403" spans="1:18" ht="15" customHeight="1" x14ac:dyDescent="0.35">
      <c r="A403" s="38" t="s">
        <v>2616</v>
      </c>
      <c r="B403" s="38" t="s">
        <v>2774</v>
      </c>
      <c r="C403" s="38" t="s">
        <v>2775</v>
      </c>
      <c r="D403" s="38" t="s">
        <v>782</v>
      </c>
      <c r="E403" s="44" t="str">
        <f>IFERROR(VLOOKUP(D403,MATERIALES!A:B,2,FALSE()),"?")</f>
        <v>Travesaño x 1.22</v>
      </c>
      <c r="F403" s="44" t="str">
        <f>IFERROR(VLOOKUP(D403,MATERIALES!A:C,3,FALSE()),"?")</f>
        <v>u</v>
      </c>
      <c r="G403" s="45">
        <v>2.62</v>
      </c>
      <c r="H403" s="46">
        <v>0.1</v>
      </c>
      <c r="I403" s="47">
        <f>IFERROR(VLOOKUP(D403,MATERIALES!A:D,4,FALSE()),0)</f>
        <v>1262.17355371901</v>
      </c>
      <c r="J403" s="42">
        <f t="shared" si="47"/>
        <v>3637.5841818181871</v>
      </c>
      <c r="K403" s="15" t="str">
        <f t="shared" si="42"/>
        <v>DUR-116|MAT</v>
      </c>
      <c r="L403" s="15">
        <f>COUNTIFS($K$2:K403,K403)</f>
        <v>5</v>
      </c>
      <c r="M403" s="15" t="str">
        <f t="shared" si="43"/>
        <v>DUR-116|MAT|5</v>
      </c>
      <c r="N403" s="47">
        <f>IFERROR(VLOOKUP(A403,PARTIDAS!A:F,6,FALSE()),0)</f>
        <v>12</v>
      </c>
      <c r="O403" s="247">
        <f t="shared" si="44"/>
        <v>2.62</v>
      </c>
      <c r="P403" s="247" t="str">
        <f>+_xlfn.XLOOKUP(A403,PPTO_GENERADOR!Q:Q,PPTO_GENERADOR!E:E,"-",0)</f>
        <v>-</v>
      </c>
      <c r="Q403" s="247">
        <f t="shared" si="45"/>
        <v>0</v>
      </c>
      <c r="R403" s="259" t="str">
        <f>+_xlfn.XLOOKUP(A403,PPTO_GENERADOR!$Q:$Q,PPTO_GENERADOR!A:A,"-",0)</f>
        <v>-</v>
      </c>
    </row>
    <row r="404" spans="1:18" ht="15" customHeight="1" x14ac:dyDescent="0.35">
      <c r="A404" s="38" t="s">
        <v>2616</v>
      </c>
      <c r="B404" s="38" t="s">
        <v>2774</v>
      </c>
      <c r="C404" s="38" t="s">
        <v>2775</v>
      </c>
      <c r="D404" s="38" t="s">
        <v>791</v>
      </c>
      <c r="E404" s="44" t="str">
        <f>IFERROR(VLOOKUP(D404,MATERIALES!A:B,2,FALSE()),"?")</f>
        <v>Placa Decovinyl Liso 120x60</v>
      </c>
      <c r="F404" s="44" t="str">
        <f>IFERROR(VLOOKUP(D404,MATERIALES!A:C,3,FALSE()),"?")</f>
        <v>u</v>
      </c>
      <c r="G404" s="45">
        <v>1.3888888888888899</v>
      </c>
      <c r="H404" s="46">
        <v>0.1</v>
      </c>
      <c r="I404" s="47">
        <f>IFERROR(VLOOKUP(D404,MATERIALES!A:D,4,FALSE()),0)</f>
        <v>4751.7078772422501</v>
      </c>
      <c r="J404" s="42">
        <f t="shared" si="47"/>
        <v>7259.5537013423327</v>
      </c>
      <c r="K404" s="15" t="str">
        <f t="shared" si="42"/>
        <v>DUR-116|MAT</v>
      </c>
      <c r="L404" s="15">
        <f>COUNTIFS($K$2:K404,K404)</f>
        <v>6</v>
      </c>
      <c r="M404" s="15" t="str">
        <f t="shared" si="43"/>
        <v>DUR-116|MAT|6</v>
      </c>
      <c r="N404" s="47">
        <f>IFERROR(VLOOKUP(A404,PARTIDAS!A:F,6,FALSE()),0)</f>
        <v>12</v>
      </c>
      <c r="O404" s="247">
        <f t="shared" si="44"/>
        <v>1.3888888888888899</v>
      </c>
      <c r="P404" s="247" t="str">
        <f>+_xlfn.XLOOKUP(A404,PPTO_GENERADOR!Q:Q,PPTO_GENERADOR!E:E,"-",0)</f>
        <v>-</v>
      </c>
      <c r="Q404" s="247">
        <f t="shared" si="45"/>
        <v>0</v>
      </c>
      <c r="R404" s="259" t="str">
        <f>+_xlfn.XLOOKUP(A404,PPTO_GENERADOR!$Q:$Q,PPTO_GENERADOR!A:A,"-",0)</f>
        <v>-</v>
      </c>
    </row>
    <row r="405" spans="1:18" ht="15" customHeight="1" x14ac:dyDescent="0.35">
      <c r="A405" s="38" t="s">
        <v>2616</v>
      </c>
      <c r="B405" s="38" t="s">
        <v>2776</v>
      </c>
      <c r="C405" s="38" t="s">
        <v>2777</v>
      </c>
      <c r="D405" s="237" t="s">
        <v>1574</v>
      </c>
      <c r="E405" s="44" t="str">
        <f>IFERROR(VLOOKUP(D405,MANO_DE_OBRA!A:B,2,FALSE()),"?")</f>
        <v>MEDIO OFICIAL</v>
      </c>
      <c r="F405" s="44" t="s">
        <v>2778</v>
      </c>
      <c r="G405" s="45">
        <v>1</v>
      </c>
      <c r="H405" s="46">
        <v>0</v>
      </c>
      <c r="I405" s="47">
        <f>IFERROR(VLOOKUP(D405,MANO_DE_OBRA!A:C,3,FALSE()),0)</f>
        <v>65493.071636572</v>
      </c>
      <c r="J405" s="42">
        <f>G405*I405</f>
        <v>65493.071636572</v>
      </c>
      <c r="K405" s="15" t="str">
        <f t="shared" si="42"/>
        <v>DUR-116|MO</v>
      </c>
      <c r="L405" s="15">
        <f>COUNTIFS($K$2:K405,K405)</f>
        <v>1</v>
      </c>
      <c r="M405" s="15" t="str">
        <f t="shared" si="43"/>
        <v>DUR-116|MO|1</v>
      </c>
      <c r="N405" s="47">
        <f>IFERROR(VLOOKUP(A405,PARTIDAS!A:F,6,FALSE()),0)</f>
        <v>12</v>
      </c>
      <c r="O405" s="247">
        <f t="shared" si="44"/>
        <v>8.3333333333333329E-2</v>
      </c>
      <c r="P405" s="247" t="str">
        <f>+_xlfn.XLOOKUP(A405,PPTO_GENERADOR!Q:Q,PPTO_GENERADOR!E:E,"-",0)</f>
        <v>-</v>
      </c>
      <c r="Q405" s="247">
        <f t="shared" si="45"/>
        <v>0</v>
      </c>
      <c r="R405" s="259" t="str">
        <f>+_xlfn.XLOOKUP(A405,PPTO_GENERADOR!$Q:$Q,PPTO_GENERADOR!A:A,"-",0)</f>
        <v>-</v>
      </c>
    </row>
    <row r="406" spans="1:18" ht="15" customHeight="1" x14ac:dyDescent="0.35">
      <c r="A406" s="38" t="s">
        <v>2616</v>
      </c>
      <c r="B406" s="38" t="s">
        <v>2776</v>
      </c>
      <c r="C406" s="38" t="s">
        <v>2777</v>
      </c>
      <c r="D406" s="237" t="s">
        <v>1568</v>
      </c>
      <c r="E406" s="44" t="str">
        <f>IFERROR(VLOOKUP(D406,MANO_DE_OBRA!A:B,2,FALSE()),"?")</f>
        <v>ESPECIALIZADO</v>
      </c>
      <c r="F406" s="44" t="s">
        <v>2778</v>
      </c>
      <c r="G406" s="45">
        <v>1</v>
      </c>
      <c r="H406" s="46">
        <v>0</v>
      </c>
      <c r="I406" s="47">
        <f>IFERROR(VLOOKUP(D406,MANO_DE_OBRA!A:C,3,FALSE()),0)</f>
        <v>85927.097156571996</v>
      </c>
      <c r="J406" s="42">
        <f>G406*I406</f>
        <v>85927.097156571996</v>
      </c>
      <c r="K406" s="15" t="str">
        <f t="shared" si="42"/>
        <v>DUR-116|MO</v>
      </c>
      <c r="L406" s="15">
        <f>COUNTIFS($K$2:K406,K406)</f>
        <v>2</v>
      </c>
      <c r="M406" s="15" t="str">
        <f t="shared" si="43"/>
        <v>DUR-116|MO|2</v>
      </c>
      <c r="N406" s="47">
        <f>IFERROR(VLOOKUP(A406,PARTIDAS!A:F,6,FALSE()),0)</f>
        <v>12</v>
      </c>
      <c r="O406" s="247">
        <f t="shared" si="44"/>
        <v>8.3333333333333329E-2</v>
      </c>
      <c r="P406" s="247" t="str">
        <f>+_xlfn.XLOOKUP(A406,PPTO_GENERADOR!Q:Q,PPTO_GENERADOR!E:E,"-",0)</f>
        <v>-</v>
      </c>
      <c r="Q406" s="247">
        <f t="shared" si="45"/>
        <v>0</v>
      </c>
      <c r="R406" s="259" t="str">
        <f>+_xlfn.XLOOKUP(A406,PPTO_GENERADOR!$Q:$Q,PPTO_GENERADOR!A:A,"-",0)</f>
        <v>-</v>
      </c>
    </row>
    <row r="407" spans="1:18" ht="15" customHeight="1" x14ac:dyDescent="0.35">
      <c r="A407" s="38" t="s">
        <v>2623</v>
      </c>
      <c r="B407" s="38" t="s">
        <v>2773</v>
      </c>
      <c r="C407" s="38"/>
      <c r="D407" s="38" t="s">
        <v>1592</v>
      </c>
      <c r="E407" s="44" t="str">
        <f>IFERROR(VLOOKUP(D407,EQUIPOS!A:B,2,FALSE()),"?")</f>
        <v>ANDAMIO TUBULAR DE UNO A TRES CUERPOS</v>
      </c>
      <c r="F407" s="44"/>
      <c r="G407" s="45">
        <v>0.5</v>
      </c>
      <c r="H407" s="46">
        <v>0</v>
      </c>
      <c r="I407" s="47">
        <f>IFERROR(VLOOKUP(D407,EQUIPOS!A:F,6,FALSE()),0)</f>
        <v>571.1794909807611</v>
      </c>
      <c r="J407" s="42">
        <f>G407*I407</f>
        <v>285.58974549038055</v>
      </c>
      <c r="K407" s="15" t="str">
        <f t="shared" si="42"/>
        <v>ELE-120|EQ</v>
      </c>
      <c r="L407" s="15">
        <f>COUNTIFS($K$2:K407,K407)</f>
        <v>1</v>
      </c>
      <c r="M407" s="15" t="str">
        <f t="shared" si="43"/>
        <v>ELE-120|EQ|1</v>
      </c>
      <c r="N407" s="47">
        <f>IFERROR(VLOOKUP(A407,PARTIDAS!A:F,6,FALSE()),0)</f>
        <v>3.25</v>
      </c>
      <c r="O407" s="247">
        <f t="shared" si="44"/>
        <v>0.5</v>
      </c>
      <c r="P407" s="247" t="str">
        <f>+_xlfn.XLOOKUP(A407,PPTO_GENERADOR!Q:Q,PPTO_GENERADOR!E:E,"-",0)</f>
        <v>-</v>
      </c>
      <c r="Q407" s="247">
        <f t="shared" si="45"/>
        <v>0</v>
      </c>
      <c r="R407" s="259" t="str">
        <f>+_xlfn.XLOOKUP(A407,PPTO_GENERADOR!$Q:$Q,PPTO_GENERADOR!A:A,"-",0)</f>
        <v>-</v>
      </c>
    </row>
    <row r="408" spans="1:18" ht="15" customHeight="1" x14ac:dyDescent="0.35">
      <c r="A408" s="38" t="s">
        <v>2623</v>
      </c>
      <c r="B408" s="38" t="s">
        <v>2773</v>
      </c>
      <c r="C408" s="38"/>
      <c r="D408" s="38" t="s">
        <v>1601</v>
      </c>
      <c r="E408" s="44" t="str">
        <f>IFERROR(VLOOKUP(D408,EQUIPOS!A:B,2,FALSE()),"?")</f>
        <v>EQUIPO PARA INSTALACION ELECTRICA</v>
      </c>
      <c r="F408" s="44"/>
      <c r="G408" s="45">
        <v>1</v>
      </c>
      <c r="H408" s="46">
        <v>0</v>
      </c>
      <c r="I408" s="47">
        <f>IFERROR(VLOOKUP(D408,EQUIPOS!A:F,6,FALSE()),0)</f>
        <v>5063.0947914732405</v>
      </c>
      <c r="J408" s="42">
        <f>G408*I408</f>
        <v>5063.0947914732405</v>
      </c>
      <c r="K408" s="15" t="str">
        <f t="shared" si="42"/>
        <v>ELE-120|EQ</v>
      </c>
      <c r="L408" s="15">
        <f>COUNTIFS($K$2:K408,K408)</f>
        <v>2</v>
      </c>
      <c r="M408" s="15" t="str">
        <f t="shared" si="43"/>
        <v>ELE-120|EQ|2</v>
      </c>
      <c r="N408" s="47">
        <f>IFERROR(VLOOKUP(A408,PARTIDAS!A:F,6,FALSE()),0)</f>
        <v>3.25</v>
      </c>
      <c r="O408" s="247">
        <f t="shared" si="44"/>
        <v>1</v>
      </c>
      <c r="P408" s="247" t="str">
        <f>+_xlfn.XLOOKUP(A408,PPTO_GENERADOR!Q:Q,PPTO_GENERADOR!E:E,"-",0)</f>
        <v>-</v>
      </c>
      <c r="Q408" s="247">
        <f t="shared" si="45"/>
        <v>0</v>
      </c>
      <c r="R408" s="259" t="str">
        <f>+_xlfn.XLOOKUP(A408,PPTO_GENERADOR!$Q:$Q,PPTO_GENERADOR!A:A,"-",0)</f>
        <v>-</v>
      </c>
    </row>
    <row r="409" spans="1:18" ht="15" customHeight="1" x14ac:dyDescent="0.35">
      <c r="A409" s="38" t="s">
        <v>2623</v>
      </c>
      <c r="B409" s="38" t="s">
        <v>2773</v>
      </c>
      <c r="C409" s="38"/>
      <c r="D409" s="38" t="s">
        <v>1622</v>
      </c>
      <c r="E409" s="44" t="str">
        <f>IFERROR(VLOOKUP(D409,EQUIPOS!A:B,2,FALSE()),"?")</f>
        <v>ESCALERA GLOSS ALUMINIO ARTICULADA 4 X 4 ESCALONES HASTA 150KG</v>
      </c>
      <c r="F409" s="44"/>
      <c r="G409" s="45">
        <v>0.5</v>
      </c>
      <c r="H409" s="46">
        <v>0</v>
      </c>
      <c r="I409" s="47">
        <f>IFERROR(VLOOKUP(D409,EQUIPOS!A:F,6,FALSE()),0)</f>
        <v>140.19809259430903</v>
      </c>
      <c r="J409" s="42">
        <f>G409*I409</f>
        <v>70.099046297154516</v>
      </c>
      <c r="K409" s="15" t="str">
        <f t="shared" si="42"/>
        <v>ELE-120|EQ</v>
      </c>
      <c r="L409" s="15">
        <f>COUNTIFS($K$2:K409,K409)</f>
        <v>3</v>
      </c>
      <c r="M409" s="15" t="str">
        <f t="shared" si="43"/>
        <v>ELE-120|EQ|3</v>
      </c>
      <c r="N409" s="47">
        <f>IFERROR(VLOOKUP(A409,PARTIDAS!A:F,6,FALSE()),0)</f>
        <v>3.25</v>
      </c>
      <c r="O409" s="247">
        <f t="shared" si="44"/>
        <v>0.5</v>
      </c>
      <c r="P409" s="247" t="str">
        <f>+_xlfn.XLOOKUP(A409,PPTO_GENERADOR!Q:Q,PPTO_GENERADOR!E:E,"-",0)</f>
        <v>-</v>
      </c>
      <c r="Q409" s="247">
        <f t="shared" si="45"/>
        <v>0</v>
      </c>
      <c r="R409" s="259" t="str">
        <f>+_xlfn.XLOOKUP(A409,PPTO_GENERADOR!$Q:$Q,PPTO_GENERADOR!A:A,"-",0)</f>
        <v>-</v>
      </c>
    </row>
    <row r="410" spans="1:18" ht="15" customHeight="1" x14ac:dyDescent="0.35">
      <c r="A410" s="38" t="s">
        <v>2623</v>
      </c>
      <c r="B410" s="38" t="s">
        <v>2774</v>
      </c>
      <c r="C410" s="38" t="s">
        <v>2775</v>
      </c>
      <c r="D410" s="38" t="s">
        <v>928</v>
      </c>
      <c r="E410" s="44" t="str">
        <f>IFERROR(VLOOKUP(D410,MATERIALES!A:B,2,FALSE()),"?")</f>
        <v>Conector hierro 7/8"</v>
      </c>
      <c r="F410" s="44" t="str">
        <f>IFERROR(VLOOKUP(D410,MATERIALES!A:C,3,FALSE()),"?")</f>
        <v>u</v>
      </c>
      <c r="G410" s="45">
        <v>3</v>
      </c>
      <c r="H410" s="46">
        <v>0.1</v>
      </c>
      <c r="I410" s="47">
        <f>IFERROR(VLOOKUP(D410,MATERIALES!A:D,4,FALSE()),0)</f>
        <v>282.29000000000002</v>
      </c>
      <c r="J410" s="42">
        <f t="shared" ref="J410:J418" si="48">G410*I410*(1+H410)</f>
        <v>931.55700000000024</v>
      </c>
      <c r="K410" s="15" t="str">
        <f t="shared" si="42"/>
        <v>ELE-120|MAT</v>
      </c>
      <c r="L410" s="15">
        <f>COUNTIFS($K$2:K410,K410)</f>
        <v>1</v>
      </c>
      <c r="M410" s="15" t="str">
        <f t="shared" si="43"/>
        <v>ELE-120|MAT|1</v>
      </c>
      <c r="N410" s="47">
        <f>IFERROR(VLOOKUP(A410,PARTIDAS!A:F,6,FALSE()),0)</f>
        <v>3.25</v>
      </c>
      <c r="O410" s="247">
        <f t="shared" si="44"/>
        <v>3</v>
      </c>
      <c r="P410" s="247" t="str">
        <f>+_xlfn.XLOOKUP(A410,PPTO_GENERADOR!Q:Q,PPTO_GENERADOR!E:E,"-",0)</f>
        <v>-</v>
      </c>
      <c r="Q410" s="247">
        <f t="shared" si="45"/>
        <v>0</v>
      </c>
      <c r="R410" s="259" t="str">
        <f>+_xlfn.XLOOKUP(A410,PPTO_GENERADOR!$Q:$Q,PPTO_GENERADOR!A:A,"-",0)</f>
        <v>-</v>
      </c>
    </row>
    <row r="411" spans="1:18" ht="15" customHeight="1" x14ac:dyDescent="0.35">
      <c r="A411" s="38" t="s">
        <v>2623</v>
      </c>
      <c r="B411" s="38" t="s">
        <v>2774</v>
      </c>
      <c r="C411" s="38" t="s">
        <v>2775</v>
      </c>
      <c r="D411" s="38" t="s">
        <v>922</v>
      </c>
      <c r="E411" s="44" t="str">
        <f>IFERROR(VLOOKUP(D411,MATERIALES!A:B,2,FALSE()),"?")</f>
        <v>Caño rigido 7/8"</v>
      </c>
      <c r="F411" s="44" t="str">
        <f>IFERROR(VLOOKUP(D411,MATERIALES!A:C,3,FALSE()),"?")</f>
        <v>ml</v>
      </c>
      <c r="G411" s="45">
        <v>5</v>
      </c>
      <c r="H411" s="46">
        <v>0.1</v>
      </c>
      <c r="I411" s="47">
        <f>IFERROR(VLOOKUP(D411,MATERIALES!A:D,4,FALSE()),0)</f>
        <v>635.55999999999995</v>
      </c>
      <c r="J411" s="42">
        <f t="shared" si="48"/>
        <v>3495.58</v>
      </c>
      <c r="K411" s="15" t="str">
        <f t="shared" si="42"/>
        <v>ELE-120|MAT</v>
      </c>
      <c r="L411" s="15">
        <f>COUNTIFS($K$2:K411,K411)</f>
        <v>2</v>
      </c>
      <c r="M411" s="15" t="str">
        <f t="shared" si="43"/>
        <v>ELE-120|MAT|2</v>
      </c>
      <c r="N411" s="47">
        <f>IFERROR(VLOOKUP(A411,PARTIDAS!A:F,6,FALSE()),0)</f>
        <v>3.25</v>
      </c>
      <c r="O411" s="247">
        <f t="shared" si="44"/>
        <v>5</v>
      </c>
      <c r="P411" s="247" t="str">
        <f>+_xlfn.XLOOKUP(A411,PPTO_GENERADOR!Q:Q,PPTO_GENERADOR!E:E,"-",0)</f>
        <v>-</v>
      </c>
      <c r="Q411" s="247">
        <f t="shared" si="45"/>
        <v>0</v>
      </c>
      <c r="R411" s="259" t="str">
        <f>+_xlfn.XLOOKUP(A411,PPTO_GENERADOR!$Q:$Q,PPTO_GENERADOR!A:A,"-",0)</f>
        <v>-</v>
      </c>
    </row>
    <row r="412" spans="1:18" ht="15" customHeight="1" x14ac:dyDescent="0.35">
      <c r="A412" s="38" t="s">
        <v>2623</v>
      </c>
      <c r="B412" s="38" t="s">
        <v>2774</v>
      </c>
      <c r="C412" s="38" t="s">
        <v>2775</v>
      </c>
      <c r="D412" s="38" t="s">
        <v>935</v>
      </c>
      <c r="E412" s="44" t="str">
        <f>IFERROR(VLOOKUP(D412,MATERIALES!A:B,2,FALSE()),"?")</f>
        <v>Cupla PVC 7/8"</v>
      </c>
      <c r="F412" s="44" t="str">
        <f>IFERROR(VLOOKUP(D412,MATERIALES!A:C,3,FALSE()),"?")</f>
        <v>u</v>
      </c>
      <c r="G412" s="45">
        <v>2</v>
      </c>
      <c r="H412" s="46">
        <v>0.1</v>
      </c>
      <c r="I412" s="47">
        <f>IFERROR(VLOOKUP(D412,MATERIALES!A:D,4,FALSE()),0)</f>
        <v>184.87</v>
      </c>
      <c r="J412" s="42">
        <f t="shared" si="48"/>
        <v>406.71400000000006</v>
      </c>
      <c r="K412" s="15" t="str">
        <f t="shared" si="42"/>
        <v>ELE-120|MAT</v>
      </c>
      <c r="L412" s="15">
        <f>COUNTIFS($K$2:K412,K412)</f>
        <v>3</v>
      </c>
      <c r="M412" s="15" t="str">
        <f t="shared" si="43"/>
        <v>ELE-120|MAT|3</v>
      </c>
      <c r="N412" s="47">
        <f>IFERROR(VLOOKUP(A412,PARTIDAS!A:F,6,FALSE()),0)</f>
        <v>3.25</v>
      </c>
      <c r="O412" s="247">
        <f t="shared" si="44"/>
        <v>2</v>
      </c>
      <c r="P412" s="247" t="str">
        <f>+_xlfn.XLOOKUP(A412,PPTO_GENERADOR!Q:Q,PPTO_GENERADOR!E:E,"-",0)</f>
        <v>-</v>
      </c>
      <c r="Q412" s="247">
        <f t="shared" si="45"/>
        <v>0</v>
      </c>
      <c r="R412" s="259" t="str">
        <f>+_xlfn.XLOOKUP(A412,PPTO_GENERADOR!$Q:$Q,PPTO_GENERADOR!A:A,"-",0)</f>
        <v>-</v>
      </c>
    </row>
    <row r="413" spans="1:18" ht="15" customHeight="1" x14ac:dyDescent="0.35">
      <c r="A413" s="38" t="s">
        <v>2623</v>
      </c>
      <c r="B413" s="38" t="s">
        <v>2774</v>
      </c>
      <c r="C413" s="38" t="s">
        <v>2775</v>
      </c>
      <c r="D413" s="38" t="s">
        <v>939</v>
      </c>
      <c r="E413" s="44" t="str">
        <f>IFERROR(VLOOKUP(D413,MATERIALES!A:B,2,FALSE()),"?")</f>
        <v>Cable unipolar 1 x 1,50</v>
      </c>
      <c r="F413" s="44" t="str">
        <f>IFERROR(VLOOKUP(D413,MATERIALES!A:C,3,FALSE()),"?")</f>
        <v>ml</v>
      </c>
      <c r="G413" s="45">
        <v>7.5</v>
      </c>
      <c r="H413" s="46">
        <v>0.1</v>
      </c>
      <c r="I413" s="47">
        <f>IFERROR(VLOOKUP(D413,MATERIALES!A:D,4,FALSE()),0)</f>
        <v>316.44450000000001</v>
      </c>
      <c r="J413" s="42">
        <f t="shared" si="48"/>
        <v>2610.6671250000004</v>
      </c>
      <c r="K413" s="15" t="str">
        <f t="shared" si="42"/>
        <v>ELE-120|MAT</v>
      </c>
      <c r="L413" s="15">
        <f>COUNTIFS($K$2:K413,K413)</f>
        <v>4</v>
      </c>
      <c r="M413" s="15" t="str">
        <f t="shared" si="43"/>
        <v>ELE-120|MAT|4</v>
      </c>
      <c r="N413" s="47">
        <f>IFERROR(VLOOKUP(A413,PARTIDAS!A:F,6,FALSE()),0)</f>
        <v>3.25</v>
      </c>
      <c r="O413" s="247">
        <f t="shared" si="44"/>
        <v>7.5</v>
      </c>
      <c r="P413" s="247" t="str">
        <f>+_xlfn.XLOOKUP(A413,PPTO_GENERADOR!Q:Q,PPTO_GENERADOR!E:E,"-",0)</f>
        <v>-</v>
      </c>
      <c r="Q413" s="247">
        <f t="shared" si="45"/>
        <v>0</v>
      </c>
      <c r="R413" s="259" t="str">
        <f>+_xlfn.XLOOKUP(A413,PPTO_GENERADOR!$Q:$Q,PPTO_GENERADOR!A:A,"-",0)</f>
        <v>-</v>
      </c>
    </row>
    <row r="414" spans="1:18" ht="15" customHeight="1" x14ac:dyDescent="0.35">
      <c r="A414" s="38" t="s">
        <v>2623</v>
      </c>
      <c r="B414" s="38" t="s">
        <v>2774</v>
      </c>
      <c r="C414" s="38" t="s">
        <v>2775</v>
      </c>
      <c r="D414" s="38" t="s">
        <v>941</v>
      </c>
      <c r="E414" s="44" t="str">
        <f>IFERROR(VLOOKUP(D414,MATERIALES!A:B,2,FALSE()),"?")</f>
        <v>Cable unipolar 1 x 2,50 VA</v>
      </c>
      <c r="F414" s="44" t="str">
        <f>IFERROR(VLOOKUP(D414,MATERIALES!A:C,3,FALSE()),"?")</f>
        <v>ml</v>
      </c>
      <c r="G414" s="45">
        <v>5</v>
      </c>
      <c r="H414" s="46">
        <v>0.1</v>
      </c>
      <c r="I414" s="47">
        <f>IFERROR(VLOOKUP(D414,MATERIALES!A:D,4,FALSE()),0)</f>
        <v>509.31490000000002</v>
      </c>
      <c r="J414" s="42">
        <f t="shared" si="48"/>
        <v>2801.2319500000003</v>
      </c>
      <c r="K414" s="15" t="str">
        <f t="shared" si="42"/>
        <v>ELE-120|MAT</v>
      </c>
      <c r="L414" s="15">
        <f>COUNTIFS($K$2:K414,K414)</f>
        <v>5</v>
      </c>
      <c r="M414" s="15" t="str">
        <f t="shared" si="43"/>
        <v>ELE-120|MAT|5</v>
      </c>
      <c r="N414" s="47">
        <f>IFERROR(VLOOKUP(A414,PARTIDAS!A:F,6,FALSE()),0)</f>
        <v>3.25</v>
      </c>
      <c r="O414" s="247">
        <f t="shared" si="44"/>
        <v>5</v>
      </c>
      <c r="P414" s="247" t="str">
        <f>+_xlfn.XLOOKUP(A414,PPTO_GENERADOR!Q:Q,PPTO_GENERADOR!E:E,"-",0)</f>
        <v>-</v>
      </c>
      <c r="Q414" s="247">
        <f t="shared" si="45"/>
        <v>0</v>
      </c>
      <c r="R414" s="259" t="str">
        <f>+_xlfn.XLOOKUP(A414,PPTO_GENERADOR!$Q:$Q,PPTO_GENERADOR!A:A,"-",0)</f>
        <v>-</v>
      </c>
    </row>
    <row r="415" spans="1:18" ht="15" customHeight="1" x14ac:dyDescent="0.35">
      <c r="A415" s="38" t="s">
        <v>2623</v>
      </c>
      <c r="B415" s="38" t="s">
        <v>2774</v>
      </c>
      <c r="C415" s="38" t="s">
        <v>2775</v>
      </c>
      <c r="D415" s="38" t="s">
        <v>943</v>
      </c>
      <c r="E415" s="44" t="str">
        <f>IFERROR(VLOOKUP(D415,MATERIALES!A:B,2,FALSE()),"?")</f>
        <v>Cable unipolar 1 x 2,50 Rojo/Marron/Negro</v>
      </c>
      <c r="F415" s="44" t="str">
        <f>IFERROR(VLOOKUP(D415,MATERIALES!A:C,3,FALSE()),"?")</f>
        <v>ml</v>
      </c>
      <c r="G415" s="45">
        <v>7.5</v>
      </c>
      <c r="H415" s="46">
        <v>0.1</v>
      </c>
      <c r="I415" s="47">
        <f>IFERROR(VLOOKUP(D415,MATERIALES!A:D,4,FALSE()),0)</f>
        <v>509.31490000000002</v>
      </c>
      <c r="J415" s="42">
        <f t="shared" si="48"/>
        <v>4201.847925</v>
      </c>
      <c r="K415" s="15" t="str">
        <f t="shared" si="42"/>
        <v>ELE-120|MAT</v>
      </c>
      <c r="L415" s="15">
        <f>COUNTIFS($K$2:K415,K415)</f>
        <v>6</v>
      </c>
      <c r="M415" s="15" t="str">
        <f t="shared" si="43"/>
        <v>ELE-120|MAT|6</v>
      </c>
      <c r="N415" s="47">
        <f>IFERROR(VLOOKUP(A415,PARTIDAS!A:F,6,FALSE()),0)</f>
        <v>3.25</v>
      </c>
      <c r="O415" s="247">
        <f t="shared" si="44"/>
        <v>7.5</v>
      </c>
      <c r="P415" s="247" t="str">
        <f>+_xlfn.XLOOKUP(A415,PPTO_GENERADOR!Q:Q,PPTO_GENERADOR!E:E,"-",0)</f>
        <v>-</v>
      </c>
      <c r="Q415" s="247">
        <f t="shared" si="45"/>
        <v>0</v>
      </c>
      <c r="R415" s="259" t="str">
        <f>+_xlfn.XLOOKUP(A415,PPTO_GENERADOR!$Q:$Q,PPTO_GENERADOR!A:A,"-",0)</f>
        <v>-</v>
      </c>
    </row>
    <row r="416" spans="1:18" ht="15" customHeight="1" x14ac:dyDescent="0.35">
      <c r="A416" s="38" t="s">
        <v>2623</v>
      </c>
      <c r="B416" s="38" t="s">
        <v>2774</v>
      </c>
      <c r="C416" s="38" t="s">
        <v>2775</v>
      </c>
      <c r="D416" s="38" t="s">
        <v>947</v>
      </c>
      <c r="E416" s="44" t="str">
        <f>IFERROR(VLOOKUP(D416,MATERIALES!A:B,2,FALSE()),"?")</f>
        <v>Caja octogonal chica</v>
      </c>
      <c r="F416" s="44" t="str">
        <f>IFERROR(VLOOKUP(D416,MATERIALES!A:C,3,FALSE()),"?")</f>
        <v>u</v>
      </c>
      <c r="G416" s="45">
        <v>1</v>
      </c>
      <c r="H416" s="46">
        <v>0.05</v>
      </c>
      <c r="I416" s="47">
        <f>IFERROR(VLOOKUP(D416,MATERIALES!A:D,4,FALSE()),0)</f>
        <v>202.42</v>
      </c>
      <c r="J416" s="42">
        <f t="shared" si="48"/>
        <v>212.541</v>
      </c>
      <c r="K416" s="15" t="str">
        <f t="shared" si="42"/>
        <v>ELE-120|MAT</v>
      </c>
      <c r="L416" s="15">
        <f>COUNTIFS($K$2:K416,K416)</f>
        <v>7</v>
      </c>
      <c r="M416" s="15" t="str">
        <f t="shared" si="43"/>
        <v>ELE-120|MAT|7</v>
      </c>
      <c r="N416" s="47">
        <f>IFERROR(VLOOKUP(A416,PARTIDAS!A:F,6,FALSE()),0)</f>
        <v>3.25</v>
      </c>
      <c r="O416" s="247">
        <f t="shared" si="44"/>
        <v>1</v>
      </c>
      <c r="P416" s="247" t="str">
        <f>+_xlfn.XLOOKUP(A416,PPTO_GENERADOR!Q:Q,PPTO_GENERADOR!E:E,"-",0)</f>
        <v>-</v>
      </c>
      <c r="Q416" s="247">
        <f t="shared" si="45"/>
        <v>0</v>
      </c>
      <c r="R416" s="259" t="str">
        <f>+_xlfn.XLOOKUP(A416,PPTO_GENERADOR!$Q:$Q,PPTO_GENERADOR!A:A,"-",0)</f>
        <v>-</v>
      </c>
    </row>
    <row r="417" spans="1:18" ht="15" customHeight="1" x14ac:dyDescent="0.35">
      <c r="A417" s="38" t="s">
        <v>2623</v>
      </c>
      <c r="B417" s="38" t="s">
        <v>2774</v>
      </c>
      <c r="C417" s="38" t="s">
        <v>2775</v>
      </c>
      <c r="D417" s="38" t="s">
        <v>951</v>
      </c>
      <c r="E417" s="44" t="str">
        <f>IFERROR(VLOOKUP(D417,MATERIALES!A:B,2,FALSE()),"?")</f>
        <v>Caja rectangular chica</v>
      </c>
      <c r="F417" s="44" t="str">
        <f>IFERROR(VLOOKUP(D417,MATERIALES!A:C,3,FALSE()),"?")</f>
        <v>u</v>
      </c>
      <c r="G417" s="45">
        <v>0.5</v>
      </c>
      <c r="H417" s="46">
        <v>0.05</v>
      </c>
      <c r="I417" s="47">
        <f>IFERROR(VLOOKUP(D417,MATERIALES!A:D,4,FALSE()),0)</f>
        <v>202.42</v>
      </c>
      <c r="J417" s="42">
        <f t="shared" si="48"/>
        <v>106.2705</v>
      </c>
      <c r="K417" s="15" t="str">
        <f t="shared" si="42"/>
        <v>ELE-120|MAT</v>
      </c>
      <c r="L417" s="15">
        <f>COUNTIFS($K$2:K417,K417)</f>
        <v>8</v>
      </c>
      <c r="M417" s="15" t="str">
        <f t="shared" si="43"/>
        <v>ELE-120|MAT|8</v>
      </c>
      <c r="N417" s="47">
        <f>IFERROR(VLOOKUP(A417,PARTIDAS!A:F,6,FALSE()),0)</f>
        <v>3.25</v>
      </c>
      <c r="O417" s="247">
        <f t="shared" si="44"/>
        <v>0.5</v>
      </c>
      <c r="P417" s="247" t="str">
        <f>+_xlfn.XLOOKUP(A417,PPTO_GENERADOR!Q:Q,PPTO_GENERADOR!E:E,"-",0)</f>
        <v>-</v>
      </c>
      <c r="Q417" s="247">
        <f t="shared" si="45"/>
        <v>0</v>
      </c>
      <c r="R417" s="259" t="str">
        <f>+_xlfn.XLOOKUP(A417,PPTO_GENERADOR!$Q:$Q,PPTO_GENERADOR!A:A,"-",0)</f>
        <v>-</v>
      </c>
    </row>
    <row r="418" spans="1:18" ht="15" customHeight="1" x14ac:dyDescent="0.35">
      <c r="A418" s="38" t="s">
        <v>2623</v>
      </c>
      <c r="B418" s="38" t="s">
        <v>2774</v>
      </c>
      <c r="C418" s="38" t="s">
        <v>2775</v>
      </c>
      <c r="D418" s="38" t="s">
        <v>1361</v>
      </c>
      <c r="E418" s="44" t="str">
        <f>IFERROR(VLOOKUP(D418,MATERIALES!A:B,2,FALSE()),"?")</f>
        <v>Consumibles</v>
      </c>
      <c r="F418" s="44" t="str">
        <f>IFERROR(VLOOKUP(D418,MATERIALES!A:C,3,FALSE()),"?")</f>
        <v>gl</v>
      </c>
      <c r="G418" s="45">
        <v>3100.945995</v>
      </c>
      <c r="H418" s="46">
        <v>0</v>
      </c>
      <c r="I418" s="47">
        <f>IFERROR(VLOOKUP(D418,MATERIALES!A:D,4,FALSE()),0)</f>
        <v>1</v>
      </c>
      <c r="J418" s="42">
        <f t="shared" si="48"/>
        <v>3100.945995</v>
      </c>
      <c r="K418" s="15" t="str">
        <f t="shared" si="42"/>
        <v>ELE-120|MAT</v>
      </c>
      <c r="L418" s="15">
        <f>COUNTIFS($K$2:K418,K418)</f>
        <v>9</v>
      </c>
      <c r="M418" s="15" t="str">
        <f t="shared" si="43"/>
        <v>ELE-120|MAT|9</v>
      </c>
      <c r="N418" s="47">
        <f>IFERROR(VLOOKUP(A418,PARTIDAS!A:F,6,FALSE()),0)</f>
        <v>3.25</v>
      </c>
      <c r="O418" s="247">
        <f t="shared" si="44"/>
        <v>3100.945995</v>
      </c>
      <c r="P418" s="247" t="str">
        <f>+_xlfn.XLOOKUP(A418,PPTO_GENERADOR!Q:Q,PPTO_GENERADOR!E:E,"-",0)</f>
        <v>-</v>
      </c>
      <c r="Q418" s="247">
        <f t="shared" si="45"/>
        <v>0</v>
      </c>
      <c r="R418" s="259" t="str">
        <f>+_xlfn.XLOOKUP(A418,PPTO_GENERADOR!$Q:$Q,PPTO_GENERADOR!A:A,"-",0)</f>
        <v>-</v>
      </c>
    </row>
    <row r="419" spans="1:18" ht="15" customHeight="1" x14ac:dyDescent="0.35">
      <c r="A419" s="38" t="s">
        <v>2623</v>
      </c>
      <c r="B419" s="38" t="s">
        <v>2776</v>
      </c>
      <c r="C419" s="38" t="s">
        <v>2777</v>
      </c>
      <c r="D419" s="237" t="s">
        <v>1577</v>
      </c>
      <c r="E419" s="44" t="str">
        <f>IFERROR(VLOOKUP(D419,MANO_DE_OBRA!A:B,2,FALSE()),"?")</f>
        <v>AYUDANTE</v>
      </c>
      <c r="F419" s="44" t="s">
        <v>2778</v>
      </c>
      <c r="G419" s="45">
        <v>1</v>
      </c>
      <c r="H419" s="46">
        <v>0</v>
      </c>
      <c r="I419" s="47">
        <f>IFERROR(VLOOKUP(D419,MANO_DE_OBRA!A:C,3,FALSE()),0)</f>
        <v>60860.580776572002</v>
      </c>
      <c r="J419" s="42">
        <f>G419*I419</f>
        <v>60860.580776572002</v>
      </c>
      <c r="K419" s="15" t="str">
        <f t="shared" si="42"/>
        <v>ELE-120|MO</v>
      </c>
      <c r="L419" s="15">
        <f>COUNTIFS($K$2:K419,K419)</f>
        <v>1</v>
      </c>
      <c r="M419" s="15" t="str">
        <f t="shared" si="43"/>
        <v>ELE-120|MO|1</v>
      </c>
      <c r="N419" s="47">
        <f>IFERROR(VLOOKUP(A419,PARTIDAS!A:F,6,FALSE()),0)</f>
        <v>3.25</v>
      </c>
      <c r="O419" s="247">
        <f t="shared" si="44"/>
        <v>0.30769230769230771</v>
      </c>
      <c r="P419" s="247" t="str">
        <f>+_xlfn.XLOOKUP(A419,PPTO_GENERADOR!Q:Q,PPTO_GENERADOR!E:E,"-",0)</f>
        <v>-</v>
      </c>
      <c r="Q419" s="247">
        <f t="shared" si="45"/>
        <v>0</v>
      </c>
      <c r="R419" s="259" t="str">
        <f>+_xlfn.XLOOKUP(A419,PPTO_GENERADOR!$Q:$Q,PPTO_GENERADOR!A:A,"-",0)</f>
        <v>-</v>
      </c>
    </row>
    <row r="420" spans="1:18" ht="15" customHeight="1" x14ac:dyDescent="0.35">
      <c r="A420" s="38" t="s">
        <v>2623</v>
      </c>
      <c r="B420" s="38" t="s">
        <v>2776</v>
      </c>
      <c r="C420" s="38" t="s">
        <v>2777</v>
      </c>
      <c r="D420" s="237" t="s">
        <v>1568</v>
      </c>
      <c r="E420" s="44" t="str">
        <f>IFERROR(VLOOKUP(D420,MANO_DE_OBRA!A:B,2,FALSE()),"?")</f>
        <v>ESPECIALIZADO</v>
      </c>
      <c r="F420" s="44" t="s">
        <v>2778</v>
      </c>
      <c r="G420" s="45">
        <v>1</v>
      </c>
      <c r="H420" s="46">
        <v>0</v>
      </c>
      <c r="I420" s="47">
        <f>IFERROR(VLOOKUP(D420,MANO_DE_OBRA!A:C,3,FALSE()),0)</f>
        <v>85927.097156571996</v>
      </c>
      <c r="J420" s="42">
        <f>G420*I420</f>
        <v>85927.097156571996</v>
      </c>
      <c r="K420" s="15" t="str">
        <f t="shared" si="42"/>
        <v>ELE-120|MO</v>
      </c>
      <c r="L420" s="15">
        <f>COUNTIFS($K$2:K420,K420)</f>
        <v>2</v>
      </c>
      <c r="M420" s="15" t="str">
        <f t="shared" si="43"/>
        <v>ELE-120|MO|2</v>
      </c>
      <c r="N420" s="47">
        <f>IFERROR(VLOOKUP(A420,PARTIDAS!A:F,6,FALSE()),0)</f>
        <v>3.25</v>
      </c>
      <c r="O420" s="247">
        <f t="shared" si="44"/>
        <v>0.30769230769230771</v>
      </c>
      <c r="P420" s="247" t="str">
        <f>+_xlfn.XLOOKUP(A420,PPTO_GENERADOR!Q:Q,PPTO_GENERADOR!E:E,"-",0)</f>
        <v>-</v>
      </c>
      <c r="Q420" s="247">
        <f t="shared" si="45"/>
        <v>0</v>
      </c>
      <c r="R420" s="259" t="str">
        <f>+_xlfn.XLOOKUP(A420,PPTO_GENERADOR!$Q:$Q,PPTO_GENERADOR!A:A,"-",0)</f>
        <v>-</v>
      </c>
    </row>
    <row r="421" spans="1:18" ht="15" customHeight="1" x14ac:dyDescent="0.35">
      <c r="A421" s="38" t="s">
        <v>2630</v>
      </c>
      <c r="B421" s="38" t="s">
        <v>2773</v>
      </c>
      <c r="C421" s="38"/>
      <c r="D421" s="38" t="s">
        <v>1592</v>
      </c>
      <c r="E421" s="44" t="str">
        <f>IFERROR(VLOOKUP(D421,EQUIPOS!A:B,2,FALSE()),"?")</f>
        <v>ANDAMIO TUBULAR DE UNO A TRES CUERPOS</v>
      </c>
      <c r="F421" s="44"/>
      <c r="G421" s="45">
        <v>0.5</v>
      </c>
      <c r="H421" s="46">
        <v>0</v>
      </c>
      <c r="I421" s="47">
        <f>IFERROR(VLOOKUP(D421,EQUIPOS!A:F,6,FALSE()),0)</f>
        <v>571.1794909807611</v>
      </c>
      <c r="J421" s="42">
        <f>G421*I421</f>
        <v>285.58974549038055</v>
      </c>
      <c r="K421" s="15" t="str">
        <f t="shared" si="42"/>
        <v>ELE-121|EQ</v>
      </c>
      <c r="L421" s="15">
        <f>COUNTIFS($K$2:K421,K421)</f>
        <v>1</v>
      </c>
      <c r="M421" s="15" t="str">
        <f t="shared" si="43"/>
        <v>ELE-121|EQ|1</v>
      </c>
      <c r="N421" s="47">
        <f>IFERROR(VLOOKUP(A421,PARTIDAS!A:F,6,FALSE()),0)</f>
        <v>3.25</v>
      </c>
      <c r="O421" s="247">
        <f t="shared" si="44"/>
        <v>0.5</v>
      </c>
      <c r="P421" s="247" t="str">
        <f>+_xlfn.XLOOKUP(A421,PPTO_GENERADOR!Q:Q,PPTO_GENERADOR!E:E,"-",0)</f>
        <v>-</v>
      </c>
      <c r="Q421" s="247">
        <f t="shared" si="45"/>
        <v>0</v>
      </c>
      <c r="R421" s="259" t="str">
        <f>+_xlfn.XLOOKUP(A421,PPTO_GENERADOR!$Q:$Q,PPTO_GENERADOR!A:A,"-",0)</f>
        <v>-</v>
      </c>
    </row>
    <row r="422" spans="1:18" ht="15" customHeight="1" x14ac:dyDescent="0.35">
      <c r="A422" s="38" t="s">
        <v>2630</v>
      </c>
      <c r="B422" s="38" t="s">
        <v>2773</v>
      </c>
      <c r="C422" s="38"/>
      <c r="D422" s="38" t="s">
        <v>1601</v>
      </c>
      <c r="E422" s="44" t="str">
        <f>IFERROR(VLOOKUP(D422,EQUIPOS!A:B,2,FALSE()),"?")</f>
        <v>EQUIPO PARA INSTALACION ELECTRICA</v>
      </c>
      <c r="F422" s="44"/>
      <c r="G422" s="45">
        <v>1</v>
      </c>
      <c r="H422" s="46">
        <v>0</v>
      </c>
      <c r="I422" s="47">
        <f>IFERROR(VLOOKUP(D422,EQUIPOS!A:F,6,FALSE()),0)</f>
        <v>5063.0947914732405</v>
      </c>
      <c r="J422" s="42">
        <f>G422*I422</f>
        <v>5063.0947914732405</v>
      </c>
      <c r="K422" s="15" t="str">
        <f t="shared" si="42"/>
        <v>ELE-121|EQ</v>
      </c>
      <c r="L422" s="15">
        <f>COUNTIFS($K$2:K422,K422)</f>
        <v>2</v>
      </c>
      <c r="M422" s="15" t="str">
        <f t="shared" si="43"/>
        <v>ELE-121|EQ|2</v>
      </c>
      <c r="N422" s="47">
        <f>IFERROR(VLOOKUP(A422,PARTIDAS!A:F,6,FALSE()),0)</f>
        <v>3.25</v>
      </c>
      <c r="O422" s="247">
        <f t="shared" si="44"/>
        <v>1</v>
      </c>
      <c r="P422" s="247" t="str">
        <f>+_xlfn.XLOOKUP(A422,PPTO_GENERADOR!Q:Q,PPTO_GENERADOR!E:E,"-",0)</f>
        <v>-</v>
      </c>
      <c r="Q422" s="247">
        <f t="shared" si="45"/>
        <v>0</v>
      </c>
      <c r="R422" s="259" t="str">
        <f>+_xlfn.XLOOKUP(A422,PPTO_GENERADOR!$Q:$Q,PPTO_GENERADOR!A:A,"-",0)</f>
        <v>-</v>
      </c>
    </row>
    <row r="423" spans="1:18" ht="15" customHeight="1" x14ac:dyDescent="0.35">
      <c r="A423" s="38" t="s">
        <v>2630</v>
      </c>
      <c r="B423" s="38" t="s">
        <v>2773</v>
      </c>
      <c r="C423" s="38"/>
      <c r="D423" s="38" t="s">
        <v>1622</v>
      </c>
      <c r="E423" s="44" t="str">
        <f>IFERROR(VLOOKUP(D423,EQUIPOS!A:B,2,FALSE()),"?")</f>
        <v>ESCALERA GLOSS ALUMINIO ARTICULADA 4 X 4 ESCALONES HASTA 150KG</v>
      </c>
      <c r="F423" s="44"/>
      <c r="G423" s="45">
        <v>0.5</v>
      </c>
      <c r="H423" s="46">
        <v>0</v>
      </c>
      <c r="I423" s="47">
        <f>IFERROR(VLOOKUP(D423,EQUIPOS!A:F,6,FALSE()),0)</f>
        <v>140.19809259430903</v>
      </c>
      <c r="J423" s="42">
        <f>G423*I423</f>
        <v>70.099046297154516</v>
      </c>
      <c r="K423" s="15" t="str">
        <f t="shared" si="42"/>
        <v>ELE-121|EQ</v>
      </c>
      <c r="L423" s="15">
        <f>COUNTIFS($K$2:K423,K423)</f>
        <v>3</v>
      </c>
      <c r="M423" s="15" t="str">
        <f t="shared" si="43"/>
        <v>ELE-121|EQ|3</v>
      </c>
      <c r="N423" s="47">
        <f>IFERROR(VLOOKUP(A423,PARTIDAS!A:F,6,FALSE()),0)</f>
        <v>3.25</v>
      </c>
      <c r="O423" s="247">
        <f t="shared" si="44"/>
        <v>0.5</v>
      </c>
      <c r="P423" s="247" t="str">
        <f>+_xlfn.XLOOKUP(A423,PPTO_GENERADOR!Q:Q,PPTO_GENERADOR!E:E,"-",0)</f>
        <v>-</v>
      </c>
      <c r="Q423" s="247">
        <f t="shared" si="45"/>
        <v>0</v>
      </c>
      <c r="R423" s="259" t="str">
        <f>+_xlfn.XLOOKUP(A423,PPTO_GENERADOR!$Q:$Q,PPTO_GENERADOR!A:A,"-",0)</f>
        <v>-</v>
      </c>
    </row>
    <row r="424" spans="1:18" ht="15" customHeight="1" x14ac:dyDescent="0.35">
      <c r="A424" s="38" t="s">
        <v>2630</v>
      </c>
      <c r="B424" s="38" t="s">
        <v>2774</v>
      </c>
      <c r="C424" s="38" t="s">
        <v>2775</v>
      </c>
      <c r="D424" s="38" t="s">
        <v>926</v>
      </c>
      <c r="E424" s="44" t="str">
        <f>IFERROR(VLOOKUP(D424,MATERIALES!A:B,2,FALSE()),"?")</f>
        <v>Conector hierro 3/4"</v>
      </c>
      <c r="F424" s="44" t="str">
        <f>IFERROR(VLOOKUP(D424,MATERIALES!A:C,3,FALSE()),"?")</f>
        <v>u</v>
      </c>
      <c r="G424" s="45">
        <v>4</v>
      </c>
      <c r="H424" s="46">
        <v>0.1</v>
      </c>
      <c r="I424" s="47">
        <f>IFERROR(VLOOKUP(D424,MATERIALES!A:D,4,FALSE()),0)</f>
        <v>225.83199999999999</v>
      </c>
      <c r="J424" s="42">
        <f t="shared" ref="J424:J430" si="49">G424*I424*(1+H424)</f>
        <v>993.66080000000011</v>
      </c>
      <c r="K424" s="15" t="str">
        <f t="shared" si="42"/>
        <v>ELE-121|MAT</v>
      </c>
      <c r="L424" s="15">
        <f>COUNTIFS($K$2:K424,K424)</f>
        <v>1</v>
      </c>
      <c r="M424" s="15" t="str">
        <f t="shared" si="43"/>
        <v>ELE-121|MAT|1</v>
      </c>
      <c r="N424" s="47">
        <f>IFERROR(VLOOKUP(A424,PARTIDAS!A:F,6,FALSE()),0)</f>
        <v>3.25</v>
      </c>
      <c r="O424" s="247">
        <f t="shared" si="44"/>
        <v>4</v>
      </c>
      <c r="P424" s="247" t="str">
        <f>+_xlfn.XLOOKUP(A424,PPTO_GENERADOR!Q:Q,PPTO_GENERADOR!E:E,"-",0)</f>
        <v>-</v>
      </c>
      <c r="Q424" s="247">
        <f t="shared" si="45"/>
        <v>0</v>
      </c>
      <c r="R424" s="259" t="str">
        <f>+_xlfn.XLOOKUP(A424,PPTO_GENERADOR!$Q:$Q,PPTO_GENERADOR!A:A,"-",0)</f>
        <v>-</v>
      </c>
    </row>
    <row r="425" spans="1:18" ht="15" customHeight="1" x14ac:dyDescent="0.35">
      <c r="A425" s="38" t="s">
        <v>2630</v>
      </c>
      <c r="B425" s="38" t="s">
        <v>2774</v>
      </c>
      <c r="C425" s="38" t="s">
        <v>2775</v>
      </c>
      <c r="D425" s="38" t="s">
        <v>924</v>
      </c>
      <c r="E425" s="44" t="str">
        <f>IFERROR(VLOOKUP(D425,MATERIALES!A:B,2,FALSE()),"?")</f>
        <v>Caño rigido 3/4"</v>
      </c>
      <c r="F425" s="44" t="str">
        <f>IFERROR(VLOOKUP(D425,MATERIALES!A:C,3,FALSE()),"?")</f>
        <v>ml</v>
      </c>
      <c r="G425" s="45">
        <v>5</v>
      </c>
      <c r="H425" s="46">
        <v>0.05</v>
      </c>
      <c r="I425" s="47">
        <f>IFERROR(VLOOKUP(D425,MATERIALES!A:D,4,FALSE()),0)</f>
        <v>472.18</v>
      </c>
      <c r="J425" s="42">
        <f t="shared" si="49"/>
        <v>2478.9450000000002</v>
      </c>
      <c r="K425" s="15" t="str">
        <f t="shared" si="42"/>
        <v>ELE-121|MAT</v>
      </c>
      <c r="L425" s="15">
        <f>COUNTIFS($K$2:K425,K425)</f>
        <v>2</v>
      </c>
      <c r="M425" s="15" t="str">
        <f t="shared" si="43"/>
        <v>ELE-121|MAT|2</v>
      </c>
      <c r="N425" s="47">
        <f>IFERROR(VLOOKUP(A425,PARTIDAS!A:F,6,FALSE()),0)</f>
        <v>3.25</v>
      </c>
      <c r="O425" s="247">
        <f t="shared" si="44"/>
        <v>5</v>
      </c>
      <c r="P425" s="247" t="str">
        <f>+_xlfn.XLOOKUP(A425,PPTO_GENERADOR!Q:Q,PPTO_GENERADOR!E:E,"-",0)</f>
        <v>-</v>
      </c>
      <c r="Q425" s="247">
        <f t="shared" si="45"/>
        <v>0</v>
      </c>
      <c r="R425" s="259" t="str">
        <f>+_xlfn.XLOOKUP(A425,PPTO_GENERADOR!$Q:$Q,PPTO_GENERADOR!A:A,"-",0)</f>
        <v>-</v>
      </c>
    </row>
    <row r="426" spans="1:18" ht="15" customHeight="1" x14ac:dyDescent="0.35">
      <c r="A426" s="38" t="s">
        <v>2630</v>
      </c>
      <c r="B426" s="38" t="s">
        <v>2774</v>
      </c>
      <c r="C426" s="38" t="s">
        <v>2775</v>
      </c>
      <c r="D426" s="38" t="s">
        <v>932</v>
      </c>
      <c r="E426" s="44" t="str">
        <f>IFERROR(VLOOKUP(D426,MATERIALES!A:B,2,FALSE()),"?")</f>
        <v>Cupla PVC 3/4"</v>
      </c>
      <c r="F426" s="44" t="str">
        <f>IFERROR(VLOOKUP(D426,MATERIALES!A:C,3,FALSE()),"?")</f>
        <v>u</v>
      </c>
      <c r="G426" s="45">
        <v>1.2</v>
      </c>
      <c r="H426" s="46">
        <v>0.1</v>
      </c>
      <c r="I426" s="47">
        <f>IFERROR(VLOOKUP(D426,MATERIALES!A:D,4,FALSE()),0)</f>
        <v>110.922</v>
      </c>
      <c r="J426" s="42">
        <f t="shared" si="49"/>
        <v>146.41703999999999</v>
      </c>
      <c r="K426" s="15" t="str">
        <f t="shared" si="42"/>
        <v>ELE-121|MAT</v>
      </c>
      <c r="L426" s="15">
        <f>COUNTIFS($K$2:K426,K426)</f>
        <v>3</v>
      </c>
      <c r="M426" s="15" t="str">
        <f t="shared" si="43"/>
        <v>ELE-121|MAT|3</v>
      </c>
      <c r="N426" s="47">
        <f>IFERROR(VLOOKUP(A426,PARTIDAS!A:F,6,FALSE()),0)</f>
        <v>3.25</v>
      </c>
      <c r="O426" s="247">
        <f t="shared" si="44"/>
        <v>1.2</v>
      </c>
      <c r="P426" s="247" t="str">
        <f>+_xlfn.XLOOKUP(A426,PPTO_GENERADOR!Q:Q,PPTO_GENERADOR!E:E,"-",0)</f>
        <v>-</v>
      </c>
      <c r="Q426" s="247">
        <f t="shared" si="45"/>
        <v>0</v>
      </c>
      <c r="R426" s="259" t="str">
        <f>+_xlfn.XLOOKUP(A426,PPTO_GENERADOR!$Q:$Q,PPTO_GENERADOR!A:A,"-",0)</f>
        <v>-</v>
      </c>
    </row>
    <row r="427" spans="1:18" ht="15" customHeight="1" x14ac:dyDescent="0.35">
      <c r="A427" s="38" t="s">
        <v>2630</v>
      </c>
      <c r="B427" s="38" t="s">
        <v>2774</v>
      </c>
      <c r="C427" s="38" t="s">
        <v>2775</v>
      </c>
      <c r="D427" s="38" t="s">
        <v>941</v>
      </c>
      <c r="E427" s="44" t="str">
        <f>IFERROR(VLOOKUP(D427,MATERIALES!A:B,2,FALSE()),"?")</f>
        <v>Cable unipolar 1 x 2,50 VA</v>
      </c>
      <c r="F427" s="44" t="str">
        <f>IFERROR(VLOOKUP(D427,MATERIALES!A:C,3,FALSE()),"?")</f>
        <v>ml</v>
      </c>
      <c r="G427" s="45">
        <v>5</v>
      </c>
      <c r="H427" s="46">
        <v>0.1</v>
      </c>
      <c r="I427" s="47">
        <f>IFERROR(VLOOKUP(D427,MATERIALES!A:D,4,FALSE()),0)</f>
        <v>509.31490000000002</v>
      </c>
      <c r="J427" s="42">
        <f t="shared" si="49"/>
        <v>2801.2319500000003</v>
      </c>
      <c r="K427" s="15" t="str">
        <f t="shared" si="42"/>
        <v>ELE-121|MAT</v>
      </c>
      <c r="L427" s="15">
        <f>COUNTIFS($K$2:K427,K427)</f>
        <v>4</v>
      </c>
      <c r="M427" s="15" t="str">
        <f t="shared" si="43"/>
        <v>ELE-121|MAT|4</v>
      </c>
      <c r="N427" s="47">
        <f>IFERROR(VLOOKUP(A427,PARTIDAS!A:F,6,FALSE()),0)</f>
        <v>3.25</v>
      </c>
      <c r="O427" s="247">
        <f t="shared" si="44"/>
        <v>5</v>
      </c>
      <c r="P427" s="247" t="str">
        <f>+_xlfn.XLOOKUP(A427,PPTO_GENERADOR!Q:Q,PPTO_GENERADOR!E:E,"-",0)</f>
        <v>-</v>
      </c>
      <c r="Q427" s="247">
        <f t="shared" si="45"/>
        <v>0</v>
      </c>
      <c r="R427" s="259" t="str">
        <f>+_xlfn.XLOOKUP(A427,PPTO_GENERADOR!$Q:$Q,PPTO_GENERADOR!A:A,"-",0)</f>
        <v>-</v>
      </c>
    </row>
    <row r="428" spans="1:18" ht="15" customHeight="1" x14ac:dyDescent="0.35">
      <c r="A428" s="38" t="s">
        <v>2630</v>
      </c>
      <c r="B428" s="38" t="s">
        <v>2774</v>
      </c>
      <c r="C428" s="38" t="s">
        <v>2775</v>
      </c>
      <c r="D428" s="38" t="s">
        <v>943</v>
      </c>
      <c r="E428" s="44" t="str">
        <f>IFERROR(VLOOKUP(D428,MATERIALES!A:B,2,FALSE()),"?")</f>
        <v>Cable unipolar 1 x 2,50 Rojo/Marron/Negro</v>
      </c>
      <c r="F428" s="44" t="str">
        <f>IFERROR(VLOOKUP(D428,MATERIALES!A:C,3,FALSE()),"?")</f>
        <v>ml</v>
      </c>
      <c r="G428" s="45">
        <v>10</v>
      </c>
      <c r="H428" s="46">
        <v>0.1</v>
      </c>
      <c r="I428" s="47">
        <f>IFERROR(VLOOKUP(D428,MATERIALES!A:D,4,FALSE()),0)</f>
        <v>509.31490000000002</v>
      </c>
      <c r="J428" s="42">
        <f t="shared" si="49"/>
        <v>5602.4639000000006</v>
      </c>
      <c r="K428" s="15" t="str">
        <f t="shared" si="42"/>
        <v>ELE-121|MAT</v>
      </c>
      <c r="L428" s="15">
        <f>COUNTIFS($K$2:K428,K428)</f>
        <v>5</v>
      </c>
      <c r="M428" s="15" t="str">
        <f t="shared" si="43"/>
        <v>ELE-121|MAT|5</v>
      </c>
      <c r="N428" s="47">
        <f>IFERROR(VLOOKUP(A428,PARTIDAS!A:F,6,FALSE()),0)</f>
        <v>3.25</v>
      </c>
      <c r="O428" s="247">
        <f t="shared" si="44"/>
        <v>10</v>
      </c>
      <c r="P428" s="247" t="str">
        <f>+_xlfn.XLOOKUP(A428,PPTO_GENERADOR!Q:Q,PPTO_GENERADOR!E:E,"-",0)</f>
        <v>-</v>
      </c>
      <c r="Q428" s="247">
        <f t="shared" si="45"/>
        <v>0</v>
      </c>
      <c r="R428" s="259" t="str">
        <f>+_xlfn.XLOOKUP(A428,PPTO_GENERADOR!$Q:$Q,PPTO_GENERADOR!A:A,"-",0)</f>
        <v>-</v>
      </c>
    </row>
    <row r="429" spans="1:18" ht="15" customHeight="1" x14ac:dyDescent="0.35">
      <c r="A429" s="38" t="s">
        <v>2630</v>
      </c>
      <c r="B429" s="38" t="s">
        <v>2774</v>
      </c>
      <c r="C429" s="38" t="s">
        <v>2775</v>
      </c>
      <c r="D429" s="38" t="s">
        <v>951</v>
      </c>
      <c r="E429" s="44" t="str">
        <f>IFERROR(VLOOKUP(D429,MATERIALES!A:B,2,FALSE()),"?")</f>
        <v>Caja rectangular chica</v>
      </c>
      <c r="F429" s="44" t="str">
        <f>IFERROR(VLOOKUP(D429,MATERIALES!A:C,3,FALSE()),"?")</f>
        <v>u</v>
      </c>
      <c r="G429" s="45">
        <v>1</v>
      </c>
      <c r="H429" s="46">
        <v>0.05</v>
      </c>
      <c r="I429" s="47">
        <f>IFERROR(VLOOKUP(D429,MATERIALES!A:D,4,FALSE()),0)</f>
        <v>202.42</v>
      </c>
      <c r="J429" s="42">
        <f t="shared" si="49"/>
        <v>212.541</v>
      </c>
      <c r="K429" s="15" t="str">
        <f t="shared" si="42"/>
        <v>ELE-121|MAT</v>
      </c>
      <c r="L429" s="15">
        <f>COUNTIFS($K$2:K429,K429)</f>
        <v>6</v>
      </c>
      <c r="M429" s="15" t="str">
        <f t="shared" si="43"/>
        <v>ELE-121|MAT|6</v>
      </c>
      <c r="N429" s="47">
        <f>IFERROR(VLOOKUP(A429,PARTIDAS!A:F,6,FALSE()),0)</f>
        <v>3.25</v>
      </c>
      <c r="O429" s="247">
        <f t="shared" si="44"/>
        <v>1</v>
      </c>
      <c r="P429" s="247" t="str">
        <f>+_xlfn.XLOOKUP(A429,PPTO_GENERADOR!Q:Q,PPTO_GENERADOR!E:E,"-",0)</f>
        <v>-</v>
      </c>
      <c r="Q429" s="247">
        <f t="shared" si="45"/>
        <v>0</v>
      </c>
      <c r="R429" s="259" t="str">
        <f>+_xlfn.XLOOKUP(A429,PPTO_GENERADOR!$Q:$Q,PPTO_GENERADOR!A:A,"-",0)</f>
        <v>-</v>
      </c>
    </row>
    <row r="430" spans="1:18" ht="15" customHeight="1" x14ac:dyDescent="0.35">
      <c r="A430" s="38" t="s">
        <v>2630</v>
      </c>
      <c r="B430" s="38" t="s">
        <v>2774</v>
      </c>
      <c r="C430" s="38" t="s">
        <v>2775</v>
      </c>
      <c r="D430" s="38" t="s">
        <v>1361</v>
      </c>
      <c r="E430" s="44" t="str">
        <f>IFERROR(VLOOKUP(D430,MATERIALES!A:B,2,FALSE()),"?")</f>
        <v>Consumibles</v>
      </c>
      <c r="F430" s="44" t="str">
        <f>IFERROR(VLOOKUP(D430,MATERIALES!A:C,3,FALSE()),"?")</f>
        <v>gl</v>
      </c>
      <c r="G430" s="45">
        <v>2569.4045348999998</v>
      </c>
      <c r="H430" s="46">
        <v>0</v>
      </c>
      <c r="I430" s="47">
        <f>IFERROR(VLOOKUP(D430,MATERIALES!A:D,4,FALSE()),0)</f>
        <v>1</v>
      </c>
      <c r="J430" s="42">
        <f t="shared" si="49"/>
        <v>2569.4045348999998</v>
      </c>
      <c r="K430" s="15" t="str">
        <f t="shared" si="42"/>
        <v>ELE-121|MAT</v>
      </c>
      <c r="L430" s="15">
        <f>COUNTIFS($K$2:K430,K430)</f>
        <v>7</v>
      </c>
      <c r="M430" s="15" t="str">
        <f t="shared" si="43"/>
        <v>ELE-121|MAT|7</v>
      </c>
      <c r="N430" s="47">
        <f>IFERROR(VLOOKUP(A430,PARTIDAS!A:F,6,FALSE()),0)</f>
        <v>3.25</v>
      </c>
      <c r="O430" s="247">
        <f t="shared" si="44"/>
        <v>2569.4045348999998</v>
      </c>
      <c r="P430" s="247" t="str">
        <f>+_xlfn.XLOOKUP(A430,PPTO_GENERADOR!Q:Q,PPTO_GENERADOR!E:E,"-",0)</f>
        <v>-</v>
      </c>
      <c r="Q430" s="247">
        <f t="shared" si="45"/>
        <v>0</v>
      </c>
      <c r="R430" s="259" t="str">
        <f>+_xlfn.XLOOKUP(A430,PPTO_GENERADOR!$Q:$Q,PPTO_GENERADOR!A:A,"-",0)</f>
        <v>-</v>
      </c>
    </row>
    <row r="431" spans="1:18" ht="15" customHeight="1" x14ac:dyDescent="0.35">
      <c r="A431" s="38" t="s">
        <v>2630</v>
      </c>
      <c r="B431" s="38" t="s">
        <v>2776</v>
      </c>
      <c r="C431" s="38" t="s">
        <v>2777</v>
      </c>
      <c r="D431" s="237" t="s">
        <v>1577</v>
      </c>
      <c r="E431" s="44" t="str">
        <f>IFERROR(VLOOKUP(D431,MANO_DE_OBRA!A:B,2,FALSE()),"?")</f>
        <v>AYUDANTE</v>
      </c>
      <c r="F431" s="44" t="s">
        <v>2778</v>
      </c>
      <c r="G431" s="45">
        <v>1</v>
      </c>
      <c r="H431" s="46">
        <v>0</v>
      </c>
      <c r="I431" s="47">
        <f>IFERROR(VLOOKUP(D431,MANO_DE_OBRA!A:C,3,FALSE()),0)</f>
        <v>60860.580776572002</v>
      </c>
      <c r="J431" s="42">
        <f>G431*I431</f>
        <v>60860.580776572002</v>
      </c>
      <c r="K431" s="15" t="str">
        <f t="shared" si="42"/>
        <v>ELE-121|MO</v>
      </c>
      <c r="L431" s="15">
        <f>COUNTIFS($K$2:K431,K431)</f>
        <v>1</v>
      </c>
      <c r="M431" s="15" t="str">
        <f t="shared" si="43"/>
        <v>ELE-121|MO|1</v>
      </c>
      <c r="N431" s="47">
        <f>IFERROR(VLOOKUP(A431,PARTIDAS!A:F,6,FALSE()),0)</f>
        <v>3.25</v>
      </c>
      <c r="O431" s="247">
        <f t="shared" si="44"/>
        <v>0.30769230769230771</v>
      </c>
      <c r="P431" s="247" t="str">
        <f>+_xlfn.XLOOKUP(A431,PPTO_GENERADOR!Q:Q,PPTO_GENERADOR!E:E,"-",0)</f>
        <v>-</v>
      </c>
      <c r="Q431" s="247">
        <f t="shared" si="45"/>
        <v>0</v>
      </c>
      <c r="R431" s="259" t="str">
        <f>+_xlfn.XLOOKUP(A431,PPTO_GENERADOR!$Q:$Q,PPTO_GENERADOR!A:A,"-",0)</f>
        <v>-</v>
      </c>
    </row>
    <row r="432" spans="1:18" ht="15" customHeight="1" x14ac:dyDescent="0.35">
      <c r="A432" s="38" t="s">
        <v>2630</v>
      </c>
      <c r="B432" s="38" t="s">
        <v>2776</v>
      </c>
      <c r="C432" s="38" t="s">
        <v>2777</v>
      </c>
      <c r="D432" s="237" t="s">
        <v>1568</v>
      </c>
      <c r="E432" s="44" t="str">
        <f>IFERROR(VLOOKUP(D432,MANO_DE_OBRA!A:B,2,FALSE()),"?")</f>
        <v>ESPECIALIZADO</v>
      </c>
      <c r="F432" s="44" t="s">
        <v>2778</v>
      </c>
      <c r="G432" s="45">
        <v>1</v>
      </c>
      <c r="H432" s="46">
        <v>0</v>
      </c>
      <c r="I432" s="47">
        <f>IFERROR(VLOOKUP(D432,MANO_DE_OBRA!A:C,3,FALSE()),0)</f>
        <v>85927.097156571996</v>
      </c>
      <c r="J432" s="42">
        <f>G432*I432</f>
        <v>85927.097156571996</v>
      </c>
      <c r="K432" s="15" t="str">
        <f t="shared" si="42"/>
        <v>ELE-121|MO</v>
      </c>
      <c r="L432" s="15">
        <f>COUNTIFS($K$2:K432,K432)</f>
        <v>2</v>
      </c>
      <c r="M432" s="15" t="str">
        <f t="shared" si="43"/>
        <v>ELE-121|MO|2</v>
      </c>
      <c r="N432" s="47">
        <f>IFERROR(VLOOKUP(A432,PARTIDAS!A:F,6,FALSE()),0)</f>
        <v>3.25</v>
      </c>
      <c r="O432" s="247">
        <f t="shared" si="44"/>
        <v>0.30769230769230771</v>
      </c>
      <c r="P432" s="247" t="str">
        <f>+_xlfn.XLOOKUP(A432,PPTO_GENERADOR!Q:Q,PPTO_GENERADOR!E:E,"-",0)</f>
        <v>-</v>
      </c>
      <c r="Q432" s="247">
        <f t="shared" si="45"/>
        <v>0</v>
      </c>
      <c r="R432" s="259" t="str">
        <f>+_xlfn.XLOOKUP(A432,PPTO_GENERADOR!$Q:$Q,PPTO_GENERADOR!A:A,"-",0)</f>
        <v>-</v>
      </c>
    </row>
    <row r="433" spans="1:18" ht="15" customHeight="1" x14ac:dyDescent="0.35">
      <c r="A433" s="38" t="s">
        <v>2635</v>
      </c>
      <c r="B433" s="38" t="s">
        <v>2774</v>
      </c>
      <c r="C433" s="38" t="s">
        <v>2775</v>
      </c>
      <c r="D433" s="38" t="s">
        <v>959</v>
      </c>
      <c r="E433" s="44" t="str">
        <f>IFERROR(VLOOKUP(D433,MATERIALES!A:B,2,FALSE()),"?")</f>
        <v>SMARTTRAY CUPLA UNION  JBCC-M6-100</v>
      </c>
      <c r="F433" s="44" t="str">
        <f>IFERROR(VLOOKUP(D433,MATERIALES!A:C,3,FALSE()),"?")</f>
        <v>u</v>
      </c>
      <c r="G433" s="45">
        <v>1.4999999999999999E-2</v>
      </c>
      <c r="H433" s="46">
        <v>1E-3</v>
      </c>
      <c r="I433" s="47">
        <f>IFERROR(VLOOKUP(D433,MATERIALES!A:D,4,FALSE()),0)</f>
        <v>13078.33</v>
      </c>
      <c r="J433" s="42">
        <f t="shared" ref="J433:J441" si="50">G433*I433*(1+H433)</f>
        <v>196.37112494999997</v>
      </c>
      <c r="K433" s="15" t="str">
        <f t="shared" si="42"/>
        <v>ELE-122|MAT</v>
      </c>
      <c r="L433" s="15">
        <f>COUNTIFS($K$2:K433,K433)</f>
        <v>1</v>
      </c>
      <c r="M433" s="15" t="str">
        <f t="shared" si="43"/>
        <v>ELE-122|MAT|1</v>
      </c>
      <c r="N433" s="47">
        <f>IFERROR(VLOOKUP(A433,PARTIDAS!A:F,6,FALSE()),0)</f>
        <v>12</v>
      </c>
      <c r="O433" s="247">
        <f t="shared" si="44"/>
        <v>1.4999999999999999E-2</v>
      </c>
      <c r="P433" s="247" t="str">
        <f>+_xlfn.XLOOKUP(A433,PPTO_GENERADOR!Q:Q,PPTO_GENERADOR!E:E,"-",0)</f>
        <v>-</v>
      </c>
      <c r="Q433" s="247">
        <f t="shared" si="45"/>
        <v>0</v>
      </c>
      <c r="R433" s="259" t="str">
        <f>+_xlfn.XLOOKUP(A433,PPTO_GENERADOR!$Q:$Q,PPTO_GENERADOR!A:A,"-",0)</f>
        <v>-</v>
      </c>
    </row>
    <row r="434" spans="1:18" ht="15" customHeight="1" x14ac:dyDescent="0.35">
      <c r="A434" s="38" t="s">
        <v>2635</v>
      </c>
      <c r="B434" s="38" t="s">
        <v>2774</v>
      </c>
      <c r="C434" s="38" t="s">
        <v>2775</v>
      </c>
      <c r="D434" s="38" t="s">
        <v>961</v>
      </c>
      <c r="E434" s="44" t="str">
        <f>IFERROR(VLOOKUP(D434,MATERIALES!A:B,2,FALSE()),"?")</f>
        <v>GRAMPA FIJACIÓN CABLE</v>
      </c>
      <c r="F434" s="44" t="str">
        <f>IFERROR(VLOOKUP(D434,MATERIALES!A:C,3,FALSE()),"?")</f>
        <v>u</v>
      </c>
      <c r="G434" s="45">
        <v>0.35</v>
      </c>
      <c r="H434" s="46">
        <v>1E-3</v>
      </c>
      <c r="I434" s="47">
        <f>IFERROR(VLOOKUP(D434,MATERIALES!A:D,4,FALSE()),0)</f>
        <v>1980.42</v>
      </c>
      <c r="J434" s="42">
        <f t="shared" si="50"/>
        <v>693.84014699999989</v>
      </c>
      <c r="K434" s="15" t="str">
        <f t="shared" si="42"/>
        <v>ELE-122|MAT</v>
      </c>
      <c r="L434" s="15">
        <f>COUNTIFS($K$2:K434,K434)</f>
        <v>2</v>
      </c>
      <c r="M434" s="15" t="str">
        <f t="shared" si="43"/>
        <v>ELE-122|MAT|2</v>
      </c>
      <c r="N434" s="47">
        <f>IFERROR(VLOOKUP(A434,PARTIDAS!A:F,6,FALSE()),0)</f>
        <v>12</v>
      </c>
      <c r="O434" s="247">
        <f t="shared" si="44"/>
        <v>0.35</v>
      </c>
      <c r="P434" s="247" t="str">
        <f>+_xlfn.XLOOKUP(A434,PPTO_GENERADOR!Q:Q,PPTO_GENERADOR!E:E,"-",0)</f>
        <v>-</v>
      </c>
      <c r="Q434" s="247">
        <f t="shared" si="45"/>
        <v>0</v>
      </c>
      <c r="R434" s="259" t="str">
        <f>+_xlfn.XLOOKUP(A434,PPTO_GENERADOR!$Q:$Q,PPTO_GENERADOR!A:A,"-",0)</f>
        <v>-</v>
      </c>
    </row>
    <row r="435" spans="1:18" ht="15" customHeight="1" x14ac:dyDescent="0.35">
      <c r="A435" s="38" t="s">
        <v>2635</v>
      </c>
      <c r="B435" s="38" t="s">
        <v>2774</v>
      </c>
      <c r="C435" s="38" t="s">
        <v>2775</v>
      </c>
      <c r="D435" s="38" t="s">
        <v>953</v>
      </c>
      <c r="E435" s="44" t="str">
        <f>IFERROR(VLOOKUP(D435,MATERIALES!A:B,2,FALSE()),"?")</f>
        <v>SMARTTRAY TRX3M BJA PERF 200-22</v>
      </c>
      <c r="F435" s="44" t="str">
        <f>IFERROR(VLOOKUP(D435,MATERIALES!A:C,3,FALSE()),"?")</f>
        <v>u</v>
      </c>
      <c r="G435" s="45">
        <v>0.35</v>
      </c>
      <c r="H435" s="46">
        <v>5.0000000000000001E-4</v>
      </c>
      <c r="I435" s="47">
        <f>IFERROR(VLOOKUP(D435,MATERIALES!A:D,4,FALSE()),0)</f>
        <v>23404.92</v>
      </c>
      <c r="J435" s="42">
        <f t="shared" si="50"/>
        <v>8195.8178609999977</v>
      </c>
      <c r="K435" s="15" t="str">
        <f t="shared" si="42"/>
        <v>ELE-122|MAT</v>
      </c>
      <c r="L435" s="15">
        <f>COUNTIFS($K$2:K435,K435)</f>
        <v>3</v>
      </c>
      <c r="M435" s="15" t="str">
        <f t="shared" si="43"/>
        <v>ELE-122|MAT|3</v>
      </c>
      <c r="N435" s="47">
        <f>IFERROR(VLOOKUP(A435,PARTIDAS!A:F,6,FALSE()),0)</f>
        <v>12</v>
      </c>
      <c r="O435" s="247">
        <f t="shared" si="44"/>
        <v>0.35</v>
      </c>
      <c r="P435" s="247" t="str">
        <f>+_xlfn.XLOOKUP(A435,PPTO_GENERADOR!Q:Q,PPTO_GENERADOR!E:E,"-",0)</f>
        <v>-</v>
      </c>
      <c r="Q435" s="247">
        <f t="shared" si="45"/>
        <v>0</v>
      </c>
      <c r="R435" s="259" t="str">
        <f>+_xlfn.XLOOKUP(A435,PPTO_GENERADOR!$Q:$Q,PPTO_GENERADOR!A:A,"-",0)</f>
        <v>-</v>
      </c>
    </row>
    <row r="436" spans="1:18" ht="15" customHeight="1" x14ac:dyDescent="0.35">
      <c r="A436" s="38" t="s">
        <v>2635</v>
      </c>
      <c r="B436" s="38" t="s">
        <v>2774</v>
      </c>
      <c r="C436" s="38" t="s">
        <v>2775</v>
      </c>
      <c r="D436" s="38" t="s">
        <v>956</v>
      </c>
      <c r="E436" s="44" t="str">
        <f>IFERROR(VLOOKUP(D436,MATERIALES!A:B,2,FALSE()),"?")</f>
        <v>SMARTTRAY TAPA CIEGA P/BJA 200-22</v>
      </c>
      <c r="F436" s="44" t="str">
        <f>IFERROR(VLOOKUP(D436,MATERIALES!A:C,3,FALSE()),"?")</f>
        <v>u</v>
      </c>
      <c r="G436" s="45">
        <v>0.35</v>
      </c>
      <c r="H436" s="46">
        <v>1E-3</v>
      </c>
      <c r="I436" s="47">
        <f>IFERROR(VLOOKUP(D436,MATERIALES!A:D,4,FALSE()),0)</f>
        <v>15710.58</v>
      </c>
      <c r="J436" s="42">
        <f t="shared" si="50"/>
        <v>5504.2017029999988</v>
      </c>
      <c r="K436" s="15" t="str">
        <f t="shared" si="42"/>
        <v>ELE-122|MAT</v>
      </c>
      <c r="L436" s="15">
        <f>COUNTIFS($K$2:K436,K436)</f>
        <v>4</v>
      </c>
      <c r="M436" s="15" t="str">
        <f t="shared" si="43"/>
        <v>ELE-122|MAT|4</v>
      </c>
      <c r="N436" s="47">
        <f>IFERROR(VLOOKUP(A436,PARTIDAS!A:F,6,FALSE()),0)</f>
        <v>12</v>
      </c>
      <c r="O436" s="247">
        <f t="shared" si="44"/>
        <v>0.35</v>
      </c>
      <c r="P436" s="247" t="str">
        <f>+_xlfn.XLOOKUP(A436,PPTO_GENERADOR!Q:Q,PPTO_GENERADOR!E:E,"-",0)</f>
        <v>-</v>
      </c>
      <c r="Q436" s="247">
        <f t="shared" si="45"/>
        <v>0</v>
      </c>
      <c r="R436" s="259" t="str">
        <f>+_xlfn.XLOOKUP(A436,PPTO_GENERADOR!$Q:$Q,PPTO_GENERADOR!A:A,"-",0)</f>
        <v>-</v>
      </c>
    </row>
    <row r="437" spans="1:18" ht="15" customHeight="1" x14ac:dyDescent="0.35">
      <c r="A437" s="38" t="s">
        <v>2635</v>
      </c>
      <c r="B437" s="38" t="s">
        <v>2774</v>
      </c>
      <c r="C437" s="38" t="s">
        <v>2775</v>
      </c>
      <c r="D437" s="38" t="s">
        <v>963</v>
      </c>
      <c r="E437" s="44" t="str">
        <f>IFERROR(VLOOKUP(D437,MATERIALES!A:B,2,FALSE()),"?")</f>
        <v>ACOMETIDA PARA TABLERO</v>
      </c>
      <c r="F437" s="44" t="str">
        <f>IFERROR(VLOOKUP(D437,MATERIALES!A:C,3,FALSE()),"?")</f>
        <v>u</v>
      </c>
      <c r="G437" s="45">
        <v>0.03</v>
      </c>
      <c r="H437" s="46">
        <v>1E-3</v>
      </c>
      <c r="I437" s="47">
        <f>IFERROR(VLOOKUP(D437,MATERIALES!A:D,4,FALSE()),0)</f>
        <v>6314.13</v>
      </c>
      <c r="J437" s="42">
        <f t="shared" si="50"/>
        <v>189.61332389999998</v>
      </c>
      <c r="K437" s="15" t="str">
        <f t="shared" si="42"/>
        <v>ELE-122|MAT</v>
      </c>
      <c r="L437" s="15">
        <f>COUNTIFS($K$2:K437,K437)</f>
        <v>5</v>
      </c>
      <c r="M437" s="15" t="str">
        <f t="shared" si="43"/>
        <v>ELE-122|MAT|5</v>
      </c>
      <c r="N437" s="47">
        <f>IFERROR(VLOOKUP(A437,PARTIDAS!A:F,6,FALSE()),0)</f>
        <v>12</v>
      </c>
      <c r="O437" s="247">
        <f t="shared" si="44"/>
        <v>0.03</v>
      </c>
      <c r="P437" s="247" t="str">
        <f>+_xlfn.XLOOKUP(A437,PPTO_GENERADOR!Q:Q,PPTO_GENERADOR!E:E,"-",0)</f>
        <v>-</v>
      </c>
      <c r="Q437" s="247">
        <f t="shared" si="45"/>
        <v>0</v>
      </c>
      <c r="R437" s="259" t="str">
        <f>+_xlfn.XLOOKUP(A437,PPTO_GENERADOR!$Q:$Q,PPTO_GENERADOR!A:A,"-",0)</f>
        <v>-</v>
      </c>
    </row>
    <row r="438" spans="1:18" ht="15" customHeight="1" x14ac:dyDescent="0.35">
      <c r="A438" s="38" t="s">
        <v>2635</v>
      </c>
      <c r="B438" s="38" t="s">
        <v>2774</v>
      </c>
      <c r="C438" s="38" t="s">
        <v>2775</v>
      </c>
      <c r="D438" s="38" t="s">
        <v>965</v>
      </c>
      <c r="E438" s="44" t="str">
        <f>IFERROR(VLOOKUP(D438,MATERIALES!A:B,2,FALSE()),"?")</f>
        <v>EMBUDO</v>
      </c>
      <c r="F438" s="44" t="str">
        <f>IFERROR(VLOOKUP(D438,MATERIALES!A:C,3,FALSE()),"?")</f>
        <v>u</v>
      </c>
      <c r="G438" s="45">
        <v>0.03</v>
      </c>
      <c r="H438" s="46">
        <v>1E-3</v>
      </c>
      <c r="I438" s="47">
        <f>IFERROR(VLOOKUP(D438,MATERIALES!A:D,4,FALSE()),0)</f>
        <v>6314.13</v>
      </c>
      <c r="J438" s="42">
        <f t="shared" si="50"/>
        <v>189.61332389999998</v>
      </c>
      <c r="K438" s="15" t="str">
        <f t="shared" si="42"/>
        <v>ELE-122|MAT</v>
      </c>
      <c r="L438" s="15">
        <f>COUNTIFS($K$2:K438,K438)</f>
        <v>6</v>
      </c>
      <c r="M438" s="15" t="str">
        <f t="shared" si="43"/>
        <v>ELE-122|MAT|6</v>
      </c>
      <c r="N438" s="47">
        <f>IFERROR(VLOOKUP(A438,PARTIDAS!A:F,6,FALSE()),0)</f>
        <v>12</v>
      </c>
      <c r="O438" s="247">
        <f t="shared" si="44"/>
        <v>0.03</v>
      </c>
      <c r="P438" s="247" t="str">
        <f>+_xlfn.XLOOKUP(A438,PPTO_GENERADOR!Q:Q,PPTO_GENERADOR!E:E,"-",0)</f>
        <v>-</v>
      </c>
      <c r="Q438" s="247">
        <f t="shared" si="45"/>
        <v>0</v>
      </c>
      <c r="R438" s="259" t="str">
        <f>+_xlfn.XLOOKUP(A438,PPTO_GENERADOR!$Q:$Q,PPTO_GENERADOR!A:A,"-",0)</f>
        <v>-</v>
      </c>
    </row>
    <row r="439" spans="1:18" ht="15" customHeight="1" x14ac:dyDescent="0.35">
      <c r="A439" s="38" t="s">
        <v>2635</v>
      </c>
      <c r="B439" s="38" t="s">
        <v>2774</v>
      </c>
      <c r="C439" s="38" t="s">
        <v>2775</v>
      </c>
      <c r="D439" s="38" t="s">
        <v>967</v>
      </c>
      <c r="E439" s="44" t="str">
        <f>IFERROR(VLOOKUP(D439,MATERIALES!A:B,2,FALSE()),"?")</f>
        <v>GRAMPA FIJACIÓN 200-22</v>
      </c>
      <c r="F439" s="44" t="str">
        <f>IFERROR(VLOOKUP(D439,MATERIALES!A:C,3,FALSE()),"?")</f>
        <v>u</v>
      </c>
      <c r="G439" s="45">
        <v>0.56999999999999995</v>
      </c>
      <c r="H439" s="46">
        <v>1E-3</v>
      </c>
      <c r="I439" s="47">
        <f>IFERROR(VLOOKUP(D439,MATERIALES!A:D,4,FALSE()),0)</f>
        <v>1844.8</v>
      </c>
      <c r="J439" s="42">
        <f t="shared" si="50"/>
        <v>1052.5875359999998</v>
      </c>
      <c r="K439" s="15" t="str">
        <f t="shared" si="42"/>
        <v>ELE-122|MAT</v>
      </c>
      <c r="L439" s="15">
        <f>COUNTIFS($K$2:K439,K439)</f>
        <v>7</v>
      </c>
      <c r="M439" s="15" t="str">
        <f t="shared" si="43"/>
        <v>ELE-122|MAT|7</v>
      </c>
      <c r="N439" s="47">
        <f>IFERROR(VLOOKUP(A439,PARTIDAS!A:F,6,FALSE()),0)</f>
        <v>12</v>
      </c>
      <c r="O439" s="247">
        <f t="shared" si="44"/>
        <v>0.56999999999999995</v>
      </c>
      <c r="P439" s="247" t="str">
        <f>+_xlfn.XLOOKUP(A439,PPTO_GENERADOR!Q:Q,PPTO_GENERADOR!E:E,"-",0)</f>
        <v>-</v>
      </c>
      <c r="Q439" s="247">
        <f t="shared" si="45"/>
        <v>0</v>
      </c>
      <c r="R439" s="259" t="str">
        <f>+_xlfn.XLOOKUP(A439,PPTO_GENERADOR!$Q:$Q,PPTO_GENERADOR!A:A,"-",0)</f>
        <v>-</v>
      </c>
    </row>
    <row r="440" spans="1:18" ht="15" customHeight="1" x14ac:dyDescent="0.35">
      <c r="A440" s="38" t="s">
        <v>2635</v>
      </c>
      <c r="B440" s="38" t="s">
        <v>2774</v>
      </c>
      <c r="C440" s="38" t="s">
        <v>2775</v>
      </c>
      <c r="D440" s="38" t="s">
        <v>972</v>
      </c>
      <c r="E440" s="44" t="str">
        <f>IFERROR(VLOOKUP(D440,MATERIALES!A:B,2,FALSE()),"?")</f>
        <v>VARILLA ROSCADA 1/4</v>
      </c>
      <c r="F440" s="44" t="str">
        <f>IFERROR(VLOOKUP(D440,MATERIALES!A:C,3,FALSE()),"?")</f>
        <v>u</v>
      </c>
      <c r="G440" s="45">
        <v>0.3</v>
      </c>
      <c r="H440" s="46">
        <v>1E-3</v>
      </c>
      <c r="I440" s="47">
        <f>IFERROR(VLOOKUP(D440,MATERIALES!A:D,4,FALSE()),0)</f>
        <v>1747.6</v>
      </c>
      <c r="J440" s="42">
        <f t="shared" si="50"/>
        <v>524.80427999999995</v>
      </c>
      <c r="K440" s="15" t="str">
        <f t="shared" si="42"/>
        <v>ELE-122|MAT</v>
      </c>
      <c r="L440" s="15">
        <f>COUNTIFS($K$2:K440,K440)</f>
        <v>8</v>
      </c>
      <c r="M440" s="15" t="str">
        <f t="shared" si="43"/>
        <v>ELE-122|MAT|8</v>
      </c>
      <c r="N440" s="47">
        <f>IFERROR(VLOOKUP(A440,PARTIDAS!A:F,6,FALSE()),0)</f>
        <v>12</v>
      </c>
      <c r="O440" s="247">
        <f t="shared" si="44"/>
        <v>0.3</v>
      </c>
      <c r="P440" s="247" t="str">
        <f>+_xlfn.XLOOKUP(A440,PPTO_GENERADOR!Q:Q,PPTO_GENERADOR!E:E,"-",0)</f>
        <v>-</v>
      </c>
      <c r="Q440" s="247">
        <f t="shared" si="45"/>
        <v>0</v>
      </c>
      <c r="R440" s="259" t="str">
        <f>+_xlfn.XLOOKUP(A440,PPTO_GENERADOR!$Q:$Q,PPTO_GENERADOR!A:A,"-",0)</f>
        <v>-</v>
      </c>
    </row>
    <row r="441" spans="1:18" ht="15" customHeight="1" x14ac:dyDescent="0.35">
      <c r="A441" s="38" t="s">
        <v>2635</v>
      </c>
      <c r="B441" s="38" t="s">
        <v>2774</v>
      </c>
      <c r="C441" s="38" t="s">
        <v>2775</v>
      </c>
      <c r="D441" s="38" t="s">
        <v>974</v>
      </c>
      <c r="E441" s="44" t="str">
        <f>IFERROR(VLOOKUP(D441,MATERIALES!A:B,2,FALSE()),"?")</f>
        <v>TUERCA Y ARANDELA 1/4</v>
      </c>
      <c r="F441" s="44" t="str">
        <f>IFERROR(VLOOKUP(D441,MATERIALES!A:C,3,FALSE()),"?")</f>
        <v>u</v>
      </c>
      <c r="G441" s="45">
        <v>1.2</v>
      </c>
      <c r="H441" s="46">
        <v>5.0000000000000001E-4</v>
      </c>
      <c r="I441" s="47">
        <f>IFERROR(VLOOKUP(D441,MATERIALES!A:D,4,FALSE()),0)</f>
        <v>90.02</v>
      </c>
      <c r="J441" s="42">
        <f t="shared" si="50"/>
        <v>108.07801199999999</v>
      </c>
      <c r="K441" s="15" t="str">
        <f t="shared" si="42"/>
        <v>ELE-122|MAT</v>
      </c>
      <c r="L441" s="15">
        <f>COUNTIFS($K$2:K441,K441)</f>
        <v>9</v>
      </c>
      <c r="M441" s="15" t="str">
        <f t="shared" si="43"/>
        <v>ELE-122|MAT|9</v>
      </c>
      <c r="N441" s="47">
        <f>IFERROR(VLOOKUP(A441,PARTIDAS!A:F,6,FALSE()),0)</f>
        <v>12</v>
      </c>
      <c r="O441" s="247">
        <f t="shared" si="44"/>
        <v>1.2</v>
      </c>
      <c r="P441" s="247" t="str">
        <f>+_xlfn.XLOOKUP(A441,PPTO_GENERADOR!Q:Q,PPTO_GENERADOR!E:E,"-",0)</f>
        <v>-</v>
      </c>
      <c r="Q441" s="247">
        <f t="shared" si="45"/>
        <v>0</v>
      </c>
      <c r="R441" s="259" t="str">
        <f>+_xlfn.XLOOKUP(A441,PPTO_GENERADOR!$Q:$Q,PPTO_GENERADOR!A:A,"-",0)</f>
        <v>-</v>
      </c>
    </row>
    <row r="442" spans="1:18" ht="15" customHeight="1" x14ac:dyDescent="0.35">
      <c r="A442" s="38" t="s">
        <v>2635</v>
      </c>
      <c r="B442" s="38" t="s">
        <v>2776</v>
      </c>
      <c r="C442" s="38" t="s">
        <v>2777</v>
      </c>
      <c r="D442" s="237" t="s">
        <v>1577</v>
      </c>
      <c r="E442" s="44" t="str">
        <f>IFERROR(VLOOKUP(D442,MANO_DE_OBRA!A:B,2,FALSE()),"?")</f>
        <v>AYUDANTE</v>
      </c>
      <c r="F442" s="44" t="s">
        <v>2778</v>
      </c>
      <c r="G442" s="45">
        <v>0.75</v>
      </c>
      <c r="H442" s="46">
        <v>0</v>
      </c>
      <c r="I442" s="47">
        <f>IFERROR(VLOOKUP(D442,MANO_DE_OBRA!A:C,3,FALSE()),0)</f>
        <v>60860.580776572002</v>
      </c>
      <c r="J442" s="42">
        <f>G442*I442</f>
        <v>45645.435582429003</v>
      </c>
      <c r="K442" s="15" t="str">
        <f t="shared" si="42"/>
        <v>ELE-122|MO</v>
      </c>
      <c r="L442" s="15">
        <f>COUNTIFS($K$2:K442,K442)</f>
        <v>1</v>
      </c>
      <c r="M442" s="15" t="str">
        <f t="shared" si="43"/>
        <v>ELE-122|MO|1</v>
      </c>
      <c r="N442" s="47">
        <f>IFERROR(VLOOKUP(A442,PARTIDAS!A:F,6,FALSE()),0)</f>
        <v>12</v>
      </c>
      <c r="O442" s="247">
        <f t="shared" si="44"/>
        <v>6.25E-2</v>
      </c>
      <c r="P442" s="247" t="str">
        <f>+_xlfn.XLOOKUP(A442,PPTO_GENERADOR!Q:Q,PPTO_GENERADOR!E:E,"-",0)</f>
        <v>-</v>
      </c>
      <c r="Q442" s="247">
        <f t="shared" si="45"/>
        <v>0</v>
      </c>
      <c r="R442" s="259" t="str">
        <f>+_xlfn.XLOOKUP(A442,PPTO_GENERADOR!$Q:$Q,PPTO_GENERADOR!A:A,"-",0)</f>
        <v>-</v>
      </c>
    </row>
    <row r="443" spans="1:18" ht="15" customHeight="1" x14ac:dyDescent="0.35">
      <c r="A443" s="38" t="s">
        <v>2635</v>
      </c>
      <c r="B443" s="38" t="s">
        <v>2776</v>
      </c>
      <c r="C443" s="38" t="s">
        <v>2777</v>
      </c>
      <c r="D443" s="237" t="s">
        <v>1568</v>
      </c>
      <c r="E443" s="44" t="str">
        <f>IFERROR(VLOOKUP(D443,MANO_DE_OBRA!A:B,2,FALSE()),"?")</f>
        <v>ESPECIALIZADO</v>
      </c>
      <c r="F443" s="44" t="s">
        <v>2778</v>
      </c>
      <c r="G443" s="45">
        <v>1</v>
      </c>
      <c r="H443" s="46">
        <v>0</v>
      </c>
      <c r="I443" s="47">
        <f>IFERROR(VLOOKUP(D443,MANO_DE_OBRA!A:C,3,FALSE()),0)</f>
        <v>85927.097156571996</v>
      </c>
      <c r="J443" s="42">
        <f>G443*I443</f>
        <v>85927.097156571996</v>
      </c>
      <c r="K443" s="15" t="str">
        <f t="shared" si="42"/>
        <v>ELE-122|MO</v>
      </c>
      <c r="L443" s="15">
        <f>COUNTIFS($K$2:K443,K443)</f>
        <v>2</v>
      </c>
      <c r="M443" s="15" t="str">
        <f t="shared" si="43"/>
        <v>ELE-122|MO|2</v>
      </c>
      <c r="N443" s="47">
        <f>IFERROR(VLOOKUP(A443,PARTIDAS!A:F,6,FALSE()),0)</f>
        <v>12</v>
      </c>
      <c r="O443" s="247">
        <f t="shared" si="44"/>
        <v>8.3333333333333329E-2</v>
      </c>
      <c r="P443" s="247" t="str">
        <f>+_xlfn.XLOOKUP(A443,PPTO_GENERADOR!Q:Q,PPTO_GENERADOR!E:E,"-",0)</f>
        <v>-</v>
      </c>
      <c r="Q443" s="247">
        <f t="shared" si="45"/>
        <v>0</v>
      </c>
      <c r="R443" s="259" t="str">
        <f>+_xlfn.XLOOKUP(A443,PPTO_GENERADOR!$Q:$Q,PPTO_GENERADOR!A:A,"-",0)</f>
        <v>-</v>
      </c>
    </row>
    <row r="444" spans="1:18" ht="15" customHeight="1" x14ac:dyDescent="0.35">
      <c r="A444" s="38" t="s">
        <v>2626</v>
      </c>
      <c r="B444" s="38" t="s">
        <v>2773</v>
      </c>
      <c r="C444" s="38"/>
      <c r="D444" s="38" t="s">
        <v>1592</v>
      </c>
      <c r="E444" s="44" t="str">
        <f>IFERROR(VLOOKUP(D444,EQUIPOS!A:B,2,FALSE()),"?")</f>
        <v>ANDAMIO TUBULAR DE UNO A TRES CUERPOS</v>
      </c>
      <c r="F444" s="44"/>
      <c r="G444" s="45">
        <v>0.5</v>
      </c>
      <c r="H444" s="46">
        <v>0</v>
      </c>
      <c r="I444" s="47">
        <f>IFERROR(VLOOKUP(D444,EQUIPOS!A:F,6,FALSE()),0)</f>
        <v>571.1794909807611</v>
      </c>
      <c r="J444" s="42">
        <f>G444*I444</f>
        <v>285.58974549038055</v>
      </c>
      <c r="K444" s="15" t="str">
        <f t="shared" si="42"/>
        <v>ELE-147|EQ</v>
      </c>
      <c r="L444" s="15">
        <f>COUNTIFS($K$2:K444,K444)</f>
        <v>1</v>
      </c>
      <c r="M444" s="15" t="str">
        <f t="shared" si="43"/>
        <v>ELE-147|EQ|1</v>
      </c>
      <c r="N444" s="47">
        <f>IFERROR(VLOOKUP(A444,PARTIDAS!A:F,6,FALSE()),0)</f>
        <v>3.25</v>
      </c>
      <c r="O444" s="247">
        <f t="shared" si="44"/>
        <v>0.5</v>
      </c>
      <c r="P444" s="247" t="str">
        <f>+_xlfn.XLOOKUP(A444,PPTO_GENERADOR!Q:Q,PPTO_GENERADOR!E:E,"-",0)</f>
        <v>-</v>
      </c>
      <c r="Q444" s="247">
        <f t="shared" si="45"/>
        <v>0</v>
      </c>
      <c r="R444" s="259" t="str">
        <f>+_xlfn.XLOOKUP(A444,PPTO_GENERADOR!$Q:$Q,PPTO_GENERADOR!A:A,"-",0)</f>
        <v>-</v>
      </c>
    </row>
    <row r="445" spans="1:18" ht="15" customHeight="1" x14ac:dyDescent="0.35">
      <c r="A445" s="38" t="s">
        <v>2626</v>
      </c>
      <c r="B445" s="38" t="s">
        <v>2773</v>
      </c>
      <c r="C445" s="38"/>
      <c r="D445" s="38" t="s">
        <v>1601</v>
      </c>
      <c r="E445" s="44" t="str">
        <f>IFERROR(VLOOKUP(D445,EQUIPOS!A:B,2,FALSE()),"?")</f>
        <v>EQUIPO PARA INSTALACION ELECTRICA</v>
      </c>
      <c r="F445" s="44"/>
      <c r="G445" s="45">
        <v>1</v>
      </c>
      <c r="H445" s="46">
        <v>0</v>
      </c>
      <c r="I445" s="47">
        <f>IFERROR(VLOOKUP(D445,EQUIPOS!A:F,6,FALSE()),0)</f>
        <v>5063.0947914732405</v>
      </c>
      <c r="J445" s="42">
        <f>G445*I445</f>
        <v>5063.0947914732405</v>
      </c>
      <c r="K445" s="15" t="str">
        <f t="shared" si="42"/>
        <v>ELE-147|EQ</v>
      </c>
      <c r="L445" s="15">
        <f>COUNTIFS($K$2:K445,K445)</f>
        <v>2</v>
      </c>
      <c r="M445" s="15" t="str">
        <f t="shared" si="43"/>
        <v>ELE-147|EQ|2</v>
      </c>
      <c r="N445" s="47">
        <f>IFERROR(VLOOKUP(A445,PARTIDAS!A:F,6,FALSE()),0)</f>
        <v>3.25</v>
      </c>
      <c r="O445" s="247">
        <f t="shared" si="44"/>
        <v>1</v>
      </c>
      <c r="P445" s="247" t="str">
        <f>+_xlfn.XLOOKUP(A445,PPTO_GENERADOR!Q:Q,PPTO_GENERADOR!E:E,"-",0)</f>
        <v>-</v>
      </c>
      <c r="Q445" s="247">
        <f t="shared" si="45"/>
        <v>0</v>
      </c>
      <c r="R445" s="259" t="str">
        <f>+_xlfn.XLOOKUP(A445,PPTO_GENERADOR!$Q:$Q,PPTO_GENERADOR!A:A,"-",0)</f>
        <v>-</v>
      </c>
    </row>
    <row r="446" spans="1:18" ht="15" customHeight="1" x14ac:dyDescent="0.35">
      <c r="A446" s="38" t="s">
        <v>2626</v>
      </c>
      <c r="B446" s="38" t="s">
        <v>2773</v>
      </c>
      <c r="C446" s="38"/>
      <c r="D446" s="38" t="s">
        <v>1622</v>
      </c>
      <c r="E446" s="44" t="str">
        <f>IFERROR(VLOOKUP(D446,EQUIPOS!A:B,2,FALSE()),"?")</f>
        <v>ESCALERA GLOSS ALUMINIO ARTICULADA 4 X 4 ESCALONES HASTA 150KG</v>
      </c>
      <c r="F446" s="44"/>
      <c r="G446" s="45">
        <v>0.5</v>
      </c>
      <c r="H446" s="46">
        <v>0</v>
      </c>
      <c r="I446" s="47">
        <f>IFERROR(VLOOKUP(D446,EQUIPOS!A:F,6,FALSE()),0)</f>
        <v>140.19809259430903</v>
      </c>
      <c r="J446" s="42">
        <f>G446*I446</f>
        <v>70.099046297154516</v>
      </c>
      <c r="K446" s="15" t="str">
        <f t="shared" si="42"/>
        <v>ELE-147|EQ</v>
      </c>
      <c r="L446" s="15">
        <f>COUNTIFS($K$2:K446,K446)</f>
        <v>3</v>
      </c>
      <c r="M446" s="15" t="str">
        <f t="shared" si="43"/>
        <v>ELE-147|EQ|3</v>
      </c>
      <c r="N446" s="47">
        <f>IFERROR(VLOOKUP(A446,PARTIDAS!A:F,6,FALSE()),0)</f>
        <v>3.25</v>
      </c>
      <c r="O446" s="247">
        <f t="shared" si="44"/>
        <v>0.5</v>
      </c>
      <c r="P446" s="247" t="str">
        <f>+_xlfn.XLOOKUP(A446,PPTO_GENERADOR!Q:Q,PPTO_GENERADOR!E:E,"-",0)</f>
        <v>-</v>
      </c>
      <c r="Q446" s="247">
        <f t="shared" si="45"/>
        <v>0</v>
      </c>
      <c r="R446" s="259" t="str">
        <f>+_xlfn.XLOOKUP(A446,PPTO_GENERADOR!$Q:$Q,PPTO_GENERADOR!A:A,"-",0)</f>
        <v>-</v>
      </c>
    </row>
    <row r="447" spans="1:18" ht="15" customHeight="1" x14ac:dyDescent="0.35">
      <c r="A447" s="38" t="s">
        <v>2626</v>
      </c>
      <c r="B447" s="38" t="s">
        <v>2774</v>
      </c>
      <c r="C447" s="38" t="s">
        <v>2775</v>
      </c>
      <c r="D447" s="38" t="s">
        <v>928</v>
      </c>
      <c r="E447" s="44" t="str">
        <f>IFERROR(VLOOKUP(D447,MATERIALES!A:B,2,FALSE()),"?")</f>
        <v>Conector hierro 7/8"</v>
      </c>
      <c r="F447" s="44" t="str">
        <f>IFERROR(VLOOKUP(D447,MATERIALES!A:C,3,FALSE()),"?")</f>
        <v>u</v>
      </c>
      <c r="G447" s="45">
        <v>3</v>
      </c>
      <c r="H447" s="46">
        <v>0.1</v>
      </c>
      <c r="I447" s="47">
        <f>IFERROR(VLOOKUP(D447,MATERIALES!A:D,4,FALSE()),0)</f>
        <v>282.29000000000002</v>
      </c>
      <c r="J447" s="42">
        <f t="shared" ref="J447:J455" si="51">G447*I447*(1+H447)</f>
        <v>931.55700000000024</v>
      </c>
      <c r="K447" s="15" t="str">
        <f t="shared" si="42"/>
        <v>ELE-147|MAT</v>
      </c>
      <c r="L447" s="15">
        <f>COUNTIFS($K$2:K447,K447)</f>
        <v>1</v>
      </c>
      <c r="M447" s="15" t="str">
        <f t="shared" si="43"/>
        <v>ELE-147|MAT|1</v>
      </c>
      <c r="N447" s="47">
        <f>IFERROR(VLOOKUP(A447,PARTIDAS!A:F,6,FALSE()),0)</f>
        <v>3.25</v>
      </c>
      <c r="O447" s="247">
        <f t="shared" si="44"/>
        <v>3</v>
      </c>
      <c r="P447" s="247" t="str">
        <f>+_xlfn.XLOOKUP(A447,PPTO_GENERADOR!Q:Q,PPTO_GENERADOR!E:E,"-",0)</f>
        <v>-</v>
      </c>
      <c r="Q447" s="247">
        <f t="shared" si="45"/>
        <v>0</v>
      </c>
      <c r="R447" s="259" t="str">
        <f>+_xlfn.XLOOKUP(A447,PPTO_GENERADOR!$Q:$Q,PPTO_GENERADOR!A:A,"-",0)</f>
        <v>-</v>
      </c>
    </row>
    <row r="448" spans="1:18" ht="15" customHeight="1" x14ac:dyDescent="0.35">
      <c r="A448" s="38" t="s">
        <v>2626</v>
      </c>
      <c r="B448" s="38" t="s">
        <v>2774</v>
      </c>
      <c r="C448" s="38" t="s">
        <v>2775</v>
      </c>
      <c r="D448" s="38" t="s">
        <v>922</v>
      </c>
      <c r="E448" s="44" t="str">
        <f>IFERROR(VLOOKUP(D448,MATERIALES!A:B,2,FALSE()),"?")</f>
        <v>Caño rigido 7/8"</v>
      </c>
      <c r="F448" s="44" t="str">
        <f>IFERROR(VLOOKUP(D448,MATERIALES!A:C,3,FALSE()),"?")</f>
        <v>ml</v>
      </c>
      <c r="G448" s="45">
        <v>5</v>
      </c>
      <c r="H448" s="46">
        <v>0.1</v>
      </c>
      <c r="I448" s="47">
        <f>IFERROR(VLOOKUP(D448,MATERIALES!A:D,4,FALSE()),0)</f>
        <v>635.55999999999995</v>
      </c>
      <c r="J448" s="42">
        <f t="shared" si="51"/>
        <v>3495.58</v>
      </c>
      <c r="K448" s="15" t="str">
        <f t="shared" si="42"/>
        <v>ELE-147|MAT</v>
      </c>
      <c r="L448" s="15">
        <f>COUNTIFS($K$2:K448,K448)</f>
        <v>2</v>
      </c>
      <c r="M448" s="15" t="str">
        <f t="shared" si="43"/>
        <v>ELE-147|MAT|2</v>
      </c>
      <c r="N448" s="47">
        <f>IFERROR(VLOOKUP(A448,PARTIDAS!A:F,6,FALSE()),0)</f>
        <v>3.25</v>
      </c>
      <c r="O448" s="247">
        <f t="shared" si="44"/>
        <v>5</v>
      </c>
      <c r="P448" s="247" t="str">
        <f>+_xlfn.XLOOKUP(A448,PPTO_GENERADOR!Q:Q,PPTO_GENERADOR!E:E,"-",0)</f>
        <v>-</v>
      </c>
      <c r="Q448" s="247">
        <f t="shared" si="45"/>
        <v>0</v>
      </c>
      <c r="R448" s="259" t="str">
        <f>+_xlfn.XLOOKUP(A448,PPTO_GENERADOR!$Q:$Q,PPTO_GENERADOR!A:A,"-",0)</f>
        <v>-</v>
      </c>
    </row>
    <row r="449" spans="1:18" ht="15" customHeight="1" x14ac:dyDescent="0.35">
      <c r="A449" s="38" t="s">
        <v>2626</v>
      </c>
      <c r="B449" s="38" t="s">
        <v>2774</v>
      </c>
      <c r="C449" s="38" t="s">
        <v>2775</v>
      </c>
      <c r="D449" s="38" t="s">
        <v>935</v>
      </c>
      <c r="E449" s="44" t="str">
        <f>IFERROR(VLOOKUP(D449,MATERIALES!A:B,2,FALSE()),"?")</f>
        <v>Cupla PVC 7/8"</v>
      </c>
      <c r="F449" s="44" t="str">
        <f>IFERROR(VLOOKUP(D449,MATERIALES!A:C,3,FALSE()),"?")</f>
        <v>u</v>
      </c>
      <c r="G449" s="45">
        <v>2</v>
      </c>
      <c r="H449" s="46">
        <v>0.1</v>
      </c>
      <c r="I449" s="47">
        <f>IFERROR(VLOOKUP(D449,MATERIALES!A:D,4,FALSE()),0)</f>
        <v>184.87</v>
      </c>
      <c r="J449" s="42">
        <f t="shared" si="51"/>
        <v>406.71400000000006</v>
      </c>
      <c r="K449" s="15" t="str">
        <f t="shared" si="42"/>
        <v>ELE-147|MAT</v>
      </c>
      <c r="L449" s="15">
        <f>COUNTIFS($K$2:K449,K449)</f>
        <v>3</v>
      </c>
      <c r="M449" s="15" t="str">
        <f t="shared" si="43"/>
        <v>ELE-147|MAT|3</v>
      </c>
      <c r="N449" s="47">
        <f>IFERROR(VLOOKUP(A449,PARTIDAS!A:F,6,FALSE()),0)</f>
        <v>3.25</v>
      </c>
      <c r="O449" s="247">
        <f t="shared" si="44"/>
        <v>2</v>
      </c>
      <c r="P449" s="247" t="str">
        <f>+_xlfn.XLOOKUP(A449,PPTO_GENERADOR!Q:Q,PPTO_GENERADOR!E:E,"-",0)</f>
        <v>-</v>
      </c>
      <c r="Q449" s="247">
        <f t="shared" si="45"/>
        <v>0</v>
      </c>
      <c r="R449" s="259" t="str">
        <f>+_xlfn.XLOOKUP(A449,PPTO_GENERADOR!$Q:$Q,PPTO_GENERADOR!A:A,"-",0)</f>
        <v>-</v>
      </c>
    </row>
    <row r="450" spans="1:18" ht="15" customHeight="1" x14ac:dyDescent="0.35">
      <c r="A450" s="38" t="s">
        <v>2626</v>
      </c>
      <c r="B450" s="38" t="s">
        <v>2774</v>
      </c>
      <c r="C450" s="38" t="s">
        <v>2775</v>
      </c>
      <c r="D450" s="38" t="s">
        <v>939</v>
      </c>
      <c r="E450" s="44" t="str">
        <f>IFERROR(VLOOKUP(D450,MATERIALES!A:B,2,FALSE()),"?")</f>
        <v>Cable unipolar 1 x 1,50</v>
      </c>
      <c r="F450" s="44" t="str">
        <f>IFERROR(VLOOKUP(D450,MATERIALES!A:C,3,FALSE()),"?")</f>
        <v>ml</v>
      </c>
      <c r="G450" s="45">
        <v>7.5</v>
      </c>
      <c r="H450" s="46">
        <v>0.1</v>
      </c>
      <c r="I450" s="47">
        <f>IFERROR(VLOOKUP(D450,MATERIALES!A:D,4,FALSE()),0)</f>
        <v>316.44450000000001</v>
      </c>
      <c r="J450" s="42">
        <f t="shared" si="51"/>
        <v>2610.6671250000004</v>
      </c>
      <c r="K450" s="15" t="str">
        <f t="shared" ref="K450:K513" si="52">A450&amp;"|"&amp;B450</f>
        <v>ELE-147|MAT</v>
      </c>
      <c r="L450" s="15">
        <f>COUNTIFS($K$2:K450,K450)</f>
        <v>4</v>
      </c>
      <c r="M450" s="15" t="str">
        <f t="shared" ref="M450:M513" si="53">K450&amp;"|"&amp;L450</f>
        <v>ELE-147|MAT|4</v>
      </c>
      <c r="N450" s="47">
        <f>IFERROR(VLOOKUP(A450,PARTIDAS!A:F,6,FALSE()),0)</f>
        <v>3.25</v>
      </c>
      <c r="O450" s="247">
        <f t="shared" si="44"/>
        <v>7.5</v>
      </c>
      <c r="P450" s="247" t="str">
        <f>+_xlfn.XLOOKUP(A450,PPTO_GENERADOR!Q:Q,PPTO_GENERADOR!E:E,"-",0)</f>
        <v>-</v>
      </c>
      <c r="Q450" s="247">
        <f t="shared" si="45"/>
        <v>0</v>
      </c>
      <c r="R450" s="259" t="str">
        <f>+_xlfn.XLOOKUP(A450,PPTO_GENERADOR!$Q:$Q,PPTO_GENERADOR!A:A,"-",0)</f>
        <v>-</v>
      </c>
    </row>
    <row r="451" spans="1:18" ht="15" customHeight="1" x14ac:dyDescent="0.35">
      <c r="A451" s="38" t="s">
        <v>2626</v>
      </c>
      <c r="B451" s="38" t="s">
        <v>2774</v>
      </c>
      <c r="C451" s="38" t="s">
        <v>2775</v>
      </c>
      <c r="D451" s="38" t="s">
        <v>941</v>
      </c>
      <c r="E451" s="44" t="str">
        <f>IFERROR(VLOOKUP(D451,MATERIALES!A:B,2,FALSE()),"?")</f>
        <v>Cable unipolar 1 x 2,50 VA</v>
      </c>
      <c r="F451" s="44" t="str">
        <f>IFERROR(VLOOKUP(D451,MATERIALES!A:C,3,FALSE()),"?")</f>
        <v>ml</v>
      </c>
      <c r="G451" s="45">
        <v>5</v>
      </c>
      <c r="H451" s="46">
        <v>0.1</v>
      </c>
      <c r="I451" s="47">
        <f>IFERROR(VLOOKUP(D451,MATERIALES!A:D,4,FALSE()),0)</f>
        <v>509.31490000000002</v>
      </c>
      <c r="J451" s="42">
        <f t="shared" si="51"/>
        <v>2801.2319500000003</v>
      </c>
      <c r="K451" s="15" t="str">
        <f t="shared" si="52"/>
        <v>ELE-147|MAT</v>
      </c>
      <c r="L451" s="15">
        <f>COUNTIFS($K$2:K451,K451)</f>
        <v>5</v>
      </c>
      <c r="M451" s="15" t="str">
        <f t="shared" si="53"/>
        <v>ELE-147|MAT|5</v>
      </c>
      <c r="N451" s="47">
        <f>IFERROR(VLOOKUP(A451,PARTIDAS!A:F,6,FALSE()),0)</f>
        <v>3.25</v>
      </c>
      <c r="O451" s="247">
        <f t="shared" ref="O451:O514" si="54">+IF(C451="ALB",G451/N451,G451)</f>
        <v>5</v>
      </c>
      <c r="P451" s="247" t="str">
        <f>+_xlfn.XLOOKUP(A451,PPTO_GENERADOR!Q:Q,PPTO_GENERADOR!E:E,"-",0)</f>
        <v>-</v>
      </c>
      <c r="Q451" s="247">
        <f t="shared" ref="Q451:Q514" si="55">IFERROR(P451*O451,0)</f>
        <v>0</v>
      </c>
      <c r="R451" s="259" t="str">
        <f>+_xlfn.XLOOKUP(A451,PPTO_GENERADOR!$Q:$Q,PPTO_GENERADOR!A:A,"-",0)</f>
        <v>-</v>
      </c>
    </row>
    <row r="452" spans="1:18" ht="15" customHeight="1" x14ac:dyDescent="0.35">
      <c r="A452" s="38" t="s">
        <v>2626</v>
      </c>
      <c r="B452" s="38" t="s">
        <v>2774</v>
      </c>
      <c r="C452" s="38" t="s">
        <v>2775</v>
      </c>
      <c r="D452" s="38" t="s">
        <v>943</v>
      </c>
      <c r="E452" s="44" t="str">
        <f>IFERROR(VLOOKUP(D452,MATERIALES!A:B,2,FALSE()),"?")</f>
        <v>Cable unipolar 1 x 2,50 Rojo/Marron/Negro</v>
      </c>
      <c r="F452" s="44" t="str">
        <f>IFERROR(VLOOKUP(D452,MATERIALES!A:C,3,FALSE()),"?")</f>
        <v>ml</v>
      </c>
      <c r="G452" s="45">
        <v>7.5</v>
      </c>
      <c r="H452" s="46">
        <v>0.1</v>
      </c>
      <c r="I452" s="47">
        <f>IFERROR(VLOOKUP(D452,MATERIALES!A:D,4,FALSE()),0)</f>
        <v>509.31490000000002</v>
      </c>
      <c r="J452" s="42">
        <f t="shared" si="51"/>
        <v>4201.847925</v>
      </c>
      <c r="K452" s="15" t="str">
        <f t="shared" si="52"/>
        <v>ELE-147|MAT</v>
      </c>
      <c r="L452" s="15">
        <f>COUNTIFS($K$2:K452,K452)</f>
        <v>6</v>
      </c>
      <c r="M452" s="15" t="str">
        <f t="shared" si="53"/>
        <v>ELE-147|MAT|6</v>
      </c>
      <c r="N452" s="47">
        <f>IFERROR(VLOOKUP(A452,PARTIDAS!A:F,6,FALSE()),0)</f>
        <v>3.25</v>
      </c>
      <c r="O452" s="247">
        <f t="shared" si="54"/>
        <v>7.5</v>
      </c>
      <c r="P452" s="247" t="str">
        <f>+_xlfn.XLOOKUP(A452,PPTO_GENERADOR!Q:Q,PPTO_GENERADOR!E:E,"-",0)</f>
        <v>-</v>
      </c>
      <c r="Q452" s="247">
        <f t="shared" si="55"/>
        <v>0</v>
      </c>
      <c r="R452" s="259" t="str">
        <f>+_xlfn.XLOOKUP(A452,PPTO_GENERADOR!$Q:$Q,PPTO_GENERADOR!A:A,"-",0)</f>
        <v>-</v>
      </c>
    </row>
    <row r="453" spans="1:18" ht="15" customHeight="1" x14ac:dyDescent="0.35">
      <c r="A453" s="38" t="s">
        <v>2626</v>
      </c>
      <c r="B453" s="38" t="s">
        <v>2774</v>
      </c>
      <c r="C453" s="38" t="s">
        <v>2775</v>
      </c>
      <c r="D453" s="38" t="s">
        <v>949</v>
      </c>
      <c r="E453" s="44" t="str">
        <f>IFERROR(VLOOKUP(D453,MATERIALES!A:B,2,FALSE()),"?")</f>
        <v>Caja octogonal profunda</v>
      </c>
      <c r="F453" s="44" t="str">
        <f>IFERROR(VLOOKUP(D453,MATERIALES!A:C,3,FALSE()),"?")</f>
        <v>u</v>
      </c>
      <c r="G453" s="45">
        <v>1</v>
      </c>
      <c r="H453" s="46">
        <v>0.05</v>
      </c>
      <c r="I453" s="47">
        <f>IFERROR(VLOOKUP(D453,MATERIALES!A:D,4,FALSE()),0)</f>
        <v>2148.7603305785101</v>
      </c>
      <c r="J453" s="42">
        <f t="shared" si="51"/>
        <v>2256.1983471074359</v>
      </c>
      <c r="K453" s="15" t="str">
        <f t="shared" si="52"/>
        <v>ELE-147|MAT</v>
      </c>
      <c r="L453" s="15">
        <f>COUNTIFS($K$2:K453,K453)</f>
        <v>7</v>
      </c>
      <c r="M453" s="15" t="str">
        <f t="shared" si="53"/>
        <v>ELE-147|MAT|7</v>
      </c>
      <c r="N453" s="47">
        <f>IFERROR(VLOOKUP(A453,PARTIDAS!A:F,6,FALSE()),0)</f>
        <v>3.25</v>
      </c>
      <c r="O453" s="247">
        <f t="shared" si="54"/>
        <v>1</v>
      </c>
      <c r="P453" s="247" t="str">
        <f>+_xlfn.XLOOKUP(A453,PPTO_GENERADOR!Q:Q,PPTO_GENERADOR!E:E,"-",0)</f>
        <v>-</v>
      </c>
      <c r="Q453" s="247">
        <f t="shared" si="55"/>
        <v>0</v>
      </c>
      <c r="R453" s="259" t="str">
        <f>+_xlfn.XLOOKUP(A453,PPTO_GENERADOR!$Q:$Q,PPTO_GENERADOR!A:A,"-",0)</f>
        <v>-</v>
      </c>
    </row>
    <row r="454" spans="1:18" ht="15" customHeight="1" x14ac:dyDescent="0.35">
      <c r="A454" s="38" t="s">
        <v>2626</v>
      </c>
      <c r="B454" s="38" t="s">
        <v>2774</v>
      </c>
      <c r="C454" s="38" t="s">
        <v>2775</v>
      </c>
      <c r="D454" s="38" t="s">
        <v>951</v>
      </c>
      <c r="E454" s="44" t="str">
        <f>IFERROR(VLOOKUP(D454,MATERIALES!A:B,2,FALSE()),"?")</f>
        <v>Caja rectangular chica</v>
      </c>
      <c r="F454" s="44" t="str">
        <f>IFERROR(VLOOKUP(D454,MATERIALES!A:C,3,FALSE()),"?")</f>
        <v>u</v>
      </c>
      <c r="G454" s="45">
        <v>0.5</v>
      </c>
      <c r="H454" s="46">
        <v>0.05</v>
      </c>
      <c r="I454" s="47">
        <f>IFERROR(VLOOKUP(D454,MATERIALES!A:D,4,FALSE()),0)</f>
        <v>202.42</v>
      </c>
      <c r="J454" s="42">
        <f t="shared" si="51"/>
        <v>106.2705</v>
      </c>
      <c r="K454" s="15" t="str">
        <f t="shared" si="52"/>
        <v>ELE-147|MAT</v>
      </c>
      <c r="L454" s="15">
        <f>COUNTIFS($K$2:K454,K454)</f>
        <v>8</v>
      </c>
      <c r="M454" s="15" t="str">
        <f t="shared" si="53"/>
        <v>ELE-147|MAT|8</v>
      </c>
      <c r="N454" s="47">
        <f>IFERROR(VLOOKUP(A454,PARTIDAS!A:F,6,FALSE()),0)</f>
        <v>3.25</v>
      </c>
      <c r="O454" s="247">
        <f t="shared" si="54"/>
        <v>0.5</v>
      </c>
      <c r="P454" s="247" t="str">
        <f>+_xlfn.XLOOKUP(A454,PPTO_GENERADOR!Q:Q,PPTO_GENERADOR!E:E,"-",0)</f>
        <v>-</v>
      </c>
      <c r="Q454" s="247">
        <f t="shared" si="55"/>
        <v>0</v>
      </c>
      <c r="R454" s="259" t="str">
        <f>+_xlfn.XLOOKUP(A454,PPTO_GENERADOR!$Q:$Q,PPTO_GENERADOR!A:A,"-",0)</f>
        <v>-</v>
      </c>
    </row>
    <row r="455" spans="1:18" ht="15" customHeight="1" x14ac:dyDescent="0.35">
      <c r="A455" s="38" t="s">
        <v>2626</v>
      </c>
      <c r="B455" s="38" t="s">
        <v>2774</v>
      </c>
      <c r="C455" s="38" t="s">
        <v>2775</v>
      </c>
      <c r="D455" s="38" t="s">
        <v>1361</v>
      </c>
      <c r="E455" s="44" t="str">
        <f>IFERROR(VLOOKUP(D455,MATERIALES!A:B,2,FALSE()),"?")</f>
        <v>Consumibles</v>
      </c>
      <c r="F455" s="44" t="str">
        <f>IFERROR(VLOOKUP(D455,MATERIALES!A:C,3,FALSE()),"?")</f>
        <v>gl</v>
      </c>
      <c r="G455" s="45">
        <v>3530.1140378925602</v>
      </c>
      <c r="H455" s="46">
        <v>0</v>
      </c>
      <c r="I455" s="47">
        <f>IFERROR(VLOOKUP(D455,MATERIALES!A:D,4,FALSE()),0)</f>
        <v>1</v>
      </c>
      <c r="J455" s="42">
        <f t="shared" si="51"/>
        <v>3530.1140378925602</v>
      </c>
      <c r="K455" s="15" t="str">
        <f t="shared" si="52"/>
        <v>ELE-147|MAT</v>
      </c>
      <c r="L455" s="15">
        <f>COUNTIFS($K$2:K455,K455)</f>
        <v>9</v>
      </c>
      <c r="M455" s="15" t="str">
        <f t="shared" si="53"/>
        <v>ELE-147|MAT|9</v>
      </c>
      <c r="N455" s="47">
        <f>IFERROR(VLOOKUP(A455,PARTIDAS!A:F,6,FALSE()),0)</f>
        <v>3.25</v>
      </c>
      <c r="O455" s="247">
        <f t="shared" si="54"/>
        <v>3530.1140378925602</v>
      </c>
      <c r="P455" s="247" t="str">
        <f>+_xlfn.XLOOKUP(A455,PPTO_GENERADOR!Q:Q,PPTO_GENERADOR!E:E,"-",0)</f>
        <v>-</v>
      </c>
      <c r="Q455" s="247">
        <f t="shared" si="55"/>
        <v>0</v>
      </c>
      <c r="R455" s="259" t="str">
        <f>+_xlfn.XLOOKUP(A455,PPTO_GENERADOR!$Q:$Q,PPTO_GENERADOR!A:A,"-",0)</f>
        <v>-</v>
      </c>
    </row>
    <row r="456" spans="1:18" ht="15" customHeight="1" x14ac:dyDescent="0.35">
      <c r="A456" s="38" t="s">
        <v>2626</v>
      </c>
      <c r="B456" s="38" t="s">
        <v>2776</v>
      </c>
      <c r="C456" s="38" t="s">
        <v>2777</v>
      </c>
      <c r="D456" s="237" t="s">
        <v>1577</v>
      </c>
      <c r="E456" s="44" t="str">
        <f>IFERROR(VLOOKUP(D456,MANO_DE_OBRA!A:B,2,FALSE()),"?")</f>
        <v>AYUDANTE</v>
      </c>
      <c r="F456" s="44" t="s">
        <v>2778</v>
      </c>
      <c r="G456" s="45">
        <v>1</v>
      </c>
      <c r="H456" s="46">
        <v>0</v>
      </c>
      <c r="I456" s="47">
        <f>IFERROR(VLOOKUP(D456,MANO_DE_OBRA!A:C,3,FALSE()),0)</f>
        <v>60860.580776572002</v>
      </c>
      <c r="J456" s="42">
        <f>G456*I456</f>
        <v>60860.580776572002</v>
      </c>
      <c r="K456" s="15" t="str">
        <f t="shared" si="52"/>
        <v>ELE-147|MO</v>
      </c>
      <c r="L456" s="15">
        <f>COUNTIFS($K$2:K456,K456)</f>
        <v>1</v>
      </c>
      <c r="M456" s="15" t="str">
        <f t="shared" si="53"/>
        <v>ELE-147|MO|1</v>
      </c>
      <c r="N456" s="47">
        <f>IFERROR(VLOOKUP(A456,PARTIDAS!A:F,6,FALSE()),0)</f>
        <v>3.25</v>
      </c>
      <c r="O456" s="247">
        <f t="shared" si="54"/>
        <v>0.30769230769230771</v>
      </c>
      <c r="P456" s="247" t="str">
        <f>+_xlfn.XLOOKUP(A456,PPTO_GENERADOR!Q:Q,PPTO_GENERADOR!E:E,"-",0)</f>
        <v>-</v>
      </c>
      <c r="Q456" s="247">
        <f t="shared" si="55"/>
        <v>0</v>
      </c>
      <c r="R456" s="259" t="str">
        <f>+_xlfn.XLOOKUP(A456,PPTO_GENERADOR!$Q:$Q,PPTO_GENERADOR!A:A,"-",0)</f>
        <v>-</v>
      </c>
    </row>
    <row r="457" spans="1:18" ht="15" customHeight="1" x14ac:dyDescent="0.35">
      <c r="A457" s="38" t="s">
        <v>2626</v>
      </c>
      <c r="B457" s="38" t="s">
        <v>2776</v>
      </c>
      <c r="C457" s="38" t="s">
        <v>2777</v>
      </c>
      <c r="D457" s="237" t="s">
        <v>1568</v>
      </c>
      <c r="E457" s="44" t="str">
        <f>IFERROR(VLOOKUP(D457,MANO_DE_OBRA!A:B,2,FALSE()),"?")</f>
        <v>ESPECIALIZADO</v>
      </c>
      <c r="F457" s="44" t="s">
        <v>2778</v>
      </c>
      <c r="G457" s="45">
        <v>1</v>
      </c>
      <c r="H457" s="46">
        <v>0</v>
      </c>
      <c r="I457" s="47">
        <f>IFERROR(VLOOKUP(D457,MANO_DE_OBRA!A:C,3,FALSE()),0)</f>
        <v>85927.097156571996</v>
      </c>
      <c r="J457" s="42">
        <f>G457*I457</f>
        <v>85927.097156571996</v>
      </c>
      <c r="K457" s="15" t="str">
        <f t="shared" si="52"/>
        <v>ELE-147|MO</v>
      </c>
      <c r="L457" s="15">
        <f>COUNTIFS($K$2:K457,K457)</f>
        <v>2</v>
      </c>
      <c r="M457" s="15" t="str">
        <f t="shared" si="53"/>
        <v>ELE-147|MO|2</v>
      </c>
      <c r="N457" s="47">
        <f>IFERROR(VLOOKUP(A457,PARTIDAS!A:F,6,FALSE()),0)</f>
        <v>3.25</v>
      </c>
      <c r="O457" s="247">
        <f t="shared" si="54"/>
        <v>0.30769230769230771</v>
      </c>
      <c r="P457" s="247" t="str">
        <f>+_xlfn.XLOOKUP(A457,PPTO_GENERADOR!Q:Q,PPTO_GENERADOR!E:E,"-",0)</f>
        <v>-</v>
      </c>
      <c r="Q457" s="247">
        <f t="shared" si="55"/>
        <v>0</v>
      </c>
      <c r="R457" s="259" t="str">
        <f>+_xlfn.XLOOKUP(A457,PPTO_GENERADOR!$Q:$Q,PPTO_GENERADOR!A:A,"-",0)</f>
        <v>-</v>
      </c>
    </row>
    <row r="458" spans="1:18" ht="15" customHeight="1" x14ac:dyDescent="0.35">
      <c r="A458" s="38" t="s">
        <v>2628</v>
      </c>
      <c r="B458" s="38" t="s">
        <v>2773</v>
      </c>
      <c r="C458" s="38"/>
      <c r="D458" s="38" t="s">
        <v>1592</v>
      </c>
      <c r="E458" s="44" t="str">
        <f>IFERROR(VLOOKUP(D458,EQUIPOS!A:B,2,FALSE()),"?")</f>
        <v>ANDAMIO TUBULAR DE UNO A TRES CUERPOS</v>
      </c>
      <c r="F458" s="44"/>
      <c r="G458" s="45">
        <v>0.5</v>
      </c>
      <c r="H458" s="46">
        <v>0</v>
      </c>
      <c r="I458" s="47">
        <f>IFERROR(VLOOKUP(D458,EQUIPOS!A:F,6,FALSE()),0)</f>
        <v>571.1794909807611</v>
      </c>
      <c r="J458" s="42">
        <f>G458*I458</f>
        <v>285.58974549038055</v>
      </c>
      <c r="K458" s="15" t="str">
        <f t="shared" si="52"/>
        <v>ELE-148|EQ</v>
      </c>
      <c r="L458" s="15">
        <f>COUNTIFS($K$2:K458,K458)</f>
        <v>1</v>
      </c>
      <c r="M458" s="15" t="str">
        <f t="shared" si="53"/>
        <v>ELE-148|EQ|1</v>
      </c>
      <c r="N458" s="47">
        <f>IFERROR(VLOOKUP(A458,PARTIDAS!A:F,6,FALSE()),0)</f>
        <v>3.25</v>
      </c>
      <c r="O458" s="247">
        <f t="shared" si="54"/>
        <v>0.5</v>
      </c>
      <c r="P458" s="247" t="str">
        <f>+_xlfn.XLOOKUP(A458,PPTO_GENERADOR!Q:Q,PPTO_GENERADOR!E:E,"-",0)</f>
        <v>-</v>
      </c>
      <c r="Q458" s="247">
        <f t="shared" si="55"/>
        <v>0</v>
      </c>
      <c r="R458" s="259" t="str">
        <f>+_xlfn.XLOOKUP(A458,PPTO_GENERADOR!$Q:$Q,PPTO_GENERADOR!A:A,"-",0)</f>
        <v>-</v>
      </c>
    </row>
    <row r="459" spans="1:18" ht="15" customHeight="1" x14ac:dyDescent="0.35">
      <c r="A459" s="38" t="s">
        <v>2628</v>
      </c>
      <c r="B459" s="38" t="s">
        <v>2773</v>
      </c>
      <c r="C459" s="38"/>
      <c r="D459" s="38" t="s">
        <v>1601</v>
      </c>
      <c r="E459" s="44" t="str">
        <f>IFERROR(VLOOKUP(D459,EQUIPOS!A:B,2,FALSE()),"?")</f>
        <v>EQUIPO PARA INSTALACION ELECTRICA</v>
      </c>
      <c r="F459" s="44"/>
      <c r="G459" s="45">
        <v>1</v>
      </c>
      <c r="H459" s="46">
        <v>0</v>
      </c>
      <c r="I459" s="47">
        <f>IFERROR(VLOOKUP(D459,EQUIPOS!A:F,6,FALSE()),0)</f>
        <v>5063.0947914732405</v>
      </c>
      <c r="J459" s="42">
        <f>G459*I459</f>
        <v>5063.0947914732405</v>
      </c>
      <c r="K459" s="15" t="str">
        <f t="shared" si="52"/>
        <v>ELE-148|EQ</v>
      </c>
      <c r="L459" s="15">
        <f>COUNTIFS($K$2:K459,K459)</f>
        <v>2</v>
      </c>
      <c r="M459" s="15" t="str">
        <f t="shared" si="53"/>
        <v>ELE-148|EQ|2</v>
      </c>
      <c r="N459" s="47">
        <f>IFERROR(VLOOKUP(A459,PARTIDAS!A:F,6,FALSE()),0)</f>
        <v>3.25</v>
      </c>
      <c r="O459" s="247">
        <f t="shared" si="54"/>
        <v>1</v>
      </c>
      <c r="P459" s="247" t="str">
        <f>+_xlfn.XLOOKUP(A459,PPTO_GENERADOR!Q:Q,PPTO_GENERADOR!E:E,"-",0)</f>
        <v>-</v>
      </c>
      <c r="Q459" s="247">
        <f t="shared" si="55"/>
        <v>0</v>
      </c>
      <c r="R459" s="259" t="str">
        <f>+_xlfn.XLOOKUP(A459,PPTO_GENERADOR!$Q:$Q,PPTO_GENERADOR!A:A,"-",0)</f>
        <v>-</v>
      </c>
    </row>
    <row r="460" spans="1:18" ht="15" customHeight="1" x14ac:dyDescent="0.35">
      <c r="A460" s="38" t="s">
        <v>2628</v>
      </c>
      <c r="B460" s="38" t="s">
        <v>2773</v>
      </c>
      <c r="C460" s="38"/>
      <c r="D460" s="38" t="s">
        <v>1622</v>
      </c>
      <c r="E460" s="44" t="str">
        <f>IFERROR(VLOOKUP(D460,EQUIPOS!A:B,2,FALSE()),"?")</f>
        <v>ESCALERA GLOSS ALUMINIO ARTICULADA 4 X 4 ESCALONES HASTA 150KG</v>
      </c>
      <c r="F460" s="44"/>
      <c r="G460" s="45">
        <v>0.5</v>
      </c>
      <c r="H460" s="46">
        <v>0</v>
      </c>
      <c r="I460" s="47">
        <f>IFERROR(VLOOKUP(D460,EQUIPOS!A:F,6,FALSE()),0)</f>
        <v>140.19809259430903</v>
      </c>
      <c r="J460" s="42">
        <f>G460*I460</f>
        <v>70.099046297154516</v>
      </c>
      <c r="K460" s="15" t="str">
        <f t="shared" si="52"/>
        <v>ELE-148|EQ</v>
      </c>
      <c r="L460" s="15">
        <f>COUNTIFS($K$2:K460,K460)</f>
        <v>3</v>
      </c>
      <c r="M460" s="15" t="str">
        <f t="shared" si="53"/>
        <v>ELE-148|EQ|3</v>
      </c>
      <c r="N460" s="47">
        <f>IFERROR(VLOOKUP(A460,PARTIDAS!A:F,6,FALSE()),0)</f>
        <v>3.25</v>
      </c>
      <c r="O460" s="247">
        <f t="shared" si="54"/>
        <v>0.5</v>
      </c>
      <c r="P460" s="247" t="str">
        <f>+_xlfn.XLOOKUP(A460,PPTO_GENERADOR!Q:Q,PPTO_GENERADOR!E:E,"-",0)</f>
        <v>-</v>
      </c>
      <c r="Q460" s="247">
        <f t="shared" si="55"/>
        <v>0</v>
      </c>
      <c r="R460" s="259" t="str">
        <f>+_xlfn.XLOOKUP(A460,PPTO_GENERADOR!$Q:$Q,PPTO_GENERADOR!A:A,"-",0)</f>
        <v>-</v>
      </c>
    </row>
    <row r="461" spans="1:18" ht="15" customHeight="1" x14ac:dyDescent="0.35">
      <c r="A461" s="38" t="s">
        <v>2628</v>
      </c>
      <c r="B461" s="38" t="s">
        <v>2774</v>
      </c>
      <c r="C461" s="38" t="s">
        <v>2775</v>
      </c>
      <c r="D461" s="38" t="s">
        <v>930</v>
      </c>
      <c r="E461" s="44" t="str">
        <f>IFERROR(VLOOKUP(D461,MATERIALES!A:B,2,FALSE()),"?")</f>
        <v>Conector hierro 1"</v>
      </c>
      <c r="F461" s="44" t="str">
        <f>IFERROR(VLOOKUP(D461,MATERIALES!A:C,3,FALSE()),"?")</f>
        <v>u</v>
      </c>
      <c r="G461" s="45">
        <v>3</v>
      </c>
      <c r="H461" s="46">
        <v>0.1</v>
      </c>
      <c r="I461" s="47">
        <f>IFERROR(VLOOKUP(D461,MATERIALES!A:D,4,FALSE()),0)</f>
        <v>351.14</v>
      </c>
      <c r="J461" s="42">
        <f t="shared" ref="J461:J466" si="56">G461*I461*(1+H461)</f>
        <v>1158.7620000000002</v>
      </c>
      <c r="K461" s="15" t="str">
        <f t="shared" si="52"/>
        <v>ELE-148|MAT</v>
      </c>
      <c r="L461" s="15">
        <f>COUNTIFS($K$2:K461,K461)</f>
        <v>1</v>
      </c>
      <c r="M461" s="15" t="str">
        <f t="shared" si="53"/>
        <v>ELE-148|MAT|1</v>
      </c>
      <c r="N461" s="47">
        <f>IFERROR(VLOOKUP(A461,PARTIDAS!A:F,6,FALSE()),0)</f>
        <v>3.25</v>
      </c>
      <c r="O461" s="247">
        <f t="shared" si="54"/>
        <v>3</v>
      </c>
      <c r="P461" s="247" t="str">
        <f>+_xlfn.XLOOKUP(A461,PPTO_GENERADOR!Q:Q,PPTO_GENERADOR!E:E,"-",0)</f>
        <v>-</v>
      </c>
      <c r="Q461" s="247">
        <f t="shared" si="55"/>
        <v>0</v>
      </c>
      <c r="R461" s="259" t="str">
        <f>+_xlfn.XLOOKUP(A461,PPTO_GENERADOR!$Q:$Q,PPTO_GENERADOR!A:A,"-",0)</f>
        <v>-</v>
      </c>
    </row>
    <row r="462" spans="1:18" ht="15" customHeight="1" x14ac:dyDescent="0.35">
      <c r="A462" s="38" t="s">
        <v>2628</v>
      </c>
      <c r="B462" s="38" t="s">
        <v>2774</v>
      </c>
      <c r="C462" s="38" t="s">
        <v>2775</v>
      </c>
      <c r="D462" s="38" t="s">
        <v>918</v>
      </c>
      <c r="E462" s="44" t="str">
        <f>IFERROR(VLOOKUP(D462,MATERIALES!A:B,2,FALSE()),"?")</f>
        <v>Caño rigido 1"</v>
      </c>
      <c r="F462" s="44" t="str">
        <f>IFERROR(VLOOKUP(D462,MATERIALES!A:C,3,FALSE()),"?")</f>
        <v>ml</v>
      </c>
      <c r="G462" s="45">
        <v>7.5</v>
      </c>
      <c r="H462" s="46">
        <v>0.1</v>
      </c>
      <c r="I462" s="47">
        <f>IFERROR(VLOOKUP(D462,MATERIALES!A:D,4,FALSE()),0)</f>
        <v>666.92666666666696</v>
      </c>
      <c r="J462" s="42">
        <f t="shared" si="56"/>
        <v>5502.1450000000032</v>
      </c>
      <c r="K462" s="15" t="str">
        <f t="shared" si="52"/>
        <v>ELE-148|MAT</v>
      </c>
      <c r="L462" s="15">
        <f>COUNTIFS($K$2:K462,K462)</f>
        <v>2</v>
      </c>
      <c r="M462" s="15" t="str">
        <f t="shared" si="53"/>
        <v>ELE-148|MAT|2</v>
      </c>
      <c r="N462" s="47">
        <f>IFERROR(VLOOKUP(A462,PARTIDAS!A:F,6,FALSE()),0)</f>
        <v>3.25</v>
      </c>
      <c r="O462" s="247">
        <f t="shared" si="54"/>
        <v>7.5</v>
      </c>
      <c r="P462" s="247" t="str">
        <f>+_xlfn.XLOOKUP(A462,PPTO_GENERADOR!Q:Q,PPTO_GENERADOR!E:E,"-",0)</f>
        <v>-</v>
      </c>
      <c r="Q462" s="247">
        <f t="shared" si="55"/>
        <v>0</v>
      </c>
      <c r="R462" s="259" t="str">
        <f>+_xlfn.XLOOKUP(A462,PPTO_GENERADOR!$Q:$Q,PPTO_GENERADOR!A:A,"-",0)</f>
        <v>-</v>
      </c>
    </row>
    <row r="463" spans="1:18" ht="15" customHeight="1" x14ac:dyDescent="0.35">
      <c r="A463" s="38" t="s">
        <v>2628</v>
      </c>
      <c r="B463" s="38" t="s">
        <v>2774</v>
      </c>
      <c r="C463" s="38" t="s">
        <v>2775</v>
      </c>
      <c r="D463" s="38" t="s">
        <v>937</v>
      </c>
      <c r="E463" s="44" t="str">
        <f>IFERROR(VLOOKUP(D463,MATERIALES!A:B,2,FALSE()),"?")</f>
        <v>Cupla PVC 1"</v>
      </c>
      <c r="F463" s="44" t="str">
        <f>IFERROR(VLOOKUP(D463,MATERIALES!A:C,3,FALSE()),"?")</f>
        <v>u</v>
      </c>
      <c r="G463" s="45">
        <v>3</v>
      </c>
      <c r="H463" s="46">
        <v>0.1</v>
      </c>
      <c r="I463" s="47">
        <f>IFERROR(VLOOKUP(D463,MATERIALES!A:D,4,FALSE()),0)</f>
        <v>280.10000000000002</v>
      </c>
      <c r="J463" s="42">
        <f t="shared" si="56"/>
        <v>924.33000000000015</v>
      </c>
      <c r="K463" s="15" t="str">
        <f t="shared" si="52"/>
        <v>ELE-148|MAT</v>
      </c>
      <c r="L463" s="15">
        <f>COUNTIFS($K$2:K463,K463)</f>
        <v>3</v>
      </c>
      <c r="M463" s="15" t="str">
        <f t="shared" si="53"/>
        <v>ELE-148|MAT|3</v>
      </c>
      <c r="N463" s="47">
        <f>IFERROR(VLOOKUP(A463,PARTIDAS!A:F,6,FALSE()),0)</f>
        <v>3.25</v>
      </c>
      <c r="O463" s="247">
        <f t="shared" si="54"/>
        <v>3</v>
      </c>
      <c r="P463" s="247" t="str">
        <f>+_xlfn.XLOOKUP(A463,PPTO_GENERADOR!Q:Q,PPTO_GENERADOR!E:E,"-",0)</f>
        <v>-</v>
      </c>
      <c r="Q463" s="247">
        <f t="shared" si="55"/>
        <v>0</v>
      </c>
      <c r="R463" s="259" t="str">
        <f>+_xlfn.XLOOKUP(A463,PPTO_GENERADOR!$Q:$Q,PPTO_GENERADOR!A:A,"-",0)</f>
        <v>-</v>
      </c>
    </row>
    <row r="464" spans="1:18" ht="15" customHeight="1" x14ac:dyDescent="0.35">
      <c r="A464" s="38" t="s">
        <v>2628</v>
      </c>
      <c r="B464" s="38" t="s">
        <v>2774</v>
      </c>
      <c r="C464" s="38" t="s">
        <v>2775</v>
      </c>
      <c r="D464" s="38" t="s">
        <v>945</v>
      </c>
      <c r="E464" s="44" t="str">
        <f>IFERROR(VLOOKUP(D464,MATERIALES!A:B,2,FALSE()),"?")</f>
        <v>Cable unipolar 1 x 4,00</v>
      </c>
      <c r="F464" s="44" t="str">
        <f>IFERROR(VLOOKUP(D464,MATERIALES!A:C,3,FALSE()),"?")</f>
        <v>ml</v>
      </c>
      <c r="G464" s="45">
        <v>22.5</v>
      </c>
      <c r="H464" s="46">
        <v>0.1</v>
      </c>
      <c r="I464" s="47">
        <f>IFERROR(VLOOKUP(D464,MATERIALES!A:D,4,FALSE()),0)</f>
        <v>834.6</v>
      </c>
      <c r="J464" s="42">
        <f t="shared" si="56"/>
        <v>20656.350000000002</v>
      </c>
      <c r="K464" s="15" t="str">
        <f t="shared" si="52"/>
        <v>ELE-148|MAT</v>
      </c>
      <c r="L464" s="15">
        <f>COUNTIFS($K$2:K464,K464)</f>
        <v>4</v>
      </c>
      <c r="M464" s="15" t="str">
        <f t="shared" si="53"/>
        <v>ELE-148|MAT|4</v>
      </c>
      <c r="N464" s="47">
        <f>IFERROR(VLOOKUP(A464,PARTIDAS!A:F,6,FALSE()),0)</f>
        <v>3.25</v>
      </c>
      <c r="O464" s="247">
        <f t="shared" si="54"/>
        <v>22.5</v>
      </c>
      <c r="P464" s="247" t="str">
        <f>+_xlfn.XLOOKUP(A464,PPTO_GENERADOR!Q:Q,PPTO_GENERADOR!E:E,"-",0)</f>
        <v>-</v>
      </c>
      <c r="Q464" s="247">
        <f t="shared" si="55"/>
        <v>0</v>
      </c>
      <c r="R464" s="259" t="str">
        <f>+_xlfn.XLOOKUP(A464,PPTO_GENERADOR!$Q:$Q,PPTO_GENERADOR!A:A,"-",0)</f>
        <v>-</v>
      </c>
    </row>
    <row r="465" spans="1:18" ht="15" customHeight="1" x14ac:dyDescent="0.35">
      <c r="A465" s="38" t="s">
        <v>2628</v>
      </c>
      <c r="B465" s="38" t="s">
        <v>2774</v>
      </c>
      <c r="C465" s="38" t="s">
        <v>2775</v>
      </c>
      <c r="D465" s="38" t="s">
        <v>951</v>
      </c>
      <c r="E465" s="44" t="str">
        <f>IFERROR(VLOOKUP(D465,MATERIALES!A:B,2,FALSE()),"?")</f>
        <v>Caja rectangular chica</v>
      </c>
      <c r="F465" s="44" t="str">
        <f>IFERROR(VLOOKUP(D465,MATERIALES!A:C,3,FALSE()),"?")</f>
        <v>u</v>
      </c>
      <c r="G465" s="45">
        <v>1</v>
      </c>
      <c r="H465" s="46">
        <v>0.05</v>
      </c>
      <c r="I465" s="47">
        <f>IFERROR(VLOOKUP(D465,MATERIALES!A:D,4,FALSE()),0)</f>
        <v>202.42</v>
      </c>
      <c r="J465" s="42">
        <f t="shared" si="56"/>
        <v>212.541</v>
      </c>
      <c r="K465" s="15" t="str">
        <f t="shared" si="52"/>
        <v>ELE-148|MAT</v>
      </c>
      <c r="L465" s="15">
        <f>COUNTIFS($K$2:K465,K465)</f>
        <v>5</v>
      </c>
      <c r="M465" s="15" t="str">
        <f t="shared" si="53"/>
        <v>ELE-148|MAT|5</v>
      </c>
      <c r="N465" s="47">
        <f>IFERROR(VLOOKUP(A465,PARTIDAS!A:F,6,FALSE()),0)</f>
        <v>3.25</v>
      </c>
      <c r="O465" s="247">
        <f t="shared" si="54"/>
        <v>1</v>
      </c>
      <c r="P465" s="247" t="str">
        <f>+_xlfn.XLOOKUP(A465,PPTO_GENERADOR!Q:Q,PPTO_GENERADOR!E:E,"-",0)</f>
        <v>-</v>
      </c>
      <c r="Q465" s="247">
        <f t="shared" si="55"/>
        <v>0</v>
      </c>
      <c r="R465" s="259" t="str">
        <f>+_xlfn.XLOOKUP(A465,PPTO_GENERADOR!$Q:$Q,PPTO_GENERADOR!A:A,"-",0)</f>
        <v>-</v>
      </c>
    </row>
    <row r="466" spans="1:18" ht="15" customHeight="1" x14ac:dyDescent="0.35">
      <c r="A466" s="38" t="s">
        <v>2628</v>
      </c>
      <c r="B466" s="38" t="s">
        <v>2774</v>
      </c>
      <c r="C466" s="38" t="s">
        <v>2775</v>
      </c>
      <c r="D466" s="38" t="s">
        <v>1361</v>
      </c>
      <c r="E466" s="44" t="str">
        <f>IFERROR(VLOOKUP(D466,MATERIALES!A:B,2,FALSE()),"?")</f>
        <v>Consumibles</v>
      </c>
      <c r="F466" s="44" t="str">
        <f>IFERROR(VLOOKUP(D466,MATERIALES!A:C,3,FALSE()),"?")</f>
        <v>gl</v>
      </c>
      <c r="G466" s="45">
        <v>5975.3668799999996</v>
      </c>
      <c r="H466" s="46">
        <v>0</v>
      </c>
      <c r="I466" s="47">
        <f>IFERROR(VLOOKUP(D466,MATERIALES!A:D,4,FALSE()),0)</f>
        <v>1</v>
      </c>
      <c r="J466" s="42">
        <f t="shared" si="56"/>
        <v>5975.3668799999996</v>
      </c>
      <c r="K466" s="15" t="str">
        <f t="shared" si="52"/>
        <v>ELE-148|MAT</v>
      </c>
      <c r="L466" s="15">
        <f>COUNTIFS($K$2:K466,K466)</f>
        <v>6</v>
      </c>
      <c r="M466" s="15" t="str">
        <f t="shared" si="53"/>
        <v>ELE-148|MAT|6</v>
      </c>
      <c r="N466" s="47">
        <f>IFERROR(VLOOKUP(A466,PARTIDAS!A:F,6,FALSE()),0)</f>
        <v>3.25</v>
      </c>
      <c r="O466" s="247">
        <f t="shared" si="54"/>
        <v>5975.3668799999996</v>
      </c>
      <c r="P466" s="247" t="str">
        <f>+_xlfn.XLOOKUP(A466,PPTO_GENERADOR!Q:Q,PPTO_GENERADOR!E:E,"-",0)</f>
        <v>-</v>
      </c>
      <c r="Q466" s="247">
        <f t="shared" si="55"/>
        <v>0</v>
      </c>
      <c r="R466" s="259" t="str">
        <f>+_xlfn.XLOOKUP(A466,PPTO_GENERADOR!$Q:$Q,PPTO_GENERADOR!A:A,"-",0)</f>
        <v>-</v>
      </c>
    </row>
    <row r="467" spans="1:18" ht="15" customHeight="1" x14ac:dyDescent="0.35">
      <c r="A467" s="38" t="s">
        <v>2628</v>
      </c>
      <c r="B467" s="38" t="s">
        <v>2776</v>
      </c>
      <c r="C467" s="38" t="s">
        <v>2777</v>
      </c>
      <c r="D467" s="237" t="s">
        <v>1577</v>
      </c>
      <c r="E467" s="44" t="str">
        <f>IFERROR(VLOOKUP(D467,MANO_DE_OBRA!A:B,2,FALSE()),"?")</f>
        <v>AYUDANTE</v>
      </c>
      <c r="F467" s="44" t="s">
        <v>2778</v>
      </c>
      <c r="G467" s="45">
        <v>1</v>
      </c>
      <c r="H467" s="46">
        <v>0</v>
      </c>
      <c r="I467" s="47">
        <f>IFERROR(VLOOKUP(D467,MANO_DE_OBRA!A:C,3,FALSE()),0)</f>
        <v>60860.580776572002</v>
      </c>
      <c r="J467" s="42">
        <f>G467*I467</f>
        <v>60860.580776572002</v>
      </c>
      <c r="K467" s="15" t="str">
        <f t="shared" si="52"/>
        <v>ELE-148|MO</v>
      </c>
      <c r="L467" s="15">
        <f>COUNTIFS($K$2:K467,K467)</f>
        <v>1</v>
      </c>
      <c r="M467" s="15" t="str">
        <f t="shared" si="53"/>
        <v>ELE-148|MO|1</v>
      </c>
      <c r="N467" s="47">
        <f>IFERROR(VLOOKUP(A467,PARTIDAS!A:F,6,FALSE()),0)</f>
        <v>3.25</v>
      </c>
      <c r="O467" s="247">
        <f t="shared" si="54"/>
        <v>0.30769230769230771</v>
      </c>
      <c r="P467" s="247" t="str">
        <f>+_xlfn.XLOOKUP(A467,PPTO_GENERADOR!Q:Q,PPTO_GENERADOR!E:E,"-",0)</f>
        <v>-</v>
      </c>
      <c r="Q467" s="247">
        <f t="shared" si="55"/>
        <v>0</v>
      </c>
      <c r="R467" s="259" t="str">
        <f>+_xlfn.XLOOKUP(A467,PPTO_GENERADOR!$Q:$Q,PPTO_GENERADOR!A:A,"-",0)</f>
        <v>-</v>
      </c>
    </row>
    <row r="468" spans="1:18" ht="15" customHeight="1" x14ac:dyDescent="0.35">
      <c r="A468" s="38" t="s">
        <v>2628</v>
      </c>
      <c r="B468" s="38" t="s">
        <v>2776</v>
      </c>
      <c r="C468" s="38" t="s">
        <v>2777</v>
      </c>
      <c r="D468" s="237" t="s">
        <v>1568</v>
      </c>
      <c r="E468" s="44" t="str">
        <f>IFERROR(VLOOKUP(D468,MANO_DE_OBRA!A:B,2,FALSE()),"?")</f>
        <v>ESPECIALIZADO</v>
      </c>
      <c r="F468" s="44" t="s">
        <v>2778</v>
      </c>
      <c r="G468" s="45">
        <v>1</v>
      </c>
      <c r="H468" s="46">
        <v>0</v>
      </c>
      <c r="I468" s="47">
        <f>IFERROR(VLOOKUP(D468,MANO_DE_OBRA!A:C,3,FALSE()),0)</f>
        <v>85927.097156571996</v>
      </c>
      <c r="J468" s="42">
        <f>G468*I468</f>
        <v>85927.097156571996</v>
      </c>
      <c r="K468" s="15" t="str">
        <f t="shared" si="52"/>
        <v>ELE-148|MO</v>
      </c>
      <c r="L468" s="15">
        <f>COUNTIFS($K$2:K468,K468)</f>
        <v>2</v>
      </c>
      <c r="M468" s="15" t="str">
        <f t="shared" si="53"/>
        <v>ELE-148|MO|2</v>
      </c>
      <c r="N468" s="47">
        <f>IFERROR(VLOOKUP(A468,PARTIDAS!A:F,6,FALSE()),0)</f>
        <v>3.25</v>
      </c>
      <c r="O468" s="247">
        <f t="shared" si="54"/>
        <v>0.30769230769230771</v>
      </c>
      <c r="P468" s="247" t="str">
        <f>+_xlfn.XLOOKUP(A468,PPTO_GENERADOR!Q:Q,PPTO_GENERADOR!E:E,"-",0)</f>
        <v>-</v>
      </c>
      <c r="Q468" s="247">
        <f t="shared" si="55"/>
        <v>0</v>
      </c>
      <c r="R468" s="259" t="str">
        <f>+_xlfn.XLOOKUP(A468,PPTO_GENERADOR!$Q:$Q,PPTO_GENERADOR!A:A,"-",0)</f>
        <v>-</v>
      </c>
    </row>
    <row r="469" spans="1:18" ht="15" customHeight="1" x14ac:dyDescent="0.35">
      <c r="A469" s="38" t="s">
        <v>2633</v>
      </c>
      <c r="B469" s="38" t="s">
        <v>2773</v>
      </c>
      <c r="C469" s="38"/>
      <c r="D469" s="38" t="s">
        <v>1592</v>
      </c>
      <c r="E469" s="44" t="str">
        <f>IFERROR(VLOOKUP(D469,EQUIPOS!A:B,2,FALSE()),"?")</f>
        <v>ANDAMIO TUBULAR DE UNO A TRES CUERPOS</v>
      </c>
      <c r="F469" s="44"/>
      <c r="G469" s="45">
        <v>0.5</v>
      </c>
      <c r="H469" s="46">
        <v>0</v>
      </c>
      <c r="I469" s="47">
        <f>IFERROR(VLOOKUP(D469,EQUIPOS!A:F,6,FALSE()),0)</f>
        <v>571.1794909807611</v>
      </c>
      <c r="J469" s="42">
        <f>G469*I469</f>
        <v>285.58974549038055</v>
      </c>
      <c r="K469" s="15" t="str">
        <f t="shared" si="52"/>
        <v>ELE-149|EQ</v>
      </c>
      <c r="L469" s="15">
        <f>COUNTIFS($K$2:K469,K469)</f>
        <v>1</v>
      </c>
      <c r="M469" s="15" t="str">
        <f t="shared" si="53"/>
        <v>ELE-149|EQ|1</v>
      </c>
      <c r="N469" s="47">
        <f>IFERROR(VLOOKUP(A469,PARTIDAS!A:F,6,FALSE()),0)</f>
        <v>3.25</v>
      </c>
      <c r="O469" s="247">
        <f t="shared" si="54"/>
        <v>0.5</v>
      </c>
      <c r="P469" s="247" t="str">
        <f>+_xlfn.XLOOKUP(A469,PPTO_GENERADOR!Q:Q,PPTO_GENERADOR!E:E,"-",0)</f>
        <v>-</v>
      </c>
      <c r="Q469" s="247">
        <f t="shared" si="55"/>
        <v>0</v>
      </c>
      <c r="R469" s="259" t="str">
        <f>+_xlfn.XLOOKUP(A469,PPTO_GENERADOR!$Q:$Q,PPTO_GENERADOR!A:A,"-",0)</f>
        <v>-</v>
      </c>
    </row>
    <row r="470" spans="1:18" ht="15" customHeight="1" x14ac:dyDescent="0.35">
      <c r="A470" s="38" t="s">
        <v>2633</v>
      </c>
      <c r="B470" s="38" t="s">
        <v>2773</v>
      </c>
      <c r="C470" s="38"/>
      <c r="D470" s="38" t="s">
        <v>1601</v>
      </c>
      <c r="E470" s="44" t="str">
        <f>IFERROR(VLOOKUP(D470,EQUIPOS!A:B,2,FALSE()),"?")</f>
        <v>EQUIPO PARA INSTALACION ELECTRICA</v>
      </c>
      <c r="F470" s="44"/>
      <c r="G470" s="45">
        <v>1</v>
      </c>
      <c r="H470" s="46">
        <v>0</v>
      </c>
      <c r="I470" s="47">
        <f>IFERROR(VLOOKUP(D470,EQUIPOS!A:F,6,FALSE()),0)</f>
        <v>5063.0947914732405</v>
      </c>
      <c r="J470" s="42">
        <f>G470*I470</f>
        <v>5063.0947914732405</v>
      </c>
      <c r="K470" s="15" t="str">
        <f t="shared" si="52"/>
        <v>ELE-149|EQ</v>
      </c>
      <c r="L470" s="15">
        <f>COUNTIFS($K$2:K470,K470)</f>
        <v>2</v>
      </c>
      <c r="M470" s="15" t="str">
        <f t="shared" si="53"/>
        <v>ELE-149|EQ|2</v>
      </c>
      <c r="N470" s="47">
        <f>IFERROR(VLOOKUP(A470,PARTIDAS!A:F,6,FALSE()),0)</f>
        <v>3.25</v>
      </c>
      <c r="O470" s="247">
        <f t="shared" si="54"/>
        <v>1</v>
      </c>
      <c r="P470" s="247" t="str">
        <f>+_xlfn.XLOOKUP(A470,PPTO_GENERADOR!Q:Q,PPTO_GENERADOR!E:E,"-",0)</f>
        <v>-</v>
      </c>
      <c r="Q470" s="247">
        <f t="shared" si="55"/>
        <v>0</v>
      </c>
      <c r="R470" s="259" t="str">
        <f>+_xlfn.XLOOKUP(A470,PPTO_GENERADOR!$Q:$Q,PPTO_GENERADOR!A:A,"-",0)</f>
        <v>-</v>
      </c>
    </row>
    <row r="471" spans="1:18" ht="15" customHeight="1" x14ac:dyDescent="0.35">
      <c r="A471" s="38" t="s">
        <v>2633</v>
      </c>
      <c r="B471" s="38" t="s">
        <v>2773</v>
      </c>
      <c r="C471" s="38"/>
      <c r="D471" s="38" t="s">
        <v>1622</v>
      </c>
      <c r="E471" s="44" t="str">
        <f>IFERROR(VLOOKUP(D471,EQUIPOS!A:B,2,FALSE()),"?")</f>
        <v>ESCALERA GLOSS ALUMINIO ARTICULADA 4 X 4 ESCALONES HASTA 150KG</v>
      </c>
      <c r="F471" s="44"/>
      <c r="G471" s="45">
        <v>0.5</v>
      </c>
      <c r="H471" s="46">
        <v>0</v>
      </c>
      <c r="I471" s="47">
        <f>IFERROR(VLOOKUP(D471,EQUIPOS!A:F,6,FALSE()),0)</f>
        <v>140.19809259430903</v>
      </c>
      <c r="J471" s="42">
        <f>G471*I471</f>
        <v>70.099046297154516</v>
      </c>
      <c r="K471" s="15" t="str">
        <f t="shared" si="52"/>
        <v>ELE-149|EQ</v>
      </c>
      <c r="L471" s="15">
        <f>COUNTIFS($K$2:K471,K471)</f>
        <v>3</v>
      </c>
      <c r="M471" s="15" t="str">
        <f t="shared" si="53"/>
        <v>ELE-149|EQ|3</v>
      </c>
      <c r="N471" s="47">
        <f>IFERROR(VLOOKUP(A471,PARTIDAS!A:F,6,FALSE()),0)</f>
        <v>3.25</v>
      </c>
      <c r="O471" s="247">
        <f t="shared" si="54"/>
        <v>0.5</v>
      </c>
      <c r="P471" s="247" t="str">
        <f>+_xlfn.XLOOKUP(A471,PPTO_GENERADOR!Q:Q,PPTO_GENERADOR!E:E,"-",0)</f>
        <v>-</v>
      </c>
      <c r="Q471" s="247">
        <f t="shared" si="55"/>
        <v>0</v>
      </c>
      <c r="R471" s="259" t="str">
        <f>+_xlfn.XLOOKUP(A471,PPTO_GENERADOR!$Q:$Q,PPTO_GENERADOR!A:A,"-",0)</f>
        <v>-</v>
      </c>
    </row>
    <row r="472" spans="1:18" ht="15" customHeight="1" x14ac:dyDescent="0.35">
      <c r="A472" s="38" t="s">
        <v>2633</v>
      </c>
      <c r="B472" s="38" t="s">
        <v>2774</v>
      </c>
      <c r="C472" s="38" t="s">
        <v>2775</v>
      </c>
      <c r="D472" s="38" t="s">
        <v>930</v>
      </c>
      <c r="E472" s="44" t="str">
        <f>IFERROR(VLOOKUP(D472,MATERIALES!A:B,2,FALSE()),"?")</f>
        <v>Conector hierro 1"</v>
      </c>
      <c r="F472" s="44" t="str">
        <f>IFERROR(VLOOKUP(D472,MATERIALES!A:C,3,FALSE()),"?")</f>
        <v>u</v>
      </c>
      <c r="G472" s="45">
        <v>4</v>
      </c>
      <c r="H472" s="46">
        <v>0.1</v>
      </c>
      <c r="I472" s="47">
        <f>IFERROR(VLOOKUP(D472,MATERIALES!A:D,4,FALSE()),0)</f>
        <v>351.14</v>
      </c>
      <c r="J472" s="42">
        <f t="shared" ref="J472:J477" si="57">G472*I472*(1+H472)</f>
        <v>1545.0160000000001</v>
      </c>
      <c r="K472" s="15" t="str">
        <f t="shared" si="52"/>
        <v>ELE-149|MAT</v>
      </c>
      <c r="L472" s="15">
        <f>COUNTIFS($K$2:K472,K472)</f>
        <v>1</v>
      </c>
      <c r="M472" s="15" t="str">
        <f t="shared" si="53"/>
        <v>ELE-149|MAT|1</v>
      </c>
      <c r="N472" s="47">
        <f>IFERROR(VLOOKUP(A472,PARTIDAS!A:F,6,FALSE()),0)</f>
        <v>3.25</v>
      </c>
      <c r="O472" s="247">
        <f t="shared" si="54"/>
        <v>4</v>
      </c>
      <c r="P472" s="247" t="str">
        <f>+_xlfn.XLOOKUP(A472,PPTO_GENERADOR!Q:Q,PPTO_GENERADOR!E:E,"-",0)</f>
        <v>-</v>
      </c>
      <c r="Q472" s="247">
        <f t="shared" si="55"/>
        <v>0</v>
      </c>
      <c r="R472" s="259" t="str">
        <f>+_xlfn.XLOOKUP(A472,PPTO_GENERADOR!$Q:$Q,PPTO_GENERADOR!A:A,"-",0)</f>
        <v>-</v>
      </c>
    </row>
    <row r="473" spans="1:18" ht="15" customHeight="1" x14ac:dyDescent="0.35">
      <c r="A473" s="38" t="s">
        <v>2633</v>
      </c>
      <c r="B473" s="38" t="s">
        <v>2774</v>
      </c>
      <c r="C473" s="38" t="s">
        <v>2775</v>
      </c>
      <c r="D473" s="38" t="s">
        <v>918</v>
      </c>
      <c r="E473" s="44" t="str">
        <f>IFERROR(VLOOKUP(D473,MATERIALES!A:B,2,FALSE()),"?")</f>
        <v>Caño rigido 1"</v>
      </c>
      <c r="F473" s="44" t="str">
        <f>IFERROR(VLOOKUP(D473,MATERIALES!A:C,3,FALSE()),"?")</f>
        <v>ml</v>
      </c>
      <c r="G473" s="45">
        <v>7.5</v>
      </c>
      <c r="H473" s="46">
        <v>0.05</v>
      </c>
      <c r="I473" s="47">
        <f>IFERROR(VLOOKUP(D473,MATERIALES!A:D,4,FALSE()),0)</f>
        <v>666.92666666666696</v>
      </c>
      <c r="J473" s="42">
        <f t="shared" si="57"/>
        <v>5252.0475000000033</v>
      </c>
      <c r="K473" s="15" t="str">
        <f t="shared" si="52"/>
        <v>ELE-149|MAT</v>
      </c>
      <c r="L473" s="15">
        <f>COUNTIFS($K$2:K473,K473)</f>
        <v>2</v>
      </c>
      <c r="M473" s="15" t="str">
        <f t="shared" si="53"/>
        <v>ELE-149|MAT|2</v>
      </c>
      <c r="N473" s="47">
        <f>IFERROR(VLOOKUP(A473,PARTIDAS!A:F,6,FALSE()),0)</f>
        <v>3.25</v>
      </c>
      <c r="O473" s="247">
        <f t="shared" si="54"/>
        <v>7.5</v>
      </c>
      <c r="P473" s="247" t="str">
        <f>+_xlfn.XLOOKUP(A473,PPTO_GENERADOR!Q:Q,PPTO_GENERADOR!E:E,"-",0)</f>
        <v>-</v>
      </c>
      <c r="Q473" s="247">
        <f t="shared" si="55"/>
        <v>0</v>
      </c>
      <c r="R473" s="259" t="str">
        <f>+_xlfn.XLOOKUP(A473,PPTO_GENERADOR!$Q:$Q,PPTO_GENERADOR!A:A,"-",0)</f>
        <v>-</v>
      </c>
    </row>
    <row r="474" spans="1:18" ht="15" customHeight="1" x14ac:dyDescent="0.35">
      <c r="A474" s="38" t="s">
        <v>2633</v>
      </c>
      <c r="B474" s="38" t="s">
        <v>2774</v>
      </c>
      <c r="C474" s="38" t="s">
        <v>2775</v>
      </c>
      <c r="D474" s="38" t="s">
        <v>937</v>
      </c>
      <c r="E474" s="44" t="str">
        <f>IFERROR(VLOOKUP(D474,MATERIALES!A:B,2,FALSE()),"?")</f>
        <v>Cupla PVC 1"</v>
      </c>
      <c r="F474" s="44" t="str">
        <f>IFERROR(VLOOKUP(D474,MATERIALES!A:C,3,FALSE()),"?")</f>
        <v>u</v>
      </c>
      <c r="G474" s="45">
        <v>1.2</v>
      </c>
      <c r="H474" s="46">
        <v>0.1</v>
      </c>
      <c r="I474" s="47">
        <f>IFERROR(VLOOKUP(D474,MATERIALES!A:D,4,FALSE()),0)</f>
        <v>280.10000000000002</v>
      </c>
      <c r="J474" s="42">
        <f t="shared" si="57"/>
        <v>369.73200000000003</v>
      </c>
      <c r="K474" s="15" t="str">
        <f t="shared" si="52"/>
        <v>ELE-149|MAT</v>
      </c>
      <c r="L474" s="15">
        <f>COUNTIFS($K$2:K474,K474)</f>
        <v>3</v>
      </c>
      <c r="M474" s="15" t="str">
        <f t="shared" si="53"/>
        <v>ELE-149|MAT|3</v>
      </c>
      <c r="N474" s="47">
        <f>IFERROR(VLOOKUP(A474,PARTIDAS!A:F,6,FALSE()),0)</f>
        <v>3.25</v>
      </c>
      <c r="O474" s="247">
        <f t="shared" si="54"/>
        <v>1.2</v>
      </c>
      <c r="P474" s="247" t="str">
        <f>+_xlfn.XLOOKUP(A474,PPTO_GENERADOR!Q:Q,PPTO_GENERADOR!E:E,"-",0)</f>
        <v>-</v>
      </c>
      <c r="Q474" s="247">
        <f t="shared" si="55"/>
        <v>0</v>
      </c>
      <c r="R474" s="259" t="str">
        <f>+_xlfn.XLOOKUP(A474,PPTO_GENERADOR!$Q:$Q,PPTO_GENERADOR!A:A,"-",0)</f>
        <v>-</v>
      </c>
    </row>
    <row r="475" spans="1:18" ht="15" customHeight="1" x14ac:dyDescent="0.35">
      <c r="A475" s="38" t="s">
        <v>2633</v>
      </c>
      <c r="B475" s="38" t="s">
        <v>2774</v>
      </c>
      <c r="C475" s="38" t="s">
        <v>2775</v>
      </c>
      <c r="D475" s="38" t="s">
        <v>939</v>
      </c>
      <c r="E475" s="44" t="str">
        <f>IFERROR(VLOOKUP(D475,MATERIALES!A:B,2,FALSE()),"?")</f>
        <v>Cable unipolar 1 x 1,50</v>
      </c>
      <c r="F475" s="44" t="str">
        <f>IFERROR(VLOOKUP(D475,MATERIALES!A:C,3,FALSE()),"?")</f>
        <v>ml</v>
      </c>
      <c r="G475" s="45">
        <v>7.5</v>
      </c>
      <c r="H475" s="46">
        <v>0.1</v>
      </c>
      <c r="I475" s="47">
        <f>IFERROR(VLOOKUP(D475,MATERIALES!A:D,4,FALSE()),0)</f>
        <v>316.44450000000001</v>
      </c>
      <c r="J475" s="42">
        <f t="shared" si="57"/>
        <v>2610.6671250000004</v>
      </c>
      <c r="K475" s="15" t="str">
        <f t="shared" si="52"/>
        <v>ELE-149|MAT</v>
      </c>
      <c r="L475" s="15">
        <f>COUNTIFS($K$2:K475,K475)</f>
        <v>4</v>
      </c>
      <c r="M475" s="15" t="str">
        <f t="shared" si="53"/>
        <v>ELE-149|MAT|4</v>
      </c>
      <c r="N475" s="47">
        <f>IFERROR(VLOOKUP(A475,PARTIDAS!A:F,6,FALSE()),0)</f>
        <v>3.25</v>
      </c>
      <c r="O475" s="247">
        <f t="shared" si="54"/>
        <v>7.5</v>
      </c>
      <c r="P475" s="247" t="str">
        <f>+_xlfn.XLOOKUP(A475,PPTO_GENERADOR!Q:Q,PPTO_GENERADOR!E:E,"-",0)</f>
        <v>-</v>
      </c>
      <c r="Q475" s="247">
        <f t="shared" si="55"/>
        <v>0</v>
      </c>
      <c r="R475" s="259" t="str">
        <f>+_xlfn.XLOOKUP(A475,PPTO_GENERADOR!$Q:$Q,PPTO_GENERADOR!A:A,"-",0)</f>
        <v>-</v>
      </c>
    </row>
    <row r="476" spans="1:18" ht="15" customHeight="1" x14ac:dyDescent="0.35">
      <c r="A476" s="38" t="s">
        <v>2633</v>
      </c>
      <c r="B476" s="38" t="s">
        <v>2774</v>
      </c>
      <c r="C476" s="38" t="s">
        <v>2775</v>
      </c>
      <c r="D476" s="38" t="s">
        <v>951</v>
      </c>
      <c r="E476" s="44" t="str">
        <f>IFERROR(VLOOKUP(D476,MATERIALES!A:B,2,FALSE()),"?")</f>
        <v>Caja rectangular chica</v>
      </c>
      <c r="F476" s="44" t="str">
        <f>IFERROR(VLOOKUP(D476,MATERIALES!A:C,3,FALSE()),"?")</f>
        <v>u</v>
      </c>
      <c r="G476" s="45">
        <v>1</v>
      </c>
      <c r="H476" s="46">
        <v>0.05</v>
      </c>
      <c r="I476" s="47">
        <f>IFERROR(VLOOKUP(D476,MATERIALES!A:D,4,FALSE()),0)</f>
        <v>202.42</v>
      </c>
      <c r="J476" s="42">
        <f t="shared" si="57"/>
        <v>212.541</v>
      </c>
      <c r="K476" s="15" t="str">
        <f t="shared" si="52"/>
        <v>ELE-149|MAT</v>
      </c>
      <c r="L476" s="15">
        <f>COUNTIFS($K$2:K476,K476)</f>
        <v>5</v>
      </c>
      <c r="M476" s="15" t="str">
        <f t="shared" si="53"/>
        <v>ELE-149|MAT|5</v>
      </c>
      <c r="N476" s="47">
        <f>IFERROR(VLOOKUP(A476,PARTIDAS!A:F,6,FALSE()),0)</f>
        <v>3.25</v>
      </c>
      <c r="O476" s="247">
        <f t="shared" si="54"/>
        <v>1</v>
      </c>
      <c r="P476" s="247" t="str">
        <f>+_xlfn.XLOOKUP(A476,PPTO_GENERADOR!Q:Q,PPTO_GENERADOR!E:E,"-",0)</f>
        <v>-</v>
      </c>
      <c r="Q476" s="247">
        <f t="shared" si="55"/>
        <v>0</v>
      </c>
      <c r="R476" s="259" t="str">
        <f>+_xlfn.XLOOKUP(A476,PPTO_GENERADOR!$Q:$Q,PPTO_GENERADOR!A:A,"-",0)</f>
        <v>-</v>
      </c>
    </row>
    <row r="477" spans="1:18" ht="15" customHeight="1" x14ac:dyDescent="0.35">
      <c r="A477" s="38" t="s">
        <v>2633</v>
      </c>
      <c r="B477" s="38" t="s">
        <v>2774</v>
      </c>
      <c r="C477" s="38" t="s">
        <v>2775</v>
      </c>
      <c r="D477" s="38" t="s">
        <v>1361</v>
      </c>
      <c r="E477" s="44" t="str">
        <f>IFERROR(VLOOKUP(D477,MATERIALES!A:B,2,FALSE()),"?")</f>
        <v>Consumibles</v>
      </c>
      <c r="F477" s="44" t="str">
        <f>IFERROR(VLOOKUP(D477,MATERIALES!A:C,3,FALSE()),"?")</f>
        <v>gl</v>
      </c>
      <c r="G477" s="45">
        <v>2097.90076125</v>
      </c>
      <c r="H477" s="46">
        <v>0</v>
      </c>
      <c r="I477" s="47">
        <f>IFERROR(VLOOKUP(D477,MATERIALES!A:D,4,FALSE()),0)</f>
        <v>1</v>
      </c>
      <c r="J477" s="42">
        <f t="shared" si="57"/>
        <v>2097.90076125</v>
      </c>
      <c r="K477" s="15" t="str">
        <f t="shared" si="52"/>
        <v>ELE-149|MAT</v>
      </c>
      <c r="L477" s="15">
        <f>COUNTIFS($K$2:K477,K477)</f>
        <v>6</v>
      </c>
      <c r="M477" s="15" t="str">
        <f t="shared" si="53"/>
        <v>ELE-149|MAT|6</v>
      </c>
      <c r="N477" s="47">
        <f>IFERROR(VLOOKUP(A477,PARTIDAS!A:F,6,FALSE()),0)</f>
        <v>3.25</v>
      </c>
      <c r="O477" s="247">
        <f t="shared" si="54"/>
        <v>2097.90076125</v>
      </c>
      <c r="P477" s="247" t="str">
        <f>+_xlfn.XLOOKUP(A477,PPTO_GENERADOR!Q:Q,PPTO_GENERADOR!E:E,"-",0)</f>
        <v>-</v>
      </c>
      <c r="Q477" s="247">
        <f t="shared" si="55"/>
        <v>0</v>
      </c>
      <c r="R477" s="259" t="str">
        <f>+_xlfn.XLOOKUP(A477,PPTO_GENERADOR!$Q:$Q,PPTO_GENERADOR!A:A,"-",0)</f>
        <v>-</v>
      </c>
    </row>
    <row r="478" spans="1:18" ht="15" customHeight="1" x14ac:dyDescent="0.35">
      <c r="A478" s="38" t="s">
        <v>2633</v>
      </c>
      <c r="B478" s="38" t="s">
        <v>2776</v>
      </c>
      <c r="C478" s="38" t="s">
        <v>2777</v>
      </c>
      <c r="D478" s="237" t="s">
        <v>1577</v>
      </c>
      <c r="E478" s="44" t="str">
        <f>IFERROR(VLOOKUP(D478,MANO_DE_OBRA!A:B,2,FALSE()),"?")</f>
        <v>AYUDANTE</v>
      </c>
      <c r="F478" s="44" t="s">
        <v>2778</v>
      </c>
      <c r="G478" s="45">
        <v>1</v>
      </c>
      <c r="H478" s="46">
        <v>0</v>
      </c>
      <c r="I478" s="47">
        <f>IFERROR(VLOOKUP(D478,MANO_DE_OBRA!A:C,3,FALSE()),0)</f>
        <v>60860.580776572002</v>
      </c>
      <c r="J478" s="42">
        <f>G478*I478</f>
        <v>60860.580776572002</v>
      </c>
      <c r="K478" s="15" t="str">
        <f t="shared" si="52"/>
        <v>ELE-149|MO</v>
      </c>
      <c r="L478" s="15">
        <f>COUNTIFS($K$2:K478,K478)</f>
        <v>1</v>
      </c>
      <c r="M478" s="15" t="str">
        <f t="shared" si="53"/>
        <v>ELE-149|MO|1</v>
      </c>
      <c r="N478" s="47">
        <f>IFERROR(VLOOKUP(A478,PARTIDAS!A:F,6,FALSE()),0)</f>
        <v>3.25</v>
      </c>
      <c r="O478" s="247">
        <f t="shared" si="54"/>
        <v>0.30769230769230771</v>
      </c>
      <c r="P478" s="247" t="str">
        <f>+_xlfn.XLOOKUP(A478,PPTO_GENERADOR!Q:Q,PPTO_GENERADOR!E:E,"-",0)</f>
        <v>-</v>
      </c>
      <c r="Q478" s="247">
        <f t="shared" si="55"/>
        <v>0</v>
      </c>
      <c r="R478" s="259" t="str">
        <f>+_xlfn.XLOOKUP(A478,PPTO_GENERADOR!$Q:$Q,PPTO_GENERADOR!A:A,"-",0)</f>
        <v>-</v>
      </c>
    </row>
    <row r="479" spans="1:18" ht="15" customHeight="1" x14ac:dyDescent="0.35">
      <c r="A479" s="38" t="s">
        <v>2633</v>
      </c>
      <c r="B479" s="38" t="s">
        <v>2776</v>
      </c>
      <c r="C479" s="38" t="s">
        <v>2777</v>
      </c>
      <c r="D479" s="237" t="s">
        <v>1568</v>
      </c>
      <c r="E479" s="44" t="str">
        <f>IFERROR(VLOOKUP(D479,MANO_DE_OBRA!A:B,2,FALSE()),"?")</f>
        <v>ESPECIALIZADO</v>
      </c>
      <c r="F479" s="44" t="s">
        <v>2778</v>
      </c>
      <c r="G479" s="45">
        <v>1</v>
      </c>
      <c r="H479" s="46">
        <v>0</v>
      </c>
      <c r="I479" s="47">
        <f>IFERROR(VLOOKUP(D479,MANO_DE_OBRA!A:C,3,FALSE()),0)</f>
        <v>85927.097156571996</v>
      </c>
      <c r="J479" s="42">
        <f>G479*I479</f>
        <v>85927.097156571996</v>
      </c>
      <c r="K479" s="15" t="str">
        <f t="shared" si="52"/>
        <v>ELE-149|MO</v>
      </c>
      <c r="L479" s="15">
        <f>COUNTIFS($K$2:K479,K479)</f>
        <v>2</v>
      </c>
      <c r="M479" s="15" t="str">
        <f t="shared" si="53"/>
        <v>ELE-149|MO|2</v>
      </c>
      <c r="N479" s="47">
        <f>IFERROR(VLOOKUP(A479,PARTIDAS!A:F,6,FALSE()),0)</f>
        <v>3.25</v>
      </c>
      <c r="O479" s="247">
        <f t="shared" si="54"/>
        <v>0.30769230769230771</v>
      </c>
      <c r="P479" s="247" t="str">
        <f>+_xlfn.XLOOKUP(A479,PPTO_GENERADOR!Q:Q,PPTO_GENERADOR!E:E,"-",0)</f>
        <v>-</v>
      </c>
      <c r="Q479" s="247">
        <f t="shared" si="55"/>
        <v>0</v>
      </c>
      <c r="R479" s="259" t="str">
        <f>+_xlfn.XLOOKUP(A479,PPTO_GENERADOR!$Q:$Q,PPTO_GENERADOR!A:A,"-",0)</f>
        <v>-</v>
      </c>
    </row>
    <row r="480" spans="1:18" ht="15" customHeight="1" x14ac:dyDescent="0.35">
      <c r="A480" s="38" t="s">
        <v>2586</v>
      </c>
      <c r="B480" s="38" t="s">
        <v>2774</v>
      </c>
      <c r="C480" s="38" t="s">
        <v>2775</v>
      </c>
      <c r="D480" s="38" t="s">
        <v>685</v>
      </c>
      <c r="E480" s="44" t="str">
        <f>IFERROR(VLOOKUP(D480,MATERIALES!A:B,2,FALSE()),"?")</f>
        <v>Alambre de Fardo</v>
      </c>
      <c r="F480" s="44" t="str">
        <f>IFERROR(VLOOKUP(D480,MATERIALES!A:C,3,FALSE()),"?")</f>
        <v>kg</v>
      </c>
      <c r="G480" s="45">
        <v>1.2500000000000001E-2</v>
      </c>
      <c r="H480" s="46">
        <v>0.15</v>
      </c>
      <c r="I480" s="47">
        <f>IFERROR(VLOOKUP(D480,MATERIALES!A:D,4,FALSE()),0)</f>
        <v>2302.02</v>
      </c>
      <c r="J480" s="42">
        <f>G480*I480*(1+H480)</f>
        <v>33.091537499999994</v>
      </c>
      <c r="K480" s="15" t="str">
        <f t="shared" si="52"/>
        <v>HOR-087|MAT</v>
      </c>
      <c r="L480" s="15">
        <f>COUNTIFS($K$2:K480,K480)</f>
        <v>1</v>
      </c>
      <c r="M480" s="15" t="str">
        <f t="shared" si="53"/>
        <v>HOR-087|MAT|1</v>
      </c>
      <c r="N480" s="47">
        <f>IFERROR(VLOOKUP(A480,PARTIDAS!A:F,6,FALSE()),0)</f>
        <v>24</v>
      </c>
      <c r="O480" s="247">
        <f t="shared" si="54"/>
        <v>1.2500000000000001E-2</v>
      </c>
      <c r="P480" s="247" t="str">
        <f>+_xlfn.XLOOKUP(A480,PPTO_GENERADOR!Q:Q,PPTO_GENERADOR!E:E,"-",0)</f>
        <v>-</v>
      </c>
      <c r="Q480" s="247">
        <f t="shared" si="55"/>
        <v>0</v>
      </c>
      <c r="R480" s="259" t="str">
        <f>+_xlfn.XLOOKUP(A480,PPTO_GENERADOR!$Q:$Q,PPTO_GENERADOR!A:A,"-",0)</f>
        <v>-</v>
      </c>
    </row>
    <row r="481" spans="1:18" ht="15" customHeight="1" x14ac:dyDescent="0.35">
      <c r="A481" s="38" t="s">
        <v>2586</v>
      </c>
      <c r="B481" s="38" t="s">
        <v>2774</v>
      </c>
      <c r="C481" s="38" t="s">
        <v>2775</v>
      </c>
      <c r="D481" s="38" t="s">
        <v>872</v>
      </c>
      <c r="E481" s="44" t="str">
        <f>IFERROR(VLOOKUP(D481,MATERIALES!A:B,2,FALSE()),"?")</f>
        <v>CLAVOS DE 21/2" X 12</v>
      </c>
      <c r="F481" s="44" t="str">
        <f>IFERROR(VLOOKUP(D481,MATERIALES!A:C,3,FALSE()),"?")</f>
        <v>KG</v>
      </c>
      <c r="G481" s="45">
        <v>0.125</v>
      </c>
      <c r="H481" s="46">
        <v>0.05</v>
      </c>
      <c r="I481" s="47">
        <f>IFERROR(VLOOKUP(D481,MATERIALES!A:D,4,FALSE()),0)</f>
        <v>2130.1681250000001</v>
      </c>
      <c r="J481" s="42">
        <f>G481*I481*(1+H481)</f>
        <v>279.58456640625002</v>
      </c>
      <c r="K481" s="15" t="str">
        <f t="shared" si="52"/>
        <v>HOR-087|MAT</v>
      </c>
      <c r="L481" s="15">
        <f>COUNTIFS($K$2:K481,K481)</f>
        <v>2</v>
      </c>
      <c r="M481" s="15" t="str">
        <f t="shared" si="53"/>
        <v>HOR-087|MAT|2</v>
      </c>
      <c r="N481" s="47">
        <f>IFERROR(VLOOKUP(A481,PARTIDAS!A:F,6,FALSE()),0)</f>
        <v>24</v>
      </c>
      <c r="O481" s="247">
        <f t="shared" si="54"/>
        <v>0.125</v>
      </c>
      <c r="P481" s="247" t="str">
        <f>+_xlfn.XLOOKUP(A481,PPTO_GENERADOR!Q:Q,PPTO_GENERADOR!E:E,"-",0)</f>
        <v>-</v>
      </c>
      <c r="Q481" s="247">
        <f t="shared" si="55"/>
        <v>0</v>
      </c>
      <c r="R481" s="259" t="str">
        <f>+_xlfn.XLOOKUP(A481,PPTO_GENERADOR!$Q:$Q,PPTO_GENERADOR!A:A,"-",0)</f>
        <v>-</v>
      </c>
    </row>
    <row r="482" spans="1:18" ht="15" customHeight="1" x14ac:dyDescent="0.35">
      <c r="A482" s="38" t="s">
        <v>2586</v>
      </c>
      <c r="B482" s="38" t="s">
        <v>2774</v>
      </c>
      <c r="C482" s="38" t="s">
        <v>2775</v>
      </c>
      <c r="D482" s="38" t="s">
        <v>998</v>
      </c>
      <c r="E482" s="44" t="str">
        <f>IFERROR(VLOOKUP(D482,MATERIALES!A:B,2,FALSE()),"?")</f>
        <v>Madera tabla corriente</v>
      </c>
      <c r="F482" s="44" t="str">
        <f>IFERROR(VLOOKUP(D482,MATERIALES!A:C,3,FALSE()),"?")</f>
        <v>ml</v>
      </c>
      <c r="G482" s="45">
        <v>0.02</v>
      </c>
      <c r="H482" s="46">
        <v>0.02</v>
      </c>
      <c r="I482" s="47">
        <f>IFERROR(VLOOKUP(D482,MATERIALES!A:D,4,FALSE()),0)</f>
        <v>2755.25</v>
      </c>
      <c r="J482" s="42">
        <f>G482*I482*(1+H482)</f>
        <v>56.207100000000004</v>
      </c>
      <c r="K482" s="15" t="str">
        <f t="shared" si="52"/>
        <v>HOR-087|MAT</v>
      </c>
      <c r="L482" s="15">
        <f>COUNTIFS($K$2:K482,K482)</f>
        <v>3</v>
      </c>
      <c r="M482" s="15" t="str">
        <f t="shared" si="53"/>
        <v>HOR-087|MAT|3</v>
      </c>
      <c r="N482" s="47">
        <f>IFERROR(VLOOKUP(A482,PARTIDAS!A:F,6,FALSE()),0)</f>
        <v>24</v>
      </c>
      <c r="O482" s="247">
        <f t="shared" si="54"/>
        <v>0.02</v>
      </c>
      <c r="P482" s="247" t="str">
        <f>+_xlfn.XLOOKUP(A482,PPTO_GENERADOR!Q:Q,PPTO_GENERADOR!E:E,"-",0)</f>
        <v>-</v>
      </c>
      <c r="Q482" s="247">
        <f t="shared" si="55"/>
        <v>0</v>
      </c>
      <c r="R482" s="259" t="str">
        <f>+_xlfn.XLOOKUP(A482,PPTO_GENERADOR!$Q:$Q,PPTO_GENERADOR!A:A,"-",0)</f>
        <v>-</v>
      </c>
    </row>
    <row r="483" spans="1:18" ht="15" customHeight="1" x14ac:dyDescent="0.35">
      <c r="A483" s="38" t="s">
        <v>2586</v>
      </c>
      <c r="B483" s="38" t="s">
        <v>2774</v>
      </c>
      <c r="C483" s="38" t="s">
        <v>2775</v>
      </c>
      <c r="D483" s="38" t="s">
        <v>994</v>
      </c>
      <c r="E483" s="44" t="str">
        <f>IFERROR(VLOOKUP(D483,MATERIALES!A:B,2,FALSE()),"?")</f>
        <v>Madera tirante 5x5cm p/ traviesas</v>
      </c>
      <c r="F483" s="44" t="str">
        <f>IFERROR(VLOOKUP(D483,MATERIALES!A:C,3,FALSE()),"?")</f>
        <v>ml</v>
      </c>
      <c r="G483" s="45">
        <v>2.3E-3</v>
      </c>
      <c r="H483" s="46">
        <v>0.02</v>
      </c>
      <c r="I483" s="47">
        <f>IFERROR(VLOOKUP(D483,MATERIALES!A:D,4,FALSE()),0)</f>
        <v>1968.04</v>
      </c>
      <c r="J483" s="42">
        <f>G483*I483*(1+H483)</f>
        <v>4.6170218400000005</v>
      </c>
      <c r="K483" s="15" t="str">
        <f t="shared" si="52"/>
        <v>HOR-087|MAT</v>
      </c>
      <c r="L483" s="15">
        <f>COUNTIFS($K$2:K483,K483)</f>
        <v>4</v>
      </c>
      <c r="M483" s="15" t="str">
        <f t="shared" si="53"/>
        <v>HOR-087|MAT|4</v>
      </c>
      <c r="N483" s="47">
        <f>IFERROR(VLOOKUP(A483,PARTIDAS!A:F,6,FALSE()),0)</f>
        <v>24</v>
      </c>
      <c r="O483" s="247">
        <f t="shared" si="54"/>
        <v>2.3E-3</v>
      </c>
      <c r="P483" s="247" t="str">
        <f>+_xlfn.XLOOKUP(A483,PPTO_GENERADOR!Q:Q,PPTO_GENERADOR!E:E,"-",0)</f>
        <v>-</v>
      </c>
      <c r="Q483" s="247">
        <f t="shared" si="55"/>
        <v>0</v>
      </c>
      <c r="R483" s="259" t="str">
        <f>+_xlfn.XLOOKUP(A483,PPTO_GENERADOR!$Q:$Q,PPTO_GENERADOR!A:A,"-",0)</f>
        <v>-</v>
      </c>
    </row>
    <row r="484" spans="1:18" ht="15" customHeight="1" x14ac:dyDescent="0.35">
      <c r="A484" s="38" t="s">
        <v>2586</v>
      </c>
      <c r="B484" s="38" t="s">
        <v>2776</v>
      </c>
      <c r="C484" s="38" t="s">
        <v>2777</v>
      </c>
      <c r="D484" s="237" t="s">
        <v>1574</v>
      </c>
      <c r="E484" s="44" t="str">
        <f>IFERROR(VLOOKUP(D484,MANO_DE_OBRA!A:B,2,FALSE()),"?")</f>
        <v>MEDIO OFICIAL</v>
      </c>
      <c r="F484" s="44" t="s">
        <v>2778</v>
      </c>
      <c r="G484" s="45">
        <v>1</v>
      </c>
      <c r="H484" s="46">
        <v>0</v>
      </c>
      <c r="I484" s="47">
        <f>IFERROR(VLOOKUP(D484,MANO_DE_OBRA!A:C,3,FALSE()),0)</f>
        <v>65493.071636572</v>
      </c>
      <c r="J484" s="42">
        <f>G484*I484</f>
        <v>65493.071636572</v>
      </c>
      <c r="K484" s="15" t="str">
        <f t="shared" si="52"/>
        <v>HOR-087|MO</v>
      </c>
      <c r="L484" s="15">
        <f>COUNTIFS($K$2:K484,K484)</f>
        <v>1</v>
      </c>
      <c r="M484" s="15" t="str">
        <f t="shared" si="53"/>
        <v>HOR-087|MO|1</v>
      </c>
      <c r="N484" s="47">
        <f>IFERROR(VLOOKUP(A484,PARTIDAS!A:F,6,FALSE()),0)</f>
        <v>24</v>
      </c>
      <c r="O484" s="247">
        <f t="shared" si="54"/>
        <v>4.1666666666666664E-2</v>
      </c>
      <c r="P484" s="247" t="str">
        <f>+_xlfn.XLOOKUP(A484,PPTO_GENERADOR!Q:Q,PPTO_GENERADOR!E:E,"-",0)</f>
        <v>-</v>
      </c>
      <c r="Q484" s="247">
        <f t="shared" si="55"/>
        <v>0</v>
      </c>
      <c r="R484" s="259" t="str">
        <f>+_xlfn.XLOOKUP(A484,PPTO_GENERADOR!$Q:$Q,PPTO_GENERADOR!A:A,"-",0)</f>
        <v>-</v>
      </c>
    </row>
    <row r="485" spans="1:18" ht="15" customHeight="1" x14ac:dyDescent="0.35">
      <c r="A485" s="38" t="s">
        <v>2586</v>
      </c>
      <c r="B485" s="38" t="s">
        <v>2776</v>
      </c>
      <c r="C485" s="38" t="s">
        <v>2777</v>
      </c>
      <c r="D485" s="237" t="s">
        <v>1568</v>
      </c>
      <c r="E485" s="44" t="str">
        <f>IFERROR(VLOOKUP(D485,MANO_DE_OBRA!A:B,2,FALSE()),"?")</f>
        <v>ESPECIALIZADO</v>
      </c>
      <c r="F485" s="44" t="s">
        <v>2778</v>
      </c>
      <c r="G485" s="45">
        <v>1</v>
      </c>
      <c r="H485" s="46">
        <v>0</v>
      </c>
      <c r="I485" s="47">
        <f>IFERROR(VLOOKUP(D485,MANO_DE_OBRA!A:C,3,FALSE()),0)</f>
        <v>85927.097156571996</v>
      </c>
      <c r="J485" s="42">
        <f>G485*I485</f>
        <v>85927.097156571996</v>
      </c>
      <c r="K485" s="15" t="str">
        <f t="shared" si="52"/>
        <v>HOR-087|MO</v>
      </c>
      <c r="L485" s="15">
        <f>COUNTIFS($K$2:K485,K485)</f>
        <v>2</v>
      </c>
      <c r="M485" s="15" t="str">
        <f t="shared" si="53"/>
        <v>HOR-087|MO|2</v>
      </c>
      <c r="N485" s="47">
        <f>IFERROR(VLOOKUP(A485,PARTIDAS!A:F,6,FALSE()),0)</f>
        <v>24</v>
      </c>
      <c r="O485" s="247">
        <f t="shared" si="54"/>
        <v>4.1666666666666664E-2</v>
      </c>
      <c r="P485" s="247" t="str">
        <f>+_xlfn.XLOOKUP(A485,PPTO_GENERADOR!Q:Q,PPTO_GENERADOR!E:E,"-",0)</f>
        <v>-</v>
      </c>
      <c r="Q485" s="247">
        <f t="shared" si="55"/>
        <v>0</v>
      </c>
      <c r="R485" s="259" t="str">
        <f>+_xlfn.XLOOKUP(A485,PPTO_GENERADOR!$Q:$Q,PPTO_GENERADOR!A:A,"-",0)</f>
        <v>-</v>
      </c>
    </row>
    <row r="486" spans="1:18" ht="15" customHeight="1" x14ac:dyDescent="0.35">
      <c r="A486" s="38" t="s">
        <v>2589</v>
      </c>
      <c r="B486" s="38" t="s">
        <v>2774</v>
      </c>
      <c r="C486" s="38" t="s">
        <v>2775</v>
      </c>
      <c r="D486" s="38" t="s">
        <v>685</v>
      </c>
      <c r="E486" s="44" t="str">
        <f>IFERROR(VLOOKUP(D486,MATERIALES!A:B,2,FALSE()),"?")</f>
        <v>Alambre de Fardo</v>
      </c>
      <c r="F486" s="44" t="str">
        <f>IFERROR(VLOOKUP(D486,MATERIALES!A:C,3,FALSE()),"?")</f>
        <v>kg</v>
      </c>
      <c r="G486" s="45">
        <v>1.2500000000000001E-2</v>
      </c>
      <c r="H486" s="46">
        <v>0.15</v>
      </c>
      <c r="I486" s="47">
        <f>IFERROR(VLOOKUP(D486,MATERIALES!A:D,4,FALSE()),0)</f>
        <v>2302.02</v>
      </c>
      <c r="J486" s="42">
        <f t="shared" ref="J486:J491" si="58">G486*I486*(1+H486)</f>
        <v>33.091537499999994</v>
      </c>
      <c r="K486" s="15" t="str">
        <f t="shared" si="52"/>
        <v>HOR-088|MAT</v>
      </c>
      <c r="L486" s="15">
        <f>COUNTIFS($K$2:K486,K486)</f>
        <v>1</v>
      </c>
      <c r="M486" s="15" t="str">
        <f t="shared" si="53"/>
        <v>HOR-088|MAT|1</v>
      </c>
      <c r="N486" s="47">
        <f>IFERROR(VLOOKUP(A486,PARTIDAS!A:F,6,FALSE()),0)</f>
        <v>28</v>
      </c>
      <c r="O486" s="247">
        <f t="shared" si="54"/>
        <v>1.2500000000000001E-2</v>
      </c>
      <c r="P486" s="247" t="str">
        <f>+_xlfn.XLOOKUP(A486,PPTO_GENERADOR!Q:Q,PPTO_GENERADOR!E:E,"-",0)</f>
        <v>-</v>
      </c>
      <c r="Q486" s="247">
        <f t="shared" si="55"/>
        <v>0</v>
      </c>
      <c r="R486" s="259" t="str">
        <f>+_xlfn.XLOOKUP(A486,PPTO_GENERADOR!$Q:$Q,PPTO_GENERADOR!A:A,"-",0)</f>
        <v>-</v>
      </c>
    </row>
    <row r="487" spans="1:18" ht="15" customHeight="1" x14ac:dyDescent="0.35">
      <c r="A487" s="38" t="s">
        <v>2589</v>
      </c>
      <c r="B487" s="38" t="s">
        <v>2774</v>
      </c>
      <c r="C487" s="38" t="s">
        <v>2775</v>
      </c>
      <c r="D487" s="38" t="s">
        <v>872</v>
      </c>
      <c r="E487" s="44" t="str">
        <f>IFERROR(VLOOKUP(D487,MATERIALES!A:B,2,FALSE()),"?")</f>
        <v>CLAVOS DE 21/2" X 12</v>
      </c>
      <c r="F487" s="44" t="str">
        <f>IFERROR(VLOOKUP(D487,MATERIALES!A:C,3,FALSE()),"?")</f>
        <v>KG</v>
      </c>
      <c r="G487" s="45">
        <v>0.125</v>
      </c>
      <c r="H487" s="46">
        <v>0.05</v>
      </c>
      <c r="I487" s="47">
        <f>IFERROR(VLOOKUP(D487,MATERIALES!A:D,4,FALSE()),0)</f>
        <v>2130.1681250000001</v>
      </c>
      <c r="J487" s="42">
        <f t="shared" si="58"/>
        <v>279.58456640625002</v>
      </c>
      <c r="K487" s="15" t="str">
        <f t="shared" si="52"/>
        <v>HOR-088|MAT</v>
      </c>
      <c r="L487" s="15">
        <f>COUNTIFS($K$2:K487,K487)</f>
        <v>2</v>
      </c>
      <c r="M487" s="15" t="str">
        <f t="shared" si="53"/>
        <v>HOR-088|MAT|2</v>
      </c>
      <c r="N487" s="47">
        <f>IFERROR(VLOOKUP(A487,PARTIDAS!A:F,6,FALSE()),0)</f>
        <v>28</v>
      </c>
      <c r="O487" s="247">
        <f t="shared" si="54"/>
        <v>0.125</v>
      </c>
      <c r="P487" s="247" t="str">
        <f>+_xlfn.XLOOKUP(A487,PPTO_GENERADOR!Q:Q,PPTO_GENERADOR!E:E,"-",0)</f>
        <v>-</v>
      </c>
      <c r="Q487" s="247">
        <f t="shared" si="55"/>
        <v>0</v>
      </c>
      <c r="R487" s="259" t="str">
        <f>+_xlfn.XLOOKUP(A487,PPTO_GENERADOR!$Q:$Q,PPTO_GENERADOR!A:A,"-",0)</f>
        <v>-</v>
      </c>
    </row>
    <row r="488" spans="1:18" ht="15" customHeight="1" x14ac:dyDescent="0.35">
      <c r="A488" s="38" t="s">
        <v>2589</v>
      </c>
      <c r="B488" s="38" t="s">
        <v>2774</v>
      </c>
      <c r="C488" s="38" t="s">
        <v>2775</v>
      </c>
      <c r="D488" s="38" t="s">
        <v>1003</v>
      </c>
      <c r="E488" s="44" t="str">
        <f>IFERROR(VLOOKUP(D488,MATERIALES!A:B,2,FALSE()),"?")</f>
        <v>Estacas</v>
      </c>
      <c r="F488" s="44" t="str">
        <f>IFERROR(VLOOKUP(D488,MATERIALES!A:C,3,FALSE()),"?")</f>
        <v>u</v>
      </c>
      <c r="G488" s="45">
        <v>1.25E-3</v>
      </c>
      <c r="H488" s="46">
        <v>0</v>
      </c>
      <c r="I488" s="47">
        <f>IFERROR(VLOOKUP(D488,MATERIALES!A:D,4,FALSE()),0)</f>
        <v>1180.82</v>
      </c>
      <c r="J488" s="42">
        <f t="shared" si="58"/>
        <v>1.4760249999999999</v>
      </c>
      <c r="K488" s="15" t="str">
        <f t="shared" si="52"/>
        <v>HOR-088|MAT</v>
      </c>
      <c r="L488" s="15">
        <f>COUNTIFS($K$2:K488,K488)</f>
        <v>3</v>
      </c>
      <c r="M488" s="15" t="str">
        <f t="shared" si="53"/>
        <v>HOR-088|MAT|3</v>
      </c>
      <c r="N488" s="47">
        <f>IFERROR(VLOOKUP(A488,PARTIDAS!A:F,6,FALSE()),0)</f>
        <v>28</v>
      </c>
      <c r="O488" s="247">
        <f t="shared" si="54"/>
        <v>1.25E-3</v>
      </c>
      <c r="P488" s="247" t="str">
        <f>+_xlfn.XLOOKUP(A488,PPTO_GENERADOR!Q:Q,PPTO_GENERADOR!E:E,"-",0)</f>
        <v>-</v>
      </c>
      <c r="Q488" s="247">
        <f t="shared" si="55"/>
        <v>0</v>
      </c>
      <c r="R488" s="259" t="str">
        <f>+_xlfn.XLOOKUP(A488,PPTO_GENERADOR!$Q:$Q,PPTO_GENERADOR!A:A,"-",0)</f>
        <v>-</v>
      </c>
    </row>
    <row r="489" spans="1:18" ht="15" customHeight="1" x14ac:dyDescent="0.35">
      <c r="A489" s="38" t="s">
        <v>2589</v>
      </c>
      <c r="B489" s="38" t="s">
        <v>2774</v>
      </c>
      <c r="C489" s="38" t="s">
        <v>2775</v>
      </c>
      <c r="D489" s="38" t="s">
        <v>876</v>
      </c>
      <c r="E489" s="44" t="str">
        <f>IFERROR(VLOOKUP(D489,MATERIALES!A:B,2,FALSE()),"?")</f>
        <v>FENOLICO 18MM. COMUN 1.22 x 2.40</v>
      </c>
      <c r="F489" s="44" t="str">
        <f>IFERROR(VLOOKUP(D489,MATERIALES!A:C,3,FALSE()),"?")</f>
        <v>UD</v>
      </c>
      <c r="G489" s="45">
        <v>0.33</v>
      </c>
      <c r="H489" s="46">
        <v>0.05</v>
      </c>
      <c r="I489" s="47">
        <f>IFERROR(VLOOKUP(D489,MATERIALES!A:D,4,FALSE()),0)</f>
        <v>26322.68</v>
      </c>
      <c r="J489" s="42">
        <f t="shared" si="58"/>
        <v>9120.8086200000016</v>
      </c>
      <c r="K489" s="15" t="str">
        <f t="shared" si="52"/>
        <v>HOR-088|MAT</v>
      </c>
      <c r="L489" s="15">
        <f>COUNTIFS($K$2:K489,K489)</f>
        <v>4</v>
      </c>
      <c r="M489" s="15" t="str">
        <f t="shared" si="53"/>
        <v>HOR-088|MAT|4</v>
      </c>
      <c r="N489" s="47">
        <f>IFERROR(VLOOKUP(A489,PARTIDAS!A:F,6,FALSE()),0)</f>
        <v>28</v>
      </c>
      <c r="O489" s="247">
        <f t="shared" si="54"/>
        <v>0.33</v>
      </c>
      <c r="P489" s="247" t="str">
        <f>+_xlfn.XLOOKUP(A489,PPTO_GENERADOR!Q:Q,PPTO_GENERADOR!E:E,"-",0)</f>
        <v>-</v>
      </c>
      <c r="Q489" s="247">
        <f t="shared" si="55"/>
        <v>0</v>
      </c>
      <c r="R489" s="259" t="str">
        <f>+_xlfn.XLOOKUP(A489,PPTO_GENERADOR!$Q:$Q,PPTO_GENERADOR!A:A,"-",0)</f>
        <v>-</v>
      </c>
    </row>
    <row r="490" spans="1:18" ht="15" customHeight="1" x14ac:dyDescent="0.35">
      <c r="A490" s="38" t="s">
        <v>2589</v>
      </c>
      <c r="B490" s="38" t="s">
        <v>2774</v>
      </c>
      <c r="C490" s="38" t="s">
        <v>2775</v>
      </c>
      <c r="D490" s="38" t="s">
        <v>887</v>
      </c>
      <c r="E490" s="44" t="str">
        <f>IFERROR(VLOOKUP(D490,MATERIALES!A:B,2,FALSE()),"?")</f>
        <v>tirante 3x3 para puntal 3.66</v>
      </c>
      <c r="F490" s="44" t="str">
        <f>IFERROR(VLOOKUP(D490,MATERIALES!A:C,3,FALSE()),"?")</f>
        <v>ml</v>
      </c>
      <c r="G490" s="45">
        <v>0.01</v>
      </c>
      <c r="H490" s="46">
        <v>0.02</v>
      </c>
      <c r="I490" s="47">
        <f>IFERROR(VLOOKUP(D490,MATERIALES!A:D,4,FALSE()),0)</f>
        <v>1213.73</v>
      </c>
      <c r="J490" s="42">
        <f t="shared" si="58"/>
        <v>12.380046</v>
      </c>
      <c r="K490" s="15" t="str">
        <f t="shared" si="52"/>
        <v>HOR-088|MAT</v>
      </c>
      <c r="L490" s="15">
        <f>COUNTIFS($K$2:K490,K490)</f>
        <v>5</v>
      </c>
      <c r="M490" s="15" t="str">
        <f t="shared" si="53"/>
        <v>HOR-088|MAT|5</v>
      </c>
      <c r="N490" s="47">
        <f>IFERROR(VLOOKUP(A490,PARTIDAS!A:F,6,FALSE()),0)</f>
        <v>28</v>
      </c>
      <c r="O490" s="247">
        <f t="shared" si="54"/>
        <v>0.01</v>
      </c>
      <c r="P490" s="247" t="str">
        <f>+_xlfn.XLOOKUP(A490,PPTO_GENERADOR!Q:Q,PPTO_GENERADOR!E:E,"-",0)</f>
        <v>-</v>
      </c>
      <c r="Q490" s="247">
        <f t="shared" si="55"/>
        <v>0</v>
      </c>
      <c r="R490" s="259" t="str">
        <f>+_xlfn.XLOOKUP(A490,PPTO_GENERADOR!$Q:$Q,PPTO_GENERADOR!A:A,"-",0)</f>
        <v>-</v>
      </c>
    </row>
    <row r="491" spans="1:18" ht="15" customHeight="1" x14ac:dyDescent="0.35">
      <c r="A491" s="38" t="s">
        <v>2589</v>
      </c>
      <c r="B491" s="38" t="s">
        <v>2774</v>
      </c>
      <c r="C491" s="38" t="s">
        <v>2775</v>
      </c>
      <c r="D491" s="38" t="s">
        <v>890</v>
      </c>
      <c r="E491" s="44" t="str">
        <f>IFERROR(VLOOKUP(D491,MATERIALES!A:B,2,FALSE()),"?")</f>
        <v>tirante 3x6 3.66</v>
      </c>
      <c r="F491" s="44" t="str">
        <f>IFERROR(VLOOKUP(D491,MATERIALES!A:C,3,FALSE()),"?")</f>
        <v>un</v>
      </c>
      <c r="G491" s="45">
        <v>1.2E-2</v>
      </c>
      <c r="H491" s="46">
        <v>0.02</v>
      </c>
      <c r="I491" s="47">
        <f>IFERROR(VLOOKUP(D491,MATERIALES!A:D,4,FALSE()),0)</f>
        <v>4442.2518</v>
      </c>
      <c r="J491" s="42">
        <f t="shared" si="58"/>
        <v>54.373162031999996</v>
      </c>
      <c r="K491" s="15" t="str">
        <f t="shared" si="52"/>
        <v>HOR-088|MAT</v>
      </c>
      <c r="L491" s="15">
        <f>COUNTIFS($K$2:K491,K491)</f>
        <v>6</v>
      </c>
      <c r="M491" s="15" t="str">
        <f t="shared" si="53"/>
        <v>HOR-088|MAT|6</v>
      </c>
      <c r="N491" s="47">
        <f>IFERROR(VLOOKUP(A491,PARTIDAS!A:F,6,FALSE()),0)</f>
        <v>28</v>
      </c>
      <c r="O491" s="247">
        <f t="shared" si="54"/>
        <v>1.2E-2</v>
      </c>
      <c r="P491" s="247" t="str">
        <f>+_xlfn.XLOOKUP(A491,PPTO_GENERADOR!Q:Q,PPTO_GENERADOR!E:E,"-",0)</f>
        <v>-</v>
      </c>
      <c r="Q491" s="247">
        <f t="shared" si="55"/>
        <v>0</v>
      </c>
      <c r="R491" s="259" t="str">
        <f>+_xlfn.XLOOKUP(A491,PPTO_GENERADOR!$Q:$Q,PPTO_GENERADOR!A:A,"-",0)</f>
        <v>-</v>
      </c>
    </row>
    <row r="492" spans="1:18" ht="15" customHeight="1" x14ac:dyDescent="0.35">
      <c r="A492" s="38" t="s">
        <v>2589</v>
      </c>
      <c r="B492" s="38" t="s">
        <v>2776</v>
      </c>
      <c r="C492" s="38" t="s">
        <v>2777</v>
      </c>
      <c r="D492" s="237" t="s">
        <v>1577</v>
      </c>
      <c r="E492" s="44" t="str">
        <f>IFERROR(VLOOKUP(D492,MANO_DE_OBRA!A:B,2,FALSE()),"?")</f>
        <v>AYUDANTE</v>
      </c>
      <c r="F492" s="44" t="s">
        <v>2778</v>
      </c>
      <c r="G492" s="45">
        <v>1</v>
      </c>
      <c r="H492" s="46">
        <v>0</v>
      </c>
      <c r="I492" s="47">
        <f>IFERROR(VLOOKUP(D492,MANO_DE_OBRA!A:C,3,FALSE()),0)</f>
        <v>60860.580776572002</v>
      </c>
      <c r="J492" s="42">
        <f>G492*I492</f>
        <v>60860.580776572002</v>
      </c>
      <c r="K492" s="15" t="str">
        <f t="shared" si="52"/>
        <v>HOR-088|MO</v>
      </c>
      <c r="L492" s="15">
        <f>COUNTIFS($K$2:K492,K492)</f>
        <v>1</v>
      </c>
      <c r="M492" s="15" t="str">
        <f t="shared" si="53"/>
        <v>HOR-088|MO|1</v>
      </c>
      <c r="N492" s="47">
        <f>IFERROR(VLOOKUP(A492,PARTIDAS!A:F,6,FALSE()),0)</f>
        <v>28</v>
      </c>
      <c r="O492" s="247">
        <f t="shared" si="54"/>
        <v>3.5714285714285712E-2</v>
      </c>
      <c r="P492" s="247" t="str">
        <f>+_xlfn.XLOOKUP(A492,PPTO_GENERADOR!Q:Q,PPTO_GENERADOR!E:E,"-",0)</f>
        <v>-</v>
      </c>
      <c r="Q492" s="247">
        <f t="shared" si="55"/>
        <v>0</v>
      </c>
      <c r="R492" s="259" t="str">
        <f>+_xlfn.XLOOKUP(A492,PPTO_GENERADOR!$Q:$Q,PPTO_GENERADOR!A:A,"-",0)</f>
        <v>-</v>
      </c>
    </row>
    <row r="493" spans="1:18" ht="15" customHeight="1" x14ac:dyDescent="0.35">
      <c r="A493" s="38" t="s">
        <v>2589</v>
      </c>
      <c r="B493" s="38" t="s">
        <v>2776</v>
      </c>
      <c r="C493" s="38" t="s">
        <v>2777</v>
      </c>
      <c r="D493" s="237" t="s">
        <v>1574</v>
      </c>
      <c r="E493" s="44" t="str">
        <f>IFERROR(VLOOKUP(D493,MANO_DE_OBRA!A:B,2,FALSE()),"?")</f>
        <v>MEDIO OFICIAL</v>
      </c>
      <c r="F493" s="44" t="s">
        <v>2778</v>
      </c>
      <c r="G493" s="45">
        <v>1</v>
      </c>
      <c r="H493" s="46">
        <v>0</v>
      </c>
      <c r="I493" s="47">
        <f>IFERROR(VLOOKUP(D493,MANO_DE_OBRA!A:C,3,FALSE()),0)</f>
        <v>65493.071636572</v>
      </c>
      <c r="J493" s="42">
        <f>G493*I493</f>
        <v>65493.071636572</v>
      </c>
      <c r="K493" s="15" t="str">
        <f t="shared" si="52"/>
        <v>HOR-088|MO</v>
      </c>
      <c r="L493" s="15">
        <f>COUNTIFS($K$2:K493,K493)</f>
        <v>2</v>
      </c>
      <c r="M493" s="15" t="str">
        <f t="shared" si="53"/>
        <v>HOR-088|MO|2</v>
      </c>
      <c r="N493" s="47">
        <f>IFERROR(VLOOKUP(A493,PARTIDAS!A:F,6,FALSE()),0)</f>
        <v>28</v>
      </c>
      <c r="O493" s="247">
        <f t="shared" si="54"/>
        <v>3.5714285714285712E-2</v>
      </c>
      <c r="P493" s="247" t="str">
        <f>+_xlfn.XLOOKUP(A493,PPTO_GENERADOR!Q:Q,PPTO_GENERADOR!E:E,"-",0)</f>
        <v>-</v>
      </c>
      <c r="Q493" s="247">
        <f t="shared" si="55"/>
        <v>0</v>
      </c>
      <c r="R493" s="259" t="str">
        <f>+_xlfn.XLOOKUP(A493,PPTO_GENERADOR!$Q:$Q,PPTO_GENERADOR!A:A,"-",0)</f>
        <v>-</v>
      </c>
    </row>
    <row r="494" spans="1:18" ht="15" customHeight="1" x14ac:dyDescent="0.35">
      <c r="A494" s="38" t="s">
        <v>2589</v>
      </c>
      <c r="B494" s="38" t="s">
        <v>2776</v>
      </c>
      <c r="C494" s="38" t="s">
        <v>2777</v>
      </c>
      <c r="D494" s="237" t="s">
        <v>1568</v>
      </c>
      <c r="E494" s="44" t="str">
        <f>IFERROR(VLOOKUP(D494,MANO_DE_OBRA!A:B,2,FALSE()),"?")</f>
        <v>ESPECIALIZADO</v>
      </c>
      <c r="F494" s="44" t="s">
        <v>2778</v>
      </c>
      <c r="G494" s="45">
        <v>1</v>
      </c>
      <c r="H494" s="46">
        <v>0</v>
      </c>
      <c r="I494" s="47">
        <f>IFERROR(VLOOKUP(D494,MANO_DE_OBRA!A:C,3,FALSE()),0)</f>
        <v>85927.097156571996</v>
      </c>
      <c r="J494" s="42">
        <f>G494*I494</f>
        <v>85927.097156571996</v>
      </c>
      <c r="K494" s="15" t="str">
        <f t="shared" si="52"/>
        <v>HOR-088|MO</v>
      </c>
      <c r="L494" s="15">
        <f>COUNTIFS($K$2:K494,K494)</f>
        <v>3</v>
      </c>
      <c r="M494" s="15" t="str">
        <f t="shared" si="53"/>
        <v>HOR-088|MO|3</v>
      </c>
      <c r="N494" s="47">
        <f>IFERROR(VLOOKUP(A494,PARTIDAS!A:F,6,FALSE()),0)</f>
        <v>28</v>
      </c>
      <c r="O494" s="247">
        <f t="shared" si="54"/>
        <v>3.5714285714285712E-2</v>
      </c>
      <c r="P494" s="247" t="str">
        <f>+_xlfn.XLOOKUP(A494,PPTO_GENERADOR!Q:Q,PPTO_GENERADOR!E:E,"-",0)</f>
        <v>-</v>
      </c>
      <c r="Q494" s="247">
        <f t="shared" si="55"/>
        <v>0</v>
      </c>
      <c r="R494" s="259" t="str">
        <f>+_xlfn.XLOOKUP(A494,PPTO_GENERADOR!$Q:$Q,PPTO_GENERADOR!A:A,"-",0)</f>
        <v>-</v>
      </c>
    </row>
    <row r="495" spans="1:18" ht="15" customHeight="1" x14ac:dyDescent="0.35">
      <c r="A495" s="38" t="s">
        <v>2592</v>
      </c>
      <c r="B495" s="38" t="s">
        <v>2774</v>
      </c>
      <c r="C495" s="38" t="s">
        <v>2775</v>
      </c>
      <c r="D495" s="38" t="s">
        <v>685</v>
      </c>
      <c r="E495" s="44" t="str">
        <f>IFERROR(VLOOKUP(D495,MATERIALES!A:B,2,FALSE()),"?")</f>
        <v>Alambre de Fardo</v>
      </c>
      <c r="F495" s="44" t="str">
        <f>IFERROR(VLOOKUP(D495,MATERIALES!A:C,3,FALSE()),"?")</f>
        <v>kg</v>
      </c>
      <c r="G495" s="45">
        <v>1.2500000000000001E-2</v>
      </c>
      <c r="H495" s="46">
        <v>0.15</v>
      </c>
      <c r="I495" s="47">
        <f>IFERROR(VLOOKUP(D495,MATERIALES!A:D,4,FALSE()),0)</f>
        <v>2302.02</v>
      </c>
      <c r="J495" s="42">
        <f t="shared" ref="J495:J500" si="59">G495*I495*(1+H495)</f>
        <v>33.091537499999994</v>
      </c>
      <c r="K495" s="15" t="str">
        <f t="shared" si="52"/>
        <v>HOR-089|MAT</v>
      </c>
      <c r="L495" s="15">
        <f>COUNTIFS($K$2:K495,K495)</f>
        <v>1</v>
      </c>
      <c r="M495" s="15" t="str">
        <f t="shared" si="53"/>
        <v>HOR-089|MAT|1</v>
      </c>
      <c r="N495" s="47">
        <f>IFERROR(VLOOKUP(A495,PARTIDAS!A:F,6,FALSE()),0)</f>
        <v>25</v>
      </c>
      <c r="O495" s="247">
        <f t="shared" si="54"/>
        <v>1.2500000000000001E-2</v>
      </c>
      <c r="P495" s="247" t="str">
        <f>+_xlfn.XLOOKUP(A495,PPTO_GENERADOR!Q:Q,PPTO_GENERADOR!E:E,"-",0)</f>
        <v>-</v>
      </c>
      <c r="Q495" s="247">
        <f t="shared" si="55"/>
        <v>0</v>
      </c>
      <c r="R495" s="259" t="str">
        <f>+_xlfn.XLOOKUP(A495,PPTO_GENERADOR!$Q:$Q,PPTO_GENERADOR!A:A,"-",0)</f>
        <v>-</v>
      </c>
    </row>
    <row r="496" spans="1:18" ht="15" customHeight="1" x14ac:dyDescent="0.35">
      <c r="A496" s="38" t="s">
        <v>2592</v>
      </c>
      <c r="B496" s="38" t="s">
        <v>2774</v>
      </c>
      <c r="C496" s="38" t="s">
        <v>2775</v>
      </c>
      <c r="D496" s="38" t="s">
        <v>872</v>
      </c>
      <c r="E496" s="44" t="str">
        <f>IFERROR(VLOOKUP(D496,MATERIALES!A:B,2,FALSE()),"?")</f>
        <v>CLAVOS DE 21/2" X 12</v>
      </c>
      <c r="F496" s="44" t="str">
        <f>IFERROR(VLOOKUP(D496,MATERIALES!A:C,3,FALSE()),"?")</f>
        <v>KG</v>
      </c>
      <c r="G496" s="45">
        <v>0.125</v>
      </c>
      <c r="H496" s="46">
        <v>0.05</v>
      </c>
      <c r="I496" s="47">
        <f>IFERROR(VLOOKUP(D496,MATERIALES!A:D,4,FALSE()),0)</f>
        <v>2130.1681250000001</v>
      </c>
      <c r="J496" s="42">
        <f t="shared" si="59"/>
        <v>279.58456640625002</v>
      </c>
      <c r="K496" s="15" t="str">
        <f t="shared" si="52"/>
        <v>HOR-089|MAT</v>
      </c>
      <c r="L496" s="15">
        <f>COUNTIFS($K$2:K496,K496)</f>
        <v>2</v>
      </c>
      <c r="M496" s="15" t="str">
        <f t="shared" si="53"/>
        <v>HOR-089|MAT|2</v>
      </c>
      <c r="N496" s="47">
        <f>IFERROR(VLOOKUP(A496,PARTIDAS!A:F,6,FALSE()),0)</f>
        <v>25</v>
      </c>
      <c r="O496" s="247">
        <f t="shared" si="54"/>
        <v>0.125</v>
      </c>
      <c r="P496" s="247" t="str">
        <f>+_xlfn.XLOOKUP(A496,PPTO_GENERADOR!Q:Q,PPTO_GENERADOR!E:E,"-",0)</f>
        <v>-</v>
      </c>
      <c r="Q496" s="247">
        <f t="shared" si="55"/>
        <v>0</v>
      </c>
      <c r="R496" s="259" t="str">
        <f>+_xlfn.XLOOKUP(A496,PPTO_GENERADOR!$Q:$Q,PPTO_GENERADOR!A:A,"-",0)</f>
        <v>-</v>
      </c>
    </row>
    <row r="497" spans="1:18" ht="15" customHeight="1" x14ac:dyDescent="0.35">
      <c r="A497" s="38" t="s">
        <v>2592</v>
      </c>
      <c r="B497" s="38" t="s">
        <v>2774</v>
      </c>
      <c r="C497" s="38" t="s">
        <v>2775</v>
      </c>
      <c r="D497" s="38" t="s">
        <v>1003</v>
      </c>
      <c r="E497" s="44" t="str">
        <f>IFERROR(VLOOKUP(D497,MATERIALES!A:B,2,FALSE()),"?")</f>
        <v>Estacas</v>
      </c>
      <c r="F497" s="44" t="str">
        <f>IFERROR(VLOOKUP(D497,MATERIALES!A:C,3,FALSE()),"?")</f>
        <v>u</v>
      </c>
      <c r="G497" s="45">
        <v>1.25E-3</v>
      </c>
      <c r="H497" s="46">
        <v>0</v>
      </c>
      <c r="I497" s="47">
        <f>IFERROR(VLOOKUP(D497,MATERIALES!A:D,4,FALSE()),0)</f>
        <v>1180.82</v>
      </c>
      <c r="J497" s="42">
        <f t="shared" si="59"/>
        <v>1.4760249999999999</v>
      </c>
      <c r="K497" s="15" t="str">
        <f t="shared" si="52"/>
        <v>HOR-089|MAT</v>
      </c>
      <c r="L497" s="15">
        <f>COUNTIFS($K$2:K497,K497)</f>
        <v>3</v>
      </c>
      <c r="M497" s="15" t="str">
        <f t="shared" si="53"/>
        <v>HOR-089|MAT|3</v>
      </c>
      <c r="N497" s="47">
        <f>IFERROR(VLOOKUP(A497,PARTIDAS!A:F,6,FALSE()),0)</f>
        <v>25</v>
      </c>
      <c r="O497" s="247">
        <f t="shared" si="54"/>
        <v>1.25E-3</v>
      </c>
      <c r="P497" s="247" t="str">
        <f>+_xlfn.XLOOKUP(A497,PPTO_GENERADOR!Q:Q,PPTO_GENERADOR!E:E,"-",0)</f>
        <v>-</v>
      </c>
      <c r="Q497" s="247">
        <f t="shared" si="55"/>
        <v>0</v>
      </c>
      <c r="R497" s="259" t="str">
        <f>+_xlfn.XLOOKUP(A497,PPTO_GENERADOR!$Q:$Q,PPTO_GENERADOR!A:A,"-",0)</f>
        <v>-</v>
      </c>
    </row>
    <row r="498" spans="1:18" ht="15" customHeight="1" x14ac:dyDescent="0.35">
      <c r="A498" s="38" t="s">
        <v>2592</v>
      </c>
      <c r="B498" s="38" t="s">
        <v>2774</v>
      </c>
      <c r="C498" s="38" t="s">
        <v>2775</v>
      </c>
      <c r="D498" s="38" t="s">
        <v>876</v>
      </c>
      <c r="E498" s="44" t="str">
        <f>IFERROR(VLOOKUP(D498,MATERIALES!A:B,2,FALSE()),"?")</f>
        <v>FENOLICO 18MM. COMUN 1.22 x 2.40</v>
      </c>
      <c r="F498" s="44" t="str">
        <f>IFERROR(VLOOKUP(D498,MATERIALES!A:C,3,FALSE()),"?")</f>
        <v>UD</v>
      </c>
      <c r="G498" s="45">
        <v>0.33</v>
      </c>
      <c r="H498" s="46">
        <v>0.05</v>
      </c>
      <c r="I498" s="47">
        <f>IFERROR(VLOOKUP(D498,MATERIALES!A:D,4,FALSE()),0)</f>
        <v>26322.68</v>
      </c>
      <c r="J498" s="42">
        <f t="shared" si="59"/>
        <v>9120.8086200000016</v>
      </c>
      <c r="K498" s="15" t="str">
        <f t="shared" si="52"/>
        <v>HOR-089|MAT</v>
      </c>
      <c r="L498" s="15">
        <f>COUNTIFS($K$2:K498,K498)</f>
        <v>4</v>
      </c>
      <c r="M498" s="15" t="str">
        <f t="shared" si="53"/>
        <v>HOR-089|MAT|4</v>
      </c>
      <c r="N498" s="47">
        <f>IFERROR(VLOOKUP(A498,PARTIDAS!A:F,6,FALSE()),0)</f>
        <v>25</v>
      </c>
      <c r="O498" s="247">
        <f t="shared" si="54"/>
        <v>0.33</v>
      </c>
      <c r="P498" s="247" t="str">
        <f>+_xlfn.XLOOKUP(A498,PPTO_GENERADOR!Q:Q,PPTO_GENERADOR!E:E,"-",0)</f>
        <v>-</v>
      </c>
      <c r="Q498" s="247">
        <f t="shared" si="55"/>
        <v>0</v>
      </c>
      <c r="R498" s="259" t="str">
        <f>+_xlfn.XLOOKUP(A498,PPTO_GENERADOR!$Q:$Q,PPTO_GENERADOR!A:A,"-",0)</f>
        <v>-</v>
      </c>
    </row>
    <row r="499" spans="1:18" ht="15" customHeight="1" x14ac:dyDescent="0.35">
      <c r="A499" s="38" t="s">
        <v>2592</v>
      </c>
      <c r="B499" s="38" t="s">
        <v>2774</v>
      </c>
      <c r="C499" s="38" t="s">
        <v>2775</v>
      </c>
      <c r="D499" s="38" t="s">
        <v>887</v>
      </c>
      <c r="E499" s="44" t="str">
        <f>IFERROR(VLOOKUP(D499,MATERIALES!A:B,2,FALSE()),"?")</f>
        <v>tirante 3x3 para puntal 3.66</v>
      </c>
      <c r="F499" s="44" t="str">
        <f>IFERROR(VLOOKUP(D499,MATERIALES!A:C,3,FALSE()),"?")</f>
        <v>ml</v>
      </c>
      <c r="G499" s="45">
        <v>0.01</v>
      </c>
      <c r="H499" s="46">
        <v>0.02</v>
      </c>
      <c r="I499" s="47">
        <f>IFERROR(VLOOKUP(D499,MATERIALES!A:D,4,FALSE()),0)</f>
        <v>1213.73</v>
      </c>
      <c r="J499" s="42">
        <f t="shared" si="59"/>
        <v>12.380046</v>
      </c>
      <c r="K499" s="15" t="str">
        <f t="shared" si="52"/>
        <v>HOR-089|MAT</v>
      </c>
      <c r="L499" s="15">
        <f>COUNTIFS($K$2:K499,K499)</f>
        <v>5</v>
      </c>
      <c r="M499" s="15" t="str">
        <f t="shared" si="53"/>
        <v>HOR-089|MAT|5</v>
      </c>
      <c r="N499" s="47">
        <f>IFERROR(VLOOKUP(A499,PARTIDAS!A:F,6,FALSE()),0)</f>
        <v>25</v>
      </c>
      <c r="O499" s="247">
        <f t="shared" si="54"/>
        <v>0.01</v>
      </c>
      <c r="P499" s="247" t="str">
        <f>+_xlfn.XLOOKUP(A499,PPTO_GENERADOR!Q:Q,PPTO_GENERADOR!E:E,"-",0)</f>
        <v>-</v>
      </c>
      <c r="Q499" s="247">
        <f t="shared" si="55"/>
        <v>0</v>
      </c>
      <c r="R499" s="259" t="str">
        <f>+_xlfn.XLOOKUP(A499,PPTO_GENERADOR!$Q:$Q,PPTO_GENERADOR!A:A,"-",0)</f>
        <v>-</v>
      </c>
    </row>
    <row r="500" spans="1:18" ht="15" customHeight="1" x14ac:dyDescent="0.35">
      <c r="A500" s="38" t="s">
        <v>2592</v>
      </c>
      <c r="B500" s="38" t="s">
        <v>2774</v>
      </c>
      <c r="C500" s="38" t="s">
        <v>2775</v>
      </c>
      <c r="D500" s="38" t="s">
        <v>890</v>
      </c>
      <c r="E500" s="44" t="str">
        <f>IFERROR(VLOOKUP(D500,MATERIALES!A:B,2,FALSE()),"?")</f>
        <v>tirante 3x6 3.66</v>
      </c>
      <c r="F500" s="44" t="str">
        <f>IFERROR(VLOOKUP(D500,MATERIALES!A:C,3,FALSE()),"?")</f>
        <v>un</v>
      </c>
      <c r="G500" s="45">
        <v>1.2E-2</v>
      </c>
      <c r="H500" s="46">
        <v>0.02</v>
      </c>
      <c r="I500" s="47">
        <f>IFERROR(VLOOKUP(D500,MATERIALES!A:D,4,FALSE()),0)</f>
        <v>4442.2518</v>
      </c>
      <c r="J500" s="42">
        <f t="shared" si="59"/>
        <v>54.373162031999996</v>
      </c>
      <c r="K500" s="15" t="str">
        <f t="shared" si="52"/>
        <v>HOR-089|MAT</v>
      </c>
      <c r="L500" s="15">
        <f>COUNTIFS($K$2:K500,K500)</f>
        <v>6</v>
      </c>
      <c r="M500" s="15" t="str">
        <f t="shared" si="53"/>
        <v>HOR-089|MAT|6</v>
      </c>
      <c r="N500" s="47">
        <f>IFERROR(VLOOKUP(A500,PARTIDAS!A:F,6,FALSE()),0)</f>
        <v>25</v>
      </c>
      <c r="O500" s="247">
        <f t="shared" si="54"/>
        <v>1.2E-2</v>
      </c>
      <c r="P500" s="247" t="str">
        <f>+_xlfn.XLOOKUP(A500,PPTO_GENERADOR!Q:Q,PPTO_GENERADOR!E:E,"-",0)</f>
        <v>-</v>
      </c>
      <c r="Q500" s="247">
        <f t="shared" si="55"/>
        <v>0</v>
      </c>
      <c r="R500" s="259" t="str">
        <f>+_xlfn.XLOOKUP(A500,PPTO_GENERADOR!$Q:$Q,PPTO_GENERADOR!A:A,"-",0)</f>
        <v>-</v>
      </c>
    </row>
    <row r="501" spans="1:18" ht="15" customHeight="1" x14ac:dyDescent="0.35">
      <c r="A501" s="38" t="s">
        <v>2592</v>
      </c>
      <c r="B501" s="38" t="s">
        <v>2776</v>
      </c>
      <c r="C501" s="38" t="s">
        <v>2777</v>
      </c>
      <c r="D501" s="237" t="s">
        <v>1577</v>
      </c>
      <c r="E501" s="44" t="str">
        <f>IFERROR(VLOOKUP(D501,MANO_DE_OBRA!A:B,2,FALSE()),"?")</f>
        <v>AYUDANTE</v>
      </c>
      <c r="F501" s="44" t="s">
        <v>2778</v>
      </c>
      <c r="G501" s="45">
        <v>1</v>
      </c>
      <c r="H501" s="46">
        <v>0</v>
      </c>
      <c r="I501" s="47">
        <f>IFERROR(VLOOKUP(D501,MANO_DE_OBRA!A:C,3,FALSE()),0)</f>
        <v>60860.580776572002</v>
      </c>
      <c r="J501" s="42">
        <f>G501*I501</f>
        <v>60860.580776572002</v>
      </c>
      <c r="K501" s="15" t="str">
        <f t="shared" si="52"/>
        <v>HOR-089|MO</v>
      </c>
      <c r="L501" s="15">
        <f>COUNTIFS($K$2:K501,K501)</f>
        <v>1</v>
      </c>
      <c r="M501" s="15" t="str">
        <f t="shared" si="53"/>
        <v>HOR-089|MO|1</v>
      </c>
      <c r="N501" s="47">
        <f>IFERROR(VLOOKUP(A501,PARTIDAS!A:F,6,FALSE()),0)</f>
        <v>25</v>
      </c>
      <c r="O501" s="247">
        <f t="shared" si="54"/>
        <v>0.04</v>
      </c>
      <c r="P501" s="247" t="str">
        <f>+_xlfn.XLOOKUP(A501,PPTO_GENERADOR!Q:Q,PPTO_GENERADOR!E:E,"-",0)</f>
        <v>-</v>
      </c>
      <c r="Q501" s="247">
        <f t="shared" si="55"/>
        <v>0</v>
      </c>
      <c r="R501" s="259" t="str">
        <f>+_xlfn.XLOOKUP(A501,PPTO_GENERADOR!$Q:$Q,PPTO_GENERADOR!A:A,"-",0)</f>
        <v>-</v>
      </c>
    </row>
    <row r="502" spans="1:18" ht="15" customHeight="1" x14ac:dyDescent="0.35">
      <c r="A502" s="38" t="s">
        <v>2592</v>
      </c>
      <c r="B502" s="38" t="s">
        <v>2776</v>
      </c>
      <c r="C502" s="38" t="s">
        <v>2777</v>
      </c>
      <c r="D502" s="237" t="s">
        <v>1574</v>
      </c>
      <c r="E502" s="44" t="str">
        <f>IFERROR(VLOOKUP(D502,MANO_DE_OBRA!A:B,2,FALSE()),"?")</f>
        <v>MEDIO OFICIAL</v>
      </c>
      <c r="F502" s="44" t="s">
        <v>2778</v>
      </c>
      <c r="G502" s="45">
        <v>1</v>
      </c>
      <c r="H502" s="46">
        <v>0</v>
      </c>
      <c r="I502" s="47">
        <f>IFERROR(VLOOKUP(D502,MANO_DE_OBRA!A:C,3,FALSE()),0)</f>
        <v>65493.071636572</v>
      </c>
      <c r="J502" s="42">
        <f>G502*I502</f>
        <v>65493.071636572</v>
      </c>
      <c r="K502" s="15" t="str">
        <f t="shared" si="52"/>
        <v>HOR-089|MO</v>
      </c>
      <c r="L502" s="15">
        <f>COUNTIFS($K$2:K502,K502)</f>
        <v>2</v>
      </c>
      <c r="M502" s="15" t="str">
        <f t="shared" si="53"/>
        <v>HOR-089|MO|2</v>
      </c>
      <c r="N502" s="47">
        <f>IFERROR(VLOOKUP(A502,PARTIDAS!A:F,6,FALSE()),0)</f>
        <v>25</v>
      </c>
      <c r="O502" s="247">
        <f t="shared" si="54"/>
        <v>0.04</v>
      </c>
      <c r="P502" s="247" t="str">
        <f>+_xlfn.XLOOKUP(A502,PPTO_GENERADOR!Q:Q,PPTO_GENERADOR!E:E,"-",0)</f>
        <v>-</v>
      </c>
      <c r="Q502" s="247">
        <f t="shared" si="55"/>
        <v>0</v>
      </c>
      <c r="R502" s="259" t="str">
        <f>+_xlfn.XLOOKUP(A502,PPTO_GENERADOR!$Q:$Q,PPTO_GENERADOR!A:A,"-",0)</f>
        <v>-</v>
      </c>
    </row>
    <row r="503" spans="1:18" ht="15" customHeight="1" x14ac:dyDescent="0.35">
      <c r="A503" s="38" t="s">
        <v>2592</v>
      </c>
      <c r="B503" s="38" t="s">
        <v>2776</v>
      </c>
      <c r="C503" s="38" t="s">
        <v>2777</v>
      </c>
      <c r="D503" s="237" t="s">
        <v>1568</v>
      </c>
      <c r="E503" s="44" t="str">
        <f>IFERROR(VLOOKUP(D503,MANO_DE_OBRA!A:B,2,FALSE()),"?")</f>
        <v>ESPECIALIZADO</v>
      </c>
      <c r="F503" s="44" t="s">
        <v>2778</v>
      </c>
      <c r="G503" s="45">
        <v>1</v>
      </c>
      <c r="H503" s="46">
        <v>0</v>
      </c>
      <c r="I503" s="47">
        <f>IFERROR(VLOOKUP(D503,MANO_DE_OBRA!A:C,3,FALSE()),0)</f>
        <v>85927.097156571996</v>
      </c>
      <c r="J503" s="42">
        <f>G503*I503</f>
        <v>85927.097156571996</v>
      </c>
      <c r="K503" s="15" t="str">
        <f t="shared" si="52"/>
        <v>HOR-089|MO</v>
      </c>
      <c r="L503" s="15">
        <f>COUNTIFS($K$2:K503,K503)</f>
        <v>3</v>
      </c>
      <c r="M503" s="15" t="str">
        <f t="shared" si="53"/>
        <v>HOR-089|MO|3</v>
      </c>
      <c r="N503" s="47">
        <f>IFERROR(VLOOKUP(A503,PARTIDAS!A:F,6,FALSE()),0)</f>
        <v>25</v>
      </c>
      <c r="O503" s="247">
        <f t="shared" si="54"/>
        <v>0.04</v>
      </c>
      <c r="P503" s="247" t="str">
        <f>+_xlfn.XLOOKUP(A503,PPTO_GENERADOR!Q:Q,PPTO_GENERADOR!E:E,"-",0)</f>
        <v>-</v>
      </c>
      <c r="Q503" s="247">
        <f t="shared" si="55"/>
        <v>0</v>
      </c>
      <c r="R503" s="259" t="str">
        <f>+_xlfn.XLOOKUP(A503,PPTO_GENERADOR!$Q:$Q,PPTO_GENERADOR!A:A,"-",0)</f>
        <v>-</v>
      </c>
    </row>
    <row r="504" spans="1:18" ht="15" customHeight="1" x14ac:dyDescent="0.35">
      <c r="A504" s="38" t="s">
        <v>2595</v>
      </c>
      <c r="B504" s="38" t="s">
        <v>2774</v>
      </c>
      <c r="C504" s="38" t="s">
        <v>2775</v>
      </c>
      <c r="D504" s="38" t="s">
        <v>685</v>
      </c>
      <c r="E504" s="44" t="str">
        <f>IFERROR(VLOOKUP(D504,MATERIALES!A:B,2,FALSE()),"?")</f>
        <v>Alambre de Fardo</v>
      </c>
      <c r="F504" s="44" t="str">
        <f>IFERROR(VLOOKUP(D504,MATERIALES!A:C,3,FALSE()),"?")</f>
        <v>kg</v>
      </c>
      <c r="G504" s="45">
        <v>1.2500000000000001E-2</v>
      </c>
      <c r="H504" s="46">
        <v>0.15</v>
      </c>
      <c r="I504" s="47">
        <f>IFERROR(VLOOKUP(D504,MATERIALES!A:D,4,FALSE()),0)</f>
        <v>2302.02</v>
      </c>
      <c r="J504" s="42">
        <f t="shared" ref="J504:J509" si="60">G504*I504*(1+H504)</f>
        <v>33.091537499999994</v>
      </c>
      <c r="K504" s="15" t="str">
        <f t="shared" si="52"/>
        <v>HOR-090|MAT</v>
      </c>
      <c r="L504" s="15">
        <f>COUNTIFS($K$2:K504,K504)</f>
        <v>1</v>
      </c>
      <c r="M504" s="15" t="str">
        <f t="shared" si="53"/>
        <v>HOR-090|MAT|1</v>
      </c>
      <c r="N504" s="47">
        <f>IFERROR(VLOOKUP(A504,PARTIDAS!A:F,6,FALSE()),0)</f>
        <v>28</v>
      </c>
      <c r="O504" s="247">
        <f t="shared" si="54"/>
        <v>1.2500000000000001E-2</v>
      </c>
      <c r="P504" s="247" t="str">
        <f>+_xlfn.XLOOKUP(A504,PPTO_GENERADOR!Q:Q,PPTO_GENERADOR!E:E,"-",0)</f>
        <v>-</v>
      </c>
      <c r="Q504" s="247">
        <f t="shared" si="55"/>
        <v>0</v>
      </c>
      <c r="R504" s="259" t="str">
        <f>+_xlfn.XLOOKUP(A504,PPTO_GENERADOR!$Q:$Q,PPTO_GENERADOR!A:A,"-",0)</f>
        <v>-</v>
      </c>
    </row>
    <row r="505" spans="1:18" ht="15" customHeight="1" x14ac:dyDescent="0.35">
      <c r="A505" s="38" t="s">
        <v>2595</v>
      </c>
      <c r="B505" s="38" t="s">
        <v>2774</v>
      </c>
      <c r="C505" s="38" t="s">
        <v>2775</v>
      </c>
      <c r="D505" s="38" t="s">
        <v>872</v>
      </c>
      <c r="E505" s="44" t="str">
        <f>IFERROR(VLOOKUP(D505,MATERIALES!A:B,2,FALSE()),"?")</f>
        <v>CLAVOS DE 21/2" X 12</v>
      </c>
      <c r="F505" s="44" t="str">
        <f>IFERROR(VLOOKUP(D505,MATERIALES!A:C,3,FALSE()),"?")</f>
        <v>KG</v>
      </c>
      <c r="G505" s="45">
        <v>0.125</v>
      </c>
      <c r="H505" s="46">
        <v>0.05</v>
      </c>
      <c r="I505" s="47">
        <f>IFERROR(VLOOKUP(D505,MATERIALES!A:D,4,FALSE()),0)</f>
        <v>2130.1681250000001</v>
      </c>
      <c r="J505" s="42">
        <f t="shared" si="60"/>
        <v>279.58456640625002</v>
      </c>
      <c r="K505" s="15" t="str">
        <f t="shared" si="52"/>
        <v>HOR-090|MAT</v>
      </c>
      <c r="L505" s="15">
        <f>COUNTIFS($K$2:K505,K505)</f>
        <v>2</v>
      </c>
      <c r="M505" s="15" t="str">
        <f t="shared" si="53"/>
        <v>HOR-090|MAT|2</v>
      </c>
      <c r="N505" s="47">
        <f>IFERROR(VLOOKUP(A505,PARTIDAS!A:F,6,FALSE()),0)</f>
        <v>28</v>
      </c>
      <c r="O505" s="247">
        <f t="shared" si="54"/>
        <v>0.125</v>
      </c>
      <c r="P505" s="247" t="str">
        <f>+_xlfn.XLOOKUP(A505,PPTO_GENERADOR!Q:Q,PPTO_GENERADOR!E:E,"-",0)</f>
        <v>-</v>
      </c>
      <c r="Q505" s="247">
        <f t="shared" si="55"/>
        <v>0</v>
      </c>
      <c r="R505" s="259" t="str">
        <f>+_xlfn.XLOOKUP(A505,PPTO_GENERADOR!$Q:$Q,PPTO_GENERADOR!A:A,"-",0)</f>
        <v>-</v>
      </c>
    </row>
    <row r="506" spans="1:18" ht="15" customHeight="1" x14ac:dyDescent="0.35">
      <c r="A506" s="38" t="s">
        <v>2595</v>
      </c>
      <c r="B506" s="38" t="s">
        <v>2774</v>
      </c>
      <c r="C506" s="38" t="s">
        <v>2775</v>
      </c>
      <c r="D506" s="38" t="s">
        <v>1003</v>
      </c>
      <c r="E506" s="44" t="str">
        <f>IFERROR(VLOOKUP(D506,MATERIALES!A:B,2,FALSE()),"?")</f>
        <v>Estacas</v>
      </c>
      <c r="F506" s="44" t="str">
        <f>IFERROR(VLOOKUP(D506,MATERIALES!A:C,3,FALSE()),"?")</f>
        <v>u</v>
      </c>
      <c r="G506" s="45">
        <v>1.25E-3</v>
      </c>
      <c r="H506" s="46">
        <v>0</v>
      </c>
      <c r="I506" s="47">
        <f>IFERROR(VLOOKUP(D506,MATERIALES!A:D,4,FALSE()),0)</f>
        <v>1180.82</v>
      </c>
      <c r="J506" s="42">
        <f t="shared" si="60"/>
        <v>1.4760249999999999</v>
      </c>
      <c r="K506" s="15" t="str">
        <f t="shared" si="52"/>
        <v>HOR-090|MAT</v>
      </c>
      <c r="L506" s="15">
        <f>COUNTIFS($K$2:K506,K506)</f>
        <v>3</v>
      </c>
      <c r="M506" s="15" t="str">
        <f t="shared" si="53"/>
        <v>HOR-090|MAT|3</v>
      </c>
      <c r="N506" s="47">
        <f>IFERROR(VLOOKUP(A506,PARTIDAS!A:F,6,FALSE()),0)</f>
        <v>28</v>
      </c>
      <c r="O506" s="247">
        <f t="shared" si="54"/>
        <v>1.25E-3</v>
      </c>
      <c r="P506" s="247" t="str">
        <f>+_xlfn.XLOOKUP(A506,PPTO_GENERADOR!Q:Q,PPTO_GENERADOR!E:E,"-",0)</f>
        <v>-</v>
      </c>
      <c r="Q506" s="247">
        <f t="shared" si="55"/>
        <v>0</v>
      </c>
      <c r="R506" s="259" t="str">
        <f>+_xlfn.XLOOKUP(A506,PPTO_GENERADOR!$Q:$Q,PPTO_GENERADOR!A:A,"-",0)</f>
        <v>-</v>
      </c>
    </row>
    <row r="507" spans="1:18" ht="15" customHeight="1" x14ac:dyDescent="0.35">
      <c r="A507" s="38" t="s">
        <v>2595</v>
      </c>
      <c r="B507" s="38" t="s">
        <v>2774</v>
      </c>
      <c r="C507" s="38" t="s">
        <v>2775</v>
      </c>
      <c r="D507" s="38" t="s">
        <v>882</v>
      </c>
      <c r="E507" s="44" t="str">
        <f>IFERROR(VLOOKUP(D507,MATERIALES!A:B,2,FALSE()),"?")</f>
        <v>FENOLICO 18MM. LAMINADO MELAMINICO</v>
      </c>
      <c r="F507" s="44" t="str">
        <f>IFERROR(VLOOKUP(D507,MATERIALES!A:C,3,FALSE()),"?")</f>
        <v>M2</v>
      </c>
      <c r="G507" s="45">
        <v>0.5</v>
      </c>
      <c r="H507" s="46">
        <v>0.02</v>
      </c>
      <c r="I507" s="47">
        <f>IFERROR(VLOOKUP(D507,MATERIALES!A:D,4,FALSE()),0)</f>
        <v>51752.74</v>
      </c>
      <c r="J507" s="42">
        <f t="shared" si="60"/>
        <v>26393.897399999998</v>
      </c>
      <c r="K507" s="15" t="str">
        <f t="shared" si="52"/>
        <v>HOR-090|MAT</v>
      </c>
      <c r="L507" s="15">
        <f>COUNTIFS($K$2:K507,K507)</f>
        <v>4</v>
      </c>
      <c r="M507" s="15" t="str">
        <f t="shared" si="53"/>
        <v>HOR-090|MAT|4</v>
      </c>
      <c r="N507" s="47">
        <f>IFERROR(VLOOKUP(A507,PARTIDAS!A:F,6,FALSE()),0)</f>
        <v>28</v>
      </c>
      <c r="O507" s="247">
        <f t="shared" si="54"/>
        <v>0.5</v>
      </c>
      <c r="P507" s="247" t="str">
        <f>+_xlfn.XLOOKUP(A507,PPTO_GENERADOR!Q:Q,PPTO_GENERADOR!E:E,"-",0)</f>
        <v>-</v>
      </c>
      <c r="Q507" s="247">
        <f t="shared" si="55"/>
        <v>0</v>
      </c>
      <c r="R507" s="259" t="str">
        <f>+_xlfn.XLOOKUP(A507,PPTO_GENERADOR!$Q:$Q,PPTO_GENERADOR!A:A,"-",0)</f>
        <v>-</v>
      </c>
    </row>
    <row r="508" spans="1:18" ht="15" customHeight="1" x14ac:dyDescent="0.35">
      <c r="A508" s="38" t="s">
        <v>2595</v>
      </c>
      <c r="B508" s="38" t="s">
        <v>2774</v>
      </c>
      <c r="C508" s="38" t="s">
        <v>2775</v>
      </c>
      <c r="D508" s="38" t="s">
        <v>887</v>
      </c>
      <c r="E508" s="44" t="str">
        <f>IFERROR(VLOOKUP(D508,MATERIALES!A:B,2,FALSE()),"?")</f>
        <v>tirante 3x3 para puntal 3.66</v>
      </c>
      <c r="F508" s="44" t="str">
        <f>IFERROR(VLOOKUP(D508,MATERIALES!A:C,3,FALSE()),"?")</f>
        <v>ml</v>
      </c>
      <c r="G508" s="45">
        <v>0.01</v>
      </c>
      <c r="H508" s="46">
        <v>0.02</v>
      </c>
      <c r="I508" s="47">
        <f>IFERROR(VLOOKUP(D508,MATERIALES!A:D,4,FALSE()),0)</f>
        <v>1213.73</v>
      </c>
      <c r="J508" s="42">
        <f t="shared" si="60"/>
        <v>12.380046</v>
      </c>
      <c r="K508" s="15" t="str">
        <f t="shared" si="52"/>
        <v>HOR-090|MAT</v>
      </c>
      <c r="L508" s="15">
        <f>COUNTIFS($K$2:K508,K508)</f>
        <v>5</v>
      </c>
      <c r="M508" s="15" t="str">
        <f t="shared" si="53"/>
        <v>HOR-090|MAT|5</v>
      </c>
      <c r="N508" s="47">
        <f>IFERROR(VLOOKUP(A508,PARTIDAS!A:F,6,FALSE()),0)</f>
        <v>28</v>
      </c>
      <c r="O508" s="247">
        <f t="shared" si="54"/>
        <v>0.01</v>
      </c>
      <c r="P508" s="247" t="str">
        <f>+_xlfn.XLOOKUP(A508,PPTO_GENERADOR!Q:Q,PPTO_GENERADOR!E:E,"-",0)</f>
        <v>-</v>
      </c>
      <c r="Q508" s="247">
        <f t="shared" si="55"/>
        <v>0</v>
      </c>
      <c r="R508" s="259" t="str">
        <f>+_xlfn.XLOOKUP(A508,PPTO_GENERADOR!$Q:$Q,PPTO_GENERADOR!A:A,"-",0)</f>
        <v>-</v>
      </c>
    </row>
    <row r="509" spans="1:18" ht="15" customHeight="1" x14ac:dyDescent="0.35">
      <c r="A509" s="38" t="s">
        <v>2595</v>
      </c>
      <c r="B509" s="38" t="s">
        <v>2774</v>
      </c>
      <c r="C509" s="38" t="s">
        <v>2775</v>
      </c>
      <c r="D509" s="38" t="s">
        <v>890</v>
      </c>
      <c r="E509" s="44" t="str">
        <f>IFERROR(VLOOKUP(D509,MATERIALES!A:B,2,FALSE()),"?")</f>
        <v>tirante 3x6 3.66</v>
      </c>
      <c r="F509" s="44" t="str">
        <f>IFERROR(VLOOKUP(D509,MATERIALES!A:C,3,FALSE()),"?")</f>
        <v>un</v>
      </c>
      <c r="G509" s="45">
        <v>1.2E-2</v>
      </c>
      <c r="H509" s="46">
        <v>0.05</v>
      </c>
      <c r="I509" s="47">
        <f>IFERROR(VLOOKUP(D509,MATERIALES!A:D,4,FALSE()),0)</f>
        <v>4442.2518</v>
      </c>
      <c r="J509" s="42">
        <f t="shared" si="60"/>
        <v>55.972372679999999</v>
      </c>
      <c r="K509" s="15" t="str">
        <f t="shared" si="52"/>
        <v>HOR-090|MAT</v>
      </c>
      <c r="L509" s="15">
        <f>COUNTIFS($K$2:K509,K509)</f>
        <v>6</v>
      </c>
      <c r="M509" s="15" t="str">
        <f t="shared" si="53"/>
        <v>HOR-090|MAT|6</v>
      </c>
      <c r="N509" s="47">
        <f>IFERROR(VLOOKUP(A509,PARTIDAS!A:F,6,FALSE()),0)</f>
        <v>28</v>
      </c>
      <c r="O509" s="247">
        <f t="shared" si="54"/>
        <v>1.2E-2</v>
      </c>
      <c r="P509" s="247" t="str">
        <f>+_xlfn.XLOOKUP(A509,PPTO_GENERADOR!Q:Q,PPTO_GENERADOR!E:E,"-",0)</f>
        <v>-</v>
      </c>
      <c r="Q509" s="247">
        <f t="shared" si="55"/>
        <v>0</v>
      </c>
      <c r="R509" s="259" t="str">
        <f>+_xlfn.XLOOKUP(A509,PPTO_GENERADOR!$Q:$Q,PPTO_GENERADOR!A:A,"-",0)</f>
        <v>-</v>
      </c>
    </row>
    <row r="510" spans="1:18" ht="15" customHeight="1" x14ac:dyDescent="0.35">
      <c r="A510" s="38" t="s">
        <v>2595</v>
      </c>
      <c r="B510" s="38" t="s">
        <v>2776</v>
      </c>
      <c r="C510" s="38" t="s">
        <v>2777</v>
      </c>
      <c r="D510" s="237" t="s">
        <v>1577</v>
      </c>
      <c r="E510" s="44" t="str">
        <f>IFERROR(VLOOKUP(D510,MANO_DE_OBRA!A:B,2,FALSE()),"?")</f>
        <v>AYUDANTE</v>
      </c>
      <c r="F510" s="44" t="s">
        <v>2778</v>
      </c>
      <c r="G510" s="45">
        <v>1</v>
      </c>
      <c r="H510" s="46">
        <v>0</v>
      </c>
      <c r="I510" s="47">
        <f>IFERROR(VLOOKUP(D510,MANO_DE_OBRA!A:C,3,FALSE()),0)</f>
        <v>60860.580776572002</v>
      </c>
      <c r="J510" s="42">
        <f t="shared" ref="J510:J516" si="61">G510*I510</f>
        <v>60860.580776572002</v>
      </c>
      <c r="K510" s="15" t="str">
        <f t="shared" si="52"/>
        <v>HOR-090|MO</v>
      </c>
      <c r="L510" s="15">
        <f>COUNTIFS($K$2:K510,K510)</f>
        <v>1</v>
      </c>
      <c r="M510" s="15" t="str">
        <f t="shared" si="53"/>
        <v>HOR-090|MO|1</v>
      </c>
      <c r="N510" s="47">
        <f>IFERROR(VLOOKUP(A510,PARTIDAS!A:F,6,FALSE()),0)</f>
        <v>28</v>
      </c>
      <c r="O510" s="247">
        <f t="shared" si="54"/>
        <v>3.5714285714285712E-2</v>
      </c>
      <c r="P510" s="247" t="str">
        <f>+_xlfn.XLOOKUP(A510,PPTO_GENERADOR!Q:Q,PPTO_GENERADOR!E:E,"-",0)</f>
        <v>-</v>
      </c>
      <c r="Q510" s="247">
        <f t="shared" si="55"/>
        <v>0</v>
      </c>
      <c r="R510" s="259" t="str">
        <f>+_xlfn.XLOOKUP(A510,PPTO_GENERADOR!$Q:$Q,PPTO_GENERADOR!A:A,"-",0)</f>
        <v>-</v>
      </c>
    </row>
    <row r="511" spans="1:18" ht="15" customHeight="1" x14ac:dyDescent="0.35">
      <c r="A511" s="38" t="s">
        <v>2595</v>
      </c>
      <c r="B511" s="38" t="s">
        <v>2776</v>
      </c>
      <c r="C511" s="38" t="s">
        <v>2777</v>
      </c>
      <c r="D511" s="237" t="s">
        <v>1574</v>
      </c>
      <c r="E511" s="44" t="str">
        <f>IFERROR(VLOOKUP(D511,MANO_DE_OBRA!A:B,2,FALSE()),"?")</f>
        <v>MEDIO OFICIAL</v>
      </c>
      <c r="F511" s="44" t="s">
        <v>2778</v>
      </c>
      <c r="G511" s="45">
        <v>1</v>
      </c>
      <c r="H511" s="46">
        <v>0</v>
      </c>
      <c r="I511" s="47">
        <f>IFERROR(VLOOKUP(D511,MANO_DE_OBRA!A:C,3,FALSE()),0)</f>
        <v>65493.071636572</v>
      </c>
      <c r="J511" s="42">
        <f t="shared" si="61"/>
        <v>65493.071636572</v>
      </c>
      <c r="K511" s="15" t="str">
        <f t="shared" si="52"/>
        <v>HOR-090|MO</v>
      </c>
      <c r="L511" s="15">
        <f>COUNTIFS($K$2:K511,K511)</f>
        <v>2</v>
      </c>
      <c r="M511" s="15" t="str">
        <f t="shared" si="53"/>
        <v>HOR-090|MO|2</v>
      </c>
      <c r="N511" s="47">
        <f>IFERROR(VLOOKUP(A511,PARTIDAS!A:F,6,FALSE()),0)</f>
        <v>28</v>
      </c>
      <c r="O511" s="247">
        <f t="shared" si="54"/>
        <v>3.5714285714285712E-2</v>
      </c>
      <c r="P511" s="247" t="str">
        <f>+_xlfn.XLOOKUP(A511,PPTO_GENERADOR!Q:Q,PPTO_GENERADOR!E:E,"-",0)</f>
        <v>-</v>
      </c>
      <c r="Q511" s="247">
        <f t="shared" si="55"/>
        <v>0</v>
      </c>
      <c r="R511" s="259" t="str">
        <f>+_xlfn.XLOOKUP(A511,PPTO_GENERADOR!$Q:$Q,PPTO_GENERADOR!A:A,"-",0)</f>
        <v>-</v>
      </c>
    </row>
    <row r="512" spans="1:18" ht="15" customHeight="1" x14ac:dyDescent="0.35">
      <c r="A512" s="38" t="s">
        <v>2595</v>
      </c>
      <c r="B512" s="38" t="s">
        <v>2776</v>
      </c>
      <c r="C512" s="38" t="s">
        <v>2777</v>
      </c>
      <c r="D512" s="237" t="s">
        <v>1568</v>
      </c>
      <c r="E512" s="44" t="str">
        <f>IFERROR(VLOOKUP(D512,MANO_DE_OBRA!A:B,2,FALSE()),"?")</f>
        <v>ESPECIALIZADO</v>
      </c>
      <c r="F512" s="44" t="s">
        <v>2778</v>
      </c>
      <c r="G512" s="45">
        <v>1</v>
      </c>
      <c r="H512" s="46">
        <v>0</v>
      </c>
      <c r="I512" s="47">
        <f>IFERROR(VLOOKUP(D512,MANO_DE_OBRA!A:C,3,FALSE()),0)</f>
        <v>85927.097156571996</v>
      </c>
      <c r="J512" s="42">
        <f t="shared" si="61"/>
        <v>85927.097156571996</v>
      </c>
      <c r="K512" s="15" t="str">
        <f t="shared" si="52"/>
        <v>HOR-090|MO</v>
      </c>
      <c r="L512" s="15">
        <f>COUNTIFS($K$2:K512,K512)</f>
        <v>3</v>
      </c>
      <c r="M512" s="15" t="str">
        <f t="shared" si="53"/>
        <v>HOR-090|MO|3</v>
      </c>
      <c r="N512" s="47">
        <f>IFERROR(VLOOKUP(A512,PARTIDAS!A:F,6,FALSE()),0)</f>
        <v>28</v>
      </c>
      <c r="O512" s="247">
        <f t="shared" si="54"/>
        <v>3.5714285714285712E-2</v>
      </c>
      <c r="P512" s="247" t="str">
        <f>+_xlfn.XLOOKUP(A512,PPTO_GENERADOR!Q:Q,PPTO_GENERADOR!E:E,"-",0)</f>
        <v>-</v>
      </c>
      <c r="Q512" s="247">
        <f t="shared" si="55"/>
        <v>0</v>
      </c>
      <c r="R512" s="259" t="str">
        <f>+_xlfn.XLOOKUP(A512,PPTO_GENERADOR!$Q:$Q,PPTO_GENERADOR!A:A,"-",0)</f>
        <v>-</v>
      </c>
    </row>
    <row r="513" spans="1:18" ht="15" customHeight="1" x14ac:dyDescent="0.35">
      <c r="A513" s="38" t="s">
        <v>2601</v>
      </c>
      <c r="B513" s="38" t="s">
        <v>2776</v>
      </c>
      <c r="C513" s="38" t="s">
        <v>2777</v>
      </c>
      <c r="D513" s="237" t="s">
        <v>1577</v>
      </c>
      <c r="E513" s="44" t="str">
        <f>IFERROR(VLOOKUP(D513,MANO_DE_OBRA!A:B,2,FALSE()),"?")</f>
        <v>AYUDANTE</v>
      </c>
      <c r="F513" s="44" t="s">
        <v>2778</v>
      </c>
      <c r="G513" s="45">
        <v>1</v>
      </c>
      <c r="H513" s="46">
        <v>0</v>
      </c>
      <c r="I513" s="47">
        <f>IFERROR(VLOOKUP(D513,MANO_DE_OBRA!A:C,3,FALSE()),0)</f>
        <v>60860.580776572002</v>
      </c>
      <c r="J513" s="42">
        <f t="shared" si="61"/>
        <v>60860.580776572002</v>
      </c>
      <c r="K513" s="15" t="str">
        <f t="shared" si="52"/>
        <v>HOR-106|MO</v>
      </c>
      <c r="L513" s="15">
        <f>COUNTIFS($K$2:K513,K513)</f>
        <v>1</v>
      </c>
      <c r="M513" s="15" t="str">
        <f t="shared" si="53"/>
        <v>HOR-106|MO|1</v>
      </c>
      <c r="N513" s="47">
        <f>IFERROR(VLOOKUP(A513,PARTIDAS!A:F,6,FALSE()),0)</f>
        <v>3.8</v>
      </c>
      <c r="O513" s="247">
        <f t="shared" si="54"/>
        <v>0.26315789473684209</v>
      </c>
      <c r="P513" s="247" t="str">
        <f>+_xlfn.XLOOKUP(A513,PPTO_GENERADOR!Q:Q,PPTO_GENERADOR!E:E,"-",0)</f>
        <v>-</v>
      </c>
      <c r="Q513" s="247">
        <f t="shared" si="55"/>
        <v>0</v>
      </c>
      <c r="R513" s="259" t="str">
        <f>+_xlfn.XLOOKUP(A513,PPTO_GENERADOR!$Q:$Q,PPTO_GENERADOR!A:A,"-",0)</f>
        <v>-</v>
      </c>
    </row>
    <row r="514" spans="1:18" ht="15" customHeight="1" x14ac:dyDescent="0.35">
      <c r="A514" s="38" t="s">
        <v>2601</v>
      </c>
      <c r="B514" s="38" t="s">
        <v>2776</v>
      </c>
      <c r="C514" s="38" t="s">
        <v>2777</v>
      </c>
      <c r="D514" s="237" t="s">
        <v>1568</v>
      </c>
      <c r="E514" s="44" t="str">
        <f>IFERROR(VLOOKUP(D514,MANO_DE_OBRA!A:B,2,FALSE()),"?")</f>
        <v>ESPECIALIZADO</v>
      </c>
      <c r="F514" s="44" t="s">
        <v>2778</v>
      </c>
      <c r="G514" s="45">
        <v>1</v>
      </c>
      <c r="H514" s="46">
        <v>0</v>
      </c>
      <c r="I514" s="47">
        <f>IFERROR(VLOOKUP(D514,MANO_DE_OBRA!A:C,3,FALSE()),0)</f>
        <v>85927.097156571996</v>
      </c>
      <c r="J514" s="42">
        <f t="shared" si="61"/>
        <v>85927.097156571996</v>
      </c>
      <c r="K514" s="15" t="str">
        <f t="shared" ref="K514:K577" si="62">A514&amp;"|"&amp;B514</f>
        <v>HOR-106|MO</v>
      </c>
      <c r="L514" s="15">
        <f>COUNTIFS($K$2:K514,K514)</f>
        <v>2</v>
      </c>
      <c r="M514" s="15" t="str">
        <f t="shared" ref="M514:M577" si="63">K514&amp;"|"&amp;L514</f>
        <v>HOR-106|MO|2</v>
      </c>
      <c r="N514" s="47">
        <f>IFERROR(VLOOKUP(A514,PARTIDAS!A:F,6,FALSE()),0)</f>
        <v>3.8</v>
      </c>
      <c r="O514" s="247">
        <f t="shared" si="54"/>
        <v>0.26315789473684209</v>
      </c>
      <c r="P514" s="247" t="str">
        <f>+_xlfn.XLOOKUP(A514,PPTO_GENERADOR!Q:Q,PPTO_GENERADOR!E:E,"-",0)</f>
        <v>-</v>
      </c>
      <c r="Q514" s="247">
        <f t="shared" si="55"/>
        <v>0</v>
      </c>
      <c r="R514" s="259" t="str">
        <f>+_xlfn.XLOOKUP(A514,PPTO_GENERADOR!$Q:$Q,PPTO_GENERADOR!A:A,"-",0)</f>
        <v>-</v>
      </c>
    </row>
    <row r="515" spans="1:18" ht="15" customHeight="1" x14ac:dyDescent="0.35">
      <c r="A515" s="38" t="s">
        <v>2604</v>
      </c>
      <c r="B515" s="38" t="s">
        <v>2776</v>
      </c>
      <c r="C515" s="38" t="s">
        <v>2777</v>
      </c>
      <c r="D515" s="237" t="s">
        <v>1577</v>
      </c>
      <c r="E515" s="44" t="str">
        <f>IFERROR(VLOOKUP(D515,MANO_DE_OBRA!A:B,2,FALSE()),"?")</f>
        <v>AYUDANTE</v>
      </c>
      <c r="F515" s="44" t="s">
        <v>2778</v>
      </c>
      <c r="G515" s="45">
        <v>7</v>
      </c>
      <c r="H515" s="46">
        <v>0</v>
      </c>
      <c r="I515" s="47">
        <f>IFERROR(VLOOKUP(D515,MANO_DE_OBRA!A:C,3,FALSE()),0)</f>
        <v>60860.580776572002</v>
      </c>
      <c r="J515" s="42">
        <f t="shared" si="61"/>
        <v>426024.06543600402</v>
      </c>
      <c r="K515" s="15" t="str">
        <f t="shared" si="62"/>
        <v>HOR-110|MO</v>
      </c>
      <c r="L515" s="15">
        <f>COUNTIFS($K$2:K515,K515)</f>
        <v>1</v>
      </c>
      <c r="M515" s="15" t="str">
        <f t="shared" si="63"/>
        <v>HOR-110|MO|1</v>
      </c>
      <c r="N515" s="47">
        <f>IFERROR(VLOOKUP(A515,PARTIDAS!A:F,6,FALSE()),0)</f>
        <v>36</v>
      </c>
      <c r="O515" s="247">
        <f t="shared" ref="O515:O578" si="64">+IF(C515="ALB",G515/N515,G515)</f>
        <v>0.19444444444444445</v>
      </c>
      <c r="P515" s="247" t="str">
        <f>+_xlfn.XLOOKUP(A515,PPTO_GENERADOR!Q:Q,PPTO_GENERADOR!E:E,"-",0)</f>
        <v>-</v>
      </c>
      <c r="Q515" s="247">
        <f t="shared" ref="Q515:Q578" si="65">IFERROR(P515*O515,0)</f>
        <v>0</v>
      </c>
      <c r="R515" s="259" t="str">
        <f>+_xlfn.XLOOKUP(A515,PPTO_GENERADOR!$Q:$Q,PPTO_GENERADOR!A:A,"-",0)</f>
        <v>-</v>
      </c>
    </row>
    <row r="516" spans="1:18" ht="15" customHeight="1" x14ac:dyDescent="0.35">
      <c r="A516" s="38" t="s">
        <v>2604</v>
      </c>
      <c r="B516" s="38" t="s">
        <v>2776</v>
      </c>
      <c r="C516" s="38" t="s">
        <v>2777</v>
      </c>
      <c r="D516" s="237" t="s">
        <v>1568</v>
      </c>
      <c r="E516" s="44" t="str">
        <f>IFERROR(VLOOKUP(D516,MANO_DE_OBRA!A:B,2,FALSE()),"?")</f>
        <v>ESPECIALIZADO</v>
      </c>
      <c r="F516" s="44" t="s">
        <v>2778</v>
      </c>
      <c r="G516" s="45">
        <v>1</v>
      </c>
      <c r="H516" s="46">
        <v>0</v>
      </c>
      <c r="I516" s="47">
        <f>IFERROR(VLOOKUP(D516,MANO_DE_OBRA!A:C,3,FALSE()),0)</f>
        <v>85927.097156571996</v>
      </c>
      <c r="J516" s="42">
        <f t="shared" si="61"/>
        <v>85927.097156571996</v>
      </c>
      <c r="K516" s="15" t="str">
        <f t="shared" si="62"/>
        <v>HOR-110|MO</v>
      </c>
      <c r="L516" s="15">
        <f>COUNTIFS($K$2:K516,K516)</f>
        <v>2</v>
      </c>
      <c r="M516" s="15" t="str">
        <f t="shared" si="63"/>
        <v>HOR-110|MO|2</v>
      </c>
      <c r="N516" s="47">
        <f>IFERROR(VLOOKUP(A516,PARTIDAS!A:F,6,FALSE()),0)</f>
        <v>36</v>
      </c>
      <c r="O516" s="247">
        <f t="shared" si="64"/>
        <v>2.7777777777777776E-2</v>
      </c>
      <c r="P516" s="247" t="str">
        <f>+_xlfn.XLOOKUP(A516,PPTO_GENERADOR!Q:Q,PPTO_GENERADOR!E:E,"-",0)</f>
        <v>-</v>
      </c>
      <c r="Q516" s="247">
        <f t="shared" si="65"/>
        <v>0</v>
      </c>
      <c r="R516" s="259" t="str">
        <f>+_xlfn.XLOOKUP(A516,PPTO_GENERADOR!$Q:$Q,PPTO_GENERADOR!A:A,"-",0)</f>
        <v>-</v>
      </c>
    </row>
    <row r="517" spans="1:18" ht="15" customHeight="1" x14ac:dyDescent="0.35">
      <c r="A517" s="38" t="s">
        <v>2638</v>
      </c>
      <c r="B517" s="38" t="s">
        <v>2774</v>
      </c>
      <c r="C517" s="38" t="s">
        <v>2775</v>
      </c>
      <c r="D517" s="38" t="s">
        <v>1001</v>
      </c>
      <c r="E517" s="44" t="str">
        <f>IFERROR(VLOOKUP(D517,MATERIALES!A:B,2,FALSE()),"?")</f>
        <v>Barrotes</v>
      </c>
      <c r="F517" s="44" t="str">
        <f>IFERROR(VLOOKUP(D517,MATERIALES!A:C,3,FALSE()),"?")</f>
        <v>ml</v>
      </c>
      <c r="G517" s="45">
        <v>32</v>
      </c>
      <c r="H517" s="46">
        <v>1E-3</v>
      </c>
      <c r="I517" s="47">
        <f>IFERROR(VLOOKUP(D517,MATERIALES!A:D,4,FALSE()),0)</f>
        <v>3148.86</v>
      </c>
      <c r="J517" s="42">
        <f>G517*I517*(1+H517)</f>
        <v>100864.28352</v>
      </c>
      <c r="K517" s="15" t="str">
        <f t="shared" si="62"/>
        <v>HOR-123|MAT</v>
      </c>
      <c r="L517" s="15">
        <f>COUNTIFS($K$2:K517,K517)</f>
        <v>1</v>
      </c>
      <c r="M517" s="15" t="str">
        <f t="shared" si="63"/>
        <v>HOR-123|MAT|1</v>
      </c>
      <c r="N517" s="47">
        <f>IFERROR(VLOOKUP(A517,PARTIDAS!A:F,6,FALSE()),0)</f>
        <v>12</v>
      </c>
      <c r="O517" s="247">
        <f t="shared" si="64"/>
        <v>32</v>
      </c>
      <c r="P517" s="247" t="str">
        <f>+_xlfn.XLOOKUP(A517,PPTO_GENERADOR!Q:Q,PPTO_GENERADOR!E:E,"-",0)</f>
        <v>-</v>
      </c>
      <c r="Q517" s="247">
        <f t="shared" si="65"/>
        <v>0</v>
      </c>
      <c r="R517" s="259" t="str">
        <f>+_xlfn.XLOOKUP(A517,PPTO_GENERADOR!$Q:$Q,PPTO_GENERADOR!A:A,"-",0)</f>
        <v>-</v>
      </c>
    </row>
    <row r="518" spans="1:18" ht="15" customHeight="1" x14ac:dyDescent="0.35">
      <c r="A518" s="38" t="s">
        <v>2638</v>
      </c>
      <c r="B518" s="38" t="s">
        <v>2774</v>
      </c>
      <c r="C518" s="38" t="s">
        <v>2775</v>
      </c>
      <c r="D518" s="38" t="s">
        <v>1003</v>
      </c>
      <c r="E518" s="44" t="str">
        <f>IFERROR(VLOOKUP(D518,MATERIALES!A:B,2,FALSE()),"?")</f>
        <v>Estacas</v>
      </c>
      <c r="F518" s="44" t="str">
        <f>IFERROR(VLOOKUP(D518,MATERIALES!A:C,3,FALSE()),"?")</f>
        <v>u</v>
      </c>
      <c r="G518" s="45">
        <v>16</v>
      </c>
      <c r="H518" s="46">
        <v>1E-3</v>
      </c>
      <c r="I518" s="47">
        <f>IFERROR(VLOOKUP(D518,MATERIALES!A:D,4,FALSE()),0)</f>
        <v>1180.82</v>
      </c>
      <c r="J518" s="42">
        <f>G518*I518*(1+H518)</f>
        <v>18912.013119999996</v>
      </c>
      <c r="K518" s="15" t="str">
        <f t="shared" si="62"/>
        <v>HOR-123|MAT</v>
      </c>
      <c r="L518" s="15">
        <f>COUNTIFS($K$2:K518,K518)</f>
        <v>2</v>
      </c>
      <c r="M518" s="15" t="str">
        <f t="shared" si="63"/>
        <v>HOR-123|MAT|2</v>
      </c>
      <c r="N518" s="47">
        <f>IFERROR(VLOOKUP(A518,PARTIDAS!A:F,6,FALSE()),0)</f>
        <v>12</v>
      </c>
      <c r="O518" s="247">
        <f t="shared" si="64"/>
        <v>16</v>
      </c>
      <c r="P518" s="247" t="str">
        <f>+_xlfn.XLOOKUP(A518,PPTO_GENERADOR!Q:Q,PPTO_GENERADOR!E:E,"-",0)</f>
        <v>-</v>
      </c>
      <c r="Q518" s="247">
        <f t="shared" si="65"/>
        <v>0</v>
      </c>
      <c r="R518" s="259" t="str">
        <f>+_xlfn.XLOOKUP(A518,PPTO_GENERADOR!$Q:$Q,PPTO_GENERADOR!A:A,"-",0)</f>
        <v>-</v>
      </c>
    </row>
    <row r="519" spans="1:18" ht="15" customHeight="1" x14ac:dyDescent="0.35">
      <c r="A519" s="38" t="s">
        <v>2638</v>
      </c>
      <c r="B519" s="38" t="s">
        <v>2774</v>
      </c>
      <c r="C519" s="38" t="s">
        <v>2775</v>
      </c>
      <c r="D519" s="38" t="s">
        <v>1005</v>
      </c>
      <c r="E519" s="44" t="str">
        <f>IFERROR(VLOOKUP(D519,MATERIALES!A:B,2,FALSE()),"?")</f>
        <v>Fenólico común e: 18 mm</v>
      </c>
      <c r="F519" s="44" t="str">
        <f>IFERROR(VLOOKUP(D519,MATERIALES!A:C,3,FALSE()),"?")</f>
        <v>m2</v>
      </c>
      <c r="G519" s="45">
        <v>6</v>
      </c>
      <c r="H519" s="46">
        <v>1E-3</v>
      </c>
      <c r="I519" s="47">
        <f>IFERROR(VLOOKUP(D519,MATERIALES!A:D,4,FALSE()),0)</f>
        <v>19680.39</v>
      </c>
      <c r="J519" s="42">
        <f>G519*I519*(1+H519)</f>
        <v>118200.42233999999</v>
      </c>
      <c r="K519" s="15" t="str">
        <f t="shared" si="62"/>
        <v>HOR-123|MAT</v>
      </c>
      <c r="L519" s="15">
        <f>COUNTIFS($K$2:K519,K519)</f>
        <v>3</v>
      </c>
      <c r="M519" s="15" t="str">
        <f t="shared" si="63"/>
        <v>HOR-123|MAT|3</v>
      </c>
      <c r="N519" s="47">
        <f>IFERROR(VLOOKUP(A519,PARTIDAS!A:F,6,FALSE()),0)</f>
        <v>12</v>
      </c>
      <c r="O519" s="247">
        <f t="shared" si="64"/>
        <v>6</v>
      </c>
      <c r="P519" s="247" t="str">
        <f>+_xlfn.XLOOKUP(A519,PPTO_GENERADOR!Q:Q,PPTO_GENERADOR!E:E,"-",0)</f>
        <v>-</v>
      </c>
      <c r="Q519" s="247">
        <f t="shared" si="65"/>
        <v>0</v>
      </c>
      <c r="R519" s="259" t="str">
        <f>+_xlfn.XLOOKUP(A519,PPTO_GENERADOR!$Q:$Q,PPTO_GENERADOR!A:A,"-",0)</f>
        <v>-</v>
      </c>
    </row>
    <row r="520" spans="1:18" ht="15" customHeight="1" x14ac:dyDescent="0.35">
      <c r="A520" s="38" t="s">
        <v>2638</v>
      </c>
      <c r="B520" s="38" t="s">
        <v>2774</v>
      </c>
      <c r="C520" s="38" t="s">
        <v>2775</v>
      </c>
      <c r="D520" s="38" t="s">
        <v>1009</v>
      </c>
      <c r="E520" s="44" t="str">
        <f>IFERROR(VLOOKUP(D520,MATERIALES!A:B,2,FALSE()),"?")</f>
        <v>Pie derecho saligna bruto</v>
      </c>
      <c r="F520" s="44" t="str">
        <f>IFERROR(VLOOKUP(D520,MATERIALES!A:C,3,FALSE()),"?")</f>
        <v>ml</v>
      </c>
      <c r="G520" s="45">
        <v>16</v>
      </c>
      <c r="H520" s="46">
        <v>1E-3</v>
      </c>
      <c r="I520" s="47">
        <f>IFERROR(VLOOKUP(D520,MATERIALES!A:D,4,FALSE()),0)</f>
        <v>3936.08</v>
      </c>
      <c r="J520" s="42">
        <f>G520*I520*(1+H520)</f>
        <v>63040.257279999991</v>
      </c>
      <c r="K520" s="15" t="str">
        <f t="shared" si="62"/>
        <v>HOR-123|MAT</v>
      </c>
      <c r="L520" s="15">
        <f>COUNTIFS($K$2:K520,K520)</f>
        <v>4</v>
      </c>
      <c r="M520" s="15" t="str">
        <f t="shared" si="63"/>
        <v>HOR-123|MAT|4</v>
      </c>
      <c r="N520" s="47">
        <f>IFERROR(VLOOKUP(A520,PARTIDAS!A:F,6,FALSE()),0)</f>
        <v>12</v>
      </c>
      <c r="O520" s="247">
        <f t="shared" si="64"/>
        <v>16</v>
      </c>
      <c r="P520" s="247" t="str">
        <f>+_xlfn.XLOOKUP(A520,PPTO_GENERADOR!Q:Q,PPTO_GENERADOR!E:E,"-",0)</f>
        <v>-</v>
      </c>
      <c r="Q520" s="247">
        <f t="shared" si="65"/>
        <v>0</v>
      </c>
      <c r="R520" s="259" t="str">
        <f>+_xlfn.XLOOKUP(A520,PPTO_GENERADOR!$Q:$Q,PPTO_GENERADOR!A:A,"-",0)</f>
        <v>-</v>
      </c>
    </row>
    <row r="521" spans="1:18" ht="15" customHeight="1" x14ac:dyDescent="0.35">
      <c r="A521" s="38" t="s">
        <v>2638</v>
      </c>
      <c r="B521" s="38" t="s">
        <v>2774</v>
      </c>
      <c r="C521" s="38" t="s">
        <v>2775</v>
      </c>
      <c r="D521" s="38" t="s">
        <v>897</v>
      </c>
      <c r="E521" s="44" t="str">
        <f>IFERROR(VLOOKUP(D521,MATERIALES!A:B,2,FALSE()),"?")</f>
        <v>Hormigon Elaborado H30</v>
      </c>
      <c r="F521" s="44" t="str">
        <f>IFERROR(VLOOKUP(D521,MATERIALES!A:C,3,FALSE()),"?")</f>
        <v>m3</v>
      </c>
      <c r="G521" s="45">
        <v>1</v>
      </c>
      <c r="H521" s="46">
        <v>1E-3</v>
      </c>
      <c r="I521" s="47">
        <f>IFERROR(VLOOKUP(D521,MATERIALES!A:D,4,FALSE()),0)</f>
        <v>137000</v>
      </c>
      <c r="J521" s="42">
        <f>G521*I521*(1+H521)</f>
        <v>137136.99999999997</v>
      </c>
      <c r="K521" s="15" t="str">
        <f t="shared" si="62"/>
        <v>HOR-123|MAT</v>
      </c>
      <c r="L521" s="15">
        <f>COUNTIFS($K$2:K521,K521)</f>
        <v>5</v>
      </c>
      <c r="M521" s="15" t="str">
        <f t="shared" si="63"/>
        <v>HOR-123|MAT|5</v>
      </c>
      <c r="N521" s="47">
        <f>IFERROR(VLOOKUP(A521,PARTIDAS!A:F,6,FALSE()),0)</f>
        <v>12</v>
      </c>
      <c r="O521" s="247">
        <f t="shared" si="64"/>
        <v>1</v>
      </c>
      <c r="P521" s="247" t="str">
        <f>+_xlfn.XLOOKUP(A521,PPTO_GENERADOR!Q:Q,PPTO_GENERADOR!E:E,"-",0)</f>
        <v>-</v>
      </c>
      <c r="Q521" s="247">
        <f t="shared" si="65"/>
        <v>0</v>
      </c>
      <c r="R521" s="259" t="str">
        <f>+_xlfn.XLOOKUP(A521,PPTO_GENERADOR!$Q:$Q,PPTO_GENERADOR!A:A,"-",0)</f>
        <v>-</v>
      </c>
    </row>
    <row r="522" spans="1:18" ht="15" customHeight="1" x14ac:dyDescent="0.35">
      <c r="A522" s="38" t="s">
        <v>2638</v>
      </c>
      <c r="B522" s="38" t="s">
        <v>2776</v>
      </c>
      <c r="C522" s="38" t="s">
        <v>2777</v>
      </c>
      <c r="D522" s="237" t="s">
        <v>1577</v>
      </c>
      <c r="E522" s="44" t="str">
        <f>IFERROR(VLOOKUP(D522,MANO_DE_OBRA!A:B,2,FALSE()),"?")</f>
        <v>AYUDANTE</v>
      </c>
      <c r="F522" s="44" t="s">
        <v>2778</v>
      </c>
      <c r="G522" s="45">
        <v>0.75</v>
      </c>
      <c r="H522" s="46">
        <v>0</v>
      </c>
      <c r="I522" s="47">
        <f>IFERROR(VLOOKUP(D522,MANO_DE_OBRA!A:C,3,FALSE()),0)</f>
        <v>60860.580776572002</v>
      </c>
      <c r="J522" s="42">
        <f>G522*I522</f>
        <v>45645.435582429003</v>
      </c>
      <c r="K522" s="15" t="str">
        <f t="shared" si="62"/>
        <v>HOR-123|MO</v>
      </c>
      <c r="L522" s="15">
        <f>COUNTIFS($K$2:K522,K522)</f>
        <v>1</v>
      </c>
      <c r="M522" s="15" t="str">
        <f t="shared" si="63"/>
        <v>HOR-123|MO|1</v>
      </c>
      <c r="N522" s="47">
        <f>IFERROR(VLOOKUP(A522,PARTIDAS!A:F,6,FALSE()),0)</f>
        <v>12</v>
      </c>
      <c r="O522" s="247">
        <f t="shared" si="64"/>
        <v>6.25E-2</v>
      </c>
      <c r="P522" s="247" t="str">
        <f>+_xlfn.XLOOKUP(A522,PPTO_GENERADOR!Q:Q,PPTO_GENERADOR!E:E,"-",0)</f>
        <v>-</v>
      </c>
      <c r="Q522" s="247">
        <f t="shared" si="65"/>
        <v>0</v>
      </c>
      <c r="R522" s="259" t="str">
        <f>+_xlfn.XLOOKUP(A522,PPTO_GENERADOR!$Q:$Q,PPTO_GENERADOR!A:A,"-",0)</f>
        <v>-</v>
      </c>
    </row>
    <row r="523" spans="1:18" ht="15" customHeight="1" x14ac:dyDescent="0.35">
      <c r="A523" s="38" t="s">
        <v>2638</v>
      </c>
      <c r="B523" s="38" t="s">
        <v>2776</v>
      </c>
      <c r="C523" s="38" t="s">
        <v>2777</v>
      </c>
      <c r="D523" s="237" t="s">
        <v>1568</v>
      </c>
      <c r="E523" s="44" t="str">
        <f>IFERROR(VLOOKUP(D523,MANO_DE_OBRA!A:B,2,FALSE()),"?")</f>
        <v>ESPECIALIZADO</v>
      </c>
      <c r="F523" s="44" t="s">
        <v>2778</v>
      </c>
      <c r="G523" s="45">
        <v>1</v>
      </c>
      <c r="H523" s="46">
        <v>0</v>
      </c>
      <c r="I523" s="47">
        <f>IFERROR(VLOOKUP(D523,MANO_DE_OBRA!A:C,3,FALSE()),0)</f>
        <v>85927.097156571996</v>
      </c>
      <c r="J523" s="42">
        <f>G523*I523</f>
        <v>85927.097156571996</v>
      </c>
      <c r="K523" s="15" t="str">
        <f t="shared" si="62"/>
        <v>HOR-123|MO</v>
      </c>
      <c r="L523" s="15">
        <f>COUNTIFS($K$2:K523,K523)</f>
        <v>2</v>
      </c>
      <c r="M523" s="15" t="str">
        <f t="shared" si="63"/>
        <v>HOR-123|MO|2</v>
      </c>
      <c r="N523" s="47">
        <f>IFERROR(VLOOKUP(A523,PARTIDAS!A:F,6,FALSE()),0)</f>
        <v>12</v>
      </c>
      <c r="O523" s="247">
        <f t="shared" si="64"/>
        <v>8.3333333333333329E-2</v>
      </c>
      <c r="P523" s="247" t="str">
        <f>+_xlfn.XLOOKUP(A523,PPTO_GENERADOR!Q:Q,PPTO_GENERADOR!E:E,"-",0)</f>
        <v>-</v>
      </c>
      <c r="Q523" s="247">
        <f t="shared" si="65"/>
        <v>0</v>
      </c>
      <c r="R523" s="259" t="str">
        <f>+_xlfn.XLOOKUP(A523,PPTO_GENERADOR!$Q:$Q,PPTO_GENERADOR!A:A,"-",0)</f>
        <v>-</v>
      </c>
    </row>
    <row r="524" spans="1:18" ht="15" customHeight="1" x14ac:dyDescent="0.35">
      <c r="A524" s="38" t="s">
        <v>2641</v>
      </c>
      <c r="B524" s="38" t="s">
        <v>2774</v>
      </c>
      <c r="C524" s="38" t="s">
        <v>2775</v>
      </c>
      <c r="D524" s="38" t="s">
        <v>1001</v>
      </c>
      <c r="E524" s="44" t="str">
        <f>IFERROR(VLOOKUP(D524,MATERIALES!A:B,2,FALSE()),"?")</f>
        <v>Barrotes</v>
      </c>
      <c r="F524" s="44" t="str">
        <f>IFERROR(VLOOKUP(D524,MATERIALES!A:C,3,FALSE()),"?")</f>
        <v>ml</v>
      </c>
      <c r="G524" s="45">
        <v>32</v>
      </c>
      <c r="H524" s="46">
        <v>1E-3</v>
      </c>
      <c r="I524" s="47">
        <f>IFERROR(VLOOKUP(D524,MATERIALES!A:D,4,FALSE()),0)</f>
        <v>3148.86</v>
      </c>
      <c r="J524" s="42">
        <f t="shared" ref="J524:J529" si="66">G524*I524*(1+H524)</f>
        <v>100864.28352</v>
      </c>
      <c r="K524" s="15" t="str">
        <f t="shared" si="62"/>
        <v>HOR-124|MAT</v>
      </c>
      <c r="L524" s="15">
        <f>COUNTIFS($K$2:K524,K524)</f>
        <v>1</v>
      </c>
      <c r="M524" s="15" t="str">
        <f t="shared" si="63"/>
        <v>HOR-124|MAT|1</v>
      </c>
      <c r="N524" s="47">
        <f>IFERROR(VLOOKUP(A524,PARTIDAS!A:F,6,FALSE()),0)</f>
        <v>12</v>
      </c>
      <c r="O524" s="247">
        <f t="shared" si="64"/>
        <v>32</v>
      </c>
      <c r="P524" s="247" t="str">
        <f>+_xlfn.XLOOKUP(A524,PPTO_GENERADOR!Q:Q,PPTO_GENERADOR!E:E,"-",0)</f>
        <v>-</v>
      </c>
      <c r="Q524" s="247">
        <f t="shared" si="65"/>
        <v>0</v>
      </c>
      <c r="R524" s="259" t="str">
        <f>+_xlfn.XLOOKUP(A524,PPTO_GENERADOR!$Q:$Q,PPTO_GENERADOR!A:A,"-",0)</f>
        <v>-</v>
      </c>
    </row>
    <row r="525" spans="1:18" ht="15" customHeight="1" x14ac:dyDescent="0.35">
      <c r="A525" s="38" t="s">
        <v>2641</v>
      </c>
      <c r="B525" s="38" t="s">
        <v>2774</v>
      </c>
      <c r="C525" s="38" t="s">
        <v>2775</v>
      </c>
      <c r="D525" s="38" t="s">
        <v>1003</v>
      </c>
      <c r="E525" s="44" t="str">
        <f>IFERROR(VLOOKUP(D525,MATERIALES!A:B,2,FALSE()),"?")</f>
        <v>Estacas</v>
      </c>
      <c r="F525" s="44" t="str">
        <f>IFERROR(VLOOKUP(D525,MATERIALES!A:C,3,FALSE()),"?")</f>
        <v>u</v>
      </c>
      <c r="G525" s="45">
        <v>16</v>
      </c>
      <c r="H525" s="46">
        <v>1E-3</v>
      </c>
      <c r="I525" s="47">
        <f>IFERROR(VLOOKUP(D525,MATERIALES!A:D,4,FALSE()),0)</f>
        <v>1180.82</v>
      </c>
      <c r="J525" s="42">
        <f t="shared" si="66"/>
        <v>18912.013119999996</v>
      </c>
      <c r="K525" s="15" t="str">
        <f t="shared" si="62"/>
        <v>HOR-124|MAT</v>
      </c>
      <c r="L525" s="15">
        <f>COUNTIFS($K$2:K525,K525)</f>
        <v>2</v>
      </c>
      <c r="M525" s="15" t="str">
        <f t="shared" si="63"/>
        <v>HOR-124|MAT|2</v>
      </c>
      <c r="N525" s="47">
        <f>IFERROR(VLOOKUP(A525,PARTIDAS!A:F,6,FALSE()),0)</f>
        <v>12</v>
      </c>
      <c r="O525" s="247">
        <f t="shared" si="64"/>
        <v>16</v>
      </c>
      <c r="P525" s="247" t="str">
        <f>+_xlfn.XLOOKUP(A525,PPTO_GENERADOR!Q:Q,PPTO_GENERADOR!E:E,"-",0)</f>
        <v>-</v>
      </c>
      <c r="Q525" s="247">
        <f t="shared" si="65"/>
        <v>0</v>
      </c>
      <c r="R525" s="259" t="str">
        <f>+_xlfn.XLOOKUP(A525,PPTO_GENERADOR!$Q:$Q,PPTO_GENERADOR!A:A,"-",0)</f>
        <v>-</v>
      </c>
    </row>
    <row r="526" spans="1:18" ht="15" customHeight="1" x14ac:dyDescent="0.35">
      <c r="A526" s="38" t="s">
        <v>2641</v>
      </c>
      <c r="B526" s="38" t="s">
        <v>2774</v>
      </c>
      <c r="C526" s="38" t="s">
        <v>2775</v>
      </c>
      <c r="D526" s="38" t="s">
        <v>1007</v>
      </c>
      <c r="E526" s="44" t="str">
        <f>IFERROR(VLOOKUP(D526,MATERIALES!A:B,2,FALSE()),"?")</f>
        <v>Fenólico visto e: 18 mm</v>
      </c>
      <c r="F526" s="44" t="str">
        <f>IFERROR(VLOOKUP(D526,MATERIALES!A:C,3,FALSE()),"?")</f>
        <v>m2</v>
      </c>
      <c r="G526" s="45">
        <v>6</v>
      </c>
      <c r="H526" s="46">
        <v>1E-3</v>
      </c>
      <c r="I526" s="47">
        <f>IFERROR(VLOOKUP(D526,MATERIALES!A:D,4,FALSE()),0)</f>
        <v>27552.55</v>
      </c>
      <c r="J526" s="42">
        <f t="shared" si="66"/>
        <v>165480.61529999998</v>
      </c>
      <c r="K526" s="15" t="str">
        <f t="shared" si="62"/>
        <v>HOR-124|MAT</v>
      </c>
      <c r="L526" s="15">
        <f>COUNTIFS($K$2:K526,K526)</f>
        <v>3</v>
      </c>
      <c r="M526" s="15" t="str">
        <f t="shared" si="63"/>
        <v>HOR-124|MAT|3</v>
      </c>
      <c r="N526" s="47">
        <f>IFERROR(VLOOKUP(A526,PARTIDAS!A:F,6,FALSE()),0)</f>
        <v>12</v>
      </c>
      <c r="O526" s="247">
        <f t="shared" si="64"/>
        <v>6</v>
      </c>
      <c r="P526" s="247" t="str">
        <f>+_xlfn.XLOOKUP(A526,PPTO_GENERADOR!Q:Q,PPTO_GENERADOR!E:E,"-",0)</f>
        <v>-</v>
      </c>
      <c r="Q526" s="247">
        <f t="shared" si="65"/>
        <v>0</v>
      </c>
      <c r="R526" s="259" t="str">
        <f>+_xlfn.XLOOKUP(A526,PPTO_GENERADOR!$Q:$Q,PPTO_GENERADOR!A:A,"-",0)</f>
        <v>-</v>
      </c>
    </row>
    <row r="527" spans="1:18" ht="15" customHeight="1" x14ac:dyDescent="0.35">
      <c r="A527" s="38" t="s">
        <v>2641</v>
      </c>
      <c r="B527" s="38" t="s">
        <v>2774</v>
      </c>
      <c r="C527" s="38" t="s">
        <v>2775</v>
      </c>
      <c r="D527" s="38" t="s">
        <v>1009</v>
      </c>
      <c r="E527" s="44" t="str">
        <f>IFERROR(VLOOKUP(D527,MATERIALES!A:B,2,FALSE()),"?")</f>
        <v>Pie derecho saligna bruto</v>
      </c>
      <c r="F527" s="44" t="str">
        <f>IFERROR(VLOOKUP(D527,MATERIALES!A:C,3,FALSE()),"?")</f>
        <v>ml</v>
      </c>
      <c r="G527" s="45">
        <v>16</v>
      </c>
      <c r="H527" s="46">
        <v>1E-3</v>
      </c>
      <c r="I527" s="47">
        <f>IFERROR(VLOOKUP(D527,MATERIALES!A:D,4,FALSE()),0)</f>
        <v>3936.08</v>
      </c>
      <c r="J527" s="42">
        <f t="shared" si="66"/>
        <v>63040.257279999991</v>
      </c>
      <c r="K527" s="15" t="str">
        <f t="shared" si="62"/>
        <v>HOR-124|MAT</v>
      </c>
      <c r="L527" s="15">
        <f>COUNTIFS($K$2:K527,K527)</f>
        <v>4</v>
      </c>
      <c r="M527" s="15" t="str">
        <f t="shared" si="63"/>
        <v>HOR-124|MAT|4</v>
      </c>
      <c r="N527" s="47">
        <f>IFERROR(VLOOKUP(A527,PARTIDAS!A:F,6,FALSE()),0)</f>
        <v>12</v>
      </c>
      <c r="O527" s="247">
        <f t="shared" si="64"/>
        <v>16</v>
      </c>
      <c r="P527" s="247" t="str">
        <f>+_xlfn.XLOOKUP(A527,PPTO_GENERADOR!Q:Q,PPTO_GENERADOR!E:E,"-",0)</f>
        <v>-</v>
      </c>
      <c r="Q527" s="247">
        <f t="shared" si="65"/>
        <v>0</v>
      </c>
      <c r="R527" s="259" t="str">
        <f>+_xlfn.XLOOKUP(A527,PPTO_GENERADOR!$Q:$Q,PPTO_GENERADOR!A:A,"-",0)</f>
        <v>-</v>
      </c>
    </row>
    <row r="528" spans="1:18" ht="15" customHeight="1" x14ac:dyDescent="0.35">
      <c r="A528" s="38" t="s">
        <v>2641</v>
      </c>
      <c r="B528" s="38" t="s">
        <v>2774</v>
      </c>
      <c r="C528" s="38" t="s">
        <v>2775</v>
      </c>
      <c r="D528" s="38" t="s">
        <v>897</v>
      </c>
      <c r="E528" s="44" t="str">
        <f>IFERROR(VLOOKUP(D528,MATERIALES!A:B,2,FALSE()),"?")</f>
        <v>Hormigon Elaborado H30</v>
      </c>
      <c r="F528" s="44" t="str">
        <f>IFERROR(VLOOKUP(D528,MATERIALES!A:C,3,FALSE()),"?")</f>
        <v>m3</v>
      </c>
      <c r="G528" s="45">
        <v>1</v>
      </c>
      <c r="H528" s="46">
        <v>0.05</v>
      </c>
      <c r="I528" s="47">
        <f>IFERROR(VLOOKUP(D528,MATERIALES!A:D,4,FALSE()),0)</f>
        <v>137000</v>
      </c>
      <c r="J528" s="42">
        <f t="shared" si="66"/>
        <v>143850</v>
      </c>
      <c r="K528" s="15" t="str">
        <f t="shared" si="62"/>
        <v>HOR-124|MAT</v>
      </c>
      <c r="L528" s="15">
        <f>COUNTIFS($K$2:K528,K528)</f>
        <v>5</v>
      </c>
      <c r="M528" s="15" t="str">
        <f t="shared" si="63"/>
        <v>HOR-124|MAT|5</v>
      </c>
      <c r="N528" s="47">
        <f>IFERROR(VLOOKUP(A528,PARTIDAS!A:F,6,FALSE()),0)</f>
        <v>12</v>
      </c>
      <c r="O528" s="247">
        <f t="shared" si="64"/>
        <v>1</v>
      </c>
      <c r="P528" s="247" t="str">
        <f>+_xlfn.XLOOKUP(A528,PPTO_GENERADOR!Q:Q,PPTO_GENERADOR!E:E,"-",0)</f>
        <v>-</v>
      </c>
      <c r="Q528" s="247">
        <f t="shared" si="65"/>
        <v>0</v>
      </c>
      <c r="R528" s="259" t="str">
        <f>+_xlfn.XLOOKUP(A528,PPTO_GENERADOR!$Q:$Q,PPTO_GENERADOR!A:A,"-",0)</f>
        <v>-</v>
      </c>
    </row>
    <row r="529" spans="1:18" ht="15" customHeight="1" x14ac:dyDescent="0.35">
      <c r="A529" s="38" t="s">
        <v>2641</v>
      </c>
      <c r="B529" s="38" t="s">
        <v>2774</v>
      </c>
      <c r="C529" s="38" t="s">
        <v>2775</v>
      </c>
      <c r="D529" s="38" t="s">
        <v>906</v>
      </c>
      <c r="E529" s="44" t="str">
        <f>IFERROR(VLOOKUP(D529,MATERIALES!A:B,2,FALSE()),"?")</f>
        <v>Bombeo</v>
      </c>
      <c r="F529" s="44" t="str">
        <f>IFERROR(VLOOKUP(D529,MATERIALES!A:C,3,FALSE()),"?")</f>
        <v>m3</v>
      </c>
      <c r="G529" s="45">
        <v>1</v>
      </c>
      <c r="H529" s="46">
        <v>0.05</v>
      </c>
      <c r="I529" s="47">
        <f>IFERROR(VLOOKUP(D529,MATERIALES!A:D,4,FALSE()),0)</f>
        <v>5330</v>
      </c>
      <c r="J529" s="42">
        <f t="shared" si="66"/>
        <v>5596.5</v>
      </c>
      <c r="K529" s="15" t="str">
        <f t="shared" si="62"/>
        <v>HOR-124|MAT</v>
      </c>
      <c r="L529" s="15">
        <f>COUNTIFS($K$2:K529,K529)</f>
        <v>6</v>
      </c>
      <c r="M529" s="15" t="str">
        <f t="shared" si="63"/>
        <v>HOR-124|MAT|6</v>
      </c>
      <c r="N529" s="47">
        <f>IFERROR(VLOOKUP(A529,PARTIDAS!A:F,6,FALSE()),0)</f>
        <v>12</v>
      </c>
      <c r="O529" s="247">
        <f t="shared" si="64"/>
        <v>1</v>
      </c>
      <c r="P529" s="247" t="str">
        <f>+_xlfn.XLOOKUP(A529,PPTO_GENERADOR!Q:Q,PPTO_GENERADOR!E:E,"-",0)</f>
        <v>-</v>
      </c>
      <c r="Q529" s="247">
        <f t="shared" si="65"/>
        <v>0</v>
      </c>
      <c r="R529" s="259" t="str">
        <f>+_xlfn.XLOOKUP(A529,PPTO_GENERADOR!$Q:$Q,PPTO_GENERADOR!A:A,"-",0)</f>
        <v>-</v>
      </c>
    </row>
    <row r="530" spans="1:18" ht="15" customHeight="1" x14ac:dyDescent="0.35">
      <c r="A530" s="38" t="s">
        <v>2641</v>
      </c>
      <c r="B530" s="38" t="s">
        <v>2776</v>
      </c>
      <c r="C530" s="38" t="s">
        <v>2777</v>
      </c>
      <c r="D530" s="237" t="s">
        <v>1577</v>
      </c>
      <c r="E530" s="44" t="str">
        <f>IFERROR(VLOOKUP(D530,MANO_DE_OBRA!A:B,2,FALSE()),"?")</f>
        <v>AYUDANTE</v>
      </c>
      <c r="F530" s="44" t="s">
        <v>2778</v>
      </c>
      <c r="G530" s="45">
        <v>0.75</v>
      </c>
      <c r="H530" s="46">
        <v>0</v>
      </c>
      <c r="I530" s="47">
        <f>IFERROR(VLOOKUP(D530,MANO_DE_OBRA!A:C,3,FALSE()),0)</f>
        <v>60860.580776572002</v>
      </c>
      <c r="J530" s="42">
        <f>G530*I530</f>
        <v>45645.435582429003</v>
      </c>
      <c r="K530" s="15" t="str">
        <f t="shared" si="62"/>
        <v>HOR-124|MO</v>
      </c>
      <c r="L530" s="15">
        <f>COUNTIFS($K$2:K530,K530)</f>
        <v>1</v>
      </c>
      <c r="M530" s="15" t="str">
        <f t="shared" si="63"/>
        <v>HOR-124|MO|1</v>
      </c>
      <c r="N530" s="47">
        <f>IFERROR(VLOOKUP(A530,PARTIDAS!A:F,6,FALSE()),0)</f>
        <v>12</v>
      </c>
      <c r="O530" s="247">
        <f t="shared" si="64"/>
        <v>6.25E-2</v>
      </c>
      <c r="P530" s="247" t="str">
        <f>+_xlfn.XLOOKUP(A530,PPTO_GENERADOR!Q:Q,PPTO_GENERADOR!E:E,"-",0)</f>
        <v>-</v>
      </c>
      <c r="Q530" s="247">
        <f t="shared" si="65"/>
        <v>0</v>
      </c>
      <c r="R530" s="259" t="str">
        <f>+_xlfn.XLOOKUP(A530,PPTO_GENERADOR!$Q:$Q,PPTO_GENERADOR!A:A,"-",0)</f>
        <v>-</v>
      </c>
    </row>
    <row r="531" spans="1:18" ht="15" customHeight="1" x14ac:dyDescent="0.35">
      <c r="A531" s="38" t="s">
        <v>2641</v>
      </c>
      <c r="B531" s="38" t="s">
        <v>2776</v>
      </c>
      <c r="C531" s="38" t="s">
        <v>2777</v>
      </c>
      <c r="D531" s="237" t="s">
        <v>1568</v>
      </c>
      <c r="E531" s="44" t="str">
        <f>IFERROR(VLOOKUP(D531,MANO_DE_OBRA!A:B,2,FALSE()),"?")</f>
        <v>ESPECIALIZADO</v>
      </c>
      <c r="F531" s="44" t="s">
        <v>2778</v>
      </c>
      <c r="G531" s="45">
        <v>1</v>
      </c>
      <c r="H531" s="46">
        <v>0</v>
      </c>
      <c r="I531" s="47">
        <f>IFERROR(VLOOKUP(D531,MANO_DE_OBRA!A:C,3,FALSE()),0)</f>
        <v>85927.097156571996</v>
      </c>
      <c r="J531" s="42">
        <f>G531*I531</f>
        <v>85927.097156571996</v>
      </c>
      <c r="K531" s="15" t="str">
        <f t="shared" si="62"/>
        <v>HOR-124|MO</v>
      </c>
      <c r="L531" s="15">
        <f>COUNTIFS($K$2:K531,K531)</f>
        <v>2</v>
      </c>
      <c r="M531" s="15" t="str">
        <f t="shared" si="63"/>
        <v>HOR-124|MO|2</v>
      </c>
      <c r="N531" s="47">
        <f>IFERROR(VLOOKUP(A531,PARTIDAS!A:F,6,FALSE()),0)</f>
        <v>12</v>
      </c>
      <c r="O531" s="247">
        <f t="shared" si="64"/>
        <v>8.3333333333333329E-2</v>
      </c>
      <c r="P531" s="247" t="str">
        <f>+_xlfn.XLOOKUP(A531,PPTO_GENERADOR!Q:Q,PPTO_GENERADOR!E:E,"-",0)</f>
        <v>-</v>
      </c>
      <c r="Q531" s="247">
        <f t="shared" si="65"/>
        <v>0</v>
      </c>
      <c r="R531" s="259" t="str">
        <f>+_xlfn.XLOOKUP(A531,PPTO_GENERADOR!$Q:$Q,PPTO_GENERADOR!A:A,"-",0)</f>
        <v>-</v>
      </c>
    </row>
    <row r="532" spans="1:18" ht="15" customHeight="1" x14ac:dyDescent="0.35">
      <c r="A532" s="38" t="s">
        <v>2654</v>
      </c>
      <c r="B532" s="38" t="s">
        <v>2773</v>
      </c>
      <c r="C532" s="38"/>
      <c r="D532" s="38" t="s">
        <v>1604</v>
      </c>
      <c r="E532" s="44" t="str">
        <f>IFERROR(VLOOKUP(D532,EQUIPOS!A:B,2,FALSE()),"?")</f>
        <v>EQUIPO PARA PINTAR</v>
      </c>
      <c r="F532" s="44"/>
      <c r="G532" s="45">
        <v>1</v>
      </c>
      <c r="H532" s="46">
        <v>0</v>
      </c>
      <c r="I532" s="47">
        <f>IFERROR(VLOOKUP(D532,EQUIPOS!A:F,6,FALSE()),0)</f>
        <v>1723.6259595547085</v>
      </c>
      <c r="J532" s="42">
        <f>G532*I532</f>
        <v>1723.6259595547085</v>
      </c>
      <c r="K532" s="15" t="str">
        <f t="shared" si="62"/>
        <v>OBR-138|EQ</v>
      </c>
      <c r="L532" s="15">
        <f>COUNTIFS($K$2:K532,K532)</f>
        <v>1</v>
      </c>
      <c r="M532" s="15" t="str">
        <f t="shared" si="63"/>
        <v>OBR-138|EQ|1</v>
      </c>
      <c r="N532" s="47">
        <f>IFERROR(VLOOKUP(A532,PARTIDAS!A:F,6,FALSE()),0)</f>
        <v>20</v>
      </c>
      <c r="O532" s="247">
        <f t="shared" si="64"/>
        <v>1</v>
      </c>
      <c r="P532" s="247" t="str">
        <f>+_xlfn.XLOOKUP(A532,PPTO_GENERADOR!Q:Q,PPTO_GENERADOR!E:E,"-",0)</f>
        <v>-</v>
      </c>
      <c r="Q532" s="247">
        <f t="shared" si="65"/>
        <v>0</v>
      </c>
      <c r="R532" s="259" t="str">
        <f>+_xlfn.XLOOKUP(A532,PPTO_GENERADOR!$Q:$Q,PPTO_GENERADOR!A:A,"-",0)</f>
        <v>-</v>
      </c>
    </row>
    <row r="533" spans="1:18" ht="15" customHeight="1" x14ac:dyDescent="0.35">
      <c r="A533" s="38" t="s">
        <v>2654</v>
      </c>
      <c r="B533" s="38" t="s">
        <v>2773</v>
      </c>
      <c r="C533" s="38"/>
      <c r="D533" s="38" t="s">
        <v>1749</v>
      </c>
      <c r="E533" s="44" t="str">
        <f>IFERROR(VLOOKUP(D533,EQUIPOS!A:B,2,FALSE()),"?")</f>
        <v>ESCALERA MADERA PINTOR 8 ESCALONES</v>
      </c>
      <c r="F533" s="44"/>
      <c r="G533" s="45">
        <v>1</v>
      </c>
      <c r="H533" s="46">
        <v>0</v>
      </c>
      <c r="I533" s="47">
        <f>IFERROR(VLOOKUP(D533,EQUIPOS!A:F,6,FALSE()),0)</f>
        <v>200.25307946474501</v>
      </c>
      <c r="J533" s="42">
        <f>G533*I533</f>
        <v>200.25307946474501</v>
      </c>
      <c r="K533" s="15" t="str">
        <f t="shared" si="62"/>
        <v>OBR-138|EQ</v>
      </c>
      <c r="L533" s="15">
        <f>COUNTIFS($K$2:K533,K533)</f>
        <v>2</v>
      </c>
      <c r="M533" s="15" t="str">
        <f t="shared" si="63"/>
        <v>OBR-138|EQ|2</v>
      </c>
      <c r="N533" s="47">
        <f>IFERROR(VLOOKUP(A533,PARTIDAS!A:F,6,FALSE()),0)</f>
        <v>20</v>
      </c>
      <c r="O533" s="247">
        <f t="shared" si="64"/>
        <v>1</v>
      </c>
      <c r="P533" s="247" t="str">
        <f>+_xlfn.XLOOKUP(A533,PPTO_GENERADOR!Q:Q,PPTO_GENERADOR!E:E,"-",0)</f>
        <v>-</v>
      </c>
      <c r="Q533" s="247">
        <f t="shared" si="65"/>
        <v>0</v>
      </c>
      <c r="R533" s="259" t="str">
        <f>+_xlfn.XLOOKUP(A533,PPTO_GENERADOR!$Q:$Q,PPTO_GENERADOR!A:A,"-",0)</f>
        <v>-</v>
      </c>
    </row>
    <row r="534" spans="1:18" ht="15" customHeight="1" x14ac:dyDescent="0.35">
      <c r="A534" s="38" t="s">
        <v>2654</v>
      </c>
      <c r="B534" s="38" t="s">
        <v>2774</v>
      </c>
      <c r="C534" s="38" t="s">
        <v>2775</v>
      </c>
      <c r="D534" s="38" t="s">
        <v>842</v>
      </c>
      <c r="E534" s="44" t="str">
        <f>IFERROR(VLOOKUP(D534,MATERIALES!A:B,2,FALSE()),"?")</f>
        <v>Fijador al agua x 20 lts</v>
      </c>
      <c r="F534" s="44" t="str">
        <f>IFERROR(VLOOKUP(D534,MATERIALES!A:C,3,FALSE()),"?")</f>
        <v>b</v>
      </c>
      <c r="G534" s="45">
        <v>4.0000000000000001E-3</v>
      </c>
      <c r="H534" s="46">
        <v>0.05</v>
      </c>
      <c r="I534" s="47">
        <f>IFERROR(VLOOKUP(D534,MATERIALES!A:D,4,FALSE()),0)</f>
        <v>30467.49</v>
      </c>
      <c r="J534" s="42">
        <f t="shared" ref="J534:J543" si="67">G534*I534*(1+H534)</f>
        <v>127.96345800000002</v>
      </c>
      <c r="K534" s="15" t="str">
        <f t="shared" si="62"/>
        <v>OBR-138|MAT</v>
      </c>
      <c r="L534" s="15">
        <f>COUNTIFS($K$2:K534,K534)</f>
        <v>1</v>
      </c>
      <c r="M534" s="15" t="str">
        <f t="shared" si="63"/>
        <v>OBR-138|MAT|1</v>
      </c>
      <c r="N534" s="47">
        <f>IFERROR(VLOOKUP(A534,PARTIDAS!A:F,6,FALSE()),0)</f>
        <v>20</v>
      </c>
      <c r="O534" s="247">
        <f t="shared" si="64"/>
        <v>4.0000000000000001E-3</v>
      </c>
      <c r="P534" s="247" t="str">
        <f>+_xlfn.XLOOKUP(A534,PPTO_GENERADOR!Q:Q,PPTO_GENERADOR!E:E,"-",0)</f>
        <v>-</v>
      </c>
      <c r="Q534" s="247">
        <f t="shared" si="65"/>
        <v>0</v>
      </c>
      <c r="R534" s="259" t="str">
        <f>+_xlfn.XLOOKUP(A534,PPTO_GENERADOR!$Q:$Q,PPTO_GENERADOR!A:A,"-",0)</f>
        <v>-</v>
      </c>
    </row>
    <row r="535" spans="1:18" ht="15" customHeight="1" x14ac:dyDescent="0.35">
      <c r="A535" s="38" t="s">
        <v>2654</v>
      </c>
      <c r="B535" s="38" t="s">
        <v>2774</v>
      </c>
      <c r="C535" s="38" t="s">
        <v>2775</v>
      </c>
      <c r="D535" s="38" t="s">
        <v>848</v>
      </c>
      <c r="E535" s="44" t="str">
        <f>IFERROR(VLOOKUP(D535,MATERIALES!A:B,2,FALSE()),"?")</f>
        <v>Lija 180 al agua x 10u</v>
      </c>
      <c r="F535" s="44" t="str">
        <f>IFERROR(VLOOKUP(D535,MATERIALES!A:C,3,FALSE()),"?")</f>
        <v>u</v>
      </c>
      <c r="G535" s="45">
        <v>1.4999999999999999E-2</v>
      </c>
      <c r="H535" s="46">
        <v>0.05</v>
      </c>
      <c r="I535" s="47">
        <f>IFERROR(VLOOKUP(D535,MATERIALES!A:D,4,FALSE()),0)</f>
        <v>5661.4</v>
      </c>
      <c r="J535" s="42">
        <f t="shared" si="67"/>
        <v>89.167049999999989</v>
      </c>
      <c r="K535" s="15" t="str">
        <f t="shared" si="62"/>
        <v>OBR-138|MAT</v>
      </c>
      <c r="L535" s="15">
        <f>COUNTIFS($K$2:K535,K535)</f>
        <v>2</v>
      </c>
      <c r="M535" s="15" t="str">
        <f t="shared" si="63"/>
        <v>OBR-138|MAT|2</v>
      </c>
      <c r="N535" s="47">
        <f>IFERROR(VLOOKUP(A535,PARTIDAS!A:F,6,FALSE()),0)</f>
        <v>20</v>
      </c>
      <c r="O535" s="247">
        <f t="shared" si="64"/>
        <v>1.4999999999999999E-2</v>
      </c>
      <c r="P535" s="247" t="str">
        <f>+_xlfn.XLOOKUP(A535,PPTO_GENERADOR!Q:Q,PPTO_GENERADOR!E:E,"-",0)</f>
        <v>-</v>
      </c>
      <c r="Q535" s="247">
        <f t="shared" si="65"/>
        <v>0</v>
      </c>
      <c r="R535" s="259" t="str">
        <f>+_xlfn.XLOOKUP(A535,PPTO_GENERADOR!$Q:$Q,PPTO_GENERADOR!A:A,"-",0)</f>
        <v>-</v>
      </c>
    </row>
    <row r="536" spans="1:18" ht="15" customHeight="1" x14ac:dyDescent="0.35">
      <c r="A536" s="38" t="s">
        <v>2654</v>
      </c>
      <c r="B536" s="38" t="s">
        <v>2774</v>
      </c>
      <c r="C536" s="38" t="s">
        <v>2775</v>
      </c>
      <c r="D536" s="38" t="s">
        <v>851</v>
      </c>
      <c r="E536" s="44" t="str">
        <f>IFERROR(VLOOKUP(D536,MATERIALES!A:B,2,FALSE()),"?")</f>
        <v>Cinta de Papel 36 mm x 40m</v>
      </c>
      <c r="F536" s="44" t="str">
        <f>IFERROR(VLOOKUP(D536,MATERIALES!A:C,3,FALSE()),"?")</f>
        <v>u</v>
      </c>
      <c r="G536" s="45">
        <v>0.05</v>
      </c>
      <c r="H536" s="46">
        <v>0.1</v>
      </c>
      <c r="I536" s="47">
        <f>IFERROR(VLOOKUP(D536,MATERIALES!A:D,4,FALSE()),0)</f>
        <v>3293.01</v>
      </c>
      <c r="J536" s="42">
        <f t="shared" si="67"/>
        <v>181.11555000000004</v>
      </c>
      <c r="K536" s="15" t="str">
        <f t="shared" si="62"/>
        <v>OBR-138|MAT</v>
      </c>
      <c r="L536" s="15">
        <f>COUNTIFS($K$2:K536,K536)</f>
        <v>3</v>
      </c>
      <c r="M536" s="15" t="str">
        <f t="shared" si="63"/>
        <v>OBR-138|MAT|3</v>
      </c>
      <c r="N536" s="47">
        <f>IFERROR(VLOOKUP(A536,PARTIDAS!A:F,6,FALSE()),0)</f>
        <v>20</v>
      </c>
      <c r="O536" s="247">
        <f t="shared" si="64"/>
        <v>0.05</v>
      </c>
      <c r="P536" s="247" t="str">
        <f>+_xlfn.XLOOKUP(A536,PPTO_GENERADOR!Q:Q,PPTO_GENERADOR!E:E,"-",0)</f>
        <v>-</v>
      </c>
      <c r="Q536" s="247">
        <f t="shared" si="65"/>
        <v>0</v>
      </c>
      <c r="R536" s="259" t="str">
        <f>+_xlfn.XLOOKUP(A536,PPTO_GENERADOR!$Q:$Q,PPTO_GENERADOR!A:A,"-",0)</f>
        <v>-</v>
      </c>
    </row>
    <row r="537" spans="1:18" ht="15" customHeight="1" x14ac:dyDescent="0.35">
      <c r="A537" s="38" t="s">
        <v>2654</v>
      </c>
      <c r="B537" s="38" t="s">
        <v>2774</v>
      </c>
      <c r="C537" s="38" t="s">
        <v>2775</v>
      </c>
      <c r="D537" s="38" t="s">
        <v>855</v>
      </c>
      <c r="E537" s="44" t="str">
        <f>IFERROR(VLOOKUP(D537,MATERIALES!A:B,2,FALSE()),"?")</f>
        <v>Trapo</v>
      </c>
      <c r="F537" s="44" t="str">
        <f>IFERROR(VLOOKUP(D537,MATERIALES!A:C,3,FALSE()),"?")</f>
        <v>u</v>
      </c>
      <c r="G537" s="45">
        <v>0.03</v>
      </c>
      <c r="H537" s="46">
        <v>0.05</v>
      </c>
      <c r="I537" s="47">
        <f>IFERROR(VLOOKUP(D537,MATERIALES!A:D,4,FALSE()),0)</f>
        <v>735.06</v>
      </c>
      <c r="J537" s="42">
        <f t="shared" si="67"/>
        <v>23.154389999999996</v>
      </c>
      <c r="K537" s="15" t="str">
        <f t="shared" si="62"/>
        <v>OBR-138|MAT</v>
      </c>
      <c r="L537" s="15">
        <f>COUNTIFS($K$2:K537,K537)</f>
        <v>4</v>
      </c>
      <c r="M537" s="15" t="str">
        <f t="shared" si="63"/>
        <v>OBR-138|MAT|4</v>
      </c>
      <c r="N537" s="47">
        <f>IFERROR(VLOOKUP(A537,PARTIDAS!A:F,6,FALSE()),0)</f>
        <v>20</v>
      </c>
      <c r="O537" s="247">
        <f t="shared" si="64"/>
        <v>0.03</v>
      </c>
      <c r="P537" s="247" t="str">
        <f>+_xlfn.XLOOKUP(A537,PPTO_GENERADOR!Q:Q,PPTO_GENERADOR!E:E,"-",0)</f>
        <v>-</v>
      </c>
      <c r="Q537" s="247">
        <f t="shared" si="65"/>
        <v>0</v>
      </c>
      <c r="R537" s="259" t="str">
        <f>+_xlfn.XLOOKUP(A537,PPTO_GENERADOR!$Q:$Q,PPTO_GENERADOR!A:A,"-",0)</f>
        <v>-</v>
      </c>
    </row>
    <row r="538" spans="1:18" ht="15" customHeight="1" x14ac:dyDescent="0.35">
      <c r="A538" s="38" t="s">
        <v>2654</v>
      </c>
      <c r="B538" s="38" t="s">
        <v>2774</v>
      </c>
      <c r="C538" s="38" t="s">
        <v>2775</v>
      </c>
      <c r="D538" s="38" t="s">
        <v>861</v>
      </c>
      <c r="E538" s="44" t="str">
        <f>IFERROR(VLOOKUP(D538,MATERIALES!A:B,2,FALSE()),"?")</f>
        <v>Rodillo de lana pelo corto antigota N°22 - El Galgo</v>
      </c>
      <c r="F538" s="44" t="str">
        <f>IFERROR(VLOOKUP(D538,MATERIALES!A:C,3,FALSE()),"?")</f>
        <v>u</v>
      </c>
      <c r="G538" s="45">
        <v>5.0000000000000001E-3</v>
      </c>
      <c r="H538" s="46">
        <v>0.05</v>
      </c>
      <c r="I538" s="47">
        <f>IFERROR(VLOOKUP(D538,MATERIALES!A:D,4,FALSE()),0)</f>
        <v>6678.36</v>
      </c>
      <c r="J538" s="42">
        <f t="shared" si="67"/>
        <v>35.061389999999996</v>
      </c>
      <c r="K538" s="15" t="str">
        <f t="shared" si="62"/>
        <v>OBR-138|MAT</v>
      </c>
      <c r="L538" s="15">
        <f>COUNTIFS($K$2:K538,K538)</f>
        <v>5</v>
      </c>
      <c r="M538" s="15" t="str">
        <f t="shared" si="63"/>
        <v>OBR-138|MAT|5</v>
      </c>
      <c r="N538" s="47">
        <f>IFERROR(VLOOKUP(A538,PARTIDAS!A:F,6,FALSE()),0)</f>
        <v>20</v>
      </c>
      <c r="O538" s="247">
        <f t="shared" si="64"/>
        <v>5.0000000000000001E-3</v>
      </c>
      <c r="P538" s="247" t="str">
        <f>+_xlfn.XLOOKUP(A538,PPTO_GENERADOR!Q:Q,PPTO_GENERADOR!E:E,"-",0)</f>
        <v>-</v>
      </c>
      <c r="Q538" s="247">
        <f t="shared" si="65"/>
        <v>0</v>
      </c>
      <c r="R538" s="259" t="str">
        <f>+_xlfn.XLOOKUP(A538,PPTO_GENERADOR!$Q:$Q,PPTO_GENERADOR!A:A,"-",0)</f>
        <v>-</v>
      </c>
    </row>
    <row r="539" spans="1:18" ht="15" customHeight="1" x14ac:dyDescent="0.35">
      <c r="A539" s="38" t="s">
        <v>2654</v>
      </c>
      <c r="B539" s="38" t="s">
        <v>2774</v>
      </c>
      <c r="C539" s="38" t="s">
        <v>2775</v>
      </c>
      <c r="D539" s="38" t="s">
        <v>865</v>
      </c>
      <c r="E539" s="44" t="str">
        <f>IFERROR(VLOOKUP(D539,MATERIALES!A:B,2,FALSE()),"?")</f>
        <v>Pincel N° 20 - El Galgo</v>
      </c>
      <c r="F539" s="44" t="str">
        <f>IFERROR(VLOOKUP(D539,MATERIALES!A:C,3,FALSE()),"?")</f>
        <v>u</v>
      </c>
      <c r="G539" s="45">
        <v>5.0000000000000001E-3</v>
      </c>
      <c r="H539" s="46">
        <v>0.05</v>
      </c>
      <c r="I539" s="47">
        <f>IFERROR(VLOOKUP(D539,MATERIALES!A:D,4,FALSE()),0)</f>
        <v>5282.24</v>
      </c>
      <c r="J539" s="42">
        <f t="shared" si="67"/>
        <v>27.731760000000001</v>
      </c>
      <c r="K539" s="15" t="str">
        <f t="shared" si="62"/>
        <v>OBR-138|MAT</v>
      </c>
      <c r="L539" s="15">
        <f>COUNTIFS($K$2:K539,K539)</f>
        <v>6</v>
      </c>
      <c r="M539" s="15" t="str">
        <f t="shared" si="63"/>
        <v>OBR-138|MAT|6</v>
      </c>
      <c r="N539" s="47">
        <f>IFERROR(VLOOKUP(A539,PARTIDAS!A:F,6,FALSE()),0)</f>
        <v>20</v>
      </c>
      <c r="O539" s="247">
        <f t="shared" si="64"/>
        <v>5.0000000000000001E-3</v>
      </c>
      <c r="P539" s="247" t="str">
        <f>+_xlfn.XLOOKUP(A539,PPTO_GENERADOR!Q:Q,PPTO_GENERADOR!E:E,"-",0)</f>
        <v>-</v>
      </c>
      <c r="Q539" s="247">
        <f t="shared" si="65"/>
        <v>0</v>
      </c>
      <c r="R539" s="259" t="str">
        <f>+_xlfn.XLOOKUP(A539,PPTO_GENERADOR!$Q:$Q,PPTO_GENERADOR!A:A,"-",0)</f>
        <v>-</v>
      </c>
    </row>
    <row r="540" spans="1:18" ht="15" customHeight="1" x14ac:dyDescent="0.35">
      <c r="A540" s="38" t="s">
        <v>2654</v>
      </c>
      <c r="B540" s="38" t="s">
        <v>2774</v>
      </c>
      <c r="C540" s="38" t="s">
        <v>2775</v>
      </c>
      <c r="D540" s="38" t="s">
        <v>868</v>
      </c>
      <c r="E540" s="44" t="str">
        <f>IFERROR(VLOOKUP(D540,MATERIALES!A:B,2,FALSE()),"?")</f>
        <v>Rollo de cartón corrugado 0,90 x 25 mts</v>
      </c>
      <c r="F540" s="44" t="str">
        <f>IFERROR(VLOOKUP(D540,MATERIALES!A:C,3,FALSE()),"?")</f>
        <v>u</v>
      </c>
      <c r="G540" s="45">
        <v>0.01</v>
      </c>
      <c r="H540" s="46">
        <v>0.05</v>
      </c>
      <c r="I540" s="47">
        <f>IFERROR(VLOOKUP(D540,MATERIALES!A:D,4,FALSE()),0)</f>
        <v>7427.6</v>
      </c>
      <c r="J540" s="42">
        <f t="shared" si="67"/>
        <v>77.989800000000017</v>
      </c>
      <c r="K540" s="15" t="str">
        <f t="shared" si="62"/>
        <v>OBR-138|MAT</v>
      </c>
      <c r="L540" s="15">
        <f>COUNTIFS($K$2:K540,K540)</f>
        <v>7</v>
      </c>
      <c r="M540" s="15" t="str">
        <f t="shared" si="63"/>
        <v>OBR-138|MAT|7</v>
      </c>
      <c r="N540" s="47">
        <f>IFERROR(VLOOKUP(A540,PARTIDAS!A:F,6,FALSE()),0)</f>
        <v>20</v>
      </c>
      <c r="O540" s="247">
        <f t="shared" si="64"/>
        <v>0.01</v>
      </c>
      <c r="P540" s="247" t="str">
        <f>+_xlfn.XLOOKUP(A540,PPTO_GENERADOR!Q:Q,PPTO_GENERADOR!E:E,"-",0)</f>
        <v>-</v>
      </c>
      <c r="Q540" s="247">
        <f t="shared" si="65"/>
        <v>0</v>
      </c>
      <c r="R540" s="259" t="str">
        <f>+_xlfn.XLOOKUP(A540,PPTO_GENERADOR!$Q:$Q,PPTO_GENERADOR!A:A,"-",0)</f>
        <v>-</v>
      </c>
    </row>
    <row r="541" spans="1:18" ht="15" customHeight="1" x14ac:dyDescent="0.35">
      <c r="A541" s="38" t="s">
        <v>2654</v>
      </c>
      <c r="B541" s="38" t="s">
        <v>2774</v>
      </c>
      <c r="C541" s="38" t="s">
        <v>2775</v>
      </c>
      <c r="D541" s="38" t="s">
        <v>795</v>
      </c>
      <c r="E541" s="44" t="str">
        <f>IFERROR(VLOOKUP(D541,MATERIALES!A:B,2,FALSE()),"?")</f>
        <v>Latex Loxon Interior Sherwin Williams Mate Bco x 20lts</v>
      </c>
      <c r="F541" s="44" t="str">
        <f>IFERROR(VLOOKUP(D541,MATERIALES!A:C,3,FALSE()),"?")</f>
        <v>B</v>
      </c>
      <c r="G541" s="45">
        <v>1.2500000000000001E-2</v>
      </c>
      <c r="H541" s="46">
        <v>0.1</v>
      </c>
      <c r="I541" s="47">
        <f>IFERROR(VLOOKUP(D541,MATERIALES!A:D,4,FALSE()),0)</f>
        <v>120622.23</v>
      </c>
      <c r="J541" s="42">
        <f t="shared" si="67"/>
        <v>1658.5556625000002</v>
      </c>
      <c r="K541" s="15" t="str">
        <f t="shared" si="62"/>
        <v>OBR-138|MAT</v>
      </c>
      <c r="L541" s="15">
        <f>COUNTIFS($K$2:K541,K541)</f>
        <v>8</v>
      </c>
      <c r="M541" s="15" t="str">
        <f t="shared" si="63"/>
        <v>OBR-138|MAT|8</v>
      </c>
      <c r="N541" s="47">
        <f>IFERROR(VLOOKUP(A541,PARTIDAS!A:F,6,FALSE()),0)</f>
        <v>20</v>
      </c>
      <c r="O541" s="247">
        <f t="shared" si="64"/>
        <v>1.2500000000000001E-2</v>
      </c>
      <c r="P541" s="247" t="str">
        <f>+_xlfn.XLOOKUP(A541,PPTO_GENERADOR!Q:Q,PPTO_GENERADOR!E:E,"-",0)</f>
        <v>-</v>
      </c>
      <c r="Q541" s="247">
        <f t="shared" si="65"/>
        <v>0</v>
      </c>
      <c r="R541" s="259" t="str">
        <f>+_xlfn.XLOOKUP(A541,PPTO_GENERADOR!$Q:$Q,PPTO_GENERADOR!A:A,"-",0)</f>
        <v>-</v>
      </c>
    </row>
    <row r="542" spans="1:18" ht="15" customHeight="1" x14ac:dyDescent="0.35">
      <c r="A542" s="38" t="s">
        <v>2654</v>
      </c>
      <c r="B542" s="38" t="s">
        <v>2774</v>
      </c>
      <c r="C542" s="38" t="s">
        <v>2775</v>
      </c>
      <c r="D542" s="38" t="s">
        <v>815</v>
      </c>
      <c r="E542" s="44" t="str">
        <f>IFERROR(VLOOKUP(D542,MATERIALES!A:B,2,FALSE()),"?")</f>
        <v>Enduido Interior x 20lts</v>
      </c>
      <c r="F542" s="44" t="str">
        <f>IFERROR(VLOOKUP(D542,MATERIALES!A:C,3,FALSE()),"?")</f>
        <v>B</v>
      </c>
      <c r="G542" s="45">
        <v>2E-3</v>
      </c>
      <c r="H542" s="46">
        <v>0.1</v>
      </c>
      <c r="I542" s="47">
        <f>IFERROR(VLOOKUP(D542,MATERIALES!A:D,4,FALSE()),0)</f>
        <v>18735.77</v>
      </c>
      <c r="J542" s="42">
        <f t="shared" si="67"/>
        <v>41.218694000000006</v>
      </c>
      <c r="K542" s="15" t="str">
        <f t="shared" si="62"/>
        <v>OBR-138|MAT</v>
      </c>
      <c r="L542" s="15">
        <f>COUNTIFS($K$2:K542,K542)</f>
        <v>9</v>
      </c>
      <c r="M542" s="15" t="str">
        <f t="shared" si="63"/>
        <v>OBR-138|MAT|9</v>
      </c>
      <c r="N542" s="47">
        <f>IFERROR(VLOOKUP(A542,PARTIDAS!A:F,6,FALSE()),0)</f>
        <v>20</v>
      </c>
      <c r="O542" s="247">
        <f t="shared" si="64"/>
        <v>2E-3</v>
      </c>
      <c r="P542" s="247" t="str">
        <f>+_xlfn.XLOOKUP(A542,PPTO_GENERADOR!Q:Q,PPTO_GENERADOR!E:E,"-",0)</f>
        <v>-</v>
      </c>
      <c r="Q542" s="247">
        <f t="shared" si="65"/>
        <v>0</v>
      </c>
      <c r="R542" s="259" t="str">
        <f>+_xlfn.XLOOKUP(A542,PPTO_GENERADOR!$Q:$Q,PPTO_GENERADOR!A:A,"-",0)</f>
        <v>-</v>
      </c>
    </row>
    <row r="543" spans="1:18" ht="15" customHeight="1" x14ac:dyDescent="0.35">
      <c r="A543" s="38" t="s">
        <v>2654</v>
      </c>
      <c r="B543" s="38" t="s">
        <v>2774</v>
      </c>
      <c r="C543" s="38" t="s">
        <v>2775</v>
      </c>
      <c r="D543" s="38" t="s">
        <v>666</v>
      </c>
      <c r="E543" s="44" t="str">
        <f>IFERROR(VLOOKUP(D543,MATERIALES!A:B,2,FALSE()),"?")</f>
        <v>Yeso Tuyango x 30kg</v>
      </c>
      <c r="F543" s="44" t="str">
        <f>IFERROR(VLOOKUP(D543,MATERIALES!A:C,3,FALSE()),"?")</f>
        <v>b</v>
      </c>
      <c r="G543" s="45">
        <v>1E-3</v>
      </c>
      <c r="H543" s="46">
        <v>0.05</v>
      </c>
      <c r="I543" s="47">
        <f>IFERROR(VLOOKUP(D543,MATERIALES!A:D,4,FALSE()),0)</f>
        <v>9639</v>
      </c>
      <c r="J543" s="42">
        <f t="shared" si="67"/>
        <v>10.120950000000001</v>
      </c>
      <c r="K543" s="15" t="str">
        <f t="shared" si="62"/>
        <v>OBR-138|MAT</v>
      </c>
      <c r="L543" s="15">
        <f>COUNTIFS($K$2:K543,K543)</f>
        <v>10</v>
      </c>
      <c r="M543" s="15" t="str">
        <f t="shared" si="63"/>
        <v>OBR-138|MAT|10</v>
      </c>
      <c r="N543" s="47">
        <f>IFERROR(VLOOKUP(A543,PARTIDAS!A:F,6,FALSE()),0)</f>
        <v>20</v>
      </c>
      <c r="O543" s="247">
        <f t="shared" si="64"/>
        <v>1E-3</v>
      </c>
      <c r="P543" s="247" t="str">
        <f>+_xlfn.XLOOKUP(A543,PPTO_GENERADOR!Q:Q,PPTO_GENERADOR!E:E,"-",0)</f>
        <v>-</v>
      </c>
      <c r="Q543" s="247">
        <f t="shared" si="65"/>
        <v>0</v>
      </c>
      <c r="R543" s="259" t="str">
        <f>+_xlfn.XLOOKUP(A543,PPTO_GENERADOR!$Q:$Q,PPTO_GENERADOR!A:A,"-",0)</f>
        <v>-</v>
      </c>
    </row>
    <row r="544" spans="1:18" ht="15" customHeight="1" x14ac:dyDescent="0.35">
      <c r="A544" s="38" t="s">
        <v>2654</v>
      </c>
      <c r="B544" s="38" t="s">
        <v>2776</v>
      </c>
      <c r="C544" s="38" t="s">
        <v>2777</v>
      </c>
      <c r="D544" s="237" t="s">
        <v>1568</v>
      </c>
      <c r="E544" s="44" t="str">
        <f>IFERROR(VLOOKUP(D544,MANO_DE_OBRA!A:B,2,FALSE()),"?")</f>
        <v>ESPECIALIZADO</v>
      </c>
      <c r="F544" s="44" t="s">
        <v>2778</v>
      </c>
      <c r="G544" s="45">
        <v>1</v>
      </c>
      <c r="H544" s="46">
        <v>0</v>
      </c>
      <c r="I544" s="47">
        <f>IFERROR(VLOOKUP(D544,MANO_DE_OBRA!A:C,3,FALSE()),0)</f>
        <v>85927.097156571996</v>
      </c>
      <c r="J544" s="42">
        <f>G544*I544</f>
        <v>85927.097156571996</v>
      </c>
      <c r="K544" s="15" t="str">
        <f t="shared" si="62"/>
        <v>OBR-138|MO</v>
      </c>
      <c r="L544" s="15">
        <f>COUNTIFS($K$2:K544,K544)</f>
        <v>1</v>
      </c>
      <c r="M544" s="15" t="str">
        <f t="shared" si="63"/>
        <v>OBR-138|MO|1</v>
      </c>
      <c r="N544" s="47">
        <f>IFERROR(VLOOKUP(A544,PARTIDAS!A:F,6,FALSE()),0)</f>
        <v>20</v>
      </c>
      <c r="O544" s="247">
        <f t="shared" si="64"/>
        <v>0.05</v>
      </c>
      <c r="P544" s="247" t="str">
        <f>+_xlfn.XLOOKUP(A544,PPTO_GENERADOR!Q:Q,PPTO_GENERADOR!E:E,"-",0)</f>
        <v>-</v>
      </c>
      <c r="Q544" s="247">
        <f t="shared" si="65"/>
        <v>0</v>
      </c>
      <c r="R544" s="259" t="str">
        <f>+_xlfn.XLOOKUP(A544,PPTO_GENERADOR!$Q:$Q,PPTO_GENERADOR!A:A,"-",0)</f>
        <v>-</v>
      </c>
    </row>
    <row r="545" spans="1:18" ht="15" customHeight="1" x14ac:dyDescent="0.35">
      <c r="A545" s="38" t="s">
        <v>2500</v>
      </c>
      <c r="B545" s="38" t="s">
        <v>2773</v>
      </c>
      <c r="C545" s="38"/>
      <c r="D545" s="38" t="s">
        <v>1604</v>
      </c>
      <c r="E545" s="44" t="str">
        <f>IFERROR(VLOOKUP(D545,EQUIPOS!A:B,2,FALSE()),"?")</f>
        <v>EQUIPO PARA PINTAR</v>
      </c>
      <c r="F545" s="44"/>
      <c r="G545" s="45">
        <v>2</v>
      </c>
      <c r="H545" s="46">
        <v>0</v>
      </c>
      <c r="I545" s="47">
        <f>IFERROR(VLOOKUP(D545,EQUIPOS!A:F,6,FALSE()),0)</f>
        <v>1723.6259595547085</v>
      </c>
      <c r="J545" s="42">
        <f>G545*I545</f>
        <v>3447.251919109417</v>
      </c>
      <c r="K545" s="15" t="str">
        <f t="shared" si="62"/>
        <v>PIN-051|EQ</v>
      </c>
      <c r="L545" s="15">
        <f>COUNTIFS($K$2:K545,K545)</f>
        <v>1</v>
      </c>
      <c r="M545" s="15" t="str">
        <f t="shared" si="63"/>
        <v>PIN-051|EQ|1</v>
      </c>
      <c r="N545" s="47">
        <f>IFERROR(VLOOKUP(A545,PARTIDAS!A:F,6,FALSE()),0)</f>
        <v>22</v>
      </c>
      <c r="O545" s="247">
        <f t="shared" si="64"/>
        <v>2</v>
      </c>
      <c r="P545" s="247" t="str">
        <f>+_xlfn.XLOOKUP(A545,PPTO_GENERADOR!Q:Q,PPTO_GENERADOR!E:E,"-",0)</f>
        <v>-</v>
      </c>
      <c r="Q545" s="247">
        <f t="shared" si="65"/>
        <v>0</v>
      </c>
      <c r="R545" s="259" t="str">
        <f>+_xlfn.XLOOKUP(A545,PPTO_GENERADOR!$Q:$Q,PPTO_GENERADOR!A:A,"-",0)</f>
        <v>-</v>
      </c>
    </row>
    <row r="546" spans="1:18" ht="15" customHeight="1" x14ac:dyDescent="0.35">
      <c r="A546" s="38" t="s">
        <v>2500</v>
      </c>
      <c r="B546" s="38" t="s">
        <v>2773</v>
      </c>
      <c r="C546" s="38"/>
      <c r="D546" s="38" t="s">
        <v>1749</v>
      </c>
      <c r="E546" s="44" t="str">
        <f>IFERROR(VLOOKUP(D546,EQUIPOS!A:B,2,FALSE()),"?")</f>
        <v>ESCALERA MADERA PINTOR 8 ESCALONES</v>
      </c>
      <c r="F546" s="44"/>
      <c r="G546" s="45">
        <v>2</v>
      </c>
      <c r="H546" s="46">
        <v>0</v>
      </c>
      <c r="I546" s="47">
        <f>IFERROR(VLOOKUP(D546,EQUIPOS!A:F,6,FALSE()),0)</f>
        <v>200.25307946474501</v>
      </c>
      <c r="J546" s="42">
        <f>G546*I546</f>
        <v>400.50615892949003</v>
      </c>
      <c r="K546" s="15" t="str">
        <f t="shared" si="62"/>
        <v>PIN-051|EQ</v>
      </c>
      <c r="L546" s="15">
        <f>COUNTIFS($K$2:K546,K546)</f>
        <v>2</v>
      </c>
      <c r="M546" s="15" t="str">
        <f t="shared" si="63"/>
        <v>PIN-051|EQ|2</v>
      </c>
      <c r="N546" s="47">
        <f>IFERROR(VLOOKUP(A546,PARTIDAS!A:F,6,FALSE()),0)</f>
        <v>22</v>
      </c>
      <c r="O546" s="247">
        <f t="shared" si="64"/>
        <v>2</v>
      </c>
      <c r="P546" s="247" t="str">
        <f>+_xlfn.XLOOKUP(A546,PPTO_GENERADOR!Q:Q,PPTO_GENERADOR!E:E,"-",0)</f>
        <v>-</v>
      </c>
      <c r="Q546" s="247">
        <f t="shared" si="65"/>
        <v>0</v>
      </c>
      <c r="R546" s="259" t="str">
        <f>+_xlfn.XLOOKUP(A546,PPTO_GENERADOR!$Q:$Q,PPTO_GENERADOR!A:A,"-",0)</f>
        <v>-</v>
      </c>
    </row>
    <row r="547" spans="1:18" ht="15" customHeight="1" x14ac:dyDescent="0.35">
      <c r="A547" s="38" t="s">
        <v>2500</v>
      </c>
      <c r="B547" s="38" t="s">
        <v>2774</v>
      </c>
      <c r="C547" s="38" t="s">
        <v>2775</v>
      </c>
      <c r="D547" s="38" t="s">
        <v>842</v>
      </c>
      <c r="E547" s="44" t="str">
        <f>IFERROR(VLOOKUP(D547,MATERIALES!A:B,2,FALSE()),"?")</f>
        <v>Fijador al agua x 20 lts</v>
      </c>
      <c r="F547" s="44" t="str">
        <f>IFERROR(VLOOKUP(D547,MATERIALES!A:C,3,FALSE()),"?")</f>
        <v>b</v>
      </c>
      <c r="G547" s="45">
        <v>4.0000000000000001E-3</v>
      </c>
      <c r="H547" s="46">
        <v>0.05</v>
      </c>
      <c r="I547" s="47">
        <f>IFERROR(VLOOKUP(D547,MATERIALES!A:D,4,FALSE()),0)</f>
        <v>30467.49</v>
      </c>
      <c r="J547" s="42">
        <f t="shared" ref="J547:J556" si="68">G547*I547*(1+H547)</f>
        <v>127.96345800000002</v>
      </c>
      <c r="K547" s="15" t="str">
        <f t="shared" si="62"/>
        <v>PIN-051|MAT</v>
      </c>
      <c r="L547" s="15">
        <f>COUNTIFS($K$2:K547,K547)</f>
        <v>1</v>
      </c>
      <c r="M547" s="15" t="str">
        <f t="shared" si="63"/>
        <v>PIN-051|MAT|1</v>
      </c>
      <c r="N547" s="47">
        <f>IFERROR(VLOOKUP(A547,PARTIDAS!A:F,6,FALSE()),0)</f>
        <v>22</v>
      </c>
      <c r="O547" s="247">
        <f t="shared" si="64"/>
        <v>4.0000000000000001E-3</v>
      </c>
      <c r="P547" s="247" t="str">
        <f>+_xlfn.XLOOKUP(A547,PPTO_GENERADOR!Q:Q,PPTO_GENERADOR!E:E,"-",0)</f>
        <v>-</v>
      </c>
      <c r="Q547" s="247">
        <f t="shared" si="65"/>
        <v>0</v>
      </c>
      <c r="R547" s="259" t="str">
        <f>+_xlfn.XLOOKUP(A547,PPTO_GENERADOR!$Q:$Q,PPTO_GENERADOR!A:A,"-",0)</f>
        <v>-</v>
      </c>
    </row>
    <row r="548" spans="1:18" ht="15" customHeight="1" x14ac:dyDescent="0.35">
      <c r="A548" s="38" t="s">
        <v>2500</v>
      </c>
      <c r="B548" s="38" t="s">
        <v>2774</v>
      </c>
      <c r="C548" s="38" t="s">
        <v>2775</v>
      </c>
      <c r="D548" s="38" t="s">
        <v>848</v>
      </c>
      <c r="E548" s="44" t="str">
        <f>IFERROR(VLOOKUP(D548,MATERIALES!A:B,2,FALSE()),"?")</f>
        <v>Lija 180 al agua x 10u</v>
      </c>
      <c r="F548" s="44" t="str">
        <f>IFERROR(VLOOKUP(D548,MATERIALES!A:C,3,FALSE()),"?")</f>
        <v>u</v>
      </c>
      <c r="G548" s="45">
        <v>2.5000000000000001E-2</v>
      </c>
      <c r="H548" s="46">
        <v>0.05</v>
      </c>
      <c r="I548" s="47">
        <f>IFERROR(VLOOKUP(D548,MATERIALES!A:D,4,FALSE()),0)</f>
        <v>5661.4</v>
      </c>
      <c r="J548" s="42">
        <f t="shared" si="68"/>
        <v>148.61175</v>
      </c>
      <c r="K548" s="15" t="str">
        <f t="shared" si="62"/>
        <v>PIN-051|MAT</v>
      </c>
      <c r="L548" s="15">
        <f>COUNTIFS($K$2:K548,K548)</f>
        <v>2</v>
      </c>
      <c r="M548" s="15" t="str">
        <f t="shared" si="63"/>
        <v>PIN-051|MAT|2</v>
      </c>
      <c r="N548" s="47">
        <f>IFERROR(VLOOKUP(A548,PARTIDAS!A:F,6,FALSE()),0)</f>
        <v>22</v>
      </c>
      <c r="O548" s="247">
        <f t="shared" si="64"/>
        <v>2.5000000000000001E-2</v>
      </c>
      <c r="P548" s="247" t="str">
        <f>+_xlfn.XLOOKUP(A548,PPTO_GENERADOR!Q:Q,PPTO_GENERADOR!E:E,"-",0)</f>
        <v>-</v>
      </c>
      <c r="Q548" s="247">
        <f t="shared" si="65"/>
        <v>0</v>
      </c>
      <c r="R548" s="259" t="str">
        <f>+_xlfn.XLOOKUP(A548,PPTO_GENERADOR!$Q:$Q,PPTO_GENERADOR!A:A,"-",0)</f>
        <v>-</v>
      </c>
    </row>
    <row r="549" spans="1:18" ht="15" customHeight="1" x14ac:dyDescent="0.35">
      <c r="A549" s="38" t="s">
        <v>2500</v>
      </c>
      <c r="B549" s="38" t="s">
        <v>2774</v>
      </c>
      <c r="C549" s="38" t="s">
        <v>2775</v>
      </c>
      <c r="D549" s="38" t="s">
        <v>851</v>
      </c>
      <c r="E549" s="44" t="str">
        <f>IFERROR(VLOOKUP(D549,MATERIALES!A:B,2,FALSE()),"?")</f>
        <v>Cinta de Papel 36 mm x 40m</v>
      </c>
      <c r="F549" s="44" t="str">
        <f>IFERROR(VLOOKUP(D549,MATERIALES!A:C,3,FALSE()),"?")</f>
        <v>u</v>
      </c>
      <c r="G549" s="45">
        <v>0.05</v>
      </c>
      <c r="H549" s="46">
        <v>0.1</v>
      </c>
      <c r="I549" s="47">
        <f>IFERROR(VLOOKUP(D549,MATERIALES!A:D,4,FALSE()),0)</f>
        <v>3293.01</v>
      </c>
      <c r="J549" s="42">
        <f t="shared" si="68"/>
        <v>181.11555000000004</v>
      </c>
      <c r="K549" s="15" t="str">
        <f t="shared" si="62"/>
        <v>PIN-051|MAT</v>
      </c>
      <c r="L549" s="15">
        <f>COUNTIFS($K$2:K549,K549)</f>
        <v>3</v>
      </c>
      <c r="M549" s="15" t="str">
        <f t="shared" si="63"/>
        <v>PIN-051|MAT|3</v>
      </c>
      <c r="N549" s="47">
        <f>IFERROR(VLOOKUP(A549,PARTIDAS!A:F,6,FALSE()),0)</f>
        <v>22</v>
      </c>
      <c r="O549" s="247">
        <f t="shared" si="64"/>
        <v>0.05</v>
      </c>
      <c r="P549" s="247" t="str">
        <f>+_xlfn.XLOOKUP(A549,PPTO_GENERADOR!Q:Q,PPTO_GENERADOR!E:E,"-",0)</f>
        <v>-</v>
      </c>
      <c r="Q549" s="247">
        <f t="shared" si="65"/>
        <v>0</v>
      </c>
      <c r="R549" s="259" t="str">
        <f>+_xlfn.XLOOKUP(A549,PPTO_GENERADOR!$Q:$Q,PPTO_GENERADOR!A:A,"-",0)</f>
        <v>-</v>
      </c>
    </row>
    <row r="550" spans="1:18" ht="15" customHeight="1" x14ac:dyDescent="0.35">
      <c r="A550" s="38" t="s">
        <v>2500</v>
      </c>
      <c r="B550" s="38" t="s">
        <v>2774</v>
      </c>
      <c r="C550" s="38" t="s">
        <v>2775</v>
      </c>
      <c r="D550" s="38" t="s">
        <v>855</v>
      </c>
      <c r="E550" s="44" t="str">
        <f>IFERROR(VLOOKUP(D550,MATERIALES!A:B,2,FALSE()),"?")</f>
        <v>Trapo</v>
      </c>
      <c r="F550" s="44" t="str">
        <f>IFERROR(VLOOKUP(D550,MATERIALES!A:C,3,FALSE()),"?")</f>
        <v>u</v>
      </c>
      <c r="G550" s="45">
        <v>0.03</v>
      </c>
      <c r="H550" s="46">
        <v>0.05</v>
      </c>
      <c r="I550" s="47">
        <f>IFERROR(VLOOKUP(D550,MATERIALES!A:D,4,FALSE()),0)</f>
        <v>735.06</v>
      </c>
      <c r="J550" s="42">
        <f t="shared" si="68"/>
        <v>23.154389999999996</v>
      </c>
      <c r="K550" s="15" t="str">
        <f t="shared" si="62"/>
        <v>PIN-051|MAT</v>
      </c>
      <c r="L550" s="15">
        <f>COUNTIFS($K$2:K550,K550)</f>
        <v>4</v>
      </c>
      <c r="M550" s="15" t="str">
        <f t="shared" si="63"/>
        <v>PIN-051|MAT|4</v>
      </c>
      <c r="N550" s="47">
        <f>IFERROR(VLOOKUP(A550,PARTIDAS!A:F,6,FALSE()),0)</f>
        <v>22</v>
      </c>
      <c r="O550" s="247">
        <f t="shared" si="64"/>
        <v>0.03</v>
      </c>
      <c r="P550" s="247" t="str">
        <f>+_xlfn.XLOOKUP(A550,PPTO_GENERADOR!Q:Q,PPTO_GENERADOR!E:E,"-",0)</f>
        <v>-</v>
      </c>
      <c r="Q550" s="247">
        <f t="shared" si="65"/>
        <v>0</v>
      </c>
      <c r="R550" s="259" t="str">
        <f>+_xlfn.XLOOKUP(A550,PPTO_GENERADOR!$Q:$Q,PPTO_GENERADOR!A:A,"-",0)</f>
        <v>-</v>
      </c>
    </row>
    <row r="551" spans="1:18" ht="15" customHeight="1" x14ac:dyDescent="0.35">
      <c r="A551" s="38" t="s">
        <v>2500</v>
      </c>
      <c r="B551" s="38" t="s">
        <v>2774</v>
      </c>
      <c r="C551" s="38" t="s">
        <v>2775</v>
      </c>
      <c r="D551" s="38" t="s">
        <v>861</v>
      </c>
      <c r="E551" s="44" t="str">
        <f>IFERROR(VLOOKUP(D551,MATERIALES!A:B,2,FALSE()),"?")</f>
        <v>Rodillo de lana pelo corto antigota N°22 - El Galgo</v>
      </c>
      <c r="F551" s="44" t="str">
        <f>IFERROR(VLOOKUP(D551,MATERIALES!A:C,3,FALSE()),"?")</f>
        <v>u</v>
      </c>
      <c r="G551" s="45">
        <v>5.0000000000000001E-3</v>
      </c>
      <c r="H551" s="46">
        <v>0.05</v>
      </c>
      <c r="I551" s="47">
        <f>IFERROR(VLOOKUP(D551,MATERIALES!A:D,4,FALSE()),0)</f>
        <v>6678.36</v>
      </c>
      <c r="J551" s="42">
        <f t="shared" si="68"/>
        <v>35.061389999999996</v>
      </c>
      <c r="K551" s="15" t="str">
        <f t="shared" si="62"/>
        <v>PIN-051|MAT</v>
      </c>
      <c r="L551" s="15">
        <f>COUNTIFS($K$2:K551,K551)</f>
        <v>5</v>
      </c>
      <c r="M551" s="15" t="str">
        <f t="shared" si="63"/>
        <v>PIN-051|MAT|5</v>
      </c>
      <c r="N551" s="47">
        <f>IFERROR(VLOOKUP(A551,PARTIDAS!A:F,6,FALSE()),0)</f>
        <v>22</v>
      </c>
      <c r="O551" s="247">
        <f t="shared" si="64"/>
        <v>5.0000000000000001E-3</v>
      </c>
      <c r="P551" s="247" t="str">
        <f>+_xlfn.XLOOKUP(A551,PPTO_GENERADOR!Q:Q,PPTO_GENERADOR!E:E,"-",0)</f>
        <v>-</v>
      </c>
      <c r="Q551" s="247">
        <f t="shared" si="65"/>
        <v>0</v>
      </c>
      <c r="R551" s="259" t="str">
        <f>+_xlfn.XLOOKUP(A551,PPTO_GENERADOR!$Q:$Q,PPTO_GENERADOR!A:A,"-",0)</f>
        <v>-</v>
      </c>
    </row>
    <row r="552" spans="1:18" ht="15" customHeight="1" x14ac:dyDescent="0.35">
      <c r="A552" s="38" t="s">
        <v>2500</v>
      </c>
      <c r="B552" s="38" t="s">
        <v>2774</v>
      </c>
      <c r="C552" s="38" t="s">
        <v>2775</v>
      </c>
      <c r="D552" s="38" t="s">
        <v>865</v>
      </c>
      <c r="E552" s="44" t="str">
        <f>IFERROR(VLOOKUP(D552,MATERIALES!A:B,2,FALSE()),"?")</f>
        <v>Pincel N° 20 - El Galgo</v>
      </c>
      <c r="F552" s="44" t="str">
        <f>IFERROR(VLOOKUP(D552,MATERIALES!A:C,3,FALSE()),"?")</f>
        <v>u</v>
      </c>
      <c r="G552" s="45">
        <v>5.0000000000000001E-3</v>
      </c>
      <c r="H552" s="46">
        <v>0.05</v>
      </c>
      <c r="I552" s="47">
        <f>IFERROR(VLOOKUP(D552,MATERIALES!A:D,4,FALSE()),0)</f>
        <v>5282.24</v>
      </c>
      <c r="J552" s="42">
        <f t="shared" si="68"/>
        <v>27.731760000000001</v>
      </c>
      <c r="K552" s="15" t="str">
        <f t="shared" si="62"/>
        <v>PIN-051|MAT</v>
      </c>
      <c r="L552" s="15">
        <f>COUNTIFS($K$2:K552,K552)</f>
        <v>6</v>
      </c>
      <c r="M552" s="15" t="str">
        <f t="shared" si="63"/>
        <v>PIN-051|MAT|6</v>
      </c>
      <c r="N552" s="47">
        <f>IFERROR(VLOOKUP(A552,PARTIDAS!A:F,6,FALSE()),0)</f>
        <v>22</v>
      </c>
      <c r="O552" s="247">
        <f t="shared" si="64"/>
        <v>5.0000000000000001E-3</v>
      </c>
      <c r="P552" s="247" t="str">
        <f>+_xlfn.XLOOKUP(A552,PPTO_GENERADOR!Q:Q,PPTO_GENERADOR!E:E,"-",0)</f>
        <v>-</v>
      </c>
      <c r="Q552" s="247">
        <f t="shared" si="65"/>
        <v>0</v>
      </c>
      <c r="R552" s="259" t="str">
        <f>+_xlfn.XLOOKUP(A552,PPTO_GENERADOR!$Q:$Q,PPTO_GENERADOR!A:A,"-",0)</f>
        <v>-</v>
      </c>
    </row>
    <row r="553" spans="1:18" ht="15" customHeight="1" x14ac:dyDescent="0.35">
      <c r="A553" s="38" t="s">
        <v>2500</v>
      </c>
      <c r="B553" s="38" t="s">
        <v>2774</v>
      </c>
      <c r="C553" s="38" t="s">
        <v>2775</v>
      </c>
      <c r="D553" s="38" t="s">
        <v>868</v>
      </c>
      <c r="E553" s="44" t="str">
        <f>IFERROR(VLOOKUP(D553,MATERIALES!A:B,2,FALSE()),"?")</f>
        <v>Rollo de cartón corrugado 0,90 x 25 mts</v>
      </c>
      <c r="F553" s="44" t="str">
        <f>IFERROR(VLOOKUP(D553,MATERIALES!A:C,3,FALSE()),"?")</f>
        <v>u</v>
      </c>
      <c r="G553" s="45">
        <v>0.01</v>
      </c>
      <c r="H553" s="46">
        <v>0.05</v>
      </c>
      <c r="I553" s="47">
        <f>IFERROR(VLOOKUP(D553,MATERIALES!A:D,4,FALSE()),0)</f>
        <v>7427.6</v>
      </c>
      <c r="J553" s="42">
        <f t="shared" si="68"/>
        <v>77.989800000000017</v>
      </c>
      <c r="K553" s="15" t="str">
        <f t="shared" si="62"/>
        <v>PIN-051|MAT</v>
      </c>
      <c r="L553" s="15">
        <f>COUNTIFS($K$2:K553,K553)</f>
        <v>7</v>
      </c>
      <c r="M553" s="15" t="str">
        <f t="shared" si="63"/>
        <v>PIN-051|MAT|7</v>
      </c>
      <c r="N553" s="47">
        <f>IFERROR(VLOOKUP(A553,PARTIDAS!A:F,6,FALSE()),0)</f>
        <v>22</v>
      </c>
      <c r="O553" s="247">
        <f t="shared" si="64"/>
        <v>0.01</v>
      </c>
      <c r="P553" s="247" t="str">
        <f>+_xlfn.XLOOKUP(A553,PPTO_GENERADOR!Q:Q,PPTO_GENERADOR!E:E,"-",0)</f>
        <v>-</v>
      </c>
      <c r="Q553" s="247">
        <f t="shared" si="65"/>
        <v>0</v>
      </c>
      <c r="R553" s="259" t="str">
        <f>+_xlfn.XLOOKUP(A553,PPTO_GENERADOR!$Q:$Q,PPTO_GENERADOR!A:A,"-",0)</f>
        <v>-</v>
      </c>
    </row>
    <row r="554" spans="1:18" ht="15" customHeight="1" x14ac:dyDescent="0.35">
      <c r="A554" s="38" t="s">
        <v>2500</v>
      </c>
      <c r="B554" s="38" t="s">
        <v>2774</v>
      </c>
      <c r="C554" s="38" t="s">
        <v>2775</v>
      </c>
      <c r="D554" s="38" t="s">
        <v>795</v>
      </c>
      <c r="E554" s="44" t="str">
        <f>IFERROR(VLOOKUP(D554,MATERIALES!A:B,2,FALSE()),"?")</f>
        <v>Latex Loxon Interior Sherwin Williams Mate Bco x 20lts</v>
      </c>
      <c r="F554" s="44" t="str">
        <f>IFERROR(VLOOKUP(D554,MATERIALES!A:C,3,FALSE()),"?")</f>
        <v>B</v>
      </c>
      <c r="G554" s="45">
        <v>1.2500000000000001E-2</v>
      </c>
      <c r="H554" s="46">
        <v>0.1</v>
      </c>
      <c r="I554" s="47">
        <f>IFERROR(VLOOKUP(D554,MATERIALES!A:D,4,FALSE()),0)</f>
        <v>120622.23</v>
      </c>
      <c r="J554" s="42">
        <f t="shared" si="68"/>
        <v>1658.5556625000002</v>
      </c>
      <c r="K554" s="15" t="str">
        <f t="shared" si="62"/>
        <v>PIN-051|MAT</v>
      </c>
      <c r="L554" s="15">
        <f>COUNTIFS($K$2:K554,K554)</f>
        <v>8</v>
      </c>
      <c r="M554" s="15" t="str">
        <f t="shared" si="63"/>
        <v>PIN-051|MAT|8</v>
      </c>
      <c r="N554" s="47">
        <f>IFERROR(VLOOKUP(A554,PARTIDAS!A:F,6,FALSE()),0)</f>
        <v>22</v>
      </c>
      <c r="O554" s="247">
        <f t="shared" si="64"/>
        <v>1.2500000000000001E-2</v>
      </c>
      <c r="P554" s="247" t="str">
        <f>+_xlfn.XLOOKUP(A554,PPTO_GENERADOR!Q:Q,PPTO_GENERADOR!E:E,"-",0)</f>
        <v>-</v>
      </c>
      <c r="Q554" s="247">
        <f t="shared" si="65"/>
        <v>0</v>
      </c>
      <c r="R554" s="259" t="str">
        <f>+_xlfn.XLOOKUP(A554,PPTO_GENERADOR!$Q:$Q,PPTO_GENERADOR!A:A,"-",0)</f>
        <v>-</v>
      </c>
    </row>
    <row r="555" spans="1:18" ht="15" customHeight="1" x14ac:dyDescent="0.35">
      <c r="A555" s="38" t="s">
        <v>2500</v>
      </c>
      <c r="B555" s="38" t="s">
        <v>2774</v>
      </c>
      <c r="C555" s="38" t="s">
        <v>2775</v>
      </c>
      <c r="D555" s="38" t="s">
        <v>815</v>
      </c>
      <c r="E555" s="44" t="str">
        <f>IFERROR(VLOOKUP(D555,MATERIALES!A:B,2,FALSE()),"?")</f>
        <v>Enduido Interior x 20lts</v>
      </c>
      <c r="F555" s="44" t="str">
        <f>IFERROR(VLOOKUP(D555,MATERIALES!A:C,3,FALSE()),"?")</f>
        <v>B</v>
      </c>
      <c r="G555" s="45">
        <v>0.03</v>
      </c>
      <c r="H555" s="46">
        <v>0.1</v>
      </c>
      <c r="I555" s="47">
        <f>IFERROR(VLOOKUP(D555,MATERIALES!A:D,4,FALSE()),0)</f>
        <v>18735.77</v>
      </c>
      <c r="J555" s="42">
        <f t="shared" si="68"/>
        <v>618.28040999999996</v>
      </c>
      <c r="K555" s="15" t="str">
        <f t="shared" si="62"/>
        <v>PIN-051|MAT</v>
      </c>
      <c r="L555" s="15">
        <f>COUNTIFS($K$2:K555,K555)</f>
        <v>9</v>
      </c>
      <c r="M555" s="15" t="str">
        <f t="shared" si="63"/>
        <v>PIN-051|MAT|9</v>
      </c>
      <c r="N555" s="47">
        <f>IFERROR(VLOOKUP(A555,PARTIDAS!A:F,6,FALSE()),0)</f>
        <v>22</v>
      </c>
      <c r="O555" s="247">
        <f t="shared" si="64"/>
        <v>0.03</v>
      </c>
      <c r="P555" s="247" t="str">
        <f>+_xlfn.XLOOKUP(A555,PPTO_GENERADOR!Q:Q,PPTO_GENERADOR!E:E,"-",0)</f>
        <v>-</v>
      </c>
      <c r="Q555" s="247">
        <f t="shared" si="65"/>
        <v>0</v>
      </c>
      <c r="R555" s="259" t="str">
        <f>+_xlfn.XLOOKUP(A555,PPTO_GENERADOR!$Q:$Q,PPTO_GENERADOR!A:A,"-",0)</f>
        <v>-</v>
      </c>
    </row>
    <row r="556" spans="1:18" ht="15" customHeight="1" x14ac:dyDescent="0.35">
      <c r="A556" s="38" t="s">
        <v>2500</v>
      </c>
      <c r="B556" s="38" t="s">
        <v>2774</v>
      </c>
      <c r="C556" s="38" t="s">
        <v>2775</v>
      </c>
      <c r="D556" s="38" t="s">
        <v>666</v>
      </c>
      <c r="E556" s="44" t="str">
        <f>IFERROR(VLOOKUP(D556,MATERIALES!A:B,2,FALSE()),"?")</f>
        <v>Yeso Tuyango x 30kg</v>
      </c>
      <c r="F556" s="44" t="str">
        <f>IFERROR(VLOOKUP(D556,MATERIALES!A:C,3,FALSE()),"?")</f>
        <v>b</v>
      </c>
      <c r="G556" s="45">
        <v>2.5000000000000001E-3</v>
      </c>
      <c r="H556" s="46">
        <v>0.05</v>
      </c>
      <c r="I556" s="47">
        <f>IFERROR(VLOOKUP(D556,MATERIALES!A:D,4,FALSE()),0)</f>
        <v>9639</v>
      </c>
      <c r="J556" s="42">
        <f t="shared" si="68"/>
        <v>25.302375000000001</v>
      </c>
      <c r="K556" s="15" t="str">
        <f t="shared" si="62"/>
        <v>PIN-051|MAT</v>
      </c>
      <c r="L556" s="15">
        <f>COUNTIFS($K$2:K556,K556)</f>
        <v>10</v>
      </c>
      <c r="M556" s="15" t="str">
        <f t="shared" si="63"/>
        <v>PIN-051|MAT|10</v>
      </c>
      <c r="N556" s="47">
        <f>IFERROR(VLOOKUP(A556,PARTIDAS!A:F,6,FALSE()),0)</f>
        <v>22</v>
      </c>
      <c r="O556" s="247">
        <f t="shared" si="64"/>
        <v>2.5000000000000001E-3</v>
      </c>
      <c r="P556" s="247" t="str">
        <f>+_xlfn.XLOOKUP(A556,PPTO_GENERADOR!Q:Q,PPTO_GENERADOR!E:E,"-",0)</f>
        <v>-</v>
      </c>
      <c r="Q556" s="247">
        <f t="shared" si="65"/>
        <v>0</v>
      </c>
      <c r="R556" s="259" t="str">
        <f>+_xlfn.XLOOKUP(A556,PPTO_GENERADOR!$Q:$Q,PPTO_GENERADOR!A:A,"-",0)</f>
        <v>-</v>
      </c>
    </row>
    <row r="557" spans="1:18" ht="15" customHeight="1" x14ac:dyDescent="0.35">
      <c r="A557" s="38" t="s">
        <v>2500</v>
      </c>
      <c r="B557" s="38" t="s">
        <v>2776</v>
      </c>
      <c r="C557" s="38" t="s">
        <v>2777</v>
      </c>
      <c r="D557" s="237" t="s">
        <v>1574</v>
      </c>
      <c r="E557" s="44" t="str">
        <f>IFERROR(VLOOKUP(D557,MANO_DE_OBRA!A:B,2,FALSE()),"?")</f>
        <v>MEDIO OFICIAL</v>
      </c>
      <c r="F557" s="44" t="s">
        <v>2778</v>
      </c>
      <c r="G557" s="45">
        <v>1.25</v>
      </c>
      <c r="H557" s="46">
        <v>0</v>
      </c>
      <c r="I557" s="47">
        <f>IFERROR(VLOOKUP(D557,MANO_DE_OBRA!A:C,3,FALSE()),0)</f>
        <v>65493.071636572</v>
      </c>
      <c r="J557" s="42">
        <f>G557*I557</f>
        <v>81866.339545715004</v>
      </c>
      <c r="K557" s="15" t="str">
        <f t="shared" si="62"/>
        <v>PIN-051|MO</v>
      </c>
      <c r="L557" s="15">
        <f>COUNTIFS($K$2:K557,K557)</f>
        <v>1</v>
      </c>
      <c r="M557" s="15" t="str">
        <f t="shared" si="63"/>
        <v>PIN-051|MO|1</v>
      </c>
      <c r="N557" s="47">
        <f>IFERROR(VLOOKUP(A557,PARTIDAS!A:F,6,FALSE()),0)</f>
        <v>22</v>
      </c>
      <c r="O557" s="247">
        <f t="shared" si="64"/>
        <v>5.6818181818181816E-2</v>
      </c>
      <c r="P557" s="247" t="str">
        <f>+_xlfn.XLOOKUP(A557,PPTO_GENERADOR!Q:Q,PPTO_GENERADOR!E:E,"-",0)</f>
        <v>-</v>
      </c>
      <c r="Q557" s="247">
        <f t="shared" si="65"/>
        <v>0</v>
      </c>
      <c r="R557" s="259" t="str">
        <f>+_xlfn.XLOOKUP(A557,PPTO_GENERADOR!$Q:$Q,PPTO_GENERADOR!A:A,"-",0)</f>
        <v>-</v>
      </c>
    </row>
    <row r="558" spans="1:18" ht="15" customHeight="1" x14ac:dyDescent="0.35">
      <c r="A558" s="38" t="s">
        <v>2500</v>
      </c>
      <c r="B558" s="38" t="s">
        <v>2776</v>
      </c>
      <c r="C558" s="38" t="s">
        <v>2777</v>
      </c>
      <c r="D558" s="237" t="s">
        <v>1568</v>
      </c>
      <c r="E558" s="44" t="str">
        <f>IFERROR(VLOOKUP(D558,MANO_DE_OBRA!A:B,2,FALSE()),"?")</f>
        <v>ESPECIALIZADO</v>
      </c>
      <c r="F558" s="44" t="s">
        <v>2778</v>
      </c>
      <c r="G558" s="45">
        <v>1</v>
      </c>
      <c r="H558" s="46">
        <v>0</v>
      </c>
      <c r="I558" s="47">
        <f>IFERROR(VLOOKUP(D558,MANO_DE_OBRA!A:C,3,FALSE()),0)</f>
        <v>85927.097156571996</v>
      </c>
      <c r="J558" s="42">
        <f>G558*I558</f>
        <v>85927.097156571996</v>
      </c>
      <c r="K558" s="15" t="str">
        <f t="shared" si="62"/>
        <v>PIN-051|MO</v>
      </c>
      <c r="L558" s="15">
        <f>COUNTIFS($K$2:K558,K558)</f>
        <v>2</v>
      </c>
      <c r="M558" s="15" t="str">
        <f t="shared" si="63"/>
        <v>PIN-051|MO|2</v>
      </c>
      <c r="N558" s="47">
        <f>IFERROR(VLOOKUP(A558,PARTIDAS!A:F,6,FALSE()),0)</f>
        <v>22</v>
      </c>
      <c r="O558" s="247">
        <f t="shared" si="64"/>
        <v>4.5454545454545456E-2</v>
      </c>
      <c r="P558" s="247" t="str">
        <f>+_xlfn.XLOOKUP(A558,PPTO_GENERADOR!Q:Q,PPTO_GENERADOR!E:E,"-",0)</f>
        <v>-</v>
      </c>
      <c r="Q558" s="247">
        <f t="shared" si="65"/>
        <v>0</v>
      </c>
      <c r="R558" s="259" t="str">
        <f>+_xlfn.XLOOKUP(A558,PPTO_GENERADOR!$Q:$Q,PPTO_GENERADOR!A:A,"-",0)</f>
        <v>-</v>
      </c>
    </row>
    <row r="559" spans="1:18" ht="15" customHeight="1" x14ac:dyDescent="0.35">
      <c r="A559" s="38" t="s">
        <v>2503</v>
      </c>
      <c r="B559" s="38" t="s">
        <v>2773</v>
      </c>
      <c r="C559" s="38"/>
      <c r="D559" s="38" t="s">
        <v>1592</v>
      </c>
      <c r="E559" s="44" t="str">
        <f>IFERROR(VLOOKUP(D559,EQUIPOS!A:B,2,FALSE()),"?")</f>
        <v>ANDAMIO TUBULAR DE UNO A TRES CUERPOS</v>
      </c>
      <c r="F559" s="44"/>
      <c r="G559" s="45">
        <v>1</v>
      </c>
      <c r="H559" s="46">
        <v>0</v>
      </c>
      <c r="I559" s="47">
        <f>IFERROR(VLOOKUP(D559,EQUIPOS!A:F,6,FALSE()),0)</f>
        <v>571.1794909807611</v>
      </c>
      <c r="J559" s="42">
        <f>G559*I559</f>
        <v>571.1794909807611</v>
      </c>
      <c r="K559" s="15" t="str">
        <f t="shared" si="62"/>
        <v>PIN-052|EQ</v>
      </c>
      <c r="L559" s="15">
        <f>COUNTIFS($K$2:K559,K559)</f>
        <v>1</v>
      </c>
      <c r="M559" s="15" t="str">
        <f t="shared" si="63"/>
        <v>PIN-052|EQ|1</v>
      </c>
      <c r="N559" s="47">
        <f>IFERROR(VLOOKUP(A559,PARTIDAS!A:F,6,FALSE()),0)</f>
        <v>17.5</v>
      </c>
      <c r="O559" s="247">
        <f t="shared" si="64"/>
        <v>1</v>
      </c>
      <c r="P559" s="247" t="str">
        <f>+_xlfn.XLOOKUP(A559,PPTO_GENERADOR!Q:Q,PPTO_GENERADOR!E:E,"-",0)</f>
        <v>-</v>
      </c>
      <c r="Q559" s="247">
        <f t="shared" si="65"/>
        <v>0</v>
      </c>
      <c r="R559" s="259" t="str">
        <f>+_xlfn.XLOOKUP(A559,PPTO_GENERADOR!$Q:$Q,PPTO_GENERADOR!A:A,"-",0)</f>
        <v>-</v>
      </c>
    </row>
    <row r="560" spans="1:18" ht="15" customHeight="1" x14ac:dyDescent="0.35">
      <c r="A560" s="38" t="s">
        <v>2503</v>
      </c>
      <c r="B560" s="38" t="s">
        <v>2773</v>
      </c>
      <c r="C560" s="38"/>
      <c r="D560" s="38" t="s">
        <v>1604</v>
      </c>
      <c r="E560" s="44" t="str">
        <f>IFERROR(VLOOKUP(D560,EQUIPOS!A:B,2,FALSE()),"?")</f>
        <v>EQUIPO PARA PINTAR</v>
      </c>
      <c r="F560" s="44"/>
      <c r="G560" s="45">
        <v>2</v>
      </c>
      <c r="H560" s="46">
        <v>0</v>
      </c>
      <c r="I560" s="47">
        <f>IFERROR(VLOOKUP(D560,EQUIPOS!A:F,6,FALSE()),0)</f>
        <v>1723.6259595547085</v>
      </c>
      <c r="J560" s="42">
        <f>G560*I560</f>
        <v>3447.251919109417</v>
      </c>
      <c r="K560" s="15" t="str">
        <f t="shared" si="62"/>
        <v>PIN-052|EQ</v>
      </c>
      <c r="L560" s="15">
        <f>COUNTIFS($K$2:K560,K560)</f>
        <v>2</v>
      </c>
      <c r="M560" s="15" t="str">
        <f t="shared" si="63"/>
        <v>PIN-052|EQ|2</v>
      </c>
      <c r="N560" s="47">
        <f>IFERROR(VLOOKUP(A560,PARTIDAS!A:F,6,FALSE()),0)</f>
        <v>17.5</v>
      </c>
      <c r="O560" s="247">
        <f t="shared" si="64"/>
        <v>2</v>
      </c>
      <c r="P560" s="247" t="str">
        <f>+_xlfn.XLOOKUP(A560,PPTO_GENERADOR!Q:Q,PPTO_GENERADOR!E:E,"-",0)</f>
        <v>-</v>
      </c>
      <c r="Q560" s="247">
        <f t="shared" si="65"/>
        <v>0</v>
      </c>
      <c r="R560" s="259" t="str">
        <f>+_xlfn.XLOOKUP(A560,PPTO_GENERADOR!$Q:$Q,PPTO_GENERADOR!A:A,"-",0)</f>
        <v>-</v>
      </c>
    </row>
    <row r="561" spans="1:18" ht="15" customHeight="1" x14ac:dyDescent="0.35">
      <c r="A561" s="38" t="s">
        <v>2503</v>
      </c>
      <c r="B561" s="38" t="s">
        <v>2773</v>
      </c>
      <c r="C561" s="38"/>
      <c r="D561" s="38" t="s">
        <v>1749</v>
      </c>
      <c r="E561" s="44" t="str">
        <f>IFERROR(VLOOKUP(D561,EQUIPOS!A:B,2,FALSE()),"?")</f>
        <v>ESCALERA MADERA PINTOR 8 ESCALONES</v>
      </c>
      <c r="F561" s="44"/>
      <c r="G561" s="45">
        <v>1</v>
      </c>
      <c r="H561" s="46">
        <v>0</v>
      </c>
      <c r="I561" s="47">
        <f>IFERROR(VLOOKUP(D561,EQUIPOS!A:F,6,FALSE()),0)</f>
        <v>200.25307946474501</v>
      </c>
      <c r="J561" s="42">
        <f>G561*I561</f>
        <v>200.25307946474501</v>
      </c>
      <c r="K561" s="15" t="str">
        <f t="shared" si="62"/>
        <v>PIN-052|EQ</v>
      </c>
      <c r="L561" s="15">
        <f>COUNTIFS($K$2:K561,K561)</f>
        <v>3</v>
      </c>
      <c r="M561" s="15" t="str">
        <f t="shared" si="63"/>
        <v>PIN-052|EQ|3</v>
      </c>
      <c r="N561" s="47">
        <f>IFERROR(VLOOKUP(A561,PARTIDAS!A:F,6,FALSE()),0)</f>
        <v>17.5</v>
      </c>
      <c r="O561" s="247">
        <f t="shared" si="64"/>
        <v>1</v>
      </c>
      <c r="P561" s="247" t="str">
        <f>+_xlfn.XLOOKUP(A561,PPTO_GENERADOR!Q:Q,PPTO_GENERADOR!E:E,"-",0)</f>
        <v>-</v>
      </c>
      <c r="Q561" s="247">
        <f t="shared" si="65"/>
        <v>0</v>
      </c>
      <c r="R561" s="259" t="str">
        <f>+_xlfn.XLOOKUP(A561,PPTO_GENERADOR!$Q:$Q,PPTO_GENERADOR!A:A,"-",0)</f>
        <v>-</v>
      </c>
    </row>
    <row r="562" spans="1:18" ht="15" customHeight="1" x14ac:dyDescent="0.35">
      <c r="A562" s="38" t="s">
        <v>2503</v>
      </c>
      <c r="B562" s="38" t="s">
        <v>2774</v>
      </c>
      <c r="C562" s="38" t="s">
        <v>2775</v>
      </c>
      <c r="D562" s="38" t="s">
        <v>842</v>
      </c>
      <c r="E562" s="44" t="str">
        <f>IFERROR(VLOOKUP(D562,MATERIALES!A:B,2,FALSE()),"?")</f>
        <v>Fijador al agua x 20 lts</v>
      </c>
      <c r="F562" s="44" t="str">
        <f>IFERROR(VLOOKUP(D562,MATERIALES!A:C,3,FALSE()),"?")</f>
        <v>b</v>
      </c>
      <c r="G562" s="45">
        <v>4.0000000000000001E-3</v>
      </c>
      <c r="H562" s="46">
        <v>0.05</v>
      </c>
      <c r="I562" s="47">
        <f>IFERROR(VLOOKUP(D562,MATERIALES!A:D,4,FALSE()),0)</f>
        <v>30467.49</v>
      </c>
      <c r="J562" s="42">
        <f t="shared" ref="J562:J571" si="69">G562*I562*(1+H562)</f>
        <v>127.96345800000002</v>
      </c>
      <c r="K562" s="15" t="str">
        <f t="shared" si="62"/>
        <v>PIN-052|MAT</v>
      </c>
      <c r="L562" s="15">
        <f>COUNTIFS($K$2:K562,K562)</f>
        <v>1</v>
      </c>
      <c r="M562" s="15" t="str">
        <f t="shared" si="63"/>
        <v>PIN-052|MAT|1</v>
      </c>
      <c r="N562" s="47">
        <f>IFERROR(VLOOKUP(A562,PARTIDAS!A:F,6,FALSE()),0)</f>
        <v>17.5</v>
      </c>
      <c r="O562" s="247">
        <f t="shared" si="64"/>
        <v>4.0000000000000001E-3</v>
      </c>
      <c r="P562" s="247" t="str">
        <f>+_xlfn.XLOOKUP(A562,PPTO_GENERADOR!Q:Q,PPTO_GENERADOR!E:E,"-",0)</f>
        <v>-</v>
      </c>
      <c r="Q562" s="247">
        <f t="shared" si="65"/>
        <v>0</v>
      </c>
      <c r="R562" s="259" t="str">
        <f>+_xlfn.XLOOKUP(A562,PPTO_GENERADOR!$Q:$Q,PPTO_GENERADOR!A:A,"-",0)</f>
        <v>-</v>
      </c>
    </row>
    <row r="563" spans="1:18" ht="15" customHeight="1" x14ac:dyDescent="0.35">
      <c r="A563" s="38" t="s">
        <v>2503</v>
      </c>
      <c r="B563" s="38" t="s">
        <v>2774</v>
      </c>
      <c r="C563" s="38" t="s">
        <v>2775</v>
      </c>
      <c r="D563" s="38" t="s">
        <v>848</v>
      </c>
      <c r="E563" s="44" t="str">
        <f>IFERROR(VLOOKUP(D563,MATERIALES!A:B,2,FALSE()),"?")</f>
        <v>Lija 180 al agua x 10u</v>
      </c>
      <c r="F563" s="44" t="str">
        <f>IFERROR(VLOOKUP(D563,MATERIALES!A:C,3,FALSE()),"?")</f>
        <v>u</v>
      </c>
      <c r="G563" s="45">
        <v>2.5000000000000001E-2</v>
      </c>
      <c r="H563" s="46">
        <v>0.05</v>
      </c>
      <c r="I563" s="47">
        <f>IFERROR(VLOOKUP(D563,MATERIALES!A:D,4,FALSE()),0)</f>
        <v>5661.4</v>
      </c>
      <c r="J563" s="42">
        <f t="shared" si="69"/>
        <v>148.61175</v>
      </c>
      <c r="K563" s="15" t="str">
        <f t="shared" si="62"/>
        <v>PIN-052|MAT</v>
      </c>
      <c r="L563" s="15">
        <f>COUNTIFS($K$2:K563,K563)</f>
        <v>2</v>
      </c>
      <c r="M563" s="15" t="str">
        <f t="shared" si="63"/>
        <v>PIN-052|MAT|2</v>
      </c>
      <c r="N563" s="47">
        <f>IFERROR(VLOOKUP(A563,PARTIDAS!A:F,6,FALSE()),0)</f>
        <v>17.5</v>
      </c>
      <c r="O563" s="247">
        <f t="shared" si="64"/>
        <v>2.5000000000000001E-2</v>
      </c>
      <c r="P563" s="247" t="str">
        <f>+_xlfn.XLOOKUP(A563,PPTO_GENERADOR!Q:Q,PPTO_GENERADOR!E:E,"-",0)</f>
        <v>-</v>
      </c>
      <c r="Q563" s="247">
        <f t="shared" si="65"/>
        <v>0</v>
      </c>
      <c r="R563" s="259" t="str">
        <f>+_xlfn.XLOOKUP(A563,PPTO_GENERADOR!$Q:$Q,PPTO_GENERADOR!A:A,"-",0)</f>
        <v>-</v>
      </c>
    </row>
    <row r="564" spans="1:18" ht="15" customHeight="1" x14ac:dyDescent="0.35">
      <c r="A564" s="38" t="s">
        <v>2503</v>
      </c>
      <c r="B564" s="38" t="s">
        <v>2774</v>
      </c>
      <c r="C564" s="38" t="s">
        <v>2775</v>
      </c>
      <c r="D564" s="38" t="s">
        <v>851</v>
      </c>
      <c r="E564" s="44" t="str">
        <f>IFERROR(VLOOKUP(D564,MATERIALES!A:B,2,FALSE()),"?")</f>
        <v>Cinta de Papel 36 mm x 40m</v>
      </c>
      <c r="F564" s="44" t="str">
        <f>IFERROR(VLOOKUP(D564,MATERIALES!A:C,3,FALSE()),"?")</f>
        <v>u</v>
      </c>
      <c r="G564" s="45">
        <v>0.05</v>
      </c>
      <c r="H564" s="46">
        <v>0.1</v>
      </c>
      <c r="I564" s="47">
        <f>IFERROR(VLOOKUP(D564,MATERIALES!A:D,4,FALSE()),0)</f>
        <v>3293.01</v>
      </c>
      <c r="J564" s="42">
        <f t="shared" si="69"/>
        <v>181.11555000000004</v>
      </c>
      <c r="K564" s="15" t="str">
        <f t="shared" si="62"/>
        <v>PIN-052|MAT</v>
      </c>
      <c r="L564" s="15">
        <f>COUNTIFS($K$2:K564,K564)</f>
        <v>3</v>
      </c>
      <c r="M564" s="15" t="str">
        <f t="shared" si="63"/>
        <v>PIN-052|MAT|3</v>
      </c>
      <c r="N564" s="47">
        <f>IFERROR(VLOOKUP(A564,PARTIDAS!A:F,6,FALSE()),0)</f>
        <v>17.5</v>
      </c>
      <c r="O564" s="247">
        <f t="shared" si="64"/>
        <v>0.05</v>
      </c>
      <c r="P564" s="247" t="str">
        <f>+_xlfn.XLOOKUP(A564,PPTO_GENERADOR!Q:Q,PPTO_GENERADOR!E:E,"-",0)</f>
        <v>-</v>
      </c>
      <c r="Q564" s="247">
        <f t="shared" si="65"/>
        <v>0</v>
      </c>
      <c r="R564" s="259" t="str">
        <f>+_xlfn.XLOOKUP(A564,PPTO_GENERADOR!$Q:$Q,PPTO_GENERADOR!A:A,"-",0)</f>
        <v>-</v>
      </c>
    </row>
    <row r="565" spans="1:18" ht="15" customHeight="1" x14ac:dyDescent="0.35">
      <c r="A565" s="38" t="s">
        <v>2503</v>
      </c>
      <c r="B565" s="38" t="s">
        <v>2774</v>
      </c>
      <c r="C565" s="38" t="s">
        <v>2775</v>
      </c>
      <c r="D565" s="38" t="s">
        <v>855</v>
      </c>
      <c r="E565" s="44" t="str">
        <f>IFERROR(VLOOKUP(D565,MATERIALES!A:B,2,FALSE()),"?")</f>
        <v>Trapo</v>
      </c>
      <c r="F565" s="44" t="str">
        <f>IFERROR(VLOOKUP(D565,MATERIALES!A:C,3,FALSE()),"?")</f>
        <v>u</v>
      </c>
      <c r="G565" s="45">
        <v>0.03</v>
      </c>
      <c r="H565" s="46">
        <v>0.05</v>
      </c>
      <c r="I565" s="47">
        <f>IFERROR(VLOOKUP(D565,MATERIALES!A:D,4,FALSE()),0)</f>
        <v>735.06</v>
      </c>
      <c r="J565" s="42">
        <f t="shared" si="69"/>
        <v>23.154389999999996</v>
      </c>
      <c r="K565" s="15" t="str">
        <f t="shared" si="62"/>
        <v>PIN-052|MAT</v>
      </c>
      <c r="L565" s="15">
        <f>COUNTIFS($K$2:K565,K565)</f>
        <v>4</v>
      </c>
      <c r="M565" s="15" t="str">
        <f t="shared" si="63"/>
        <v>PIN-052|MAT|4</v>
      </c>
      <c r="N565" s="47">
        <f>IFERROR(VLOOKUP(A565,PARTIDAS!A:F,6,FALSE()),0)</f>
        <v>17.5</v>
      </c>
      <c r="O565" s="247">
        <f t="shared" si="64"/>
        <v>0.03</v>
      </c>
      <c r="P565" s="247" t="str">
        <f>+_xlfn.XLOOKUP(A565,PPTO_GENERADOR!Q:Q,PPTO_GENERADOR!E:E,"-",0)</f>
        <v>-</v>
      </c>
      <c r="Q565" s="247">
        <f t="shared" si="65"/>
        <v>0</v>
      </c>
      <c r="R565" s="259" t="str">
        <f>+_xlfn.XLOOKUP(A565,PPTO_GENERADOR!$Q:$Q,PPTO_GENERADOR!A:A,"-",0)</f>
        <v>-</v>
      </c>
    </row>
    <row r="566" spans="1:18" ht="15" customHeight="1" x14ac:dyDescent="0.35">
      <c r="A566" s="38" t="s">
        <v>2503</v>
      </c>
      <c r="B566" s="38" t="s">
        <v>2774</v>
      </c>
      <c r="C566" s="38" t="s">
        <v>2775</v>
      </c>
      <c r="D566" s="38" t="s">
        <v>861</v>
      </c>
      <c r="E566" s="44" t="str">
        <f>IFERROR(VLOOKUP(D566,MATERIALES!A:B,2,FALSE()),"?")</f>
        <v>Rodillo de lana pelo corto antigota N°22 - El Galgo</v>
      </c>
      <c r="F566" s="44" t="str">
        <f>IFERROR(VLOOKUP(D566,MATERIALES!A:C,3,FALSE()),"?")</f>
        <v>u</v>
      </c>
      <c r="G566" s="45">
        <v>5.0000000000000001E-3</v>
      </c>
      <c r="H566" s="46">
        <v>0.05</v>
      </c>
      <c r="I566" s="47">
        <f>IFERROR(VLOOKUP(D566,MATERIALES!A:D,4,FALSE()),0)</f>
        <v>6678.36</v>
      </c>
      <c r="J566" s="42">
        <f t="shared" si="69"/>
        <v>35.061389999999996</v>
      </c>
      <c r="K566" s="15" t="str">
        <f t="shared" si="62"/>
        <v>PIN-052|MAT</v>
      </c>
      <c r="L566" s="15">
        <f>COUNTIFS($K$2:K566,K566)</f>
        <v>5</v>
      </c>
      <c r="M566" s="15" t="str">
        <f t="shared" si="63"/>
        <v>PIN-052|MAT|5</v>
      </c>
      <c r="N566" s="47">
        <f>IFERROR(VLOOKUP(A566,PARTIDAS!A:F,6,FALSE()),0)</f>
        <v>17.5</v>
      </c>
      <c r="O566" s="247">
        <f t="shared" si="64"/>
        <v>5.0000000000000001E-3</v>
      </c>
      <c r="P566" s="247" t="str">
        <f>+_xlfn.XLOOKUP(A566,PPTO_GENERADOR!Q:Q,PPTO_GENERADOR!E:E,"-",0)</f>
        <v>-</v>
      </c>
      <c r="Q566" s="247">
        <f t="shared" si="65"/>
        <v>0</v>
      </c>
      <c r="R566" s="259" t="str">
        <f>+_xlfn.XLOOKUP(A566,PPTO_GENERADOR!$Q:$Q,PPTO_GENERADOR!A:A,"-",0)</f>
        <v>-</v>
      </c>
    </row>
    <row r="567" spans="1:18" ht="15" customHeight="1" x14ac:dyDescent="0.35">
      <c r="A567" s="38" t="s">
        <v>2503</v>
      </c>
      <c r="B567" s="38" t="s">
        <v>2774</v>
      </c>
      <c r="C567" s="38" t="s">
        <v>2775</v>
      </c>
      <c r="D567" s="38" t="s">
        <v>865</v>
      </c>
      <c r="E567" s="44" t="str">
        <f>IFERROR(VLOOKUP(D567,MATERIALES!A:B,2,FALSE()),"?")</f>
        <v>Pincel N° 20 - El Galgo</v>
      </c>
      <c r="F567" s="44" t="str">
        <f>IFERROR(VLOOKUP(D567,MATERIALES!A:C,3,FALSE()),"?")</f>
        <v>u</v>
      </c>
      <c r="G567" s="45">
        <v>5.0000000000000001E-3</v>
      </c>
      <c r="H567" s="46">
        <v>0.05</v>
      </c>
      <c r="I567" s="47">
        <f>IFERROR(VLOOKUP(D567,MATERIALES!A:D,4,FALSE()),0)</f>
        <v>5282.24</v>
      </c>
      <c r="J567" s="42">
        <f t="shared" si="69"/>
        <v>27.731760000000001</v>
      </c>
      <c r="K567" s="15" t="str">
        <f t="shared" si="62"/>
        <v>PIN-052|MAT</v>
      </c>
      <c r="L567" s="15">
        <f>COUNTIFS($K$2:K567,K567)</f>
        <v>6</v>
      </c>
      <c r="M567" s="15" t="str">
        <f t="shared" si="63"/>
        <v>PIN-052|MAT|6</v>
      </c>
      <c r="N567" s="47">
        <f>IFERROR(VLOOKUP(A567,PARTIDAS!A:F,6,FALSE()),0)</f>
        <v>17.5</v>
      </c>
      <c r="O567" s="247">
        <f t="shared" si="64"/>
        <v>5.0000000000000001E-3</v>
      </c>
      <c r="P567" s="247" t="str">
        <f>+_xlfn.XLOOKUP(A567,PPTO_GENERADOR!Q:Q,PPTO_GENERADOR!E:E,"-",0)</f>
        <v>-</v>
      </c>
      <c r="Q567" s="247">
        <f t="shared" si="65"/>
        <v>0</v>
      </c>
      <c r="R567" s="259" t="str">
        <f>+_xlfn.XLOOKUP(A567,PPTO_GENERADOR!$Q:$Q,PPTO_GENERADOR!A:A,"-",0)</f>
        <v>-</v>
      </c>
    </row>
    <row r="568" spans="1:18" ht="15" customHeight="1" x14ac:dyDescent="0.35">
      <c r="A568" s="38" t="s">
        <v>2503</v>
      </c>
      <c r="B568" s="38" t="s">
        <v>2774</v>
      </c>
      <c r="C568" s="38" t="s">
        <v>2775</v>
      </c>
      <c r="D568" s="38" t="s">
        <v>868</v>
      </c>
      <c r="E568" s="44" t="str">
        <f>IFERROR(VLOOKUP(D568,MATERIALES!A:B,2,FALSE()),"?")</f>
        <v>Rollo de cartón corrugado 0,90 x 25 mts</v>
      </c>
      <c r="F568" s="44" t="str">
        <f>IFERROR(VLOOKUP(D568,MATERIALES!A:C,3,FALSE()),"?")</f>
        <v>u</v>
      </c>
      <c r="G568" s="45">
        <v>0.01</v>
      </c>
      <c r="H568" s="46">
        <v>0.05</v>
      </c>
      <c r="I568" s="47">
        <f>IFERROR(VLOOKUP(D568,MATERIALES!A:D,4,FALSE()),0)</f>
        <v>7427.6</v>
      </c>
      <c r="J568" s="42">
        <f t="shared" si="69"/>
        <v>77.989800000000017</v>
      </c>
      <c r="K568" s="15" t="str">
        <f t="shared" si="62"/>
        <v>PIN-052|MAT</v>
      </c>
      <c r="L568" s="15">
        <f>COUNTIFS($K$2:K568,K568)</f>
        <v>7</v>
      </c>
      <c r="M568" s="15" t="str">
        <f t="shared" si="63"/>
        <v>PIN-052|MAT|7</v>
      </c>
      <c r="N568" s="47">
        <f>IFERROR(VLOOKUP(A568,PARTIDAS!A:F,6,FALSE()),0)</f>
        <v>17.5</v>
      </c>
      <c r="O568" s="247">
        <f t="shared" si="64"/>
        <v>0.01</v>
      </c>
      <c r="P568" s="247" t="str">
        <f>+_xlfn.XLOOKUP(A568,PPTO_GENERADOR!Q:Q,PPTO_GENERADOR!E:E,"-",0)</f>
        <v>-</v>
      </c>
      <c r="Q568" s="247">
        <f t="shared" si="65"/>
        <v>0</v>
      </c>
      <c r="R568" s="259" t="str">
        <f>+_xlfn.XLOOKUP(A568,PPTO_GENERADOR!$Q:$Q,PPTO_GENERADOR!A:A,"-",0)</f>
        <v>-</v>
      </c>
    </row>
    <row r="569" spans="1:18" ht="15" customHeight="1" x14ac:dyDescent="0.35">
      <c r="A569" s="38" t="s">
        <v>2503</v>
      </c>
      <c r="B569" s="38" t="s">
        <v>2774</v>
      </c>
      <c r="C569" s="38" t="s">
        <v>2775</v>
      </c>
      <c r="D569" s="38" t="s">
        <v>795</v>
      </c>
      <c r="E569" s="44" t="str">
        <f>IFERROR(VLOOKUP(D569,MATERIALES!A:B,2,FALSE()),"?")</f>
        <v>Latex Loxon Interior Sherwin Williams Mate Bco x 20lts</v>
      </c>
      <c r="F569" s="44" t="str">
        <f>IFERROR(VLOOKUP(D569,MATERIALES!A:C,3,FALSE()),"?")</f>
        <v>B</v>
      </c>
      <c r="G569" s="45">
        <v>1.2500000000000001E-2</v>
      </c>
      <c r="H569" s="46">
        <v>0.1</v>
      </c>
      <c r="I569" s="47">
        <f>IFERROR(VLOOKUP(D569,MATERIALES!A:D,4,FALSE()),0)</f>
        <v>120622.23</v>
      </c>
      <c r="J569" s="42">
        <f t="shared" si="69"/>
        <v>1658.5556625000002</v>
      </c>
      <c r="K569" s="15" t="str">
        <f t="shared" si="62"/>
        <v>PIN-052|MAT</v>
      </c>
      <c r="L569" s="15">
        <f>COUNTIFS($K$2:K569,K569)</f>
        <v>8</v>
      </c>
      <c r="M569" s="15" t="str">
        <f t="shared" si="63"/>
        <v>PIN-052|MAT|8</v>
      </c>
      <c r="N569" s="47">
        <f>IFERROR(VLOOKUP(A569,PARTIDAS!A:F,6,FALSE()),0)</f>
        <v>17.5</v>
      </c>
      <c r="O569" s="247">
        <f t="shared" si="64"/>
        <v>1.2500000000000001E-2</v>
      </c>
      <c r="P569" s="247" t="str">
        <f>+_xlfn.XLOOKUP(A569,PPTO_GENERADOR!Q:Q,PPTO_GENERADOR!E:E,"-",0)</f>
        <v>-</v>
      </c>
      <c r="Q569" s="247">
        <f t="shared" si="65"/>
        <v>0</v>
      </c>
      <c r="R569" s="259" t="str">
        <f>+_xlfn.XLOOKUP(A569,PPTO_GENERADOR!$Q:$Q,PPTO_GENERADOR!A:A,"-",0)</f>
        <v>-</v>
      </c>
    </row>
    <row r="570" spans="1:18" ht="15" customHeight="1" x14ac:dyDescent="0.35">
      <c r="A570" s="38" t="s">
        <v>2503</v>
      </c>
      <c r="B570" s="38" t="s">
        <v>2774</v>
      </c>
      <c r="C570" s="38" t="s">
        <v>2775</v>
      </c>
      <c r="D570" s="38" t="s">
        <v>815</v>
      </c>
      <c r="E570" s="44" t="str">
        <f>IFERROR(VLOOKUP(D570,MATERIALES!A:B,2,FALSE()),"?")</f>
        <v>Enduido Interior x 20lts</v>
      </c>
      <c r="F570" s="44" t="str">
        <f>IFERROR(VLOOKUP(D570,MATERIALES!A:C,3,FALSE()),"?")</f>
        <v>B</v>
      </c>
      <c r="G570" s="45">
        <v>0.03</v>
      </c>
      <c r="H570" s="46">
        <v>0.1</v>
      </c>
      <c r="I570" s="47">
        <f>IFERROR(VLOOKUP(D570,MATERIALES!A:D,4,FALSE()),0)</f>
        <v>18735.77</v>
      </c>
      <c r="J570" s="42">
        <f t="shared" si="69"/>
        <v>618.28040999999996</v>
      </c>
      <c r="K570" s="15" t="str">
        <f t="shared" si="62"/>
        <v>PIN-052|MAT</v>
      </c>
      <c r="L570" s="15">
        <f>COUNTIFS($K$2:K570,K570)</f>
        <v>9</v>
      </c>
      <c r="M570" s="15" t="str">
        <f t="shared" si="63"/>
        <v>PIN-052|MAT|9</v>
      </c>
      <c r="N570" s="47">
        <f>IFERROR(VLOOKUP(A570,PARTIDAS!A:F,6,FALSE()),0)</f>
        <v>17.5</v>
      </c>
      <c r="O570" s="247">
        <f t="shared" si="64"/>
        <v>0.03</v>
      </c>
      <c r="P570" s="247" t="str">
        <f>+_xlfn.XLOOKUP(A570,PPTO_GENERADOR!Q:Q,PPTO_GENERADOR!E:E,"-",0)</f>
        <v>-</v>
      </c>
      <c r="Q570" s="247">
        <f t="shared" si="65"/>
        <v>0</v>
      </c>
      <c r="R570" s="259" t="str">
        <f>+_xlfn.XLOOKUP(A570,PPTO_GENERADOR!$Q:$Q,PPTO_GENERADOR!A:A,"-",0)</f>
        <v>-</v>
      </c>
    </row>
    <row r="571" spans="1:18" ht="15" customHeight="1" x14ac:dyDescent="0.35">
      <c r="A571" s="38" t="s">
        <v>2503</v>
      </c>
      <c r="B571" s="38" t="s">
        <v>2774</v>
      </c>
      <c r="C571" s="38" t="s">
        <v>2775</v>
      </c>
      <c r="D571" s="38" t="s">
        <v>666</v>
      </c>
      <c r="E571" s="44" t="str">
        <f>IFERROR(VLOOKUP(D571,MATERIALES!A:B,2,FALSE()),"?")</f>
        <v>Yeso Tuyango x 30kg</v>
      </c>
      <c r="F571" s="44" t="str">
        <f>IFERROR(VLOOKUP(D571,MATERIALES!A:C,3,FALSE()),"?")</f>
        <v>b</v>
      </c>
      <c r="G571" s="45">
        <v>2.5000000000000001E-3</v>
      </c>
      <c r="H571" s="46">
        <v>0.05</v>
      </c>
      <c r="I571" s="47">
        <f>IFERROR(VLOOKUP(D571,MATERIALES!A:D,4,FALSE()),0)</f>
        <v>9639</v>
      </c>
      <c r="J571" s="42">
        <f t="shared" si="69"/>
        <v>25.302375000000001</v>
      </c>
      <c r="K571" s="15" t="str">
        <f t="shared" si="62"/>
        <v>PIN-052|MAT</v>
      </c>
      <c r="L571" s="15">
        <f>COUNTIFS($K$2:K571,K571)</f>
        <v>10</v>
      </c>
      <c r="M571" s="15" t="str">
        <f t="shared" si="63"/>
        <v>PIN-052|MAT|10</v>
      </c>
      <c r="N571" s="47">
        <f>IFERROR(VLOOKUP(A571,PARTIDAS!A:F,6,FALSE()),0)</f>
        <v>17.5</v>
      </c>
      <c r="O571" s="247">
        <f t="shared" si="64"/>
        <v>2.5000000000000001E-3</v>
      </c>
      <c r="P571" s="247" t="str">
        <f>+_xlfn.XLOOKUP(A571,PPTO_GENERADOR!Q:Q,PPTO_GENERADOR!E:E,"-",0)</f>
        <v>-</v>
      </c>
      <c r="Q571" s="247">
        <f t="shared" si="65"/>
        <v>0</v>
      </c>
      <c r="R571" s="259" t="str">
        <f>+_xlfn.XLOOKUP(A571,PPTO_GENERADOR!$Q:$Q,PPTO_GENERADOR!A:A,"-",0)</f>
        <v>-</v>
      </c>
    </row>
    <row r="572" spans="1:18" ht="15" customHeight="1" x14ac:dyDescent="0.35">
      <c r="A572" s="38" t="s">
        <v>2503</v>
      </c>
      <c r="B572" s="38" t="s">
        <v>2776</v>
      </c>
      <c r="C572" s="38" t="s">
        <v>2777</v>
      </c>
      <c r="D572" s="237" t="s">
        <v>1574</v>
      </c>
      <c r="E572" s="44" t="str">
        <f>IFERROR(VLOOKUP(D572,MANO_DE_OBRA!A:B,2,FALSE()),"?")</f>
        <v>MEDIO OFICIAL</v>
      </c>
      <c r="F572" s="44" t="s">
        <v>2778</v>
      </c>
      <c r="G572" s="45">
        <v>1</v>
      </c>
      <c r="H572" s="46">
        <v>0</v>
      </c>
      <c r="I572" s="47">
        <f>IFERROR(VLOOKUP(D572,MANO_DE_OBRA!A:C,3,FALSE()),0)</f>
        <v>65493.071636572</v>
      </c>
      <c r="J572" s="42">
        <f>G572*I572</f>
        <v>65493.071636572</v>
      </c>
      <c r="K572" s="15" t="str">
        <f t="shared" si="62"/>
        <v>PIN-052|MO</v>
      </c>
      <c r="L572" s="15">
        <f>COUNTIFS($K$2:K572,K572)</f>
        <v>1</v>
      </c>
      <c r="M572" s="15" t="str">
        <f t="shared" si="63"/>
        <v>PIN-052|MO|1</v>
      </c>
      <c r="N572" s="47">
        <f>IFERROR(VLOOKUP(A572,PARTIDAS!A:F,6,FALSE()),0)</f>
        <v>17.5</v>
      </c>
      <c r="O572" s="247">
        <f t="shared" si="64"/>
        <v>5.7142857142857141E-2</v>
      </c>
      <c r="P572" s="247" t="str">
        <f>+_xlfn.XLOOKUP(A572,PPTO_GENERADOR!Q:Q,PPTO_GENERADOR!E:E,"-",0)</f>
        <v>-</v>
      </c>
      <c r="Q572" s="247">
        <f t="shared" si="65"/>
        <v>0</v>
      </c>
      <c r="R572" s="259" t="str">
        <f>+_xlfn.XLOOKUP(A572,PPTO_GENERADOR!$Q:$Q,PPTO_GENERADOR!A:A,"-",0)</f>
        <v>-</v>
      </c>
    </row>
    <row r="573" spans="1:18" ht="15" customHeight="1" x14ac:dyDescent="0.35">
      <c r="A573" s="38" t="s">
        <v>2503</v>
      </c>
      <c r="B573" s="38" t="s">
        <v>2776</v>
      </c>
      <c r="C573" s="38" t="s">
        <v>2777</v>
      </c>
      <c r="D573" s="237" t="s">
        <v>1568</v>
      </c>
      <c r="E573" s="44" t="str">
        <f>IFERROR(VLOOKUP(D573,MANO_DE_OBRA!A:B,2,FALSE()),"?")</f>
        <v>ESPECIALIZADO</v>
      </c>
      <c r="F573" s="44" t="s">
        <v>2778</v>
      </c>
      <c r="G573" s="45">
        <v>1</v>
      </c>
      <c r="H573" s="46">
        <v>0</v>
      </c>
      <c r="I573" s="47">
        <f>IFERROR(VLOOKUP(D573,MANO_DE_OBRA!A:C,3,FALSE()),0)</f>
        <v>85927.097156571996</v>
      </c>
      <c r="J573" s="42">
        <f>G573*I573</f>
        <v>85927.097156571996</v>
      </c>
      <c r="K573" s="15" t="str">
        <f t="shared" si="62"/>
        <v>PIN-052|MO</v>
      </c>
      <c r="L573" s="15">
        <f>COUNTIFS($K$2:K573,K573)</f>
        <v>2</v>
      </c>
      <c r="M573" s="15" t="str">
        <f t="shared" si="63"/>
        <v>PIN-052|MO|2</v>
      </c>
      <c r="N573" s="47">
        <f>IFERROR(VLOOKUP(A573,PARTIDAS!A:F,6,FALSE()),0)</f>
        <v>17.5</v>
      </c>
      <c r="O573" s="247">
        <f t="shared" si="64"/>
        <v>5.7142857142857141E-2</v>
      </c>
      <c r="P573" s="247" t="str">
        <f>+_xlfn.XLOOKUP(A573,PPTO_GENERADOR!Q:Q,PPTO_GENERADOR!E:E,"-",0)</f>
        <v>-</v>
      </c>
      <c r="Q573" s="247">
        <f t="shared" si="65"/>
        <v>0</v>
      </c>
      <c r="R573" s="259" t="str">
        <f>+_xlfn.XLOOKUP(A573,PPTO_GENERADOR!$Q:$Q,PPTO_GENERADOR!A:A,"-",0)</f>
        <v>-</v>
      </c>
    </row>
    <row r="574" spans="1:18" ht="15" customHeight="1" x14ac:dyDescent="0.35">
      <c r="A574" s="38" t="s">
        <v>2506</v>
      </c>
      <c r="B574" s="38" t="s">
        <v>2773</v>
      </c>
      <c r="C574" s="38"/>
      <c r="D574" s="38" t="s">
        <v>1604</v>
      </c>
      <c r="E574" s="44" t="str">
        <f>IFERROR(VLOOKUP(D574,EQUIPOS!A:B,2,FALSE()),"?")</f>
        <v>EQUIPO PARA PINTAR</v>
      </c>
      <c r="F574" s="44"/>
      <c r="G574" s="45">
        <v>1</v>
      </c>
      <c r="H574" s="46">
        <v>0</v>
      </c>
      <c r="I574" s="47">
        <f>IFERROR(VLOOKUP(D574,EQUIPOS!A:F,6,FALSE()),0)</f>
        <v>1723.6259595547085</v>
      </c>
      <c r="J574" s="42">
        <f>G574*I574</f>
        <v>1723.6259595547085</v>
      </c>
      <c r="K574" s="15" t="str">
        <f t="shared" si="62"/>
        <v>PIN-053|EQ</v>
      </c>
      <c r="L574" s="15">
        <f>COUNTIFS($K$2:K574,K574)</f>
        <v>1</v>
      </c>
      <c r="M574" s="15" t="str">
        <f t="shared" si="63"/>
        <v>PIN-053|EQ|1</v>
      </c>
      <c r="N574" s="47">
        <f>IFERROR(VLOOKUP(A574,PARTIDAS!A:F,6,FALSE()),0)</f>
        <v>15.5</v>
      </c>
      <c r="O574" s="247">
        <f t="shared" si="64"/>
        <v>1</v>
      </c>
      <c r="P574" s="247" t="str">
        <f>+_xlfn.XLOOKUP(A574,PPTO_GENERADOR!Q:Q,PPTO_GENERADOR!E:E,"-",0)</f>
        <v>-</v>
      </c>
      <c r="Q574" s="247">
        <f t="shared" si="65"/>
        <v>0</v>
      </c>
      <c r="R574" s="259" t="str">
        <f>+_xlfn.XLOOKUP(A574,PPTO_GENERADOR!$Q:$Q,PPTO_GENERADOR!A:A,"-",0)</f>
        <v>-</v>
      </c>
    </row>
    <row r="575" spans="1:18" ht="15" customHeight="1" x14ac:dyDescent="0.35">
      <c r="A575" s="38" t="s">
        <v>2506</v>
      </c>
      <c r="B575" s="38" t="s">
        <v>2773</v>
      </c>
      <c r="C575" s="38"/>
      <c r="D575" s="38" t="s">
        <v>1749</v>
      </c>
      <c r="E575" s="44" t="str">
        <f>IFERROR(VLOOKUP(D575,EQUIPOS!A:B,2,FALSE()),"?")</f>
        <v>ESCALERA MADERA PINTOR 8 ESCALONES</v>
      </c>
      <c r="F575" s="44"/>
      <c r="G575" s="45">
        <v>1</v>
      </c>
      <c r="H575" s="46">
        <v>0</v>
      </c>
      <c r="I575" s="47">
        <f>IFERROR(VLOOKUP(D575,EQUIPOS!A:F,6,FALSE()),0)</f>
        <v>200.25307946474501</v>
      </c>
      <c r="J575" s="42">
        <f>G575*I575</f>
        <v>200.25307946474501</v>
      </c>
      <c r="K575" s="15" t="str">
        <f t="shared" si="62"/>
        <v>PIN-053|EQ</v>
      </c>
      <c r="L575" s="15">
        <f>COUNTIFS($K$2:K575,K575)</f>
        <v>2</v>
      </c>
      <c r="M575" s="15" t="str">
        <f t="shared" si="63"/>
        <v>PIN-053|EQ|2</v>
      </c>
      <c r="N575" s="47">
        <f>IFERROR(VLOOKUP(A575,PARTIDAS!A:F,6,FALSE()),0)</f>
        <v>15.5</v>
      </c>
      <c r="O575" s="247">
        <f t="shared" si="64"/>
        <v>1</v>
      </c>
      <c r="P575" s="247" t="str">
        <f>+_xlfn.XLOOKUP(A575,PPTO_GENERADOR!Q:Q,PPTO_GENERADOR!E:E,"-",0)</f>
        <v>-</v>
      </c>
      <c r="Q575" s="247">
        <f t="shared" si="65"/>
        <v>0</v>
      </c>
      <c r="R575" s="259" t="str">
        <f>+_xlfn.XLOOKUP(A575,PPTO_GENERADOR!$Q:$Q,PPTO_GENERADOR!A:A,"-",0)</f>
        <v>-</v>
      </c>
    </row>
    <row r="576" spans="1:18" ht="15" customHeight="1" x14ac:dyDescent="0.35">
      <c r="A576" s="38" t="s">
        <v>2506</v>
      </c>
      <c r="B576" s="38" t="s">
        <v>2774</v>
      </c>
      <c r="C576" s="38" t="s">
        <v>2775</v>
      </c>
      <c r="D576" s="38" t="s">
        <v>842</v>
      </c>
      <c r="E576" s="44" t="str">
        <f>IFERROR(VLOOKUP(D576,MATERIALES!A:B,2,FALSE()),"?")</f>
        <v>Fijador al agua x 20 lts</v>
      </c>
      <c r="F576" s="44" t="str">
        <f>IFERROR(VLOOKUP(D576,MATERIALES!A:C,3,FALSE()),"?")</f>
        <v>b</v>
      </c>
      <c r="G576" s="45">
        <v>4.0000000000000001E-3</v>
      </c>
      <c r="H576" s="46">
        <v>0.05</v>
      </c>
      <c r="I576" s="47">
        <f>IFERROR(VLOOKUP(D576,MATERIALES!A:D,4,FALSE()),0)</f>
        <v>30467.49</v>
      </c>
      <c r="J576" s="42">
        <f t="shared" ref="J576:J583" si="70">G576*I576*(1+H576)</f>
        <v>127.96345800000002</v>
      </c>
      <c r="K576" s="15" t="str">
        <f t="shared" si="62"/>
        <v>PIN-053|MAT</v>
      </c>
      <c r="L576" s="15">
        <f>COUNTIFS($K$2:K576,K576)</f>
        <v>1</v>
      </c>
      <c r="M576" s="15" t="str">
        <f t="shared" si="63"/>
        <v>PIN-053|MAT|1</v>
      </c>
      <c r="N576" s="47">
        <f>IFERROR(VLOOKUP(A576,PARTIDAS!A:F,6,FALSE()),0)</f>
        <v>15.5</v>
      </c>
      <c r="O576" s="247">
        <f t="shared" si="64"/>
        <v>4.0000000000000001E-3</v>
      </c>
      <c r="P576" s="247" t="str">
        <f>+_xlfn.XLOOKUP(A576,PPTO_GENERADOR!Q:Q,PPTO_GENERADOR!E:E,"-",0)</f>
        <v>-</v>
      </c>
      <c r="Q576" s="247">
        <f t="shared" si="65"/>
        <v>0</v>
      </c>
      <c r="R576" s="259" t="str">
        <f>+_xlfn.XLOOKUP(A576,PPTO_GENERADOR!$Q:$Q,PPTO_GENERADOR!A:A,"-",0)</f>
        <v>-</v>
      </c>
    </row>
    <row r="577" spans="1:18" ht="15" customHeight="1" x14ac:dyDescent="0.35">
      <c r="A577" s="38" t="s">
        <v>2506</v>
      </c>
      <c r="B577" s="38" t="s">
        <v>2774</v>
      </c>
      <c r="C577" s="38" t="s">
        <v>2775</v>
      </c>
      <c r="D577" s="38" t="s">
        <v>848</v>
      </c>
      <c r="E577" s="44" t="str">
        <f>IFERROR(VLOOKUP(D577,MATERIALES!A:B,2,FALSE()),"?")</f>
        <v>Lija 180 al agua x 10u</v>
      </c>
      <c r="F577" s="44" t="str">
        <f>IFERROR(VLOOKUP(D577,MATERIALES!A:C,3,FALSE()),"?")</f>
        <v>u</v>
      </c>
      <c r="G577" s="45">
        <v>0.01</v>
      </c>
      <c r="H577" s="46">
        <v>0.05</v>
      </c>
      <c r="I577" s="47">
        <f>IFERROR(VLOOKUP(D577,MATERIALES!A:D,4,FALSE()),0)</f>
        <v>5661.4</v>
      </c>
      <c r="J577" s="42">
        <f t="shared" si="70"/>
        <v>59.444699999999997</v>
      </c>
      <c r="K577" s="15" t="str">
        <f t="shared" si="62"/>
        <v>PIN-053|MAT</v>
      </c>
      <c r="L577" s="15">
        <f>COUNTIFS($K$2:K577,K577)</f>
        <v>2</v>
      </c>
      <c r="M577" s="15" t="str">
        <f t="shared" si="63"/>
        <v>PIN-053|MAT|2</v>
      </c>
      <c r="N577" s="47">
        <f>IFERROR(VLOOKUP(A577,PARTIDAS!A:F,6,FALSE()),0)</f>
        <v>15.5</v>
      </c>
      <c r="O577" s="247">
        <f t="shared" si="64"/>
        <v>0.01</v>
      </c>
      <c r="P577" s="247" t="str">
        <f>+_xlfn.XLOOKUP(A577,PPTO_GENERADOR!Q:Q,PPTO_GENERADOR!E:E,"-",0)</f>
        <v>-</v>
      </c>
      <c r="Q577" s="247">
        <f t="shared" si="65"/>
        <v>0</v>
      </c>
      <c r="R577" s="259" t="str">
        <f>+_xlfn.XLOOKUP(A577,PPTO_GENERADOR!$Q:$Q,PPTO_GENERADOR!A:A,"-",0)</f>
        <v>-</v>
      </c>
    </row>
    <row r="578" spans="1:18" ht="15" customHeight="1" x14ac:dyDescent="0.35">
      <c r="A578" s="38" t="s">
        <v>2506</v>
      </c>
      <c r="B578" s="38" t="s">
        <v>2774</v>
      </c>
      <c r="C578" s="38" t="s">
        <v>2775</v>
      </c>
      <c r="D578" s="38" t="s">
        <v>851</v>
      </c>
      <c r="E578" s="44" t="str">
        <f>IFERROR(VLOOKUP(D578,MATERIALES!A:B,2,FALSE()),"?")</f>
        <v>Cinta de Papel 36 mm x 40m</v>
      </c>
      <c r="F578" s="44" t="str">
        <f>IFERROR(VLOOKUP(D578,MATERIALES!A:C,3,FALSE()),"?")</f>
        <v>u</v>
      </c>
      <c r="G578" s="45">
        <v>0.01</v>
      </c>
      <c r="H578" s="46">
        <v>0.1</v>
      </c>
      <c r="I578" s="47">
        <f>IFERROR(VLOOKUP(D578,MATERIALES!A:D,4,FALSE()),0)</f>
        <v>3293.01</v>
      </c>
      <c r="J578" s="42">
        <f t="shared" si="70"/>
        <v>36.223110000000005</v>
      </c>
      <c r="K578" s="15" t="str">
        <f t="shared" ref="K578:K641" si="71">A578&amp;"|"&amp;B578</f>
        <v>PIN-053|MAT</v>
      </c>
      <c r="L578" s="15">
        <f>COUNTIFS($K$2:K578,K578)</f>
        <v>3</v>
      </c>
      <c r="M578" s="15" t="str">
        <f t="shared" ref="M578:M641" si="72">K578&amp;"|"&amp;L578</f>
        <v>PIN-053|MAT|3</v>
      </c>
      <c r="N578" s="47">
        <f>IFERROR(VLOOKUP(A578,PARTIDAS!A:F,6,FALSE()),0)</f>
        <v>15.5</v>
      </c>
      <c r="O578" s="247">
        <f t="shared" si="64"/>
        <v>0.01</v>
      </c>
      <c r="P578" s="247" t="str">
        <f>+_xlfn.XLOOKUP(A578,PPTO_GENERADOR!Q:Q,PPTO_GENERADOR!E:E,"-",0)</f>
        <v>-</v>
      </c>
      <c r="Q578" s="247">
        <f t="shared" si="65"/>
        <v>0</v>
      </c>
      <c r="R578" s="259" t="str">
        <f>+_xlfn.XLOOKUP(A578,PPTO_GENERADOR!$Q:$Q,PPTO_GENERADOR!A:A,"-",0)</f>
        <v>-</v>
      </c>
    </row>
    <row r="579" spans="1:18" ht="15" customHeight="1" x14ac:dyDescent="0.35">
      <c r="A579" s="38" t="s">
        <v>2506</v>
      </c>
      <c r="B579" s="38" t="s">
        <v>2774</v>
      </c>
      <c r="C579" s="38" t="s">
        <v>2775</v>
      </c>
      <c r="D579" s="38" t="s">
        <v>855</v>
      </c>
      <c r="E579" s="44" t="str">
        <f>IFERROR(VLOOKUP(D579,MATERIALES!A:B,2,FALSE()),"?")</f>
        <v>Trapo</v>
      </c>
      <c r="F579" s="44" t="str">
        <f>IFERROR(VLOOKUP(D579,MATERIALES!A:C,3,FALSE()),"?")</f>
        <v>u</v>
      </c>
      <c r="G579" s="45">
        <v>0.01</v>
      </c>
      <c r="H579" s="46">
        <v>0.05</v>
      </c>
      <c r="I579" s="47">
        <f>IFERROR(VLOOKUP(D579,MATERIALES!A:D,4,FALSE()),0)</f>
        <v>735.06</v>
      </c>
      <c r="J579" s="42">
        <f t="shared" si="70"/>
        <v>7.7181300000000004</v>
      </c>
      <c r="K579" s="15" t="str">
        <f t="shared" si="71"/>
        <v>PIN-053|MAT</v>
      </c>
      <c r="L579" s="15">
        <f>COUNTIFS($K$2:K579,K579)</f>
        <v>4</v>
      </c>
      <c r="M579" s="15" t="str">
        <f t="shared" si="72"/>
        <v>PIN-053|MAT|4</v>
      </c>
      <c r="N579" s="47">
        <f>IFERROR(VLOOKUP(A579,PARTIDAS!A:F,6,FALSE()),0)</f>
        <v>15.5</v>
      </c>
      <c r="O579" s="247">
        <f t="shared" ref="O579:O642" si="73">+IF(C579="ALB",G579/N579,G579)</f>
        <v>0.01</v>
      </c>
      <c r="P579" s="247" t="str">
        <f>+_xlfn.XLOOKUP(A579,PPTO_GENERADOR!Q:Q,PPTO_GENERADOR!E:E,"-",0)</f>
        <v>-</v>
      </c>
      <c r="Q579" s="247">
        <f t="shared" ref="Q579:Q642" si="74">IFERROR(P579*O579,0)</f>
        <v>0</v>
      </c>
      <c r="R579" s="259" t="str">
        <f>+_xlfn.XLOOKUP(A579,PPTO_GENERADOR!$Q:$Q,PPTO_GENERADOR!A:A,"-",0)</f>
        <v>-</v>
      </c>
    </row>
    <row r="580" spans="1:18" ht="15" customHeight="1" x14ac:dyDescent="0.35">
      <c r="A580" s="38" t="s">
        <v>2506</v>
      </c>
      <c r="B580" s="38" t="s">
        <v>2774</v>
      </c>
      <c r="C580" s="38" t="s">
        <v>2775</v>
      </c>
      <c r="D580" s="38" t="s">
        <v>863</v>
      </c>
      <c r="E580" s="44" t="str">
        <f>IFERROR(VLOOKUP(D580,MATERIALES!A:B,2,FALSE()),"?")</f>
        <v>Rodillo de lana pelo largo N°22 - El Galgo</v>
      </c>
      <c r="F580" s="44" t="str">
        <f>IFERROR(VLOOKUP(D580,MATERIALES!A:C,3,FALSE()),"?")</f>
        <v>u</v>
      </c>
      <c r="G580" s="45">
        <v>5.0000000000000001E-3</v>
      </c>
      <c r="H580" s="46">
        <v>0.05</v>
      </c>
      <c r="I580" s="47">
        <f>IFERROR(VLOOKUP(D580,MATERIALES!A:D,4,FALSE()),0)</f>
        <v>6678.36</v>
      </c>
      <c r="J580" s="42">
        <f t="shared" si="70"/>
        <v>35.061389999999996</v>
      </c>
      <c r="K580" s="15" t="str">
        <f t="shared" si="71"/>
        <v>PIN-053|MAT</v>
      </c>
      <c r="L580" s="15">
        <f>COUNTIFS($K$2:K580,K580)</f>
        <v>5</v>
      </c>
      <c r="M580" s="15" t="str">
        <f t="shared" si="72"/>
        <v>PIN-053|MAT|5</v>
      </c>
      <c r="N580" s="47">
        <f>IFERROR(VLOOKUP(A580,PARTIDAS!A:F,6,FALSE()),0)</f>
        <v>15.5</v>
      </c>
      <c r="O580" s="247">
        <f t="shared" si="73"/>
        <v>5.0000000000000001E-3</v>
      </c>
      <c r="P580" s="247" t="str">
        <f>+_xlfn.XLOOKUP(A580,PPTO_GENERADOR!Q:Q,PPTO_GENERADOR!E:E,"-",0)</f>
        <v>-</v>
      </c>
      <c r="Q580" s="247">
        <f t="shared" si="74"/>
        <v>0</v>
      </c>
      <c r="R580" s="259" t="str">
        <f>+_xlfn.XLOOKUP(A580,PPTO_GENERADOR!$Q:$Q,PPTO_GENERADOR!A:A,"-",0)</f>
        <v>-</v>
      </c>
    </row>
    <row r="581" spans="1:18" ht="15" customHeight="1" x14ac:dyDescent="0.35">
      <c r="A581" s="38" t="s">
        <v>2506</v>
      </c>
      <c r="B581" s="38" t="s">
        <v>2774</v>
      </c>
      <c r="C581" s="38" t="s">
        <v>2775</v>
      </c>
      <c r="D581" s="38" t="s">
        <v>865</v>
      </c>
      <c r="E581" s="44" t="str">
        <f>IFERROR(VLOOKUP(D581,MATERIALES!A:B,2,FALSE()),"?")</f>
        <v>Pincel N° 20 - El Galgo</v>
      </c>
      <c r="F581" s="44" t="str">
        <f>IFERROR(VLOOKUP(D581,MATERIALES!A:C,3,FALSE()),"?")</f>
        <v>u</v>
      </c>
      <c r="G581" s="45">
        <v>5.0000000000000001E-3</v>
      </c>
      <c r="H581" s="46">
        <v>0.05</v>
      </c>
      <c r="I581" s="47">
        <f>IFERROR(VLOOKUP(D581,MATERIALES!A:D,4,FALSE()),0)</f>
        <v>5282.24</v>
      </c>
      <c r="J581" s="42">
        <f t="shared" si="70"/>
        <v>27.731760000000001</v>
      </c>
      <c r="K581" s="15" t="str">
        <f t="shared" si="71"/>
        <v>PIN-053|MAT</v>
      </c>
      <c r="L581" s="15">
        <f>COUNTIFS($K$2:K581,K581)</f>
        <v>6</v>
      </c>
      <c r="M581" s="15" t="str">
        <f t="shared" si="72"/>
        <v>PIN-053|MAT|6</v>
      </c>
      <c r="N581" s="47">
        <f>IFERROR(VLOOKUP(A581,PARTIDAS!A:F,6,FALSE()),0)</f>
        <v>15.5</v>
      </c>
      <c r="O581" s="247">
        <f t="shared" si="73"/>
        <v>5.0000000000000001E-3</v>
      </c>
      <c r="P581" s="247" t="str">
        <f>+_xlfn.XLOOKUP(A581,PPTO_GENERADOR!Q:Q,PPTO_GENERADOR!E:E,"-",0)</f>
        <v>-</v>
      </c>
      <c r="Q581" s="247">
        <f t="shared" si="74"/>
        <v>0</v>
      </c>
      <c r="R581" s="259" t="str">
        <f>+_xlfn.XLOOKUP(A581,PPTO_GENERADOR!$Q:$Q,PPTO_GENERADOR!A:A,"-",0)</f>
        <v>-</v>
      </c>
    </row>
    <row r="582" spans="1:18" ht="15" customHeight="1" x14ac:dyDescent="0.35">
      <c r="A582" s="38" t="s">
        <v>2506</v>
      </c>
      <c r="B582" s="38" t="s">
        <v>2774</v>
      </c>
      <c r="C582" s="38" t="s">
        <v>2775</v>
      </c>
      <c r="D582" s="38" t="s">
        <v>868</v>
      </c>
      <c r="E582" s="44" t="str">
        <f>IFERROR(VLOOKUP(D582,MATERIALES!A:B,2,FALSE()),"?")</f>
        <v>Rollo de cartón corrugado 0,90 x 25 mts</v>
      </c>
      <c r="F582" s="44" t="str">
        <f>IFERROR(VLOOKUP(D582,MATERIALES!A:C,3,FALSE()),"?")</f>
        <v>u</v>
      </c>
      <c r="G582" s="45">
        <v>0.01</v>
      </c>
      <c r="H582" s="46">
        <v>0.05</v>
      </c>
      <c r="I582" s="47">
        <f>IFERROR(VLOOKUP(D582,MATERIALES!A:D,4,FALSE()),0)</f>
        <v>7427.6</v>
      </c>
      <c r="J582" s="42">
        <f t="shared" si="70"/>
        <v>77.989800000000017</v>
      </c>
      <c r="K582" s="15" t="str">
        <f t="shared" si="71"/>
        <v>PIN-053|MAT</v>
      </c>
      <c r="L582" s="15">
        <f>COUNTIFS($K$2:K582,K582)</f>
        <v>7</v>
      </c>
      <c r="M582" s="15" t="str">
        <f t="shared" si="72"/>
        <v>PIN-053|MAT|7</v>
      </c>
      <c r="N582" s="47">
        <f>IFERROR(VLOOKUP(A582,PARTIDAS!A:F,6,FALSE()),0)</f>
        <v>15.5</v>
      </c>
      <c r="O582" s="247">
        <f t="shared" si="73"/>
        <v>0.01</v>
      </c>
      <c r="P582" s="247" t="str">
        <f>+_xlfn.XLOOKUP(A582,PPTO_GENERADOR!Q:Q,PPTO_GENERADOR!E:E,"-",0)</f>
        <v>-</v>
      </c>
      <c r="Q582" s="247">
        <f t="shared" si="74"/>
        <v>0</v>
      </c>
      <c r="R582" s="259" t="str">
        <f>+_xlfn.XLOOKUP(A582,PPTO_GENERADOR!$Q:$Q,PPTO_GENERADOR!A:A,"-",0)</f>
        <v>-</v>
      </c>
    </row>
    <row r="583" spans="1:18" ht="15" customHeight="1" x14ac:dyDescent="0.35">
      <c r="A583" s="38" t="s">
        <v>2506</v>
      </c>
      <c r="B583" s="38" t="s">
        <v>2774</v>
      </c>
      <c r="C583" s="38" t="s">
        <v>2775</v>
      </c>
      <c r="D583" s="38" t="s">
        <v>795</v>
      </c>
      <c r="E583" s="44" t="str">
        <f>IFERROR(VLOOKUP(D583,MATERIALES!A:B,2,FALSE()),"?")</f>
        <v>Latex Loxon Interior Sherwin Williams Mate Bco x 20lts</v>
      </c>
      <c r="F583" s="44" t="str">
        <f>IFERROR(VLOOKUP(D583,MATERIALES!A:C,3,FALSE()),"?")</f>
        <v>B</v>
      </c>
      <c r="G583" s="45">
        <v>1.2500000000000001E-2</v>
      </c>
      <c r="H583" s="46">
        <v>0.1</v>
      </c>
      <c r="I583" s="47">
        <f>IFERROR(VLOOKUP(D583,MATERIALES!A:D,4,FALSE()),0)</f>
        <v>120622.23</v>
      </c>
      <c r="J583" s="42">
        <f t="shared" si="70"/>
        <v>1658.5556625000002</v>
      </c>
      <c r="K583" s="15" t="str">
        <f t="shared" si="71"/>
        <v>PIN-053|MAT</v>
      </c>
      <c r="L583" s="15">
        <f>COUNTIFS($K$2:K583,K583)</f>
        <v>8</v>
      </c>
      <c r="M583" s="15" t="str">
        <f t="shared" si="72"/>
        <v>PIN-053|MAT|8</v>
      </c>
      <c r="N583" s="47">
        <f>IFERROR(VLOOKUP(A583,PARTIDAS!A:F,6,FALSE()),0)</f>
        <v>15.5</v>
      </c>
      <c r="O583" s="247">
        <f t="shared" si="73"/>
        <v>1.2500000000000001E-2</v>
      </c>
      <c r="P583" s="247" t="str">
        <f>+_xlfn.XLOOKUP(A583,PPTO_GENERADOR!Q:Q,PPTO_GENERADOR!E:E,"-",0)</f>
        <v>-</v>
      </c>
      <c r="Q583" s="247">
        <f t="shared" si="74"/>
        <v>0</v>
      </c>
      <c r="R583" s="259" t="str">
        <f>+_xlfn.XLOOKUP(A583,PPTO_GENERADOR!$Q:$Q,PPTO_GENERADOR!A:A,"-",0)</f>
        <v>-</v>
      </c>
    </row>
    <row r="584" spans="1:18" ht="15" customHeight="1" x14ac:dyDescent="0.35">
      <c r="A584" s="38" t="s">
        <v>2506</v>
      </c>
      <c r="B584" s="38" t="s">
        <v>2776</v>
      </c>
      <c r="C584" s="38" t="s">
        <v>2777</v>
      </c>
      <c r="D584" s="237" t="s">
        <v>1568</v>
      </c>
      <c r="E584" s="44" t="str">
        <f>IFERROR(VLOOKUP(D584,MANO_DE_OBRA!A:B,2,FALSE()),"?")</f>
        <v>ESPECIALIZADO</v>
      </c>
      <c r="F584" s="44" t="s">
        <v>2778</v>
      </c>
      <c r="G584" s="45">
        <v>1</v>
      </c>
      <c r="H584" s="46">
        <v>0</v>
      </c>
      <c r="I584" s="47">
        <f>IFERROR(VLOOKUP(D584,MANO_DE_OBRA!A:C,3,FALSE()),0)</f>
        <v>85927.097156571996</v>
      </c>
      <c r="J584" s="42">
        <f>G584*I584</f>
        <v>85927.097156571996</v>
      </c>
      <c r="K584" s="15" t="str">
        <f t="shared" si="71"/>
        <v>PIN-053|MO</v>
      </c>
      <c r="L584" s="15">
        <f>COUNTIFS($K$2:K584,K584)</f>
        <v>1</v>
      </c>
      <c r="M584" s="15" t="str">
        <f t="shared" si="72"/>
        <v>PIN-053|MO|1</v>
      </c>
      <c r="N584" s="47">
        <f>IFERROR(VLOOKUP(A584,PARTIDAS!A:F,6,FALSE()),0)</f>
        <v>15.5</v>
      </c>
      <c r="O584" s="247">
        <f t="shared" si="73"/>
        <v>6.4516129032258063E-2</v>
      </c>
      <c r="P584" s="247" t="str">
        <f>+_xlfn.XLOOKUP(A584,PPTO_GENERADOR!Q:Q,PPTO_GENERADOR!E:E,"-",0)</f>
        <v>-</v>
      </c>
      <c r="Q584" s="247">
        <f t="shared" si="74"/>
        <v>0</v>
      </c>
      <c r="R584" s="259" t="str">
        <f>+_xlfn.XLOOKUP(A584,PPTO_GENERADOR!$Q:$Q,PPTO_GENERADOR!A:A,"-",0)</f>
        <v>-</v>
      </c>
    </row>
    <row r="585" spans="1:18" ht="15" customHeight="1" x14ac:dyDescent="0.35">
      <c r="A585" s="38" t="s">
        <v>2510</v>
      </c>
      <c r="B585" s="38" t="s">
        <v>2773</v>
      </c>
      <c r="C585" s="38"/>
      <c r="D585" s="38" t="s">
        <v>1604</v>
      </c>
      <c r="E585" s="44" t="str">
        <f>IFERROR(VLOOKUP(D585,EQUIPOS!A:B,2,FALSE()),"?")</f>
        <v>EQUIPO PARA PINTAR</v>
      </c>
      <c r="F585" s="44"/>
      <c r="G585" s="45">
        <v>1</v>
      </c>
      <c r="H585" s="46">
        <v>0</v>
      </c>
      <c r="I585" s="47">
        <f>IFERROR(VLOOKUP(D585,EQUIPOS!A:F,6,FALSE()),0)</f>
        <v>1723.6259595547085</v>
      </c>
      <c r="J585" s="42">
        <f>G585*I585</f>
        <v>1723.6259595547085</v>
      </c>
      <c r="K585" s="15" t="str">
        <f t="shared" si="71"/>
        <v>PIN-054|EQ</v>
      </c>
      <c r="L585" s="15">
        <f>COUNTIFS($K$2:K585,K585)</f>
        <v>1</v>
      </c>
      <c r="M585" s="15" t="str">
        <f t="shared" si="72"/>
        <v>PIN-054|EQ|1</v>
      </c>
      <c r="N585" s="47">
        <f>IFERROR(VLOOKUP(A585,PARTIDAS!A:F,6,FALSE()),0)</f>
        <v>8</v>
      </c>
      <c r="O585" s="247">
        <f t="shared" si="73"/>
        <v>1</v>
      </c>
      <c r="P585" s="247" t="str">
        <f>+_xlfn.XLOOKUP(A585,PPTO_GENERADOR!Q:Q,PPTO_GENERADOR!E:E,"-",0)</f>
        <v>-</v>
      </c>
      <c r="Q585" s="247">
        <f t="shared" si="74"/>
        <v>0</v>
      </c>
      <c r="R585" s="259" t="str">
        <f>+_xlfn.XLOOKUP(A585,PPTO_GENERADOR!$Q:$Q,PPTO_GENERADOR!A:A,"-",0)</f>
        <v>-</v>
      </c>
    </row>
    <row r="586" spans="1:18" ht="15" customHeight="1" x14ac:dyDescent="0.35">
      <c r="A586" s="38" t="s">
        <v>2510</v>
      </c>
      <c r="B586" s="38" t="s">
        <v>2773</v>
      </c>
      <c r="C586" s="38"/>
      <c r="D586" s="38" t="s">
        <v>1749</v>
      </c>
      <c r="E586" s="44" t="str">
        <f>IFERROR(VLOOKUP(D586,EQUIPOS!A:B,2,FALSE()),"?")</f>
        <v>ESCALERA MADERA PINTOR 8 ESCALONES</v>
      </c>
      <c r="F586" s="44"/>
      <c r="G586" s="45">
        <v>1</v>
      </c>
      <c r="H586" s="46">
        <v>0</v>
      </c>
      <c r="I586" s="47">
        <f>IFERROR(VLOOKUP(D586,EQUIPOS!A:F,6,FALSE()),0)</f>
        <v>200.25307946474501</v>
      </c>
      <c r="J586" s="42">
        <f>G586*I586</f>
        <v>200.25307946474501</v>
      </c>
      <c r="K586" s="15" t="str">
        <f t="shared" si="71"/>
        <v>PIN-054|EQ</v>
      </c>
      <c r="L586" s="15">
        <f>COUNTIFS($K$2:K586,K586)</f>
        <v>2</v>
      </c>
      <c r="M586" s="15" t="str">
        <f t="shared" si="72"/>
        <v>PIN-054|EQ|2</v>
      </c>
      <c r="N586" s="47">
        <f>IFERROR(VLOOKUP(A586,PARTIDAS!A:F,6,FALSE()),0)</f>
        <v>8</v>
      </c>
      <c r="O586" s="247">
        <f t="shared" si="73"/>
        <v>1</v>
      </c>
      <c r="P586" s="247" t="str">
        <f>+_xlfn.XLOOKUP(A586,PPTO_GENERADOR!Q:Q,PPTO_GENERADOR!E:E,"-",0)</f>
        <v>-</v>
      </c>
      <c r="Q586" s="247">
        <f t="shared" si="74"/>
        <v>0</v>
      </c>
      <c r="R586" s="259" t="str">
        <f>+_xlfn.XLOOKUP(A586,PPTO_GENERADOR!$Q:$Q,PPTO_GENERADOR!A:A,"-",0)</f>
        <v>-</v>
      </c>
    </row>
    <row r="587" spans="1:18" ht="15" customHeight="1" x14ac:dyDescent="0.35">
      <c r="A587" s="38" t="s">
        <v>2510</v>
      </c>
      <c r="B587" s="38" t="s">
        <v>2774</v>
      </c>
      <c r="C587" s="38" t="s">
        <v>2775</v>
      </c>
      <c r="D587" s="38" t="s">
        <v>845</v>
      </c>
      <c r="E587" s="44" t="str">
        <f>IFERROR(VLOOKUP(D587,MATERIALES!A:B,2,FALSE()),"?")</f>
        <v>Aguarras Hydrarras Hydra x 18lts</v>
      </c>
      <c r="F587" s="44" t="str">
        <f>IFERROR(VLOOKUP(D587,MATERIALES!A:C,3,FALSE()),"?")</f>
        <v>b</v>
      </c>
      <c r="G587" s="45">
        <v>5.0000000000000001E-3</v>
      </c>
      <c r="H587" s="46">
        <v>0.1</v>
      </c>
      <c r="I587" s="47">
        <f>IFERROR(VLOOKUP(D587,MATERIALES!A:D,4,FALSE()),0)</f>
        <v>26907.33</v>
      </c>
      <c r="J587" s="42">
        <f t="shared" ref="J587:J594" si="75">G587*I587*(1+H587)</f>
        <v>147.99031500000001</v>
      </c>
      <c r="K587" s="15" t="str">
        <f t="shared" si="71"/>
        <v>PIN-054|MAT</v>
      </c>
      <c r="L587" s="15">
        <f>COUNTIFS($K$2:K587,K587)</f>
        <v>1</v>
      </c>
      <c r="M587" s="15" t="str">
        <f t="shared" si="72"/>
        <v>PIN-054|MAT|1</v>
      </c>
      <c r="N587" s="47">
        <f>IFERROR(VLOOKUP(A587,PARTIDAS!A:F,6,FALSE()),0)</f>
        <v>8</v>
      </c>
      <c r="O587" s="247">
        <f t="shared" si="73"/>
        <v>5.0000000000000001E-3</v>
      </c>
      <c r="P587" s="247" t="str">
        <f>+_xlfn.XLOOKUP(A587,PPTO_GENERADOR!Q:Q,PPTO_GENERADOR!E:E,"-",0)</f>
        <v>-</v>
      </c>
      <c r="Q587" s="247">
        <f t="shared" si="74"/>
        <v>0</v>
      </c>
      <c r="R587" s="259" t="str">
        <f>+_xlfn.XLOOKUP(A587,PPTO_GENERADOR!$Q:$Q,PPTO_GENERADOR!A:A,"-",0)</f>
        <v>-</v>
      </c>
    </row>
    <row r="588" spans="1:18" ht="15" customHeight="1" x14ac:dyDescent="0.35">
      <c r="A588" s="38" t="s">
        <v>2510</v>
      </c>
      <c r="B588" s="38" t="s">
        <v>2774</v>
      </c>
      <c r="C588" s="38" t="s">
        <v>2775</v>
      </c>
      <c r="D588" s="38" t="s">
        <v>848</v>
      </c>
      <c r="E588" s="44" t="str">
        <f>IFERROR(VLOOKUP(D588,MATERIALES!A:B,2,FALSE()),"?")</f>
        <v>Lija 180 al agua x 10u</v>
      </c>
      <c r="F588" s="44" t="str">
        <f>IFERROR(VLOOKUP(D588,MATERIALES!A:C,3,FALSE()),"?")</f>
        <v>u</v>
      </c>
      <c r="G588" s="45">
        <v>0.02</v>
      </c>
      <c r="H588" s="46">
        <v>0.05</v>
      </c>
      <c r="I588" s="47">
        <f>IFERROR(VLOOKUP(D588,MATERIALES!A:D,4,FALSE()),0)</f>
        <v>5661.4</v>
      </c>
      <c r="J588" s="42">
        <f t="shared" si="75"/>
        <v>118.88939999999999</v>
      </c>
      <c r="K588" s="15" t="str">
        <f t="shared" si="71"/>
        <v>PIN-054|MAT</v>
      </c>
      <c r="L588" s="15">
        <f>COUNTIFS($K$2:K588,K588)</f>
        <v>2</v>
      </c>
      <c r="M588" s="15" t="str">
        <f t="shared" si="72"/>
        <v>PIN-054|MAT|2</v>
      </c>
      <c r="N588" s="47">
        <f>IFERROR(VLOOKUP(A588,PARTIDAS!A:F,6,FALSE()),0)</f>
        <v>8</v>
      </c>
      <c r="O588" s="247">
        <f t="shared" si="73"/>
        <v>0.02</v>
      </c>
      <c r="P588" s="247" t="str">
        <f>+_xlfn.XLOOKUP(A588,PPTO_GENERADOR!Q:Q,PPTO_GENERADOR!E:E,"-",0)</f>
        <v>-</v>
      </c>
      <c r="Q588" s="247">
        <f t="shared" si="74"/>
        <v>0</v>
      </c>
      <c r="R588" s="259" t="str">
        <f>+_xlfn.XLOOKUP(A588,PPTO_GENERADOR!$Q:$Q,PPTO_GENERADOR!A:A,"-",0)</f>
        <v>-</v>
      </c>
    </row>
    <row r="589" spans="1:18" ht="15" customHeight="1" x14ac:dyDescent="0.35">
      <c r="A589" s="38" t="s">
        <v>2510</v>
      </c>
      <c r="B589" s="38" t="s">
        <v>2774</v>
      </c>
      <c r="C589" s="38" t="s">
        <v>2775</v>
      </c>
      <c r="D589" s="38" t="s">
        <v>851</v>
      </c>
      <c r="E589" s="44" t="str">
        <f>IFERROR(VLOOKUP(D589,MATERIALES!A:B,2,FALSE()),"?")</f>
        <v>Cinta de Papel 36 mm x 40m</v>
      </c>
      <c r="F589" s="44" t="str">
        <f>IFERROR(VLOOKUP(D589,MATERIALES!A:C,3,FALSE()),"?")</f>
        <v>u</v>
      </c>
      <c r="G589" s="45">
        <v>0.05</v>
      </c>
      <c r="H589" s="46">
        <v>0.1</v>
      </c>
      <c r="I589" s="47">
        <f>IFERROR(VLOOKUP(D589,MATERIALES!A:D,4,FALSE()),0)</f>
        <v>3293.01</v>
      </c>
      <c r="J589" s="42">
        <f t="shared" si="75"/>
        <v>181.11555000000004</v>
      </c>
      <c r="K589" s="15" t="str">
        <f t="shared" si="71"/>
        <v>PIN-054|MAT</v>
      </c>
      <c r="L589" s="15">
        <f>COUNTIFS($K$2:K589,K589)</f>
        <v>3</v>
      </c>
      <c r="M589" s="15" t="str">
        <f t="shared" si="72"/>
        <v>PIN-054|MAT|3</v>
      </c>
      <c r="N589" s="47">
        <f>IFERROR(VLOOKUP(A589,PARTIDAS!A:F,6,FALSE()),0)</f>
        <v>8</v>
      </c>
      <c r="O589" s="247">
        <f t="shared" si="73"/>
        <v>0.05</v>
      </c>
      <c r="P589" s="247" t="str">
        <f>+_xlfn.XLOOKUP(A589,PPTO_GENERADOR!Q:Q,PPTO_GENERADOR!E:E,"-",0)</f>
        <v>-</v>
      </c>
      <c r="Q589" s="247">
        <f t="shared" si="74"/>
        <v>0</v>
      </c>
      <c r="R589" s="259" t="str">
        <f>+_xlfn.XLOOKUP(A589,PPTO_GENERADOR!$Q:$Q,PPTO_GENERADOR!A:A,"-",0)</f>
        <v>-</v>
      </c>
    </row>
    <row r="590" spans="1:18" ht="15" customHeight="1" x14ac:dyDescent="0.35">
      <c r="A590" s="38" t="s">
        <v>2510</v>
      </c>
      <c r="B590" s="38" t="s">
        <v>2774</v>
      </c>
      <c r="C590" s="38" t="s">
        <v>2775</v>
      </c>
      <c r="D590" s="38" t="s">
        <v>855</v>
      </c>
      <c r="E590" s="44" t="str">
        <f>IFERROR(VLOOKUP(D590,MATERIALES!A:B,2,FALSE()),"?")</f>
        <v>Trapo</v>
      </c>
      <c r="F590" s="44" t="str">
        <f>IFERROR(VLOOKUP(D590,MATERIALES!A:C,3,FALSE()),"?")</f>
        <v>u</v>
      </c>
      <c r="G590" s="45">
        <v>0.01</v>
      </c>
      <c r="H590" s="46">
        <v>0.05</v>
      </c>
      <c r="I590" s="47">
        <f>IFERROR(VLOOKUP(D590,MATERIALES!A:D,4,FALSE()),0)</f>
        <v>735.06</v>
      </c>
      <c r="J590" s="42">
        <f t="shared" si="75"/>
        <v>7.7181300000000004</v>
      </c>
      <c r="K590" s="15" t="str">
        <f t="shared" si="71"/>
        <v>PIN-054|MAT</v>
      </c>
      <c r="L590" s="15">
        <f>COUNTIFS($K$2:K590,K590)</f>
        <v>4</v>
      </c>
      <c r="M590" s="15" t="str">
        <f t="shared" si="72"/>
        <v>PIN-054|MAT|4</v>
      </c>
      <c r="N590" s="47">
        <f>IFERROR(VLOOKUP(A590,PARTIDAS!A:F,6,FALSE()),0)</f>
        <v>8</v>
      </c>
      <c r="O590" s="247">
        <f t="shared" si="73"/>
        <v>0.01</v>
      </c>
      <c r="P590" s="247" t="str">
        <f>+_xlfn.XLOOKUP(A590,PPTO_GENERADOR!Q:Q,PPTO_GENERADOR!E:E,"-",0)</f>
        <v>-</v>
      </c>
      <c r="Q590" s="247">
        <f t="shared" si="74"/>
        <v>0</v>
      </c>
      <c r="R590" s="259" t="str">
        <f>+_xlfn.XLOOKUP(A590,PPTO_GENERADOR!$Q:$Q,PPTO_GENERADOR!A:A,"-",0)</f>
        <v>-</v>
      </c>
    </row>
    <row r="591" spans="1:18" ht="15" customHeight="1" x14ac:dyDescent="0.35">
      <c r="A591" s="38" t="s">
        <v>2510</v>
      </c>
      <c r="B591" s="38" t="s">
        <v>2774</v>
      </c>
      <c r="C591" s="38" t="s">
        <v>2775</v>
      </c>
      <c r="D591" s="38" t="s">
        <v>863</v>
      </c>
      <c r="E591" s="44" t="str">
        <f>IFERROR(VLOOKUP(D591,MATERIALES!A:B,2,FALSE()),"?")</f>
        <v>Rodillo de lana pelo largo N°22 - El Galgo</v>
      </c>
      <c r="F591" s="44" t="str">
        <f>IFERROR(VLOOKUP(D591,MATERIALES!A:C,3,FALSE()),"?")</f>
        <v>u</v>
      </c>
      <c r="G591" s="45">
        <v>0.01</v>
      </c>
      <c r="H591" s="46">
        <v>0.05</v>
      </c>
      <c r="I591" s="47">
        <f>IFERROR(VLOOKUP(D591,MATERIALES!A:D,4,FALSE()),0)</f>
        <v>6678.36</v>
      </c>
      <c r="J591" s="42">
        <f t="shared" si="75"/>
        <v>70.122779999999992</v>
      </c>
      <c r="K591" s="15" t="str">
        <f t="shared" si="71"/>
        <v>PIN-054|MAT</v>
      </c>
      <c r="L591" s="15">
        <f>COUNTIFS($K$2:K591,K591)</f>
        <v>5</v>
      </c>
      <c r="M591" s="15" t="str">
        <f t="shared" si="72"/>
        <v>PIN-054|MAT|5</v>
      </c>
      <c r="N591" s="47">
        <f>IFERROR(VLOOKUP(A591,PARTIDAS!A:F,6,FALSE()),0)</f>
        <v>8</v>
      </c>
      <c r="O591" s="247">
        <f t="shared" si="73"/>
        <v>0.01</v>
      </c>
      <c r="P591" s="247" t="str">
        <f>+_xlfn.XLOOKUP(A591,PPTO_GENERADOR!Q:Q,PPTO_GENERADOR!E:E,"-",0)</f>
        <v>-</v>
      </c>
      <c r="Q591" s="247">
        <f t="shared" si="74"/>
        <v>0</v>
      </c>
      <c r="R591" s="259" t="str">
        <f>+_xlfn.XLOOKUP(A591,PPTO_GENERADOR!$Q:$Q,PPTO_GENERADOR!A:A,"-",0)</f>
        <v>-</v>
      </c>
    </row>
    <row r="592" spans="1:18" ht="15" customHeight="1" x14ac:dyDescent="0.35">
      <c r="A592" s="38" t="s">
        <v>2510</v>
      </c>
      <c r="B592" s="38" t="s">
        <v>2774</v>
      </c>
      <c r="C592" s="38" t="s">
        <v>2775</v>
      </c>
      <c r="D592" s="38" t="s">
        <v>865</v>
      </c>
      <c r="E592" s="44" t="str">
        <f>IFERROR(VLOOKUP(D592,MATERIALES!A:B,2,FALSE()),"?")</f>
        <v>Pincel N° 20 - El Galgo</v>
      </c>
      <c r="F592" s="44" t="str">
        <f>IFERROR(VLOOKUP(D592,MATERIALES!A:C,3,FALSE()),"?")</f>
        <v>u</v>
      </c>
      <c r="G592" s="45">
        <v>0.01</v>
      </c>
      <c r="H592" s="46">
        <v>0.05</v>
      </c>
      <c r="I592" s="47">
        <f>IFERROR(VLOOKUP(D592,MATERIALES!A:D,4,FALSE()),0)</f>
        <v>5282.24</v>
      </c>
      <c r="J592" s="42">
        <f t="shared" si="75"/>
        <v>55.463520000000003</v>
      </c>
      <c r="K592" s="15" t="str">
        <f t="shared" si="71"/>
        <v>PIN-054|MAT</v>
      </c>
      <c r="L592" s="15">
        <f>COUNTIFS($K$2:K592,K592)</f>
        <v>6</v>
      </c>
      <c r="M592" s="15" t="str">
        <f t="shared" si="72"/>
        <v>PIN-054|MAT|6</v>
      </c>
      <c r="N592" s="47">
        <f>IFERROR(VLOOKUP(A592,PARTIDAS!A:F,6,FALSE()),0)</f>
        <v>8</v>
      </c>
      <c r="O592" s="247">
        <f t="shared" si="73"/>
        <v>0.01</v>
      </c>
      <c r="P592" s="247" t="str">
        <f>+_xlfn.XLOOKUP(A592,PPTO_GENERADOR!Q:Q,PPTO_GENERADOR!E:E,"-",0)</f>
        <v>-</v>
      </c>
      <c r="Q592" s="247">
        <f t="shared" si="74"/>
        <v>0</v>
      </c>
      <c r="R592" s="259" t="str">
        <f>+_xlfn.XLOOKUP(A592,PPTO_GENERADOR!$Q:$Q,PPTO_GENERADOR!A:A,"-",0)</f>
        <v>-</v>
      </c>
    </row>
    <row r="593" spans="1:18" ht="15" customHeight="1" x14ac:dyDescent="0.35">
      <c r="A593" s="38" t="s">
        <v>2510</v>
      </c>
      <c r="B593" s="38" t="s">
        <v>2774</v>
      </c>
      <c r="C593" s="38" t="s">
        <v>2775</v>
      </c>
      <c r="D593" s="38" t="s">
        <v>868</v>
      </c>
      <c r="E593" s="44" t="str">
        <f>IFERROR(VLOOKUP(D593,MATERIALES!A:B,2,FALSE()),"?")</f>
        <v>Rollo de cartón corrugado 0,90 x 25 mts</v>
      </c>
      <c r="F593" s="44" t="str">
        <f>IFERROR(VLOOKUP(D593,MATERIALES!A:C,3,FALSE()),"?")</f>
        <v>u</v>
      </c>
      <c r="G593" s="45">
        <v>0.01</v>
      </c>
      <c r="H593" s="46">
        <v>0.05</v>
      </c>
      <c r="I593" s="47">
        <f>IFERROR(VLOOKUP(D593,MATERIALES!A:D,4,FALSE()),0)</f>
        <v>7427.6</v>
      </c>
      <c r="J593" s="42">
        <f t="shared" si="75"/>
        <v>77.989800000000017</v>
      </c>
      <c r="K593" s="15" t="str">
        <f t="shared" si="71"/>
        <v>PIN-054|MAT</v>
      </c>
      <c r="L593" s="15">
        <f>COUNTIFS($K$2:K593,K593)</f>
        <v>7</v>
      </c>
      <c r="M593" s="15" t="str">
        <f t="shared" si="72"/>
        <v>PIN-054|MAT|7</v>
      </c>
      <c r="N593" s="47">
        <f>IFERROR(VLOOKUP(A593,PARTIDAS!A:F,6,FALSE()),0)</f>
        <v>8</v>
      </c>
      <c r="O593" s="247">
        <f t="shared" si="73"/>
        <v>0.01</v>
      </c>
      <c r="P593" s="247" t="str">
        <f>+_xlfn.XLOOKUP(A593,PPTO_GENERADOR!Q:Q,PPTO_GENERADOR!E:E,"-",0)</f>
        <v>-</v>
      </c>
      <c r="Q593" s="247">
        <f t="shared" si="74"/>
        <v>0</v>
      </c>
      <c r="R593" s="259" t="str">
        <f>+_xlfn.XLOOKUP(A593,PPTO_GENERADOR!$Q:$Q,PPTO_GENERADOR!A:A,"-",0)</f>
        <v>-</v>
      </c>
    </row>
    <row r="594" spans="1:18" ht="15" customHeight="1" x14ac:dyDescent="0.35">
      <c r="A594" s="38" t="s">
        <v>2510</v>
      </c>
      <c r="B594" s="38" t="s">
        <v>2774</v>
      </c>
      <c r="C594" s="38" t="s">
        <v>2775</v>
      </c>
      <c r="D594" s="38" t="s">
        <v>813</v>
      </c>
      <c r="E594" s="44" t="str">
        <f>IFERROR(VLOOKUP(D594,MATERIALES!A:B,2,FALSE()),"?")</f>
        <v>Esmalte sintetico satinado Satinol Blanco x 4lts</v>
      </c>
      <c r="F594" s="44" t="str">
        <f>IFERROR(VLOOKUP(D594,MATERIALES!A:C,3,FALSE()),"?")</f>
        <v>b</v>
      </c>
      <c r="G594" s="45">
        <v>6.25E-2</v>
      </c>
      <c r="H594" s="46">
        <v>0.1</v>
      </c>
      <c r="I594" s="47">
        <f>IFERROR(VLOOKUP(D594,MATERIALES!A:D,4,FALSE()),0)</f>
        <v>28011.57</v>
      </c>
      <c r="J594" s="42">
        <f t="shared" si="75"/>
        <v>1925.7954375000002</v>
      </c>
      <c r="K594" s="15" t="str">
        <f t="shared" si="71"/>
        <v>PIN-054|MAT</v>
      </c>
      <c r="L594" s="15">
        <f>COUNTIFS($K$2:K594,K594)</f>
        <v>8</v>
      </c>
      <c r="M594" s="15" t="str">
        <f t="shared" si="72"/>
        <v>PIN-054|MAT|8</v>
      </c>
      <c r="N594" s="47">
        <f>IFERROR(VLOOKUP(A594,PARTIDAS!A:F,6,FALSE()),0)</f>
        <v>8</v>
      </c>
      <c r="O594" s="247">
        <f t="shared" si="73"/>
        <v>6.25E-2</v>
      </c>
      <c r="P594" s="247" t="str">
        <f>+_xlfn.XLOOKUP(A594,PPTO_GENERADOR!Q:Q,PPTO_GENERADOR!E:E,"-",0)</f>
        <v>-</v>
      </c>
      <c r="Q594" s="247">
        <f t="shared" si="74"/>
        <v>0</v>
      </c>
      <c r="R594" s="259" t="str">
        <f>+_xlfn.XLOOKUP(A594,PPTO_GENERADOR!$Q:$Q,PPTO_GENERADOR!A:A,"-",0)</f>
        <v>-</v>
      </c>
    </row>
    <row r="595" spans="1:18" ht="15" customHeight="1" x14ac:dyDescent="0.35">
      <c r="A595" s="38" t="s">
        <v>2510</v>
      </c>
      <c r="B595" s="38" t="s">
        <v>2776</v>
      </c>
      <c r="C595" s="38" t="s">
        <v>2777</v>
      </c>
      <c r="D595" s="237" t="s">
        <v>1568</v>
      </c>
      <c r="E595" s="44" t="str">
        <f>IFERROR(VLOOKUP(D595,MANO_DE_OBRA!A:B,2,FALSE()),"?")</f>
        <v>ESPECIALIZADO</v>
      </c>
      <c r="F595" s="44" t="s">
        <v>2778</v>
      </c>
      <c r="G595" s="45">
        <v>1</v>
      </c>
      <c r="H595" s="46">
        <v>0</v>
      </c>
      <c r="I595" s="47">
        <f>IFERROR(VLOOKUP(D595,MANO_DE_OBRA!A:C,3,FALSE()),0)</f>
        <v>85927.097156571996</v>
      </c>
      <c r="J595" s="42">
        <f>G595*I595</f>
        <v>85927.097156571996</v>
      </c>
      <c r="K595" s="15" t="str">
        <f t="shared" si="71"/>
        <v>PIN-054|MO</v>
      </c>
      <c r="L595" s="15">
        <f>COUNTIFS($K$2:K595,K595)</f>
        <v>1</v>
      </c>
      <c r="M595" s="15" t="str">
        <f t="shared" si="72"/>
        <v>PIN-054|MO|1</v>
      </c>
      <c r="N595" s="47">
        <f>IFERROR(VLOOKUP(A595,PARTIDAS!A:F,6,FALSE()),0)</f>
        <v>8</v>
      </c>
      <c r="O595" s="247">
        <f t="shared" si="73"/>
        <v>0.125</v>
      </c>
      <c r="P595" s="247" t="str">
        <f>+_xlfn.XLOOKUP(A595,PPTO_GENERADOR!Q:Q,PPTO_GENERADOR!E:E,"-",0)</f>
        <v>-</v>
      </c>
      <c r="Q595" s="247">
        <f t="shared" si="74"/>
        <v>0</v>
      </c>
      <c r="R595" s="259" t="str">
        <f>+_xlfn.XLOOKUP(A595,PPTO_GENERADOR!$Q:$Q,PPTO_GENERADOR!A:A,"-",0)</f>
        <v>-</v>
      </c>
    </row>
    <row r="596" spans="1:18" ht="15" customHeight="1" x14ac:dyDescent="0.35">
      <c r="A596" s="38" t="s">
        <v>2513</v>
      </c>
      <c r="B596" s="38" t="s">
        <v>2773</v>
      </c>
      <c r="C596" s="38"/>
      <c r="D596" s="38" t="s">
        <v>1592</v>
      </c>
      <c r="E596" s="44" t="str">
        <f>IFERROR(VLOOKUP(D596,EQUIPOS!A:B,2,FALSE()),"?")</f>
        <v>ANDAMIO TUBULAR DE UNO A TRES CUERPOS</v>
      </c>
      <c r="F596" s="44"/>
      <c r="G596" s="45">
        <v>0.5</v>
      </c>
      <c r="H596" s="46">
        <v>0</v>
      </c>
      <c r="I596" s="47">
        <f>IFERROR(VLOOKUP(D596,EQUIPOS!A:F,6,FALSE()),0)</f>
        <v>571.1794909807611</v>
      </c>
      <c r="J596" s="42">
        <f>G596*I596</f>
        <v>285.58974549038055</v>
      </c>
      <c r="K596" s="15" t="str">
        <f t="shared" si="71"/>
        <v>PIN-055|EQ</v>
      </c>
      <c r="L596" s="15">
        <f>COUNTIFS($K$2:K596,K596)</f>
        <v>1</v>
      </c>
      <c r="M596" s="15" t="str">
        <f t="shared" si="72"/>
        <v>PIN-055|EQ|1</v>
      </c>
      <c r="N596" s="47">
        <f>IFERROR(VLOOKUP(A596,PARTIDAS!A:F,6,FALSE()),0)</f>
        <v>20</v>
      </c>
      <c r="O596" s="247">
        <f t="shared" si="73"/>
        <v>0.5</v>
      </c>
      <c r="P596" s="247" t="str">
        <f>+_xlfn.XLOOKUP(A596,PPTO_GENERADOR!Q:Q,PPTO_GENERADOR!E:E,"-",0)</f>
        <v>-</v>
      </c>
      <c r="Q596" s="247">
        <f t="shared" si="74"/>
        <v>0</v>
      </c>
      <c r="R596" s="259" t="str">
        <f>+_xlfn.XLOOKUP(A596,PPTO_GENERADOR!$Q:$Q,PPTO_GENERADOR!A:A,"-",0)</f>
        <v>-</v>
      </c>
    </row>
    <row r="597" spans="1:18" ht="15" customHeight="1" x14ac:dyDescent="0.35">
      <c r="A597" s="38" t="s">
        <v>2513</v>
      </c>
      <c r="B597" s="38" t="s">
        <v>2773</v>
      </c>
      <c r="C597" s="38"/>
      <c r="D597" s="38" t="s">
        <v>1604</v>
      </c>
      <c r="E597" s="44" t="str">
        <f>IFERROR(VLOOKUP(D597,EQUIPOS!A:B,2,FALSE()),"?")</f>
        <v>EQUIPO PARA PINTAR</v>
      </c>
      <c r="F597" s="44"/>
      <c r="G597" s="45">
        <v>1</v>
      </c>
      <c r="H597" s="46">
        <v>0</v>
      </c>
      <c r="I597" s="47">
        <f>IFERROR(VLOOKUP(D597,EQUIPOS!A:F,6,FALSE()),0)</f>
        <v>1723.6259595547085</v>
      </c>
      <c r="J597" s="42">
        <f>G597*I597</f>
        <v>1723.6259595547085</v>
      </c>
      <c r="K597" s="15" t="str">
        <f t="shared" si="71"/>
        <v>PIN-055|EQ</v>
      </c>
      <c r="L597" s="15">
        <f>COUNTIFS($K$2:K597,K597)</f>
        <v>2</v>
      </c>
      <c r="M597" s="15" t="str">
        <f t="shared" si="72"/>
        <v>PIN-055|EQ|2</v>
      </c>
      <c r="N597" s="47">
        <f>IFERROR(VLOOKUP(A597,PARTIDAS!A:F,6,FALSE()),0)</f>
        <v>20</v>
      </c>
      <c r="O597" s="247">
        <f t="shared" si="73"/>
        <v>1</v>
      </c>
      <c r="P597" s="247" t="str">
        <f>+_xlfn.XLOOKUP(A597,PPTO_GENERADOR!Q:Q,PPTO_GENERADOR!E:E,"-",0)</f>
        <v>-</v>
      </c>
      <c r="Q597" s="247">
        <f t="shared" si="74"/>
        <v>0</v>
      </c>
      <c r="R597" s="259" t="str">
        <f>+_xlfn.XLOOKUP(A597,PPTO_GENERADOR!$Q:$Q,PPTO_GENERADOR!A:A,"-",0)</f>
        <v>-</v>
      </c>
    </row>
    <row r="598" spans="1:18" ht="15" customHeight="1" x14ac:dyDescent="0.35">
      <c r="A598" s="38" t="s">
        <v>2513</v>
      </c>
      <c r="B598" s="38" t="s">
        <v>2773</v>
      </c>
      <c r="C598" s="38"/>
      <c r="D598" s="38" t="s">
        <v>1749</v>
      </c>
      <c r="E598" s="44" t="str">
        <f>IFERROR(VLOOKUP(D598,EQUIPOS!A:B,2,FALSE()),"?")</f>
        <v>ESCALERA MADERA PINTOR 8 ESCALONES</v>
      </c>
      <c r="F598" s="44"/>
      <c r="G598" s="45">
        <v>1</v>
      </c>
      <c r="H598" s="46">
        <v>0</v>
      </c>
      <c r="I598" s="47">
        <f>IFERROR(VLOOKUP(D598,EQUIPOS!A:F,6,FALSE()),0)</f>
        <v>200.25307946474501</v>
      </c>
      <c r="J598" s="42">
        <f>G598*I598</f>
        <v>200.25307946474501</v>
      </c>
      <c r="K598" s="15" t="str">
        <f t="shared" si="71"/>
        <v>PIN-055|EQ</v>
      </c>
      <c r="L598" s="15">
        <f>COUNTIFS($K$2:K598,K598)</f>
        <v>3</v>
      </c>
      <c r="M598" s="15" t="str">
        <f t="shared" si="72"/>
        <v>PIN-055|EQ|3</v>
      </c>
      <c r="N598" s="47">
        <f>IFERROR(VLOOKUP(A598,PARTIDAS!A:F,6,FALSE()),0)</f>
        <v>20</v>
      </c>
      <c r="O598" s="247">
        <f t="shared" si="73"/>
        <v>1</v>
      </c>
      <c r="P598" s="247" t="str">
        <f>+_xlfn.XLOOKUP(A598,PPTO_GENERADOR!Q:Q,PPTO_GENERADOR!E:E,"-",0)</f>
        <v>-</v>
      </c>
      <c r="Q598" s="247">
        <f t="shared" si="74"/>
        <v>0</v>
      </c>
      <c r="R598" s="259" t="str">
        <f>+_xlfn.XLOOKUP(A598,PPTO_GENERADOR!$Q:$Q,PPTO_GENERADOR!A:A,"-",0)</f>
        <v>-</v>
      </c>
    </row>
    <row r="599" spans="1:18" ht="15" customHeight="1" x14ac:dyDescent="0.35">
      <c r="A599" s="38" t="s">
        <v>2513</v>
      </c>
      <c r="B599" s="38" t="s">
        <v>2773</v>
      </c>
      <c r="C599" s="38"/>
      <c r="D599" s="38" t="s">
        <v>1625</v>
      </c>
      <c r="E599" s="44" t="str">
        <f>IFERROR(VLOOKUP(D599,EQUIPOS!A:B,2,FALSE()),"?")</f>
        <v>Kit Complementario Silleta Descensor Conector Soga X 50 Mts</v>
      </c>
      <c r="F599" s="44"/>
      <c r="G599" s="45">
        <v>0.75</v>
      </c>
      <c r="H599" s="46">
        <v>0</v>
      </c>
      <c r="I599" s="47">
        <f>IFERROR(VLOOKUP(D599,EQUIPOS!A:F,6,FALSE()),0)</f>
        <v>1899.1826421923361</v>
      </c>
      <c r="J599" s="42">
        <f>G599*I599</f>
        <v>1424.386981644252</v>
      </c>
      <c r="K599" s="15" t="str">
        <f t="shared" si="71"/>
        <v>PIN-055|EQ</v>
      </c>
      <c r="L599" s="15">
        <f>COUNTIFS($K$2:K599,K599)</f>
        <v>4</v>
      </c>
      <c r="M599" s="15" t="str">
        <f t="shared" si="72"/>
        <v>PIN-055|EQ|4</v>
      </c>
      <c r="N599" s="47">
        <f>IFERROR(VLOOKUP(A599,PARTIDAS!A:F,6,FALSE()),0)</f>
        <v>20</v>
      </c>
      <c r="O599" s="247">
        <f t="shared" si="73"/>
        <v>0.75</v>
      </c>
      <c r="P599" s="247" t="str">
        <f>+_xlfn.XLOOKUP(A599,PPTO_GENERADOR!Q:Q,PPTO_GENERADOR!E:E,"-",0)</f>
        <v>-</v>
      </c>
      <c r="Q599" s="247">
        <f t="shared" si="74"/>
        <v>0</v>
      </c>
      <c r="R599" s="259" t="str">
        <f>+_xlfn.XLOOKUP(A599,PPTO_GENERADOR!$Q:$Q,PPTO_GENERADOR!A:A,"-",0)</f>
        <v>-</v>
      </c>
    </row>
    <row r="600" spans="1:18" ht="15" customHeight="1" x14ac:dyDescent="0.35">
      <c r="A600" s="38" t="s">
        <v>2513</v>
      </c>
      <c r="B600" s="38" t="s">
        <v>2774</v>
      </c>
      <c r="C600" s="38" t="s">
        <v>2775</v>
      </c>
      <c r="D600" s="38" t="s">
        <v>851</v>
      </c>
      <c r="E600" s="44" t="str">
        <f>IFERROR(VLOOKUP(D600,MATERIALES!A:B,2,FALSE()),"?")</f>
        <v>Cinta de Papel 36 mm x 40m</v>
      </c>
      <c r="F600" s="44" t="str">
        <f>IFERROR(VLOOKUP(D600,MATERIALES!A:C,3,FALSE()),"?")</f>
        <v>u</v>
      </c>
      <c r="G600" s="45">
        <v>0.01</v>
      </c>
      <c r="H600" s="46">
        <v>0.05</v>
      </c>
      <c r="I600" s="47">
        <f>IFERROR(VLOOKUP(D600,MATERIALES!A:D,4,FALSE()),0)</f>
        <v>3293.01</v>
      </c>
      <c r="J600" s="42">
        <f t="shared" ref="J600:J605" si="76">G600*I600*(1+H600)</f>
        <v>34.576605000000008</v>
      </c>
      <c r="K600" s="15" t="str">
        <f t="shared" si="71"/>
        <v>PIN-055|MAT</v>
      </c>
      <c r="L600" s="15">
        <f>COUNTIFS($K$2:K600,K600)</f>
        <v>1</v>
      </c>
      <c r="M600" s="15" t="str">
        <f t="shared" si="72"/>
        <v>PIN-055|MAT|1</v>
      </c>
      <c r="N600" s="47">
        <f>IFERROR(VLOOKUP(A600,PARTIDAS!A:F,6,FALSE()),0)</f>
        <v>20</v>
      </c>
      <c r="O600" s="247">
        <f t="shared" si="73"/>
        <v>0.01</v>
      </c>
      <c r="P600" s="247" t="str">
        <f>+_xlfn.XLOOKUP(A600,PPTO_GENERADOR!Q:Q,PPTO_GENERADOR!E:E,"-",0)</f>
        <v>-</v>
      </c>
      <c r="Q600" s="247">
        <f t="shared" si="74"/>
        <v>0</v>
      </c>
      <c r="R600" s="259" t="str">
        <f>+_xlfn.XLOOKUP(A600,PPTO_GENERADOR!$Q:$Q,PPTO_GENERADOR!A:A,"-",0)</f>
        <v>-</v>
      </c>
    </row>
    <row r="601" spans="1:18" ht="15" customHeight="1" x14ac:dyDescent="0.35">
      <c r="A601" s="38" t="s">
        <v>2513</v>
      </c>
      <c r="B601" s="38" t="s">
        <v>2774</v>
      </c>
      <c r="C601" s="38" t="s">
        <v>2775</v>
      </c>
      <c r="D601" s="38" t="s">
        <v>855</v>
      </c>
      <c r="E601" s="44" t="str">
        <f>IFERROR(VLOOKUP(D601,MATERIALES!A:B,2,FALSE()),"?")</f>
        <v>Trapo</v>
      </c>
      <c r="F601" s="44" t="str">
        <f>IFERROR(VLOOKUP(D601,MATERIALES!A:C,3,FALSE()),"?")</f>
        <v>u</v>
      </c>
      <c r="G601" s="45">
        <v>5.0000000000000001E-3</v>
      </c>
      <c r="H601" s="46">
        <v>0.05</v>
      </c>
      <c r="I601" s="47">
        <f>IFERROR(VLOOKUP(D601,MATERIALES!A:D,4,FALSE()),0)</f>
        <v>735.06</v>
      </c>
      <c r="J601" s="42">
        <f t="shared" si="76"/>
        <v>3.8590650000000002</v>
      </c>
      <c r="K601" s="15" t="str">
        <f t="shared" si="71"/>
        <v>PIN-055|MAT</v>
      </c>
      <c r="L601" s="15">
        <f>COUNTIFS($K$2:K601,K601)</f>
        <v>2</v>
      </c>
      <c r="M601" s="15" t="str">
        <f t="shared" si="72"/>
        <v>PIN-055|MAT|2</v>
      </c>
      <c r="N601" s="47">
        <f>IFERROR(VLOOKUP(A601,PARTIDAS!A:F,6,FALSE()),0)</f>
        <v>20</v>
      </c>
      <c r="O601" s="247">
        <f t="shared" si="73"/>
        <v>5.0000000000000001E-3</v>
      </c>
      <c r="P601" s="247" t="str">
        <f>+_xlfn.XLOOKUP(A601,PPTO_GENERADOR!Q:Q,PPTO_GENERADOR!E:E,"-",0)</f>
        <v>-</v>
      </c>
      <c r="Q601" s="247">
        <f t="shared" si="74"/>
        <v>0</v>
      </c>
      <c r="R601" s="259" t="str">
        <f>+_xlfn.XLOOKUP(A601,PPTO_GENERADOR!$Q:$Q,PPTO_GENERADOR!A:A,"-",0)</f>
        <v>-</v>
      </c>
    </row>
    <row r="602" spans="1:18" ht="15" customHeight="1" x14ac:dyDescent="0.35">
      <c r="A602" s="38" t="s">
        <v>2513</v>
      </c>
      <c r="B602" s="38" t="s">
        <v>2774</v>
      </c>
      <c r="C602" s="38" t="s">
        <v>2775</v>
      </c>
      <c r="D602" s="38" t="s">
        <v>863</v>
      </c>
      <c r="E602" s="44" t="str">
        <f>IFERROR(VLOOKUP(D602,MATERIALES!A:B,2,FALSE()),"?")</f>
        <v>Rodillo de lana pelo largo N°22 - El Galgo</v>
      </c>
      <c r="F602" s="44" t="str">
        <f>IFERROR(VLOOKUP(D602,MATERIALES!A:C,3,FALSE()),"?")</f>
        <v>u</v>
      </c>
      <c r="G602" s="45">
        <v>5.0000000000000001E-3</v>
      </c>
      <c r="H602" s="46">
        <v>0.05</v>
      </c>
      <c r="I602" s="47">
        <f>IFERROR(VLOOKUP(D602,MATERIALES!A:D,4,FALSE()),0)</f>
        <v>6678.36</v>
      </c>
      <c r="J602" s="42">
        <f t="shared" si="76"/>
        <v>35.061389999999996</v>
      </c>
      <c r="K602" s="15" t="str">
        <f t="shared" si="71"/>
        <v>PIN-055|MAT</v>
      </c>
      <c r="L602" s="15">
        <f>COUNTIFS($K$2:K602,K602)</f>
        <v>3</v>
      </c>
      <c r="M602" s="15" t="str">
        <f t="shared" si="72"/>
        <v>PIN-055|MAT|3</v>
      </c>
      <c r="N602" s="47">
        <f>IFERROR(VLOOKUP(A602,PARTIDAS!A:F,6,FALSE()),0)</f>
        <v>20</v>
      </c>
      <c r="O602" s="247">
        <f t="shared" si="73"/>
        <v>5.0000000000000001E-3</v>
      </c>
      <c r="P602" s="247" t="str">
        <f>+_xlfn.XLOOKUP(A602,PPTO_GENERADOR!Q:Q,PPTO_GENERADOR!E:E,"-",0)</f>
        <v>-</v>
      </c>
      <c r="Q602" s="247">
        <f t="shared" si="74"/>
        <v>0</v>
      </c>
      <c r="R602" s="259" t="str">
        <f>+_xlfn.XLOOKUP(A602,PPTO_GENERADOR!$Q:$Q,PPTO_GENERADOR!A:A,"-",0)</f>
        <v>-</v>
      </c>
    </row>
    <row r="603" spans="1:18" ht="15" customHeight="1" x14ac:dyDescent="0.35">
      <c r="A603" s="38" t="s">
        <v>2513</v>
      </c>
      <c r="B603" s="38" t="s">
        <v>2774</v>
      </c>
      <c r="C603" s="38" t="s">
        <v>2775</v>
      </c>
      <c r="D603" s="38" t="s">
        <v>870</v>
      </c>
      <c r="E603" s="44" t="str">
        <f>IFERROR(VLOOKUP(D603,MATERIALES!A:B,2,FALSE()),"?")</f>
        <v>Llana Plástica 12 x 25 cm</v>
      </c>
      <c r="F603" s="44" t="str">
        <f>IFERROR(VLOOKUP(D603,MATERIALES!A:C,3,FALSE()),"?")</f>
        <v>u</v>
      </c>
      <c r="G603" s="45">
        <v>0.01</v>
      </c>
      <c r="H603" s="46">
        <v>0.1</v>
      </c>
      <c r="I603" s="47">
        <f>IFERROR(VLOOKUP(D603,MATERIALES!A:D,4,FALSE()),0)</f>
        <v>12575.2066115703</v>
      </c>
      <c r="J603" s="42">
        <f t="shared" si="76"/>
        <v>138.32727272727331</v>
      </c>
      <c r="K603" s="15" t="str">
        <f t="shared" si="71"/>
        <v>PIN-055|MAT</v>
      </c>
      <c r="L603" s="15">
        <f>COUNTIFS($K$2:K603,K603)</f>
        <v>4</v>
      </c>
      <c r="M603" s="15" t="str">
        <f t="shared" si="72"/>
        <v>PIN-055|MAT|4</v>
      </c>
      <c r="N603" s="47">
        <f>IFERROR(VLOOKUP(A603,PARTIDAS!A:F,6,FALSE()),0)</f>
        <v>20</v>
      </c>
      <c r="O603" s="247">
        <f t="shared" si="73"/>
        <v>0.01</v>
      </c>
      <c r="P603" s="247" t="str">
        <f>+_xlfn.XLOOKUP(A603,PPTO_GENERADOR!Q:Q,PPTO_GENERADOR!E:E,"-",0)</f>
        <v>-</v>
      </c>
      <c r="Q603" s="247">
        <f t="shared" si="74"/>
        <v>0</v>
      </c>
      <c r="R603" s="259" t="str">
        <f>+_xlfn.XLOOKUP(A603,PPTO_GENERADOR!$Q:$Q,PPTO_GENERADOR!A:A,"-",0)</f>
        <v>-</v>
      </c>
    </row>
    <row r="604" spans="1:18" ht="15" customHeight="1" x14ac:dyDescent="0.35">
      <c r="A604" s="38" t="s">
        <v>2513</v>
      </c>
      <c r="B604" s="38" t="s">
        <v>2774</v>
      </c>
      <c r="C604" s="38" t="s">
        <v>2775</v>
      </c>
      <c r="D604" s="38" t="s">
        <v>825</v>
      </c>
      <c r="E604" s="44" t="str">
        <f>IFERROR(VLOOKUP(D604,MATERIALES!A:B,2,FALSE()),"?")</f>
        <v>Quimtex Romano Fino x 27 kg</v>
      </c>
      <c r="F604" s="44" t="str">
        <f>IFERROR(VLOOKUP(D604,MATERIALES!A:C,3,FALSE()),"?")</f>
        <v>u</v>
      </c>
      <c r="G604" s="45">
        <v>7.4099999999999999E-2</v>
      </c>
      <c r="H604" s="46">
        <v>0.1</v>
      </c>
      <c r="I604" s="47">
        <f>IFERROR(VLOOKUP(D604,MATERIALES!A:D,4,FALSE()),0)</f>
        <v>57033.884297520701</v>
      </c>
      <c r="J604" s="42">
        <f t="shared" si="76"/>
        <v>4648.8319090909126</v>
      </c>
      <c r="K604" s="15" t="str">
        <f t="shared" si="71"/>
        <v>PIN-055|MAT</v>
      </c>
      <c r="L604" s="15">
        <f>COUNTIFS($K$2:K604,K604)</f>
        <v>5</v>
      </c>
      <c r="M604" s="15" t="str">
        <f t="shared" si="72"/>
        <v>PIN-055|MAT|5</v>
      </c>
      <c r="N604" s="47">
        <f>IFERROR(VLOOKUP(A604,PARTIDAS!A:F,6,FALSE()),0)</f>
        <v>20</v>
      </c>
      <c r="O604" s="247">
        <f t="shared" si="73"/>
        <v>7.4099999999999999E-2</v>
      </c>
      <c r="P604" s="247" t="str">
        <f>+_xlfn.XLOOKUP(A604,PPTO_GENERADOR!Q:Q,PPTO_GENERADOR!E:E,"-",0)</f>
        <v>-</v>
      </c>
      <c r="Q604" s="247">
        <f t="shared" si="74"/>
        <v>0</v>
      </c>
      <c r="R604" s="259" t="str">
        <f>+_xlfn.XLOOKUP(A604,PPTO_GENERADOR!$Q:$Q,PPTO_GENERADOR!A:A,"-",0)</f>
        <v>-</v>
      </c>
    </row>
    <row r="605" spans="1:18" ht="15" customHeight="1" x14ac:dyDescent="0.35">
      <c r="A605" s="38" t="s">
        <v>2513</v>
      </c>
      <c r="B605" s="38" t="s">
        <v>2774</v>
      </c>
      <c r="C605" s="38" t="s">
        <v>2775</v>
      </c>
      <c r="D605" s="38" t="s">
        <v>829</v>
      </c>
      <c r="E605" s="44" t="str">
        <f>IFERROR(VLOOKUP(D605,MATERIALES!A:B,2,FALSE()),"?")</f>
        <v>Quimtex base cuarzo 18 lts</v>
      </c>
      <c r="F605" s="44" t="str">
        <f>IFERROR(VLOOKUP(D605,MATERIALES!A:C,3,FALSE()),"?")</f>
        <v>u</v>
      </c>
      <c r="G605" s="45">
        <v>1.11E-2</v>
      </c>
      <c r="H605" s="46">
        <v>0.1</v>
      </c>
      <c r="I605" s="47">
        <f>IFERROR(VLOOKUP(D605,MATERIALES!A:D,4,FALSE()),0)</f>
        <v>93388.429752066106</v>
      </c>
      <c r="J605" s="42">
        <f t="shared" si="76"/>
        <v>1140.2727272727273</v>
      </c>
      <c r="K605" s="15" t="str">
        <f t="shared" si="71"/>
        <v>PIN-055|MAT</v>
      </c>
      <c r="L605" s="15">
        <f>COUNTIFS($K$2:K605,K605)</f>
        <v>6</v>
      </c>
      <c r="M605" s="15" t="str">
        <f t="shared" si="72"/>
        <v>PIN-055|MAT|6</v>
      </c>
      <c r="N605" s="47">
        <f>IFERROR(VLOOKUP(A605,PARTIDAS!A:F,6,FALSE()),0)</f>
        <v>20</v>
      </c>
      <c r="O605" s="247">
        <f t="shared" si="73"/>
        <v>1.11E-2</v>
      </c>
      <c r="P605" s="247" t="str">
        <f>+_xlfn.XLOOKUP(A605,PPTO_GENERADOR!Q:Q,PPTO_GENERADOR!E:E,"-",0)</f>
        <v>-</v>
      </c>
      <c r="Q605" s="247">
        <f t="shared" si="74"/>
        <v>0</v>
      </c>
      <c r="R605" s="259" t="str">
        <f>+_xlfn.XLOOKUP(A605,PPTO_GENERADOR!$Q:$Q,PPTO_GENERADOR!A:A,"-",0)</f>
        <v>-</v>
      </c>
    </row>
    <row r="606" spans="1:18" ht="15" customHeight="1" x14ac:dyDescent="0.35">
      <c r="A606" s="38" t="s">
        <v>2513</v>
      </c>
      <c r="B606" s="38" t="s">
        <v>2776</v>
      </c>
      <c r="C606" s="38" t="s">
        <v>2777</v>
      </c>
      <c r="D606" s="237" t="s">
        <v>1577</v>
      </c>
      <c r="E606" s="44" t="str">
        <f>IFERROR(VLOOKUP(D606,MANO_DE_OBRA!A:B,2,FALSE()),"?")</f>
        <v>AYUDANTE</v>
      </c>
      <c r="F606" s="44" t="s">
        <v>2778</v>
      </c>
      <c r="G606" s="45">
        <v>0.5</v>
      </c>
      <c r="H606" s="46">
        <v>0</v>
      </c>
      <c r="I606" s="47">
        <f>IFERROR(VLOOKUP(D606,MANO_DE_OBRA!A:C,3,FALSE()),0)</f>
        <v>60860.580776572002</v>
      </c>
      <c r="J606" s="42">
        <f>G606*I606</f>
        <v>30430.290388286001</v>
      </c>
      <c r="K606" s="15" t="str">
        <f t="shared" si="71"/>
        <v>PIN-055|MO</v>
      </c>
      <c r="L606" s="15">
        <f>COUNTIFS($K$2:K606,K606)</f>
        <v>1</v>
      </c>
      <c r="M606" s="15" t="str">
        <f t="shared" si="72"/>
        <v>PIN-055|MO|1</v>
      </c>
      <c r="N606" s="47">
        <f>IFERROR(VLOOKUP(A606,PARTIDAS!A:F,6,FALSE()),0)</f>
        <v>20</v>
      </c>
      <c r="O606" s="247">
        <f t="shared" si="73"/>
        <v>2.5000000000000001E-2</v>
      </c>
      <c r="P606" s="247" t="str">
        <f>+_xlfn.XLOOKUP(A606,PPTO_GENERADOR!Q:Q,PPTO_GENERADOR!E:E,"-",0)</f>
        <v>-</v>
      </c>
      <c r="Q606" s="247">
        <f t="shared" si="74"/>
        <v>0</v>
      </c>
      <c r="R606" s="259" t="str">
        <f>+_xlfn.XLOOKUP(A606,PPTO_GENERADOR!$Q:$Q,PPTO_GENERADOR!A:A,"-",0)</f>
        <v>-</v>
      </c>
    </row>
    <row r="607" spans="1:18" ht="15" customHeight="1" x14ac:dyDescent="0.35">
      <c r="A607" s="38" t="s">
        <v>2513</v>
      </c>
      <c r="B607" s="38" t="s">
        <v>2776</v>
      </c>
      <c r="C607" s="38" t="s">
        <v>2777</v>
      </c>
      <c r="D607" s="237" t="s">
        <v>1574</v>
      </c>
      <c r="E607" s="44" t="str">
        <f>IFERROR(VLOOKUP(D607,MANO_DE_OBRA!A:B,2,FALSE()),"?")</f>
        <v>MEDIO OFICIAL</v>
      </c>
      <c r="F607" s="44" t="s">
        <v>2778</v>
      </c>
      <c r="G607" s="45">
        <v>1</v>
      </c>
      <c r="H607" s="46">
        <v>0</v>
      </c>
      <c r="I607" s="47">
        <f>IFERROR(VLOOKUP(D607,MANO_DE_OBRA!A:C,3,FALSE()),0)</f>
        <v>65493.071636572</v>
      </c>
      <c r="J607" s="42">
        <f>G607*I607</f>
        <v>65493.071636572</v>
      </c>
      <c r="K607" s="15" t="str">
        <f t="shared" si="71"/>
        <v>PIN-055|MO</v>
      </c>
      <c r="L607" s="15">
        <f>COUNTIFS($K$2:K607,K607)</f>
        <v>2</v>
      </c>
      <c r="M607" s="15" t="str">
        <f t="shared" si="72"/>
        <v>PIN-055|MO|2</v>
      </c>
      <c r="N607" s="47">
        <f>IFERROR(VLOOKUP(A607,PARTIDAS!A:F,6,FALSE()),0)</f>
        <v>20</v>
      </c>
      <c r="O607" s="247">
        <f t="shared" si="73"/>
        <v>0.05</v>
      </c>
      <c r="P607" s="247" t="str">
        <f>+_xlfn.XLOOKUP(A607,PPTO_GENERADOR!Q:Q,PPTO_GENERADOR!E:E,"-",0)</f>
        <v>-</v>
      </c>
      <c r="Q607" s="247">
        <f t="shared" si="74"/>
        <v>0</v>
      </c>
      <c r="R607" s="259" t="str">
        <f>+_xlfn.XLOOKUP(A607,PPTO_GENERADOR!$Q:$Q,PPTO_GENERADOR!A:A,"-",0)</f>
        <v>-</v>
      </c>
    </row>
    <row r="608" spans="1:18" ht="15" customHeight="1" x14ac:dyDescent="0.35">
      <c r="A608" s="38" t="s">
        <v>2513</v>
      </c>
      <c r="B608" s="38" t="s">
        <v>2776</v>
      </c>
      <c r="C608" s="38" t="s">
        <v>2777</v>
      </c>
      <c r="D608" s="237" t="s">
        <v>1568</v>
      </c>
      <c r="E608" s="44" t="str">
        <f>IFERROR(VLOOKUP(D608,MANO_DE_OBRA!A:B,2,FALSE()),"?")</f>
        <v>ESPECIALIZADO</v>
      </c>
      <c r="F608" s="44" t="s">
        <v>2778</v>
      </c>
      <c r="G608" s="45">
        <v>1.5</v>
      </c>
      <c r="H608" s="46">
        <v>0</v>
      </c>
      <c r="I608" s="47">
        <f>IFERROR(VLOOKUP(D608,MANO_DE_OBRA!A:C,3,FALSE()),0)</f>
        <v>85927.097156571996</v>
      </c>
      <c r="J608" s="42">
        <f>G608*I608</f>
        <v>128890.645734858</v>
      </c>
      <c r="K608" s="15" t="str">
        <f t="shared" si="71"/>
        <v>PIN-055|MO</v>
      </c>
      <c r="L608" s="15">
        <f>COUNTIFS($K$2:K608,K608)</f>
        <v>3</v>
      </c>
      <c r="M608" s="15" t="str">
        <f t="shared" si="72"/>
        <v>PIN-055|MO|3</v>
      </c>
      <c r="N608" s="47">
        <f>IFERROR(VLOOKUP(A608,PARTIDAS!A:F,6,FALSE()),0)</f>
        <v>20</v>
      </c>
      <c r="O608" s="247">
        <f t="shared" si="73"/>
        <v>7.4999999999999997E-2</v>
      </c>
      <c r="P608" s="247" t="str">
        <f>+_xlfn.XLOOKUP(A608,PPTO_GENERADOR!Q:Q,PPTO_GENERADOR!E:E,"-",0)</f>
        <v>-</v>
      </c>
      <c r="Q608" s="247">
        <f t="shared" si="74"/>
        <v>0</v>
      </c>
      <c r="R608" s="259" t="str">
        <f>+_xlfn.XLOOKUP(A608,PPTO_GENERADOR!$Q:$Q,PPTO_GENERADOR!A:A,"-",0)</f>
        <v>-</v>
      </c>
    </row>
    <row r="609" spans="1:18" ht="15" customHeight="1" x14ac:dyDescent="0.35">
      <c r="A609" s="38" t="s">
        <v>2522</v>
      </c>
      <c r="B609" s="38" t="s">
        <v>2773</v>
      </c>
      <c r="C609" s="38"/>
      <c r="D609" s="38" t="s">
        <v>1604</v>
      </c>
      <c r="E609" s="44" t="str">
        <f>IFERROR(VLOOKUP(D609,EQUIPOS!A:B,2,FALSE()),"?")</f>
        <v>EQUIPO PARA PINTAR</v>
      </c>
      <c r="F609" s="44"/>
      <c r="G609" s="45">
        <v>2</v>
      </c>
      <c r="H609" s="46">
        <v>0</v>
      </c>
      <c r="I609" s="47">
        <f>IFERROR(VLOOKUP(D609,EQUIPOS!A:F,6,FALSE()),0)</f>
        <v>1723.6259595547085</v>
      </c>
      <c r="J609" s="42">
        <f>G609*I609</f>
        <v>3447.251919109417</v>
      </c>
      <c r="K609" s="15" t="str">
        <f t="shared" si="71"/>
        <v>PIN-059|EQ</v>
      </c>
      <c r="L609" s="15">
        <f>COUNTIFS($K$2:K609,K609)</f>
        <v>1</v>
      </c>
      <c r="M609" s="15" t="str">
        <f t="shared" si="72"/>
        <v>PIN-059|EQ|1</v>
      </c>
      <c r="N609" s="47">
        <f>IFERROR(VLOOKUP(A609,PARTIDAS!A:F,6,FALSE()),0)</f>
        <v>11</v>
      </c>
      <c r="O609" s="247">
        <f t="shared" si="73"/>
        <v>2</v>
      </c>
      <c r="P609" s="247" t="str">
        <f>+_xlfn.XLOOKUP(A609,PPTO_GENERADOR!Q:Q,PPTO_GENERADOR!E:E,"-",0)</f>
        <v>-</v>
      </c>
      <c r="Q609" s="247">
        <f t="shared" si="74"/>
        <v>0</v>
      </c>
      <c r="R609" s="259" t="str">
        <f>+_xlfn.XLOOKUP(A609,PPTO_GENERADOR!$Q:$Q,PPTO_GENERADOR!A:A,"-",0)</f>
        <v>-</v>
      </c>
    </row>
    <row r="610" spans="1:18" ht="15" customHeight="1" x14ac:dyDescent="0.35">
      <c r="A610" s="38" t="s">
        <v>2522</v>
      </c>
      <c r="B610" s="38" t="s">
        <v>2773</v>
      </c>
      <c r="C610" s="38"/>
      <c r="D610" s="38" t="s">
        <v>1749</v>
      </c>
      <c r="E610" s="44" t="str">
        <f>IFERROR(VLOOKUP(D610,EQUIPOS!A:B,2,FALSE()),"?")</f>
        <v>ESCALERA MADERA PINTOR 8 ESCALONES</v>
      </c>
      <c r="F610" s="44"/>
      <c r="G610" s="45">
        <v>1</v>
      </c>
      <c r="H610" s="46">
        <v>0</v>
      </c>
      <c r="I610" s="47">
        <f>IFERROR(VLOOKUP(D610,EQUIPOS!A:F,6,FALSE()),0)</f>
        <v>200.25307946474501</v>
      </c>
      <c r="J610" s="42">
        <f>G610*I610</f>
        <v>200.25307946474501</v>
      </c>
      <c r="K610" s="15" t="str">
        <f t="shared" si="71"/>
        <v>PIN-059|EQ</v>
      </c>
      <c r="L610" s="15">
        <f>COUNTIFS($K$2:K610,K610)</f>
        <v>2</v>
      </c>
      <c r="M610" s="15" t="str">
        <f t="shared" si="72"/>
        <v>PIN-059|EQ|2</v>
      </c>
      <c r="N610" s="47">
        <f>IFERROR(VLOOKUP(A610,PARTIDAS!A:F,6,FALSE()),0)</f>
        <v>11</v>
      </c>
      <c r="O610" s="247">
        <f t="shared" si="73"/>
        <v>1</v>
      </c>
      <c r="P610" s="247" t="str">
        <f>+_xlfn.XLOOKUP(A610,PPTO_GENERADOR!Q:Q,PPTO_GENERADOR!E:E,"-",0)</f>
        <v>-</v>
      </c>
      <c r="Q610" s="247">
        <f t="shared" si="74"/>
        <v>0</v>
      </c>
      <c r="R610" s="259" t="str">
        <f>+_xlfn.XLOOKUP(A610,PPTO_GENERADOR!$Q:$Q,PPTO_GENERADOR!A:A,"-",0)</f>
        <v>-</v>
      </c>
    </row>
    <row r="611" spans="1:18" ht="15" customHeight="1" x14ac:dyDescent="0.35">
      <c r="A611" s="38" t="s">
        <v>2522</v>
      </c>
      <c r="B611" s="38" t="s">
        <v>2774</v>
      </c>
      <c r="C611" s="38" t="s">
        <v>2775</v>
      </c>
      <c r="D611" s="38" t="s">
        <v>842</v>
      </c>
      <c r="E611" s="44" t="str">
        <f>IFERROR(VLOOKUP(D611,MATERIALES!A:B,2,FALSE()),"?")</f>
        <v>Fijador al agua x 20 lts</v>
      </c>
      <c r="F611" s="44" t="str">
        <f>IFERROR(VLOOKUP(D611,MATERIALES!A:C,3,FALSE()),"?")</f>
        <v>b</v>
      </c>
      <c r="G611" s="45">
        <v>4.0000000000000001E-3</v>
      </c>
      <c r="H611" s="46">
        <v>0.05</v>
      </c>
      <c r="I611" s="47">
        <f>IFERROR(VLOOKUP(D611,MATERIALES!A:D,4,FALSE()),0)</f>
        <v>30467.49</v>
      </c>
      <c r="J611" s="42">
        <f t="shared" ref="J611:J620" si="77">G611*I611*(1+H611)</f>
        <v>127.96345800000002</v>
      </c>
      <c r="K611" s="15" t="str">
        <f t="shared" si="71"/>
        <v>PIN-059|MAT</v>
      </c>
      <c r="L611" s="15">
        <f>COUNTIFS($K$2:K611,K611)</f>
        <v>1</v>
      </c>
      <c r="M611" s="15" t="str">
        <f t="shared" si="72"/>
        <v>PIN-059|MAT|1</v>
      </c>
      <c r="N611" s="47">
        <f>IFERROR(VLOOKUP(A611,PARTIDAS!A:F,6,FALSE()),0)</f>
        <v>11</v>
      </c>
      <c r="O611" s="247">
        <f t="shared" si="73"/>
        <v>4.0000000000000001E-3</v>
      </c>
      <c r="P611" s="247" t="str">
        <f>+_xlfn.XLOOKUP(A611,PPTO_GENERADOR!Q:Q,PPTO_GENERADOR!E:E,"-",0)</f>
        <v>-</v>
      </c>
      <c r="Q611" s="247">
        <f t="shared" si="74"/>
        <v>0</v>
      </c>
      <c r="R611" s="259" t="str">
        <f>+_xlfn.XLOOKUP(A611,PPTO_GENERADOR!$Q:$Q,PPTO_GENERADOR!A:A,"-",0)</f>
        <v>-</v>
      </c>
    </row>
    <row r="612" spans="1:18" ht="15" customHeight="1" x14ac:dyDescent="0.35">
      <c r="A612" s="38" t="s">
        <v>2522</v>
      </c>
      <c r="B612" s="38" t="s">
        <v>2774</v>
      </c>
      <c r="C612" s="38" t="s">
        <v>2775</v>
      </c>
      <c r="D612" s="38" t="s">
        <v>848</v>
      </c>
      <c r="E612" s="44" t="str">
        <f>IFERROR(VLOOKUP(D612,MATERIALES!A:B,2,FALSE()),"?")</f>
        <v>Lija 180 al agua x 10u</v>
      </c>
      <c r="F612" s="44" t="str">
        <f>IFERROR(VLOOKUP(D612,MATERIALES!A:C,3,FALSE()),"?")</f>
        <v>u</v>
      </c>
      <c r="G612" s="45">
        <v>0.05</v>
      </c>
      <c r="H612" s="46">
        <v>0.05</v>
      </c>
      <c r="I612" s="47">
        <f>IFERROR(VLOOKUP(D612,MATERIALES!A:D,4,FALSE()),0)</f>
        <v>5661.4</v>
      </c>
      <c r="J612" s="42">
        <f t="shared" si="77"/>
        <v>297.2235</v>
      </c>
      <c r="K612" s="15" t="str">
        <f t="shared" si="71"/>
        <v>PIN-059|MAT</v>
      </c>
      <c r="L612" s="15">
        <f>COUNTIFS($K$2:K612,K612)</f>
        <v>2</v>
      </c>
      <c r="M612" s="15" t="str">
        <f t="shared" si="72"/>
        <v>PIN-059|MAT|2</v>
      </c>
      <c r="N612" s="47">
        <f>IFERROR(VLOOKUP(A612,PARTIDAS!A:F,6,FALSE()),0)</f>
        <v>11</v>
      </c>
      <c r="O612" s="247">
        <f t="shared" si="73"/>
        <v>0.05</v>
      </c>
      <c r="P612" s="247" t="str">
        <f>+_xlfn.XLOOKUP(A612,PPTO_GENERADOR!Q:Q,PPTO_GENERADOR!E:E,"-",0)</f>
        <v>-</v>
      </c>
      <c r="Q612" s="247">
        <f t="shared" si="74"/>
        <v>0</v>
      </c>
      <c r="R612" s="259" t="str">
        <f>+_xlfn.XLOOKUP(A612,PPTO_GENERADOR!$Q:$Q,PPTO_GENERADOR!A:A,"-",0)</f>
        <v>-</v>
      </c>
    </row>
    <row r="613" spans="1:18" ht="15" customHeight="1" x14ac:dyDescent="0.35">
      <c r="A613" s="38" t="s">
        <v>2522</v>
      </c>
      <c r="B613" s="38" t="s">
        <v>2774</v>
      </c>
      <c r="C613" s="38" t="s">
        <v>2775</v>
      </c>
      <c r="D613" s="38" t="s">
        <v>851</v>
      </c>
      <c r="E613" s="44" t="str">
        <f>IFERROR(VLOOKUP(D613,MATERIALES!A:B,2,FALSE()),"?")</f>
        <v>Cinta de Papel 36 mm x 40m</v>
      </c>
      <c r="F613" s="44" t="str">
        <f>IFERROR(VLOOKUP(D613,MATERIALES!A:C,3,FALSE()),"?")</f>
        <v>u</v>
      </c>
      <c r="G613" s="45">
        <v>0.05</v>
      </c>
      <c r="H613" s="46">
        <v>0.1</v>
      </c>
      <c r="I613" s="47">
        <f>IFERROR(VLOOKUP(D613,MATERIALES!A:D,4,FALSE()),0)</f>
        <v>3293.01</v>
      </c>
      <c r="J613" s="42">
        <f t="shared" si="77"/>
        <v>181.11555000000004</v>
      </c>
      <c r="K613" s="15" t="str">
        <f t="shared" si="71"/>
        <v>PIN-059|MAT</v>
      </c>
      <c r="L613" s="15">
        <f>COUNTIFS($K$2:K613,K613)</f>
        <v>3</v>
      </c>
      <c r="M613" s="15" t="str">
        <f t="shared" si="72"/>
        <v>PIN-059|MAT|3</v>
      </c>
      <c r="N613" s="47">
        <f>IFERROR(VLOOKUP(A613,PARTIDAS!A:F,6,FALSE()),0)</f>
        <v>11</v>
      </c>
      <c r="O613" s="247">
        <f t="shared" si="73"/>
        <v>0.05</v>
      </c>
      <c r="P613" s="247" t="str">
        <f>+_xlfn.XLOOKUP(A613,PPTO_GENERADOR!Q:Q,PPTO_GENERADOR!E:E,"-",0)</f>
        <v>-</v>
      </c>
      <c r="Q613" s="247">
        <f t="shared" si="74"/>
        <v>0</v>
      </c>
      <c r="R613" s="259" t="str">
        <f>+_xlfn.XLOOKUP(A613,PPTO_GENERADOR!$Q:$Q,PPTO_GENERADOR!A:A,"-",0)</f>
        <v>-</v>
      </c>
    </row>
    <row r="614" spans="1:18" ht="15" customHeight="1" x14ac:dyDescent="0.35">
      <c r="A614" s="38" t="s">
        <v>2522</v>
      </c>
      <c r="B614" s="38" t="s">
        <v>2774</v>
      </c>
      <c r="C614" s="38" t="s">
        <v>2775</v>
      </c>
      <c r="D614" s="38" t="s">
        <v>855</v>
      </c>
      <c r="E614" s="44" t="str">
        <f>IFERROR(VLOOKUP(D614,MATERIALES!A:B,2,FALSE()),"?")</f>
        <v>Trapo</v>
      </c>
      <c r="F614" s="44" t="str">
        <f>IFERROR(VLOOKUP(D614,MATERIALES!A:C,3,FALSE()),"?")</f>
        <v>u</v>
      </c>
      <c r="G614" s="45">
        <v>0.03</v>
      </c>
      <c r="H614" s="46">
        <v>0.05</v>
      </c>
      <c r="I614" s="47">
        <f>IFERROR(VLOOKUP(D614,MATERIALES!A:D,4,FALSE()),0)</f>
        <v>735.06</v>
      </c>
      <c r="J614" s="42">
        <f t="shared" si="77"/>
        <v>23.154389999999996</v>
      </c>
      <c r="K614" s="15" t="str">
        <f t="shared" si="71"/>
        <v>PIN-059|MAT</v>
      </c>
      <c r="L614" s="15">
        <f>COUNTIFS($K$2:K614,K614)</f>
        <v>4</v>
      </c>
      <c r="M614" s="15" t="str">
        <f t="shared" si="72"/>
        <v>PIN-059|MAT|4</v>
      </c>
      <c r="N614" s="47">
        <f>IFERROR(VLOOKUP(A614,PARTIDAS!A:F,6,FALSE()),0)</f>
        <v>11</v>
      </c>
      <c r="O614" s="247">
        <f t="shared" si="73"/>
        <v>0.03</v>
      </c>
      <c r="P614" s="247" t="str">
        <f>+_xlfn.XLOOKUP(A614,PPTO_GENERADOR!Q:Q,PPTO_GENERADOR!E:E,"-",0)</f>
        <v>-</v>
      </c>
      <c r="Q614" s="247">
        <f t="shared" si="74"/>
        <v>0</v>
      </c>
      <c r="R614" s="259" t="str">
        <f>+_xlfn.XLOOKUP(A614,PPTO_GENERADOR!$Q:$Q,PPTO_GENERADOR!A:A,"-",0)</f>
        <v>-</v>
      </c>
    </row>
    <row r="615" spans="1:18" ht="15" customHeight="1" x14ac:dyDescent="0.35">
      <c r="A615" s="38" t="s">
        <v>2522</v>
      </c>
      <c r="B615" s="38" t="s">
        <v>2774</v>
      </c>
      <c r="C615" s="38" t="s">
        <v>2775</v>
      </c>
      <c r="D615" s="38" t="s">
        <v>861</v>
      </c>
      <c r="E615" s="44" t="str">
        <f>IFERROR(VLOOKUP(D615,MATERIALES!A:B,2,FALSE()),"?")</f>
        <v>Rodillo de lana pelo corto antigota N°22 - El Galgo</v>
      </c>
      <c r="F615" s="44" t="str">
        <f>IFERROR(VLOOKUP(D615,MATERIALES!A:C,3,FALSE()),"?")</f>
        <v>u</v>
      </c>
      <c r="G615" s="45">
        <v>5.0000000000000001E-3</v>
      </c>
      <c r="H615" s="46">
        <v>0.05</v>
      </c>
      <c r="I615" s="47">
        <f>IFERROR(VLOOKUP(D615,MATERIALES!A:D,4,FALSE()),0)</f>
        <v>6678.36</v>
      </c>
      <c r="J615" s="42">
        <f t="shared" si="77"/>
        <v>35.061389999999996</v>
      </c>
      <c r="K615" s="15" t="str">
        <f t="shared" si="71"/>
        <v>PIN-059|MAT</v>
      </c>
      <c r="L615" s="15">
        <f>COUNTIFS($K$2:K615,K615)</f>
        <v>5</v>
      </c>
      <c r="M615" s="15" t="str">
        <f t="shared" si="72"/>
        <v>PIN-059|MAT|5</v>
      </c>
      <c r="N615" s="47">
        <f>IFERROR(VLOOKUP(A615,PARTIDAS!A:F,6,FALSE()),0)</f>
        <v>11</v>
      </c>
      <c r="O615" s="247">
        <f t="shared" si="73"/>
        <v>5.0000000000000001E-3</v>
      </c>
      <c r="P615" s="247" t="str">
        <f>+_xlfn.XLOOKUP(A615,PPTO_GENERADOR!Q:Q,PPTO_GENERADOR!E:E,"-",0)</f>
        <v>-</v>
      </c>
      <c r="Q615" s="247">
        <f t="shared" si="74"/>
        <v>0</v>
      </c>
      <c r="R615" s="259" t="str">
        <f>+_xlfn.XLOOKUP(A615,PPTO_GENERADOR!$Q:$Q,PPTO_GENERADOR!A:A,"-",0)</f>
        <v>-</v>
      </c>
    </row>
    <row r="616" spans="1:18" ht="15" customHeight="1" x14ac:dyDescent="0.35">
      <c r="A616" s="38" t="s">
        <v>2522</v>
      </c>
      <c r="B616" s="38" t="s">
        <v>2774</v>
      </c>
      <c r="C616" s="38" t="s">
        <v>2775</v>
      </c>
      <c r="D616" s="38" t="s">
        <v>865</v>
      </c>
      <c r="E616" s="44" t="str">
        <f>IFERROR(VLOOKUP(D616,MATERIALES!A:B,2,FALSE()),"?")</f>
        <v>Pincel N° 20 - El Galgo</v>
      </c>
      <c r="F616" s="44" t="str">
        <f>IFERROR(VLOOKUP(D616,MATERIALES!A:C,3,FALSE()),"?")</f>
        <v>u</v>
      </c>
      <c r="G616" s="45">
        <v>5.0000000000000001E-3</v>
      </c>
      <c r="H616" s="46">
        <v>0.05</v>
      </c>
      <c r="I616" s="47">
        <f>IFERROR(VLOOKUP(D616,MATERIALES!A:D,4,FALSE()),0)</f>
        <v>5282.24</v>
      </c>
      <c r="J616" s="42">
        <f t="shared" si="77"/>
        <v>27.731760000000001</v>
      </c>
      <c r="K616" s="15" t="str">
        <f t="shared" si="71"/>
        <v>PIN-059|MAT</v>
      </c>
      <c r="L616" s="15">
        <f>COUNTIFS($K$2:K616,K616)</f>
        <v>6</v>
      </c>
      <c r="M616" s="15" t="str">
        <f t="shared" si="72"/>
        <v>PIN-059|MAT|6</v>
      </c>
      <c r="N616" s="47">
        <f>IFERROR(VLOOKUP(A616,PARTIDAS!A:F,6,FALSE()),0)</f>
        <v>11</v>
      </c>
      <c r="O616" s="247">
        <f t="shared" si="73"/>
        <v>5.0000000000000001E-3</v>
      </c>
      <c r="P616" s="247" t="str">
        <f>+_xlfn.XLOOKUP(A616,PPTO_GENERADOR!Q:Q,PPTO_GENERADOR!E:E,"-",0)</f>
        <v>-</v>
      </c>
      <c r="Q616" s="247">
        <f t="shared" si="74"/>
        <v>0</v>
      </c>
      <c r="R616" s="259" t="str">
        <f>+_xlfn.XLOOKUP(A616,PPTO_GENERADOR!$Q:$Q,PPTO_GENERADOR!A:A,"-",0)</f>
        <v>-</v>
      </c>
    </row>
    <row r="617" spans="1:18" ht="15" customHeight="1" x14ac:dyDescent="0.35">
      <c r="A617" s="38" t="s">
        <v>2522</v>
      </c>
      <c r="B617" s="38" t="s">
        <v>2774</v>
      </c>
      <c r="C617" s="38" t="s">
        <v>2775</v>
      </c>
      <c r="D617" s="38" t="s">
        <v>868</v>
      </c>
      <c r="E617" s="44" t="str">
        <f>IFERROR(VLOOKUP(D617,MATERIALES!A:B,2,FALSE()),"?")</f>
        <v>Rollo de cartón corrugado 0,90 x 25 mts</v>
      </c>
      <c r="F617" s="44" t="str">
        <f>IFERROR(VLOOKUP(D617,MATERIALES!A:C,3,FALSE()),"?")</f>
        <v>u</v>
      </c>
      <c r="G617" s="45">
        <v>0.01</v>
      </c>
      <c r="H617" s="46">
        <v>0.05</v>
      </c>
      <c r="I617" s="47">
        <f>IFERROR(VLOOKUP(D617,MATERIALES!A:D,4,FALSE()),0)</f>
        <v>7427.6</v>
      </c>
      <c r="J617" s="42">
        <f t="shared" si="77"/>
        <v>77.989800000000017</v>
      </c>
      <c r="K617" s="15" t="str">
        <f t="shared" si="71"/>
        <v>PIN-059|MAT</v>
      </c>
      <c r="L617" s="15">
        <f>COUNTIFS($K$2:K617,K617)</f>
        <v>7</v>
      </c>
      <c r="M617" s="15" t="str">
        <f t="shared" si="72"/>
        <v>PIN-059|MAT|7</v>
      </c>
      <c r="N617" s="47">
        <f>IFERROR(VLOOKUP(A617,PARTIDAS!A:F,6,FALSE()),0)</f>
        <v>11</v>
      </c>
      <c r="O617" s="247">
        <f t="shared" si="73"/>
        <v>0.01</v>
      </c>
      <c r="P617" s="247" t="str">
        <f>+_xlfn.XLOOKUP(A617,PPTO_GENERADOR!Q:Q,PPTO_GENERADOR!E:E,"-",0)</f>
        <v>-</v>
      </c>
      <c r="Q617" s="247">
        <f t="shared" si="74"/>
        <v>0</v>
      </c>
      <c r="R617" s="259" t="str">
        <f>+_xlfn.XLOOKUP(A617,PPTO_GENERADOR!$Q:$Q,PPTO_GENERADOR!A:A,"-",0)</f>
        <v>-</v>
      </c>
    </row>
    <row r="618" spans="1:18" ht="15" customHeight="1" x14ac:dyDescent="0.35">
      <c r="A618" s="38" t="s">
        <v>2522</v>
      </c>
      <c r="B618" s="38" t="s">
        <v>2774</v>
      </c>
      <c r="C618" s="38" t="s">
        <v>2775</v>
      </c>
      <c r="D618" s="38" t="s">
        <v>795</v>
      </c>
      <c r="E618" s="44" t="str">
        <f>IFERROR(VLOOKUP(D618,MATERIALES!A:B,2,FALSE()),"?")</f>
        <v>Latex Loxon Interior Sherwin Williams Mate Bco x 20lts</v>
      </c>
      <c r="F618" s="44" t="str">
        <f>IFERROR(VLOOKUP(D618,MATERIALES!A:C,3,FALSE()),"?")</f>
        <v>B</v>
      </c>
      <c r="G618" s="45">
        <v>1.2500000000000001E-2</v>
      </c>
      <c r="H618" s="46">
        <v>0.1</v>
      </c>
      <c r="I618" s="47">
        <f>IFERROR(VLOOKUP(D618,MATERIALES!A:D,4,FALSE()),0)</f>
        <v>120622.23</v>
      </c>
      <c r="J618" s="42">
        <f t="shared" si="77"/>
        <v>1658.5556625000002</v>
      </c>
      <c r="K618" s="15" t="str">
        <f t="shared" si="71"/>
        <v>PIN-059|MAT</v>
      </c>
      <c r="L618" s="15">
        <f>COUNTIFS($K$2:K618,K618)</f>
        <v>8</v>
      </c>
      <c r="M618" s="15" t="str">
        <f t="shared" si="72"/>
        <v>PIN-059|MAT|8</v>
      </c>
      <c r="N618" s="47">
        <f>IFERROR(VLOOKUP(A618,PARTIDAS!A:F,6,FALSE()),0)</f>
        <v>11</v>
      </c>
      <c r="O618" s="247">
        <f t="shared" si="73"/>
        <v>1.2500000000000001E-2</v>
      </c>
      <c r="P618" s="247" t="str">
        <f>+_xlfn.XLOOKUP(A618,PPTO_GENERADOR!Q:Q,PPTO_GENERADOR!E:E,"-",0)</f>
        <v>-</v>
      </c>
      <c r="Q618" s="247">
        <f t="shared" si="74"/>
        <v>0</v>
      </c>
      <c r="R618" s="259" t="str">
        <f>+_xlfn.XLOOKUP(A618,PPTO_GENERADOR!$Q:$Q,PPTO_GENERADOR!A:A,"-",0)</f>
        <v>-</v>
      </c>
    </row>
    <row r="619" spans="1:18" ht="15" customHeight="1" x14ac:dyDescent="0.35">
      <c r="A619" s="38" t="s">
        <v>2522</v>
      </c>
      <c r="B619" s="38" t="s">
        <v>2774</v>
      </c>
      <c r="C619" s="38" t="s">
        <v>2775</v>
      </c>
      <c r="D619" s="38" t="s">
        <v>815</v>
      </c>
      <c r="E619" s="44" t="str">
        <f>IFERROR(VLOOKUP(D619,MATERIALES!A:B,2,FALSE()),"?")</f>
        <v>Enduido Interior x 20lts</v>
      </c>
      <c r="F619" s="44" t="str">
        <f>IFERROR(VLOOKUP(D619,MATERIALES!A:C,3,FALSE()),"?")</f>
        <v>B</v>
      </c>
      <c r="G619" s="45">
        <v>0.05</v>
      </c>
      <c r="H619" s="46">
        <v>0.1</v>
      </c>
      <c r="I619" s="47">
        <f>IFERROR(VLOOKUP(D619,MATERIALES!A:D,4,FALSE()),0)</f>
        <v>18735.77</v>
      </c>
      <c r="J619" s="42">
        <f t="shared" si="77"/>
        <v>1030.4673500000001</v>
      </c>
      <c r="K619" s="15" t="str">
        <f t="shared" si="71"/>
        <v>PIN-059|MAT</v>
      </c>
      <c r="L619" s="15">
        <f>COUNTIFS($K$2:K619,K619)</f>
        <v>9</v>
      </c>
      <c r="M619" s="15" t="str">
        <f t="shared" si="72"/>
        <v>PIN-059|MAT|9</v>
      </c>
      <c r="N619" s="47">
        <f>IFERROR(VLOOKUP(A619,PARTIDAS!A:F,6,FALSE()),0)</f>
        <v>11</v>
      </c>
      <c r="O619" s="247">
        <f t="shared" si="73"/>
        <v>0.05</v>
      </c>
      <c r="P619" s="247" t="str">
        <f>+_xlfn.XLOOKUP(A619,PPTO_GENERADOR!Q:Q,PPTO_GENERADOR!E:E,"-",0)</f>
        <v>-</v>
      </c>
      <c r="Q619" s="247">
        <f t="shared" si="74"/>
        <v>0</v>
      </c>
      <c r="R619" s="259" t="str">
        <f>+_xlfn.XLOOKUP(A619,PPTO_GENERADOR!$Q:$Q,PPTO_GENERADOR!A:A,"-",0)</f>
        <v>-</v>
      </c>
    </row>
    <row r="620" spans="1:18" ht="15" customHeight="1" x14ac:dyDescent="0.35">
      <c r="A620" s="38" t="s">
        <v>2522</v>
      </c>
      <c r="B620" s="38" t="s">
        <v>2774</v>
      </c>
      <c r="C620" s="38" t="s">
        <v>2775</v>
      </c>
      <c r="D620" s="38" t="s">
        <v>666</v>
      </c>
      <c r="E620" s="44" t="str">
        <f>IFERROR(VLOOKUP(D620,MATERIALES!A:B,2,FALSE()),"?")</f>
        <v>Yeso Tuyango x 30kg</v>
      </c>
      <c r="F620" s="44" t="str">
        <f>IFERROR(VLOOKUP(D620,MATERIALES!A:C,3,FALSE()),"?")</f>
        <v>b</v>
      </c>
      <c r="G620" s="45">
        <v>2.5000000000000001E-3</v>
      </c>
      <c r="H620" s="46">
        <v>0.05</v>
      </c>
      <c r="I620" s="47">
        <f>IFERROR(VLOOKUP(D620,MATERIALES!A:D,4,FALSE()),0)</f>
        <v>9639</v>
      </c>
      <c r="J620" s="42">
        <f t="shared" si="77"/>
        <v>25.302375000000001</v>
      </c>
      <c r="K620" s="15" t="str">
        <f t="shared" si="71"/>
        <v>PIN-059|MAT</v>
      </c>
      <c r="L620" s="15">
        <f>COUNTIFS($K$2:K620,K620)</f>
        <v>10</v>
      </c>
      <c r="M620" s="15" t="str">
        <f t="shared" si="72"/>
        <v>PIN-059|MAT|10</v>
      </c>
      <c r="N620" s="47">
        <f>IFERROR(VLOOKUP(A620,PARTIDAS!A:F,6,FALSE()),0)</f>
        <v>11</v>
      </c>
      <c r="O620" s="247">
        <f t="shared" si="73"/>
        <v>2.5000000000000001E-3</v>
      </c>
      <c r="P620" s="247" t="str">
        <f>+_xlfn.XLOOKUP(A620,PPTO_GENERADOR!Q:Q,PPTO_GENERADOR!E:E,"-",0)</f>
        <v>-</v>
      </c>
      <c r="Q620" s="247">
        <f t="shared" si="74"/>
        <v>0</v>
      </c>
      <c r="R620" s="259" t="str">
        <f>+_xlfn.XLOOKUP(A620,PPTO_GENERADOR!$Q:$Q,PPTO_GENERADOR!A:A,"-",0)</f>
        <v>-</v>
      </c>
    </row>
    <row r="621" spans="1:18" ht="15" customHeight="1" x14ac:dyDescent="0.35">
      <c r="A621" s="38" t="s">
        <v>2522</v>
      </c>
      <c r="B621" s="38" t="s">
        <v>2776</v>
      </c>
      <c r="C621" s="38" t="s">
        <v>2777</v>
      </c>
      <c r="D621" s="237" t="s">
        <v>1574</v>
      </c>
      <c r="E621" s="44" t="str">
        <f>IFERROR(VLOOKUP(D621,MANO_DE_OBRA!A:B,2,FALSE()),"?")</f>
        <v>MEDIO OFICIAL</v>
      </c>
      <c r="F621" s="44" t="s">
        <v>2778</v>
      </c>
      <c r="G621" s="45">
        <v>1</v>
      </c>
      <c r="H621" s="46">
        <v>0</v>
      </c>
      <c r="I621" s="47">
        <f>IFERROR(VLOOKUP(D621,MANO_DE_OBRA!A:C,3,FALSE()),0)</f>
        <v>65493.071636572</v>
      </c>
      <c r="J621" s="42">
        <f>G621*I621</f>
        <v>65493.071636572</v>
      </c>
      <c r="K621" s="15" t="str">
        <f t="shared" si="71"/>
        <v>PIN-059|MO</v>
      </c>
      <c r="L621" s="15">
        <f>COUNTIFS($K$2:K621,K621)</f>
        <v>1</v>
      </c>
      <c r="M621" s="15" t="str">
        <f t="shared" si="72"/>
        <v>PIN-059|MO|1</v>
      </c>
      <c r="N621" s="47">
        <f>IFERROR(VLOOKUP(A621,PARTIDAS!A:F,6,FALSE()),0)</f>
        <v>11</v>
      </c>
      <c r="O621" s="247">
        <f t="shared" si="73"/>
        <v>9.0909090909090912E-2</v>
      </c>
      <c r="P621" s="247" t="str">
        <f>+_xlfn.XLOOKUP(A621,PPTO_GENERADOR!Q:Q,PPTO_GENERADOR!E:E,"-",0)</f>
        <v>-</v>
      </c>
      <c r="Q621" s="247">
        <f t="shared" si="74"/>
        <v>0</v>
      </c>
      <c r="R621" s="259" t="str">
        <f>+_xlfn.XLOOKUP(A621,PPTO_GENERADOR!$Q:$Q,PPTO_GENERADOR!A:A,"-",0)</f>
        <v>-</v>
      </c>
    </row>
    <row r="622" spans="1:18" ht="15" customHeight="1" x14ac:dyDescent="0.35">
      <c r="A622" s="38" t="s">
        <v>2522</v>
      </c>
      <c r="B622" s="38" t="s">
        <v>2776</v>
      </c>
      <c r="C622" s="38" t="s">
        <v>2777</v>
      </c>
      <c r="D622" s="237" t="s">
        <v>1568</v>
      </c>
      <c r="E622" s="44" t="str">
        <f>IFERROR(VLOOKUP(D622,MANO_DE_OBRA!A:B,2,FALSE()),"?")</f>
        <v>ESPECIALIZADO</v>
      </c>
      <c r="F622" s="44" t="s">
        <v>2778</v>
      </c>
      <c r="G622" s="45">
        <v>1</v>
      </c>
      <c r="H622" s="46">
        <v>0</v>
      </c>
      <c r="I622" s="47">
        <f>IFERROR(VLOOKUP(D622,MANO_DE_OBRA!A:C,3,FALSE()),0)</f>
        <v>85927.097156571996</v>
      </c>
      <c r="J622" s="42">
        <f>G622*I622</f>
        <v>85927.097156571996</v>
      </c>
      <c r="K622" s="15" t="str">
        <f t="shared" si="71"/>
        <v>PIN-059|MO</v>
      </c>
      <c r="L622" s="15">
        <f>COUNTIFS($K$2:K622,K622)</f>
        <v>2</v>
      </c>
      <c r="M622" s="15" t="str">
        <f t="shared" si="72"/>
        <v>PIN-059|MO|2</v>
      </c>
      <c r="N622" s="47">
        <f>IFERROR(VLOOKUP(A622,PARTIDAS!A:F,6,FALSE()),0)</f>
        <v>11</v>
      </c>
      <c r="O622" s="247">
        <f t="shared" si="73"/>
        <v>9.0909090909090912E-2</v>
      </c>
      <c r="P622" s="247" t="str">
        <f>+_xlfn.XLOOKUP(A622,PPTO_GENERADOR!Q:Q,PPTO_GENERADOR!E:E,"-",0)</f>
        <v>-</v>
      </c>
      <c r="Q622" s="247">
        <f t="shared" si="74"/>
        <v>0</v>
      </c>
      <c r="R622" s="259" t="str">
        <f>+_xlfn.XLOOKUP(A622,PPTO_GENERADOR!$Q:$Q,PPTO_GENERADOR!A:A,"-",0)</f>
        <v>-</v>
      </c>
    </row>
    <row r="623" spans="1:18" ht="15" customHeight="1" x14ac:dyDescent="0.35">
      <c r="A623" s="38" t="s">
        <v>2546</v>
      </c>
      <c r="B623" s="38" t="s">
        <v>2773</v>
      </c>
      <c r="C623" s="38"/>
      <c r="D623" s="38" t="s">
        <v>1604</v>
      </c>
      <c r="E623" s="44" t="str">
        <f>IFERROR(VLOOKUP(D623,EQUIPOS!A:B,2,FALSE()),"?")</f>
        <v>EQUIPO PARA PINTAR</v>
      </c>
      <c r="F623" s="44"/>
      <c r="G623" s="45">
        <v>1</v>
      </c>
      <c r="H623" s="46">
        <v>0</v>
      </c>
      <c r="I623" s="47">
        <f>IFERROR(VLOOKUP(D623,EQUIPOS!A:F,6,FALSE()),0)</f>
        <v>1723.6259595547085</v>
      </c>
      <c r="J623" s="42">
        <f>G623*I623</f>
        <v>1723.6259595547085</v>
      </c>
      <c r="K623" s="15" t="str">
        <f t="shared" si="71"/>
        <v>PIN-067|EQ</v>
      </c>
      <c r="L623" s="15">
        <f>COUNTIFS($K$2:K623,K623)</f>
        <v>1</v>
      </c>
      <c r="M623" s="15" t="str">
        <f t="shared" si="72"/>
        <v>PIN-067|EQ|1</v>
      </c>
      <c r="N623" s="47">
        <f>IFERROR(VLOOKUP(A623,PARTIDAS!A:F,6,FALSE()),0)</f>
        <v>20</v>
      </c>
      <c r="O623" s="247">
        <f t="shared" si="73"/>
        <v>1</v>
      </c>
      <c r="P623" s="247" t="str">
        <f>+_xlfn.XLOOKUP(A623,PPTO_GENERADOR!Q:Q,PPTO_GENERADOR!E:E,"-",0)</f>
        <v>-</v>
      </c>
      <c r="Q623" s="247">
        <f t="shared" si="74"/>
        <v>0</v>
      </c>
      <c r="R623" s="259" t="str">
        <f>+_xlfn.XLOOKUP(A623,PPTO_GENERADOR!$Q:$Q,PPTO_GENERADOR!A:A,"-",0)</f>
        <v>-</v>
      </c>
    </row>
    <row r="624" spans="1:18" ht="15" customHeight="1" x14ac:dyDescent="0.35">
      <c r="A624" s="38" t="s">
        <v>2546</v>
      </c>
      <c r="B624" s="38" t="s">
        <v>2773</v>
      </c>
      <c r="C624" s="38"/>
      <c r="D624" s="38" t="s">
        <v>1749</v>
      </c>
      <c r="E624" s="44" t="str">
        <f>IFERROR(VLOOKUP(D624,EQUIPOS!A:B,2,FALSE()),"?")</f>
        <v>ESCALERA MADERA PINTOR 8 ESCALONES</v>
      </c>
      <c r="F624" s="44"/>
      <c r="G624" s="45">
        <v>1</v>
      </c>
      <c r="H624" s="46">
        <v>0</v>
      </c>
      <c r="I624" s="47">
        <f>IFERROR(VLOOKUP(D624,EQUIPOS!A:F,6,FALSE()),0)</f>
        <v>200.25307946474501</v>
      </c>
      <c r="J624" s="42">
        <f>G624*I624</f>
        <v>200.25307946474501</v>
      </c>
      <c r="K624" s="15" t="str">
        <f t="shared" si="71"/>
        <v>PIN-067|EQ</v>
      </c>
      <c r="L624" s="15">
        <f>COUNTIFS($K$2:K624,K624)</f>
        <v>2</v>
      </c>
      <c r="M624" s="15" t="str">
        <f t="shared" si="72"/>
        <v>PIN-067|EQ|2</v>
      </c>
      <c r="N624" s="47">
        <f>IFERROR(VLOOKUP(A624,PARTIDAS!A:F,6,FALSE()),0)</f>
        <v>20</v>
      </c>
      <c r="O624" s="247">
        <f t="shared" si="73"/>
        <v>1</v>
      </c>
      <c r="P624" s="247" t="str">
        <f>+_xlfn.XLOOKUP(A624,PPTO_GENERADOR!Q:Q,PPTO_GENERADOR!E:E,"-",0)</f>
        <v>-</v>
      </c>
      <c r="Q624" s="247">
        <f t="shared" si="74"/>
        <v>0</v>
      </c>
      <c r="R624" s="259" t="str">
        <f>+_xlfn.XLOOKUP(A624,PPTO_GENERADOR!$Q:$Q,PPTO_GENERADOR!A:A,"-",0)</f>
        <v>-</v>
      </c>
    </row>
    <row r="625" spans="1:18" ht="15" customHeight="1" x14ac:dyDescent="0.35">
      <c r="A625" s="38" t="s">
        <v>2546</v>
      </c>
      <c r="B625" s="38" t="s">
        <v>2774</v>
      </c>
      <c r="C625" s="38" t="s">
        <v>2775</v>
      </c>
      <c r="D625" s="38" t="s">
        <v>845</v>
      </c>
      <c r="E625" s="44" t="str">
        <f>IFERROR(VLOOKUP(D625,MATERIALES!A:B,2,FALSE()),"?")</f>
        <v>Aguarras Hydrarras Hydra x 18lts</v>
      </c>
      <c r="F625" s="44" t="str">
        <f>IFERROR(VLOOKUP(D625,MATERIALES!A:C,3,FALSE()),"?")</f>
        <v>b</v>
      </c>
      <c r="G625" s="45">
        <v>0.01</v>
      </c>
      <c r="H625" s="46">
        <v>0.1</v>
      </c>
      <c r="I625" s="47">
        <f>IFERROR(VLOOKUP(D625,MATERIALES!A:D,4,FALSE()),0)</f>
        <v>26907.33</v>
      </c>
      <c r="J625" s="42">
        <f t="shared" ref="J625:J633" si="78">G625*I625*(1+H625)</f>
        <v>295.98063000000002</v>
      </c>
      <c r="K625" s="15" t="str">
        <f t="shared" si="71"/>
        <v>PIN-067|MAT</v>
      </c>
      <c r="L625" s="15">
        <f>COUNTIFS($K$2:K625,K625)</f>
        <v>1</v>
      </c>
      <c r="M625" s="15" t="str">
        <f t="shared" si="72"/>
        <v>PIN-067|MAT|1</v>
      </c>
      <c r="N625" s="47">
        <f>IFERROR(VLOOKUP(A625,PARTIDAS!A:F,6,FALSE()),0)</f>
        <v>20</v>
      </c>
      <c r="O625" s="247">
        <f t="shared" si="73"/>
        <v>0.01</v>
      </c>
      <c r="P625" s="247" t="str">
        <f>+_xlfn.XLOOKUP(A625,PPTO_GENERADOR!Q:Q,PPTO_GENERADOR!E:E,"-",0)</f>
        <v>-</v>
      </c>
      <c r="Q625" s="247">
        <f t="shared" si="74"/>
        <v>0</v>
      </c>
      <c r="R625" s="259" t="str">
        <f>+_xlfn.XLOOKUP(A625,PPTO_GENERADOR!$Q:$Q,PPTO_GENERADOR!A:A,"-",0)</f>
        <v>-</v>
      </c>
    </row>
    <row r="626" spans="1:18" ht="15" customHeight="1" x14ac:dyDescent="0.35">
      <c r="A626" s="38" t="s">
        <v>2546</v>
      </c>
      <c r="B626" s="38" t="s">
        <v>2774</v>
      </c>
      <c r="C626" s="38" t="s">
        <v>2775</v>
      </c>
      <c r="D626" s="38" t="s">
        <v>848</v>
      </c>
      <c r="E626" s="44" t="str">
        <f>IFERROR(VLOOKUP(D626,MATERIALES!A:B,2,FALSE()),"?")</f>
        <v>Lija 180 al agua x 10u</v>
      </c>
      <c r="F626" s="44" t="str">
        <f>IFERROR(VLOOKUP(D626,MATERIALES!A:C,3,FALSE()),"?")</f>
        <v>u</v>
      </c>
      <c r="G626" s="45">
        <v>0.02</v>
      </c>
      <c r="H626" s="46">
        <v>0.05</v>
      </c>
      <c r="I626" s="47">
        <f>IFERROR(VLOOKUP(D626,MATERIALES!A:D,4,FALSE()),0)</f>
        <v>5661.4</v>
      </c>
      <c r="J626" s="42">
        <f t="shared" si="78"/>
        <v>118.88939999999999</v>
      </c>
      <c r="K626" s="15" t="str">
        <f t="shared" si="71"/>
        <v>PIN-067|MAT</v>
      </c>
      <c r="L626" s="15">
        <f>COUNTIFS($K$2:K626,K626)</f>
        <v>2</v>
      </c>
      <c r="M626" s="15" t="str">
        <f t="shared" si="72"/>
        <v>PIN-067|MAT|2</v>
      </c>
      <c r="N626" s="47">
        <f>IFERROR(VLOOKUP(A626,PARTIDAS!A:F,6,FALSE()),0)</f>
        <v>20</v>
      </c>
      <c r="O626" s="247">
        <f t="shared" si="73"/>
        <v>0.02</v>
      </c>
      <c r="P626" s="247" t="str">
        <f>+_xlfn.XLOOKUP(A626,PPTO_GENERADOR!Q:Q,PPTO_GENERADOR!E:E,"-",0)</f>
        <v>-</v>
      </c>
      <c r="Q626" s="247">
        <f t="shared" si="74"/>
        <v>0</v>
      </c>
      <c r="R626" s="259" t="str">
        <f>+_xlfn.XLOOKUP(A626,PPTO_GENERADOR!$Q:$Q,PPTO_GENERADOR!A:A,"-",0)</f>
        <v>-</v>
      </c>
    </row>
    <row r="627" spans="1:18" ht="15" customHeight="1" x14ac:dyDescent="0.35">
      <c r="A627" s="38" t="s">
        <v>2546</v>
      </c>
      <c r="B627" s="38" t="s">
        <v>2774</v>
      </c>
      <c r="C627" s="38" t="s">
        <v>2775</v>
      </c>
      <c r="D627" s="38" t="s">
        <v>851</v>
      </c>
      <c r="E627" s="44" t="str">
        <f>IFERROR(VLOOKUP(D627,MATERIALES!A:B,2,FALSE()),"?")</f>
        <v>Cinta de Papel 36 mm x 40m</v>
      </c>
      <c r="F627" s="44" t="str">
        <f>IFERROR(VLOOKUP(D627,MATERIALES!A:C,3,FALSE()),"?")</f>
        <v>u</v>
      </c>
      <c r="G627" s="45">
        <v>0.05</v>
      </c>
      <c r="H627" s="46">
        <v>0.1</v>
      </c>
      <c r="I627" s="47">
        <f>IFERROR(VLOOKUP(D627,MATERIALES!A:D,4,FALSE()),0)</f>
        <v>3293.01</v>
      </c>
      <c r="J627" s="42">
        <f t="shared" si="78"/>
        <v>181.11555000000004</v>
      </c>
      <c r="K627" s="15" t="str">
        <f t="shared" si="71"/>
        <v>PIN-067|MAT</v>
      </c>
      <c r="L627" s="15">
        <f>COUNTIFS($K$2:K627,K627)</f>
        <v>3</v>
      </c>
      <c r="M627" s="15" t="str">
        <f t="shared" si="72"/>
        <v>PIN-067|MAT|3</v>
      </c>
      <c r="N627" s="47">
        <f>IFERROR(VLOOKUP(A627,PARTIDAS!A:F,6,FALSE()),0)</f>
        <v>20</v>
      </c>
      <c r="O627" s="247">
        <f t="shared" si="73"/>
        <v>0.05</v>
      </c>
      <c r="P627" s="247" t="str">
        <f>+_xlfn.XLOOKUP(A627,PPTO_GENERADOR!Q:Q,PPTO_GENERADOR!E:E,"-",0)</f>
        <v>-</v>
      </c>
      <c r="Q627" s="247">
        <f t="shared" si="74"/>
        <v>0</v>
      </c>
      <c r="R627" s="259" t="str">
        <f>+_xlfn.XLOOKUP(A627,PPTO_GENERADOR!$Q:$Q,PPTO_GENERADOR!A:A,"-",0)</f>
        <v>-</v>
      </c>
    </row>
    <row r="628" spans="1:18" ht="15" customHeight="1" x14ac:dyDescent="0.35">
      <c r="A628" s="38" t="s">
        <v>2546</v>
      </c>
      <c r="B628" s="38" t="s">
        <v>2774</v>
      </c>
      <c r="C628" s="38" t="s">
        <v>2775</v>
      </c>
      <c r="D628" s="38" t="s">
        <v>855</v>
      </c>
      <c r="E628" s="44" t="str">
        <f>IFERROR(VLOOKUP(D628,MATERIALES!A:B,2,FALSE()),"?")</f>
        <v>Trapo</v>
      </c>
      <c r="F628" s="44" t="str">
        <f>IFERROR(VLOOKUP(D628,MATERIALES!A:C,3,FALSE()),"?")</f>
        <v>u</v>
      </c>
      <c r="G628" s="45">
        <v>0.03</v>
      </c>
      <c r="H628" s="46">
        <v>0.05</v>
      </c>
      <c r="I628" s="47">
        <f>IFERROR(VLOOKUP(D628,MATERIALES!A:D,4,FALSE()),0)</f>
        <v>735.06</v>
      </c>
      <c r="J628" s="42">
        <f t="shared" si="78"/>
        <v>23.154389999999996</v>
      </c>
      <c r="K628" s="15" t="str">
        <f t="shared" si="71"/>
        <v>PIN-067|MAT</v>
      </c>
      <c r="L628" s="15">
        <f>COUNTIFS($K$2:K628,K628)</f>
        <v>4</v>
      </c>
      <c r="M628" s="15" t="str">
        <f t="shared" si="72"/>
        <v>PIN-067|MAT|4</v>
      </c>
      <c r="N628" s="47">
        <f>IFERROR(VLOOKUP(A628,PARTIDAS!A:F,6,FALSE()),0)</f>
        <v>20</v>
      </c>
      <c r="O628" s="247">
        <f t="shared" si="73"/>
        <v>0.03</v>
      </c>
      <c r="P628" s="247" t="str">
        <f>+_xlfn.XLOOKUP(A628,PPTO_GENERADOR!Q:Q,PPTO_GENERADOR!E:E,"-",0)</f>
        <v>-</v>
      </c>
      <c r="Q628" s="247">
        <f t="shared" si="74"/>
        <v>0</v>
      </c>
      <c r="R628" s="259" t="str">
        <f>+_xlfn.XLOOKUP(A628,PPTO_GENERADOR!$Q:$Q,PPTO_GENERADOR!A:A,"-",0)</f>
        <v>-</v>
      </c>
    </row>
    <row r="629" spans="1:18" ht="15" customHeight="1" x14ac:dyDescent="0.35">
      <c r="A629" s="38" t="s">
        <v>2546</v>
      </c>
      <c r="B629" s="38" t="s">
        <v>2774</v>
      </c>
      <c r="C629" s="38" t="s">
        <v>2775</v>
      </c>
      <c r="D629" s="38" t="s">
        <v>863</v>
      </c>
      <c r="E629" s="44" t="str">
        <f>IFERROR(VLOOKUP(D629,MATERIALES!A:B,2,FALSE()),"?")</f>
        <v>Rodillo de lana pelo largo N°22 - El Galgo</v>
      </c>
      <c r="F629" s="44" t="str">
        <f>IFERROR(VLOOKUP(D629,MATERIALES!A:C,3,FALSE()),"?")</f>
        <v>u</v>
      </c>
      <c r="G629" s="45">
        <v>0.01</v>
      </c>
      <c r="H629" s="46">
        <v>0.05</v>
      </c>
      <c r="I629" s="47">
        <f>IFERROR(VLOOKUP(D629,MATERIALES!A:D,4,FALSE()),0)</f>
        <v>6678.36</v>
      </c>
      <c r="J629" s="42">
        <f t="shared" si="78"/>
        <v>70.122779999999992</v>
      </c>
      <c r="K629" s="15" t="str">
        <f t="shared" si="71"/>
        <v>PIN-067|MAT</v>
      </c>
      <c r="L629" s="15">
        <f>COUNTIFS($K$2:K629,K629)</f>
        <v>5</v>
      </c>
      <c r="M629" s="15" t="str">
        <f t="shared" si="72"/>
        <v>PIN-067|MAT|5</v>
      </c>
      <c r="N629" s="47">
        <f>IFERROR(VLOOKUP(A629,PARTIDAS!A:F,6,FALSE()),0)</f>
        <v>20</v>
      </c>
      <c r="O629" s="247">
        <f t="shared" si="73"/>
        <v>0.01</v>
      </c>
      <c r="P629" s="247" t="str">
        <f>+_xlfn.XLOOKUP(A629,PPTO_GENERADOR!Q:Q,PPTO_GENERADOR!E:E,"-",0)</f>
        <v>-</v>
      </c>
      <c r="Q629" s="247">
        <f t="shared" si="74"/>
        <v>0</v>
      </c>
      <c r="R629" s="259" t="str">
        <f>+_xlfn.XLOOKUP(A629,PPTO_GENERADOR!$Q:$Q,PPTO_GENERADOR!A:A,"-",0)</f>
        <v>-</v>
      </c>
    </row>
    <row r="630" spans="1:18" ht="15" customHeight="1" x14ac:dyDescent="0.35">
      <c r="A630" s="38" t="s">
        <v>2546</v>
      </c>
      <c r="B630" s="38" t="s">
        <v>2774</v>
      </c>
      <c r="C630" s="38" t="s">
        <v>2775</v>
      </c>
      <c r="D630" s="38" t="s">
        <v>865</v>
      </c>
      <c r="E630" s="44" t="str">
        <f>IFERROR(VLOOKUP(D630,MATERIALES!A:B,2,FALSE()),"?")</f>
        <v>Pincel N° 20 - El Galgo</v>
      </c>
      <c r="F630" s="44" t="str">
        <f>IFERROR(VLOOKUP(D630,MATERIALES!A:C,3,FALSE()),"?")</f>
        <v>u</v>
      </c>
      <c r="G630" s="45">
        <v>0.01</v>
      </c>
      <c r="H630" s="46">
        <v>0.05</v>
      </c>
      <c r="I630" s="47">
        <f>IFERROR(VLOOKUP(D630,MATERIALES!A:D,4,FALSE()),0)</f>
        <v>5282.24</v>
      </c>
      <c r="J630" s="42">
        <f t="shared" si="78"/>
        <v>55.463520000000003</v>
      </c>
      <c r="K630" s="15" t="str">
        <f t="shared" si="71"/>
        <v>PIN-067|MAT</v>
      </c>
      <c r="L630" s="15">
        <f>COUNTIFS($K$2:K630,K630)</f>
        <v>6</v>
      </c>
      <c r="M630" s="15" t="str">
        <f t="shared" si="72"/>
        <v>PIN-067|MAT|6</v>
      </c>
      <c r="N630" s="47">
        <f>IFERROR(VLOOKUP(A630,PARTIDAS!A:F,6,FALSE()),0)</f>
        <v>20</v>
      </c>
      <c r="O630" s="247">
        <f t="shared" si="73"/>
        <v>0.01</v>
      </c>
      <c r="P630" s="247" t="str">
        <f>+_xlfn.XLOOKUP(A630,PPTO_GENERADOR!Q:Q,PPTO_GENERADOR!E:E,"-",0)</f>
        <v>-</v>
      </c>
      <c r="Q630" s="247">
        <f t="shared" si="74"/>
        <v>0</v>
      </c>
      <c r="R630" s="259" t="str">
        <f>+_xlfn.XLOOKUP(A630,PPTO_GENERADOR!$Q:$Q,PPTO_GENERADOR!A:A,"-",0)</f>
        <v>-</v>
      </c>
    </row>
    <row r="631" spans="1:18" ht="15" customHeight="1" x14ac:dyDescent="0.35">
      <c r="A631" s="38" t="s">
        <v>2546</v>
      </c>
      <c r="B631" s="38" t="s">
        <v>2774</v>
      </c>
      <c r="C631" s="38" t="s">
        <v>2775</v>
      </c>
      <c r="D631" s="38" t="s">
        <v>868</v>
      </c>
      <c r="E631" s="44" t="str">
        <f>IFERROR(VLOOKUP(D631,MATERIALES!A:B,2,FALSE()),"?")</f>
        <v>Rollo de cartón corrugado 0,90 x 25 mts</v>
      </c>
      <c r="F631" s="44" t="str">
        <f>IFERROR(VLOOKUP(D631,MATERIALES!A:C,3,FALSE()),"?")</f>
        <v>u</v>
      </c>
      <c r="G631" s="45">
        <v>0.02</v>
      </c>
      <c r="H631" s="46">
        <v>0.05</v>
      </c>
      <c r="I631" s="47">
        <f>IFERROR(VLOOKUP(D631,MATERIALES!A:D,4,FALSE()),0)</f>
        <v>7427.6</v>
      </c>
      <c r="J631" s="42">
        <f t="shared" si="78"/>
        <v>155.97960000000003</v>
      </c>
      <c r="K631" s="15" t="str">
        <f t="shared" si="71"/>
        <v>PIN-067|MAT</v>
      </c>
      <c r="L631" s="15">
        <f>COUNTIFS($K$2:K631,K631)</f>
        <v>7</v>
      </c>
      <c r="M631" s="15" t="str">
        <f t="shared" si="72"/>
        <v>PIN-067|MAT|7</v>
      </c>
      <c r="N631" s="47">
        <f>IFERROR(VLOOKUP(A631,PARTIDAS!A:F,6,FALSE()),0)</f>
        <v>20</v>
      </c>
      <c r="O631" s="247">
        <f t="shared" si="73"/>
        <v>0.02</v>
      </c>
      <c r="P631" s="247" t="str">
        <f>+_xlfn.XLOOKUP(A631,PPTO_GENERADOR!Q:Q,PPTO_GENERADOR!E:E,"-",0)</f>
        <v>-</v>
      </c>
      <c r="Q631" s="247">
        <f t="shared" si="74"/>
        <v>0</v>
      </c>
      <c r="R631" s="259" t="str">
        <f>+_xlfn.XLOOKUP(A631,PPTO_GENERADOR!$Q:$Q,PPTO_GENERADOR!A:A,"-",0)</f>
        <v>-</v>
      </c>
    </row>
    <row r="632" spans="1:18" ht="15" customHeight="1" x14ac:dyDescent="0.35">
      <c r="A632" s="38" t="s">
        <v>2546</v>
      </c>
      <c r="B632" s="38" t="s">
        <v>2774</v>
      </c>
      <c r="C632" s="38" t="s">
        <v>2775</v>
      </c>
      <c r="D632" s="38" t="s">
        <v>813</v>
      </c>
      <c r="E632" s="44" t="str">
        <f>IFERROR(VLOOKUP(D632,MATERIALES!A:B,2,FALSE()),"?")</f>
        <v>Esmalte sintetico satinado Satinol Blanco x 4lts</v>
      </c>
      <c r="F632" s="44" t="str">
        <f>IFERROR(VLOOKUP(D632,MATERIALES!A:C,3,FALSE()),"?")</f>
        <v>b</v>
      </c>
      <c r="G632" s="45">
        <v>6.25E-2</v>
      </c>
      <c r="H632" s="46">
        <v>0.1</v>
      </c>
      <c r="I632" s="47">
        <f>IFERROR(VLOOKUP(D632,MATERIALES!A:D,4,FALSE()),0)</f>
        <v>28011.57</v>
      </c>
      <c r="J632" s="42">
        <f t="shared" si="78"/>
        <v>1925.7954375000002</v>
      </c>
      <c r="K632" s="15" t="str">
        <f t="shared" si="71"/>
        <v>PIN-067|MAT</v>
      </c>
      <c r="L632" s="15">
        <f>COUNTIFS($K$2:K632,K632)</f>
        <v>8</v>
      </c>
      <c r="M632" s="15" t="str">
        <f t="shared" si="72"/>
        <v>PIN-067|MAT|8</v>
      </c>
      <c r="N632" s="47">
        <f>IFERROR(VLOOKUP(A632,PARTIDAS!A:F,6,FALSE()),0)</f>
        <v>20</v>
      </c>
      <c r="O632" s="247">
        <f t="shared" si="73"/>
        <v>6.25E-2</v>
      </c>
      <c r="P632" s="247" t="str">
        <f>+_xlfn.XLOOKUP(A632,PPTO_GENERADOR!Q:Q,PPTO_GENERADOR!E:E,"-",0)</f>
        <v>-</v>
      </c>
      <c r="Q632" s="247">
        <f t="shared" si="74"/>
        <v>0</v>
      </c>
      <c r="R632" s="259" t="str">
        <f>+_xlfn.XLOOKUP(A632,PPTO_GENERADOR!$Q:$Q,PPTO_GENERADOR!A:A,"-",0)</f>
        <v>-</v>
      </c>
    </row>
    <row r="633" spans="1:18" ht="15" customHeight="1" x14ac:dyDescent="0.35">
      <c r="A633" s="38" t="s">
        <v>2546</v>
      </c>
      <c r="B633" s="38" t="s">
        <v>2774</v>
      </c>
      <c r="C633" s="38" t="s">
        <v>2775</v>
      </c>
      <c r="D633" s="38" t="s">
        <v>815</v>
      </c>
      <c r="E633" s="44" t="str">
        <f>IFERROR(VLOOKUP(D633,MATERIALES!A:B,2,FALSE()),"?")</f>
        <v>Enduido Interior x 20lts</v>
      </c>
      <c r="F633" s="44" t="str">
        <f>IFERROR(VLOOKUP(D633,MATERIALES!A:C,3,FALSE()),"?")</f>
        <v>B</v>
      </c>
      <c r="G633" s="45">
        <v>2E-3</v>
      </c>
      <c r="H633" s="46">
        <v>0.1</v>
      </c>
      <c r="I633" s="47">
        <f>IFERROR(VLOOKUP(D633,MATERIALES!A:D,4,FALSE()),0)</f>
        <v>18735.77</v>
      </c>
      <c r="J633" s="42">
        <f t="shared" si="78"/>
        <v>41.218694000000006</v>
      </c>
      <c r="K633" s="15" t="str">
        <f t="shared" si="71"/>
        <v>PIN-067|MAT</v>
      </c>
      <c r="L633" s="15">
        <f>COUNTIFS($K$2:K633,K633)</f>
        <v>9</v>
      </c>
      <c r="M633" s="15" t="str">
        <f t="shared" si="72"/>
        <v>PIN-067|MAT|9</v>
      </c>
      <c r="N633" s="47">
        <f>IFERROR(VLOOKUP(A633,PARTIDAS!A:F,6,FALSE()),0)</f>
        <v>20</v>
      </c>
      <c r="O633" s="247">
        <f t="shared" si="73"/>
        <v>2E-3</v>
      </c>
      <c r="P633" s="247" t="str">
        <f>+_xlfn.XLOOKUP(A633,PPTO_GENERADOR!Q:Q,PPTO_GENERADOR!E:E,"-",0)</f>
        <v>-</v>
      </c>
      <c r="Q633" s="247">
        <f t="shared" si="74"/>
        <v>0</v>
      </c>
      <c r="R633" s="259" t="str">
        <f>+_xlfn.XLOOKUP(A633,PPTO_GENERADOR!$Q:$Q,PPTO_GENERADOR!A:A,"-",0)</f>
        <v>-</v>
      </c>
    </row>
    <row r="634" spans="1:18" ht="15" customHeight="1" x14ac:dyDescent="0.35">
      <c r="A634" s="38" t="s">
        <v>2546</v>
      </c>
      <c r="B634" s="38" t="s">
        <v>2776</v>
      </c>
      <c r="C634" s="38" t="s">
        <v>2777</v>
      </c>
      <c r="D634" s="237" t="s">
        <v>1574</v>
      </c>
      <c r="E634" s="44" t="str">
        <f>IFERROR(VLOOKUP(D634,MANO_DE_OBRA!A:B,2,FALSE()),"?")</f>
        <v>MEDIO OFICIAL</v>
      </c>
      <c r="F634" s="44" t="s">
        <v>2778</v>
      </c>
      <c r="G634" s="45">
        <v>1</v>
      </c>
      <c r="H634" s="46">
        <v>0</v>
      </c>
      <c r="I634" s="47">
        <f>IFERROR(VLOOKUP(D634,MANO_DE_OBRA!A:C,3,FALSE()),0)</f>
        <v>65493.071636572</v>
      </c>
      <c r="J634" s="42">
        <f>G634*I634</f>
        <v>65493.071636572</v>
      </c>
      <c r="K634" s="15" t="str">
        <f t="shared" si="71"/>
        <v>PIN-067|MO</v>
      </c>
      <c r="L634" s="15">
        <f>COUNTIFS($K$2:K634,K634)</f>
        <v>1</v>
      </c>
      <c r="M634" s="15" t="str">
        <f t="shared" si="72"/>
        <v>PIN-067|MO|1</v>
      </c>
      <c r="N634" s="47">
        <f>IFERROR(VLOOKUP(A634,PARTIDAS!A:F,6,FALSE()),0)</f>
        <v>20</v>
      </c>
      <c r="O634" s="247">
        <f t="shared" si="73"/>
        <v>0.05</v>
      </c>
      <c r="P634" s="247" t="str">
        <f>+_xlfn.XLOOKUP(A634,PPTO_GENERADOR!Q:Q,PPTO_GENERADOR!E:E,"-",0)</f>
        <v>-</v>
      </c>
      <c r="Q634" s="247">
        <f t="shared" si="74"/>
        <v>0</v>
      </c>
      <c r="R634" s="259" t="str">
        <f>+_xlfn.XLOOKUP(A634,PPTO_GENERADOR!$Q:$Q,PPTO_GENERADOR!A:A,"-",0)</f>
        <v>-</v>
      </c>
    </row>
    <row r="635" spans="1:18" ht="15" customHeight="1" x14ac:dyDescent="0.35">
      <c r="A635" s="38" t="s">
        <v>2546</v>
      </c>
      <c r="B635" s="38" t="s">
        <v>2776</v>
      </c>
      <c r="C635" s="38" t="s">
        <v>2777</v>
      </c>
      <c r="D635" s="237" t="s">
        <v>1568</v>
      </c>
      <c r="E635" s="44" t="str">
        <f>IFERROR(VLOOKUP(D635,MANO_DE_OBRA!A:B,2,FALSE()),"?")</f>
        <v>ESPECIALIZADO</v>
      </c>
      <c r="F635" s="44" t="s">
        <v>2778</v>
      </c>
      <c r="G635" s="45">
        <v>1</v>
      </c>
      <c r="H635" s="46">
        <v>0</v>
      </c>
      <c r="I635" s="47">
        <f>IFERROR(VLOOKUP(D635,MANO_DE_OBRA!A:C,3,FALSE()),0)</f>
        <v>85927.097156571996</v>
      </c>
      <c r="J635" s="42">
        <f>G635*I635</f>
        <v>85927.097156571996</v>
      </c>
      <c r="K635" s="15" t="str">
        <f t="shared" si="71"/>
        <v>PIN-067|MO</v>
      </c>
      <c r="L635" s="15">
        <f>COUNTIFS($K$2:K635,K635)</f>
        <v>2</v>
      </c>
      <c r="M635" s="15" t="str">
        <f t="shared" si="72"/>
        <v>PIN-067|MO|2</v>
      </c>
      <c r="N635" s="47">
        <f>IFERROR(VLOOKUP(A635,PARTIDAS!A:F,6,FALSE()),0)</f>
        <v>20</v>
      </c>
      <c r="O635" s="247">
        <f t="shared" si="73"/>
        <v>0.05</v>
      </c>
      <c r="P635" s="247" t="str">
        <f>+_xlfn.XLOOKUP(A635,PPTO_GENERADOR!Q:Q,PPTO_GENERADOR!E:E,"-",0)</f>
        <v>-</v>
      </c>
      <c r="Q635" s="247">
        <f t="shared" si="74"/>
        <v>0</v>
      </c>
      <c r="R635" s="259" t="str">
        <f>+_xlfn.XLOOKUP(A635,PPTO_GENERADOR!$Q:$Q,PPTO_GENERADOR!A:A,"-",0)</f>
        <v>-</v>
      </c>
    </row>
    <row r="636" spans="1:18" ht="15" customHeight="1" x14ac:dyDescent="0.35">
      <c r="A636" s="38" t="s">
        <v>2555</v>
      </c>
      <c r="B636" s="38" t="s">
        <v>2773</v>
      </c>
      <c r="C636" s="38"/>
      <c r="D636" s="38" t="s">
        <v>1604</v>
      </c>
      <c r="E636" s="44" t="str">
        <f>IFERROR(VLOOKUP(D636,EQUIPOS!A:B,2,FALSE()),"?")</f>
        <v>EQUIPO PARA PINTAR</v>
      </c>
      <c r="F636" s="44"/>
      <c r="G636" s="45">
        <v>1</v>
      </c>
      <c r="H636" s="46">
        <v>0</v>
      </c>
      <c r="I636" s="47">
        <f>IFERROR(VLOOKUP(D636,EQUIPOS!A:F,6,FALSE()),0)</f>
        <v>1723.6259595547085</v>
      </c>
      <c r="J636" s="42">
        <f>G636*I636</f>
        <v>1723.6259595547085</v>
      </c>
      <c r="K636" s="15" t="str">
        <f t="shared" si="71"/>
        <v>PIN-071|EQ</v>
      </c>
      <c r="L636" s="15">
        <f>COUNTIFS($K$2:K636,K636)</f>
        <v>1</v>
      </c>
      <c r="M636" s="15" t="str">
        <f t="shared" si="72"/>
        <v>PIN-071|EQ|1</v>
      </c>
      <c r="N636" s="47">
        <f>IFERROR(VLOOKUP(A636,PARTIDAS!A:F,6,FALSE()),0)</f>
        <v>50</v>
      </c>
      <c r="O636" s="247">
        <f t="shared" si="73"/>
        <v>1</v>
      </c>
      <c r="P636" s="247" t="str">
        <f>+_xlfn.XLOOKUP(A636,PPTO_GENERADOR!Q:Q,PPTO_GENERADOR!E:E,"-",0)</f>
        <v>-</v>
      </c>
      <c r="Q636" s="247">
        <f t="shared" si="74"/>
        <v>0</v>
      </c>
      <c r="R636" s="259" t="str">
        <f>+_xlfn.XLOOKUP(A636,PPTO_GENERADOR!$Q:$Q,PPTO_GENERADOR!A:A,"-",0)</f>
        <v>-</v>
      </c>
    </row>
    <row r="637" spans="1:18" ht="15" customHeight="1" x14ac:dyDescent="0.35">
      <c r="A637" s="38" t="s">
        <v>2555</v>
      </c>
      <c r="B637" s="38" t="s">
        <v>2773</v>
      </c>
      <c r="C637" s="38"/>
      <c r="D637" s="38" t="s">
        <v>1622</v>
      </c>
      <c r="E637" s="44" t="str">
        <f>IFERROR(VLOOKUP(D637,EQUIPOS!A:B,2,FALSE()),"?")</f>
        <v>ESCALERA GLOSS ALUMINIO ARTICULADA 4 X 4 ESCALONES HASTA 150KG</v>
      </c>
      <c r="F637" s="44"/>
      <c r="G637" s="45">
        <v>1</v>
      </c>
      <c r="H637" s="46">
        <v>0</v>
      </c>
      <c r="I637" s="47">
        <f>IFERROR(VLOOKUP(D637,EQUIPOS!A:F,6,FALSE()),0)</f>
        <v>140.19809259430903</v>
      </c>
      <c r="J637" s="42">
        <f>G637*I637</f>
        <v>140.19809259430903</v>
      </c>
      <c r="K637" s="15" t="str">
        <f t="shared" si="71"/>
        <v>PIN-071|EQ</v>
      </c>
      <c r="L637" s="15">
        <f>COUNTIFS($K$2:K637,K637)</f>
        <v>2</v>
      </c>
      <c r="M637" s="15" t="str">
        <f t="shared" si="72"/>
        <v>PIN-071|EQ|2</v>
      </c>
      <c r="N637" s="47">
        <f>IFERROR(VLOOKUP(A637,PARTIDAS!A:F,6,FALSE()),0)</f>
        <v>50</v>
      </c>
      <c r="O637" s="247">
        <f t="shared" si="73"/>
        <v>1</v>
      </c>
      <c r="P637" s="247" t="str">
        <f>+_xlfn.XLOOKUP(A637,PPTO_GENERADOR!Q:Q,PPTO_GENERADOR!E:E,"-",0)</f>
        <v>-</v>
      </c>
      <c r="Q637" s="247">
        <f t="shared" si="74"/>
        <v>0</v>
      </c>
      <c r="R637" s="259" t="str">
        <f>+_xlfn.XLOOKUP(A637,PPTO_GENERADOR!$Q:$Q,PPTO_GENERADOR!A:A,"-",0)</f>
        <v>-</v>
      </c>
    </row>
    <row r="638" spans="1:18" ht="15" customHeight="1" x14ac:dyDescent="0.35">
      <c r="A638" s="38" t="s">
        <v>2555</v>
      </c>
      <c r="B638" s="38" t="s">
        <v>2774</v>
      </c>
      <c r="C638" s="38" t="s">
        <v>2775</v>
      </c>
      <c r="D638" s="38" t="s">
        <v>834</v>
      </c>
      <c r="E638" s="44" t="str">
        <f>IFERROR(VLOOKUP(D638,MATERIALES!A:B,2,FALSE()),"?")</f>
        <v>Venda SikaTEX 75 - Rollo</v>
      </c>
      <c r="F638" s="44" t="str">
        <f>IFERROR(VLOOKUP(D638,MATERIALES!A:C,3,FALSE()),"?")</f>
        <v>u</v>
      </c>
      <c r="G638" s="45">
        <v>0.04</v>
      </c>
      <c r="H638" s="46">
        <v>0.1</v>
      </c>
      <c r="I638" s="47">
        <f>IFERROR(VLOOKUP(D638,MATERIALES!A:D,4,FALSE()),0)</f>
        <v>66115.702479338797</v>
      </c>
      <c r="J638" s="42">
        <f>G638*I638*(1+H638)</f>
        <v>2909.0909090909076</v>
      </c>
      <c r="K638" s="15" t="str">
        <f t="shared" si="71"/>
        <v>PIN-071|MAT</v>
      </c>
      <c r="L638" s="15">
        <f>COUNTIFS($K$2:K638,K638)</f>
        <v>1</v>
      </c>
      <c r="M638" s="15" t="str">
        <f t="shared" si="72"/>
        <v>PIN-071|MAT|1</v>
      </c>
      <c r="N638" s="47">
        <f>IFERROR(VLOOKUP(A638,PARTIDAS!A:F,6,FALSE()),0)</f>
        <v>50</v>
      </c>
      <c r="O638" s="247">
        <f t="shared" si="73"/>
        <v>0.04</v>
      </c>
      <c r="P638" s="247" t="str">
        <f>+_xlfn.XLOOKUP(A638,PPTO_GENERADOR!Q:Q,PPTO_GENERADOR!E:E,"-",0)</f>
        <v>-</v>
      </c>
      <c r="Q638" s="247">
        <f t="shared" si="74"/>
        <v>0</v>
      </c>
      <c r="R638" s="259" t="str">
        <f>+_xlfn.XLOOKUP(A638,PPTO_GENERADOR!$Q:$Q,PPTO_GENERADOR!A:A,"-",0)</f>
        <v>-</v>
      </c>
    </row>
    <row r="639" spans="1:18" ht="15" customHeight="1" x14ac:dyDescent="0.35">
      <c r="A639" s="38" t="s">
        <v>2555</v>
      </c>
      <c r="B639" s="38" t="s">
        <v>2774</v>
      </c>
      <c r="C639" s="38" t="s">
        <v>2775</v>
      </c>
      <c r="D639" s="38" t="s">
        <v>819</v>
      </c>
      <c r="E639" s="44" t="str">
        <f>IFERROR(VLOOKUP(D639,MATERIALES!A:B,2,FALSE()),"?")</f>
        <v>Recuplast Tradicional Blanco x 20 lts</v>
      </c>
      <c r="F639" s="44" t="str">
        <f>IFERROR(VLOOKUP(D639,MATERIALES!A:C,3,FALSE()),"?")</f>
        <v>u</v>
      </c>
      <c r="G639" s="45">
        <v>3.5000000000000003E-2</v>
      </c>
      <c r="H639" s="46">
        <v>0.1</v>
      </c>
      <c r="I639" s="47">
        <f>IFERROR(VLOOKUP(D639,MATERIALES!A:D,4,FALSE()),0)</f>
        <v>124188.429752066</v>
      </c>
      <c r="J639" s="42">
        <f>G639*I639*(1+H639)</f>
        <v>4781.2545454545425</v>
      </c>
      <c r="K639" s="15" t="str">
        <f t="shared" si="71"/>
        <v>PIN-071|MAT</v>
      </c>
      <c r="L639" s="15">
        <f>COUNTIFS($K$2:K639,K639)</f>
        <v>2</v>
      </c>
      <c r="M639" s="15" t="str">
        <f t="shared" si="72"/>
        <v>PIN-071|MAT|2</v>
      </c>
      <c r="N639" s="47">
        <f>IFERROR(VLOOKUP(A639,PARTIDAS!A:F,6,FALSE()),0)</f>
        <v>50</v>
      </c>
      <c r="O639" s="247">
        <f t="shared" si="73"/>
        <v>3.5000000000000003E-2</v>
      </c>
      <c r="P639" s="247" t="str">
        <f>+_xlfn.XLOOKUP(A639,PPTO_GENERADOR!Q:Q,PPTO_GENERADOR!E:E,"-",0)</f>
        <v>-</v>
      </c>
      <c r="Q639" s="247">
        <f t="shared" si="74"/>
        <v>0</v>
      </c>
      <c r="R639" s="259" t="str">
        <f>+_xlfn.XLOOKUP(A639,PPTO_GENERADOR!$Q:$Q,PPTO_GENERADOR!A:A,"-",0)</f>
        <v>-</v>
      </c>
    </row>
    <row r="640" spans="1:18" ht="15" customHeight="1" x14ac:dyDescent="0.35">
      <c r="A640" s="38" t="s">
        <v>2555</v>
      </c>
      <c r="B640" s="38" t="s">
        <v>2774</v>
      </c>
      <c r="C640" s="38" t="s">
        <v>2775</v>
      </c>
      <c r="D640" s="38" t="s">
        <v>855</v>
      </c>
      <c r="E640" s="44" t="str">
        <f>IFERROR(VLOOKUP(D640,MATERIALES!A:B,2,FALSE()),"?")</f>
        <v>Trapo</v>
      </c>
      <c r="F640" s="44" t="str">
        <f>IFERROR(VLOOKUP(D640,MATERIALES!A:C,3,FALSE()),"?")</f>
        <v>u</v>
      </c>
      <c r="G640" s="45">
        <v>0.01</v>
      </c>
      <c r="H640" s="46">
        <v>0.05</v>
      </c>
      <c r="I640" s="47">
        <f>IFERROR(VLOOKUP(D640,MATERIALES!A:D,4,FALSE()),0)</f>
        <v>735.06</v>
      </c>
      <c r="J640" s="42">
        <f>G640*I640*(1+H640)</f>
        <v>7.7181300000000004</v>
      </c>
      <c r="K640" s="15" t="str">
        <f t="shared" si="71"/>
        <v>PIN-071|MAT</v>
      </c>
      <c r="L640" s="15">
        <f>COUNTIFS($K$2:K640,K640)</f>
        <v>3</v>
      </c>
      <c r="M640" s="15" t="str">
        <f t="shared" si="72"/>
        <v>PIN-071|MAT|3</v>
      </c>
      <c r="N640" s="47">
        <f>IFERROR(VLOOKUP(A640,PARTIDAS!A:F,6,FALSE()),0)</f>
        <v>50</v>
      </c>
      <c r="O640" s="247">
        <f t="shared" si="73"/>
        <v>0.01</v>
      </c>
      <c r="P640" s="247" t="str">
        <f>+_xlfn.XLOOKUP(A640,PPTO_GENERADOR!Q:Q,PPTO_GENERADOR!E:E,"-",0)</f>
        <v>-</v>
      </c>
      <c r="Q640" s="247">
        <f t="shared" si="74"/>
        <v>0</v>
      </c>
      <c r="R640" s="259" t="str">
        <f>+_xlfn.XLOOKUP(A640,PPTO_GENERADOR!$Q:$Q,PPTO_GENERADOR!A:A,"-",0)</f>
        <v>-</v>
      </c>
    </row>
    <row r="641" spans="1:18" ht="15" customHeight="1" x14ac:dyDescent="0.35">
      <c r="A641" s="38" t="s">
        <v>2555</v>
      </c>
      <c r="B641" s="38" t="s">
        <v>2774</v>
      </c>
      <c r="C641" s="38" t="s">
        <v>2775</v>
      </c>
      <c r="D641" s="38" t="s">
        <v>863</v>
      </c>
      <c r="E641" s="44" t="str">
        <f>IFERROR(VLOOKUP(D641,MATERIALES!A:B,2,FALSE()),"?")</f>
        <v>Rodillo de lana pelo largo N°22 - El Galgo</v>
      </c>
      <c r="F641" s="44" t="str">
        <f>IFERROR(VLOOKUP(D641,MATERIALES!A:C,3,FALSE()),"?")</f>
        <v>u</v>
      </c>
      <c r="G641" s="45">
        <v>0.01</v>
      </c>
      <c r="H641" s="46">
        <v>0.05</v>
      </c>
      <c r="I641" s="47">
        <f>IFERROR(VLOOKUP(D641,MATERIALES!A:D,4,FALSE()),0)</f>
        <v>6678.36</v>
      </c>
      <c r="J641" s="42">
        <f>G641*I641*(1+H641)</f>
        <v>70.122779999999992</v>
      </c>
      <c r="K641" s="15" t="str">
        <f t="shared" si="71"/>
        <v>PIN-071|MAT</v>
      </c>
      <c r="L641" s="15">
        <f>COUNTIFS($K$2:K641,K641)</f>
        <v>4</v>
      </c>
      <c r="M641" s="15" t="str">
        <f t="shared" si="72"/>
        <v>PIN-071|MAT|4</v>
      </c>
      <c r="N641" s="47">
        <f>IFERROR(VLOOKUP(A641,PARTIDAS!A:F,6,FALSE()),0)</f>
        <v>50</v>
      </c>
      <c r="O641" s="247">
        <f t="shared" si="73"/>
        <v>0.01</v>
      </c>
      <c r="P641" s="247" t="str">
        <f>+_xlfn.XLOOKUP(A641,PPTO_GENERADOR!Q:Q,PPTO_GENERADOR!E:E,"-",0)</f>
        <v>-</v>
      </c>
      <c r="Q641" s="247">
        <f t="shared" si="74"/>
        <v>0</v>
      </c>
      <c r="R641" s="259" t="str">
        <f>+_xlfn.XLOOKUP(A641,PPTO_GENERADOR!$Q:$Q,PPTO_GENERADOR!A:A,"-",0)</f>
        <v>-</v>
      </c>
    </row>
    <row r="642" spans="1:18" ht="15" customHeight="1" x14ac:dyDescent="0.35">
      <c r="A642" s="38" t="s">
        <v>2555</v>
      </c>
      <c r="B642" s="38" t="s">
        <v>2774</v>
      </c>
      <c r="C642" s="38" t="s">
        <v>2775</v>
      </c>
      <c r="D642" s="38" t="s">
        <v>865</v>
      </c>
      <c r="E642" s="44" t="str">
        <f>IFERROR(VLOOKUP(D642,MATERIALES!A:B,2,FALSE()),"?")</f>
        <v>Pincel N° 20 - El Galgo</v>
      </c>
      <c r="F642" s="44" t="str">
        <f>IFERROR(VLOOKUP(D642,MATERIALES!A:C,3,FALSE()),"?")</f>
        <v>u</v>
      </c>
      <c r="G642" s="45">
        <v>0.01</v>
      </c>
      <c r="H642" s="46">
        <v>0.05</v>
      </c>
      <c r="I642" s="47">
        <f>IFERROR(VLOOKUP(D642,MATERIALES!A:D,4,FALSE()),0)</f>
        <v>5282.24</v>
      </c>
      <c r="J642" s="42">
        <f>G642*I642*(1+H642)</f>
        <v>55.463520000000003</v>
      </c>
      <c r="K642" s="15" t="str">
        <f t="shared" ref="K642:K705" si="79">A642&amp;"|"&amp;B642</f>
        <v>PIN-071|MAT</v>
      </c>
      <c r="L642" s="15">
        <f>COUNTIFS($K$2:K642,K642)</f>
        <v>5</v>
      </c>
      <c r="M642" s="15" t="str">
        <f t="shared" ref="M642:M705" si="80">K642&amp;"|"&amp;L642</f>
        <v>PIN-071|MAT|5</v>
      </c>
      <c r="N642" s="47">
        <f>IFERROR(VLOOKUP(A642,PARTIDAS!A:F,6,FALSE()),0)</f>
        <v>50</v>
      </c>
      <c r="O642" s="247">
        <f t="shared" si="73"/>
        <v>0.01</v>
      </c>
      <c r="P642" s="247" t="str">
        <f>+_xlfn.XLOOKUP(A642,PPTO_GENERADOR!Q:Q,PPTO_GENERADOR!E:E,"-",0)</f>
        <v>-</v>
      </c>
      <c r="Q642" s="247">
        <f t="shared" si="74"/>
        <v>0</v>
      </c>
      <c r="R642" s="259" t="str">
        <f>+_xlfn.XLOOKUP(A642,PPTO_GENERADOR!$Q:$Q,PPTO_GENERADOR!A:A,"-",0)</f>
        <v>-</v>
      </c>
    </row>
    <row r="643" spans="1:18" ht="15" customHeight="1" x14ac:dyDescent="0.35">
      <c r="A643" s="38" t="s">
        <v>2555</v>
      </c>
      <c r="B643" s="38" t="s">
        <v>2776</v>
      </c>
      <c r="C643" s="38" t="s">
        <v>2777</v>
      </c>
      <c r="D643" s="237" t="s">
        <v>1577</v>
      </c>
      <c r="E643" s="44" t="str">
        <f>IFERROR(VLOOKUP(D643,MANO_DE_OBRA!A:B,2,FALSE()),"?")</f>
        <v>AYUDANTE</v>
      </c>
      <c r="F643" s="44" t="s">
        <v>2778</v>
      </c>
      <c r="G643" s="45">
        <v>1</v>
      </c>
      <c r="H643" s="46">
        <v>0</v>
      </c>
      <c r="I643" s="47">
        <f>IFERROR(VLOOKUP(D643,MANO_DE_OBRA!A:C,3,FALSE()),0)</f>
        <v>60860.580776572002</v>
      </c>
      <c r="J643" s="42">
        <f>G643*I643</f>
        <v>60860.580776572002</v>
      </c>
      <c r="K643" s="15" t="str">
        <f t="shared" si="79"/>
        <v>PIN-071|MO</v>
      </c>
      <c r="L643" s="15">
        <f>COUNTIFS($K$2:K643,K643)</f>
        <v>1</v>
      </c>
      <c r="M643" s="15" t="str">
        <f t="shared" si="80"/>
        <v>PIN-071|MO|1</v>
      </c>
      <c r="N643" s="47">
        <f>IFERROR(VLOOKUP(A643,PARTIDAS!A:F,6,FALSE()),0)</f>
        <v>50</v>
      </c>
      <c r="O643" s="247">
        <f t="shared" ref="O643:O706" si="81">+IF(C643="ALB",G643/N643,G643)</f>
        <v>0.02</v>
      </c>
      <c r="P643" s="247" t="str">
        <f>+_xlfn.XLOOKUP(A643,PPTO_GENERADOR!Q:Q,PPTO_GENERADOR!E:E,"-",0)</f>
        <v>-</v>
      </c>
      <c r="Q643" s="247">
        <f t="shared" ref="Q643:Q706" si="82">IFERROR(P643*O643,0)</f>
        <v>0</v>
      </c>
      <c r="R643" s="259" t="str">
        <f>+_xlfn.XLOOKUP(A643,PPTO_GENERADOR!$Q:$Q,PPTO_GENERADOR!A:A,"-",0)</f>
        <v>-</v>
      </c>
    </row>
    <row r="644" spans="1:18" ht="15" customHeight="1" x14ac:dyDescent="0.35">
      <c r="A644" s="38" t="s">
        <v>2555</v>
      </c>
      <c r="B644" s="38" t="s">
        <v>2776</v>
      </c>
      <c r="C644" s="38" t="s">
        <v>2777</v>
      </c>
      <c r="D644" s="237" t="s">
        <v>1571</v>
      </c>
      <c r="E644" s="44" t="str">
        <f>IFERROR(VLOOKUP(D644,MANO_DE_OBRA!A:B,2,FALSE()),"?")</f>
        <v>OFICIAL</v>
      </c>
      <c r="F644" s="44" t="s">
        <v>2778</v>
      </c>
      <c r="G644" s="45">
        <v>1</v>
      </c>
      <c r="H644" s="46">
        <v>0</v>
      </c>
      <c r="I644" s="47">
        <f>IFERROR(VLOOKUP(D644,MANO_DE_OBRA!A:C,3,FALSE()),0)</f>
        <v>76955.079706571996</v>
      </c>
      <c r="J644" s="42">
        <f>G644*I644</f>
        <v>76955.079706571996</v>
      </c>
      <c r="K644" s="15" t="str">
        <f t="shared" si="79"/>
        <v>PIN-071|MO</v>
      </c>
      <c r="L644" s="15">
        <f>COUNTIFS($K$2:K644,K644)</f>
        <v>2</v>
      </c>
      <c r="M644" s="15" t="str">
        <f t="shared" si="80"/>
        <v>PIN-071|MO|2</v>
      </c>
      <c r="N644" s="47">
        <f>IFERROR(VLOOKUP(A644,PARTIDAS!A:F,6,FALSE()),0)</f>
        <v>50</v>
      </c>
      <c r="O644" s="247">
        <f t="shared" si="81"/>
        <v>0.02</v>
      </c>
      <c r="P644" s="247" t="str">
        <f>+_xlfn.XLOOKUP(A644,PPTO_GENERADOR!Q:Q,PPTO_GENERADOR!E:E,"-",0)</f>
        <v>-</v>
      </c>
      <c r="Q644" s="247">
        <f t="shared" si="82"/>
        <v>0</v>
      </c>
      <c r="R644" s="259" t="str">
        <f>+_xlfn.XLOOKUP(A644,PPTO_GENERADOR!$Q:$Q,PPTO_GENERADOR!A:A,"-",0)</f>
        <v>-</v>
      </c>
    </row>
    <row r="645" spans="1:18" ht="15" customHeight="1" x14ac:dyDescent="0.35">
      <c r="A645" s="38" t="s">
        <v>2561</v>
      </c>
      <c r="B645" s="38" t="s">
        <v>2773</v>
      </c>
      <c r="C645" s="38"/>
      <c r="D645" s="38" t="s">
        <v>1604</v>
      </c>
      <c r="E645" s="44" t="str">
        <f>IFERROR(VLOOKUP(D645,EQUIPOS!A:B,2,FALSE()),"?")</f>
        <v>EQUIPO PARA PINTAR</v>
      </c>
      <c r="F645" s="44"/>
      <c r="G645" s="45">
        <v>1</v>
      </c>
      <c r="H645" s="46">
        <v>0</v>
      </c>
      <c r="I645" s="47">
        <f>IFERROR(VLOOKUP(D645,EQUIPOS!A:F,6,FALSE()),0)</f>
        <v>1723.6259595547085</v>
      </c>
      <c r="J645" s="42">
        <f>G645*I645</f>
        <v>1723.6259595547085</v>
      </c>
      <c r="K645" s="15" t="str">
        <f t="shared" si="79"/>
        <v>PIN-073|EQ</v>
      </c>
      <c r="L645" s="15">
        <f>COUNTIFS($K$2:K645,K645)</f>
        <v>1</v>
      </c>
      <c r="M645" s="15" t="str">
        <f t="shared" si="80"/>
        <v>PIN-073|EQ|1</v>
      </c>
      <c r="N645" s="47">
        <f>IFERROR(VLOOKUP(A645,PARTIDAS!A:F,6,FALSE()),0)</f>
        <v>20</v>
      </c>
      <c r="O645" s="247">
        <f t="shared" si="81"/>
        <v>1</v>
      </c>
      <c r="P645" s="247" t="str">
        <f>+_xlfn.XLOOKUP(A645,PPTO_GENERADOR!Q:Q,PPTO_GENERADOR!E:E,"-",0)</f>
        <v>-</v>
      </c>
      <c r="Q645" s="247">
        <f t="shared" si="82"/>
        <v>0</v>
      </c>
      <c r="R645" s="259" t="str">
        <f>+_xlfn.XLOOKUP(A645,PPTO_GENERADOR!$Q:$Q,PPTO_GENERADOR!A:A,"-",0)</f>
        <v>-</v>
      </c>
    </row>
    <row r="646" spans="1:18" ht="15" customHeight="1" x14ac:dyDescent="0.35">
      <c r="A646" s="38" t="s">
        <v>2561</v>
      </c>
      <c r="B646" s="38" t="s">
        <v>2773</v>
      </c>
      <c r="C646" s="38"/>
      <c r="D646" s="38" t="s">
        <v>1749</v>
      </c>
      <c r="E646" s="44" t="str">
        <f>IFERROR(VLOOKUP(D646,EQUIPOS!A:B,2,FALSE()),"?")</f>
        <v>ESCALERA MADERA PINTOR 8 ESCALONES</v>
      </c>
      <c r="F646" s="44"/>
      <c r="G646" s="45">
        <v>1</v>
      </c>
      <c r="H646" s="46">
        <v>0</v>
      </c>
      <c r="I646" s="47">
        <f>IFERROR(VLOOKUP(D646,EQUIPOS!A:F,6,FALSE()),0)</f>
        <v>200.25307946474501</v>
      </c>
      <c r="J646" s="42">
        <f>G646*I646</f>
        <v>200.25307946474501</v>
      </c>
      <c r="K646" s="15" t="str">
        <f t="shared" si="79"/>
        <v>PIN-073|EQ</v>
      </c>
      <c r="L646" s="15">
        <f>COUNTIFS($K$2:K646,K646)</f>
        <v>2</v>
      </c>
      <c r="M646" s="15" t="str">
        <f t="shared" si="80"/>
        <v>PIN-073|EQ|2</v>
      </c>
      <c r="N646" s="47">
        <f>IFERROR(VLOOKUP(A646,PARTIDAS!A:F,6,FALSE()),0)</f>
        <v>20</v>
      </c>
      <c r="O646" s="247">
        <f t="shared" si="81"/>
        <v>1</v>
      </c>
      <c r="P646" s="247" t="str">
        <f>+_xlfn.XLOOKUP(A646,PPTO_GENERADOR!Q:Q,PPTO_GENERADOR!E:E,"-",0)</f>
        <v>-</v>
      </c>
      <c r="Q646" s="247">
        <f t="shared" si="82"/>
        <v>0</v>
      </c>
      <c r="R646" s="259" t="str">
        <f>+_xlfn.XLOOKUP(A646,PPTO_GENERADOR!$Q:$Q,PPTO_GENERADOR!A:A,"-",0)</f>
        <v>-</v>
      </c>
    </row>
    <row r="647" spans="1:18" ht="15" customHeight="1" x14ac:dyDescent="0.35">
      <c r="A647" s="38" t="s">
        <v>2561</v>
      </c>
      <c r="B647" s="38" t="s">
        <v>2774</v>
      </c>
      <c r="C647" s="38" t="s">
        <v>2775</v>
      </c>
      <c r="D647" s="38" t="s">
        <v>848</v>
      </c>
      <c r="E647" s="44" t="str">
        <f>IFERROR(VLOOKUP(D647,MATERIALES!A:B,2,FALSE()),"?")</f>
        <v>Lija 180 al agua x 10u</v>
      </c>
      <c r="F647" s="44" t="str">
        <f>IFERROR(VLOOKUP(D647,MATERIALES!A:C,3,FALSE()),"?")</f>
        <v>u</v>
      </c>
      <c r="G647" s="45">
        <v>0.01</v>
      </c>
      <c r="H647" s="46">
        <v>0.05</v>
      </c>
      <c r="I647" s="47">
        <f>IFERROR(VLOOKUP(D647,MATERIALES!A:D,4,FALSE()),0)</f>
        <v>5661.4</v>
      </c>
      <c r="J647" s="42">
        <f t="shared" ref="J647:J653" si="83">G647*I647*(1+H647)</f>
        <v>59.444699999999997</v>
      </c>
      <c r="K647" s="15" t="str">
        <f t="shared" si="79"/>
        <v>PIN-073|MAT</v>
      </c>
      <c r="L647" s="15">
        <f>COUNTIFS($K$2:K647,K647)</f>
        <v>1</v>
      </c>
      <c r="M647" s="15" t="str">
        <f t="shared" si="80"/>
        <v>PIN-073|MAT|1</v>
      </c>
      <c r="N647" s="47">
        <f>IFERROR(VLOOKUP(A647,PARTIDAS!A:F,6,FALSE()),0)</f>
        <v>20</v>
      </c>
      <c r="O647" s="247">
        <f t="shared" si="81"/>
        <v>0.01</v>
      </c>
      <c r="P647" s="247" t="str">
        <f>+_xlfn.XLOOKUP(A647,PPTO_GENERADOR!Q:Q,PPTO_GENERADOR!E:E,"-",0)</f>
        <v>-</v>
      </c>
      <c r="Q647" s="247">
        <f t="shared" si="82"/>
        <v>0</v>
      </c>
      <c r="R647" s="259" t="str">
        <f>+_xlfn.XLOOKUP(A647,PPTO_GENERADOR!$Q:$Q,PPTO_GENERADOR!A:A,"-",0)</f>
        <v>-</v>
      </c>
    </row>
    <row r="648" spans="1:18" ht="15" customHeight="1" x14ac:dyDescent="0.35">
      <c r="A648" s="38" t="s">
        <v>2561</v>
      </c>
      <c r="B648" s="38" t="s">
        <v>2774</v>
      </c>
      <c r="C648" s="38" t="s">
        <v>2775</v>
      </c>
      <c r="D648" s="38" t="s">
        <v>851</v>
      </c>
      <c r="E648" s="44" t="str">
        <f>IFERROR(VLOOKUP(D648,MATERIALES!A:B,2,FALSE()),"?")</f>
        <v>Cinta de Papel 36 mm x 40m</v>
      </c>
      <c r="F648" s="44" t="str">
        <f>IFERROR(VLOOKUP(D648,MATERIALES!A:C,3,FALSE()),"?")</f>
        <v>u</v>
      </c>
      <c r="G648" s="45">
        <v>0.05</v>
      </c>
      <c r="H648" s="46">
        <v>0.1</v>
      </c>
      <c r="I648" s="47">
        <f>IFERROR(VLOOKUP(D648,MATERIALES!A:D,4,FALSE()),0)</f>
        <v>3293.01</v>
      </c>
      <c r="J648" s="42">
        <f t="shared" si="83"/>
        <v>181.11555000000004</v>
      </c>
      <c r="K648" s="15" t="str">
        <f t="shared" si="79"/>
        <v>PIN-073|MAT</v>
      </c>
      <c r="L648" s="15">
        <f>COUNTIFS($K$2:K648,K648)</f>
        <v>2</v>
      </c>
      <c r="M648" s="15" t="str">
        <f t="shared" si="80"/>
        <v>PIN-073|MAT|2</v>
      </c>
      <c r="N648" s="47">
        <f>IFERROR(VLOOKUP(A648,PARTIDAS!A:F,6,FALSE()),0)</f>
        <v>20</v>
      </c>
      <c r="O648" s="247">
        <f t="shared" si="81"/>
        <v>0.05</v>
      </c>
      <c r="P648" s="247" t="str">
        <f>+_xlfn.XLOOKUP(A648,PPTO_GENERADOR!Q:Q,PPTO_GENERADOR!E:E,"-",0)</f>
        <v>-</v>
      </c>
      <c r="Q648" s="247">
        <f t="shared" si="82"/>
        <v>0</v>
      </c>
      <c r="R648" s="259" t="str">
        <f>+_xlfn.XLOOKUP(A648,PPTO_GENERADOR!$Q:$Q,PPTO_GENERADOR!A:A,"-",0)</f>
        <v>-</v>
      </c>
    </row>
    <row r="649" spans="1:18" ht="15" customHeight="1" x14ac:dyDescent="0.35">
      <c r="A649" s="38" t="s">
        <v>2561</v>
      </c>
      <c r="B649" s="38" t="s">
        <v>2774</v>
      </c>
      <c r="C649" s="38" t="s">
        <v>2775</v>
      </c>
      <c r="D649" s="38" t="s">
        <v>855</v>
      </c>
      <c r="E649" s="44" t="str">
        <f>IFERROR(VLOOKUP(D649,MATERIALES!A:B,2,FALSE()),"?")</f>
        <v>Trapo</v>
      </c>
      <c r="F649" s="44" t="str">
        <f>IFERROR(VLOOKUP(D649,MATERIALES!A:C,3,FALSE()),"?")</f>
        <v>u</v>
      </c>
      <c r="G649" s="45">
        <v>0.03</v>
      </c>
      <c r="H649" s="46">
        <v>0.05</v>
      </c>
      <c r="I649" s="47">
        <f>IFERROR(VLOOKUP(D649,MATERIALES!A:D,4,FALSE()),0)</f>
        <v>735.06</v>
      </c>
      <c r="J649" s="42">
        <f t="shared" si="83"/>
        <v>23.154389999999996</v>
      </c>
      <c r="K649" s="15" t="str">
        <f t="shared" si="79"/>
        <v>PIN-073|MAT</v>
      </c>
      <c r="L649" s="15">
        <f>COUNTIFS($K$2:K649,K649)</f>
        <v>3</v>
      </c>
      <c r="M649" s="15" t="str">
        <f t="shared" si="80"/>
        <v>PIN-073|MAT|3</v>
      </c>
      <c r="N649" s="47">
        <f>IFERROR(VLOOKUP(A649,PARTIDAS!A:F,6,FALSE()),0)</f>
        <v>20</v>
      </c>
      <c r="O649" s="247">
        <f t="shared" si="81"/>
        <v>0.03</v>
      </c>
      <c r="P649" s="247" t="str">
        <f>+_xlfn.XLOOKUP(A649,PPTO_GENERADOR!Q:Q,PPTO_GENERADOR!E:E,"-",0)</f>
        <v>-</v>
      </c>
      <c r="Q649" s="247">
        <f t="shared" si="82"/>
        <v>0</v>
      </c>
      <c r="R649" s="259" t="str">
        <f>+_xlfn.XLOOKUP(A649,PPTO_GENERADOR!$Q:$Q,PPTO_GENERADOR!A:A,"-",0)</f>
        <v>-</v>
      </c>
    </row>
    <row r="650" spans="1:18" ht="15" customHeight="1" x14ac:dyDescent="0.35">
      <c r="A650" s="38" t="s">
        <v>2561</v>
      </c>
      <c r="B650" s="38" t="s">
        <v>2774</v>
      </c>
      <c r="C650" s="38" t="s">
        <v>2775</v>
      </c>
      <c r="D650" s="38" t="s">
        <v>861</v>
      </c>
      <c r="E650" s="44" t="str">
        <f>IFERROR(VLOOKUP(D650,MATERIALES!A:B,2,FALSE()),"?")</f>
        <v>Rodillo de lana pelo corto antigota N°22 - El Galgo</v>
      </c>
      <c r="F650" s="44" t="str">
        <f>IFERROR(VLOOKUP(D650,MATERIALES!A:C,3,FALSE()),"?")</f>
        <v>u</v>
      </c>
      <c r="G650" s="45">
        <v>5.0000000000000001E-3</v>
      </c>
      <c r="H650" s="46">
        <v>0.05</v>
      </c>
      <c r="I650" s="47">
        <f>IFERROR(VLOOKUP(D650,MATERIALES!A:D,4,FALSE()),0)</f>
        <v>6678.36</v>
      </c>
      <c r="J650" s="42">
        <f t="shared" si="83"/>
        <v>35.061389999999996</v>
      </c>
      <c r="K650" s="15" t="str">
        <f t="shared" si="79"/>
        <v>PIN-073|MAT</v>
      </c>
      <c r="L650" s="15">
        <f>COUNTIFS($K$2:K650,K650)</f>
        <v>4</v>
      </c>
      <c r="M650" s="15" t="str">
        <f t="shared" si="80"/>
        <v>PIN-073|MAT|4</v>
      </c>
      <c r="N650" s="47">
        <f>IFERROR(VLOOKUP(A650,PARTIDAS!A:F,6,FALSE()),0)</f>
        <v>20</v>
      </c>
      <c r="O650" s="247">
        <f t="shared" si="81"/>
        <v>5.0000000000000001E-3</v>
      </c>
      <c r="P650" s="247" t="str">
        <f>+_xlfn.XLOOKUP(A650,PPTO_GENERADOR!Q:Q,PPTO_GENERADOR!E:E,"-",0)</f>
        <v>-</v>
      </c>
      <c r="Q650" s="247">
        <f t="shared" si="82"/>
        <v>0</v>
      </c>
      <c r="R650" s="259" t="str">
        <f>+_xlfn.XLOOKUP(A650,PPTO_GENERADOR!$Q:$Q,PPTO_GENERADOR!A:A,"-",0)</f>
        <v>-</v>
      </c>
    </row>
    <row r="651" spans="1:18" ht="15" customHeight="1" x14ac:dyDescent="0.35">
      <c r="A651" s="38" t="s">
        <v>2561</v>
      </c>
      <c r="B651" s="38" t="s">
        <v>2774</v>
      </c>
      <c r="C651" s="38" t="s">
        <v>2775</v>
      </c>
      <c r="D651" s="38" t="s">
        <v>865</v>
      </c>
      <c r="E651" s="44" t="str">
        <f>IFERROR(VLOOKUP(D651,MATERIALES!A:B,2,FALSE()),"?")</f>
        <v>Pincel N° 20 - El Galgo</v>
      </c>
      <c r="F651" s="44" t="str">
        <f>IFERROR(VLOOKUP(D651,MATERIALES!A:C,3,FALSE()),"?")</f>
        <v>u</v>
      </c>
      <c r="G651" s="45">
        <v>5.0000000000000001E-3</v>
      </c>
      <c r="H651" s="46">
        <v>0.05</v>
      </c>
      <c r="I651" s="47">
        <f>IFERROR(VLOOKUP(D651,MATERIALES!A:D,4,FALSE()),0)</f>
        <v>5282.24</v>
      </c>
      <c r="J651" s="42">
        <f t="shared" si="83"/>
        <v>27.731760000000001</v>
      </c>
      <c r="K651" s="15" t="str">
        <f t="shared" si="79"/>
        <v>PIN-073|MAT</v>
      </c>
      <c r="L651" s="15">
        <f>COUNTIFS($K$2:K651,K651)</f>
        <v>5</v>
      </c>
      <c r="M651" s="15" t="str">
        <f t="shared" si="80"/>
        <v>PIN-073|MAT|5</v>
      </c>
      <c r="N651" s="47">
        <f>IFERROR(VLOOKUP(A651,PARTIDAS!A:F,6,FALSE()),0)</f>
        <v>20</v>
      </c>
      <c r="O651" s="247">
        <f t="shared" si="81"/>
        <v>5.0000000000000001E-3</v>
      </c>
      <c r="P651" s="247" t="str">
        <f>+_xlfn.XLOOKUP(A651,PPTO_GENERADOR!Q:Q,PPTO_GENERADOR!E:E,"-",0)</f>
        <v>-</v>
      </c>
      <c r="Q651" s="247">
        <f t="shared" si="82"/>
        <v>0</v>
      </c>
      <c r="R651" s="259" t="str">
        <f>+_xlfn.XLOOKUP(A651,PPTO_GENERADOR!$Q:$Q,PPTO_GENERADOR!A:A,"-",0)</f>
        <v>-</v>
      </c>
    </row>
    <row r="652" spans="1:18" ht="15" customHeight="1" x14ac:dyDescent="0.35">
      <c r="A652" s="38" t="s">
        <v>2561</v>
      </c>
      <c r="B652" s="38" t="s">
        <v>2774</v>
      </c>
      <c r="C652" s="38" t="s">
        <v>2775</v>
      </c>
      <c r="D652" s="38" t="s">
        <v>868</v>
      </c>
      <c r="E652" s="44" t="str">
        <f>IFERROR(VLOOKUP(D652,MATERIALES!A:B,2,FALSE()),"?")</f>
        <v>Rollo de cartón corrugado 0,90 x 25 mts</v>
      </c>
      <c r="F652" s="44" t="str">
        <f>IFERROR(VLOOKUP(D652,MATERIALES!A:C,3,FALSE()),"?")</f>
        <v>u</v>
      </c>
      <c r="G652" s="45">
        <v>0.01</v>
      </c>
      <c r="H652" s="46">
        <v>0.05</v>
      </c>
      <c r="I652" s="47">
        <f>IFERROR(VLOOKUP(D652,MATERIALES!A:D,4,FALSE()),0)</f>
        <v>7427.6</v>
      </c>
      <c r="J652" s="42">
        <f t="shared" si="83"/>
        <v>77.989800000000017</v>
      </c>
      <c r="K652" s="15" t="str">
        <f t="shared" si="79"/>
        <v>PIN-073|MAT</v>
      </c>
      <c r="L652" s="15">
        <f>COUNTIFS($K$2:K652,K652)</f>
        <v>6</v>
      </c>
      <c r="M652" s="15" t="str">
        <f t="shared" si="80"/>
        <v>PIN-073|MAT|6</v>
      </c>
      <c r="N652" s="47">
        <f>IFERROR(VLOOKUP(A652,PARTIDAS!A:F,6,FALSE()),0)</f>
        <v>20</v>
      </c>
      <c r="O652" s="247">
        <f t="shared" si="81"/>
        <v>0.01</v>
      </c>
      <c r="P652" s="247" t="str">
        <f>+_xlfn.XLOOKUP(A652,PPTO_GENERADOR!Q:Q,PPTO_GENERADOR!E:E,"-",0)</f>
        <v>-</v>
      </c>
      <c r="Q652" s="247">
        <f t="shared" si="82"/>
        <v>0</v>
      </c>
      <c r="R652" s="259" t="str">
        <f>+_xlfn.XLOOKUP(A652,PPTO_GENERADOR!$Q:$Q,PPTO_GENERADOR!A:A,"-",0)</f>
        <v>-</v>
      </c>
    </row>
    <row r="653" spans="1:18" ht="15" customHeight="1" x14ac:dyDescent="0.35">
      <c r="A653" s="38" t="s">
        <v>2561</v>
      </c>
      <c r="B653" s="38" t="s">
        <v>2774</v>
      </c>
      <c r="C653" s="38" t="s">
        <v>2775</v>
      </c>
      <c r="D653" s="38" t="s">
        <v>795</v>
      </c>
      <c r="E653" s="44" t="str">
        <f>IFERROR(VLOOKUP(D653,MATERIALES!A:B,2,FALSE()),"?")</f>
        <v>Latex Loxon Interior Sherwin Williams Mate Bco x 20lts</v>
      </c>
      <c r="F653" s="44" t="str">
        <f>IFERROR(VLOOKUP(D653,MATERIALES!A:C,3,FALSE()),"?")</f>
        <v>B</v>
      </c>
      <c r="G653" s="45">
        <v>1.2500000000000001E-2</v>
      </c>
      <c r="H653" s="46">
        <v>0.1</v>
      </c>
      <c r="I653" s="47">
        <f>IFERROR(VLOOKUP(D653,MATERIALES!A:D,4,FALSE()),0)</f>
        <v>120622.23</v>
      </c>
      <c r="J653" s="42">
        <f t="shared" si="83"/>
        <v>1658.5556625000002</v>
      </c>
      <c r="K653" s="15" t="str">
        <f t="shared" si="79"/>
        <v>PIN-073|MAT</v>
      </c>
      <c r="L653" s="15">
        <f>COUNTIFS($K$2:K653,K653)</f>
        <v>7</v>
      </c>
      <c r="M653" s="15" t="str">
        <f t="shared" si="80"/>
        <v>PIN-073|MAT|7</v>
      </c>
      <c r="N653" s="47">
        <f>IFERROR(VLOOKUP(A653,PARTIDAS!A:F,6,FALSE()),0)</f>
        <v>20</v>
      </c>
      <c r="O653" s="247">
        <f t="shared" si="81"/>
        <v>1.2500000000000001E-2</v>
      </c>
      <c r="P653" s="247" t="str">
        <f>+_xlfn.XLOOKUP(A653,PPTO_GENERADOR!Q:Q,PPTO_GENERADOR!E:E,"-",0)</f>
        <v>-</v>
      </c>
      <c r="Q653" s="247">
        <f t="shared" si="82"/>
        <v>0</v>
      </c>
      <c r="R653" s="259" t="str">
        <f>+_xlfn.XLOOKUP(A653,PPTO_GENERADOR!$Q:$Q,PPTO_GENERADOR!A:A,"-",0)</f>
        <v>-</v>
      </c>
    </row>
    <row r="654" spans="1:18" ht="15" customHeight="1" x14ac:dyDescent="0.35">
      <c r="A654" s="38" t="s">
        <v>2561</v>
      </c>
      <c r="B654" s="38" t="s">
        <v>2776</v>
      </c>
      <c r="C654" s="38" t="s">
        <v>2777</v>
      </c>
      <c r="D654" s="237" t="s">
        <v>1568</v>
      </c>
      <c r="E654" s="44" t="str">
        <f>IFERROR(VLOOKUP(D654,MANO_DE_OBRA!A:B,2,FALSE()),"?")</f>
        <v>ESPECIALIZADO</v>
      </c>
      <c r="F654" s="44" t="s">
        <v>2778</v>
      </c>
      <c r="G654" s="45">
        <v>1</v>
      </c>
      <c r="H654" s="46">
        <v>0</v>
      </c>
      <c r="I654" s="47">
        <f>IFERROR(VLOOKUP(D654,MANO_DE_OBRA!A:C,3,FALSE()),0)</f>
        <v>85927.097156571996</v>
      </c>
      <c r="J654" s="42">
        <f>G654*I654</f>
        <v>85927.097156571996</v>
      </c>
      <c r="K654" s="15" t="str">
        <f t="shared" si="79"/>
        <v>PIN-073|MO</v>
      </c>
      <c r="L654" s="15">
        <f>COUNTIFS($K$2:K654,K654)</f>
        <v>1</v>
      </c>
      <c r="M654" s="15" t="str">
        <f t="shared" si="80"/>
        <v>PIN-073|MO|1</v>
      </c>
      <c r="N654" s="47">
        <f>IFERROR(VLOOKUP(A654,PARTIDAS!A:F,6,FALSE()),0)</f>
        <v>20</v>
      </c>
      <c r="O654" s="247">
        <f t="shared" si="81"/>
        <v>0.05</v>
      </c>
      <c r="P654" s="247" t="str">
        <f>+_xlfn.XLOOKUP(A654,PPTO_GENERADOR!Q:Q,PPTO_GENERADOR!E:E,"-",0)</f>
        <v>-</v>
      </c>
      <c r="Q654" s="247">
        <f t="shared" si="82"/>
        <v>0</v>
      </c>
      <c r="R654" s="259" t="str">
        <f>+_xlfn.XLOOKUP(A654,PPTO_GENERADOR!$Q:$Q,PPTO_GENERADOR!A:A,"-",0)</f>
        <v>-</v>
      </c>
    </row>
    <row r="655" spans="1:18" ht="15" customHeight="1" x14ac:dyDescent="0.35">
      <c r="A655" s="38" t="s">
        <v>133</v>
      </c>
      <c r="B655" s="38" t="s">
        <v>2773</v>
      </c>
      <c r="C655" s="38"/>
      <c r="D655" s="38" t="s">
        <v>1616</v>
      </c>
      <c r="E655" s="44" t="str">
        <f>IFERROR(VLOOKUP(D655,EQUIPOS!A:B,2,FALSE()),"?")</f>
        <v>Soldador Soplete A Gas Techista Membrana 10 Kg Boca 50mm</v>
      </c>
      <c r="F655" s="44"/>
      <c r="G655" s="45">
        <v>1</v>
      </c>
      <c r="H655" s="46">
        <v>0</v>
      </c>
      <c r="I655" s="47">
        <f>IFERROR(VLOOKUP(D655,EQUIPOS!A:F,6,FALSE()),0)</f>
        <v>804.50568716120006</v>
      </c>
      <c r="J655" s="42">
        <f>G655*I655</f>
        <v>804.50568716120006</v>
      </c>
      <c r="K655" s="15" t="str">
        <f t="shared" si="79"/>
        <v>PIN-113|EQ</v>
      </c>
      <c r="L655" s="15">
        <f>COUNTIFS($K$2:K655,K655)</f>
        <v>1</v>
      </c>
      <c r="M655" s="15" t="str">
        <f t="shared" si="80"/>
        <v>PIN-113|EQ|1</v>
      </c>
      <c r="N655" s="47">
        <f>IFERROR(VLOOKUP(A655,PARTIDAS!A:F,6,FALSE()),0)</f>
        <v>80</v>
      </c>
      <c r="O655" s="247">
        <f t="shared" si="81"/>
        <v>1</v>
      </c>
      <c r="P655" s="247">
        <f>+_xlfn.XLOOKUP(A655,PPTO_GENERADOR!Q:Q,PPTO_GENERADOR!E:E,"-",0)</f>
        <v>186</v>
      </c>
      <c r="Q655" s="247">
        <f t="shared" si="82"/>
        <v>186</v>
      </c>
      <c r="R655" s="259">
        <f>+_xlfn.XLOOKUP(A655,PPTO_GENERADOR!$Q:$Q,PPTO_GENERADOR!A:A,"-",0)</f>
        <v>5.05</v>
      </c>
    </row>
    <row r="656" spans="1:18" ht="15" customHeight="1" x14ac:dyDescent="0.35">
      <c r="A656" s="38" t="s">
        <v>133</v>
      </c>
      <c r="B656" s="38" t="s">
        <v>2774</v>
      </c>
      <c r="C656" s="38" t="s">
        <v>2775</v>
      </c>
      <c r="D656" s="38" t="s">
        <v>845</v>
      </c>
      <c r="E656" s="44" t="str">
        <f>IFERROR(VLOOKUP(D656,MATERIALES!A:B,2,FALSE()),"?")</f>
        <v>Aguarras Hydrarras Hydra x 18lts</v>
      </c>
      <c r="F656" s="44" t="str">
        <f>IFERROR(VLOOKUP(D656,MATERIALES!A:C,3,FALSE()),"?")</f>
        <v>b</v>
      </c>
      <c r="G656" s="45">
        <v>2E-3</v>
      </c>
      <c r="H656" s="46">
        <v>0.05</v>
      </c>
      <c r="I656" s="47">
        <f>IFERROR(VLOOKUP(D656,MATERIALES!A:D,4,FALSE()),0)</f>
        <v>26907.33</v>
      </c>
      <c r="J656" s="42">
        <f>G656*I656*(1+H656)</f>
        <v>56.505393000000005</v>
      </c>
      <c r="K656" s="15" t="str">
        <f t="shared" si="79"/>
        <v>PIN-113|MAT</v>
      </c>
      <c r="L656" s="15">
        <f>COUNTIFS($K$2:K656,K656)</f>
        <v>1</v>
      </c>
      <c r="M656" s="15" t="str">
        <f t="shared" si="80"/>
        <v>PIN-113|MAT|1</v>
      </c>
      <c r="N656" s="47">
        <f>IFERROR(VLOOKUP(A656,PARTIDAS!A:F,6,FALSE()),0)</f>
        <v>80</v>
      </c>
      <c r="O656" s="247">
        <f t="shared" si="81"/>
        <v>2E-3</v>
      </c>
      <c r="P656" s="247">
        <f>+_xlfn.XLOOKUP(A656,PPTO_GENERADOR!Q:Q,PPTO_GENERADOR!E:E,"-",0)</f>
        <v>186</v>
      </c>
      <c r="Q656" s="247">
        <f t="shared" si="82"/>
        <v>0.372</v>
      </c>
      <c r="R656" s="259">
        <f>+_xlfn.XLOOKUP(A656,PPTO_GENERADOR!$Q:$Q,PPTO_GENERADOR!A:A,"-",0)</f>
        <v>5.05</v>
      </c>
    </row>
    <row r="657" spans="1:18" ht="15" customHeight="1" x14ac:dyDescent="0.35">
      <c r="A657" s="38" t="s">
        <v>133</v>
      </c>
      <c r="B657" s="38" t="s">
        <v>2774</v>
      </c>
      <c r="C657" s="38" t="s">
        <v>2775</v>
      </c>
      <c r="D657" s="38" t="s">
        <v>855</v>
      </c>
      <c r="E657" s="44" t="str">
        <f>IFERROR(VLOOKUP(D657,MATERIALES!A:B,2,FALSE()),"?")</f>
        <v>Trapo</v>
      </c>
      <c r="F657" s="44" t="str">
        <f>IFERROR(VLOOKUP(D657,MATERIALES!A:C,3,FALSE()),"?")</f>
        <v>u</v>
      </c>
      <c r="G657" s="45">
        <v>0.02</v>
      </c>
      <c r="H657" s="46">
        <v>0.05</v>
      </c>
      <c r="I657" s="47">
        <f>IFERROR(VLOOKUP(D657,MATERIALES!A:D,4,FALSE()),0)</f>
        <v>735.06</v>
      </c>
      <c r="J657" s="42">
        <f>G657*I657*(1+H657)</f>
        <v>15.436260000000001</v>
      </c>
      <c r="K657" s="15" t="str">
        <f t="shared" si="79"/>
        <v>PIN-113|MAT</v>
      </c>
      <c r="L657" s="15">
        <f>COUNTIFS($K$2:K657,K657)</f>
        <v>2</v>
      </c>
      <c r="M657" s="15" t="str">
        <f t="shared" si="80"/>
        <v>PIN-113|MAT|2</v>
      </c>
      <c r="N657" s="47">
        <f>IFERROR(VLOOKUP(A657,PARTIDAS!A:F,6,FALSE()),0)</f>
        <v>80</v>
      </c>
      <c r="O657" s="247">
        <f t="shared" si="81"/>
        <v>0.02</v>
      </c>
      <c r="P657" s="247">
        <f>+_xlfn.XLOOKUP(A657,PPTO_GENERADOR!Q:Q,PPTO_GENERADOR!E:E,"-",0)</f>
        <v>186</v>
      </c>
      <c r="Q657" s="247">
        <f t="shared" si="82"/>
        <v>3.72</v>
      </c>
      <c r="R657" s="259">
        <f>+_xlfn.XLOOKUP(A657,PPTO_GENERADOR!$Q:$Q,PPTO_GENERADOR!A:A,"-",0)</f>
        <v>5.05</v>
      </c>
    </row>
    <row r="658" spans="1:18" ht="15" customHeight="1" x14ac:dyDescent="0.35">
      <c r="A658" s="38" t="s">
        <v>133</v>
      </c>
      <c r="B658" s="38" t="s">
        <v>2774</v>
      </c>
      <c r="C658" s="38" t="s">
        <v>2775</v>
      </c>
      <c r="D658" s="38" t="s">
        <v>863</v>
      </c>
      <c r="E658" s="44" t="str">
        <f>IFERROR(VLOOKUP(D658,MATERIALES!A:B,2,FALSE()),"?")</f>
        <v>Rodillo de lana pelo largo N°22 - El Galgo</v>
      </c>
      <c r="F658" s="44" t="str">
        <f>IFERROR(VLOOKUP(D658,MATERIALES!A:C,3,FALSE()),"?")</f>
        <v>u</v>
      </c>
      <c r="G658" s="45">
        <v>0.01</v>
      </c>
      <c r="H658" s="46">
        <v>0.05</v>
      </c>
      <c r="I658" s="47">
        <f>IFERROR(VLOOKUP(D658,MATERIALES!A:D,4,FALSE()),0)</f>
        <v>6678.36</v>
      </c>
      <c r="J658" s="42">
        <f>G658*I658*(1+H658)</f>
        <v>70.122779999999992</v>
      </c>
      <c r="K658" s="15" t="str">
        <f t="shared" si="79"/>
        <v>PIN-113|MAT</v>
      </c>
      <c r="L658" s="15">
        <f>COUNTIFS($K$2:K658,K658)</f>
        <v>3</v>
      </c>
      <c r="M658" s="15" t="str">
        <f t="shared" si="80"/>
        <v>PIN-113|MAT|3</v>
      </c>
      <c r="N658" s="47">
        <f>IFERROR(VLOOKUP(A658,PARTIDAS!A:F,6,FALSE()),0)</f>
        <v>80</v>
      </c>
      <c r="O658" s="247">
        <f t="shared" si="81"/>
        <v>0.01</v>
      </c>
      <c r="P658" s="247">
        <f>+_xlfn.XLOOKUP(A658,PPTO_GENERADOR!Q:Q,PPTO_GENERADOR!E:E,"-",0)</f>
        <v>186</v>
      </c>
      <c r="Q658" s="247">
        <f t="shared" si="82"/>
        <v>1.86</v>
      </c>
      <c r="R658" s="259">
        <f>+_xlfn.XLOOKUP(A658,PPTO_GENERADOR!$Q:$Q,PPTO_GENERADOR!A:A,"-",0)</f>
        <v>5.05</v>
      </c>
    </row>
    <row r="659" spans="1:18" ht="15" customHeight="1" x14ac:dyDescent="0.35">
      <c r="A659" s="38" t="s">
        <v>133</v>
      </c>
      <c r="B659" s="38" t="s">
        <v>2774</v>
      </c>
      <c r="C659" s="38" t="s">
        <v>2775</v>
      </c>
      <c r="D659" s="38" t="s">
        <v>865</v>
      </c>
      <c r="E659" s="44" t="str">
        <f>IFERROR(VLOOKUP(D659,MATERIALES!A:B,2,FALSE()),"?")</f>
        <v>Pincel N° 20 - El Galgo</v>
      </c>
      <c r="F659" s="44" t="str">
        <f>IFERROR(VLOOKUP(D659,MATERIALES!A:C,3,FALSE()),"?")</f>
        <v>u</v>
      </c>
      <c r="G659" s="45">
        <v>0.02</v>
      </c>
      <c r="H659" s="46">
        <v>0.05</v>
      </c>
      <c r="I659" s="47">
        <f>IFERROR(VLOOKUP(D659,MATERIALES!A:D,4,FALSE()),0)</f>
        <v>5282.24</v>
      </c>
      <c r="J659" s="42">
        <f>G659*I659*(1+H659)</f>
        <v>110.92704000000001</v>
      </c>
      <c r="K659" s="15" t="str">
        <f t="shared" si="79"/>
        <v>PIN-113|MAT</v>
      </c>
      <c r="L659" s="15">
        <f>COUNTIFS($K$2:K659,K659)</f>
        <v>4</v>
      </c>
      <c r="M659" s="15" t="str">
        <f t="shared" si="80"/>
        <v>PIN-113|MAT|4</v>
      </c>
      <c r="N659" s="47">
        <f>IFERROR(VLOOKUP(A659,PARTIDAS!A:F,6,FALSE()),0)</f>
        <v>80</v>
      </c>
      <c r="O659" s="247">
        <f t="shared" si="81"/>
        <v>0.02</v>
      </c>
      <c r="P659" s="247">
        <f>+_xlfn.XLOOKUP(A659,PPTO_GENERADOR!Q:Q,PPTO_GENERADOR!E:E,"-",0)</f>
        <v>186</v>
      </c>
      <c r="Q659" s="247">
        <f t="shared" si="82"/>
        <v>3.72</v>
      </c>
      <c r="R659" s="259">
        <f>+_xlfn.XLOOKUP(A659,PPTO_GENERADOR!$Q:$Q,PPTO_GENERADOR!A:A,"-",0)</f>
        <v>5.05</v>
      </c>
    </row>
    <row r="660" spans="1:18" ht="15" customHeight="1" x14ac:dyDescent="0.35">
      <c r="A660" s="38" t="s">
        <v>133</v>
      </c>
      <c r="B660" s="38" t="s">
        <v>2774</v>
      </c>
      <c r="C660" s="38" t="s">
        <v>2775</v>
      </c>
      <c r="D660" s="38" t="s">
        <v>822</v>
      </c>
      <c r="E660" s="44" t="str">
        <f>IFERROR(VLOOKUP(D660,MATERIALES!A:B,2,FALSE()),"?")</f>
        <v>Pintura Asfaltica Asfasol x18ts</v>
      </c>
      <c r="F660" s="44" t="str">
        <f>IFERROR(VLOOKUP(D660,MATERIALES!A:C,3,FALSE()),"?")</f>
        <v>b</v>
      </c>
      <c r="G660" s="45">
        <v>2.7777777777777801E-2</v>
      </c>
      <c r="H660" s="46">
        <v>0.1</v>
      </c>
      <c r="I660" s="47">
        <f>IFERROR(VLOOKUP(D660,MATERIALES!A:D,4,FALSE()),0)</f>
        <v>32845.78</v>
      </c>
      <c r="J660" s="42">
        <f>G660*I660*(1+H660)</f>
        <v>1003.6210555555565</v>
      </c>
      <c r="K660" s="15" t="str">
        <f t="shared" si="79"/>
        <v>PIN-113|MAT</v>
      </c>
      <c r="L660" s="15">
        <f>COUNTIFS($K$2:K660,K660)</f>
        <v>5</v>
      </c>
      <c r="M660" s="15" t="str">
        <f t="shared" si="80"/>
        <v>PIN-113|MAT|5</v>
      </c>
      <c r="N660" s="47">
        <f>IFERROR(VLOOKUP(A660,PARTIDAS!A:F,6,FALSE()),0)</f>
        <v>80</v>
      </c>
      <c r="O660" s="247">
        <f t="shared" si="81"/>
        <v>2.7777777777777801E-2</v>
      </c>
      <c r="P660" s="247">
        <f>+_xlfn.XLOOKUP(A660,PPTO_GENERADOR!Q:Q,PPTO_GENERADOR!E:E,"-",0)</f>
        <v>186</v>
      </c>
      <c r="Q660" s="247">
        <f t="shared" si="82"/>
        <v>5.1666666666666705</v>
      </c>
      <c r="R660" s="259">
        <f>+_xlfn.XLOOKUP(A660,PPTO_GENERADOR!$Q:$Q,PPTO_GENERADOR!A:A,"-",0)</f>
        <v>5.05</v>
      </c>
    </row>
    <row r="661" spans="1:18" ht="15" customHeight="1" x14ac:dyDescent="0.35">
      <c r="A661" s="38" t="s">
        <v>133</v>
      </c>
      <c r="B661" s="38" t="s">
        <v>2776</v>
      </c>
      <c r="C661" s="38" t="s">
        <v>2777</v>
      </c>
      <c r="D661" s="237" t="s">
        <v>1577</v>
      </c>
      <c r="E661" s="44" t="str">
        <f>IFERROR(VLOOKUP(D661,MANO_DE_OBRA!A:B,2,FALSE()),"?")</f>
        <v>AYUDANTE</v>
      </c>
      <c r="F661" s="44" t="s">
        <v>2778</v>
      </c>
      <c r="G661" s="45">
        <v>1</v>
      </c>
      <c r="H661" s="46">
        <v>0</v>
      </c>
      <c r="I661" s="47">
        <f>IFERROR(VLOOKUP(D661,MANO_DE_OBRA!A:C,3,FALSE()),0)</f>
        <v>60860.580776572002</v>
      </c>
      <c r="J661" s="42">
        <f>G661*I661</f>
        <v>60860.580776572002</v>
      </c>
      <c r="K661" s="15" t="str">
        <f t="shared" si="79"/>
        <v>PIN-113|MO</v>
      </c>
      <c r="L661" s="15">
        <f>COUNTIFS($K$2:K661,K661)</f>
        <v>1</v>
      </c>
      <c r="M661" s="15" t="str">
        <f t="shared" si="80"/>
        <v>PIN-113|MO|1</v>
      </c>
      <c r="N661" s="47">
        <f>IFERROR(VLOOKUP(A661,PARTIDAS!A:F,6,FALSE()),0)</f>
        <v>80</v>
      </c>
      <c r="O661" s="247">
        <f t="shared" si="81"/>
        <v>1.2500000000000001E-2</v>
      </c>
      <c r="P661" s="247">
        <f>+_xlfn.XLOOKUP(A661,PPTO_GENERADOR!Q:Q,PPTO_GENERADOR!E:E,"-",0)</f>
        <v>186</v>
      </c>
      <c r="Q661" s="247">
        <f t="shared" si="82"/>
        <v>2.3250000000000002</v>
      </c>
      <c r="R661" s="259">
        <f>+_xlfn.XLOOKUP(A661,PPTO_GENERADOR!$Q:$Q,PPTO_GENERADOR!A:A,"-",0)</f>
        <v>5.05</v>
      </c>
    </row>
    <row r="662" spans="1:18" ht="15" customHeight="1" x14ac:dyDescent="0.35">
      <c r="A662" s="38" t="s">
        <v>133</v>
      </c>
      <c r="B662" s="38" t="s">
        <v>2776</v>
      </c>
      <c r="C662" s="38" t="s">
        <v>2777</v>
      </c>
      <c r="D662" s="237" t="s">
        <v>1571</v>
      </c>
      <c r="E662" s="44" t="str">
        <f>IFERROR(VLOOKUP(D662,MANO_DE_OBRA!A:B,2,FALSE()),"?")</f>
        <v>OFICIAL</v>
      </c>
      <c r="F662" s="44" t="s">
        <v>2778</v>
      </c>
      <c r="G662" s="45">
        <v>1</v>
      </c>
      <c r="H662" s="46">
        <v>0</v>
      </c>
      <c r="I662" s="47">
        <f>IFERROR(VLOOKUP(D662,MANO_DE_OBRA!A:C,3,FALSE()),0)</f>
        <v>76955.079706571996</v>
      </c>
      <c r="J662" s="42">
        <f>G662*I662</f>
        <v>76955.079706571996</v>
      </c>
      <c r="K662" s="15" t="str">
        <f t="shared" si="79"/>
        <v>PIN-113|MO</v>
      </c>
      <c r="L662" s="15">
        <f>COUNTIFS($K$2:K662,K662)</f>
        <v>2</v>
      </c>
      <c r="M662" s="15" t="str">
        <f t="shared" si="80"/>
        <v>PIN-113|MO|2</v>
      </c>
      <c r="N662" s="47">
        <f>IFERROR(VLOOKUP(A662,PARTIDAS!A:F,6,FALSE()),0)</f>
        <v>80</v>
      </c>
      <c r="O662" s="247">
        <f t="shared" si="81"/>
        <v>1.2500000000000001E-2</v>
      </c>
      <c r="P662" s="247">
        <f>+_xlfn.XLOOKUP(A662,PPTO_GENERADOR!Q:Q,PPTO_GENERADOR!E:E,"-",0)</f>
        <v>186</v>
      </c>
      <c r="Q662" s="247">
        <f t="shared" si="82"/>
        <v>2.3250000000000002</v>
      </c>
      <c r="R662" s="259">
        <f>+_xlfn.XLOOKUP(A662,PPTO_GENERADOR!$Q:$Q,PPTO_GENERADOR!A:A,"-",0)</f>
        <v>5.05</v>
      </c>
    </row>
    <row r="663" spans="1:18" ht="15" customHeight="1" x14ac:dyDescent="0.35">
      <c r="A663" s="38" t="s">
        <v>234</v>
      </c>
      <c r="B663" s="38" t="s">
        <v>2773</v>
      </c>
      <c r="C663" s="38"/>
      <c r="D663" s="38" t="s">
        <v>1604</v>
      </c>
      <c r="E663" s="44" t="str">
        <f>IFERROR(VLOOKUP(D663,EQUIPOS!A:B,2,FALSE()),"?")</f>
        <v>EQUIPO PARA PINTAR</v>
      </c>
      <c r="F663" s="44"/>
      <c r="G663" s="45">
        <v>1</v>
      </c>
      <c r="H663" s="46">
        <v>0</v>
      </c>
      <c r="I663" s="47">
        <f>IFERROR(VLOOKUP(D663,EQUIPOS!A:F,6,FALSE()),0)</f>
        <v>1723.6259595547085</v>
      </c>
      <c r="J663" s="42">
        <f>G663*I663</f>
        <v>1723.6259595547085</v>
      </c>
      <c r="K663" s="15" t="str">
        <f t="shared" si="79"/>
        <v>PIN-137|EQ</v>
      </c>
      <c r="L663" s="15">
        <f>COUNTIFS($K$2:K663,K663)</f>
        <v>1</v>
      </c>
      <c r="M663" s="15" t="str">
        <f t="shared" si="80"/>
        <v>PIN-137|EQ|1</v>
      </c>
      <c r="N663" s="47">
        <f>IFERROR(VLOOKUP(A663,PARTIDAS!A:F,6,FALSE()),0)</f>
        <v>20</v>
      </c>
      <c r="O663" s="247">
        <f t="shared" si="81"/>
        <v>1</v>
      </c>
      <c r="P663" s="247">
        <f>+_xlfn.XLOOKUP(A663,PPTO_GENERADOR!Q:Q,PPTO_GENERADOR!E:E,"-",0)</f>
        <v>1439</v>
      </c>
      <c r="Q663" s="247">
        <f t="shared" si="82"/>
        <v>1439</v>
      </c>
      <c r="R663" s="259">
        <f>+_xlfn.XLOOKUP(A663,PPTO_GENERADOR!$Q:$Q,PPTO_GENERADOR!A:A,"-",0)</f>
        <v>15.02</v>
      </c>
    </row>
    <row r="664" spans="1:18" ht="15" customHeight="1" x14ac:dyDescent="0.35">
      <c r="A664" s="38" t="s">
        <v>234</v>
      </c>
      <c r="B664" s="38" t="s">
        <v>2773</v>
      </c>
      <c r="C664" s="38"/>
      <c r="D664" s="38" t="s">
        <v>1749</v>
      </c>
      <c r="E664" s="44" t="str">
        <f>IFERROR(VLOOKUP(D664,EQUIPOS!A:B,2,FALSE()),"?")</f>
        <v>ESCALERA MADERA PINTOR 8 ESCALONES</v>
      </c>
      <c r="F664" s="44"/>
      <c r="G664" s="45">
        <v>1</v>
      </c>
      <c r="H664" s="46">
        <v>0</v>
      </c>
      <c r="I664" s="47">
        <f>IFERROR(VLOOKUP(D664,EQUIPOS!A:F,6,FALSE()),0)</f>
        <v>200.25307946474501</v>
      </c>
      <c r="J664" s="42">
        <f>G664*I664</f>
        <v>200.25307946474501</v>
      </c>
      <c r="K664" s="15" t="str">
        <f t="shared" si="79"/>
        <v>PIN-137|EQ</v>
      </c>
      <c r="L664" s="15">
        <f>COUNTIFS($K$2:K664,K664)</f>
        <v>2</v>
      </c>
      <c r="M664" s="15" t="str">
        <f t="shared" si="80"/>
        <v>PIN-137|EQ|2</v>
      </c>
      <c r="N664" s="47">
        <f>IFERROR(VLOOKUP(A664,PARTIDAS!A:F,6,FALSE()),0)</f>
        <v>20</v>
      </c>
      <c r="O664" s="247">
        <f t="shared" si="81"/>
        <v>1</v>
      </c>
      <c r="P664" s="247">
        <f>+_xlfn.XLOOKUP(A664,PPTO_GENERADOR!Q:Q,PPTO_GENERADOR!E:E,"-",0)</f>
        <v>1439</v>
      </c>
      <c r="Q664" s="247">
        <f t="shared" si="82"/>
        <v>1439</v>
      </c>
      <c r="R664" s="259">
        <f>+_xlfn.XLOOKUP(A664,PPTO_GENERADOR!$Q:$Q,PPTO_GENERADOR!A:A,"-",0)</f>
        <v>15.02</v>
      </c>
    </row>
    <row r="665" spans="1:18" ht="15" customHeight="1" x14ac:dyDescent="0.35">
      <c r="A665" s="38" t="s">
        <v>234</v>
      </c>
      <c r="B665" s="38" t="s">
        <v>2774</v>
      </c>
      <c r="C665" s="38" t="s">
        <v>2775</v>
      </c>
      <c r="D665" s="38" t="s">
        <v>842</v>
      </c>
      <c r="E665" s="44" t="str">
        <f>IFERROR(VLOOKUP(D665,MATERIALES!A:B,2,FALSE()),"?")</f>
        <v>Fijador al agua x 20 lts</v>
      </c>
      <c r="F665" s="44" t="str">
        <f>IFERROR(VLOOKUP(D665,MATERIALES!A:C,3,FALSE()),"?")</f>
        <v>b</v>
      </c>
      <c r="G665" s="45">
        <v>4.0000000000000001E-3</v>
      </c>
      <c r="H665" s="46">
        <v>0.05</v>
      </c>
      <c r="I665" s="47">
        <f>IFERROR(VLOOKUP(D665,MATERIALES!A:D,4,FALSE()),0)</f>
        <v>30467.49</v>
      </c>
      <c r="J665" s="42">
        <f t="shared" ref="J665:J674" si="84">G665*I665*(1+H665)</f>
        <v>127.96345800000002</v>
      </c>
      <c r="K665" s="15" t="str">
        <f t="shared" si="79"/>
        <v>PIN-137|MAT</v>
      </c>
      <c r="L665" s="15">
        <f>COUNTIFS($K$2:K665,K665)</f>
        <v>1</v>
      </c>
      <c r="M665" s="15" t="str">
        <f t="shared" si="80"/>
        <v>PIN-137|MAT|1</v>
      </c>
      <c r="N665" s="47">
        <f>IFERROR(VLOOKUP(A665,PARTIDAS!A:F,6,FALSE()),0)</f>
        <v>20</v>
      </c>
      <c r="O665" s="247">
        <f t="shared" si="81"/>
        <v>4.0000000000000001E-3</v>
      </c>
      <c r="P665" s="247">
        <f>+_xlfn.XLOOKUP(A665,PPTO_GENERADOR!Q:Q,PPTO_GENERADOR!E:E,"-",0)</f>
        <v>1439</v>
      </c>
      <c r="Q665" s="247">
        <f t="shared" si="82"/>
        <v>5.7560000000000002</v>
      </c>
      <c r="R665" s="259">
        <f>+_xlfn.XLOOKUP(A665,PPTO_GENERADOR!$Q:$Q,PPTO_GENERADOR!A:A,"-",0)</f>
        <v>15.02</v>
      </c>
    </row>
    <row r="666" spans="1:18" ht="15" customHeight="1" x14ac:dyDescent="0.35">
      <c r="A666" s="38" t="s">
        <v>234</v>
      </c>
      <c r="B666" s="38" t="s">
        <v>2774</v>
      </c>
      <c r="C666" s="38" t="s">
        <v>2775</v>
      </c>
      <c r="D666" s="38" t="s">
        <v>848</v>
      </c>
      <c r="E666" s="44" t="str">
        <f>IFERROR(VLOOKUP(D666,MATERIALES!A:B,2,FALSE()),"?")</f>
        <v>Lija 180 al agua x 10u</v>
      </c>
      <c r="F666" s="44" t="str">
        <f>IFERROR(VLOOKUP(D666,MATERIALES!A:C,3,FALSE()),"?")</f>
        <v>u</v>
      </c>
      <c r="G666" s="45">
        <v>1.4999999999999999E-2</v>
      </c>
      <c r="H666" s="46">
        <v>0.05</v>
      </c>
      <c r="I666" s="47">
        <f>IFERROR(VLOOKUP(D666,MATERIALES!A:D,4,FALSE()),0)</f>
        <v>5661.4</v>
      </c>
      <c r="J666" s="42">
        <f t="shared" si="84"/>
        <v>89.167049999999989</v>
      </c>
      <c r="K666" s="15" t="str">
        <f t="shared" si="79"/>
        <v>PIN-137|MAT</v>
      </c>
      <c r="L666" s="15">
        <f>COUNTIFS($K$2:K666,K666)</f>
        <v>2</v>
      </c>
      <c r="M666" s="15" t="str">
        <f t="shared" si="80"/>
        <v>PIN-137|MAT|2</v>
      </c>
      <c r="N666" s="47">
        <f>IFERROR(VLOOKUP(A666,PARTIDAS!A:F,6,FALSE()),0)</f>
        <v>20</v>
      </c>
      <c r="O666" s="247">
        <f t="shared" si="81"/>
        <v>1.4999999999999999E-2</v>
      </c>
      <c r="P666" s="247">
        <f>+_xlfn.XLOOKUP(A666,PPTO_GENERADOR!Q:Q,PPTO_GENERADOR!E:E,"-",0)</f>
        <v>1439</v>
      </c>
      <c r="Q666" s="247">
        <f t="shared" si="82"/>
        <v>21.585000000000001</v>
      </c>
      <c r="R666" s="259">
        <f>+_xlfn.XLOOKUP(A666,PPTO_GENERADOR!$Q:$Q,PPTO_GENERADOR!A:A,"-",0)</f>
        <v>15.02</v>
      </c>
    </row>
    <row r="667" spans="1:18" ht="15" customHeight="1" x14ac:dyDescent="0.35">
      <c r="A667" s="38" t="s">
        <v>234</v>
      </c>
      <c r="B667" s="38" t="s">
        <v>2774</v>
      </c>
      <c r="C667" s="38" t="s">
        <v>2775</v>
      </c>
      <c r="D667" s="38" t="s">
        <v>851</v>
      </c>
      <c r="E667" s="44" t="str">
        <f>IFERROR(VLOOKUP(D667,MATERIALES!A:B,2,FALSE()),"?")</f>
        <v>Cinta de Papel 36 mm x 40m</v>
      </c>
      <c r="F667" s="44" t="str">
        <f>IFERROR(VLOOKUP(D667,MATERIALES!A:C,3,FALSE()),"?")</f>
        <v>u</v>
      </c>
      <c r="G667" s="45">
        <v>0.05</v>
      </c>
      <c r="H667" s="46">
        <v>0.1</v>
      </c>
      <c r="I667" s="47">
        <f>IFERROR(VLOOKUP(D667,MATERIALES!A:D,4,FALSE()),0)</f>
        <v>3293.01</v>
      </c>
      <c r="J667" s="42">
        <f t="shared" si="84"/>
        <v>181.11555000000004</v>
      </c>
      <c r="K667" s="15" t="str">
        <f t="shared" si="79"/>
        <v>PIN-137|MAT</v>
      </c>
      <c r="L667" s="15">
        <f>COUNTIFS($K$2:K667,K667)</f>
        <v>3</v>
      </c>
      <c r="M667" s="15" t="str">
        <f t="shared" si="80"/>
        <v>PIN-137|MAT|3</v>
      </c>
      <c r="N667" s="47">
        <f>IFERROR(VLOOKUP(A667,PARTIDAS!A:F,6,FALSE()),0)</f>
        <v>20</v>
      </c>
      <c r="O667" s="247">
        <f t="shared" si="81"/>
        <v>0.05</v>
      </c>
      <c r="P667" s="247">
        <f>+_xlfn.XLOOKUP(A667,PPTO_GENERADOR!Q:Q,PPTO_GENERADOR!E:E,"-",0)</f>
        <v>1439</v>
      </c>
      <c r="Q667" s="247">
        <f t="shared" si="82"/>
        <v>71.95</v>
      </c>
      <c r="R667" s="259">
        <f>+_xlfn.XLOOKUP(A667,PPTO_GENERADOR!$Q:$Q,PPTO_GENERADOR!A:A,"-",0)</f>
        <v>15.02</v>
      </c>
    </row>
    <row r="668" spans="1:18" ht="15" customHeight="1" x14ac:dyDescent="0.35">
      <c r="A668" s="38" t="s">
        <v>234</v>
      </c>
      <c r="B668" s="38" t="s">
        <v>2774</v>
      </c>
      <c r="C668" s="38" t="s">
        <v>2775</v>
      </c>
      <c r="D668" s="38" t="s">
        <v>855</v>
      </c>
      <c r="E668" s="44" t="str">
        <f>IFERROR(VLOOKUP(D668,MATERIALES!A:B,2,FALSE()),"?")</f>
        <v>Trapo</v>
      </c>
      <c r="F668" s="44" t="str">
        <f>IFERROR(VLOOKUP(D668,MATERIALES!A:C,3,FALSE()),"?")</f>
        <v>u</v>
      </c>
      <c r="G668" s="45">
        <v>0.03</v>
      </c>
      <c r="H668" s="46">
        <v>0.05</v>
      </c>
      <c r="I668" s="47">
        <f>IFERROR(VLOOKUP(D668,MATERIALES!A:D,4,FALSE()),0)</f>
        <v>735.06</v>
      </c>
      <c r="J668" s="42">
        <f t="shared" si="84"/>
        <v>23.154389999999996</v>
      </c>
      <c r="K668" s="15" t="str">
        <f t="shared" si="79"/>
        <v>PIN-137|MAT</v>
      </c>
      <c r="L668" s="15">
        <f>COUNTIFS($K$2:K668,K668)</f>
        <v>4</v>
      </c>
      <c r="M668" s="15" t="str">
        <f t="shared" si="80"/>
        <v>PIN-137|MAT|4</v>
      </c>
      <c r="N668" s="47">
        <f>IFERROR(VLOOKUP(A668,PARTIDAS!A:F,6,FALSE()),0)</f>
        <v>20</v>
      </c>
      <c r="O668" s="247">
        <f t="shared" si="81"/>
        <v>0.03</v>
      </c>
      <c r="P668" s="247">
        <f>+_xlfn.XLOOKUP(A668,PPTO_GENERADOR!Q:Q,PPTO_GENERADOR!E:E,"-",0)</f>
        <v>1439</v>
      </c>
      <c r="Q668" s="247">
        <f t="shared" si="82"/>
        <v>43.17</v>
      </c>
      <c r="R668" s="259">
        <f>+_xlfn.XLOOKUP(A668,PPTO_GENERADOR!$Q:$Q,PPTO_GENERADOR!A:A,"-",0)</f>
        <v>15.02</v>
      </c>
    </row>
    <row r="669" spans="1:18" ht="15" customHeight="1" x14ac:dyDescent="0.35">
      <c r="A669" s="38" t="s">
        <v>234</v>
      </c>
      <c r="B669" s="38" t="s">
        <v>2774</v>
      </c>
      <c r="C669" s="38" t="s">
        <v>2775</v>
      </c>
      <c r="D669" s="38" t="s">
        <v>861</v>
      </c>
      <c r="E669" s="44" t="str">
        <f>IFERROR(VLOOKUP(D669,MATERIALES!A:B,2,FALSE()),"?")</f>
        <v>Rodillo de lana pelo corto antigota N°22 - El Galgo</v>
      </c>
      <c r="F669" s="44" t="str">
        <f>IFERROR(VLOOKUP(D669,MATERIALES!A:C,3,FALSE()),"?")</f>
        <v>u</v>
      </c>
      <c r="G669" s="45">
        <v>5.0000000000000001E-3</v>
      </c>
      <c r="H669" s="46">
        <v>0.05</v>
      </c>
      <c r="I669" s="47">
        <f>IFERROR(VLOOKUP(D669,MATERIALES!A:D,4,FALSE()),0)</f>
        <v>6678.36</v>
      </c>
      <c r="J669" s="42">
        <f t="shared" si="84"/>
        <v>35.061389999999996</v>
      </c>
      <c r="K669" s="15" t="str">
        <f t="shared" si="79"/>
        <v>PIN-137|MAT</v>
      </c>
      <c r="L669" s="15">
        <f>COUNTIFS($K$2:K669,K669)</f>
        <v>5</v>
      </c>
      <c r="M669" s="15" t="str">
        <f t="shared" si="80"/>
        <v>PIN-137|MAT|5</v>
      </c>
      <c r="N669" s="47">
        <f>IFERROR(VLOOKUP(A669,PARTIDAS!A:F,6,FALSE()),0)</f>
        <v>20</v>
      </c>
      <c r="O669" s="247">
        <f t="shared" si="81"/>
        <v>5.0000000000000001E-3</v>
      </c>
      <c r="P669" s="247">
        <f>+_xlfn.XLOOKUP(A669,PPTO_GENERADOR!Q:Q,PPTO_GENERADOR!E:E,"-",0)</f>
        <v>1439</v>
      </c>
      <c r="Q669" s="247">
        <f t="shared" si="82"/>
        <v>7.1950000000000003</v>
      </c>
      <c r="R669" s="259">
        <f>+_xlfn.XLOOKUP(A669,PPTO_GENERADOR!$Q:$Q,PPTO_GENERADOR!A:A,"-",0)</f>
        <v>15.02</v>
      </c>
    </row>
    <row r="670" spans="1:18" ht="15" customHeight="1" x14ac:dyDescent="0.35">
      <c r="A670" s="38" t="s">
        <v>234</v>
      </c>
      <c r="B670" s="38" t="s">
        <v>2774</v>
      </c>
      <c r="C670" s="38" t="s">
        <v>2775</v>
      </c>
      <c r="D670" s="38" t="s">
        <v>865</v>
      </c>
      <c r="E670" s="44" t="str">
        <f>IFERROR(VLOOKUP(D670,MATERIALES!A:B,2,FALSE()),"?")</f>
        <v>Pincel N° 20 - El Galgo</v>
      </c>
      <c r="F670" s="44" t="str">
        <f>IFERROR(VLOOKUP(D670,MATERIALES!A:C,3,FALSE()),"?")</f>
        <v>u</v>
      </c>
      <c r="G670" s="45">
        <v>5.0000000000000001E-3</v>
      </c>
      <c r="H670" s="46">
        <v>0.05</v>
      </c>
      <c r="I670" s="47">
        <f>IFERROR(VLOOKUP(D670,MATERIALES!A:D,4,FALSE()),0)</f>
        <v>5282.24</v>
      </c>
      <c r="J670" s="42">
        <f t="shared" si="84"/>
        <v>27.731760000000001</v>
      </c>
      <c r="K670" s="15" t="str">
        <f t="shared" si="79"/>
        <v>PIN-137|MAT</v>
      </c>
      <c r="L670" s="15">
        <f>COUNTIFS($K$2:K670,K670)</f>
        <v>6</v>
      </c>
      <c r="M670" s="15" t="str">
        <f t="shared" si="80"/>
        <v>PIN-137|MAT|6</v>
      </c>
      <c r="N670" s="47">
        <f>IFERROR(VLOOKUP(A670,PARTIDAS!A:F,6,FALSE()),0)</f>
        <v>20</v>
      </c>
      <c r="O670" s="247">
        <f t="shared" si="81"/>
        <v>5.0000000000000001E-3</v>
      </c>
      <c r="P670" s="247">
        <f>+_xlfn.XLOOKUP(A670,PPTO_GENERADOR!Q:Q,PPTO_GENERADOR!E:E,"-",0)</f>
        <v>1439</v>
      </c>
      <c r="Q670" s="247">
        <f t="shared" si="82"/>
        <v>7.1950000000000003</v>
      </c>
      <c r="R670" s="259">
        <f>+_xlfn.XLOOKUP(A670,PPTO_GENERADOR!$Q:$Q,PPTO_GENERADOR!A:A,"-",0)</f>
        <v>15.02</v>
      </c>
    </row>
    <row r="671" spans="1:18" ht="15" customHeight="1" x14ac:dyDescent="0.35">
      <c r="A671" s="38" t="s">
        <v>234</v>
      </c>
      <c r="B671" s="38" t="s">
        <v>2774</v>
      </c>
      <c r="C671" s="38" t="s">
        <v>2775</v>
      </c>
      <c r="D671" s="38" t="s">
        <v>868</v>
      </c>
      <c r="E671" s="44" t="str">
        <f>IFERROR(VLOOKUP(D671,MATERIALES!A:B,2,FALSE()),"?")</f>
        <v>Rollo de cartón corrugado 0,90 x 25 mts</v>
      </c>
      <c r="F671" s="44" t="str">
        <f>IFERROR(VLOOKUP(D671,MATERIALES!A:C,3,FALSE()),"?")</f>
        <v>u</v>
      </c>
      <c r="G671" s="45">
        <v>0.01</v>
      </c>
      <c r="H671" s="46">
        <v>0.05</v>
      </c>
      <c r="I671" s="47">
        <f>IFERROR(VLOOKUP(D671,MATERIALES!A:D,4,FALSE()),0)</f>
        <v>7427.6</v>
      </c>
      <c r="J671" s="42">
        <f t="shared" si="84"/>
        <v>77.989800000000017</v>
      </c>
      <c r="K671" s="15" t="str">
        <f t="shared" si="79"/>
        <v>PIN-137|MAT</v>
      </c>
      <c r="L671" s="15">
        <f>COUNTIFS($K$2:K671,K671)</f>
        <v>7</v>
      </c>
      <c r="M671" s="15" t="str">
        <f t="shared" si="80"/>
        <v>PIN-137|MAT|7</v>
      </c>
      <c r="N671" s="47">
        <f>IFERROR(VLOOKUP(A671,PARTIDAS!A:F,6,FALSE()),0)</f>
        <v>20</v>
      </c>
      <c r="O671" s="247">
        <f t="shared" si="81"/>
        <v>0.01</v>
      </c>
      <c r="P671" s="247">
        <f>+_xlfn.XLOOKUP(A671,PPTO_GENERADOR!Q:Q,PPTO_GENERADOR!E:E,"-",0)</f>
        <v>1439</v>
      </c>
      <c r="Q671" s="247">
        <f t="shared" si="82"/>
        <v>14.39</v>
      </c>
      <c r="R671" s="259">
        <f>+_xlfn.XLOOKUP(A671,PPTO_GENERADOR!$Q:$Q,PPTO_GENERADOR!A:A,"-",0)</f>
        <v>15.02</v>
      </c>
    </row>
    <row r="672" spans="1:18" ht="15" customHeight="1" x14ac:dyDescent="0.35">
      <c r="A672" s="38" t="s">
        <v>234</v>
      </c>
      <c r="B672" s="38" t="s">
        <v>2774</v>
      </c>
      <c r="C672" s="38" t="s">
        <v>2775</v>
      </c>
      <c r="D672" s="38" t="s">
        <v>795</v>
      </c>
      <c r="E672" s="44" t="str">
        <f>IFERROR(VLOOKUP(D672,MATERIALES!A:B,2,FALSE()),"?")</f>
        <v>Latex Loxon Interior Sherwin Williams Mate Bco x 20lts</v>
      </c>
      <c r="F672" s="44" t="str">
        <f>IFERROR(VLOOKUP(D672,MATERIALES!A:C,3,FALSE()),"?")</f>
        <v>B</v>
      </c>
      <c r="G672" s="45">
        <v>1.2500000000000001E-2</v>
      </c>
      <c r="H672" s="46">
        <v>0.1</v>
      </c>
      <c r="I672" s="47">
        <f>IFERROR(VLOOKUP(D672,MATERIALES!A:D,4,FALSE()),0)</f>
        <v>120622.23</v>
      </c>
      <c r="J672" s="42">
        <f t="shared" si="84"/>
        <v>1658.5556625000002</v>
      </c>
      <c r="K672" s="15" t="str">
        <f t="shared" si="79"/>
        <v>PIN-137|MAT</v>
      </c>
      <c r="L672" s="15">
        <f>COUNTIFS($K$2:K672,K672)</f>
        <v>8</v>
      </c>
      <c r="M672" s="15" t="str">
        <f t="shared" si="80"/>
        <v>PIN-137|MAT|8</v>
      </c>
      <c r="N672" s="47">
        <f>IFERROR(VLOOKUP(A672,PARTIDAS!A:F,6,FALSE()),0)</f>
        <v>20</v>
      </c>
      <c r="O672" s="247">
        <f t="shared" si="81"/>
        <v>1.2500000000000001E-2</v>
      </c>
      <c r="P672" s="247">
        <f>+_xlfn.XLOOKUP(A672,PPTO_GENERADOR!Q:Q,PPTO_GENERADOR!E:E,"-",0)</f>
        <v>1439</v>
      </c>
      <c r="Q672" s="247">
        <f t="shared" si="82"/>
        <v>17.987500000000001</v>
      </c>
      <c r="R672" s="259">
        <f>+_xlfn.XLOOKUP(A672,PPTO_GENERADOR!$Q:$Q,PPTO_GENERADOR!A:A,"-",0)</f>
        <v>15.02</v>
      </c>
    </row>
    <row r="673" spans="1:18" ht="15" customHeight="1" x14ac:dyDescent="0.35">
      <c r="A673" s="38" t="s">
        <v>234</v>
      </c>
      <c r="B673" s="38" t="s">
        <v>2774</v>
      </c>
      <c r="C673" s="38" t="s">
        <v>2775</v>
      </c>
      <c r="D673" s="38" t="s">
        <v>815</v>
      </c>
      <c r="E673" s="44" t="str">
        <f>IFERROR(VLOOKUP(D673,MATERIALES!A:B,2,FALSE()),"?")</f>
        <v>Enduido Interior x 20lts</v>
      </c>
      <c r="F673" s="44" t="str">
        <f>IFERROR(VLOOKUP(D673,MATERIALES!A:C,3,FALSE()),"?")</f>
        <v>B</v>
      </c>
      <c r="G673" s="45">
        <v>2E-3</v>
      </c>
      <c r="H673" s="46">
        <v>0.1</v>
      </c>
      <c r="I673" s="47">
        <f>IFERROR(VLOOKUP(D673,MATERIALES!A:D,4,FALSE()),0)</f>
        <v>18735.77</v>
      </c>
      <c r="J673" s="42">
        <f t="shared" si="84"/>
        <v>41.218694000000006</v>
      </c>
      <c r="K673" s="15" t="str">
        <f t="shared" si="79"/>
        <v>PIN-137|MAT</v>
      </c>
      <c r="L673" s="15">
        <f>COUNTIFS($K$2:K673,K673)</f>
        <v>9</v>
      </c>
      <c r="M673" s="15" t="str">
        <f t="shared" si="80"/>
        <v>PIN-137|MAT|9</v>
      </c>
      <c r="N673" s="47">
        <f>IFERROR(VLOOKUP(A673,PARTIDAS!A:F,6,FALSE()),0)</f>
        <v>20</v>
      </c>
      <c r="O673" s="247">
        <f t="shared" si="81"/>
        <v>2E-3</v>
      </c>
      <c r="P673" s="247">
        <f>+_xlfn.XLOOKUP(A673,PPTO_GENERADOR!Q:Q,PPTO_GENERADOR!E:E,"-",0)</f>
        <v>1439</v>
      </c>
      <c r="Q673" s="247">
        <f t="shared" si="82"/>
        <v>2.8780000000000001</v>
      </c>
      <c r="R673" s="259">
        <f>+_xlfn.XLOOKUP(A673,PPTO_GENERADOR!$Q:$Q,PPTO_GENERADOR!A:A,"-",0)</f>
        <v>15.02</v>
      </c>
    </row>
    <row r="674" spans="1:18" ht="15" customHeight="1" x14ac:dyDescent="0.35">
      <c r="A674" s="38" t="s">
        <v>234</v>
      </c>
      <c r="B674" s="38" t="s">
        <v>2774</v>
      </c>
      <c r="C674" s="38" t="s">
        <v>2775</v>
      </c>
      <c r="D674" s="38" t="s">
        <v>666</v>
      </c>
      <c r="E674" s="44" t="str">
        <f>IFERROR(VLOOKUP(D674,MATERIALES!A:B,2,FALSE()),"?")</f>
        <v>Yeso Tuyango x 30kg</v>
      </c>
      <c r="F674" s="44" t="str">
        <f>IFERROR(VLOOKUP(D674,MATERIALES!A:C,3,FALSE()),"?")</f>
        <v>b</v>
      </c>
      <c r="G674" s="45">
        <v>1E-3</v>
      </c>
      <c r="H674" s="46">
        <v>0.05</v>
      </c>
      <c r="I674" s="47">
        <f>IFERROR(VLOOKUP(D674,MATERIALES!A:D,4,FALSE()),0)</f>
        <v>9639</v>
      </c>
      <c r="J674" s="42">
        <f t="shared" si="84"/>
        <v>10.120950000000001</v>
      </c>
      <c r="K674" s="15" t="str">
        <f t="shared" si="79"/>
        <v>PIN-137|MAT</v>
      </c>
      <c r="L674" s="15">
        <f>COUNTIFS($K$2:K674,K674)</f>
        <v>10</v>
      </c>
      <c r="M674" s="15" t="str">
        <f t="shared" si="80"/>
        <v>PIN-137|MAT|10</v>
      </c>
      <c r="N674" s="47">
        <f>IFERROR(VLOOKUP(A674,PARTIDAS!A:F,6,FALSE()),0)</f>
        <v>20</v>
      </c>
      <c r="O674" s="247">
        <f t="shared" si="81"/>
        <v>1E-3</v>
      </c>
      <c r="P674" s="247">
        <f>+_xlfn.XLOOKUP(A674,PPTO_GENERADOR!Q:Q,PPTO_GENERADOR!E:E,"-",0)</f>
        <v>1439</v>
      </c>
      <c r="Q674" s="247">
        <f t="shared" si="82"/>
        <v>1.4390000000000001</v>
      </c>
      <c r="R674" s="259">
        <f>+_xlfn.XLOOKUP(A674,PPTO_GENERADOR!$Q:$Q,PPTO_GENERADOR!A:A,"-",0)</f>
        <v>15.02</v>
      </c>
    </row>
    <row r="675" spans="1:18" ht="15" customHeight="1" x14ac:dyDescent="0.35">
      <c r="A675" s="38" t="s">
        <v>234</v>
      </c>
      <c r="B675" s="38" t="s">
        <v>2776</v>
      </c>
      <c r="C675" s="38" t="s">
        <v>2777</v>
      </c>
      <c r="D675" s="237" t="s">
        <v>1568</v>
      </c>
      <c r="E675" s="44" t="str">
        <f>IFERROR(VLOOKUP(D675,MANO_DE_OBRA!A:B,2,FALSE()),"?")</f>
        <v>ESPECIALIZADO</v>
      </c>
      <c r="F675" s="44" t="s">
        <v>2778</v>
      </c>
      <c r="G675" s="45">
        <v>1</v>
      </c>
      <c r="H675" s="46">
        <v>0</v>
      </c>
      <c r="I675" s="47">
        <f>IFERROR(VLOOKUP(D675,MANO_DE_OBRA!A:C,3,FALSE()),0)</f>
        <v>85927.097156571996</v>
      </c>
      <c r="J675" s="42">
        <f>G675*I675</f>
        <v>85927.097156571996</v>
      </c>
      <c r="K675" s="15" t="str">
        <f t="shared" si="79"/>
        <v>PIN-137|MO</v>
      </c>
      <c r="L675" s="15">
        <f>COUNTIFS($K$2:K675,K675)</f>
        <v>1</v>
      </c>
      <c r="M675" s="15" t="str">
        <f t="shared" si="80"/>
        <v>PIN-137|MO|1</v>
      </c>
      <c r="N675" s="47">
        <f>IFERROR(VLOOKUP(A675,PARTIDAS!A:F,6,FALSE()),0)</f>
        <v>20</v>
      </c>
      <c r="O675" s="247">
        <f t="shared" si="81"/>
        <v>0.05</v>
      </c>
      <c r="P675" s="247">
        <f>+_xlfn.XLOOKUP(A675,PPTO_GENERADOR!Q:Q,PPTO_GENERADOR!E:E,"-",0)</f>
        <v>1439</v>
      </c>
      <c r="Q675" s="247">
        <f t="shared" si="82"/>
        <v>71.95</v>
      </c>
      <c r="R675" s="259">
        <f>+_xlfn.XLOOKUP(A675,PPTO_GENERADOR!$Q:$Q,PPTO_GENERADOR!A:A,"-",0)</f>
        <v>15.02</v>
      </c>
    </row>
    <row r="676" spans="1:18" ht="15" customHeight="1" x14ac:dyDescent="0.35">
      <c r="A676" s="38" t="s">
        <v>2655</v>
      </c>
      <c r="B676" s="38" t="s">
        <v>2773</v>
      </c>
      <c r="C676" s="38"/>
      <c r="D676" s="38" t="s">
        <v>1604</v>
      </c>
      <c r="E676" s="44" t="str">
        <f>IFERROR(VLOOKUP(D676,EQUIPOS!A:B,2,FALSE()),"?")</f>
        <v>EQUIPO PARA PINTAR</v>
      </c>
      <c r="F676" s="44"/>
      <c r="G676" s="45">
        <v>1</v>
      </c>
      <c r="H676" s="46">
        <v>0</v>
      </c>
      <c r="I676" s="47">
        <f>IFERROR(VLOOKUP(D676,EQUIPOS!A:F,6,FALSE()),0)</f>
        <v>1723.6259595547085</v>
      </c>
      <c r="J676" s="42">
        <f>G676*I676</f>
        <v>1723.6259595547085</v>
      </c>
      <c r="K676" s="15" t="str">
        <f t="shared" si="79"/>
        <v>PIN-146|EQ</v>
      </c>
      <c r="L676" s="15">
        <f>COUNTIFS($K$2:K676,K676)</f>
        <v>1</v>
      </c>
      <c r="M676" s="15" t="str">
        <f t="shared" si="80"/>
        <v>PIN-146|EQ|1</v>
      </c>
      <c r="N676" s="47">
        <f>IFERROR(VLOOKUP(A676,PARTIDAS!A:F,6,FALSE()),0)</f>
        <v>25</v>
      </c>
      <c r="O676" s="247">
        <f t="shared" si="81"/>
        <v>1</v>
      </c>
      <c r="P676" s="247" t="str">
        <f>+_xlfn.XLOOKUP(A676,PPTO_GENERADOR!Q:Q,PPTO_GENERADOR!E:E,"-",0)</f>
        <v>-</v>
      </c>
      <c r="Q676" s="247">
        <f t="shared" si="82"/>
        <v>0</v>
      </c>
      <c r="R676" s="259" t="str">
        <f>+_xlfn.XLOOKUP(A676,PPTO_GENERADOR!$Q:$Q,PPTO_GENERADOR!A:A,"-",0)</f>
        <v>-</v>
      </c>
    </row>
    <row r="677" spans="1:18" ht="15" customHeight="1" x14ac:dyDescent="0.35">
      <c r="A677" s="38" t="s">
        <v>2655</v>
      </c>
      <c r="B677" s="38" t="s">
        <v>2773</v>
      </c>
      <c r="C677" s="38"/>
      <c r="D677" s="38" t="s">
        <v>1749</v>
      </c>
      <c r="E677" s="44" t="str">
        <f>IFERROR(VLOOKUP(D677,EQUIPOS!A:B,2,FALSE()),"?")</f>
        <v>ESCALERA MADERA PINTOR 8 ESCALONES</v>
      </c>
      <c r="F677" s="44"/>
      <c r="G677" s="45">
        <v>1</v>
      </c>
      <c r="H677" s="46">
        <v>0</v>
      </c>
      <c r="I677" s="47">
        <f>IFERROR(VLOOKUP(D677,EQUIPOS!A:F,6,FALSE()),0)</f>
        <v>200.25307946474501</v>
      </c>
      <c r="J677" s="42">
        <f>G677*I677</f>
        <v>200.25307946474501</v>
      </c>
      <c r="K677" s="15" t="str">
        <f t="shared" si="79"/>
        <v>PIN-146|EQ</v>
      </c>
      <c r="L677" s="15">
        <f>COUNTIFS($K$2:K677,K677)</f>
        <v>2</v>
      </c>
      <c r="M677" s="15" t="str">
        <f t="shared" si="80"/>
        <v>PIN-146|EQ|2</v>
      </c>
      <c r="N677" s="47">
        <f>IFERROR(VLOOKUP(A677,PARTIDAS!A:F,6,FALSE()),0)</f>
        <v>25</v>
      </c>
      <c r="O677" s="247">
        <f t="shared" si="81"/>
        <v>1</v>
      </c>
      <c r="P677" s="247" t="str">
        <f>+_xlfn.XLOOKUP(A677,PPTO_GENERADOR!Q:Q,PPTO_GENERADOR!E:E,"-",0)</f>
        <v>-</v>
      </c>
      <c r="Q677" s="247">
        <f t="shared" si="82"/>
        <v>0</v>
      </c>
      <c r="R677" s="259" t="str">
        <f>+_xlfn.XLOOKUP(A677,PPTO_GENERADOR!$Q:$Q,PPTO_GENERADOR!A:A,"-",0)</f>
        <v>-</v>
      </c>
    </row>
    <row r="678" spans="1:18" ht="15" customHeight="1" x14ac:dyDescent="0.35">
      <c r="A678" s="38" t="s">
        <v>2655</v>
      </c>
      <c r="B678" s="38" t="s">
        <v>2774</v>
      </c>
      <c r="C678" s="38" t="s">
        <v>2775</v>
      </c>
      <c r="D678" s="38" t="s">
        <v>842</v>
      </c>
      <c r="E678" s="44" t="str">
        <f>IFERROR(VLOOKUP(D678,MATERIALES!A:B,2,FALSE()),"?")</f>
        <v>Fijador al agua x 20 lts</v>
      </c>
      <c r="F678" s="44" t="str">
        <f>IFERROR(VLOOKUP(D678,MATERIALES!A:C,3,FALSE()),"?")</f>
        <v>b</v>
      </c>
      <c r="G678" s="45">
        <v>4.0000000000000001E-3</v>
      </c>
      <c r="H678" s="46">
        <v>0.05</v>
      </c>
      <c r="I678" s="47">
        <f>IFERROR(VLOOKUP(D678,MATERIALES!A:D,4,FALSE()),0)</f>
        <v>30467.49</v>
      </c>
      <c r="J678" s="42">
        <f t="shared" ref="J678:J685" si="85">G678*I678*(1+H678)</f>
        <v>127.96345800000002</v>
      </c>
      <c r="K678" s="15" t="str">
        <f t="shared" si="79"/>
        <v>PIN-146|MAT</v>
      </c>
      <c r="L678" s="15">
        <f>COUNTIFS($K$2:K678,K678)</f>
        <v>1</v>
      </c>
      <c r="M678" s="15" t="str">
        <f t="shared" si="80"/>
        <v>PIN-146|MAT|1</v>
      </c>
      <c r="N678" s="47">
        <f>IFERROR(VLOOKUP(A678,PARTIDAS!A:F,6,FALSE()),0)</f>
        <v>25</v>
      </c>
      <c r="O678" s="247">
        <f t="shared" si="81"/>
        <v>4.0000000000000001E-3</v>
      </c>
      <c r="P678" s="247" t="str">
        <f>+_xlfn.XLOOKUP(A678,PPTO_GENERADOR!Q:Q,PPTO_GENERADOR!E:E,"-",0)</f>
        <v>-</v>
      </c>
      <c r="Q678" s="247">
        <f t="shared" si="82"/>
        <v>0</v>
      </c>
      <c r="R678" s="259" t="str">
        <f>+_xlfn.XLOOKUP(A678,PPTO_GENERADOR!$Q:$Q,PPTO_GENERADOR!A:A,"-",0)</f>
        <v>-</v>
      </c>
    </row>
    <row r="679" spans="1:18" ht="15" customHeight="1" x14ac:dyDescent="0.35">
      <c r="A679" s="38" t="s">
        <v>2655</v>
      </c>
      <c r="B679" s="38" t="s">
        <v>2774</v>
      </c>
      <c r="C679" s="38" t="s">
        <v>2775</v>
      </c>
      <c r="D679" s="38" t="s">
        <v>851</v>
      </c>
      <c r="E679" s="44" t="str">
        <f>IFERROR(VLOOKUP(D679,MATERIALES!A:B,2,FALSE()),"?")</f>
        <v>Cinta de Papel 36 mm x 40m</v>
      </c>
      <c r="F679" s="44" t="str">
        <f>IFERROR(VLOOKUP(D679,MATERIALES!A:C,3,FALSE()),"?")</f>
        <v>u</v>
      </c>
      <c r="G679" s="45">
        <v>0.05</v>
      </c>
      <c r="H679" s="46">
        <v>0.1</v>
      </c>
      <c r="I679" s="47">
        <f>IFERROR(VLOOKUP(D679,MATERIALES!A:D,4,FALSE()),0)</f>
        <v>3293.01</v>
      </c>
      <c r="J679" s="42">
        <f t="shared" si="85"/>
        <v>181.11555000000004</v>
      </c>
      <c r="K679" s="15" t="str">
        <f t="shared" si="79"/>
        <v>PIN-146|MAT</v>
      </c>
      <c r="L679" s="15">
        <f>COUNTIFS($K$2:K679,K679)</f>
        <v>2</v>
      </c>
      <c r="M679" s="15" t="str">
        <f t="shared" si="80"/>
        <v>PIN-146|MAT|2</v>
      </c>
      <c r="N679" s="47">
        <f>IFERROR(VLOOKUP(A679,PARTIDAS!A:F,6,FALSE()),0)</f>
        <v>25</v>
      </c>
      <c r="O679" s="247">
        <f t="shared" si="81"/>
        <v>0.05</v>
      </c>
      <c r="P679" s="247" t="str">
        <f>+_xlfn.XLOOKUP(A679,PPTO_GENERADOR!Q:Q,PPTO_GENERADOR!E:E,"-",0)</f>
        <v>-</v>
      </c>
      <c r="Q679" s="247">
        <f t="shared" si="82"/>
        <v>0</v>
      </c>
      <c r="R679" s="259" t="str">
        <f>+_xlfn.XLOOKUP(A679,PPTO_GENERADOR!$Q:$Q,PPTO_GENERADOR!A:A,"-",0)</f>
        <v>-</v>
      </c>
    </row>
    <row r="680" spans="1:18" ht="15" customHeight="1" x14ac:dyDescent="0.35">
      <c r="A680" s="38" t="s">
        <v>2655</v>
      </c>
      <c r="B680" s="38" t="s">
        <v>2774</v>
      </c>
      <c r="C680" s="38" t="s">
        <v>2775</v>
      </c>
      <c r="D680" s="38" t="s">
        <v>855</v>
      </c>
      <c r="E680" s="44" t="str">
        <f>IFERROR(VLOOKUP(D680,MATERIALES!A:B,2,FALSE()),"?")</f>
        <v>Trapo</v>
      </c>
      <c r="F680" s="44" t="str">
        <f>IFERROR(VLOOKUP(D680,MATERIALES!A:C,3,FALSE()),"?")</f>
        <v>u</v>
      </c>
      <c r="G680" s="45">
        <v>0.03</v>
      </c>
      <c r="H680" s="46">
        <v>0.05</v>
      </c>
      <c r="I680" s="47">
        <f>IFERROR(VLOOKUP(D680,MATERIALES!A:D,4,FALSE()),0)</f>
        <v>735.06</v>
      </c>
      <c r="J680" s="42">
        <f t="shared" si="85"/>
        <v>23.154389999999996</v>
      </c>
      <c r="K680" s="15" t="str">
        <f t="shared" si="79"/>
        <v>PIN-146|MAT</v>
      </c>
      <c r="L680" s="15">
        <f>COUNTIFS($K$2:K680,K680)</f>
        <v>3</v>
      </c>
      <c r="M680" s="15" t="str">
        <f t="shared" si="80"/>
        <v>PIN-146|MAT|3</v>
      </c>
      <c r="N680" s="47">
        <f>IFERROR(VLOOKUP(A680,PARTIDAS!A:F,6,FALSE()),0)</f>
        <v>25</v>
      </c>
      <c r="O680" s="247">
        <f t="shared" si="81"/>
        <v>0.03</v>
      </c>
      <c r="P680" s="247" t="str">
        <f>+_xlfn.XLOOKUP(A680,PPTO_GENERADOR!Q:Q,PPTO_GENERADOR!E:E,"-",0)</f>
        <v>-</v>
      </c>
      <c r="Q680" s="247">
        <f t="shared" si="82"/>
        <v>0</v>
      </c>
      <c r="R680" s="259" t="str">
        <f>+_xlfn.XLOOKUP(A680,PPTO_GENERADOR!$Q:$Q,PPTO_GENERADOR!A:A,"-",0)</f>
        <v>-</v>
      </c>
    </row>
    <row r="681" spans="1:18" ht="15" customHeight="1" x14ac:dyDescent="0.35">
      <c r="A681" s="38" t="s">
        <v>2655</v>
      </c>
      <c r="B681" s="38" t="s">
        <v>2774</v>
      </c>
      <c r="C681" s="38" t="s">
        <v>2775</v>
      </c>
      <c r="D681" s="38" t="s">
        <v>861</v>
      </c>
      <c r="E681" s="44" t="str">
        <f>IFERROR(VLOOKUP(D681,MATERIALES!A:B,2,FALSE()),"?")</f>
        <v>Rodillo de lana pelo corto antigota N°22 - El Galgo</v>
      </c>
      <c r="F681" s="44" t="str">
        <f>IFERROR(VLOOKUP(D681,MATERIALES!A:C,3,FALSE()),"?")</f>
        <v>u</v>
      </c>
      <c r="G681" s="45">
        <v>5.0000000000000001E-3</v>
      </c>
      <c r="H681" s="46">
        <v>0.05</v>
      </c>
      <c r="I681" s="47">
        <f>IFERROR(VLOOKUP(D681,MATERIALES!A:D,4,FALSE()),0)</f>
        <v>6678.36</v>
      </c>
      <c r="J681" s="42">
        <f t="shared" si="85"/>
        <v>35.061389999999996</v>
      </c>
      <c r="K681" s="15" t="str">
        <f t="shared" si="79"/>
        <v>PIN-146|MAT</v>
      </c>
      <c r="L681" s="15">
        <f>COUNTIFS($K$2:K681,K681)</f>
        <v>4</v>
      </c>
      <c r="M681" s="15" t="str">
        <f t="shared" si="80"/>
        <v>PIN-146|MAT|4</v>
      </c>
      <c r="N681" s="47">
        <f>IFERROR(VLOOKUP(A681,PARTIDAS!A:F,6,FALSE()),0)</f>
        <v>25</v>
      </c>
      <c r="O681" s="247">
        <f t="shared" si="81"/>
        <v>5.0000000000000001E-3</v>
      </c>
      <c r="P681" s="247" t="str">
        <f>+_xlfn.XLOOKUP(A681,PPTO_GENERADOR!Q:Q,PPTO_GENERADOR!E:E,"-",0)</f>
        <v>-</v>
      </c>
      <c r="Q681" s="247">
        <f t="shared" si="82"/>
        <v>0</v>
      </c>
      <c r="R681" s="259" t="str">
        <f>+_xlfn.XLOOKUP(A681,PPTO_GENERADOR!$Q:$Q,PPTO_GENERADOR!A:A,"-",0)</f>
        <v>-</v>
      </c>
    </row>
    <row r="682" spans="1:18" ht="15" customHeight="1" x14ac:dyDescent="0.35">
      <c r="A682" s="38" t="s">
        <v>2655</v>
      </c>
      <c r="B682" s="38" t="s">
        <v>2774</v>
      </c>
      <c r="C682" s="38" t="s">
        <v>2775</v>
      </c>
      <c r="D682" s="38" t="s">
        <v>865</v>
      </c>
      <c r="E682" s="44" t="str">
        <f>IFERROR(VLOOKUP(D682,MATERIALES!A:B,2,FALSE()),"?")</f>
        <v>Pincel N° 20 - El Galgo</v>
      </c>
      <c r="F682" s="44" t="str">
        <f>IFERROR(VLOOKUP(D682,MATERIALES!A:C,3,FALSE()),"?")</f>
        <v>u</v>
      </c>
      <c r="G682" s="45">
        <v>5.0000000000000001E-3</v>
      </c>
      <c r="H682" s="46">
        <v>0.05</v>
      </c>
      <c r="I682" s="47">
        <f>IFERROR(VLOOKUP(D682,MATERIALES!A:D,4,FALSE()),0)</f>
        <v>5282.24</v>
      </c>
      <c r="J682" s="42">
        <f t="shared" si="85"/>
        <v>27.731760000000001</v>
      </c>
      <c r="K682" s="15" t="str">
        <f t="shared" si="79"/>
        <v>PIN-146|MAT</v>
      </c>
      <c r="L682" s="15">
        <f>COUNTIFS($K$2:K682,K682)</f>
        <v>5</v>
      </c>
      <c r="M682" s="15" t="str">
        <f t="shared" si="80"/>
        <v>PIN-146|MAT|5</v>
      </c>
      <c r="N682" s="47">
        <f>IFERROR(VLOOKUP(A682,PARTIDAS!A:F,6,FALSE()),0)</f>
        <v>25</v>
      </c>
      <c r="O682" s="247">
        <f t="shared" si="81"/>
        <v>5.0000000000000001E-3</v>
      </c>
      <c r="P682" s="247" t="str">
        <f>+_xlfn.XLOOKUP(A682,PPTO_GENERADOR!Q:Q,PPTO_GENERADOR!E:E,"-",0)</f>
        <v>-</v>
      </c>
      <c r="Q682" s="247">
        <f t="shared" si="82"/>
        <v>0</v>
      </c>
      <c r="R682" s="259" t="str">
        <f>+_xlfn.XLOOKUP(A682,PPTO_GENERADOR!$Q:$Q,PPTO_GENERADOR!A:A,"-",0)</f>
        <v>-</v>
      </c>
    </row>
    <row r="683" spans="1:18" ht="15" customHeight="1" x14ac:dyDescent="0.35">
      <c r="A683" s="38" t="s">
        <v>2655</v>
      </c>
      <c r="B683" s="38" t="s">
        <v>2774</v>
      </c>
      <c r="C683" s="38" t="s">
        <v>2775</v>
      </c>
      <c r="D683" s="38" t="s">
        <v>868</v>
      </c>
      <c r="E683" s="44" t="str">
        <f>IFERROR(VLOOKUP(D683,MATERIALES!A:B,2,FALSE()),"?")</f>
        <v>Rollo de cartón corrugado 0,90 x 25 mts</v>
      </c>
      <c r="F683" s="44" t="str">
        <f>IFERROR(VLOOKUP(D683,MATERIALES!A:C,3,FALSE()),"?")</f>
        <v>u</v>
      </c>
      <c r="G683" s="45">
        <v>0.01</v>
      </c>
      <c r="H683" s="46">
        <v>0.05</v>
      </c>
      <c r="I683" s="47">
        <f>IFERROR(VLOOKUP(D683,MATERIALES!A:D,4,FALSE()),0)</f>
        <v>7427.6</v>
      </c>
      <c r="J683" s="42">
        <f t="shared" si="85"/>
        <v>77.989800000000017</v>
      </c>
      <c r="K683" s="15" t="str">
        <f t="shared" si="79"/>
        <v>PIN-146|MAT</v>
      </c>
      <c r="L683" s="15">
        <f>COUNTIFS($K$2:K683,K683)</f>
        <v>6</v>
      </c>
      <c r="M683" s="15" t="str">
        <f t="shared" si="80"/>
        <v>PIN-146|MAT|6</v>
      </c>
      <c r="N683" s="47">
        <f>IFERROR(VLOOKUP(A683,PARTIDAS!A:F,6,FALSE()),0)</f>
        <v>25</v>
      </c>
      <c r="O683" s="247">
        <f t="shared" si="81"/>
        <v>0.01</v>
      </c>
      <c r="P683" s="247" t="str">
        <f>+_xlfn.XLOOKUP(A683,PPTO_GENERADOR!Q:Q,PPTO_GENERADOR!E:E,"-",0)</f>
        <v>-</v>
      </c>
      <c r="Q683" s="247">
        <f t="shared" si="82"/>
        <v>0</v>
      </c>
      <c r="R683" s="259" t="str">
        <f>+_xlfn.XLOOKUP(A683,PPTO_GENERADOR!$Q:$Q,PPTO_GENERADOR!A:A,"-",0)</f>
        <v>-</v>
      </c>
    </row>
    <row r="684" spans="1:18" ht="15" customHeight="1" x14ac:dyDescent="0.35">
      <c r="A684" s="38" t="s">
        <v>2655</v>
      </c>
      <c r="B684" s="38" t="s">
        <v>2774</v>
      </c>
      <c r="C684" s="38" t="s">
        <v>2775</v>
      </c>
      <c r="D684" s="38" t="s">
        <v>795</v>
      </c>
      <c r="E684" s="44" t="str">
        <f>IFERROR(VLOOKUP(D684,MATERIALES!A:B,2,FALSE()),"?")</f>
        <v>Latex Loxon Interior Sherwin Williams Mate Bco x 20lts</v>
      </c>
      <c r="F684" s="44" t="str">
        <f>IFERROR(VLOOKUP(D684,MATERIALES!A:C,3,FALSE()),"?")</f>
        <v>B</v>
      </c>
      <c r="G684" s="45">
        <v>1.2500000000000001E-2</v>
      </c>
      <c r="H684" s="46">
        <v>0.1</v>
      </c>
      <c r="I684" s="47">
        <f>IFERROR(VLOOKUP(D684,MATERIALES!A:D,4,FALSE()),0)</f>
        <v>120622.23</v>
      </c>
      <c r="J684" s="42">
        <f t="shared" si="85"/>
        <v>1658.5556625000002</v>
      </c>
      <c r="K684" s="15" t="str">
        <f t="shared" si="79"/>
        <v>PIN-146|MAT</v>
      </c>
      <c r="L684" s="15">
        <f>COUNTIFS($K$2:K684,K684)</f>
        <v>7</v>
      </c>
      <c r="M684" s="15" t="str">
        <f t="shared" si="80"/>
        <v>PIN-146|MAT|7</v>
      </c>
      <c r="N684" s="47">
        <f>IFERROR(VLOOKUP(A684,PARTIDAS!A:F,6,FALSE()),0)</f>
        <v>25</v>
      </c>
      <c r="O684" s="247">
        <f t="shared" si="81"/>
        <v>1.2500000000000001E-2</v>
      </c>
      <c r="P684" s="247" t="str">
        <f>+_xlfn.XLOOKUP(A684,PPTO_GENERADOR!Q:Q,PPTO_GENERADOR!E:E,"-",0)</f>
        <v>-</v>
      </c>
      <c r="Q684" s="247">
        <f t="shared" si="82"/>
        <v>0</v>
      </c>
      <c r="R684" s="259" t="str">
        <f>+_xlfn.XLOOKUP(A684,PPTO_GENERADOR!$Q:$Q,PPTO_GENERADOR!A:A,"-",0)</f>
        <v>-</v>
      </c>
    </row>
    <row r="685" spans="1:18" ht="15" customHeight="1" x14ac:dyDescent="0.35">
      <c r="A685" s="38" t="s">
        <v>2655</v>
      </c>
      <c r="B685" s="38" t="s">
        <v>2774</v>
      </c>
      <c r="C685" s="38" t="s">
        <v>2775</v>
      </c>
      <c r="D685" s="38" t="s">
        <v>666</v>
      </c>
      <c r="E685" s="44" t="str">
        <f>IFERROR(VLOOKUP(D685,MATERIALES!A:B,2,FALSE()),"?")</f>
        <v>Yeso Tuyango x 30kg</v>
      </c>
      <c r="F685" s="44" t="str">
        <f>IFERROR(VLOOKUP(D685,MATERIALES!A:C,3,FALSE()),"?")</f>
        <v>b</v>
      </c>
      <c r="G685" s="45">
        <v>1E-3</v>
      </c>
      <c r="H685" s="46">
        <v>0.05</v>
      </c>
      <c r="I685" s="47">
        <f>IFERROR(VLOOKUP(D685,MATERIALES!A:D,4,FALSE()),0)</f>
        <v>9639</v>
      </c>
      <c r="J685" s="42">
        <f t="shared" si="85"/>
        <v>10.120950000000001</v>
      </c>
      <c r="K685" s="15" t="str">
        <f t="shared" si="79"/>
        <v>PIN-146|MAT</v>
      </c>
      <c r="L685" s="15">
        <f>COUNTIFS($K$2:K685,K685)</f>
        <v>8</v>
      </c>
      <c r="M685" s="15" t="str">
        <f t="shared" si="80"/>
        <v>PIN-146|MAT|8</v>
      </c>
      <c r="N685" s="47">
        <f>IFERROR(VLOOKUP(A685,PARTIDAS!A:F,6,FALSE()),0)</f>
        <v>25</v>
      </c>
      <c r="O685" s="247">
        <f t="shared" si="81"/>
        <v>1E-3</v>
      </c>
      <c r="P685" s="247" t="str">
        <f>+_xlfn.XLOOKUP(A685,PPTO_GENERADOR!Q:Q,PPTO_GENERADOR!E:E,"-",0)</f>
        <v>-</v>
      </c>
      <c r="Q685" s="247">
        <f t="shared" si="82"/>
        <v>0</v>
      </c>
      <c r="R685" s="259" t="str">
        <f>+_xlfn.XLOOKUP(A685,PPTO_GENERADOR!$Q:$Q,PPTO_GENERADOR!A:A,"-",0)</f>
        <v>-</v>
      </c>
    </row>
    <row r="686" spans="1:18" ht="15" customHeight="1" x14ac:dyDescent="0.35">
      <c r="A686" s="38" t="s">
        <v>2655</v>
      </c>
      <c r="B686" s="38" t="s">
        <v>2776</v>
      </c>
      <c r="C686" s="38" t="s">
        <v>2777</v>
      </c>
      <c r="D686" s="237" t="s">
        <v>1568</v>
      </c>
      <c r="E686" s="44" t="str">
        <f>IFERROR(VLOOKUP(D686,MANO_DE_OBRA!A:B,2,FALSE()),"?")</f>
        <v>ESPECIALIZADO</v>
      </c>
      <c r="F686" s="44" t="s">
        <v>2778</v>
      </c>
      <c r="G686" s="45">
        <v>1</v>
      </c>
      <c r="H686" s="46">
        <v>0</v>
      </c>
      <c r="I686" s="47">
        <f>IFERROR(VLOOKUP(D686,MANO_DE_OBRA!A:C,3,FALSE()),0)</f>
        <v>85927.097156571996</v>
      </c>
      <c r="J686" s="42">
        <f>G686*I686</f>
        <v>85927.097156571996</v>
      </c>
      <c r="K686" s="15" t="str">
        <f t="shared" si="79"/>
        <v>PIN-146|MO</v>
      </c>
      <c r="L686" s="15">
        <f>COUNTIFS($K$2:K686,K686)</f>
        <v>1</v>
      </c>
      <c r="M686" s="15" t="str">
        <f t="shared" si="80"/>
        <v>PIN-146|MO|1</v>
      </c>
      <c r="N686" s="47">
        <f>IFERROR(VLOOKUP(A686,PARTIDAS!A:F,6,FALSE()),0)</f>
        <v>25</v>
      </c>
      <c r="O686" s="247">
        <f t="shared" si="81"/>
        <v>0.04</v>
      </c>
      <c r="P686" s="247" t="str">
        <f>+_xlfn.XLOOKUP(A686,PPTO_GENERADOR!Q:Q,PPTO_GENERADOR!E:E,"-",0)</f>
        <v>-</v>
      </c>
      <c r="Q686" s="247">
        <f t="shared" si="82"/>
        <v>0</v>
      </c>
      <c r="R686" s="259" t="str">
        <f>+_xlfn.XLOOKUP(A686,PPTO_GENERADOR!$Q:$Q,PPTO_GENERADOR!A:A,"-",0)</f>
        <v>-</v>
      </c>
    </row>
    <row r="687" spans="1:18" ht="15" customHeight="1" x14ac:dyDescent="0.35">
      <c r="A687" s="38" t="s">
        <v>232</v>
      </c>
      <c r="B687" s="38" t="s">
        <v>2773</v>
      </c>
      <c r="C687" s="38"/>
      <c r="D687" s="38" t="s">
        <v>1625</v>
      </c>
      <c r="E687" s="44" t="str">
        <f>IFERROR(VLOOKUP(D687,EQUIPOS!A:B,2,FALSE()),"?")</f>
        <v>Kit Complementario Silleta Descensor Conector Soga X 50 Mts</v>
      </c>
      <c r="F687" s="44"/>
      <c r="G687" s="45">
        <v>0.75</v>
      </c>
      <c r="H687" s="46"/>
      <c r="I687" s="47">
        <f>IFERROR(VLOOKUP(D687,EQUIPOS!A:F,6,FALSE()),0)</f>
        <v>1899.1826421923361</v>
      </c>
      <c r="J687" s="42">
        <f>G687*I687</f>
        <v>1424.386981644252</v>
      </c>
      <c r="K687" s="15" t="str">
        <f t="shared" si="79"/>
        <v>PIN-53B|EQ</v>
      </c>
      <c r="L687" s="15">
        <f>COUNTIFS($K$2:K687,K687)</f>
        <v>1</v>
      </c>
      <c r="M687" s="15" t="str">
        <f t="shared" si="80"/>
        <v>PIN-53B|EQ|1</v>
      </c>
      <c r="N687" s="47">
        <f>IFERROR(VLOOKUP(A687,PARTIDAS!A:F,6,FALSE()),0)</f>
        <v>15.5</v>
      </c>
      <c r="O687" s="247">
        <f t="shared" si="81"/>
        <v>0.75</v>
      </c>
      <c r="P687" s="247">
        <f>+_xlfn.XLOOKUP(A687,PPTO_GENERADOR!Q:Q,PPTO_GENERADOR!E:E,"-",0)</f>
        <v>739</v>
      </c>
      <c r="Q687" s="247">
        <f t="shared" si="82"/>
        <v>554.25</v>
      </c>
      <c r="R687" s="259">
        <f>+_xlfn.XLOOKUP(A687,PPTO_GENERADOR!$Q:$Q,PPTO_GENERADOR!A:A,"-",0)</f>
        <v>15.01</v>
      </c>
    </row>
    <row r="688" spans="1:18" ht="15" customHeight="1" x14ac:dyDescent="0.35">
      <c r="A688" s="38" t="s">
        <v>232</v>
      </c>
      <c r="B688" s="38" t="s">
        <v>2773</v>
      </c>
      <c r="C688" s="38"/>
      <c r="D688" s="38" t="s">
        <v>1604</v>
      </c>
      <c r="E688" s="44" t="str">
        <f>IFERROR(VLOOKUP(D688,EQUIPOS!A:B,2,FALSE()),"?")</f>
        <v>EQUIPO PARA PINTAR</v>
      </c>
      <c r="F688" s="44"/>
      <c r="G688" s="45">
        <v>1</v>
      </c>
      <c r="H688" s="46">
        <v>0</v>
      </c>
      <c r="I688" s="47">
        <f>IFERROR(VLOOKUP(D688,EQUIPOS!A:F,6,FALSE()),0)</f>
        <v>1723.6259595547085</v>
      </c>
      <c r="J688" s="42">
        <f>G688*I688</f>
        <v>1723.6259595547085</v>
      </c>
      <c r="K688" s="15" t="str">
        <f t="shared" si="79"/>
        <v>PIN-53B|EQ</v>
      </c>
      <c r="L688" s="15">
        <f>COUNTIFS($K$2:K688,K688)</f>
        <v>2</v>
      </c>
      <c r="M688" s="15" t="str">
        <f t="shared" si="80"/>
        <v>PIN-53B|EQ|2</v>
      </c>
      <c r="N688" s="47">
        <f>IFERROR(VLOOKUP(A688,PARTIDAS!A:F,6,FALSE()),0)</f>
        <v>15.5</v>
      </c>
      <c r="O688" s="247">
        <f t="shared" si="81"/>
        <v>1</v>
      </c>
      <c r="P688" s="247">
        <f>+_xlfn.XLOOKUP(A688,PPTO_GENERADOR!Q:Q,PPTO_GENERADOR!E:E,"-",0)</f>
        <v>739</v>
      </c>
      <c r="Q688" s="247">
        <f t="shared" si="82"/>
        <v>739</v>
      </c>
      <c r="R688" s="259">
        <f>+_xlfn.XLOOKUP(A688,PPTO_GENERADOR!$Q:$Q,PPTO_GENERADOR!A:A,"-",0)</f>
        <v>15.01</v>
      </c>
    </row>
    <row r="689" spans="1:18" ht="15" customHeight="1" x14ac:dyDescent="0.35">
      <c r="A689" s="38" t="s">
        <v>232</v>
      </c>
      <c r="B689" s="38" t="s">
        <v>2773</v>
      </c>
      <c r="C689" s="38"/>
      <c r="D689" s="38" t="s">
        <v>1749</v>
      </c>
      <c r="E689" s="44" t="str">
        <f>IFERROR(VLOOKUP(D689,EQUIPOS!A:B,2,FALSE()),"?")</f>
        <v>ESCALERA MADERA PINTOR 8 ESCALONES</v>
      </c>
      <c r="F689" s="44"/>
      <c r="G689" s="45">
        <v>1</v>
      </c>
      <c r="H689" s="46">
        <v>0</v>
      </c>
      <c r="I689" s="47">
        <f>IFERROR(VLOOKUP(D689,EQUIPOS!A:F,6,FALSE()),0)</f>
        <v>200.25307946474501</v>
      </c>
      <c r="J689" s="42">
        <f>G689*I689</f>
        <v>200.25307946474501</v>
      </c>
      <c r="K689" s="15" t="str">
        <f t="shared" si="79"/>
        <v>PIN-53B|EQ</v>
      </c>
      <c r="L689" s="15">
        <f>COUNTIFS($K$2:K689,K689)</f>
        <v>3</v>
      </c>
      <c r="M689" s="15" t="str">
        <f t="shared" si="80"/>
        <v>PIN-53B|EQ|3</v>
      </c>
      <c r="N689" s="47">
        <f>IFERROR(VLOOKUP(A689,PARTIDAS!A:F,6,FALSE()),0)</f>
        <v>15.5</v>
      </c>
      <c r="O689" s="247">
        <f t="shared" si="81"/>
        <v>1</v>
      </c>
      <c r="P689" s="247">
        <f>+_xlfn.XLOOKUP(A689,PPTO_GENERADOR!Q:Q,PPTO_GENERADOR!E:E,"-",0)</f>
        <v>739</v>
      </c>
      <c r="Q689" s="247">
        <f t="shared" si="82"/>
        <v>739</v>
      </c>
      <c r="R689" s="259">
        <f>+_xlfn.XLOOKUP(A689,PPTO_GENERADOR!$Q:$Q,PPTO_GENERADOR!A:A,"-",0)</f>
        <v>15.01</v>
      </c>
    </row>
    <row r="690" spans="1:18" ht="15" customHeight="1" x14ac:dyDescent="0.35">
      <c r="A690" s="38" t="s">
        <v>232</v>
      </c>
      <c r="B690" s="38" t="s">
        <v>2773</v>
      </c>
      <c r="C690" s="38"/>
      <c r="D690" s="38" t="s">
        <v>1592</v>
      </c>
      <c r="E690" s="44" t="str">
        <f>IFERROR(VLOOKUP(D690,EQUIPOS!A:B,2,FALSE()),"?")</f>
        <v>ANDAMIO TUBULAR DE UNO A TRES CUERPOS</v>
      </c>
      <c r="F690" s="44"/>
      <c r="G690" s="45">
        <v>0.5</v>
      </c>
      <c r="H690" s="46"/>
      <c r="I690" s="47">
        <f>IFERROR(VLOOKUP(D690,EQUIPOS!A:F,6,FALSE()),0)</f>
        <v>571.1794909807611</v>
      </c>
      <c r="J690" s="42">
        <f>G690*I690</f>
        <v>285.58974549038055</v>
      </c>
      <c r="K690" s="15" t="str">
        <f t="shared" si="79"/>
        <v>PIN-53B|EQ</v>
      </c>
      <c r="L690" s="15">
        <f>COUNTIFS($K$2:K690,K690)</f>
        <v>4</v>
      </c>
      <c r="M690" s="15" t="str">
        <f t="shared" si="80"/>
        <v>PIN-53B|EQ|4</v>
      </c>
      <c r="N690" s="47">
        <f>IFERROR(VLOOKUP(A690,PARTIDAS!A:F,6,FALSE()),0)</f>
        <v>15.5</v>
      </c>
      <c r="O690" s="247">
        <f t="shared" si="81"/>
        <v>0.5</v>
      </c>
      <c r="P690" s="247">
        <f>+_xlfn.XLOOKUP(A690,PPTO_GENERADOR!Q:Q,PPTO_GENERADOR!E:E,"-",0)</f>
        <v>739</v>
      </c>
      <c r="Q690" s="247">
        <f t="shared" si="82"/>
        <v>369.5</v>
      </c>
      <c r="R690" s="259">
        <f>+_xlfn.XLOOKUP(A690,PPTO_GENERADOR!$Q:$Q,PPTO_GENERADOR!A:A,"-",0)</f>
        <v>15.01</v>
      </c>
    </row>
    <row r="691" spans="1:18" ht="15" customHeight="1" x14ac:dyDescent="0.35">
      <c r="A691" s="38" t="s">
        <v>232</v>
      </c>
      <c r="B691" s="38" t="s">
        <v>2774</v>
      </c>
      <c r="C691" s="38" t="s">
        <v>2775</v>
      </c>
      <c r="D691" s="38" t="s">
        <v>842</v>
      </c>
      <c r="E691" s="44" t="str">
        <f>IFERROR(VLOOKUP(D691,MATERIALES!A:B,2,FALSE()),"?")</f>
        <v>Fijador al agua x 20 lts</v>
      </c>
      <c r="F691" s="44" t="str">
        <f>IFERROR(VLOOKUP(D691,MATERIALES!A:C,3,FALSE()),"?")</f>
        <v>b</v>
      </c>
      <c r="G691" s="45">
        <v>4.0000000000000001E-3</v>
      </c>
      <c r="H691" s="46">
        <v>0.05</v>
      </c>
      <c r="I691" s="47">
        <f>IFERROR(VLOOKUP(D691,MATERIALES!A:D,4,FALSE()),0)</f>
        <v>30467.49</v>
      </c>
      <c r="J691" s="42">
        <f t="shared" ref="J691:J698" si="86">G691*I691*(1+H691)</f>
        <v>127.96345800000002</v>
      </c>
      <c r="K691" s="15" t="str">
        <f t="shared" si="79"/>
        <v>PIN-53B|MAT</v>
      </c>
      <c r="L691" s="15">
        <f>COUNTIFS($K$2:K691,K691)</f>
        <v>1</v>
      </c>
      <c r="M691" s="15" t="str">
        <f t="shared" si="80"/>
        <v>PIN-53B|MAT|1</v>
      </c>
      <c r="N691" s="47">
        <f>IFERROR(VLOOKUP(A691,PARTIDAS!A:F,6,FALSE()),0)</f>
        <v>15.5</v>
      </c>
      <c r="O691" s="247">
        <f t="shared" si="81"/>
        <v>4.0000000000000001E-3</v>
      </c>
      <c r="P691" s="247">
        <f>+_xlfn.XLOOKUP(A691,PPTO_GENERADOR!Q:Q,PPTO_GENERADOR!E:E,"-",0)</f>
        <v>739</v>
      </c>
      <c r="Q691" s="247">
        <f t="shared" si="82"/>
        <v>2.956</v>
      </c>
      <c r="R691" s="259">
        <f>+_xlfn.XLOOKUP(A691,PPTO_GENERADOR!$Q:$Q,PPTO_GENERADOR!A:A,"-",0)</f>
        <v>15.01</v>
      </c>
    </row>
    <row r="692" spans="1:18" ht="15" customHeight="1" x14ac:dyDescent="0.35">
      <c r="A692" s="38" t="s">
        <v>232</v>
      </c>
      <c r="B692" s="38" t="s">
        <v>2774</v>
      </c>
      <c r="C692" s="38" t="s">
        <v>2775</v>
      </c>
      <c r="D692" s="38" t="s">
        <v>848</v>
      </c>
      <c r="E692" s="44" t="str">
        <f>IFERROR(VLOOKUP(D692,MATERIALES!A:B,2,FALSE()),"?")</f>
        <v>Lija 180 al agua x 10u</v>
      </c>
      <c r="F692" s="44" t="str">
        <f>IFERROR(VLOOKUP(D692,MATERIALES!A:C,3,FALSE()),"?")</f>
        <v>u</v>
      </c>
      <c r="G692" s="45">
        <v>0.01</v>
      </c>
      <c r="H692" s="46">
        <v>0.05</v>
      </c>
      <c r="I692" s="47">
        <f>IFERROR(VLOOKUP(D692,MATERIALES!A:D,4,FALSE()),0)</f>
        <v>5661.4</v>
      </c>
      <c r="J692" s="42">
        <f t="shared" si="86"/>
        <v>59.444699999999997</v>
      </c>
      <c r="K692" s="15" t="str">
        <f t="shared" si="79"/>
        <v>PIN-53B|MAT</v>
      </c>
      <c r="L692" s="15">
        <f>COUNTIFS($K$2:K692,K692)</f>
        <v>2</v>
      </c>
      <c r="M692" s="15" t="str">
        <f t="shared" si="80"/>
        <v>PIN-53B|MAT|2</v>
      </c>
      <c r="N692" s="47">
        <f>IFERROR(VLOOKUP(A692,PARTIDAS!A:F,6,FALSE()),0)</f>
        <v>15.5</v>
      </c>
      <c r="O692" s="247">
        <f t="shared" si="81"/>
        <v>0.01</v>
      </c>
      <c r="P692" s="247">
        <f>+_xlfn.XLOOKUP(A692,PPTO_GENERADOR!Q:Q,PPTO_GENERADOR!E:E,"-",0)</f>
        <v>739</v>
      </c>
      <c r="Q692" s="247">
        <f t="shared" si="82"/>
        <v>7.3900000000000006</v>
      </c>
      <c r="R692" s="259">
        <f>+_xlfn.XLOOKUP(A692,PPTO_GENERADOR!$Q:$Q,PPTO_GENERADOR!A:A,"-",0)</f>
        <v>15.01</v>
      </c>
    </row>
    <row r="693" spans="1:18" ht="15" customHeight="1" x14ac:dyDescent="0.35">
      <c r="A693" s="38" t="s">
        <v>232</v>
      </c>
      <c r="B693" s="38" t="s">
        <v>2774</v>
      </c>
      <c r="C693" s="38" t="s">
        <v>2775</v>
      </c>
      <c r="D693" s="38" t="s">
        <v>851</v>
      </c>
      <c r="E693" s="44" t="str">
        <f>IFERROR(VLOOKUP(D693,MATERIALES!A:B,2,FALSE()),"?")</f>
        <v>Cinta de Papel 36 mm x 40m</v>
      </c>
      <c r="F693" s="44" t="str">
        <f>IFERROR(VLOOKUP(D693,MATERIALES!A:C,3,FALSE()),"?")</f>
        <v>u</v>
      </c>
      <c r="G693" s="45">
        <v>0.01</v>
      </c>
      <c r="H693" s="46">
        <v>0.1</v>
      </c>
      <c r="I693" s="47">
        <f>IFERROR(VLOOKUP(D693,MATERIALES!A:D,4,FALSE()),0)</f>
        <v>3293.01</v>
      </c>
      <c r="J693" s="42">
        <f t="shared" si="86"/>
        <v>36.223110000000005</v>
      </c>
      <c r="K693" s="15" t="str">
        <f t="shared" si="79"/>
        <v>PIN-53B|MAT</v>
      </c>
      <c r="L693" s="15">
        <f>COUNTIFS($K$2:K693,K693)</f>
        <v>3</v>
      </c>
      <c r="M693" s="15" t="str">
        <f t="shared" si="80"/>
        <v>PIN-53B|MAT|3</v>
      </c>
      <c r="N693" s="47">
        <f>IFERROR(VLOOKUP(A693,PARTIDAS!A:F,6,FALSE()),0)</f>
        <v>15.5</v>
      </c>
      <c r="O693" s="247">
        <f t="shared" si="81"/>
        <v>0.01</v>
      </c>
      <c r="P693" s="247">
        <f>+_xlfn.XLOOKUP(A693,PPTO_GENERADOR!Q:Q,PPTO_GENERADOR!E:E,"-",0)</f>
        <v>739</v>
      </c>
      <c r="Q693" s="247">
        <f t="shared" si="82"/>
        <v>7.3900000000000006</v>
      </c>
      <c r="R693" s="259">
        <f>+_xlfn.XLOOKUP(A693,PPTO_GENERADOR!$Q:$Q,PPTO_GENERADOR!A:A,"-",0)</f>
        <v>15.01</v>
      </c>
    </row>
    <row r="694" spans="1:18" ht="15" customHeight="1" x14ac:dyDescent="0.35">
      <c r="A694" s="38" t="s">
        <v>232</v>
      </c>
      <c r="B694" s="38" t="s">
        <v>2774</v>
      </c>
      <c r="C694" s="38" t="s">
        <v>2775</v>
      </c>
      <c r="D694" s="38" t="s">
        <v>855</v>
      </c>
      <c r="E694" s="44" t="str">
        <f>IFERROR(VLOOKUP(D694,MATERIALES!A:B,2,FALSE()),"?")</f>
        <v>Trapo</v>
      </c>
      <c r="F694" s="44" t="str">
        <f>IFERROR(VLOOKUP(D694,MATERIALES!A:C,3,FALSE()),"?")</f>
        <v>u</v>
      </c>
      <c r="G694" s="45">
        <v>0.01</v>
      </c>
      <c r="H694" s="46">
        <v>0.05</v>
      </c>
      <c r="I694" s="47">
        <f>IFERROR(VLOOKUP(D694,MATERIALES!A:D,4,FALSE()),0)</f>
        <v>735.06</v>
      </c>
      <c r="J694" s="42">
        <f t="shared" si="86"/>
        <v>7.7181300000000004</v>
      </c>
      <c r="K694" s="15" t="str">
        <f t="shared" si="79"/>
        <v>PIN-53B|MAT</v>
      </c>
      <c r="L694" s="15">
        <f>COUNTIFS($K$2:K694,K694)</f>
        <v>4</v>
      </c>
      <c r="M694" s="15" t="str">
        <f t="shared" si="80"/>
        <v>PIN-53B|MAT|4</v>
      </c>
      <c r="N694" s="47">
        <f>IFERROR(VLOOKUP(A694,PARTIDAS!A:F,6,FALSE()),0)</f>
        <v>15.5</v>
      </c>
      <c r="O694" s="247">
        <f t="shared" si="81"/>
        <v>0.01</v>
      </c>
      <c r="P694" s="247">
        <f>+_xlfn.XLOOKUP(A694,PPTO_GENERADOR!Q:Q,PPTO_GENERADOR!E:E,"-",0)</f>
        <v>739</v>
      </c>
      <c r="Q694" s="247">
        <f t="shared" si="82"/>
        <v>7.3900000000000006</v>
      </c>
      <c r="R694" s="259">
        <f>+_xlfn.XLOOKUP(A694,PPTO_GENERADOR!$Q:$Q,PPTO_GENERADOR!A:A,"-",0)</f>
        <v>15.01</v>
      </c>
    </row>
    <row r="695" spans="1:18" ht="15" customHeight="1" x14ac:dyDescent="0.35">
      <c r="A695" s="38" t="s">
        <v>232</v>
      </c>
      <c r="B695" s="38" t="s">
        <v>2774</v>
      </c>
      <c r="C695" s="38" t="s">
        <v>2775</v>
      </c>
      <c r="D695" s="38" t="s">
        <v>863</v>
      </c>
      <c r="E695" s="44" t="str">
        <f>IFERROR(VLOOKUP(D695,MATERIALES!A:B,2,FALSE()),"?")</f>
        <v>Rodillo de lana pelo largo N°22 - El Galgo</v>
      </c>
      <c r="F695" s="44" t="str">
        <f>IFERROR(VLOOKUP(D695,MATERIALES!A:C,3,FALSE()),"?")</f>
        <v>u</v>
      </c>
      <c r="G695" s="45">
        <v>5.0000000000000001E-3</v>
      </c>
      <c r="H695" s="46">
        <v>0.05</v>
      </c>
      <c r="I695" s="47">
        <f>IFERROR(VLOOKUP(D695,MATERIALES!A:D,4,FALSE()),0)</f>
        <v>6678.36</v>
      </c>
      <c r="J695" s="42">
        <f t="shared" si="86"/>
        <v>35.061389999999996</v>
      </c>
      <c r="K695" s="15" t="str">
        <f t="shared" si="79"/>
        <v>PIN-53B|MAT</v>
      </c>
      <c r="L695" s="15">
        <f>COUNTIFS($K$2:K695,K695)</f>
        <v>5</v>
      </c>
      <c r="M695" s="15" t="str">
        <f t="shared" si="80"/>
        <v>PIN-53B|MAT|5</v>
      </c>
      <c r="N695" s="47">
        <f>IFERROR(VLOOKUP(A695,PARTIDAS!A:F,6,FALSE()),0)</f>
        <v>15.5</v>
      </c>
      <c r="O695" s="247">
        <f t="shared" si="81"/>
        <v>5.0000000000000001E-3</v>
      </c>
      <c r="P695" s="247">
        <f>+_xlfn.XLOOKUP(A695,PPTO_GENERADOR!Q:Q,PPTO_GENERADOR!E:E,"-",0)</f>
        <v>739</v>
      </c>
      <c r="Q695" s="247">
        <f t="shared" si="82"/>
        <v>3.6950000000000003</v>
      </c>
      <c r="R695" s="259">
        <f>+_xlfn.XLOOKUP(A695,PPTO_GENERADOR!$Q:$Q,PPTO_GENERADOR!A:A,"-",0)</f>
        <v>15.01</v>
      </c>
    </row>
    <row r="696" spans="1:18" ht="15" customHeight="1" x14ac:dyDescent="0.35">
      <c r="A696" s="38" t="s">
        <v>232</v>
      </c>
      <c r="B696" s="38" t="s">
        <v>2774</v>
      </c>
      <c r="C696" s="38" t="s">
        <v>2775</v>
      </c>
      <c r="D696" s="38" t="s">
        <v>865</v>
      </c>
      <c r="E696" s="44" t="str">
        <f>IFERROR(VLOOKUP(D696,MATERIALES!A:B,2,FALSE()),"?")</f>
        <v>Pincel N° 20 - El Galgo</v>
      </c>
      <c r="F696" s="44" t="str">
        <f>IFERROR(VLOOKUP(D696,MATERIALES!A:C,3,FALSE()),"?")</f>
        <v>u</v>
      </c>
      <c r="G696" s="45">
        <v>5.0000000000000001E-3</v>
      </c>
      <c r="H696" s="46">
        <v>0.05</v>
      </c>
      <c r="I696" s="47">
        <f>IFERROR(VLOOKUP(D696,MATERIALES!A:D,4,FALSE()),0)</f>
        <v>5282.24</v>
      </c>
      <c r="J696" s="42">
        <f t="shared" si="86"/>
        <v>27.731760000000001</v>
      </c>
      <c r="K696" s="15" t="str">
        <f t="shared" si="79"/>
        <v>PIN-53B|MAT</v>
      </c>
      <c r="L696" s="15">
        <f>COUNTIFS($K$2:K696,K696)</f>
        <v>6</v>
      </c>
      <c r="M696" s="15" t="str">
        <f t="shared" si="80"/>
        <v>PIN-53B|MAT|6</v>
      </c>
      <c r="N696" s="47">
        <f>IFERROR(VLOOKUP(A696,PARTIDAS!A:F,6,FALSE()),0)</f>
        <v>15.5</v>
      </c>
      <c r="O696" s="247">
        <f t="shared" si="81"/>
        <v>5.0000000000000001E-3</v>
      </c>
      <c r="P696" s="247">
        <f>+_xlfn.XLOOKUP(A696,PPTO_GENERADOR!Q:Q,PPTO_GENERADOR!E:E,"-",0)</f>
        <v>739</v>
      </c>
      <c r="Q696" s="247">
        <f t="shared" si="82"/>
        <v>3.6950000000000003</v>
      </c>
      <c r="R696" s="259">
        <f>+_xlfn.XLOOKUP(A696,PPTO_GENERADOR!$Q:$Q,PPTO_GENERADOR!A:A,"-",0)</f>
        <v>15.01</v>
      </c>
    </row>
    <row r="697" spans="1:18" ht="15" customHeight="1" x14ac:dyDescent="0.35">
      <c r="A697" s="38" t="s">
        <v>232</v>
      </c>
      <c r="B697" s="38" t="s">
        <v>2774</v>
      </c>
      <c r="C697" s="38" t="s">
        <v>2775</v>
      </c>
      <c r="D697" s="38" t="s">
        <v>868</v>
      </c>
      <c r="E697" s="44" t="str">
        <f>IFERROR(VLOOKUP(D697,MATERIALES!A:B,2,FALSE()),"?")</f>
        <v>Rollo de cartón corrugado 0,90 x 25 mts</v>
      </c>
      <c r="F697" s="44" t="str">
        <f>IFERROR(VLOOKUP(D697,MATERIALES!A:C,3,FALSE()),"?")</f>
        <v>u</v>
      </c>
      <c r="G697" s="45">
        <v>0.01</v>
      </c>
      <c r="H697" s="46">
        <v>0.05</v>
      </c>
      <c r="I697" s="47">
        <f>IFERROR(VLOOKUP(D697,MATERIALES!A:D,4,FALSE()),0)</f>
        <v>7427.6</v>
      </c>
      <c r="J697" s="42">
        <f t="shared" si="86"/>
        <v>77.989800000000017</v>
      </c>
      <c r="K697" s="15" t="str">
        <f t="shared" si="79"/>
        <v>PIN-53B|MAT</v>
      </c>
      <c r="L697" s="15">
        <f>COUNTIFS($K$2:K697,K697)</f>
        <v>7</v>
      </c>
      <c r="M697" s="15" t="str">
        <f t="shared" si="80"/>
        <v>PIN-53B|MAT|7</v>
      </c>
      <c r="N697" s="47">
        <f>IFERROR(VLOOKUP(A697,PARTIDAS!A:F,6,FALSE()),0)</f>
        <v>15.5</v>
      </c>
      <c r="O697" s="247">
        <f t="shared" si="81"/>
        <v>0.01</v>
      </c>
      <c r="P697" s="247">
        <f>+_xlfn.XLOOKUP(A697,PPTO_GENERADOR!Q:Q,PPTO_GENERADOR!E:E,"-",0)</f>
        <v>739</v>
      </c>
      <c r="Q697" s="247">
        <f t="shared" si="82"/>
        <v>7.3900000000000006</v>
      </c>
      <c r="R697" s="259">
        <f>+_xlfn.XLOOKUP(A697,PPTO_GENERADOR!$Q:$Q,PPTO_GENERADOR!A:A,"-",0)</f>
        <v>15.01</v>
      </c>
    </row>
    <row r="698" spans="1:18" ht="15" customHeight="1" x14ac:dyDescent="0.35">
      <c r="A698" s="38" t="s">
        <v>232</v>
      </c>
      <c r="B698" s="38" t="s">
        <v>2774</v>
      </c>
      <c r="C698" s="38" t="s">
        <v>2775</v>
      </c>
      <c r="D698" s="38" t="s">
        <v>806</v>
      </c>
      <c r="E698" s="44" t="str">
        <f>IFERROR(VLOOKUP(D698,MATERIALES!A:B,2,FALSE()),"?")</f>
        <v>Latex Loxon Exterior Sherwin Williams Mate Bco x 20lts</v>
      </c>
      <c r="F698" s="44" t="str">
        <f>IFERROR(VLOOKUP(D698,MATERIALES!A:C,3,FALSE()),"?")</f>
        <v>u</v>
      </c>
      <c r="G698" s="45">
        <v>1.2500000000000001E-2</v>
      </c>
      <c r="H698" s="46">
        <v>0.1</v>
      </c>
      <c r="I698" s="47">
        <f>IFERROR(VLOOKUP(D698,MATERIALES!A:D,4,FALSE()),0)</f>
        <v>105657.74</v>
      </c>
      <c r="J698" s="42">
        <f t="shared" si="86"/>
        <v>1452.7939250000004</v>
      </c>
      <c r="K698" s="15" t="str">
        <f t="shared" si="79"/>
        <v>PIN-53B|MAT</v>
      </c>
      <c r="L698" s="15">
        <f>COUNTIFS($K$2:K698,K698)</f>
        <v>8</v>
      </c>
      <c r="M698" s="15" t="str">
        <f t="shared" si="80"/>
        <v>PIN-53B|MAT|8</v>
      </c>
      <c r="N698" s="47">
        <f>IFERROR(VLOOKUP(A698,PARTIDAS!A:F,6,FALSE()),0)</f>
        <v>15.5</v>
      </c>
      <c r="O698" s="247">
        <f t="shared" si="81"/>
        <v>1.2500000000000001E-2</v>
      </c>
      <c r="P698" s="247">
        <f>+_xlfn.XLOOKUP(A698,PPTO_GENERADOR!Q:Q,PPTO_GENERADOR!E:E,"-",0)</f>
        <v>739</v>
      </c>
      <c r="Q698" s="247">
        <f t="shared" si="82"/>
        <v>9.2375000000000007</v>
      </c>
      <c r="R698" s="259">
        <f>+_xlfn.XLOOKUP(A698,PPTO_GENERADOR!$Q:$Q,PPTO_GENERADOR!A:A,"-",0)</f>
        <v>15.01</v>
      </c>
    </row>
    <row r="699" spans="1:18" ht="15" customHeight="1" x14ac:dyDescent="0.35">
      <c r="A699" s="38" t="s">
        <v>232</v>
      </c>
      <c r="B699" s="38" t="s">
        <v>2776</v>
      </c>
      <c r="C699" s="38" t="s">
        <v>2777</v>
      </c>
      <c r="D699" s="38" t="s">
        <v>1577</v>
      </c>
      <c r="E699" s="44" t="str">
        <f>IFERROR(VLOOKUP(D699,MANO_DE_OBRA!A:B,2,FALSE()),"?")</f>
        <v>AYUDANTE</v>
      </c>
      <c r="F699" s="44" t="s">
        <v>2778</v>
      </c>
      <c r="G699" s="45">
        <v>0.5</v>
      </c>
      <c r="H699" s="46">
        <v>0</v>
      </c>
      <c r="I699" s="47">
        <f>IFERROR(VLOOKUP(D699,MANO_DE_OBRA!A:C,3,FALSE()),0)</f>
        <v>60860.580776572002</v>
      </c>
      <c r="J699" s="42">
        <f t="shared" ref="J699:J704" si="87">G699*I699</f>
        <v>30430.290388286001</v>
      </c>
      <c r="K699" s="15" t="str">
        <f t="shared" si="79"/>
        <v>PIN-53B|MO</v>
      </c>
      <c r="L699" s="15">
        <f>COUNTIFS($K$2:K699,K699)</f>
        <v>1</v>
      </c>
      <c r="M699" s="15" t="str">
        <f t="shared" si="80"/>
        <v>PIN-53B|MO|1</v>
      </c>
      <c r="N699" s="47">
        <f>IFERROR(VLOOKUP(A699,PARTIDAS!A:F,6,FALSE()),0)</f>
        <v>15.5</v>
      </c>
      <c r="O699" s="247">
        <f t="shared" si="81"/>
        <v>3.2258064516129031E-2</v>
      </c>
      <c r="P699" s="247">
        <f>+_xlfn.XLOOKUP(A699,PPTO_GENERADOR!Q:Q,PPTO_GENERADOR!E:E,"-",0)</f>
        <v>739</v>
      </c>
      <c r="Q699" s="247">
        <f t="shared" si="82"/>
        <v>23.838709677419356</v>
      </c>
      <c r="R699" s="259">
        <f>+_xlfn.XLOOKUP(A699,PPTO_GENERADOR!$Q:$Q,PPTO_GENERADOR!A:A,"-",0)</f>
        <v>15.01</v>
      </c>
    </row>
    <row r="700" spans="1:18" ht="15" customHeight="1" x14ac:dyDescent="0.35">
      <c r="A700" s="38" t="s">
        <v>232</v>
      </c>
      <c r="B700" s="38" t="s">
        <v>2776</v>
      </c>
      <c r="C700" s="38" t="s">
        <v>2777</v>
      </c>
      <c r="D700" s="237" t="s">
        <v>1574</v>
      </c>
      <c r="E700" s="44" t="str">
        <f>IFERROR(VLOOKUP(D700,MANO_DE_OBRA!A:B,2,FALSE()),"?")</f>
        <v>MEDIO OFICIAL</v>
      </c>
      <c r="F700" s="44" t="s">
        <v>2778</v>
      </c>
      <c r="G700" s="45">
        <v>1</v>
      </c>
      <c r="H700" s="46">
        <v>0</v>
      </c>
      <c r="I700" s="47">
        <f>IFERROR(VLOOKUP(D700,MANO_DE_OBRA!A:C,3,FALSE()),0)</f>
        <v>65493.071636572</v>
      </c>
      <c r="J700" s="42">
        <f t="shared" si="87"/>
        <v>65493.071636572</v>
      </c>
      <c r="K700" s="15" t="str">
        <f t="shared" si="79"/>
        <v>PIN-53B|MO</v>
      </c>
      <c r="L700" s="15">
        <f>COUNTIFS($K$2:K700,K700)</f>
        <v>2</v>
      </c>
      <c r="M700" s="15" t="str">
        <f t="shared" si="80"/>
        <v>PIN-53B|MO|2</v>
      </c>
      <c r="N700" s="47">
        <f>IFERROR(VLOOKUP(A700,PARTIDAS!A:F,6,FALSE()),0)</f>
        <v>15.5</v>
      </c>
      <c r="O700" s="247">
        <f t="shared" si="81"/>
        <v>6.4516129032258063E-2</v>
      </c>
      <c r="P700" s="247">
        <f>+_xlfn.XLOOKUP(A700,PPTO_GENERADOR!Q:Q,PPTO_GENERADOR!E:E,"-",0)</f>
        <v>739</v>
      </c>
      <c r="Q700" s="247">
        <f t="shared" si="82"/>
        <v>47.677419354838712</v>
      </c>
      <c r="R700" s="259">
        <f>+_xlfn.XLOOKUP(A700,PPTO_GENERADOR!$Q:$Q,PPTO_GENERADOR!A:A,"-",0)</f>
        <v>15.01</v>
      </c>
    </row>
    <row r="701" spans="1:18" ht="15" customHeight="1" x14ac:dyDescent="0.35">
      <c r="A701" s="38" t="s">
        <v>232</v>
      </c>
      <c r="B701" s="38" t="s">
        <v>2776</v>
      </c>
      <c r="C701" s="38" t="s">
        <v>2777</v>
      </c>
      <c r="D701" s="237" t="s">
        <v>1568</v>
      </c>
      <c r="E701" s="44" t="str">
        <f>IFERROR(VLOOKUP(D701,MANO_DE_OBRA!A:B,2,FALSE()),"?")</f>
        <v>ESPECIALIZADO</v>
      </c>
      <c r="F701" s="44" t="s">
        <v>2778</v>
      </c>
      <c r="G701" s="45">
        <v>1.5</v>
      </c>
      <c r="H701" s="46">
        <v>0</v>
      </c>
      <c r="I701" s="47">
        <f>IFERROR(VLOOKUP(D701,MANO_DE_OBRA!A:C,3,FALSE()),0)</f>
        <v>85927.097156571996</v>
      </c>
      <c r="J701" s="42">
        <f t="shared" si="87"/>
        <v>128890.645734858</v>
      </c>
      <c r="K701" s="15" t="str">
        <f t="shared" si="79"/>
        <v>PIN-53B|MO</v>
      </c>
      <c r="L701" s="15">
        <f>COUNTIFS($K$2:K701,K701)</f>
        <v>3</v>
      </c>
      <c r="M701" s="15" t="str">
        <f t="shared" si="80"/>
        <v>PIN-53B|MO|3</v>
      </c>
      <c r="N701" s="47">
        <f>IFERROR(VLOOKUP(A701,PARTIDAS!A:F,6,FALSE()),0)</f>
        <v>15.5</v>
      </c>
      <c r="O701" s="247">
        <f t="shared" si="81"/>
        <v>9.6774193548387094E-2</v>
      </c>
      <c r="P701" s="247">
        <f>+_xlfn.XLOOKUP(A701,PPTO_GENERADOR!Q:Q,PPTO_GENERADOR!E:E,"-",0)</f>
        <v>739</v>
      </c>
      <c r="Q701" s="247">
        <f t="shared" si="82"/>
        <v>71.516129032258064</v>
      </c>
      <c r="R701" s="259">
        <f>+_xlfn.XLOOKUP(A701,PPTO_GENERADOR!$Q:$Q,PPTO_GENERADOR!A:A,"-",0)</f>
        <v>15.01</v>
      </c>
    </row>
    <row r="702" spans="1:18" ht="15" customHeight="1" x14ac:dyDescent="0.35">
      <c r="A702" s="38" t="s">
        <v>2448</v>
      </c>
      <c r="B702" s="38" t="s">
        <v>2773</v>
      </c>
      <c r="C702" s="38"/>
      <c r="D702" s="38" t="s">
        <v>1661</v>
      </c>
      <c r="E702" s="44" t="str">
        <f>IFERROR(VLOOKUP(D702,EQUIPOS!A:B,2,FALSE()),"?")</f>
        <v>Compactador pata de cabra 612H - (c/operario y combustible) - Alq. X dia</v>
      </c>
      <c r="F702" s="44"/>
      <c r="G702" s="45">
        <v>0.25</v>
      </c>
      <c r="H702" s="46">
        <v>0</v>
      </c>
      <c r="I702" s="47">
        <f>IFERROR(VLOOKUP(D702,EQUIPOS!A:F,6,FALSE()),0)</f>
        <v>568150</v>
      </c>
      <c r="J702" s="42">
        <f t="shared" si="87"/>
        <v>142037.5</v>
      </c>
      <c r="K702" s="15" t="str">
        <f t="shared" si="79"/>
        <v>PRE-032|EQ</v>
      </c>
      <c r="L702" s="15">
        <f>COUNTIFS($K$2:K702,K702)</f>
        <v>1</v>
      </c>
      <c r="M702" s="15" t="str">
        <f t="shared" si="80"/>
        <v>PRE-032|EQ|1</v>
      </c>
      <c r="N702" s="47">
        <f>IFERROR(VLOOKUP(A702,PARTIDAS!A:F,6,FALSE()),0)</f>
        <v>25</v>
      </c>
      <c r="O702" s="247">
        <f t="shared" si="81"/>
        <v>0.25</v>
      </c>
      <c r="P702" s="247" t="str">
        <f>+_xlfn.XLOOKUP(A702,PPTO_GENERADOR!Q:Q,PPTO_GENERADOR!E:E,"-",0)</f>
        <v>-</v>
      </c>
      <c r="Q702" s="247">
        <f t="shared" si="82"/>
        <v>0</v>
      </c>
      <c r="R702" s="259" t="str">
        <f>+_xlfn.XLOOKUP(A702,PPTO_GENERADOR!$Q:$Q,PPTO_GENERADOR!A:A,"-",0)</f>
        <v>-</v>
      </c>
    </row>
    <row r="703" spans="1:18" ht="15" customHeight="1" x14ac:dyDescent="0.35">
      <c r="A703" s="38" t="s">
        <v>2448</v>
      </c>
      <c r="B703" s="38" t="s">
        <v>2773</v>
      </c>
      <c r="C703" s="38"/>
      <c r="D703" s="38" t="s">
        <v>1675</v>
      </c>
      <c r="E703" s="44" t="str">
        <f>IFERROR(VLOOKUP(D703,EQUIPOS!A:B,2,FALSE()),"?")</f>
        <v>Pala y retro 310J (c/ operario y combustible)</v>
      </c>
      <c r="F703" s="44"/>
      <c r="G703" s="45">
        <v>1</v>
      </c>
      <c r="H703" s="46">
        <v>0</v>
      </c>
      <c r="I703" s="47">
        <f>IFERROR(VLOOKUP(D703,EQUIPOS!A:F,6,FALSE()),0)</f>
        <v>464850</v>
      </c>
      <c r="J703" s="42">
        <f t="shared" si="87"/>
        <v>464850</v>
      </c>
      <c r="K703" s="15" t="str">
        <f t="shared" si="79"/>
        <v>PRE-032|EQ</v>
      </c>
      <c r="L703" s="15">
        <f>COUNTIFS($K$2:K703,K703)</f>
        <v>2</v>
      </c>
      <c r="M703" s="15" t="str">
        <f t="shared" si="80"/>
        <v>PRE-032|EQ|2</v>
      </c>
      <c r="N703" s="47">
        <f>IFERROR(VLOOKUP(A703,PARTIDAS!A:F,6,FALSE()),0)</f>
        <v>25</v>
      </c>
      <c r="O703" s="247">
        <f t="shared" si="81"/>
        <v>1</v>
      </c>
      <c r="P703" s="247" t="str">
        <f>+_xlfn.XLOOKUP(A703,PPTO_GENERADOR!Q:Q,PPTO_GENERADOR!E:E,"-",0)</f>
        <v>-</v>
      </c>
      <c r="Q703" s="247">
        <f t="shared" si="82"/>
        <v>0</v>
      </c>
      <c r="R703" s="259" t="str">
        <f>+_xlfn.XLOOKUP(A703,PPTO_GENERADOR!$Q:$Q,PPTO_GENERADOR!A:A,"-",0)</f>
        <v>-</v>
      </c>
    </row>
    <row r="704" spans="1:18" ht="15" customHeight="1" x14ac:dyDescent="0.35">
      <c r="A704" s="38" t="s">
        <v>2448</v>
      </c>
      <c r="B704" s="38" t="s">
        <v>2773</v>
      </c>
      <c r="C704" s="38"/>
      <c r="D704" s="38" t="s">
        <v>1667</v>
      </c>
      <c r="E704" s="44" t="str">
        <f>IFERROR(VLOOKUP(D704,EQUIPOS!A:B,2,FALSE()),"?")</f>
        <v>Camion chasis volcador 170E22 - (c/ operario y combustible) - Alq. X dia</v>
      </c>
      <c r="F704" s="44"/>
      <c r="G704" s="45">
        <v>1</v>
      </c>
      <c r="H704" s="46">
        <v>0</v>
      </c>
      <c r="I704" s="47">
        <f>IFERROR(VLOOKUP(D704,EQUIPOS!A:F,6,FALSE()),0)</f>
        <v>258250</v>
      </c>
      <c r="J704" s="42">
        <f t="shared" si="87"/>
        <v>258250</v>
      </c>
      <c r="K704" s="15" t="str">
        <f t="shared" si="79"/>
        <v>PRE-032|EQ</v>
      </c>
      <c r="L704" s="15">
        <f>COUNTIFS($K$2:K704,K704)</f>
        <v>3</v>
      </c>
      <c r="M704" s="15" t="str">
        <f t="shared" si="80"/>
        <v>PRE-032|EQ|3</v>
      </c>
      <c r="N704" s="47">
        <f>IFERROR(VLOOKUP(A704,PARTIDAS!A:F,6,FALSE()),0)</f>
        <v>25</v>
      </c>
      <c r="O704" s="247">
        <f t="shared" si="81"/>
        <v>1</v>
      </c>
      <c r="P704" s="247" t="str">
        <f>+_xlfn.XLOOKUP(A704,PPTO_GENERADOR!Q:Q,PPTO_GENERADOR!E:E,"-",0)</f>
        <v>-</v>
      </c>
      <c r="Q704" s="247">
        <f t="shared" si="82"/>
        <v>0</v>
      </c>
      <c r="R704" s="259" t="str">
        <f>+_xlfn.XLOOKUP(A704,PPTO_GENERADOR!$Q:$Q,PPTO_GENERADOR!A:A,"-",0)</f>
        <v>-</v>
      </c>
    </row>
    <row r="705" spans="1:18" ht="15" customHeight="1" x14ac:dyDescent="0.35">
      <c r="A705" s="38" t="s">
        <v>2448</v>
      </c>
      <c r="B705" s="38" t="s">
        <v>2774</v>
      </c>
      <c r="C705" s="38" t="s">
        <v>2775</v>
      </c>
      <c r="D705" s="38" t="s">
        <v>913</v>
      </c>
      <c r="E705" s="44" t="str">
        <f>IFERROR(VLOOKUP(D705,MATERIALES!A:B,2,FALSE()),"?")</f>
        <v>Aporte de Tosca</v>
      </c>
      <c r="F705" s="44" t="str">
        <f>IFERROR(VLOOKUP(D705,MATERIALES!A:C,3,FALSE()),"?")</f>
        <v>m3</v>
      </c>
      <c r="G705" s="45">
        <v>1</v>
      </c>
      <c r="H705" s="46">
        <v>0.3</v>
      </c>
      <c r="I705" s="47">
        <f>IFERROR(VLOOKUP(D705,MATERIALES!A:D,4,FALSE()),0)</f>
        <v>9811.2871797810803</v>
      </c>
      <c r="J705" s="42">
        <f>G705*I705*(1+H705)</f>
        <v>12754.673333715406</v>
      </c>
      <c r="K705" s="15" t="str">
        <f t="shared" si="79"/>
        <v>PRE-032|MAT</v>
      </c>
      <c r="L705" s="15">
        <f>COUNTIFS($K$2:K705,K705)</f>
        <v>1</v>
      </c>
      <c r="M705" s="15" t="str">
        <f t="shared" si="80"/>
        <v>PRE-032|MAT|1</v>
      </c>
      <c r="N705" s="47">
        <f>IFERROR(VLOOKUP(A705,PARTIDAS!A:F,6,FALSE()),0)</f>
        <v>25</v>
      </c>
      <c r="O705" s="247">
        <f t="shared" si="81"/>
        <v>1</v>
      </c>
      <c r="P705" s="247" t="str">
        <f>+_xlfn.XLOOKUP(A705,PPTO_GENERADOR!Q:Q,PPTO_GENERADOR!E:E,"-",0)</f>
        <v>-</v>
      </c>
      <c r="Q705" s="247">
        <f t="shared" si="82"/>
        <v>0</v>
      </c>
      <c r="R705" s="259" t="str">
        <f>+_xlfn.XLOOKUP(A705,PPTO_GENERADOR!$Q:$Q,PPTO_GENERADOR!A:A,"-",0)</f>
        <v>-</v>
      </c>
    </row>
    <row r="706" spans="1:18" ht="15" customHeight="1" x14ac:dyDescent="0.35">
      <c r="A706" s="38" t="s">
        <v>2448</v>
      </c>
      <c r="B706" s="38" t="s">
        <v>2776</v>
      </c>
      <c r="C706" s="38" t="s">
        <v>2777</v>
      </c>
      <c r="D706" s="237" t="s">
        <v>1574</v>
      </c>
      <c r="E706" s="44" t="str">
        <f>IFERROR(VLOOKUP(D706,MANO_DE_OBRA!A:B,2,FALSE()),"?")</f>
        <v>MEDIO OFICIAL</v>
      </c>
      <c r="F706" s="44" t="s">
        <v>2778</v>
      </c>
      <c r="G706" s="45">
        <v>1</v>
      </c>
      <c r="H706" s="46">
        <v>0</v>
      </c>
      <c r="I706" s="47">
        <f>IFERROR(VLOOKUP(D706,MANO_DE_OBRA!A:C,3,FALSE()),0)</f>
        <v>65493.071636572</v>
      </c>
      <c r="J706" s="42">
        <f>G706*I706</f>
        <v>65493.071636572</v>
      </c>
      <c r="K706" s="15" t="str">
        <f t="shared" ref="K706:K769" si="88">A706&amp;"|"&amp;B706</f>
        <v>PRE-032|MO</v>
      </c>
      <c r="L706" s="15">
        <f>COUNTIFS($K$2:K706,K706)</f>
        <v>1</v>
      </c>
      <c r="M706" s="15" t="str">
        <f t="shared" ref="M706:M769" si="89">K706&amp;"|"&amp;L706</f>
        <v>PRE-032|MO|1</v>
      </c>
      <c r="N706" s="47">
        <f>IFERROR(VLOOKUP(A706,PARTIDAS!A:F,6,FALSE()),0)</f>
        <v>25</v>
      </c>
      <c r="O706" s="247">
        <f t="shared" si="81"/>
        <v>0.04</v>
      </c>
      <c r="P706" s="247" t="str">
        <f>+_xlfn.XLOOKUP(A706,PPTO_GENERADOR!Q:Q,PPTO_GENERADOR!E:E,"-",0)</f>
        <v>-</v>
      </c>
      <c r="Q706" s="247">
        <f t="shared" si="82"/>
        <v>0</v>
      </c>
      <c r="R706" s="259" t="str">
        <f>+_xlfn.XLOOKUP(A706,PPTO_GENERADOR!$Q:$Q,PPTO_GENERADOR!A:A,"-",0)</f>
        <v>-</v>
      </c>
    </row>
    <row r="707" spans="1:18" ht="15" customHeight="1" x14ac:dyDescent="0.35">
      <c r="A707" s="38" t="s">
        <v>2448</v>
      </c>
      <c r="B707" s="38" t="s">
        <v>2776</v>
      </c>
      <c r="C707" s="38" t="s">
        <v>2777</v>
      </c>
      <c r="D707" s="237" t="s">
        <v>1568</v>
      </c>
      <c r="E707" s="44" t="str">
        <f>IFERROR(VLOOKUP(D707,MANO_DE_OBRA!A:B,2,FALSE()),"?")</f>
        <v>ESPECIALIZADO</v>
      </c>
      <c r="F707" s="44" t="s">
        <v>2778</v>
      </c>
      <c r="G707" s="45">
        <v>1</v>
      </c>
      <c r="H707" s="46">
        <v>0</v>
      </c>
      <c r="I707" s="47">
        <f>IFERROR(VLOOKUP(D707,MANO_DE_OBRA!A:C,3,FALSE()),0)</f>
        <v>85927.097156571996</v>
      </c>
      <c r="J707" s="42">
        <f>G707*I707</f>
        <v>85927.097156571996</v>
      </c>
      <c r="K707" s="15" t="str">
        <f t="shared" si="88"/>
        <v>PRE-032|MO</v>
      </c>
      <c r="L707" s="15">
        <f>COUNTIFS($K$2:K707,K707)</f>
        <v>2</v>
      </c>
      <c r="M707" s="15" t="str">
        <f t="shared" si="89"/>
        <v>PRE-032|MO|2</v>
      </c>
      <c r="N707" s="47">
        <f>IFERROR(VLOOKUP(A707,PARTIDAS!A:F,6,FALSE()),0)</f>
        <v>25</v>
      </c>
      <c r="O707" s="247">
        <f t="shared" ref="O707:O770" si="90">+IF(C707="ALB",G707/N707,G707)</f>
        <v>0.04</v>
      </c>
      <c r="P707" s="247" t="str">
        <f>+_xlfn.XLOOKUP(A707,PPTO_GENERADOR!Q:Q,PPTO_GENERADOR!E:E,"-",0)</f>
        <v>-</v>
      </c>
      <c r="Q707" s="247">
        <f t="shared" ref="Q707:Q770" si="91">IFERROR(P707*O707,0)</f>
        <v>0</v>
      </c>
      <c r="R707" s="259" t="str">
        <f>+_xlfn.XLOOKUP(A707,PPTO_GENERADOR!$Q:$Q,PPTO_GENERADOR!A:A,"-",0)</f>
        <v>-</v>
      </c>
    </row>
    <row r="708" spans="1:18" ht="15" customHeight="1" x14ac:dyDescent="0.35">
      <c r="A708" s="38" t="s">
        <v>25</v>
      </c>
      <c r="B708" s="38" t="s">
        <v>2773</v>
      </c>
      <c r="C708" s="38"/>
      <c r="D708" s="38" t="s">
        <v>1755</v>
      </c>
      <c r="E708" s="44" t="str">
        <f>IFERROR(VLOOKUP(D708,EQUIPOS!A:B,2,FALSE()),"?")</f>
        <v>Herramientas menores y consumibles - Topógrafo - Visita de obra replanteo</v>
      </c>
      <c r="F708" s="44"/>
      <c r="G708" s="45">
        <v>1</v>
      </c>
      <c r="H708" s="46">
        <v>0</v>
      </c>
      <c r="I708" s="47">
        <f>IFERROR(VLOOKUP(D708,EQUIPOS!A:F,6,FALSE()),0)</f>
        <v>4268.9613811940299</v>
      </c>
      <c r="J708" s="42">
        <f>G708*I708</f>
        <v>4268.9613811940299</v>
      </c>
      <c r="K708" s="15" t="str">
        <f t="shared" si="88"/>
        <v>PTO-0102|EQ</v>
      </c>
      <c r="L708" s="15">
        <f>COUNTIFS($K$2:K708,K708)</f>
        <v>1</v>
      </c>
      <c r="M708" s="15" t="str">
        <f t="shared" si="89"/>
        <v>PTO-0102|EQ|1</v>
      </c>
      <c r="N708" s="47">
        <f>IFERROR(VLOOKUP(A708,PARTIDAS!A:F,6,FALSE()),0)</f>
        <v>1</v>
      </c>
      <c r="O708" s="247">
        <f t="shared" si="90"/>
        <v>1</v>
      </c>
      <c r="P708" s="247">
        <f>+_xlfn.XLOOKUP(A708,PPTO_GENERADOR!Q:Q,PPTO_GENERADOR!E:E,"-",0)</f>
        <v>3</v>
      </c>
      <c r="Q708" s="247">
        <f t="shared" si="91"/>
        <v>3</v>
      </c>
      <c r="R708" s="259">
        <f>+_xlfn.XLOOKUP(A708,PPTO_GENERADOR!$Q:$Q,PPTO_GENERADOR!A:A,"-",0)</f>
        <v>1.02</v>
      </c>
    </row>
    <row r="709" spans="1:18" ht="15" customHeight="1" x14ac:dyDescent="0.35">
      <c r="A709" s="38" t="s">
        <v>25</v>
      </c>
      <c r="B709" s="38" t="s">
        <v>2774</v>
      </c>
      <c r="C709" s="38" t="s">
        <v>2779</v>
      </c>
      <c r="D709" s="38" t="s">
        <v>1364</v>
      </c>
      <c r="E709" s="44" t="str">
        <f>IFERROR(VLOOKUP(D709,MATERIALES!A:B,2,FALSE()),"?")</f>
        <v>Consumibles topógrafo y obras preliminares</v>
      </c>
      <c r="F709" s="44" t="str">
        <f>IFERROR(VLOOKUP(D709,MATERIALES!A:C,3,FALSE()),"?")</f>
        <v>gl</v>
      </c>
      <c r="G709" s="45">
        <v>1</v>
      </c>
      <c r="H709" s="46">
        <v>0</v>
      </c>
      <c r="I709" s="47">
        <f>IFERROR(VLOOKUP(D709,MATERIALES!A:D,4,FALSE()),0)</f>
        <v>25000</v>
      </c>
      <c r="J709" s="42">
        <f>G709*I709*(1+H709)</f>
        <v>25000</v>
      </c>
      <c r="K709" s="15" t="str">
        <f t="shared" si="88"/>
        <v>PTO-0102|MAT</v>
      </c>
      <c r="L709" s="15">
        <f>COUNTIFS($K$2:K709,K709)</f>
        <v>1</v>
      </c>
      <c r="M709" s="15" t="str">
        <f t="shared" si="89"/>
        <v>PTO-0102|MAT|1</v>
      </c>
      <c r="N709" s="47">
        <f>IFERROR(VLOOKUP(A709,PARTIDAS!A:F,6,FALSE()),0)</f>
        <v>1</v>
      </c>
      <c r="O709" s="247">
        <f t="shared" si="90"/>
        <v>1</v>
      </c>
      <c r="P709" s="247">
        <f>+_xlfn.XLOOKUP(A709,PPTO_GENERADOR!Q:Q,PPTO_GENERADOR!E:E,"-",0)</f>
        <v>3</v>
      </c>
      <c r="Q709" s="247">
        <f t="shared" si="91"/>
        <v>3</v>
      </c>
      <c r="R709" s="259">
        <f>+_xlfn.XLOOKUP(A709,PPTO_GENERADOR!$Q:$Q,PPTO_GENERADOR!A:A,"-",0)</f>
        <v>1.02</v>
      </c>
    </row>
    <row r="710" spans="1:18" ht="15" customHeight="1" x14ac:dyDescent="0.35">
      <c r="A710" s="38" t="s">
        <v>25</v>
      </c>
      <c r="B710" s="38" t="s">
        <v>2776</v>
      </c>
      <c r="C710" s="38" t="s">
        <v>2777</v>
      </c>
      <c r="D710" s="38" t="s">
        <v>1577</v>
      </c>
      <c r="E710" s="44" t="str">
        <f>IFERROR(VLOOKUP(D710,MANO_DE_OBRA!A:B,2,FALSE()),"?")</f>
        <v>AYUDANTE</v>
      </c>
      <c r="F710" s="44" t="s">
        <v>2778</v>
      </c>
      <c r="G710" s="45">
        <v>1</v>
      </c>
      <c r="H710" s="46">
        <v>0</v>
      </c>
      <c r="I710" s="47">
        <f>IFERROR(VLOOKUP(D710,MANO_DE_OBRA!A:C,3,FALSE()),0)</f>
        <v>60860.580776572002</v>
      </c>
      <c r="J710" s="42">
        <f>G710*I710</f>
        <v>60860.580776572002</v>
      </c>
      <c r="K710" s="15" t="str">
        <f t="shared" si="88"/>
        <v>PTO-0102|MO</v>
      </c>
      <c r="L710" s="15">
        <f>COUNTIFS($K$2:K710,K710)</f>
        <v>1</v>
      </c>
      <c r="M710" s="15" t="str">
        <f t="shared" si="89"/>
        <v>PTO-0102|MO|1</v>
      </c>
      <c r="N710" s="47">
        <f>IFERROR(VLOOKUP(A710,PARTIDAS!A:F,6,FALSE()),0)</f>
        <v>1</v>
      </c>
      <c r="O710" s="247">
        <f t="shared" si="90"/>
        <v>1</v>
      </c>
      <c r="P710" s="247">
        <f>+_xlfn.XLOOKUP(A710,PPTO_GENERADOR!Q:Q,PPTO_GENERADOR!E:E,"-",0)</f>
        <v>3</v>
      </c>
      <c r="Q710" s="247">
        <f t="shared" si="91"/>
        <v>3</v>
      </c>
      <c r="R710" s="259">
        <f>+_xlfn.XLOOKUP(A710,PPTO_GENERADOR!$Q:$Q,PPTO_GENERADOR!A:A,"-",0)</f>
        <v>1.02</v>
      </c>
    </row>
    <row r="711" spans="1:18" ht="15" customHeight="1" x14ac:dyDescent="0.35">
      <c r="A711" s="38" t="s">
        <v>25</v>
      </c>
      <c r="B711" s="38" t="s">
        <v>2776</v>
      </c>
      <c r="C711" s="38" t="s">
        <v>2775</v>
      </c>
      <c r="D711" s="38" t="s">
        <v>2227</v>
      </c>
      <c r="E711" s="44" t="str">
        <f>IFERROR(VLOOKUP(D711,SUBCONTRATOS_PRY!A:B,2,FALSE()),"?")</f>
        <v>M.Obra topografo</v>
      </c>
      <c r="F711" s="44" t="s">
        <v>2778</v>
      </c>
      <c r="G711" s="45">
        <v>1</v>
      </c>
      <c r="H711" s="46">
        <v>0</v>
      </c>
      <c r="I711" s="47">
        <f>IFERROR(VLOOKUP(D711,SUBCONTRATOS_PRY!A:D,4,FALSE()),0)</f>
        <v>198736.844636364</v>
      </c>
      <c r="J711" s="42">
        <f>G711*I711</f>
        <v>198736.844636364</v>
      </c>
      <c r="K711" s="15" t="str">
        <f t="shared" si="88"/>
        <v>PTO-0102|MO</v>
      </c>
      <c r="L711" s="15">
        <f>COUNTIFS($K$2:K711,K711)</f>
        <v>2</v>
      </c>
      <c r="M711" s="15" t="str">
        <f t="shared" si="89"/>
        <v>PTO-0102|MO|2</v>
      </c>
      <c r="N711" s="47">
        <f>IFERROR(VLOOKUP(A711,PARTIDAS!A:F,6,FALSE()),0)</f>
        <v>1</v>
      </c>
      <c r="O711" s="247">
        <f t="shared" si="90"/>
        <v>1</v>
      </c>
      <c r="P711" s="247">
        <f>+_xlfn.XLOOKUP(A711,PPTO_GENERADOR!Q:Q,PPTO_GENERADOR!E:E,"-",0)</f>
        <v>3</v>
      </c>
      <c r="Q711" s="247">
        <f t="shared" si="91"/>
        <v>3</v>
      </c>
      <c r="R711" s="259">
        <f>+_xlfn.XLOOKUP(A711,PPTO_GENERADOR!$Q:$Q,PPTO_GENERADOR!A:A,"-",0)</f>
        <v>1.02</v>
      </c>
    </row>
    <row r="712" spans="1:18" ht="15" customHeight="1" x14ac:dyDescent="0.35">
      <c r="A712" s="38" t="s">
        <v>29</v>
      </c>
      <c r="B712" s="38" t="s">
        <v>2773</v>
      </c>
      <c r="C712" s="38"/>
      <c r="D712" s="38" t="s">
        <v>1758</v>
      </c>
      <c r="E712" s="44" t="str">
        <f>IFERROR(VLOOKUP(D712,EQUIPOS!A:B,2,FALSE()),"?")</f>
        <v>Herramientas menores y consumibles - Cerco de obra perimetral - En chapa C25 + Concerti</v>
      </c>
      <c r="F712" s="44"/>
      <c r="G712" s="45">
        <v>1</v>
      </c>
      <c r="H712" s="46">
        <v>0</v>
      </c>
      <c r="I712" s="47">
        <f>IFERROR(VLOOKUP(D712,EQUIPOS!A:F,6,FALSE()),0)</f>
        <v>2849.7760330466299</v>
      </c>
      <c r="J712" s="42">
        <f>G712*I712</f>
        <v>2849.7760330466299</v>
      </c>
      <c r="K712" s="15" t="str">
        <f t="shared" si="88"/>
        <v>PTO-0104|EQ</v>
      </c>
      <c r="L712" s="15">
        <f>COUNTIFS($K$2:K712,K712)</f>
        <v>1</v>
      </c>
      <c r="M712" s="15" t="str">
        <f t="shared" si="89"/>
        <v>PTO-0104|EQ|1</v>
      </c>
      <c r="N712" s="47">
        <f>IFERROR(VLOOKUP(A712,PARTIDAS!A:F,6,FALSE()),0)</f>
        <v>1</v>
      </c>
      <c r="O712" s="247">
        <f t="shared" si="90"/>
        <v>1</v>
      </c>
      <c r="P712" s="247">
        <f>+_xlfn.XLOOKUP(A712,PPTO_GENERADOR!Q:Q,PPTO_GENERADOR!E:E,"-",0)</f>
        <v>10</v>
      </c>
      <c r="Q712" s="247">
        <f t="shared" si="91"/>
        <v>10</v>
      </c>
      <c r="R712" s="259">
        <f>+_xlfn.XLOOKUP(A712,PPTO_GENERADOR!$Q:$Q,PPTO_GENERADOR!A:A,"-",0)</f>
        <v>1.04</v>
      </c>
    </row>
    <row r="713" spans="1:18" ht="15" customHeight="1" x14ac:dyDescent="0.35">
      <c r="A713" s="38" t="s">
        <v>29</v>
      </c>
      <c r="B713" s="38" t="s">
        <v>2774</v>
      </c>
      <c r="C713" s="38" t="s">
        <v>2775</v>
      </c>
      <c r="D713" s="38" t="s">
        <v>1361</v>
      </c>
      <c r="E713" s="44" t="str">
        <f>IFERROR(VLOOKUP(D713,MATERIALES!A:B,2,FALSE()),"?")</f>
        <v>Consumibles</v>
      </c>
      <c r="F713" s="44" t="str">
        <f>IFERROR(VLOOKUP(D713,MATERIALES!A:C,3,FALSE()),"?")</f>
        <v>gl</v>
      </c>
      <c r="G713" s="45">
        <v>14721.783801650001</v>
      </c>
      <c r="H713" s="46">
        <v>0</v>
      </c>
      <c r="I713" s="47">
        <f>IFERROR(VLOOKUP(D713,MATERIALES!A:D,4,FALSE()),0)</f>
        <v>1</v>
      </c>
      <c r="J713" s="42">
        <f t="shared" ref="J713:J720" si="92">G713*I713*(1+H713)</f>
        <v>14721.783801650001</v>
      </c>
      <c r="K713" s="15" t="str">
        <f t="shared" si="88"/>
        <v>PTO-0104|MAT</v>
      </c>
      <c r="L713" s="15">
        <f>COUNTIFS($K$2:K713,K713)</f>
        <v>1</v>
      </c>
      <c r="M713" s="15" t="str">
        <f t="shared" si="89"/>
        <v>PTO-0104|MAT|1</v>
      </c>
      <c r="N713" s="47">
        <f>IFERROR(VLOOKUP(A713,PARTIDAS!A:F,6,FALSE()),0)</f>
        <v>1</v>
      </c>
      <c r="O713" s="247">
        <f t="shared" si="90"/>
        <v>14721.783801650001</v>
      </c>
      <c r="P713" s="247">
        <f>+_xlfn.XLOOKUP(A713,PPTO_GENERADOR!Q:Q,PPTO_GENERADOR!E:E,"-",0)</f>
        <v>10</v>
      </c>
      <c r="Q713" s="247">
        <f t="shared" si="91"/>
        <v>147217.8380165</v>
      </c>
      <c r="R713" s="259">
        <f>+_xlfn.XLOOKUP(A713,PPTO_GENERADOR!$Q:$Q,PPTO_GENERADOR!A:A,"-",0)</f>
        <v>1.04</v>
      </c>
    </row>
    <row r="714" spans="1:18" ht="15" customHeight="1" x14ac:dyDescent="0.35">
      <c r="A714" s="38" t="s">
        <v>29</v>
      </c>
      <c r="B714" s="38" t="s">
        <v>2774</v>
      </c>
      <c r="C714" s="38" t="s">
        <v>2775</v>
      </c>
      <c r="D714" s="38" t="s">
        <v>1016</v>
      </c>
      <c r="E714" s="44" t="str">
        <f>IFERROR(VLOOKUP(D714,MATERIALES!A:B,2,FALSE()),"?")</f>
        <v>Chapa acanalada C25</v>
      </c>
      <c r="F714" s="44" t="str">
        <f>IFERROR(VLOOKUP(D714,MATERIALES!A:C,3,FALSE()),"?")</f>
        <v>m2</v>
      </c>
      <c r="G714" s="45">
        <v>2.5</v>
      </c>
      <c r="H714" s="46">
        <v>0</v>
      </c>
      <c r="I714" s="47">
        <f>IFERROR(VLOOKUP(D714,MATERIALES!A:D,4,FALSE()),0)</f>
        <v>10167.5702479339</v>
      </c>
      <c r="J714" s="42">
        <f t="shared" si="92"/>
        <v>25418.92561983475</v>
      </c>
      <c r="K714" s="15" t="str">
        <f t="shared" si="88"/>
        <v>PTO-0104|MAT</v>
      </c>
      <c r="L714" s="15">
        <f>COUNTIFS($K$2:K714,K714)</f>
        <v>2</v>
      </c>
      <c r="M714" s="15" t="str">
        <f t="shared" si="89"/>
        <v>PTO-0104|MAT|2</v>
      </c>
      <c r="N714" s="47">
        <f>IFERROR(VLOOKUP(A714,PARTIDAS!A:F,6,FALSE()),0)</f>
        <v>1</v>
      </c>
      <c r="O714" s="247">
        <f t="shared" si="90"/>
        <v>2.5</v>
      </c>
      <c r="P714" s="247">
        <f>+_xlfn.XLOOKUP(A714,PPTO_GENERADOR!Q:Q,PPTO_GENERADOR!E:E,"-",0)</f>
        <v>10</v>
      </c>
      <c r="Q714" s="247">
        <f t="shared" si="91"/>
        <v>25</v>
      </c>
      <c r="R714" s="259">
        <f>+_xlfn.XLOOKUP(A714,PPTO_GENERADOR!$Q:$Q,PPTO_GENERADOR!A:A,"-",0)</f>
        <v>1.04</v>
      </c>
    </row>
    <row r="715" spans="1:18" ht="15" customHeight="1" x14ac:dyDescent="0.35">
      <c r="A715" s="38" t="s">
        <v>29</v>
      </c>
      <c r="B715" s="38" t="s">
        <v>2774</v>
      </c>
      <c r="C715" s="38" t="s">
        <v>2775</v>
      </c>
      <c r="D715" s="38" t="s">
        <v>1020</v>
      </c>
      <c r="E715" s="44" t="str">
        <f>IFERROR(VLOOKUP(D715,MATERIALES!A:B,2,FALSE()),"?")</f>
        <v>Perfiles UPN 100</v>
      </c>
      <c r="F715" s="44" t="str">
        <f>IFERROR(VLOOKUP(D715,MATERIALES!A:C,3,FALSE()),"?")</f>
        <v>un</v>
      </c>
      <c r="G715" s="45">
        <v>0.1</v>
      </c>
      <c r="H715" s="46">
        <v>0</v>
      </c>
      <c r="I715" s="47">
        <f>IFERROR(VLOOKUP(D715,MATERIALES!A:D,4,FALSE()),0)</f>
        <v>235448.016528926</v>
      </c>
      <c r="J715" s="42">
        <f t="shared" si="92"/>
        <v>23544.801652892602</v>
      </c>
      <c r="K715" s="15" t="str">
        <f t="shared" si="88"/>
        <v>PTO-0104|MAT</v>
      </c>
      <c r="L715" s="15">
        <f>COUNTIFS($K$2:K715,K715)</f>
        <v>3</v>
      </c>
      <c r="M715" s="15" t="str">
        <f t="shared" si="89"/>
        <v>PTO-0104|MAT|3</v>
      </c>
      <c r="N715" s="47">
        <f>IFERROR(VLOOKUP(A715,PARTIDAS!A:F,6,FALSE()),0)</f>
        <v>1</v>
      </c>
      <c r="O715" s="247">
        <f t="shared" si="90"/>
        <v>0.1</v>
      </c>
      <c r="P715" s="247">
        <f>+_xlfn.XLOOKUP(A715,PPTO_GENERADOR!Q:Q,PPTO_GENERADOR!E:E,"-",0)</f>
        <v>10</v>
      </c>
      <c r="Q715" s="247">
        <f t="shared" si="91"/>
        <v>1</v>
      </c>
      <c r="R715" s="259">
        <f>+_xlfn.XLOOKUP(A715,PPTO_GENERADOR!$Q:$Q,PPTO_GENERADOR!A:A,"-",0)</f>
        <v>1.04</v>
      </c>
    </row>
    <row r="716" spans="1:18" ht="15" customHeight="1" x14ac:dyDescent="0.35">
      <c r="A716" s="38" t="s">
        <v>29</v>
      </c>
      <c r="B716" s="38" t="s">
        <v>2774</v>
      </c>
      <c r="C716" s="38" t="s">
        <v>2775</v>
      </c>
      <c r="D716" s="38" t="s">
        <v>1022</v>
      </c>
      <c r="E716" s="44" t="str">
        <f>IFERROR(VLOOKUP(D716,MATERIALES!A:B,2,FALSE()),"?")</f>
        <v xml:space="preserve">Bastidor para porton corredizo - Perfil 40 x 40 x 2 </v>
      </c>
      <c r="F716" s="44" t="str">
        <f>IFERROR(VLOOKUP(D716,MATERIALES!A:C,3,FALSE()),"?")</f>
        <v>u</v>
      </c>
      <c r="G716" s="45">
        <v>0.2</v>
      </c>
      <c r="H716" s="46">
        <v>0</v>
      </c>
      <c r="I716" s="47">
        <f>IFERROR(VLOOKUP(D716,MATERIALES!A:D,4,FALSE()),0)</f>
        <v>22267.107438016501</v>
      </c>
      <c r="J716" s="42">
        <f t="shared" si="92"/>
        <v>4453.4214876033002</v>
      </c>
      <c r="K716" s="15" t="str">
        <f t="shared" si="88"/>
        <v>PTO-0104|MAT</v>
      </c>
      <c r="L716" s="15">
        <f>COUNTIFS($K$2:K716,K716)</f>
        <v>4</v>
      </c>
      <c r="M716" s="15" t="str">
        <f t="shared" si="89"/>
        <v>PTO-0104|MAT|4</v>
      </c>
      <c r="N716" s="47">
        <f>IFERROR(VLOOKUP(A716,PARTIDAS!A:F,6,FALSE()),0)</f>
        <v>1</v>
      </c>
      <c r="O716" s="247">
        <f t="shared" si="90"/>
        <v>0.2</v>
      </c>
      <c r="P716" s="247">
        <f>+_xlfn.XLOOKUP(A716,PPTO_GENERADOR!Q:Q,PPTO_GENERADOR!E:E,"-",0)</f>
        <v>10</v>
      </c>
      <c r="Q716" s="247">
        <f t="shared" si="91"/>
        <v>2</v>
      </c>
      <c r="R716" s="259">
        <f>+_xlfn.XLOOKUP(A716,PPTO_GENERADOR!$Q:$Q,PPTO_GENERADOR!A:A,"-",0)</f>
        <v>1.04</v>
      </c>
    </row>
    <row r="717" spans="1:18" ht="15" customHeight="1" x14ac:dyDescent="0.35">
      <c r="A717" s="38" t="s">
        <v>29</v>
      </c>
      <c r="B717" s="38" t="s">
        <v>2774</v>
      </c>
      <c r="C717" s="38" t="s">
        <v>2775</v>
      </c>
      <c r="D717" s="38" t="s">
        <v>1024</v>
      </c>
      <c r="E717" s="44" t="str">
        <f>IFERROR(VLOOKUP(D717,MATERIALES!A:B,2,FALSE()),"?")</f>
        <v>Riel Roma 174 e: 2,1 mm. 53 x 60 x 6000</v>
      </c>
      <c r="F717" s="44" t="str">
        <f>IFERROR(VLOOKUP(D717,MATERIALES!A:C,3,FALSE()),"?")</f>
        <v>u</v>
      </c>
      <c r="G717" s="45">
        <v>0.1</v>
      </c>
      <c r="H717" s="46">
        <v>0</v>
      </c>
      <c r="I717" s="47">
        <f>IFERROR(VLOOKUP(D717,MATERIALES!A:D,4,FALSE()),0)</f>
        <v>81509.950413223094</v>
      </c>
      <c r="J717" s="42">
        <f t="shared" si="92"/>
        <v>8150.9950413223096</v>
      </c>
      <c r="K717" s="15" t="str">
        <f t="shared" si="88"/>
        <v>PTO-0104|MAT</v>
      </c>
      <c r="L717" s="15">
        <f>COUNTIFS($K$2:K717,K717)</f>
        <v>5</v>
      </c>
      <c r="M717" s="15" t="str">
        <f t="shared" si="89"/>
        <v>PTO-0104|MAT|5</v>
      </c>
      <c r="N717" s="47">
        <f>IFERROR(VLOOKUP(A717,PARTIDAS!A:F,6,FALSE()),0)</f>
        <v>1</v>
      </c>
      <c r="O717" s="247">
        <f t="shared" si="90"/>
        <v>0.1</v>
      </c>
      <c r="P717" s="247">
        <f>+_xlfn.XLOOKUP(A717,PPTO_GENERADOR!Q:Q,PPTO_GENERADOR!E:E,"-",0)</f>
        <v>10</v>
      </c>
      <c r="Q717" s="247">
        <f t="shared" si="91"/>
        <v>1</v>
      </c>
      <c r="R717" s="259">
        <f>+_xlfn.XLOOKUP(A717,PPTO_GENERADOR!$Q:$Q,PPTO_GENERADOR!A:A,"-",0)</f>
        <v>1.04</v>
      </c>
    </row>
    <row r="718" spans="1:18" ht="15" customHeight="1" x14ac:dyDescent="0.35">
      <c r="A718" s="38" t="s">
        <v>29</v>
      </c>
      <c r="B718" s="38" t="s">
        <v>2774</v>
      </c>
      <c r="C718" s="38" t="s">
        <v>2775</v>
      </c>
      <c r="D718" s="38" t="s">
        <v>1026</v>
      </c>
      <c r="E718" s="44" t="str">
        <f>IFERROR(VLOOKUP(D718,MATERIALES!A:B,2,FALSE()),"?")</f>
        <v>Carro acero 174 4 ruedas puertas portones Ø45mm</v>
      </c>
      <c r="F718" s="44" t="str">
        <f>IFERROR(VLOOKUP(D718,MATERIALES!A:C,3,FALSE()),"?")</f>
        <v>u</v>
      </c>
      <c r="G718" s="45">
        <v>0.2</v>
      </c>
      <c r="H718" s="46">
        <v>0</v>
      </c>
      <c r="I718" s="47">
        <f>IFERROR(VLOOKUP(D718,MATERIALES!A:D,4,FALSE()),0)</f>
        <v>12131.5619834711</v>
      </c>
      <c r="J718" s="42">
        <f t="shared" si="92"/>
        <v>2426.3123966942198</v>
      </c>
      <c r="K718" s="15" t="str">
        <f t="shared" si="88"/>
        <v>PTO-0104|MAT</v>
      </c>
      <c r="L718" s="15">
        <f>COUNTIFS($K$2:K718,K718)</f>
        <v>6</v>
      </c>
      <c r="M718" s="15" t="str">
        <f t="shared" si="89"/>
        <v>PTO-0104|MAT|6</v>
      </c>
      <c r="N718" s="47">
        <f>IFERROR(VLOOKUP(A718,PARTIDAS!A:F,6,FALSE()),0)</f>
        <v>1</v>
      </c>
      <c r="O718" s="247">
        <f t="shared" si="90"/>
        <v>0.2</v>
      </c>
      <c r="P718" s="247">
        <f>+_xlfn.XLOOKUP(A718,PPTO_GENERADOR!Q:Q,PPTO_GENERADOR!E:E,"-",0)</f>
        <v>10</v>
      </c>
      <c r="Q718" s="247">
        <f t="shared" si="91"/>
        <v>2</v>
      </c>
      <c r="R718" s="259">
        <f>+_xlfn.XLOOKUP(A718,PPTO_GENERADOR!$Q:$Q,PPTO_GENERADOR!A:A,"-",0)</f>
        <v>1.04</v>
      </c>
    </row>
    <row r="719" spans="1:18" ht="15" customHeight="1" x14ac:dyDescent="0.35">
      <c r="A719" s="38" t="s">
        <v>29</v>
      </c>
      <c r="B719" s="38" t="s">
        <v>2774</v>
      </c>
      <c r="C719" s="38" t="s">
        <v>2775</v>
      </c>
      <c r="D719" s="38" t="s">
        <v>1028</v>
      </c>
      <c r="E719" s="44" t="str">
        <f>IFERROR(VLOOKUP(D719,MATERIALES!A:B,2,FALSE()),"?")</f>
        <v xml:space="preserve">Autoperforantes punta mecha 14 x 2 </v>
      </c>
      <c r="F719" s="44" t="str">
        <f>IFERROR(VLOOKUP(D719,MATERIALES!A:C,3,FALSE()),"?")</f>
        <v>u</v>
      </c>
      <c r="G719" s="45">
        <v>11.25</v>
      </c>
      <c r="H719" s="46">
        <v>0</v>
      </c>
      <c r="I719" s="47">
        <f>IFERROR(VLOOKUP(D719,MATERIALES!A:D,4,FALSE()),0)</f>
        <v>120</v>
      </c>
      <c r="J719" s="42">
        <f t="shared" si="92"/>
        <v>1350</v>
      </c>
      <c r="K719" s="15" t="str">
        <f t="shared" si="88"/>
        <v>PTO-0104|MAT</v>
      </c>
      <c r="L719" s="15">
        <f>COUNTIFS($K$2:K719,K719)</f>
        <v>7</v>
      </c>
      <c r="M719" s="15" t="str">
        <f t="shared" si="89"/>
        <v>PTO-0104|MAT|7</v>
      </c>
      <c r="N719" s="47">
        <f>IFERROR(VLOOKUP(A719,PARTIDAS!A:F,6,FALSE()),0)</f>
        <v>1</v>
      </c>
      <c r="O719" s="247">
        <f t="shared" si="90"/>
        <v>11.25</v>
      </c>
      <c r="P719" s="247">
        <f>+_xlfn.XLOOKUP(A719,PPTO_GENERADOR!Q:Q,PPTO_GENERADOR!E:E,"-",0)</f>
        <v>10</v>
      </c>
      <c r="Q719" s="247">
        <f t="shared" si="91"/>
        <v>112.5</v>
      </c>
      <c r="R719" s="259">
        <f>+_xlfn.XLOOKUP(A719,PPTO_GENERADOR!$Q:$Q,PPTO_GENERADOR!A:A,"-",0)</f>
        <v>1.04</v>
      </c>
    </row>
    <row r="720" spans="1:18" ht="15" customHeight="1" x14ac:dyDescent="0.35">
      <c r="A720" s="38" t="s">
        <v>29</v>
      </c>
      <c r="B720" s="38" t="s">
        <v>2774</v>
      </c>
      <c r="C720" s="38" t="s">
        <v>2775</v>
      </c>
      <c r="D720" s="38" t="s">
        <v>1030</v>
      </c>
      <c r="E720" s="44" t="str">
        <f>IFERROR(VLOOKUP(D720,MATERIALES!A:B,2,FALSE()),"?")</f>
        <v>Rollo Concertina</v>
      </c>
      <c r="F720" s="44" t="str">
        <f>IFERROR(VLOOKUP(D720,MATERIALES!A:C,3,FALSE()),"?")</f>
        <v>rol</v>
      </c>
      <c r="G720" s="45">
        <v>0.2</v>
      </c>
      <c r="H720" s="46">
        <v>0</v>
      </c>
      <c r="I720" s="47">
        <f>IFERROR(VLOOKUP(D720,MATERIALES!A:D,4,FALSE()),0)</f>
        <v>41322.314049586799</v>
      </c>
      <c r="J720" s="42">
        <f t="shared" si="92"/>
        <v>8264.4628099173606</v>
      </c>
      <c r="K720" s="15" t="str">
        <f t="shared" si="88"/>
        <v>PTO-0104|MAT</v>
      </c>
      <c r="L720" s="15">
        <f>COUNTIFS($K$2:K720,K720)</f>
        <v>8</v>
      </c>
      <c r="M720" s="15" t="str">
        <f t="shared" si="89"/>
        <v>PTO-0104|MAT|8</v>
      </c>
      <c r="N720" s="47">
        <f>IFERROR(VLOOKUP(A720,PARTIDAS!A:F,6,FALSE()),0)</f>
        <v>1</v>
      </c>
      <c r="O720" s="247">
        <f t="shared" si="90"/>
        <v>0.2</v>
      </c>
      <c r="P720" s="247">
        <f>+_xlfn.XLOOKUP(A720,PPTO_GENERADOR!Q:Q,PPTO_GENERADOR!E:E,"-",0)</f>
        <v>10</v>
      </c>
      <c r="Q720" s="247">
        <f t="shared" si="91"/>
        <v>2</v>
      </c>
      <c r="R720" s="259">
        <f>+_xlfn.XLOOKUP(A720,PPTO_GENERADOR!$Q:$Q,PPTO_GENERADOR!A:A,"-",0)</f>
        <v>1.04</v>
      </c>
    </row>
    <row r="721" spans="1:18" ht="15" customHeight="1" x14ac:dyDescent="0.35">
      <c r="A721" s="38" t="s">
        <v>29</v>
      </c>
      <c r="B721" s="38" t="s">
        <v>2776</v>
      </c>
      <c r="C721" s="38" t="s">
        <v>2777</v>
      </c>
      <c r="D721" s="38" t="s">
        <v>1577</v>
      </c>
      <c r="E721" s="44" t="str">
        <f>IFERROR(VLOOKUP(D721,MANO_DE_OBRA!A:B,2,FALSE()),"?")</f>
        <v>AYUDANTE</v>
      </c>
      <c r="F721" s="44" t="s">
        <v>2778</v>
      </c>
      <c r="G721" s="45">
        <v>0.5</v>
      </c>
      <c r="H721" s="46">
        <v>0</v>
      </c>
      <c r="I721" s="47">
        <f>IFERROR(VLOOKUP(D721,MANO_DE_OBRA!A:C,3,FALSE()),0)</f>
        <v>60860.580776572002</v>
      </c>
      <c r="J721" s="42">
        <f>G721*I721</f>
        <v>30430.290388286001</v>
      </c>
      <c r="K721" s="15" t="str">
        <f t="shared" si="88"/>
        <v>PTO-0104|MO</v>
      </c>
      <c r="L721" s="15">
        <f>COUNTIFS($K$2:K721,K721)</f>
        <v>1</v>
      </c>
      <c r="M721" s="15" t="str">
        <f t="shared" si="89"/>
        <v>PTO-0104|MO|1</v>
      </c>
      <c r="N721" s="47">
        <f>IFERROR(VLOOKUP(A721,PARTIDAS!A:F,6,FALSE()),0)</f>
        <v>1</v>
      </c>
      <c r="O721" s="247">
        <f t="shared" si="90"/>
        <v>0.5</v>
      </c>
      <c r="P721" s="247">
        <f>+_xlfn.XLOOKUP(A721,PPTO_GENERADOR!Q:Q,PPTO_GENERADOR!E:E,"-",0)</f>
        <v>10</v>
      </c>
      <c r="Q721" s="247">
        <f t="shared" si="91"/>
        <v>5</v>
      </c>
      <c r="R721" s="259">
        <f>+_xlfn.XLOOKUP(A721,PPTO_GENERADOR!$Q:$Q,PPTO_GENERADOR!A:A,"-",0)</f>
        <v>1.04</v>
      </c>
    </row>
    <row r="722" spans="1:18" ht="15" customHeight="1" x14ac:dyDescent="0.35">
      <c r="A722" s="38" t="s">
        <v>29</v>
      </c>
      <c r="B722" s="38" t="s">
        <v>2776</v>
      </c>
      <c r="C722" s="38" t="s">
        <v>2777</v>
      </c>
      <c r="D722" s="237" t="s">
        <v>1574</v>
      </c>
      <c r="E722" s="44" t="str">
        <f>IFERROR(VLOOKUP(D722,MANO_DE_OBRA!A:B,2,FALSE()),"?")</f>
        <v>MEDIO OFICIAL</v>
      </c>
      <c r="F722" s="44" t="s">
        <v>2778</v>
      </c>
      <c r="G722" s="45">
        <v>0.5</v>
      </c>
      <c r="H722" s="46">
        <v>0</v>
      </c>
      <c r="I722" s="47">
        <f>IFERROR(VLOOKUP(D722,MANO_DE_OBRA!A:C,3,FALSE()),0)</f>
        <v>65493.071636572</v>
      </c>
      <c r="J722" s="42">
        <f>G722*I722</f>
        <v>32746.535818286</v>
      </c>
      <c r="K722" s="15" t="str">
        <f t="shared" si="88"/>
        <v>PTO-0104|MO</v>
      </c>
      <c r="L722" s="15">
        <f>COUNTIFS($K$2:K722,K722)</f>
        <v>2</v>
      </c>
      <c r="M722" s="15" t="str">
        <f t="shared" si="89"/>
        <v>PTO-0104|MO|2</v>
      </c>
      <c r="N722" s="47">
        <f>IFERROR(VLOOKUP(A722,PARTIDAS!A:F,6,FALSE()),0)</f>
        <v>1</v>
      </c>
      <c r="O722" s="247">
        <f t="shared" si="90"/>
        <v>0.5</v>
      </c>
      <c r="P722" s="247">
        <f>+_xlfn.XLOOKUP(A722,PPTO_GENERADOR!Q:Q,PPTO_GENERADOR!E:E,"-",0)</f>
        <v>10</v>
      </c>
      <c r="Q722" s="247">
        <f t="shared" si="91"/>
        <v>5</v>
      </c>
      <c r="R722" s="259">
        <f>+_xlfn.XLOOKUP(A722,PPTO_GENERADOR!$Q:$Q,PPTO_GENERADOR!A:A,"-",0)</f>
        <v>1.04</v>
      </c>
    </row>
    <row r="723" spans="1:18" ht="15" customHeight="1" x14ac:dyDescent="0.35">
      <c r="A723" s="38" t="s">
        <v>29</v>
      </c>
      <c r="B723" s="38" t="s">
        <v>2776</v>
      </c>
      <c r="C723" s="38" t="s">
        <v>2777</v>
      </c>
      <c r="D723" s="237" t="s">
        <v>1571</v>
      </c>
      <c r="E723" s="44" t="str">
        <f>IFERROR(VLOOKUP(D723,MANO_DE_OBRA!A:B,2,FALSE()),"?")</f>
        <v>OFICIAL</v>
      </c>
      <c r="F723" s="44" t="s">
        <v>2778</v>
      </c>
      <c r="G723" s="45">
        <v>0.5</v>
      </c>
      <c r="H723" s="46">
        <v>0</v>
      </c>
      <c r="I723" s="47">
        <f>IFERROR(VLOOKUP(D723,MANO_DE_OBRA!A:C,3,FALSE()),0)</f>
        <v>76955.079706571996</v>
      </c>
      <c r="J723" s="42">
        <f>G723*I723</f>
        <v>38477.539853285998</v>
      </c>
      <c r="K723" s="15" t="str">
        <f t="shared" si="88"/>
        <v>PTO-0104|MO</v>
      </c>
      <c r="L723" s="15">
        <f>COUNTIFS($K$2:K723,K723)</f>
        <v>3</v>
      </c>
      <c r="M723" s="15" t="str">
        <f t="shared" si="89"/>
        <v>PTO-0104|MO|3</v>
      </c>
      <c r="N723" s="47">
        <f>IFERROR(VLOOKUP(A723,PARTIDAS!A:F,6,FALSE()),0)</f>
        <v>1</v>
      </c>
      <c r="O723" s="247">
        <f t="shared" si="90"/>
        <v>0.5</v>
      </c>
      <c r="P723" s="247">
        <f>+_xlfn.XLOOKUP(A723,PPTO_GENERADOR!Q:Q,PPTO_GENERADOR!E:E,"-",0)</f>
        <v>10</v>
      </c>
      <c r="Q723" s="247">
        <f t="shared" si="91"/>
        <v>5</v>
      </c>
      <c r="R723" s="259">
        <f>+_xlfn.XLOOKUP(A723,PPTO_GENERADOR!$Q:$Q,PPTO_GENERADOR!A:A,"-",0)</f>
        <v>1.04</v>
      </c>
    </row>
    <row r="724" spans="1:18" ht="15" customHeight="1" x14ac:dyDescent="0.35">
      <c r="A724" s="38" t="s">
        <v>31</v>
      </c>
      <c r="B724" s="38" t="s">
        <v>2773</v>
      </c>
      <c r="C724" s="38"/>
      <c r="D724" s="38" t="s">
        <v>1761</v>
      </c>
      <c r="E724" s="44" t="str">
        <f>IFERROR(VLOOKUP(D724,EQUIPOS!A:B,2,FALSE()),"?")</f>
        <v>Herramientas menores y consumibles - Obrador, pañol y ducha.</v>
      </c>
      <c r="F724" s="44"/>
      <c r="G724" s="45">
        <v>1</v>
      </c>
      <c r="H724" s="46">
        <v>0</v>
      </c>
      <c r="I724" s="47">
        <f>IFERROR(VLOOKUP(D724,EQUIPOS!A:F,6,FALSE()),0)</f>
        <v>108806.813322348</v>
      </c>
      <c r="J724" s="42">
        <f>G724*I724</f>
        <v>108806.813322348</v>
      </c>
      <c r="K724" s="15" t="str">
        <f t="shared" si="88"/>
        <v>PTO-0105|EQ</v>
      </c>
      <c r="L724" s="15">
        <f>COUNTIFS($K$2:K724,K724)</f>
        <v>1</v>
      </c>
      <c r="M724" s="15" t="str">
        <f t="shared" si="89"/>
        <v>PTO-0105|EQ|1</v>
      </c>
      <c r="N724" s="47">
        <f>IFERROR(VLOOKUP(A724,PARTIDAS!A:F,6,FALSE()),0)</f>
        <v>1</v>
      </c>
      <c r="O724" s="247">
        <f t="shared" si="90"/>
        <v>1</v>
      </c>
      <c r="P724" s="247">
        <f>+_xlfn.XLOOKUP(A724,PPTO_GENERADOR!Q:Q,PPTO_GENERADOR!E:E,"-",0)</f>
        <v>1</v>
      </c>
      <c r="Q724" s="247">
        <f t="shared" si="91"/>
        <v>1</v>
      </c>
      <c r="R724" s="259">
        <f>+_xlfn.XLOOKUP(A724,PPTO_GENERADOR!$Q:$Q,PPTO_GENERADOR!A:A,"-",0)</f>
        <v>1.05</v>
      </c>
    </row>
    <row r="725" spans="1:18" ht="15" customHeight="1" x14ac:dyDescent="0.35">
      <c r="A725" s="38" t="s">
        <v>31</v>
      </c>
      <c r="B725" s="38" t="s">
        <v>2774</v>
      </c>
      <c r="C725" s="38" t="s">
        <v>2779</v>
      </c>
      <c r="D725" s="38" t="s">
        <v>1045</v>
      </c>
      <c r="E725" s="44" t="str">
        <f>IFERROR(VLOOKUP(D725,MATERIALES!A:B,2,FALSE()),"?")</f>
        <v xml:space="preserve">Materiales varios </v>
      </c>
      <c r="F725" s="44" t="str">
        <f>IFERROR(VLOOKUP(D725,MATERIALES!A:C,3,FALSE()),"?")</f>
        <v>gl</v>
      </c>
      <c r="G725" s="45">
        <v>200000</v>
      </c>
      <c r="H725" s="46">
        <v>0</v>
      </c>
      <c r="I725" s="47">
        <f>IFERROR(VLOOKUP(D725,MATERIALES!A:D,4,FALSE()),0)</f>
        <v>1</v>
      </c>
      <c r="J725" s="42">
        <f t="shared" ref="J725:J740" si="93">G725*I725*(1+H725)</f>
        <v>200000</v>
      </c>
      <c r="K725" s="15" t="str">
        <f t="shared" si="88"/>
        <v>PTO-0105|MAT</v>
      </c>
      <c r="L725" s="15">
        <f>COUNTIFS($K$2:K725,K725)</f>
        <v>1</v>
      </c>
      <c r="M725" s="15" t="str">
        <f t="shared" si="89"/>
        <v>PTO-0105|MAT|1</v>
      </c>
      <c r="N725" s="47">
        <f>IFERROR(VLOOKUP(A725,PARTIDAS!A:F,6,FALSE()),0)</f>
        <v>1</v>
      </c>
      <c r="O725" s="247">
        <f t="shared" si="90"/>
        <v>200000</v>
      </c>
      <c r="P725" s="247">
        <f>+_xlfn.XLOOKUP(A725,PPTO_GENERADOR!Q:Q,PPTO_GENERADOR!E:E,"-",0)</f>
        <v>1</v>
      </c>
      <c r="Q725" s="247">
        <f t="shared" si="91"/>
        <v>200000</v>
      </c>
      <c r="R725" s="259">
        <f>+_xlfn.XLOOKUP(A725,PPTO_GENERADOR!$Q:$Q,PPTO_GENERADOR!A:A,"-",0)</f>
        <v>1.05</v>
      </c>
    </row>
    <row r="726" spans="1:18" ht="15" customHeight="1" x14ac:dyDescent="0.35">
      <c r="A726" s="38" t="s">
        <v>31</v>
      </c>
      <c r="B726" s="38" t="s">
        <v>2774</v>
      </c>
      <c r="C726" s="38" t="s">
        <v>2775</v>
      </c>
      <c r="D726" s="38" t="s">
        <v>1032</v>
      </c>
      <c r="E726" s="44" t="str">
        <f>IFERROR(VLOOKUP(D726,MATERIALES!A:B,2,FALSE()),"?")</f>
        <v>Chapa acanalada C25 - Reutilizado (estimado 3 usos)</v>
      </c>
      <c r="F726" s="44" t="str">
        <f>IFERROR(VLOOKUP(D726,MATERIALES!A:C,3,FALSE()),"?")</f>
        <v>m2</v>
      </c>
      <c r="G726" s="45">
        <v>35</v>
      </c>
      <c r="H726" s="46">
        <v>0</v>
      </c>
      <c r="I726" s="47">
        <f>IFERROR(VLOOKUP(D726,MATERIALES!A:D,4,FALSE()),0)</f>
        <v>3389.1900826446299</v>
      </c>
      <c r="J726" s="42">
        <f t="shared" si="93"/>
        <v>118621.65289256205</v>
      </c>
      <c r="K726" s="15" t="str">
        <f t="shared" si="88"/>
        <v>PTO-0105|MAT</v>
      </c>
      <c r="L726" s="15">
        <f>COUNTIFS($K$2:K726,K726)</f>
        <v>2</v>
      </c>
      <c r="M726" s="15" t="str">
        <f t="shared" si="89"/>
        <v>PTO-0105|MAT|2</v>
      </c>
      <c r="N726" s="47">
        <f>IFERROR(VLOOKUP(A726,PARTIDAS!A:F,6,FALSE()),0)</f>
        <v>1</v>
      </c>
      <c r="O726" s="247">
        <f t="shared" si="90"/>
        <v>35</v>
      </c>
      <c r="P726" s="247">
        <f>+_xlfn.XLOOKUP(A726,PPTO_GENERADOR!Q:Q,PPTO_GENERADOR!E:E,"-",0)</f>
        <v>1</v>
      </c>
      <c r="Q726" s="247">
        <f t="shared" si="91"/>
        <v>35</v>
      </c>
      <c r="R726" s="259">
        <f>+_xlfn.XLOOKUP(A726,PPTO_GENERADOR!$Q:$Q,PPTO_GENERADOR!A:A,"-",0)</f>
        <v>1.05</v>
      </c>
    </row>
    <row r="727" spans="1:18" ht="15" customHeight="1" x14ac:dyDescent="0.35">
      <c r="A727" s="38" t="s">
        <v>31</v>
      </c>
      <c r="B727" s="38" t="s">
        <v>2774</v>
      </c>
      <c r="C727" s="38" t="s">
        <v>2775</v>
      </c>
      <c r="D727" s="38" t="s">
        <v>1035</v>
      </c>
      <c r="E727" s="44" t="str">
        <f>IFERROR(VLOOKUP(D727,MATERIALES!A:B,2,FALSE()),"?")</f>
        <v>Fenolico 1,22 x 2,44 - Reutilizado (estimado 3 usos)</v>
      </c>
      <c r="F727" s="44" t="str">
        <f>IFERROR(VLOOKUP(D727,MATERIALES!A:C,3,FALSE()),"?")</f>
        <v>u</v>
      </c>
      <c r="G727" s="45">
        <v>33</v>
      </c>
      <c r="H727" s="46">
        <v>0</v>
      </c>
      <c r="I727" s="47">
        <f>IFERROR(VLOOKUP(D727,MATERIALES!A:D,4,FALSE()),0)</f>
        <v>8774.2266666666692</v>
      </c>
      <c r="J727" s="42">
        <f t="shared" si="93"/>
        <v>289549.4800000001</v>
      </c>
      <c r="K727" s="15" t="str">
        <f t="shared" si="88"/>
        <v>PTO-0105|MAT</v>
      </c>
      <c r="L727" s="15">
        <f>COUNTIFS($K$2:K727,K727)</f>
        <v>3</v>
      </c>
      <c r="M727" s="15" t="str">
        <f t="shared" si="89"/>
        <v>PTO-0105|MAT|3</v>
      </c>
      <c r="N727" s="47">
        <f>IFERROR(VLOOKUP(A727,PARTIDAS!A:F,6,FALSE()),0)</f>
        <v>1</v>
      </c>
      <c r="O727" s="247">
        <f t="shared" si="90"/>
        <v>33</v>
      </c>
      <c r="P727" s="247">
        <f>+_xlfn.XLOOKUP(A727,PPTO_GENERADOR!Q:Q,PPTO_GENERADOR!E:E,"-",0)</f>
        <v>1</v>
      </c>
      <c r="Q727" s="247">
        <f t="shared" si="91"/>
        <v>33</v>
      </c>
      <c r="R727" s="259">
        <f>+_xlfn.XLOOKUP(A727,PPTO_GENERADOR!$Q:$Q,PPTO_GENERADOR!A:A,"-",0)</f>
        <v>1.05</v>
      </c>
    </row>
    <row r="728" spans="1:18" ht="15" customHeight="1" x14ac:dyDescent="0.35">
      <c r="A728" s="38" t="s">
        <v>31</v>
      </c>
      <c r="B728" s="38" t="s">
        <v>2774</v>
      </c>
      <c r="C728" s="38" t="s">
        <v>2775</v>
      </c>
      <c r="D728" s="38" t="s">
        <v>1037</v>
      </c>
      <c r="E728" s="44" t="str">
        <f>IFERROR(VLOOKUP(D728,MATERIALES!A:B,2,FALSE()),"?")</f>
        <v>Puntales 1 x 4 x 3,7 - Reutilizado (estimado 3 usos)</v>
      </c>
      <c r="F728" s="44" t="str">
        <f>IFERROR(VLOOKUP(D728,MATERIALES!A:C,3,FALSE()),"?")</f>
        <v>u</v>
      </c>
      <c r="G728" s="45">
        <v>80</v>
      </c>
      <c r="H728" s="46">
        <v>0</v>
      </c>
      <c r="I728" s="47">
        <f>IFERROR(VLOOKUP(D728,MATERIALES!A:D,4,FALSE()),0)</f>
        <v>647.31600000000003</v>
      </c>
      <c r="J728" s="42">
        <f t="shared" si="93"/>
        <v>51785.279999999999</v>
      </c>
      <c r="K728" s="15" t="str">
        <f t="shared" si="88"/>
        <v>PTO-0105|MAT</v>
      </c>
      <c r="L728" s="15">
        <f>COUNTIFS($K$2:K728,K728)</f>
        <v>4</v>
      </c>
      <c r="M728" s="15" t="str">
        <f t="shared" si="89"/>
        <v>PTO-0105|MAT|4</v>
      </c>
      <c r="N728" s="47">
        <f>IFERROR(VLOOKUP(A728,PARTIDAS!A:F,6,FALSE()),0)</f>
        <v>1</v>
      </c>
      <c r="O728" s="247">
        <f t="shared" si="90"/>
        <v>80</v>
      </c>
      <c r="P728" s="247">
        <f>+_xlfn.XLOOKUP(A728,PPTO_GENERADOR!Q:Q,PPTO_GENERADOR!E:E,"-",0)</f>
        <v>1</v>
      </c>
      <c r="Q728" s="247">
        <f t="shared" si="91"/>
        <v>80</v>
      </c>
      <c r="R728" s="259">
        <f>+_xlfn.XLOOKUP(A728,PPTO_GENERADOR!$Q:$Q,PPTO_GENERADOR!A:A,"-",0)</f>
        <v>1.05</v>
      </c>
    </row>
    <row r="729" spans="1:18" ht="15" customHeight="1" x14ac:dyDescent="0.35">
      <c r="A729" s="38" t="s">
        <v>31</v>
      </c>
      <c r="B729" s="38" t="s">
        <v>2774</v>
      </c>
      <c r="C729" s="38" t="s">
        <v>2775</v>
      </c>
      <c r="D729" s="38" t="s">
        <v>1039</v>
      </c>
      <c r="E729" s="44" t="str">
        <f>IFERROR(VLOOKUP(D729,MATERIALES!A:B,2,FALSE()),"?")</f>
        <v>Puntales 3 x 3 x 3,7 - Reutilizado (estimado 3 usos)</v>
      </c>
      <c r="F729" s="44" t="str">
        <f>IFERROR(VLOOKUP(D729,MATERIALES!A:C,3,FALSE()),"?")</f>
        <v>u</v>
      </c>
      <c r="G729" s="45">
        <v>40</v>
      </c>
      <c r="H729" s="46">
        <v>0</v>
      </c>
      <c r="I729" s="47">
        <f>IFERROR(VLOOKUP(D729,MATERIALES!A:D,4,FALSE()),0)</f>
        <v>1456.4760000000001</v>
      </c>
      <c r="J729" s="42">
        <f t="shared" si="93"/>
        <v>58259.040000000008</v>
      </c>
      <c r="K729" s="15" t="str">
        <f t="shared" si="88"/>
        <v>PTO-0105|MAT</v>
      </c>
      <c r="L729" s="15">
        <f>COUNTIFS($K$2:K729,K729)</f>
        <v>5</v>
      </c>
      <c r="M729" s="15" t="str">
        <f t="shared" si="89"/>
        <v>PTO-0105|MAT|5</v>
      </c>
      <c r="N729" s="47">
        <f>IFERROR(VLOOKUP(A729,PARTIDAS!A:F,6,FALSE()),0)</f>
        <v>1</v>
      </c>
      <c r="O729" s="247">
        <f t="shared" si="90"/>
        <v>40</v>
      </c>
      <c r="P729" s="247">
        <f>+_xlfn.XLOOKUP(A729,PPTO_GENERADOR!Q:Q,PPTO_GENERADOR!E:E,"-",0)</f>
        <v>1</v>
      </c>
      <c r="Q729" s="247">
        <f t="shared" si="91"/>
        <v>40</v>
      </c>
      <c r="R729" s="259">
        <f>+_xlfn.XLOOKUP(A729,PPTO_GENERADOR!$Q:$Q,PPTO_GENERADOR!A:A,"-",0)</f>
        <v>1.05</v>
      </c>
    </row>
    <row r="730" spans="1:18" ht="15" customHeight="1" x14ac:dyDescent="0.35">
      <c r="A730" s="38" t="s">
        <v>31</v>
      </c>
      <c r="B730" s="38" t="s">
        <v>2774</v>
      </c>
      <c r="C730" s="38" t="s">
        <v>2775</v>
      </c>
      <c r="D730" s="38" t="s">
        <v>1041</v>
      </c>
      <c r="E730" s="44" t="str">
        <f>IFERROR(VLOOKUP(D730,MATERIALES!A:B,2,FALSE()),"?")</f>
        <v xml:space="preserve">Flechas 3 x 6 x 3,7 - Reutilizado (estimado 3 usos) </v>
      </c>
      <c r="F730" s="44" t="str">
        <f>IFERROR(VLOOKUP(D730,MATERIALES!A:C,3,FALSE()),"?")</f>
        <v>u</v>
      </c>
      <c r="G730" s="45">
        <v>20</v>
      </c>
      <c r="H730" s="46">
        <v>0</v>
      </c>
      <c r="I730" s="47">
        <f>IFERROR(VLOOKUP(D730,MATERIALES!A:D,4,FALSE()),0)</f>
        <v>2912.9520000000002</v>
      </c>
      <c r="J730" s="42">
        <f t="shared" si="93"/>
        <v>58259.040000000008</v>
      </c>
      <c r="K730" s="15" t="str">
        <f t="shared" si="88"/>
        <v>PTO-0105|MAT</v>
      </c>
      <c r="L730" s="15">
        <f>COUNTIFS($K$2:K730,K730)</f>
        <v>6</v>
      </c>
      <c r="M730" s="15" t="str">
        <f t="shared" si="89"/>
        <v>PTO-0105|MAT|6</v>
      </c>
      <c r="N730" s="47">
        <f>IFERROR(VLOOKUP(A730,PARTIDAS!A:F,6,FALSE()),0)</f>
        <v>1</v>
      </c>
      <c r="O730" s="247">
        <f t="shared" si="90"/>
        <v>20</v>
      </c>
      <c r="P730" s="247">
        <f>+_xlfn.XLOOKUP(A730,PPTO_GENERADOR!Q:Q,PPTO_GENERADOR!E:E,"-",0)</f>
        <v>1</v>
      </c>
      <c r="Q730" s="247">
        <f t="shared" si="91"/>
        <v>20</v>
      </c>
      <c r="R730" s="259">
        <f>+_xlfn.XLOOKUP(A730,PPTO_GENERADOR!$Q:$Q,PPTO_GENERADOR!A:A,"-",0)</f>
        <v>1.05</v>
      </c>
    </row>
    <row r="731" spans="1:18" ht="15" customHeight="1" x14ac:dyDescent="0.35">
      <c r="A731" s="38" t="s">
        <v>31</v>
      </c>
      <c r="B731" s="38" t="s">
        <v>2774</v>
      </c>
      <c r="C731" s="38" t="s">
        <v>2775</v>
      </c>
      <c r="D731" s="38" t="s">
        <v>1043</v>
      </c>
      <c r="E731" s="44" t="str">
        <f>IFERROR(VLOOKUP(D731,MATERIALES!A:B,2,FALSE()),"?")</f>
        <v xml:space="preserve">Escalera </v>
      </c>
      <c r="F731" s="44" t="str">
        <f>IFERROR(VLOOKUP(D731,MATERIALES!A:C,3,FALSE()),"?")</f>
        <v>gl</v>
      </c>
      <c r="G731" s="45">
        <v>0</v>
      </c>
      <c r="H731" s="46">
        <v>0</v>
      </c>
      <c r="I731" s="47">
        <f>IFERROR(VLOOKUP(D731,MATERIALES!A:D,4,FALSE()),0)</f>
        <v>168303.35999999999</v>
      </c>
      <c r="J731" s="42">
        <f t="shared" si="93"/>
        <v>0</v>
      </c>
      <c r="K731" s="15" t="str">
        <f t="shared" si="88"/>
        <v>PTO-0105|MAT</v>
      </c>
      <c r="L731" s="15">
        <f>COUNTIFS($K$2:K731,K731)</f>
        <v>7</v>
      </c>
      <c r="M731" s="15" t="str">
        <f t="shared" si="89"/>
        <v>PTO-0105|MAT|7</v>
      </c>
      <c r="N731" s="47">
        <f>IFERROR(VLOOKUP(A731,PARTIDAS!A:F,6,FALSE()),0)</f>
        <v>1</v>
      </c>
      <c r="O731" s="247">
        <f t="shared" si="90"/>
        <v>0</v>
      </c>
      <c r="P731" s="247">
        <f>+_xlfn.XLOOKUP(A731,PPTO_GENERADOR!Q:Q,PPTO_GENERADOR!E:E,"-",0)</f>
        <v>1</v>
      </c>
      <c r="Q731" s="247">
        <f t="shared" si="91"/>
        <v>0</v>
      </c>
      <c r="R731" s="259">
        <f>+_xlfn.XLOOKUP(A731,PPTO_GENERADOR!$Q:$Q,PPTO_GENERADOR!A:A,"-",0)</f>
        <v>1.05</v>
      </c>
    </row>
    <row r="732" spans="1:18" ht="15" customHeight="1" x14ac:dyDescent="0.35">
      <c r="A732" s="38" t="s">
        <v>31</v>
      </c>
      <c r="B732" s="38" t="s">
        <v>2774</v>
      </c>
      <c r="C732" s="38" t="s">
        <v>2775</v>
      </c>
      <c r="D732" s="38" t="s">
        <v>1048</v>
      </c>
      <c r="E732" s="44" t="str">
        <f>IFERROR(VLOOKUP(D732,MATERIALES!A:B,2,FALSE()),"?")</f>
        <v xml:space="preserve">Rollo de cable TPR 3 x 2,5 </v>
      </c>
      <c r="F732" s="44" t="str">
        <f>IFERROR(VLOOKUP(D732,MATERIALES!A:C,3,FALSE()),"?")</f>
        <v xml:space="preserve">rol </v>
      </c>
      <c r="G732" s="45">
        <v>1</v>
      </c>
      <c r="H732" s="46">
        <v>0</v>
      </c>
      <c r="I732" s="47">
        <f>IFERROR(VLOOKUP(D732,MATERIALES!A:D,4,FALSE()),0)</f>
        <v>214876.03305785099</v>
      </c>
      <c r="J732" s="42">
        <f t="shared" si="93"/>
        <v>214876.03305785099</v>
      </c>
      <c r="K732" s="15" t="str">
        <f t="shared" si="88"/>
        <v>PTO-0105|MAT</v>
      </c>
      <c r="L732" s="15">
        <f>COUNTIFS($K$2:K732,K732)</f>
        <v>8</v>
      </c>
      <c r="M732" s="15" t="str">
        <f t="shared" si="89"/>
        <v>PTO-0105|MAT|8</v>
      </c>
      <c r="N732" s="47">
        <f>IFERROR(VLOOKUP(A732,PARTIDAS!A:F,6,FALSE()),0)</f>
        <v>1</v>
      </c>
      <c r="O732" s="247">
        <f t="shared" si="90"/>
        <v>1</v>
      </c>
      <c r="P732" s="247">
        <f>+_xlfn.XLOOKUP(A732,PPTO_GENERADOR!Q:Q,PPTO_GENERADOR!E:E,"-",0)</f>
        <v>1</v>
      </c>
      <c r="Q732" s="247">
        <f t="shared" si="91"/>
        <v>1</v>
      </c>
      <c r="R732" s="259">
        <f>+_xlfn.XLOOKUP(A732,PPTO_GENERADOR!$Q:$Q,PPTO_GENERADOR!A:A,"-",0)</f>
        <v>1.05</v>
      </c>
    </row>
    <row r="733" spans="1:18" ht="15" customHeight="1" x14ac:dyDescent="0.35">
      <c r="A733" s="38" t="s">
        <v>31</v>
      </c>
      <c r="B733" s="38" t="s">
        <v>2774</v>
      </c>
      <c r="C733" s="38" t="s">
        <v>2775</v>
      </c>
      <c r="D733" s="38" t="s">
        <v>1051</v>
      </c>
      <c r="E733" s="44" t="str">
        <f>IFERROR(VLOOKUP(D733,MATERIALES!A:B,2,FALSE()),"?")</f>
        <v>Zocalo E27</v>
      </c>
      <c r="F733" s="44" t="str">
        <f>IFERROR(VLOOKUP(D733,MATERIALES!A:C,3,FALSE()),"?")</f>
        <v>u</v>
      </c>
      <c r="G733" s="45">
        <v>10</v>
      </c>
      <c r="H733" s="46">
        <v>0</v>
      </c>
      <c r="I733" s="47">
        <f>IFERROR(VLOOKUP(D733,MATERIALES!A:D,4,FALSE()),0)</f>
        <v>369.83471074380202</v>
      </c>
      <c r="J733" s="42">
        <f t="shared" si="93"/>
        <v>3698.3471074380204</v>
      </c>
      <c r="K733" s="15" t="str">
        <f t="shared" si="88"/>
        <v>PTO-0105|MAT</v>
      </c>
      <c r="L733" s="15">
        <f>COUNTIFS($K$2:K733,K733)</f>
        <v>9</v>
      </c>
      <c r="M733" s="15" t="str">
        <f t="shared" si="89"/>
        <v>PTO-0105|MAT|9</v>
      </c>
      <c r="N733" s="47">
        <f>IFERROR(VLOOKUP(A733,PARTIDAS!A:F,6,FALSE()),0)</f>
        <v>1</v>
      </c>
      <c r="O733" s="247">
        <f t="shared" si="90"/>
        <v>10</v>
      </c>
      <c r="P733" s="247">
        <f>+_xlfn.XLOOKUP(A733,PPTO_GENERADOR!Q:Q,PPTO_GENERADOR!E:E,"-",0)</f>
        <v>1</v>
      </c>
      <c r="Q733" s="247">
        <f t="shared" si="91"/>
        <v>10</v>
      </c>
      <c r="R733" s="259">
        <f>+_xlfn.XLOOKUP(A733,PPTO_GENERADOR!$Q:$Q,PPTO_GENERADOR!A:A,"-",0)</f>
        <v>1.05</v>
      </c>
    </row>
    <row r="734" spans="1:18" ht="15" customHeight="1" x14ac:dyDescent="0.35">
      <c r="A734" s="38" t="s">
        <v>31</v>
      </c>
      <c r="B734" s="38" t="s">
        <v>2774</v>
      </c>
      <c r="C734" s="38" t="s">
        <v>2775</v>
      </c>
      <c r="D734" s="38" t="s">
        <v>1053</v>
      </c>
      <c r="E734" s="44" t="str">
        <f>IFERROR(VLOOKUP(D734,MATERIALES!A:B,2,FALSE()),"?")</f>
        <v>Lampara Led 12 w</v>
      </c>
      <c r="F734" s="44" t="str">
        <f>IFERROR(VLOOKUP(D734,MATERIALES!A:C,3,FALSE()),"?")</f>
        <v>u</v>
      </c>
      <c r="G734" s="45">
        <v>10</v>
      </c>
      <c r="H734" s="46">
        <v>0</v>
      </c>
      <c r="I734" s="47">
        <f>IFERROR(VLOOKUP(D734,MATERIALES!A:D,4,FALSE()),0)</f>
        <v>2363.6363636363599</v>
      </c>
      <c r="J734" s="42">
        <f t="shared" si="93"/>
        <v>23636.3636363636</v>
      </c>
      <c r="K734" s="15" t="str">
        <f t="shared" si="88"/>
        <v>PTO-0105|MAT</v>
      </c>
      <c r="L734" s="15">
        <f>COUNTIFS($K$2:K734,K734)</f>
        <v>10</v>
      </c>
      <c r="M734" s="15" t="str">
        <f t="shared" si="89"/>
        <v>PTO-0105|MAT|10</v>
      </c>
      <c r="N734" s="47">
        <f>IFERROR(VLOOKUP(A734,PARTIDAS!A:F,6,FALSE()),0)</f>
        <v>1</v>
      </c>
      <c r="O734" s="247">
        <f t="shared" si="90"/>
        <v>10</v>
      </c>
      <c r="P734" s="247">
        <f>+_xlfn.XLOOKUP(A734,PPTO_GENERADOR!Q:Q,PPTO_GENERADOR!E:E,"-",0)</f>
        <v>1</v>
      </c>
      <c r="Q734" s="247">
        <f t="shared" si="91"/>
        <v>10</v>
      </c>
      <c r="R734" s="259">
        <f>+_xlfn.XLOOKUP(A734,PPTO_GENERADOR!$Q:$Q,PPTO_GENERADOR!A:A,"-",0)</f>
        <v>1.05</v>
      </c>
    </row>
    <row r="735" spans="1:18" ht="15" customHeight="1" x14ac:dyDescent="0.35">
      <c r="A735" s="38" t="s">
        <v>31</v>
      </c>
      <c r="B735" s="38" t="s">
        <v>2774</v>
      </c>
      <c r="C735" s="38" t="s">
        <v>2775</v>
      </c>
      <c r="D735" s="38" t="s">
        <v>1055</v>
      </c>
      <c r="E735" s="44" t="str">
        <f>IFERROR(VLOOKUP(D735,MATERIALES!A:B,2,FALSE()),"?")</f>
        <v xml:space="preserve">Mat. Elect. (tomas, enchufes, etc.) </v>
      </c>
      <c r="F735" s="44" t="str">
        <f>IFERROR(VLOOKUP(D735,MATERIALES!A:C,3,FALSE()),"?")</f>
        <v>gl</v>
      </c>
      <c r="G735" s="45">
        <v>0.25</v>
      </c>
      <c r="H735" s="46">
        <v>0</v>
      </c>
      <c r="I735" s="47">
        <f>IFERROR(VLOOKUP(D735,MATERIALES!A:D,4,FALSE()),0)</f>
        <v>242210.74380165301</v>
      </c>
      <c r="J735" s="42">
        <f t="shared" si="93"/>
        <v>60552.685950413252</v>
      </c>
      <c r="K735" s="15" t="str">
        <f t="shared" si="88"/>
        <v>PTO-0105|MAT</v>
      </c>
      <c r="L735" s="15">
        <f>COUNTIFS($K$2:K735,K735)</f>
        <v>11</v>
      </c>
      <c r="M735" s="15" t="str">
        <f t="shared" si="89"/>
        <v>PTO-0105|MAT|11</v>
      </c>
      <c r="N735" s="47">
        <f>IFERROR(VLOOKUP(A735,PARTIDAS!A:F,6,FALSE()),0)</f>
        <v>1</v>
      </c>
      <c r="O735" s="247">
        <f t="shared" si="90"/>
        <v>0.25</v>
      </c>
      <c r="P735" s="247">
        <f>+_xlfn.XLOOKUP(A735,PPTO_GENERADOR!Q:Q,PPTO_GENERADOR!E:E,"-",0)</f>
        <v>1</v>
      </c>
      <c r="Q735" s="247">
        <f t="shared" si="91"/>
        <v>0.25</v>
      </c>
      <c r="R735" s="259">
        <f>+_xlfn.XLOOKUP(A735,PPTO_GENERADOR!$Q:$Q,PPTO_GENERADOR!A:A,"-",0)</f>
        <v>1.05</v>
      </c>
    </row>
    <row r="736" spans="1:18" ht="15" customHeight="1" x14ac:dyDescent="0.35">
      <c r="A736" s="38" t="s">
        <v>31</v>
      </c>
      <c r="B736" s="38" t="s">
        <v>2774</v>
      </c>
      <c r="C736" s="38" t="s">
        <v>2775</v>
      </c>
      <c r="D736" s="38" t="s">
        <v>1057</v>
      </c>
      <c r="E736" s="44" t="str">
        <f>IFERROR(VLOOKUP(D736,MATERIALES!A:B,2,FALSE()),"?")</f>
        <v>Materiales Sanit</v>
      </c>
      <c r="F736" s="44" t="str">
        <f>IFERROR(VLOOKUP(D736,MATERIALES!A:C,3,FALSE()),"?")</f>
        <v>gl</v>
      </c>
      <c r="G736" s="45">
        <v>1</v>
      </c>
      <c r="H736" s="46">
        <v>0</v>
      </c>
      <c r="I736" s="47">
        <f>IFERROR(VLOOKUP(D736,MATERIALES!A:D,4,FALSE()),0)</f>
        <v>500000</v>
      </c>
      <c r="J736" s="42">
        <f t="shared" si="93"/>
        <v>500000</v>
      </c>
      <c r="K736" s="15" t="str">
        <f t="shared" si="88"/>
        <v>PTO-0105|MAT</v>
      </c>
      <c r="L736" s="15">
        <f>COUNTIFS($K$2:K736,K736)</f>
        <v>12</v>
      </c>
      <c r="M736" s="15" t="str">
        <f t="shared" si="89"/>
        <v>PTO-0105|MAT|12</v>
      </c>
      <c r="N736" s="47">
        <f>IFERROR(VLOOKUP(A736,PARTIDAS!A:F,6,FALSE()),0)</f>
        <v>1</v>
      </c>
      <c r="O736" s="247">
        <f t="shared" si="90"/>
        <v>1</v>
      </c>
      <c r="P736" s="247">
        <f>+_xlfn.XLOOKUP(A736,PPTO_GENERADOR!Q:Q,PPTO_GENERADOR!E:E,"-",0)</f>
        <v>1</v>
      </c>
      <c r="Q736" s="247">
        <f t="shared" si="91"/>
        <v>1</v>
      </c>
      <c r="R736" s="259">
        <f>+_xlfn.XLOOKUP(A736,PPTO_GENERADOR!$Q:$Q,PPTO_GENERADOR!A:A,"-",0)</f>
        <v>1.05</v>
      </c>
    </row>
    <row r="737" spans="1:18" ht="15" customHeight="1" x14ac:dyDescent="0.35">
      <c r="A737" s="38" t="s">
        <v>31</v>
      </c>
      <c r="B737" s="38" t="s">
        <v>2774</v>
      </c>
      <c r="C737" s="38" t="s">
        <v>2775</v>
      </c>
      <c r="D737" s="38" t="s">
        <v>1060</v>
      </c>
      <c r="E737" s="44" t="str">
        <f>IFERROR(VLOOKUP(D737,MATERIALES!A:B,2,FALSE()),"?")</f>
        <v>Inodoro</v>
      </c>
      <c r="F737" s="44" t="str">
        <f>IFERROR(VLOOKUP(D737,MATERIALES!A:C,3,FALSE()),"?")</f>
        <v>u</v>
      </c>
      <c r="G737" s="45">
        <v>2</v>
      </c>
      <c r="H737" s="46">
        <v>0</v>
      </c>
      <c r="I737" s="47">
        <f>IFERROR(VLOOKUP(D737,MATERIALES!A:D,4,FALSE()),0)</f>
        <v>100000</v>
      </c>
      <c r="J737" s="42">
        <f t="shared" si="93"/>
        <v>200000</v>
      </c>
      <c r="K737" s="15" t="str">
        <f t="shared" si="88"/>
        <v>PTO-0105|MAT</v>
      </c>
      <c r="L737" s="15">
        <f>COUNTIFS($K$2:K737,K737)</f>
        <v>13</v>
      </c>
      <c r="M737" s="15" t="str">
        <f t="shared" si="89"/>
        <v>PTO-0105|MAT|13</v>
      </c>
      <c r="N737" s="47">
        <f>IFERROR(VLOOKUP(A737,PARTIDAS!A:F,6,FALSE()),0)</f>
        <v>1</v>
      </c>
      <c r="O737" s="247">
        <f t="shared" si="90"/>
        <v>2</v>
      </c>
      <c r="P737" s="247">
        <f>+_xlfn.XLOOKUP(A737,PPTO_GENERADOR!Q:Q,PPTO_GENERADOR!E:E,"-",0)</f>
        <v>1</v>
      </c>
      <c r="Q737" s="247">
        <f t="shared" si="91"/>
        <v>2</v>
      </c>
      <c r="R737" s="259">
        <f>+_xlfn.XLOOKUP(A737,PPTO_GENERADOR!$Q:$Q,PPTO_GENERADOR!A:A,"-",0)</f>
        <v>1.05</v>
      </c>
    </row>
    <row r="738" spans="1:18" ht="15" customHeight="1" x14ac:dyDescent="0.35">
      <c r="A738" s="38" t="s">
        <v>31</v>
      </c>
      <c r="B738" s="38" t="s">
        <v>2774</v>
      </c>
      <c r="C738" s="38" t="s">
        <v>2775</v>
      </c>
      <c r="D738" s="38" t="s">
        <v>1062</v>
      </c>
      <c r="E738" s="44" t="str">
        <f>IFERROR(VLOOKUP(D738,MATERIALES!A:B,2,FALSE()),"?")</f>
        <v xml:space="preserve">Mochila plastico </v>
      </c>
      <c r="F738" s="44" t="str">
        <f>IFERROR(VLOOKUP(D738,MATERIALES!A:C,3,FALSE()),"?")</f>
        <v>u</v>
      </c>
      <c r="G738" s="45">
        <v>2</v>
      </c>
      <c r="H738" s="46">
        <v>0</v>
      </c>
      <c r="I738" s="47">
        <f>IFERROR(VLOOKUP(D738,MATERIALES!A:D,4,FALSE()),0)</f>
        <v>25000</v>
      </c>
      <c r="J738" s="42">
        <f t="shared" si="93"/>
        <v>50000</v>
      </c>
      <c r="K738" s="15" t="str">
        <f t="shared" si="88"/>
        <v>PTO-0105|MAT</v>
      </c>
      <c r="L738" s="15">
        <f>COUNTIFS($K$2:K738,K738)</f>
        <v>14</v>
      </c>
      <c r="M738" s="15" t="str">
        <f t="shared" si="89"/>
        <v>PTO-0105|MAT|14</v>
      </c>
      <c r="N738" s="47">
        <f>IFERROR(VLOOKUP(A738,PARTIDAS!A:F,6,FALSE()),0)</f>
        <v>1</v>
      </c>
      <c r="O738" s="247">
        <f t="shared" si="90"/>
        <v>2</v>
      </c>
      <c r="P738" s="247">
        <f>+_xlfn.XLOOKUP(A738,PPTO_GENERADOR!Q:Q,PPTO_GENERADOR!E:E,"-",0)</f>
        <v>1</v>
      </c>
      <c r="Q738" s="247">
        <f t="shared" si="91"/>
        <v>2</v>
      </c>
      <c r="R738" s="259">
        <f>+_xlfn.XLOOKUP(A738,PPTO_GENERADOR!$Q:$Q,PPTO_GENERADOR!A:A,"-",0)</f>
        <v>1.05</v>
      </c>
    </row>
    <row r="739" spans="1:18" ht="15" customHeight="1" x14ac:dyDescent="0.35">
      <c r="A739" s="38" t="s">
        <v>31</v>
      </c>
      <c r="B739" s="38" t="s">
        <v>2774</v>
      </c>
      <c r="C739" s="38" t="s">
        <v>2775</v>
      </c>
      <c r="D739" s="38" t="s">
        <v>1064</v>
      </c>
      <c r="E739" s="44" t="str">
        <f>IFERROR(VLOOKUP(D739,MATERIALES!A:B,2,FALSE()),"?")</f>
        <v xml:space="preserve">Bacha </v>
      </c>
      <c r="F739" s="44" t="str">
        <f>IFERROR(VLOOKUP(D739,MATERIALES!A:C,3,FALSE()),"?")</f>
        <v>u</v>
      </c>
      <c r="G739" s="45">
        <v>2</v>
      </c>
      <c r="H739" s="46">
        <v>0</v>
      </c>
      <c r="I739" s="47">
        <f>IFERROR(VLOOKUP(D739,MATERIALES!A:D,4,FALSE()),0)</f>
        <v>24793.3884297521</v>
      </c>
      <c r="J739" s="42">
        <f t="shared" si="93"/>
        <v>49586.7768595042</v>
      </c>
      <c r="K739" s="15" t="str">
        <f t="shared" si="88"/>
        <v>PTO-0105|MAT</v>
      </c>
      <c r="L739" s="15">
        <f>COUNTIFS($K$2:K739,K739)</f>
        <v>15</v>
      </c>
      <c r="M739" s="15" t="str">
        <f t="shared" si="89"/>
        <v>PTO-0105|MAT|15</v>
      </c>
      <c r="N739" s="47">
        <f>IFERROR(VLOOKUP(A739,PARTIDAS!A:F,6,FALSE()),0)</f>
        <v>1</v>
      </c>
      <c r="O739" s="247">
        <f t="shared" si="90"/>
        <v>2</v>
      </c>
      <c r="P739" s="247">
        <f>+_xlfn.XLOOKUP(A739,PPTO_GENERADOR!Q:Q,PPTO_GENERADOR!E:E,"-",0)</f>
        <v>1</v>
      </c>
      <c r="Q739" s="247">
        <f t="shared" si="91"/>
        <v>2</v>
      </c>
      <c r="R739" s="259">
        <f>+_xlfn.XLOOKUP(A739,PPTO_GENERADOR!$Q:$Q,PPTO_GENERADOR!A:A,"-",0)</f>
        <v>1.05</v>
      </c>
    </row>
    <row r="740" spans="1:18" ht="15" customHeight="1" x14ac:dyDescent="0.35">
      <c r="A740" s="38" t="s">
        <v>31</v>
      </c>
      <c r="B740" s="38" t="s">
        <v>2774</v>
      </c>
      <c r="C740" s="38" t="s">
        <v>2775</v>
      </c>
      <c r="D740" s="38" t="s">
        <v>1066</v>
      </c>
      <c r="E740" s="44" t="str">
        <f>IFERROR(VLOOKUP(D740,MATERIALES!A:B,2,FALSE()),"?")</f>
        <v>Termo electrico 40 lts</v>
      </c>
      <c r="F740" s="44" t="str">
        <f>IFERROR(VLOOKUP(D740,MATERIALES!A:C,3,FALSE()),"?")</f>
        <v>u</v>
      </c>
      <c r="G740" s="45">
        <v>1</v>
      </c>
      <c r="H740" s="46">
        <v>0</v>
      </c>
      <c r="I740" s="47">
        <f>IFERROR(VLOOKUP(D740,MATERIALES!A:D,4,FALSE()),0)</f>
        <v>200000</v>
      </c>
      <c r="J740" s="42">
        <f t="shared" si="93"/>
        <v>200000</v>
      </c>
      <c r="K740" s="15" t="str">
        <f t="shared" si="88"/>
        <v>PTO-0105|MAT</v>
      </c>
      <c r="L740" s="15">
        <f>COUNTIFS($K$2:K740,K740)</f>
        <v>16</v>
      </c>
      <c r="M740" s="15" t="str">
        <f t="shared" si="89"/>
        <v>PTO-0105|MAT|16</v>
      </c>
      <c r="N740" s="47">
        <f>IFERROR(VLOOKUP(A740,PARTIDAS!A:F,6,FALSE()),0)</f>
        <v>1</v>
      </c>
      <c r="O740" s="247">
        <f t="shared" si="90"/>
        <v>1</v>
      </c>
      <c r="P740" s="247">
        <f>+_xlfn.XLOOKUP(A740,PPTO_GENERADOR!Q:Q,PPTO_GENERADOR!E:E,"-",0)</f>
        <v>1</v>
      </c>
      <c r="Q740" s="247">
        <f t="shared" si="91"/>
        <v>1</v>
      </c>
      <c r="R740" s="259">
        <f>+_xlfn.XLOOKUP(A740,PPTO_GENERADOR!$Q:$Q,PPTO_GENERADOR!A:A,"-",0)</f>
        <v>1.05</v>
      </c>
    </row>
    <row r="741" spans="1:18" ht="15" customHeight="1" x14ac:dyDescent="0.35">
      <c r="A741" s="38" t="s">
        <v>31</v>
      </c>
      <c r="B741" s="38" t="s">
        <v>2776</v>
      </c>
      <c r="C741" s="38" t="s">
        <v>2777</v>
      </c>
      <c r="D741" s="38" t="s">
        <v>1577</v>
      </c>
      <c r="E741" s="44" t="str">
        <f>IFERROR(VLOOKUP(D741,MANO_DE_OBRA!A:B,2,FALSE()),"?")</f>
        <v>AYUDANTE</v>
      </c>
      <c r="F741" s="44" t="s">
        <v>2778</v>
      </c>
      <c r="G741" s="45">
        <v>24.5</v>
      </c>
      <c r="H741" s="46">
        <v>0</v>
      </c>
      <c r="I741" s="47">
        <f>IFERROR(VLOOKUP(D741,MANO_DE_OBRA!A:C,3,FALSE()),0)</f>
        <v>60860.580776572002</v>
      </c>
      <c r="J741" s="42">
        <f t="shared" ref="J741:J749" si="94">G741*I741</f>
        <v>1491084.229026014</v>
      </c>
      <c r="K741" s="15" t="str">
        <f t="shared" si="88"/>
        <v>PTO-0105|MO</v>
      </c>
      <c r="L741" s="15">
        <f>COUNTIFS($K$2:K741,K741)</f>
        <v>1</v>
      </c>
      <c r="M741" s="15" t="str">
        <f t="shared" si="89"/>
        <v>PTO-0105|MO|1</v>
      </c>
      <c r="N741" s="47">
        <f>IFERROR(VLOOKUP(A741,PARTIDAS!A:F,6,FALSE()),0)</f>
        <v>1</v>
      </c>
      <c r="O741" s="247">
        <f t="shared" si="90"/>
        <v>24.5</v>
      </c>
      <c r="P741" s="247">
        <f>+_xlfn.XLOOKUP(A741,PPTO_GENERADOR!Q:Q,PPTO_GENERADOR!E:E,"-",0)</f>
        <v>1</v>
      </c>
      <c r="Q741" s="247">
        <f t="shared" si="91"/>
        <v>24.5</v>
      </c>
      <c r="R741" s="259">
        <f>+_xlfn.XLOOKUP(A741,PPTO_GENERADOR!$Q:$Q,PPTO_GENERADOR!A:A,"-",0)</f>
        <v>1.05</v>
      </c>
    </row>
    <row r="742" spans="1:18" ht="15" customHeight="1" x14ac:dyDescent="0.35">
      <c r="A742" s="38" t="s">
        <v>31</v>
      </c>
      <c r="B742" s="38" t="s">
        <v>2776</v>
      </c>
      <c r="C742" s="38" t="s">
        <v>2777</v>
      </c>
      <c r="D742" s="237" t="s">
        <v>1568</v>
      </c>
      <c r="E742" s="44" t="str">
        <f>IFERROR(VLOOKUP(D742,MANO_DE_OBRA!A:B,2,FALSE()),"?")</f>
        <v>ESPECIALIZADO</v>
      </c>
      <c r="F742" s="44" t="s">
        <v>2778</v>
      </c>
      <c r="G742" s="45">
        <v>7</v>
      </c>
      <c r="H742" s="46">
        <v>0</v>
      </c>
      <c r="I742" s="47">
        <f>IFERROR(VLOOKUP(D742,MANO_DE_OBRA!A:C,3,FALSE()),0)</f>
        <v>85927.097156571996</v>
      </c>
      <c r="J742" s="42">
        <f t="shared" si="94"/>
        <v>601489.68009600393</v>
      </c>
      <c r="K742" s="15" t="str">
        <f t="shared" si="88"/>
        <v>PTO-0105|MO</v>
      </c>
      <c r="L742" s="15">
        <f>COUNTIFS($K$2:K742,K742)</f>
        <v>2</v>
      </c>
      <c r="M742" s="15" t="str">
        <f t="shared" si="89"/>
        <v>PTO-0105|MO|2</v>
      </c>
      <c r="N742" s="47">
        <f>IFERROR(VLOOKUP(A742,PARTIDAS!A:F,6,FALSE()),0)</f>
        <v>1</v>
      </c>
      <c r="O742" s="247">
        <f t="shared" si="90"/>
        <v>7</v>
      </c>
      <c r="P742" s="247">
        <f>+_xlfn.XLOOKUP(A742,PPTO_GENERADOR!Q:Q,PPTO_GENERADOR!E:E,"-",0)</f>
        <v>1</v>
      </c>
      <c r="Q742" s="247">
        <f t="shared" si="91"/>
        <v>7</v>
      </c>
      <c r="R742" s="259">
        <f>+_xlfn.XLOOKUP(A742,PPTO_GENERADOR!$Q:$Q,PPTO_GENERADOR!A:A,"-",0)</f>
        <v>1.05</v>
      </c>
    </row>
    <row r="743" spans="1:18" ht="15" customHeight="1" x14ac:dyDescent="0.35">
      <c r="A743" s="38" t="s">
        <v>31</v>
      </c>
      <c r="B743" s="38" t="s">
        <v>2776</v>
      </c>
      <c r="C743" s="38" t="s">
        <v>2777</v>
      </c>
      <c r="D743" s="237" t="s">
        <v>1574</v>
      </c>
      <c r="E743" s="44" t="str">
        <f>IFERROR(VLOOKUP(D743,MANO_DE_OBRA!A:B,2,FALSE()),"?")</f>
        <v>MEDIO OFICIAL</v>
      </c>
      <c r="F743" s="44" t="s">
        <v>2778</v>
      </c>
      <c r="G743" s="45">
        <v>8</v>
      </c>
      <c r="H743" s="46">
        <v>0</v>
      </c>
      <c r="I743" s="47">
        <f>IFERROR(VLOOKUP(D743,MANO_DE_OBRA!A:C,3,FALSE()),0)</f>
        <v>65493.071636572</v>
      </c>
      <c r="J743" s="42">
        <f t="shared" si="94"/>
        <v>523944.573092576</v>
      </c>
      <c r="K743" s="15" t="str">
        <f t="shared" si="88"/>
        <v>PTO-0105|MO</v>
      </c>
      <c r="L743" s="15">
        <f>COUNTIFS($K$2:K743,K743)</f>
        <v>3</v>
      </c>
      <c r="M743" s="15" t="str">
        <f t="shared" si="89"/>
        <v>PTO-0105|MO|3</v>
      </c>
      <c r="N743" s="47">
        <f>IFERROR(VLOOKUP(A743,PARTIDAS!A:F,6,FALSE()),0)</f>
        <v>1</v>
      </c>
      <c r="O743" s="247">
        <f t="shared" si="90"/>
        <v>8</v>
      </c>
      <c r="P743" s="247">
        <f>+_xlfn.XLOOKUP(A743,PPTO_GENERADOR!Q:Q,PPTO_GENERADOR!E:E,"-",0)</f>
        <v>1</v>
      </c>
      <c r="Q743" s="247">
        <f t="shared" si="91"/>
        <v>8</v>
      </c>
      <c r="R743" s="259">
        <f>+_xlfn.XLOOKUP(A743,PPTO_GENERADOR!$Q:$Q,PPTO_GENERADOR!A:A,"-",0)</f>
        <v>1.05</v>
      </c>
    </row>
    <row r="744" spans="1:18" ht="15" customHeight="1" x14ac:dyDescent="0.35">
      <c r="A744" s="38" t="s">
        <v>31</v>
      </c>
      <c r="B744" s="38" t="s">
        <v>2776</v>
      </c>
      <c r="C744" s="38" t="s">
        <v>2777</v>
      </c>
      <c r="D744" s="237" t="s">
        <v>1571</v>
      </c>
      <c r="E744" s="44" t="str">
        <f>IFERROR(VLOOKUP(D744,MANO_DE_OBRA!A:B,2,FALSE()),"?")</f>
        <v>OFICIAL</v>
      </c>
      <c r="F744" s="44" t="s">
        <v>2778</v>
      </c>
      <c r="G744" s="45">
        <v>23.5</v>
      </c>
      <c r="H744" s="46">
        <v>0</v>
      </c>
      <c r="I744" s="47">
        <f>IFERROR(VLOOKUP(D744,MANO_DE_OBRA!A:C,3,FALSE()),0)</f>
        <v>76955.079706571996</v>
      </c>
      <c r="J744" s="42">
        <f t="shared" si="94"/>
        <v>1808444.3731044419</v>
      </c>
      <c r="K744" s="15" t="str">
        <f t="shared" si="88"/>
        <v>PTO-0105|MO</v>
      </c>
      <c r="L744" s="15">
        <f>COUNTIFS($K$2:K744,K744)</f>
        <v>4</v>
      </c>
      <c r="M744" s="15" t="str">
        <f t="shared" si="89"/>
        <v>PTO-0105|MO|4</v>
      </c>
      <c r="N744" s="47">
        <f>IFERROR(VLOOKUP(A744,PARTIDAS!A:F,6,FALSE()),0)</f>
        <v>1</v>
      </c>
      <c r="O744" s="247">
        <f t="shared" si="90"/>
        <v>23.5</v>
      </c>
      <c r="P744" s="247">
        <f>+_xlfn.XLOOKUP(A744,PPTO_GENERADOR!Q:Q,PPTO_GENERADOR!E:E,"-",0)</f>
        <v>1</v>
      </c>
      <c r="Q744" s="247">
        <f t="shared" si="91"/>
        <v>23.5</v>
      </c>
      <c r="R744" s="259">
        <f>+_xlfn.XLOOKUP(A744,PPTO_GENERADOR!$Q:$Q,PPTO_GENERADOR!A:A,"-",0)</f>
        <v>1.05</v>
      </c>
    </row>
    <row r="745" spans="1:18" ht="15" customHeight="1" x14ac:dyDescent="0.35">
      <c r="A745" s="38" t="s">
        <v>31</v>
      </c>
      <c r="B745" s="38" t="s">
        <v>2776</v>
      </c>
      <c r="C745" s="38" t="s">
        <v>2775</v>
      </c>
      <c r="D745" s="38" t="s">
        <v>2230</v>
      </c>
      <c r="E745" s="44" t="str">
        <f>IFERROR(VLOOKUP(D745,SUBCONTRATOS_PRY!A:B,2,FALSE()),"?")</f>
        <v>Flete madera</v>
      </c>
      <c r="F745" s="44" t="s">
        <v>2778</v>
      </c>
      <c r="G745" s="45">
        <v>2</v>
      </c>
      <c r="H745" s="46">
        <v>0</v>
      </c>
      <c r="I745" s="47">
        <f>IFERROR(VLOOKUP(D745,SUBCONTRATOS_PRY!A:D,4,FALSE()),0)</f>
        <v>250000</v>
      </c>
      <c r="J745" s="42">
        <f t="shared" si="94"/>
        <v>500000</v>
      </c>
      <c r="K745" s="15" t="str">
        <f t="shared" si="88"/>
        <v>PTO-0105|MO</v>
      </c>
      <c r="L745" s="15">
        <f>COUNTIFS($K$2:K745,K745)</f>
        <v>5</v>
      </c>
      <c r="M745" s="15" t="str">
        <f t="shared" si="89"/>
        <v>PTO-0105|MO|5</v>
      </c>
      <c r="N745" s="47">
        <f>IFERROR(VLOOKUP(A745,PARTIDAS!A:F,6,FALSE()),0)</f>
        <v>1</v>
      </c>
      <c r="O745" s="247">
        <f t="shared" si="90"/>
        <v>2</v>
      </c>
      <c r="P745" s="247">
        <f>+_xlfn.XLOOKUP(A745,PPTO_GENERADOR!Q:Q,PPTO_GENERADOR!E:E,"-",0)</f>
        <v>1</v>
      </c>
      <c r="Q745" s="247">
        <f t="shared" si="91"/>
        <v>2</v>
      </c>
      <c r="R745" s="259">
        <f>+_xlfn.XLOOKUP(A745,PPTO_GENERADOR!$Q:$Q,PPTO_GENERADOR!A:A,"-",0)</f>
        <v>1.05</v>
      </c>
    </row>
    <row r="746" spans="1:18" ht="15" customHeight="1" x14ac:dyDescent="0.35">
      <c r="A746" s="38" t="s">
        <v>31</v>
      </c>
      <c r="B746" s="38" t="s">
        <v>2776</v>
      </c>
      <c r="C746" s="38" t="s">
        <v>2775</v>
      </c>
      <c r="D746" s="38" t="s">
        <v>2233</v>
      </c>
      <c r="E746" s="44" t="str">
        <f>IFERROR(VLOOKUP(D746,SUBCONTRATOS_PRY!A:B,2,FALSE()),"?")</f>
        <v>Flete retiro</v>
      </c>
      <c r="F746" s="44" t="s">
        <v>2778</v>
      </c>
      <c r="G746" s="45">
        <v>1</v>
      </c>
      <c r="H746" s="46">
        <v>0</v>
      </c>
      <c r="I746" s="47">
        <f>IFERROR(VLOOKUP(D746,SUBCONTRATOS_PRY!A:D,4,FALSE()),0)</f>
        <v>250000</v>
      </c>
      <c r="J746" s="42">
        <f t="shared" si="94"/>
        <v>250000</v>
      </c>
      <c r="K746" s="15" t="str">
        <f t="shared" si="88"/>
        <v>PTO-0105|MO</v>
      </c>
      <c r="L746" s="15">
        <f>COUNTIFS($K$2:K746,K746)</f>
        <v>6</v>
      </c>
      <c r="M746" s="15" t="str">
        <f t="shared" si="89"/>
        <v>PTO-0105|MO|6</v>
      </c>
      <c r="N746" s="47">
        <f>IFERROR(VLOOKUP(A746,PARTIDAS!A:F,6,FALSE()),0)</f>
        <v>1</v>
      </c>
      <c r="O746" s="247">
        <f t="shared" si="90"/>
        <v>1</v>
      </c>
      <c r="P746" s="247">
        <f>+_xlfn.XLOOKUP(A746,PPTO_GENERADOR!Q:Q,PPTO_GENERADOR!E:E,"-",0)</f>
        <v>1</v>
      </c>
      <c r="Q746" s="247">
        <f t="shared" si="91"/>
        <v>1</v>
      </c>
      <c r="R746" s="259">
        <f>+_xlfn.XLOOKUP(A746,PPTO_GENERADOR!$Q:$Q,PPTO_GENERADOR!A:A,"-",0)</f>
        <v>1.05</v>
      </c>
    </row>
    <row r="747" spans="1:18" ht="15" customHeight="1" x14ac:dyDescent="0.35">
      <c r="A747" s="38" t="s">
        <v>34</v>
      </c>
      <c r="B747" s="38" t="s">
        <v>2776</v>
      </c>
      <c r="C747" s="38" t="s">
        <v>2775</v>
      </c>
      <c r="D747" s="38" t="s">
        <v>2401</v>
      </c>
      <c r="E747" s="44" t="str">
        <f>IFERROR(VLOOKUP(D747,SUBCONTRATOS_PRY!A:B,2,FALSE()),"?")</f>
        <v xml:space="preserve">Baño portatil / Ducha </v>
      </c>
      <c r="F747" s="44" t="s">
        <v>2778</v>
      </c>
      <c r="G747" s="45">
        <v>4</v>
      </c>
      <c r="H747" s="46">
        <v>0</v>
      </c>
      <c r="I747" s="47">
        <f>IFERROR(VLOOKUP(D747,SUBCONTRATOS_PRY!A:D,4,FALSE()),0)</f>
        <v>79748.530293941207</v>
      </c>
      <c r="J747" s="42">
        <f t="shared" si="94"/>
        <v>318994.12117576483</v>
      </c>
      <c r="K747" s="15" t="str">
        <f t="shared" si="88"/>
        <v>PTO-0106|MO</v>
      </c>
      <c r="L747" s="15">
        <f>COUNTIFS($K$2:K747,K747)</f>
        <v>1</v>
      </c>
      <c r="M747" s="15" t="str">
        <f t="shared" si="89"/>
        <v>PTO-0106|MO|1</v>
      </c>
      <c r="N747" s="47">
        <f>IFERROR(VLOOKUP(A747,PARTIDAS!A:F,6,FALSE()),0)</f>
        <v>1</v>
      </c>
      <c r="O747" s="247">
        <f t="shared" si="90"/>
        <v>4</v>
      </c>
      <c r="P747" s="247">
        <f>+_xlfn.XLOOKUP(A747,PPTO_GENERADOR!Q:Q,PPTO_GENERADOR!E:E,"-",0)</f>
        <v>4</v>
      </c>
      <c r="Q747" s="247">
        <f t="shared" si="91"/>
        <v>16</v>
      </c>
      <c r="R747" s="259">
        <f>+_xlfn.XLOOKUP(A747,PPTO_GENERADOR!$Q:$Q,PPTO_GENERADOR!A:A,"-",0)</f>
        <v>1.06</v>
      </c>
    </row>
    <row r="748" spans="1:18" ht="15" customHeight="1" x14ac:dyDescent="0.35">
      <c r="A748" s="38" t="s">
        <v>34</v>
      </c>
      <c r="B748" s="38" t="s">
        <v>2776</v>
      </c>
      <c r="C748" s="38" t="s">
        <v>2775</v>
      </c>
      <c r="D748" s="38" t="s">
        <v>2403</v>
      </c>
      <c r="E748" s="44" t="str">
        <f>IFERROR(VLOOKUP(D748,SUBCONTRATOS_PRY!A:B,2,FALSE()),"?")</f>
        <v xml:space="preserve">Traslado flete entrega/ retiro </v>
      </c>
      <c r="F748" s="44" t="s">
        <v>2778</v>
      </c>
      <c r="G748" s="45">
        <v>1</v>
      </c>
      <c r="H748" s="46">
        <v>0</v>
      </c>
      <c r="I748" s="47">
        <f>IFERROR(VLOOKUP(D748,SUBCONTRATOS_PRY!A:D,4,FALSE()),0)</f>
        <v>13291.421715656899</v>
      </c>
      <c r="J748" s="42">
        <f t="shared" si="94"/>
        <v>13291.421715656899</v>
      </c>
      <c r="K748" s="15" t="str">
        <f t="shared" si="88"/>
        <v>PTO-0106|MO</v>
      </c>
      <c r="L748" s="15">
        <f>COUNTIFS($K$2:K748,K748)</f>
        <v>2</v>
      </c>
      <c r="M748" s="15" t="str">
        <f t="shared" si="89"/>
        <v>PTO-0106|MO|2</v>
      </c>
      <c r="N748" s="47">
        <f>IFERROR(VLOOKUP(A748,PARTIDAS!A:F,6,FALSE()),0)</f>
        <v>1</v>
      </c>
      <c r="O748" s="247">
        <f t="shared" si="90"/>
        <v>1</v>
      </c>
      <c r="P748" s="247">
        <f>+_xlfn.XLOOKUP(A748,PPTO_GENERADOR!Q:Q,PPTO_GENERADOR!E:E,"-",0)</f>
        <v>4</v>
      </c>
      <c r="Q748" s="247">
        <f t="shared" si="91"/>
        <v>4</v>
      </c>
      <c r="R748" s="259">
        <f>+_xlfn.XLOOKUP(A748,PPTO_GENERADOR!$Q:$Q,PPTO_GENERADOR!A:A,"-",0)</f>
        <v>1.06</v>
      </c>
    </row>
    <row r="749" spans="1:18" ht="15" customHeight="1" x14ac:dyDescent="0.35">
      <c r="A749" s="38" t="s">
        <v>36</v>
      </c>
      <c r="B749" s="38" t="s">
        <v>2773</v>
      </c>
      <c r="C749" s="38"/>
      <c r="D749" s="38" t="s">
        <v>1764</v>
      </c>
      <c r="E749" s="44" t="str">
        <f>IFERROR(VLOOKUP(D749,EQUIPOS!A:B,2,FALSE()),"?")</f>
        <v>Herramientas menores y consumibles - Conexión pilar y luz de obra + Tablero de obra</v>
      </c>
      <c r="F749" s="44"/>
      <c r="G749" s="45">
        <v>1</v>
      </c>
      <c r="H749" s="46">
        <v>0</v>
      </c>
      <c r="I749" s="47">
        <f>IFERROR(VLOOKUP(D749,EQUIPOS!A:F,6,FALSE()),0)</f>
        <v>25370.9351203886</v>
      </c>
      <c r="J749" s="42">
        <f t="shared" si="94"/>
        <v>25370.9351203886</v>
      </c>
      <c r="K749" s="15" t="str">
        <f t="shared" si="88"/>
        <v>PTO-0107|EQ</v>
      </c>
      <c r="L749" s="15">
        <f>COUNTIFS($K$2:K749,K749)</f>
        <v>1</v>
      </c>
      <c r="M749" s="15" t="str">
        <f t="shared" si="89"/>
        <v>PTO-0107|EQ|1</v>
      </c>
      <c r="N749" s="47">
        <f>IFERROR(VLOOKUP(A749,PARTIDAS!A:F,6,FALSE()),0)</f>
        <v>1</v>
      </c>
      <c r="O749" s="247">
        <f t="shared" si="90"/>
        <v>1</v>
      </c>
      <c r="P749" s="247">
        <f>+_xlfn.XLOOKUP(A749,PPTO_GENERADOR!Q:Q,PPTO_GENERADOR!E:E,"-",0)</f>
        <v>1</v>
      </c>
      <c r="Q749" s="247">
        <f t="shared" si="91"/>
        <v>1</v>
      </c>
      <c r="R749" s="259">
        <f>+_xlfn.XLOOKUP(A749,PPTO_GENERADOR!$Q:$Q,PPTO_GENERADOR!A:A,"-",0)</f>
        <v>1.07</v>
      </c>
    </row>
    <row r="750" spans="1:18" ht="15" customHeight="1" x14ac:dyDescent="0.35">
      <c r="A750" s="38" t="s">
        <v>36</v>
      </c>
      <c r="B750" s="38" t="s">
        <v>2774</v>
      </c>
      <c r="C750" s="38" t="s">
        <v>2779</v>
      </c>
      <c r="D750" s="38" t="s">
        <v>1068</v>
      </c>
      <c r="E750" s="44" t="str">
        <f>IFERROR(VLOOKUP(D750,MATERIALES!A:B,2,FALSE()),"?")</f>
        <v>Pilar de obra, albañileria</v>
      </c>
      <c r="F750" s="44" t="str">
        <f>IFERROR(VLOOKUP(D750,MATERIALES!A:C,3,FALSE()),"?")</f>
        <v>d</v>
      </c>
      <c r="G750" s="45">
        <v>2</v>
      </c>
      <c r="H750" s="46">
        <v>0</v>
      </c>
      <c r="I750" s="47">
        <f>IFERROR(VLOOKUP(D750,MATERIALES!A:D,4,FALSE()),0)</f>
        <v>25000</v>
      </c>
      <c r="J750" s="42">
        <f>G750*I750*(1+H750)</f>
        <v>50000</v>
      </c>
      <c r="K750" s="15" t="str">
        <f t="shared" si="88"/>
        <v>PTO-0107|MAT</v>
      </c>
      <c r="L750" s="15">
        <f>COUNTIFS($K$2:K750,K750)</f>
        <v>1</v>
      </c>
      <c r="M750" s="15" t="str">
        <f t="shared" si="89"/>
        <v>PTO-0107|MAT|1</v>
      </c>
      <c r="N750" s="47">
        <f>IFERROR(VLOOKUP(A750,PARTIDAS!A:F,6,FALSE()),0)</f>
        <v>1</v>
      </c>
      <c r="O750" s="247">
        <f t="shared" si="90"/>
        <v>2</v>
      </c>
      <c r="P750" s="247">
        <f>+_xlfn.XLOOKUP(A750,PPTO_GENERADOR!Q:Q,PPTO_GENERADOR!E:E,"-",0)</f>
        <v>1</v>
      </c>
      <c r="Q750" s="247">
        <f t="shared" si="91"/>
        <v>2</v>
      </c>
      <c r="R750" s="259">
        <f>+_xlfn.XLOOKUP(A750,PPTO_GENERADOR!$Q:$Q,PPTO_GENERADOR!A:A,"-",0)</f>
        <v>1.07</v>
      </c>
    </row>
    <row r="751" spans="1:18" ht="15" customHeight="1" x14ac:dyDescent="0.35">
      <c r="A751" s="38" t="s">
        <v>36</v>
      </c>
      <c r="B751" s="38" t="s">
        <v>2774</v>
      </c>
      <c r="C751" s="38" t="s">
        <v>2775</v>
      </c>
      <c r="D751" s="38" t="s">
        <v>1072</v>
      </c>
      <c r="E751" s="44" t="str">
        <f>IFERROR(VLOOKUP(D751,MATERIALES!A:B,2,FALSE()),"?")</f>
        <v>Kit medidor pilar Edenor Conextube</v>
      </c>
      <c r="F751" s="44" t="str">
        <f>IFERROR(VLOOKUP(D751,MATERIALES!A:C,3,FALSE()),"?")</f>
        <v>gl</v>
      </c>
      <c r="G751" s="45">
        <v>1</v>
      </c>
      <c r="H751" s="46">
        <v>0</v>
      </c>
      <c r="I751" s="47">
        <f>IFERROR(VLOOKUP(D751,MATERIALES!A:D,4,FALSE()),0)</f>
        <v>150000</v>
      </c>
      <c r="J751" s="42">
        <f>G751*I751*(1+H751)</f>
        <v>150000</v>
      </c>
      <c r="K751" s="15" t="str">
        <f t="shared" si="88"/>
        <v>PTO-0107|MAT</v>
      </c>
      <c r="L751" s="15">
        <f>COUNTIFS($K$2:K751,K751)</f>
        <v>2</v>
      </c>
      <c r="M751" s="15" t="str">
        <f t="shared" si="89"/>
        <v>PTO-0107|MAT|2</v>
      </c>
      <c r="N751" s="47">
        <f>IFERROR(VLOOKUP(A751,PARTIDAS!A:F,6,FALSE()),0)</f>
        <v>1</v>
      </c>
      <c r="O751" s="247">
        <f t="shared" si="90"/>
        <v>1</v>
      </c>
      <c r="P751" s="247">
        <f>+_xlfn.XLOOKUP(A751,PPTO_GENERADOR!Q:Q,PPTO_GENERADOR!E:E,"-",0)</f>
        <v>1</v>
      </c>
      <c r="Q751" s="247">
        <f t="shared" si="91"/>
        <v>1</v>
      </c>
      <c r="R751" s="259">
        <f>+_xlfn.XLOOKUP(A751,PPTO_GENERADOR!$Q:$Q,PPTO_GENERADOR!A:A,"-",0)</f>
        <v>1.07</v>
      </c>
    </row>
    <row r="752" spans="1:18" ht="15" customHeight="1" x14ac:dyDescent="0.35">
      <c r="A752" s="38" t="s">
        <v>36</v>
      </c>
      <c r="B752" s="38" t="s">
        <v>2774</v>
      </c>
      <c r="C752" s="38" t="s">
        <v>2775</v>
      </c>
      <c r="D752" s="38" t="s">
        <v>1074</v>
      </c>
      <c r="E752" s="44" t="str">
        <f>IFERROR(VLOOKUP(D752,MATERIALES!A:B,2,FALSE()),"?")</f>
        <v>Kit jabalina + caja + toma cable</v>
      </c>
      <c r="F752" s="44" t="str">
        <f>IFERROR(VLOOKUP(D752,MATERIALES!A:C,3,FALSE()),"?")</f>
        <v>gl</v>
      </c>
      <c r="G752" s="45">
        <v>1</v>
      </c>
      <c r="H752" s="46">
        <v>0</v>
      </c>
      <c r="I752" s="47">
        <f>IFERROR(VLOOKUP(D752,MATERIALES!A:D,4,FALSE()),0)</f>
        <v>15000</v>
      </c>
      <c r="J752" s="42">
        <f>G752*I752*(1+H752)</f>
        <v>15000</v>
      </c>
      <c r="K752" s="15" t="str">
        <f t="shared" si="88"/>
        <v>PTO-0107|MAT</v>
      </c>
      <c r="L752" s="15">
        <f>COUNTIFS($K$2:K752,K752)</f>
        <v>3</v>
      </c>
      <c r="M752" s="15" t="str">
        <f t="shared" si="89"/>
        <v>PTO-0107|MAT|3</v>
      </c>
      <c r="N752" s="47">
        <f>IFERROR(VLOOKUP(A752,PARTIDAS!A:F,6,FALSE()),0)</f>
        <v>1</v>
      </c>
      <c r="O752" s="247">
        <f t="shared" si="90"/>
        <v>1</v>
      </c>
      <c r="P752" s="247">
        <f>+_xlfn.XLOOKUP(A752,PPTO_GENERADOR!Q:Q,PPTO_GENERADOR!E:E,"-",0)</f>
        <v>1</v>
      </c>
      <c r="Q752" s="247">
        <f t="shared" si="91"/>
        <v>1</v>
      </c>
      <c r="R752" s="259">
        <f>+_xlfn.XLOOKUP(A752,PPTO_GENERADOR!$Q:$Q,PPTO_GENERADOR!A:A,"-",0)</f>
        <v>1.07</v>
      </c>
    </row>
    <row r="753" spans="1:18" ht="15" customHeight="1" x14ac:dyDescent="0.35">
      <c r="A753" s="38" t="s">
        <v>36</v>
      </c>
      <c r="B753" s="38" t="s">
        <v>2774</v>
      </c>
      <c r="C753" s="38" t="s">
        <v>2775</v>
      </c>
      <c r="D753" s="38" t="s">
        <v>1076</v>
      </c>
      <c r="E753" s="44" t="str">
        <f>IFERROR(VLOOKUP(D753,MATERIALES!A:B,2,FALSE()),"?")</f>
        <v>Cable subterraneo 5 x 10 mm2</v>
      </c>
      <c r="F753" s="44" t="str">
        <f>IFERROR(VLOOKUP(D753,MATERIALES!A:C,3,FALSE()),"?")</f>
        <v>mts</v>
      </c>
      <c r="G753" s="45">
        <v>50</v>
      </c>
      <c r="H753" s="46">
        <v>0</v>
      </c>
      <c r="I753" s="47">
        <f>IFERROR(VLOOKUP(D753,MATERIALES!A:D,4,FALSE()),0)</f>
        <v>11500</v>
      </c>
      <c r="J753" s="42">
        <f>G753*I753*(1+H753)</f>
        <v>575000</v>
      </c>
      <c r="K753" s="15" t="str">
        <f t="shared" si="88"/>
        <v>PTO-0107|MAT</v>
      </c>
      <c r="L753" s="15">
        <f>COUNTIFS($K$2:K753,K753)</f>
        <v>4</v>
      </c>
      <c r="M753" s="15" t="str">
        <f t="shared" si="89"/>
        <v>PTO-0107|MAT|4</v>
      </c>
      <c r="N753" s="47">
        <f>IFERROR(VLOOKUP(A753,PARTIDAS!A:F,6,FALSE()),0)</f>
        <v>1</v>
      </c>
      <c r="O753" s="247">
        <f t="shared" si="90"/>
        <v>50</v>
      </c>
      <c r="P753" s="247">
        <f>+_xlfn.XLOOKUP(A753,PPTO_GENERADOR!Q:Q,PPTO_GENERADOR!E:E,"-",0)</f>
        <v>1</v>
      </c>
      <c r="Q753" s="247">
        <f t="shared" si="91"/>
        <v>50</v>
      </c>
      <c r="R753" s="259">
        <f>+_xlfn.XLOOKUP(A753,PPTO_GENERADOR!$Q:$Q,PPTO_GENERADOR!A:A,"-",0)</f>
        <v>1.07</v>
      </c>
    </row>
    <row r="754" spans="1:18" ht="15" customHeight="1" x14ac:dyDescent="0.35">
      <c r="A754" s="38" t="s">
        <v>36</v>
      </c>
      <c r="B754" s="38" t="s">
        <v>2774</v>
      </c>
      <c r="C754" s="38" t="s">
        <v>2775</v>
      </c>
      <c r="D754" s="38" t="s">
        <v>1079</v>
      </c>
      <c r="E754" s="44" t="str">
        <f>IFERROR(VLOOKUP(D754,MATERIALES!A:B,2,FALSE()),"?")</f>
        <v>Tablero de obra</v>
      </c>
      <c r="F754" s="44" t="str">
        <f>IFERROR(VLOOKUP(D754,MATERIALES!A:C,3,FALSE()),"?")</f>
        <v>gl</v>
      </c>
      <c r="G754" s="45">
        <v>1</v>
      </c>
      <c r="H754" s="46">
        <v>0</v>
      </c>
      <c r="I754" s="47">
        <f>IFERROR(VLOOKUP(D754,MATERIALES!A:D,4,FALSE()),0)</f>
        <v>300000</v>
      </c>
      <c r="J754" s="42">
        <f>G754*I754*(1+H754)</f>
        <v>300000</v>
      </c>
      <c r="K754" s="15" t="str">
        <f t="shared" si="88"/>
        <v>PTO-0107|MAT</v>
      </c>
      <c r="L754" s="15">
        <f>COUNTIFS($K$2:K754,K754)</f>
        <v>5</v>
      </c>
      <c r="M754" s="15" t="str">
        <f t="shared" si="89"/>
        <v>PTO-0107|MAT|5</v>
      </c>
      <c r="N754" s="47">
        <f>IFERROR(VLOOKUP(A754,PARTIDAS!A:F,6,FALSE()),0)</f>
        <v>1</v>
      </c>
      <c r="O754" s="247">
        <f t="shared" si="90"/>
        <v>1</v>
      </c>
      <c r="P754" s="247">
        <f>+_xlfn.XLOOKUP(A754,PPTO_GENERADOR!Q:Q,PPTO_GENERADOR!E:E,"-",0)</f>
        <v>1</v>
      </c>
      <c r="Q754" s="247">
        <f t="shared" si="91"/>
        <v>1</v>
      </c>
      <c r="R754" s="259">
        <f>+_xlfn.XLOOKUP(A754,PPTO_GENERADOR!$Q:$Q,PPTO_GENERADOR!A:A,"-",0)</f>
        <v>1.07</v>
      </c>
    </row>
    <row r="755" spans="1:18" ht="15" customHeight="1" x14ac:dyDescent="0.35">
      <c r="A755" s="38" t="s">
        <v>36</v>
      </c>
      <c r="B755" s="38" t="s">
        <v>2776</v>
      </c>
      <c r="C755" s="38" t="s">
        <v>2777</v>
      </c>
      <c r="D755" s="38" t="s">
        <v>1577</v>
      </c>
      <c r="E755" s="44" t="str">
        <f>IFERROR(VLOOKUP(D755,MANO_DE_OBRA!A:B,2,FALSE()),"?")</f>
        <v>AYUDANTE</v>
      </c>
      <c r="F755" s="44" t="s">
        <v>2778</v>
      </c>
      <c r="G755" s="45">
        <v>2</v>
      </c>
      <c r="H755" s="46">
        <v>0</v>
      </c>
      <c r="I755" s="47">
        <f>IFERROR(VLOOKUP(D755,MANO_DE_OBRA!A:C,3,FALSE()),0)</f>
        <v>60860.580776572002</v>
      </c>
      <c r="J755" s="42">
        <f>G755*I755</f>
        <v>121721.161553144</v>
      </c>
      <c r="K755" s="15" t="str">
        <f t="shared" si="88"/>
        <v>PTO-0107|MO</v>
      </c>
      <c r="L755" s="15">
        <f>COUNTIFS($K$2:K755,K755)</f>
        <v>1</v>
      </c>
      <c r="M755" s="15" t="str">
        <f t="shared" si="89"/>
        <v>PTO-0107|MO|1</v>
      </c>
      <c r="N755" s="47">
        <f>IFERROR(VLOOKUP(A755,PARTIDAS!A:F,6,FALSE()),0)</f>
        <v>1</v>
      </c>
      <c r="O755" s="247">
        <f t="shared" si="90"/>
        <v>2</v>
      </c>
      <c r="P755" s="247">
        <f>+_xlfn.XLOOKUP(A755,PPTO_GENERADOR!Q:Q,PPTO_GENERADOR!E:E,"-",0)</f>
        <v>1</v>
      </c>
      <c r="Q755" s="247">
        <f t="shared" si="91"/>
        <v>2</v>
      </c>
      <c r="R755" s="259">
        <f>+_xlfn.XLOOKUP(A755,PPTO_GENERADOR!$Q:$Q,PPTO_GENERADOR!A:A,"-",0)</f>
        <v>1.07</v>
      </c>
    </row>
    <row r="756" spans="1:18" ht="15" customHeight="1" x14ac:dyDescent="0.35">
      <c r="A756" s="38" t="s">
        <v>36</v>
      </c>
      <c r="B756" s="38" t="s">
        <v>2776</v>
      </c>
      <c r="C756" s="38" t="s">
        <v>2777</v>
      </c>
      <c r="D756" s="237" t="s">
        <v>1568</v>
      </c>
      <c r="E756" s="44" t="str">
        <f>IFERROR(VLOOKUP(D756,MANO_DE_OBRA!A:B,2,FALSE()),"?")</f>
        <v>ESPECIALIZADO</v>
      </c>
      <c r="F756" s="44" t="s">
        <v>2778</v>
      </c>
      <c r="G756" s="45">
        <v>2</v>
      </c>
      <c r="H756" s="46">
        <v>0</v>
      </c>
      <c r="I756" s="47">
        <f>IFERROR(VLOOKUP(D756,MANO_DE_OBRA!A:C,3,FALSE()),0)</f>
        <v>85927.097156571996</v>
      </c>
      <c r="J756" s="42">
        <f>G756*I756</f>
        <v>171854.19431314399</v>
      </c>
      <c r="K756" s="15" t="str">
        <f t="shared" si="88"/>
        <v>PTO-0107|MO</v>
      </c>
      <c r="L756" s="15">
        <f>COUNTIFS($K$2:K756,K756)</f>
        <v>2</v>
      </c>
      <c r="M756" s="15" t="str">
        <f t="shared" si="89"/>
        <v>PTO-0107|MO|2</v>
      </c>
      <c r="N756" s="47">
        <f>IFERROR(VLOOKUP(A756,PARTIDAS!A:F,6,FALSE()),0)</f>
        <v>1</v>
      </c>
      <c r="O756" s="247">
        <f t="shared" si="90"/>
        <v>2</v>
      </c>
      <c r="P756" s="247">
        <f>+_xlfn.XLOOKUP(A756,PPTO_GENERADOR!Q:Q,PPTO_GENERADOR!E:E,"-",0)</f>
        <v>1</v>
      </c>
      <c r="Q756" s="247">
        <f t="shared" si="91"/>
        <v>2</v>
      </c>
      <c r="R756" s="259">
        <f>+_xlfn.XLOOKUP(A756,PPTO_GENERADOR!$Q:$Q,PPTO_GENERADOR!A:A,"-",0)</f>
        <v>1.07</v>
      </c>
    </row>
    <row r="757" spans="1:18" ht="15" customHeight="1" x14ac:dyDescent="0.35">
      <c r="A757" s="38" t="s">
        <v>36</v>
      </c>
      <c r="B757" s="38" t="s">
        <v>2776</v>
      </c>
      <c r="C757" s="38" t="s">
        <v>2777</v>
      </c>
      <c r="D757" s="237" t="s">
        <v>1571</v>
      </c>
      <c r="E757" s="44" t="str">
        <f>IFERROR(VLOOKUP(D757,MANO_DE_OBRA!A:B,2,FALSE()),"?")</f>
        <v>OFICIAL</v>
      </c>
      <c r="F757" s="44" t="s">
        <v>2778</v>
      </c>
      <c r="G757" s="45">
        <v>4</v>
      </c>
      <c r="H757" s="46">
        <v>0</v>
      </c>
      <c r="I757" s="47">
        <f>IFERROR(VLOOKUP(D757,MANO_DE_OBRA!A:C,3,FALSE()),0)</f>
        <v>76955.079706571996</v>
      </c>
      <c r="J757" s="42">
        <f>G757*I757</f>
        <v>307820.31882628798</v>
      </c>
      <c r="K757" s="15" t="str">
        <f t="shared" si="88"/>
        <v>PTO-0107|MO</v>
      </c>
      <c r="L757" s="15">
        <f>COUNTIFS($K$2:K757,K757)</f>
        <v>3</v>
      </c>
      <c r="M757" s="15" t="str">
        <f t="shared" si="89"/>
        <v>PTO-0107|MO|3</v>
      </c>
      <c r="N757" s="47">
        <f>IFERROR(VLOOKUP(A757,PARTIDAS!A:F,6,FALSE()),0)</f>
        <v>1</v>
      </c>
      <c r="O757" s="247">
        <f t="shared" si="90"/>
        <v>4</v>
      </c>
      <c r="P757" s="247">
        <f>+_xlfn.XLOOKUP(A757,PPTO_GENERADOR!Q:Q,PPTO_GENERADOR!E:E,"-",0)</f>
        <v>1</v>
      </c>
      <c r="Q757" s="247">
        <f t="shared" si="91"/>
        <v>4</v>
      </c>
      <c r="R757" s="259">
        <f>+_xlfn.XLOOKUP(A757,PPTO_GENERADOR!$Q:$Q,PPTO_GENERADOR!A:A,"-",0)</f>
        <v>1.07</v>
      </c>
    </row>
    <row r="758" spans="1:18" ht="15" customHeight="1" x14ac:dyDescent="0.35">
      <c r="A758" s="38" t="s">
        <v>38</v>
      </c>
      <c r="B758" s="38" t="s">
        <v>2773</v>
      </c>
      <c r="C758" s="38"/>
      <c r="D758" s="38" t="s">
        <v>1767</v>
      </c>
      <c r="E758" s="44" t="str">
        <f>IFERROR(VLOOKUP(D758,EQUIPOS!A:B,2,FALSE()),"?")</f>
        <v>Herramientas menores y consumibles - Conexión agua de obra, tanque + bomba</v>
      </c>
      <c r="F758" s="44"/>
      <c r="G758" s="45">
        <v>1</v>
      </c>
      <c r="H758" s="46">
        <v>0</v>
      </c>
      <c r="I758" s="47">
        <f>IFERROR(VLOOKUP(D758,EQUIPOS!A:F,6,FALSE()),0)</f>
        <v>20050.930611788601</v>
      </c>
      <c r="J758" s="42">
        <f>G758*I758</f>
        <v>20050.930611788601</v>
      </c>
      <c r="K758" s="15" t="str">
        <f t="shared" si="88"/>
        <v>PTO-0108|EQ</v>
      </c>
      <c r="L758" s="15">
        <f>COUNTIFS($K$2:K758,K758)</f>
        <v>1</v>
      </c>
      <c r="M758" s="15" t="str">
        <f t="shared" si="89"/>
        <v>PTO-0108|EQ|1</v>
      </c>
      <c r="N758" s="47">
        <f>IFERROR(VLOOKUP(A758,PARTIDAS!A:F,6,FALSE()),0)</f>
        <v>1</v>
      </c>
      <c r="O758" s="247">
        <f t="shared" si="90"/>
        <v>1</v>
      </c>
      <c r="P758" s="247">
        <f>+_xlfn.XLOOKUP(A758,PPTO_GENERADOR!Q:Q,PPTO_GENERADOR!E:E,"-",0)</f>
        <v>1</v>
      </c>
      <c r="Q758" s="247">
        <f t="shared" si="91"/>
        <v>1</v>
      </c>
      <c r="R758" s="259">
        <f>+_xlfn.XLOOKUP(A758,PPTO_GENERADOR!$Q:$Q,PPTO_GENERADOR!A:A,"-",0)</f>
        <v>1.08</v>
      </c>
    </row>
    <row r="759" spans="1:18" ht="15" customHeight="1" x14ac:dyDescent="0.35">
      <c r="A759" s="38" t="s">
        <v>38</v>
      </c>
      <c r="B759" s="38" t="s">
        <v>2774</v>
      </c>
      <c r="C759" s="38" t="s">
        <v>2775</v>
      </c>
      <c r="D759" s="38" t="s">
        <v>1081</v>
      </c>
      <c r="E759" s="44" t="str">
        <f>IFERROR(VLOOKUP(D759,MATERIALES!A:B,2,FALSE()),"?")</f>
        <v>Tanque de Bombeo 500 lts (reutilizado)</v>
      </c>
      <c r="F759" s="44" t="str">
        <f>IFERROR(VLOOKUP(D759,MATERIALES!A:C,3,FALSE()),"?")</f>
        <v>u</v>
      </c>
      <c r="G759" s="45">
        <v>1</v>
      </c>
      <c r="H759" s="46">
        <v>0</v>
      </c>
      <c r="I759" s="47">
        <f>IFERROR(VLOOKUP(D759,MATERIALES!A:D,4,FALSE()),0)</f>
        <v>150000</v>
      </c>
      <c r="J759" s="42">
        <f t="shared" ref="J759:J766" si="95">G759*I759*(1+H759)</f>
        <v>150000</v>
      </c>
      <c r="K759" s="15" t="str">
        <f t="shared" si="88"/>
        <v>PTO-0108|MAT</v>
      </c>
      <c r="L759" s="15">
        <f>COUNTIFS($K$2:K759,K759)</f>
        <v>1</v>
      </c>
      <c r="M759" s="15" t="str">
        <f t="shared" si="89"/>
        <v>PTO-0108|MAT|1</v>
      </c>
      <c r="N759" s="47">
        <f>IFERROR(VLOOKUP(A759,PARTIDAS!A:F,6,FALSE()),0)</f>
        <v>1</v>
      </c>
      <c r="O759" s="247">
        <f t="shared" si="90"/>
        <v>1</v>
      </c>
      <c r="P759" s="247">
        <f>+_xlfn.XLOOKUP(A759,PPTO_GENERADOR!Q:Q,PPTO_GENERADOR!E:E,"-",0)</f>
        <v>1</v>
      </c>
      <c r="Q759" s="247">
        <f t="shared" si="91"/>
        <v>1</v>
      </c>
      <c r="R759" s="259">
        <f>+_xlfn.XLOOKUP(A759,PPTO_GENERADOR!$Q:$Q,PPTO_GENERADOR!A:A,"-",0)</f>
        <v>1.08</v>
      </c>
    </row>
    <row r="760" spans="1:18" ht="15" customHeight="1" x14ac:dyDescent="0.35">
      <c r="A760" s="38" t="s">
        <v>38</v>
      </c>
      <c r="B760" s="38" t="s">
        <v>2774</v>
      </c>
      <c r="C760" s="38" t="s">
        <v>2775</v>
      </c>
      <c r="D760" s="38" t="s">
        <v>1084</v>
      </c>
      <c r="E760" s="44" t="str">
        <f>IFERROR(VLOOKUP(D760,MATERIALES!A:B,2,FALSE()),"?")</f>
        <v xml:space="preserve">Bomba pres (reutilizada) </v>
      </c>
      <c r="F760" s="44" t="str">
        <f>IFERROR(VLOOKUP(D760,MATERIALES!A:C,3,FALSE()),"?")</f>
        <v>u</v>
      </c>
      <c r="G760" s="45">
        <v>1</v>
      </c>
      <c r="H760" s="46">
        <v>0</v>
      </c>
      <c r="I760" s="47">
        <f>IFERROR(VLOOKUP(D760,MATERIALES!A:D,4,FALSE()),0)</f>
        <v>200000</v>
      </c>
      <c r="J760" s="42">
        <f t="shared" si="95"/>
        <v>200000</v>
      </c>
      <c r="K760" s="15" t="str">
        <f t="shared" si="88"/>
        <v>PTO-0108|MAT</v>
      </c>
      <c r="L760" s="15">
        <f>COUNTIFS($K$2:K760,K760)</f>
        <v>2</v>
      </c>
      <c r="M760" s="15" t="str">
        <f t="shared" si="89"/>
        <v>PTO-0108|MAT|2</v>
      </c>
      <c r="N760" s="47">
        <f>IFERROR(VLOOKUP(A760,PARTIDAS!A:F,6,FALSE()),0)</f>
        <v>1</v>
      </c>
      <c r="O760" s="247">
        <f t="shared" si="90"/>
        <v>1</v>
      </c>
      <c r="P760" s="247">
        <f>+_xlfn.XLOOKUP(A760,PPTO_GENERADOR!Q:Q,PPTO_GENERADOR!E:E,"-",0)</f>
        <v>1</v>
      </c>
      <c r="Q760" s="247">
        <f t="shared" si="91"/>
        <v>1</v>
      </c>
      <c r="R760" s="259">
        <f>+_xlfn.XLOOKUP(A760,PPTO_GENERADOR!$Q:$Q,PPTO_GENERADOR!A:A,"-",0)</f>
        <v>1.08</v>
      </c>
    </row>
    <row r="761" spans="1:18" ht="15" customHeight="1" x14ac:dyDescent="0.35">
      <c r="A761" s="38" t="s">
        <v>38</v>
      </c>
      <c r="B761" s="38" t="s">
        <v>2774</v>
      </c>
      <c r="C761" s="38" t="s">
        <v>2775</v>
      </c>
      <c r="D761" s="38" t="s">
        <v>1086</v>
      </c>
      <c r="E761" s="44" t="str">
        <f>IFERROR(VLOOKUP(D761,MATERIALES!A:B,2,FALSE()),"?")</f>
        <v xml:space="preserve">Flotante mecanico 1" + boya </v>
      </c>
      <c r="F761" s="44" t="str">
        <f>IFERROR(VLOOKUP(D761,MATERIALES!A:C,3,FALSE()),"?")</f>
        <v>u</v>
      </c>
      <c r="G761" s="45">
        <v>1</v>
      </c>
      <c r="H761" s="46">
        <v>0</v>
      </c>
      <c r="I761" s="47">
        <f>IFERROR(VLOOKUP(D761,MATERIALES!A:D,4,FALSE()),0)</f>
        <v>50000</v>
      </c>
      <c r="J761" s="42">
        <f t="shared" si="95"/>
        <v>50000</v>
      </c>
      <c r="K761" s="15" t="str">
        <f t="shared" si="88"/>
        <v>PTO-0108|MAT</v>
      </c>
      <c r="L761" s="15">
        <f>COUNTIFS($K$2:K761,K761)</f>
        <v>3</v>
      </c>
      <c r="M761" s="15" t="str">
        <f t="shared" si="89"/>
        <v>PTO-0108|MAT|3</v>
      </c>
      <c r="N761" s="47">
        <f>IFERROR(VLOOKUP(A761,PARTIDAS!A:F,6,FALSE()),0)</f>
        <v>1</v>
      </c>
      <c r="O761" s="247">
        <f t="shared" si="90"/>
        <v>1</v>
      </c>
      <c r="P761" s="247">
        <f>+_xlfn.XLOOKUP(A761,PPTO_GENERADOR!Q:Q,PPTO_GENERADOR!E:E,"-",0)</f>
        <v>1</v>
      </c>
      <c r="Q761" s="247">
        <f t="shared" si="91"/>
        <v>1</v>
      </c>
      <c r="R761" s="259">
        <f>+_xlfn.XLOOKUP(A761,PPTO_GENERADOR!$Q:$Q,PPTO_GENERADOR!A:A,"-",0)</f>
        <v>1.08</v>
      </c>
    </row>
    <row r="762" spans="1:18" ht="15" customHeight="1" x14ac:dyDescent="0.35">
      <c r="A762" s="38" t="s">
        <v>38</v>
      </c>
      <c r="B762" s="38" t="s">
        <v>2774</v>
      </c>
      <c r="C762" s="38" t="s">
        <v>2775</v>
      </c>
      <c r="D762" s="38" t="s">
        <v>1088</v>
      </c>
      <c r="E762" s="44" t="str">
        <f>IFERROR(VLOOKUP(D762,MATERIALES!A:B,2,FALSE()),"?")</f>
        <v>Flotante automatico</v>
      </c>
      <c r="F762" s="44" t="str">
        <f>IFERROR(VLOOKUP(D762,MATERIALES!A:C,3,FALSE()),"?")</f>
        <v>u</v>
      </c>
      <c r="G762" s="45">
        <v>1</v>
      </c>
      <c r="H762" s="46">
        <v>0</v>
      </c>
      <c r="I762" s="47">
        <f>IFERROR(VLOOKUP(D762,MATERIALES!A:D,4,FALSE()),0)</f>
        <v>10000</v>
      </c>
      <c r="J762" s="42">
        <f t="shared" si="95"/>
        <v>10000</v>
      </c>
      <c r="K762" s="15" t="str">
        <f t="shared" si="88"/>
        <v>PTO-0108|MAT</v>
      </c>
      <c r="L762" s="15">
        <f>COUNTIFS($K$2:K762,K762)</f>
        <v>4</v>
      </c>
      <c r="M762" s="15" t="str">
        <f t="shared" si="89"/>
        <v>PTO-0108|MAT|4</v>
      </c>
      <c r="N762" s="47">
        <f>IFERROR(VLOOKUP(A762,PARTIDAS!A:F,6,FALSE()),0)</f>
        <v>1</v>
      </c>
      <c r="O762" s="247">
        <f t="shared" si="90"/>
        <v>1</v>
      </c>
      <c r="P762" s="247">
        <f>+_xlfn.XLOOKUP(A762,PPTO_GENERADOR!Q:Q,PPTO_GENERADOR!E:E,"-",0)</f>
        <v>1</v>
      </c>
      <c r="Q762" s="247">
        <f t="shared" si="91"/>
        <v>1</v>
      </c>
      <c r="R762" s="259">
        <f>+_xlfn.XLOOKUP(A762,PPTO_GENERADOR!$Q:$Q,PPTO_GENERADOR!A:A,"-",0)</f>
        <v>1.08</v>
      </c>
    </row>
    <row r="763" spans="1:18" ht="15" customHeight="1" x14ac:dyDescent="0.35">
      <c r="A763" s="38" t="s">
        <v>38</v>
      </c>
      <c r="B763" s="38" t="s">
        <v>2774</v>
      </c>
      <c r="C763" s="38" t="s">
        <v>2775</v>
      </c>
      <c r="D763" s="38" t="s">
        <v>1090</v>
      </c>
      <c r="E763" s="44" t="str">
        <f>IFERROR(VLOOKUP(D763,MATERIALES!A:B,2,FALSE()),"?")</f>
        <v>Caño 3/4"</v>
      </c>
      <c r="F763" s="44" t="str">
        <f>IFERROR(VLOOKUP(D763,MATERIALES!A:C,3,FALSE()),"?")</f>
        <v>u</v>
      </c>
      <c r="G763" s="45">
        <v>10</v>
      </c>
      <c r="H763" s="46">
        <v>0</v>
      </c>
      <c r="I763" s="47">
        <f>IFERROR(VLOOKUP(D763,MATERIALES!A:D,4,FALSE()),0)</f>
        <v>10000</v>
      </c>
      <c r="J763" s="42">
        <f t="shared" si="95"/>
        <v>100000</v>
      </c>
      <c r="K763" s="15" t="str">
        <f t="shared" si="88"/>
        <v>PTO-0108|MAT</v>
      </c>
      <c r="L763" s="15">
        <f>COUNTIFS($K$2:K763,K763)</f>
        <v>5</v>
      </c>
      <c r="M763" s="15" t="str">
        <f t="shared" si="89"/>
        <v>PTO-0108|MAT|5</v>
      </c>
      <c r="N763" s="47">
        <f>IFERROR(VLOOKUP(A763,PARTIDAS!A:F,6,FALSE()),0)</f>
        <v>1</v>
      </c>
      <c r="O763" s="247">
        <f t="shared" si="90"/>
        <v>10</v>
      </c>
      <c r="P763" s="247">
        <f>+_xlfn.XLOOKUP(A763,PPTO_GENERADOR!Q:Q,PPTO_GENERADOR!E:E,"-",0)</f>
        <v>1</v>
      </c>
      <c r="Q763" s="247">
        <f t="shared" si="91"/>
        <v>10</v>
      </c>
      <c r="R763" s="259">
        <f>+_xlfn.XLOOKUP(A763,PPTO_GENERADOR!$Q:$Q,PPTO_GENERADOR!A:A,"-",0)</f>
        <v>1.08</v>
      </c>
    </row>
    <row r="764" spans="1:18" ht="15" customHeight="1" x14ac:dyDescent="0.35">
      <c r="A764" s="38" t="s">
        <v>38</v>
      </c>
      <c r="B764" s="38" t="s">
        <v>2774</v>
      </c>
      <c r="C764" s="38" t="s">
        <v>2775</v>
      </c>
      <c r="D764" s="38" t="s">
        <v>1092</v>
      </c>
      <c r="E764" s="44" t="str">
        <f>IFERROR(VLOOKUP(D764,MATERIALES!A:B,2,FALSE()),"?")</f>
        <v>Val. esf doble media union 1"</v>
      </c>
      <c r="F764" s="44" t="str">
        <f>IFERROR(VLOOKUP(D764,MATERIALES!A:C,3,FALSE()),"?")</f>
        <v>u</v>
      </c>
      <c r="G764" s="45">
        <v>3</v>
      </c>
      <c r="H764" s="46">
        <v>0</v>
      </c>
      <c r="I764" s="47">
        <f>IFERROR(VLOOKUP(D764,MATERIALES!A:D,4,FALSE()),0)</f>
        <v>15000</v>
      </c>
      <c r="J764" s="42">
        <f t="shared" si="95"/>
        <v>45000</v>
      </c>
      <c r="K764" s="15" t="str">
        <f t="shared" si="88"/>
        <v>PTO-0108|MAT</v>
      </c>
      <c r="L764" s="15">
        <f>COUNTIFS($K$2:K764,K764)</f>
        <v>6</v>
      </c>
      <c r="M764" s="15" t="str">
        <f t="shared" si="89"/>
        <v>PTO-0108|MAT|6</v>
      </c>
      <c r="N764" s="47">
        <f>IFERROR(VLOOKUP(A764,PARTIDAS!A:F,6,FALSE()),0)</f>
        <v>1</v>
      </c>
      <c r="O764" s="247">
        <f t="shared" si="90"/>
        <v>3</v>
      </c>
      <c r="P764" s="247">
        <f>+_xlfn.XLOOKUP(A764,PPTO_GENERADOR!Q:Q,PPTO_GENERADOR!E:E,"-",0)</f>
        <v>1</v>
      </c>
      <c r="Q764" s="247">
        <f t="shared" si="91"/>
        <v>3</v>
      </c>
      <c r="R764" s="259">
        <f>+_xlfn.XLOOKUP(A764,PPTO_GENERADOR!$Q:$Q,PPTO_GENERADOR!A:A,"-",0)</f>
        <v>1.08</v>
      </c>
    </row>
    <row r="765" spans="1:18" ht="15" customHeight="1" x14ac:dyDescent="0.35">
      <c r="A765" s="38" t="s">
        <v>38</v>
      </c>
      <c r="B765" s="38" t="s">
        <v>2774</v>
      </c>
      <c r="C765" s="38" t="s">
        <v>2775</v>
      </c>
      <c r="D765" s="38" t="s">
        <v>1094</v>
      </c>
      <c r="E765" s="44" t="str">
        <f>IFERROR(VLOOKUP(D765,MATERIALES!A:B,2,FALSE()),"?")</f>
        <v xml:space="preserve">Canilla de pvc </v>
      </c>
      <c r="F765" s="44" t="str">
        <f>IFERROR(VLOOKUP(D765,MATERIALES!A:C,3,FALSE()),"?")</f>
        <v>u</v>
      </c>
      <c r="G765" s="45">
        <v>8</v>
      </c>
      <c r="H765" s="46">
        <v>0</v>
      </c>
      <c r="I765" s="47">
        <f>IFERROR(VLOOKUP(D765,MATERIALES!A:D,4,FALSE()),0)</f>
        <v>2000</v>
      </c>
      <c r="J765" s="42">
        <f t="shared" si="95"/>
        <v>16000</v>
      </c>
      <c r="K765" s="15" t="str">
        <f t="shared" si="88"/>
        <v>PTO-0108|MAT</v>
      </c>
      <c r="L765" s="15">
        <f>COUNTIFS($K$2:K765,K765)</f>
        <v>7</v>
      </c>
      <c r="M765" s="15" t="str">
        <f t="shared" si="89"/>
        <v>PTO-0108|MAT|7</v>
      </c>
      <c r="N765" s="47">
        <f>IFERROR(VLOOKUP(A765,PARTIDAS!A:F,6,FALSE()),0)</f>
        <v>1</v>
      </c>
      <c r="O765" s="247">
        <f t="shared" si="90"/>
        <v>8</v>
      </c>
      <c r="P765" s="247">
        <f>+_xlfn.XLOOKUP(A765,PPTO_GENERADOR!Q:Q,PPTO_GENERADOR!E:E,"-",0)</f>
        <v>1</v>
      </c>
      <c r="Q765" s="247">
        <f t="shared" si="91"/>
        <v>8</v>
      </c>
      <c r="R765" s="259">
        <f>+_xlfn.XLOOKUP(A765,PPTO_GENERADOR!$Q:$Q,PPTO_GENERADOR!A:A,"-",0)</f>
        <v>1.08</v>
      </c>
    </row>
    <row r="766" spans="1:18" ht="15" customHeight="1" x14ac:dyDescent="0.35">
      <c r="A766" s="38" t="s">
        <v>38</v>
      </c>
      <c r="B766" s="38" t="s">
        <v>2774</v>
      </c>
      <c r="C766" s="38" t="s">
        <v>2775</v>
      </c>
      <c r="D766" s="38" t="s">
        <v>1096</v>
      </c>
      <c r="E766" s="44" t="str">
        <f>IFERROR(VLOOKUP(D766,MATERIALES!A:B,2,FALSE()),"?")</f>
        <v>Desperdicio</v>
      </c>
      <c r="F766" s="44" t="str">
        <f>IFERROR(VLOOKUP(D766,MATERIALES!A:C,3,FALSE()),"?")</f>
        <v>gl</v>
      </c>
      <c r="G766" s="45">
        <v>0.2</v>
      </c>
      <c r="H766" s="46">
        <v>0</v>
      </c>
      <c r="I766" s="47">
        <f>IFERROR(VLOOKUP(D766,MATERIALES!A:D,4,FALSE()),0)</f>
        <v>571000</v>
      </c>
      <c r="J766" s="42">
        <f t="shared" si="95"/>
        <v>114200</v>
      </c>
      <c r="K766" s="15" t="str">
        <f t="shared" si="88"/>
        <v>PTO-0108|MAT</v>
      </c>
      <c r="L766" s="15">
        <f>COUNTIFS($K$2:K766,K766)</f>
        <v>8</v>
      </c>
      <c r="M766" s="15" t="str">
        <f t="shared" si="89"/>
        <v>PTO-0108|MAT|8</v>
      </c>
      <c r="N766" s="47">
        <f>IFERROR(VLOOKUP(A766,PARTIDAS!A:F,6,FALSE()),0)</f>
        <v>1</v>
      </c>
      <c r="O766" s="247">
        <f t="shared" si="90"/>
        <v>0.2</v>
      </c>
      <c r="P766" s="247">
        <f>+_xlfn.XLOOKUP(A766,PPTO_GENERADOR!Q:Q,PPTO_GENERADOR!E:E,"-",0)</f>
        <v>1</v>
      </c>
      <c r="Q766" s="247">
        <f t="shared" si="91"/>
        <v>0.2</v>
      </c>
      <c r="R766" s="259">
        <f>+_xlfn.XLOOKUP(A766,PPTO_GENERADOR!$Q:$Q,PPTO_GENERADOR!A:A,"-",0)</f>
        <v>1.08</v>
      </c>
    </row>
    <row r="767" spans="1:18" ht="15" customHeight="1" x14ac:dyDescent="0.35">
      <c r="A767" s="38" t="s">
        <v>38</v>
      </c>
      <c r="B767" s="38" t="s">
        <v>2776</v>
      </c>
      <c r="C767" s="38" t="s">
        <v>2777</v>
      </c>
      <c r="D767" s="237" t="s">
        <v>1568</v>
      </c>
      <c r="E767" s="44" t="str">
        <f>IFERROR(VLOOKUP(D767,MANO_DE_OBRA!A:B,2,FALSE()),"?")</f>
        <v>ESPECIALIZADO</v>
      </c>
      <c r="F767" s="44" t="s">
        <v>2778</v>
      </c>
      <c r="G767" s="45">
        <v>4</v>
      </c>
      <c r="H767" s="46">
        <v>0</v>
      </c>
      <c r="I767" s="47">
        <f>IFERROR(VLOOKUP(D767,MANO_DE_OBRA!A:C,3,FALSE()),0)</f>
        <v>85927.097156571996</v>
      </c>
      <c r="J767" s="42">
        <f t="shared" ref="J767:J775" si="96">G767*I767</f>
        <v>343708.38862628798</v>
      </c>
      <c r="K767" s="15" t="str">
        <f t="shared" si="88"/>
        <v>PTO-0108|MO</v>
      </c>
      <c r="L767" s="15">
        <f>COUNTIFS($K$2:K767,K767)</f>
        <v>1</v>
      </c>
      <c r="M767" s="15" t="str">
        <f t="shared" si="89"/>
        <v>PTO-0108|MO|1</v>
      </c>
      <c r="N767" s="47">
        <f>IFERROR(VLOOKUP(A767,PARTIDAS!A:F,6,FALSE()),0)</f>
        <v>1</v>
      </c>
      <c r="O767" s="247">
        <f t="shared" si="90"/>
        <v>4</v>
      </c>
      <c r="P767" s="247">
        <f>+_xlfn.XLOOKUP(A767,PPTO_GENERADOR!Q:Q,PPTO_GENERADOR!E:E,"-",0)</f>
        <v>1</v>
      </c>
      <c r="Q767" s="247">
        <f t="shared" si="91"/>
        <v>4</v>
      </c>
      <c r="R767" s="259">
        <f>+_xlfn.XLOOKUP(A767,PPTO_GENERADOR!$Q:$Q,PPTO_GENERADOR!A:A,"-",0)</f>
        <v>1.08</v>
      </c>
    </row>
    <row r="768" spans="1:18" ht="15" customHeight="1" x14ac:dyDescent="0.35">
      <c r="A768" s="38" t="s">
        <v>38</v>
      </c>
      <c r="B768" s="38" t="s">
        <v>2776</v>
      </c>
      <c r="C768" s="38" t="s">
        <v>2777</v>
      </c>
      <c r="D768" s="237" t="s">
        <v>1571</v>
      </c>
      <c r="E768" s="44" t="str">
        <f>IFERROR(VLOOKUP(D768,MANO_DE_OBRA!A:B,2,FALSE()),"?")</f>
        <v>OFICIAL</v>
      </c>
      <c r="F768" s="44" t="s">
        <v>2778</v>
      </c>
      <c r="G768" s="45">
        <v>4</v>
      </c>
      <c r="H768" s="46">
        <v>0</v>
      </c>
      <c r="I768" s="47">
        <f>IFERROR(VLOOKUP(D768,MANO_DE_OBRA!A:C,3,FALSE()),0)</f>
        <v>76955.079706571996</v>
      </c>
      <c r="J768" s="42">
        <f t="shared" si="96"/>
        <v>307820.31882628798</v>
      </c>
      <c r="K768" s="15" t="str">
        <f t="shared" si="88"/>
        <v>PTO-0108|MO</v>
      </c>
      <c r="L768" s="15">
        <f>COUNTIFS($K$2:K768,K768)</f>
        <v>2</v>
      </c>
      <c r="M768" s="15" t="str">
        <f t="shared" si="89"/>
        <v>PTO-0108|MO|2</v>
      </c>
      <c r="N768" s="47">
        <f>IFERROR(VLOOKUP(A768,PARTIDAS!A:F,6,FALSE()),0)</f>
        <v>1</v>
      </c>
      <c r="O768" s="247">
        <f t="shared" si="90"/>
        <v>4</v>
      </c>
      <c r="P768" s="247">
        <f>+_xlfn.XLOOKUP(A768,PPTO_GENERADOR!Q:Q,PPTO_GENERADOR!E:E,"-",0)</f>
        <v>1</v>
      </c>
      <c r="Q768" s="247">
        <f t="shared" si="91"/>
        <v>4</v>
      </c>
      <c r="R768" s="259">
        <f>+_xlfn.XLOOKUP(A768,PPTO_GENERADOR!$Q:$Q,PPTO_GENERADOR!A:A,"-",0)</f>
        <v>1.08</v>
      </c>
    </row>
    <row r="769" spans="1:18" ht="15" customHeight="1" x14ac:dyDescent="0.35">
      <c r="A769" s="38" t="s">
        <v>40</v>
      </c>
      <c r="B769" s="38" t="s">
        <v>2776</v>
      </c>
      <c r="C769" s="38" t="s">
        <v>2775</v>
      </c>
      <c r="D769" s="38" t="s">
        <v>2128</v>
      </c>
      <c r="E769" s="44" t="str">
        <f>IFERROR(VLOOKUP(D769,SUBCONTRATOS_PRY!A:B,2,FALSE()),"?")</f>
        <v>Luz de Obra</v>
      </c>
      <c r="F769" s="44" t="s">
        <v>2778</v>
      </c>
      <c r="G769" s="45">
        <v>2</v>
      </c>
      <c r="H769" s="46">
        <v>0</v>
      </c>
      <c r="I769" s="47">
        <f>IFERROR(VLOOKUP(D769,SUBCONTRATOS_PRY!A:D,4,FALSE()),0)</f>
        <v>107023.598877166</v>
      </c>
      <c r="J769" s="42">
        <f t="shared" si="96"/>
        <v>214047.19775433201</v>
      </c>
      <c r="K769" s="15" t="str">
        <f t="shared" si="88"/>
        <v>PTO-0109|MO</v>
      </c>
      <c r="L769" s="15">
        <f>COUNTIFS($K$2:K769,K769)</f>
        <v>1</v>
      </c>
      <c r="M769" s="15" t="str">
        <f t="shared" si="89"/>
        <v>PTO-0109|MO|1</v>
      </c>
      <c r="N769" s="47">
        <f>IFERROR(VLOOKUP(A769,PARTIDAS!A:F,6,FALSE()),0)</f>
        <v>1</v>
      </c>
      <c r="O769" s="247">
        <f t="shared" si="90"/>
        <v>2</v>
      </c>
      <c r="P769" s="247">
        <f>+_xlfn.XLOOKUP(A769,PPTO_GENERADOR!Q:Q,PPTO_GENERADOR!E:E,"-",0)</f>
        <v>1</v>
      </c>
      <c r="Q769" s="247">
        <f t="shared" si="91"/>
        <v>2</v>
      </c>
      <c r="R769" s="259">
        <f>+_xlfn.XLOOKUP(A769,PPTO_GENERADOR!$Q:$Q,PPTO_GENERADOR!A:A,"-",0)</f>
        <v>1.0900000000000001</v>
      </c>
    </row>
    <row r="770" spans="1:18" ht="15" customHeight="1" x14ac:dyDescent="0.35">
      <c r="A770" s="38" t="s">
        <v>40</v>
      </c>
      <c r="B770" s="38" t="s">
        <v>2776</v>
      </c>
      <c r="C770" s="38" t="s">
        <v>2775</v>
      </c>
      <c r="D770" s="38" t="s">
        <v>2224</v>
      </c>
      <c r="E770" s="44" t="str">
        <f>IFERROR(VLOOKUP(D770,SUBCONTRATOS_PRY!A:B,2,FALSE()),"?")</f>
        <v>Medicion PAT luz de obra</v>
      </c>
      <c r="F770" s="44" t="s">
        <v>2778</v>
      </c>
      <c r="G770" s="45">
        <v>1</v>
      </c>
      <c r="H770" s="46">
        <v>0</v>
      </c>
      <c r="I770" s="47">
        <f>IFERROR(VLOOKUP(D770,SUBCONTRATOS_PRY!A:D,4,FALSE()),0)</f>
        <v>93645.649017520103</v>
      </c>
      <c r="J770" s="42">
        <f t="shared" si="96"/>
        <v>93645.649017520103</v>
      </c>
      <c r="K770" s="15" t="str">
        <f t="shared" ref="K770:K833" si="97">A770&amp;"|"&amp;B770</f>
        <v>PTO-0109|MO</v>
      </c>
      <c r="L770" s="15">
        <f>COUNTIFS($K$2:K770,K770)</f>
        <v>2</v>
      </c>
      <c r="M770" s="15" t="str">
        <f t="shared" ref="M770:M833" si="98">K770&amp;"|"&amp;L770</f>
        <v>PTO-0109|MO|2</v>
      </c>
      <c r="N770" s="47">
        <f>IFERROR(VLOOKUP(A770,PARTIDAS!A:F,6,FALSE()),0)</f>
        <v>1</v>
      </c>
      <c r="O770" s="247">
        <f t="shared" si="90"/>
        <v>1</v>
      </c>
      <c r="P770" s="247">
        <f>+_xlfn.XLOOKUP(A770,PPTO_GENERADOR!Q:Q,PPTO_GENERADOR!E:E,"-",0)</f>
        <v>1</v>
      </c>
      <c r="Q770" s="247">
        <f t="shared" si="91"/>
        <v>1</v>
      </c>
      <c r="R770" s="259">
        <f>+_xlfn.XLOOKUP(A770,PPTO_GENERADOR!$Q:$Q,PPTO_GENERADOR!A:A,"-",0)</f>
        <v>1.0900000000000001</v>
      </c>
    </row>
    <row r="771" spans="1:18" ht="15" customHeight="1" x14ac:dyDescent="0.35">
      <c r="A771" s="38" t="s">
        <v>40</v>
      </c>
      <c r="B771" s="38" t="s">
        <v>2776</v>
      </c>
      <c r="C771" s="38" t="s">
        <v>2775</v>
      </c>
      <c r="D771" s="38" t="s">
        <v>2235</v>
      </c>
      <c r="E771" s="44" t="str">
        <f>IFERROR(VLOOKUP(D771,SUBCONTRATOS_PRY!A:B,2,FALSE()),"?")</f>
        <v>Gestion suministro luz de obra</v>
      </c>
      <c r="F771" s="44" t="s">
        <v>2778</v>
      </c>
      <c r="G771" s="45">
        <v>1</v>
      </c>
      <c r="H771" s="46">
        <v>0</v>
      </c>
      <c r="I771" s="47">
        <f>IFERROR(VLOOKUP(D771,SUBCONTRATOS_PRY!A:D,4,FALSE()),0)</f>
        <v>148643.887329397</v>
      </c>
      <c r="J771" s="42">
        <f t="shared" si="96"/>
        <v>148643.887329397</v>
      </c>
      <c r="K771" s="15" t="str">
        <f t="shared" si="97"/>
        <v>PTO-0109|MO</v>
      </c>
      <c r="L771" s="15">
        <f>COUNTIFS($K$2:K771,K771)</f>
        <v>3</v>
      </c>
      <c r="M771" s="15" t="str">
        <f t="shared" si="98"/>
        <v>PTO-0109|MO|3</v>
      </c>
      <c r="N771" s="47">
        <f>IFERROR(VLOOKUP(A771,PARTIDAS!A:F,6,FALSE()),0)</f>
        <v>1</v>
      </c>
      <c r="O771" s="247">
        <f t="shared" ref="O771:O834" si="99">+IF(C771="ALB",G771/N771,G771)</f>
        <v>1</v>
      </c>
      <c r="P771" s="247">
        <f>+_xlfn.XLOOKUP(A771,PPTO_GENERADOR!Q:Q,PPTO_GENERADOR!E:E,"-",0)</f>
        <v>1</v>
      </c>
      <c r="Q771" s="247">
        <f t="shared" ref="Q771:Q834" si="100">IFERROR(P771*O771,0)</f>
        <v>1</v>
      </c>
      <c r="R771" s="259">
        <f>+_xlfn.XLOOKUP(A771,PPTO_GENERADOR!$Q:$Q,PPTO_GENERADOR!A:A,"-",0)</f>
        <v>1.0900000000000001</v>
      </c>
    </row>
    <row r="772" spans="1:18" ht="15" customHeight="1" x14ac:dyDescent="0.35">
      <c r="A772" s="38" t="s">
        <v>44</v>
      </c>
      <c r="B772" s="38" t="s">
        <v>2773</v>
      </c>
      <c r="C772" s="38"/>
      <c r="D772" s="38" t="s">
        <v>1770</v>
      </c>
      <c r="E772" s="44" t="str">
        <f>IFERROR(VLOOKUP(D772,EQUIPOS!A:B,2,FALSE()),"?")</f>
        <v xml:space="preserve">Herramientas menores y consumibles - Excavación a maquina para submuración, subsuelo y </v>
      </c>
      <c r="F772" s="44"/>
      <c r="G772" s="45">
        <v>1</v>
      </c>
      <c r="H772" s="46">
        <v>0</v>
      </c>
      <c r="I772" s="47">
        <f>IFERROR(VLOOKUP(D772,EQUIPOS!A:F,6,FALSE()),0)</f>
        <v>97.811647676633498</v>
      </c>
      <c r="J772" s="42">
        <f t="shared" si="96"/>
        <v>97.811647676633498</v>
      </c>
      <c r="K772" s="15" t="str">
        <f t="shared" si="97"/>
        <v>PTO-0201|EQ</v>
      </c>
      <c r="L772" s="15">
        <f>COUNTIFS($K$2:K772,K772)</f>
        <v>1</v>
      </c>
      <c r="M772" s="15" t="str">
        <f t="shared" si="98"/>
        <v>PTO-0201|EQ|1</v>
      </c>
      <c r="N772" s="47">
        <f>IFERROR(VLOOKUP(A772,PARTIDAS!A:F,6,FALSE()),0)</f>
        <v>1</v>
      </c>
      <c r="O772" s="247">
        <f t="shared" si="99"/>
        <v>1</v>
      </c>
      <c r="P772" s="247">
        <f>+_xlfn.XLOOKUP(A772,PPTO_GENERADOR!Q:Q,PPTO_GENERADOR!E:E,"-",0)</f>
        <v>308</v>
      </c>
      <c r="Q772" s="247">
        <f t="shared" si="100"/>
        <v>308</v>
      </c>
      <c r="R772" s="259">
        <f>+_xlfn.XLOOKUP(A772,PPTO_GENERADOR!$Q:$Q,PPTO_GENERADOR!A:A,"-",0)</f>
        <v>2.0099999999999998</v>
      </c>
    </row>
    <row r="773" spans="1:18" ht="15" customHeight="1" x14ac:dyDescent="0.35">
      <c r="A773" s="38" t="s">
        <v>44</v>
      </c>
      <c r="B773" s="38" t="s">
        <v>2776</v>
      </c>
      <c r="C773" s="38" t="s">
        <v>2777</v>
      </c>
      <c r="D773" s="38" t="s">
        <v>1577</v>
      </c>
      <c r="E773" s="44" t="str">
        <f>IFERROR(VLOOKUP(D773,MANO_DE_OBRA!A:B,2,FALSE()),"?")</f>
        <v>AYUDANTE</v>
      </c>
      <c r="F773" s="44" t="s">
        <v>2778</v>
      </c>
      <c r="G773" s="45">
        <v>0.107142857142857</v>
      </c>
      <c r="H773" s="46">
        <v>0</v>
      </c>
      <c r="I773" s="47">
        <f>IFERROR(VLOOKUP(D773,MANO_DE_OBRA!A:C,3,FALSE()),0)</f>
        <v>60860.580776572002</v>
      </c>
      <c r="J773" s="42">
        <f t="shared" si="96"/>
        <v>6520.7765117755625</v>
      </c>
      <c r="K773" s="15" t="str">
        <f t="shared" si="97"/>
        <v>PTO-0201|MO</v>
      </c>
      <c r="L773" s="15">
        <f>COUNTIFS($K$2:K773,K773)</f>
        <v>1</v>
      </c>
      <c r="M773" s="15" t="str">
        <f t="shared" si="98"/>
        <v>PTO-0201|MO|1</v>
      </c>
      <c r="N773" s="47">
        <f>IFERROR(VLOOKUP(A773,PARTIDAS!A:F,6,FALSE()),0)</f>
        <v>1</v>
      </c>
      <c r="O773" s="247">
        <f t="shared" si="99"/>
        <v>0.107142857142857</v>
      </c>
      <c r="P773" s="247">
        <f>+_xlfn.XLOOKUP(A773,PPTO_GENERADOR!Q:Q,PPTO_GENERADOR!E:E,"-",0)</f>
        <v>308</v>
      </c>
      <c r="Q773" s="247">
        <f t="shared" si="100"/>
        <v>32.999999999999957</v>
      </c>
      <c r="R773" s="259">
        <f>+_xlfn.XLOOKUP(A773,PPTO_GENERADOR!$Q:$Q,PPTO_GENERADOR!A:A,"-",0)</f>
        <v>2.0099999999999998</v>
      </c>
    </row>
    <row r="774" spans="1:18" ht="15" customHeight="1" x14ac:dyDescent="0.35">
      <c r="A774" s="38" t="s">
        <v>44</v>
      </c>
      <c r="B774" s="38" t="s">
        <v>2776</v>
      </c>
      <c r="C774" s="38" t="s">
        <v>2775</v>
      </c>
      <c r="D774" s="38" t="s">
        <v>2238</v>
      </c>
      <c r="E774" s="44" t="str">
        <f>IFERROR(VLOOKUP(D774,SUBCONTRATOS_PRY!A:B,2,FALSE()),"?")</f>
        <v>Subcontrato + 50%  - Celsi VIAL</v>
      </c>
      <c r="F774" s="44" t="s">
        <v>2778</v>
      </c>
      <c r="G774" s="45">
        <v>1.5</v>
      </c>
      <c r="H774" s="46">
        <v>0</v>
      </c>
      <c r="I774" s="47">
        <f>IFERROR(VLOOKUP(D774,SUBCONTRATOS_PRY!A:D,4,FALSE()),0)</f>
        <v>22000</v>
      </c>
      <c r="J774" s="42">
        <f t="shared" si="96"/>
        <v>33000</v>
      </c>
      <c r="K774" s="15" t="str">
        <f t="shared" si="97"/>
        <v>PTO-0201|MO</v>
      </c>
      <c r="L774" s="15">
        <f>COUNTIFS($K$2:K774,K774)</f>
        <v>2</v>
      </c>
      <c r="M774" s="15" t="str">
        <f t="shared" si="98"/>
        <v>PTO-0201|MO|2</v>
      </c>
      <c r="N774" s="47">
        <f>IFERROR(VLOOKUP(A774,PARTIDAS!A:F,6,FALSE()),0)</f>
        <v>1</v>
      </c>
      <c r="O774" s="247">
        <f t="shared" si="99"/>
        <v>1.5</v>
      </c>
      <c r="P774" s="247">
        <f>+_xlfn.XLOOKUP(A774,PPTO_GENERADOR!Q:Q,PPTO_GENERADOR!E:E,"-",0)</f>
        <v>308</v>
      </c>
      <c r="Q774" s="247">
        <f t="shared" si="100"/>
        <v>462</v>
      </c>
      <c r="R774" s="259">
        <f>+_xlfn.XLOOKUP(A774,PPTO_GENERADOR!$Q:$Q,PPTO_GENERADOR!A:A,"-",0)</f>
        <v>2.0099999999999998</v>
      </c>
    </row>
    <row r="775" spans="1:18" ht="15" customHeight="1" x14ac:dyDescent="0.35">
      <c r="A775" s="38" t="s">
        <v>46</v>
      </c>
      <c r="B775" s="38" t="s">
        <v>2773</v>
      </c>
      <c r="C775" s="38"/>
      <c r="D775" s="38" t="s">
        <v>1773</v>
      </c>
      <c r="E775" s="44" t="str">
        <f>IFERROR(VLOOKUP(D775,EQUIPOS!A:B,2,FALSE()),"?")</f>
        <v xml:space="preserve">Herramientas menores y consumibles - Perfilado manual de bases. Relleno y compactación </v>
      </c>
      <c r="F775" s="44"/>
      <c r="G775" s="45">
        <v>1</v>
      </c>
      <c r="H775" s="46">
        <v>0</v>
      </c>
      <c r="I775" s="47">
        <f>IFERROR(VLOOKUP(D775,EQUIPOS!A:F,6,FALSE()),0)</f>
        <v>128903.949937613</v>
      </c>
      <c r="J775" s="42">
        <f t="shared" si="96"/>
        <v>128903.949937613</v>
      </c>
      <c r="K775" s="15" t="str">
        <f t="shared" si="97"/>
        <v>PTO-0202|EQ</v>
      </c>
      <c r="L775" s="15">
        <f>COUNTIFS($K$2:K775,K775)</f>
        <v>1</v>
      </c>
      <c r="M775" s="15" t="str">
        <f t="shared" si="98"/>
        <v>PTO-0202|EQ|1</v>
      </c>
      <c r="N775" s="47">
        <f>IFERROR(VLOOKUP(A775,PARTIDAS!A:F,6,FALSE()),0)</f>
        <v>1</v>
      </c>
      <c r="O775" s="247">
        <f t="shared" si="99"/>
        <v>1</v>
      </c>
      <c r="P775" s="247">
        <f>+_xlfn.XLOOKUP(A775,PPTO_GENERADOR!Q:Q,PPTO_GENERADOR!E:E,"-",0)</f>
        <v>1</v>
      </c>
      <c r="Q775" s="247">
        <f t="shared" si="100"/>
        <v>1</v>
      </c>
      <c r="R775" s="259">
        <f>+_xlfn.XLOOKUP(A775,PPTO_GENERADOR!$Q:$Q,PPTO_GENERADOR!A:A,"-",0)</f>
        <v>2.02</v>
      </c>
    </row>
    <row r="776" spans="1:18" ht="15" customHeight="1" x14ac:dyDescent="0.35">
      <c r="A776" s="38" t="s">
        <v>46</v>
      </c>
      <c r="B776" s="38" t="s">
        <v>2774</v>
      </c>
      <c r="C776" s="38" t="s">
        <v>2775</v>
      </c>
      <c r="D776" s="38" t="s">
        <v>1098</v>
      </c>
      <c r="E776" s="44" t="str">
        <f>IFERROR(VLOOKUP(D776,MATERIALES!A:B,2,FALSE()),"?")</f>
        <v>Alquiler vibropison</v>
      </c>
      <c r="F776" s="44" t="str">
        <f>IFERROR(VLOOKUP(D776,MATERIALES!A:C,3,FALSE()),"?")</f>
        <v>d</v>
      </c>
      <c r="G776" s="45">
        <v>7</v>
      </c>
      <c r="H776" s="46">
        <v>0</v>
      </c>
      <c r="I776" s="47">
        <f>IFERROR(VLOOKUP(D776,MATERIALES!A:D,4,FALSE()),0)</f>
        <v>15000</v>
      </c>
      <c r="J776" s="42">
        <f>G776*I776*(1+H776)</f>
        <v>105000</v>
      </c>
      <c r="K776" s="15" t="str">
        <f t="shared" si="97"/>
        <v>PTO-0202|MAT</v>
      </c>
      <c r="L776" s="15">
        <f>COUNTIFS($K$2:K776,K776)</f>
        <v>1</v>
      </c>
      <c r="M776" s="15" t="str">
        <f t="shared" si="98"/>
        <v>PTO-0202|MAT|1</v>
      </c>
      <c r="N776" s="47">
        <f>IFERROR(VLOOKUP(A776,PARTIDAS!A:F,6,FALSE()),0)</f>
        <v>1</v>
      </c>
      <c r="O776" s="247">
        <f t="shared" si="99"/>
        <v>7</v>
      </c>
      <c r="P776" s="247">
        <f>+_xlfn.XLOOKUP(A776,PPTO_GENERADOR!Q:Q,PPTO_GENERADOR!E:E,"-",0)</f>
        <v>1</v>
      </c>
      <c r="Q776" s="247">
        <f t="shared" si="100"/>
        <v>7</v>
      </c>
      <c r="R776" s="259">
        <f>+_xlfn.XLOOKUP(A776,PPTO_GENERADOR!$Q:$Q,PPTO_GENERADOR!A:A,"-",0)</f>
        <v>2.02</v>
      </c>
    </row>
    <row r="777" spans="1:18" ht="15" customHeight="1" x14ac:dyDescent="0.35">
      <c r="A777" s="38" t="s">
        <v>46</v>
      </c>
      <c r="B777" s="38" t="s">
        <v>2776</v>
      </c>
      <c r="C777" s="38" t="s">
        <v>2777</v>
      </c>
      <c r="D777" s="38" t="s">
        <v>1577</v>
      </c>
      <c r="E777" s="44" t="str">
        <f>IFERROR(VLOOKUP(D777,MANO_DE_OBRA!A:B,2,FALSE()),"?")</f>
        <v>AYUDANTE</v>
      </c>
      <c r="F777" s="44" t="s">
        <v>2778</v>
      </c>
      <c r="G777" s="45">
        <v>132</v>
      </c>
      <c r="H777" s="46">
        <v>0</v>
      </c>
      <c r="I777" s="47">
        <f>IFERROR(VLOOKUP(D777,MANO_DE_OBRA!A:C,3,FALSE()),0)</f>
        <v>60860.580776572002</v>
      </c>
      <c r="J777" s="42">
        <f>G777*I777</f>
        <v>8033596.6625075042</v>
      </c>
      <c r="K777" s="15" t="str">
        <f t="shared" si="97"/>
        <v>PTO-0202|MO</v>
      </c>
      <c r="L777" s="15">
        <f>COUNTIFS($K$2:K777,K777)</f>
        <v>1</v>
      </c>
      <c r="M777" s="15" t="str">
        <f t="shared" si="98"/>
        <v>PTO-0202|MO|1</v>
      </c>
      <c r="N777" s="47">
        <f>IFERROR(VLOOKUP(A777,PARTIDAS!A:F,6,FALSE()),0)</f>
        <v>1</v>
      </c>
      <c r="O777" s="247">
        <f t="shared" si="99"/>
        <v>132</v>
      </c>
      <c r="P777" s="247">
        <f>+_xlfn.XLOOKUP(A777,PPTO_GENERADOR!Q:Q,PPTO_GENERADOR!E:E,"-",0)</f>
        <v>1</v>
      </c>
      <c r="Q777" s="247">
        <f t="shared" si="100"/>
        <v>132</v>
      </c>
      <c r="R777" s="259">
        <f>+_xlfn.XLOOKUP(A777,PPTO_GENERADOR!$Q:$Q,PPTO_GENERADOR!A:A,"-",0)</f>
        <v>2.02</v>
      </c>
    </row>
    <row r="778" spans="1:18" ht="15" customHeight="1" x14ac:dyDescent="0.35">
      <c r="A778" s="38" t="s">
        <v>46</v>
      </c>
      <c r="B778" s="38" t="s">
        <v>2776</v>
      </c>
      <c r="C778" s="38" t="s">
        <v>2775</v>
      </c>
      <c r="D778" s="38" t="s">
        <v>2433</v>
      </c>
      <c r="E778" s="44" t="str">
        <f>IFERROR(VLOOKUP(D778,SUBCONTRATOS_PRY!A:B,2,FALSE()),"?")</f>
        <v>Alquiler vibropisson</v>
      </c>
      <c r="F778" s="44" t="s">
        <v>2778</v>
      </c>
      <c r="G778" s="45">
        <v>7</v>
      </c>
      <c r="H778" s="46">
        <v>0</v>
      </c>
      <c r="I778" s="47">
        <f>IFERROR(VLOOKUP(D778,SUBCONTRATOS_PRY!A:D,4,FALSE()),0)</f>
        <v>65000</v>
      </c>
      <c r="J778" s="42">
        <f>G778*I778</f>
        <v>455000</v>
      </c>
      <c r="K778" s="15" t="str">
        <f t="shared" si="97"/>
        <v>PTO-0202|MO</v>
      </c>
      <c r="L778" s="15">
        <f>COUNTIFS($K$2:K778,K778)</f>
        <v>2</v>
      </c>
      <c r="M778" s="15" t="str">
        <f t="shared" si="98"/>
        <v>PTO-0202|MO|2</v>
      </c>
      <c r="N778" s="47">
        <f>IFERROR(VLOOKUP(A778,PARTIDAS!A:F,6,FALSE()),0)</f>
        <v>1</v>
      </c>
      <c r="O778" s="247">
        <f t="shared" si="99"/>
        <v>7</v>
      </c>
      <c r="P778" s="247">
        <f>+_xlfn.XLOOKUP(A778,PPTO_GENERADOR!Q:Q,PPTO_GENERADOR!E:E,"-",0)</f>
        <v>1</v>
      </c>
      <c r="Q778" s="247">
        <f t="shared" si="100"/>
        <v>7</v>
      </c>
      <c r="R778" s="259">
        <f>+_xlfn.XLOOKUP(A778,PPTO_GENERADOR!$Q:$Q,PPTO_GENERADOR!A:A,"-",0)</f>
        <v>2.02</v>
      </c>
    </row>
    <row r="779" spans="1:18" ht="15" customHeight="1" x14ac:dyDescent="0.35">
      <c r="A779" s="38" t="s">
        <v>48</v>
      </c>
      <c r="B779" s="38" t="s">
        <v>2773</v>
      </c>
      <c r="C779" s="38"/>
      <c r="D779" s="38" t="s">
        <v>1686</v>
      </c>
      <c r="E779" s="44" t="str">
        <f>IFERROR(VLOOKUP(D779,EQUIPOS!A:B,2,FALSE()),"?")</f>
        <v>Herramientas y consumibles Excavación manual para vigas de fundación</v>
      </c>
      <c r="F779" s="44"/>
      <c r="G779" s="45">
        <v>1</v>
      </c>
      <c r="H779" s="46">
        <v>0</v>
      </c>
      <c r="I779" s="47">
        <f>IFERROR(VLOOKUP(D779,EQUIPOS!A:F,6,FALSE()),0)</f>
        <v>1302.90871164858</v>
      </c>
      <c r="J779" s="42">
        <f>G779*I779</f>
        <v>1302.90871164858</v>
      </c>
      <c r="K779" s="15" t="str">
        <f t="shared" si="97"/>
        <v>PTO-0203|EQ</v>
      </c>
      <c r="L779" s="15">
        <f>COUNTIFS($K$2:K779,K779)</f>
        <v>1</v>
      </c>
      <c r="M779" s="15" t="str">
        <f t="shared" si="98"/>
        <v>PTO-0203|EQ|1</v>
      </c>
      <c r="N779" s="47">
        <f>IFERROR(VLOOKUP(A779,PARTIDAS!A:F,6,FALSE()),0)</f>
        <v>1</v>
      </c>
      <c r="O779" s="247">
        <f t="shared" si="99"/>
        <v>1</v>
      </c>
      <c r="P779" s="247">
        <f>+_xlfn.XLOOKUP(A779,PPTO_GENERADOR!Q:Q,PPTO_GENERADOR!E:E,"-",0)</f>
        <v>15</v>
      </c>
      <c r="Q779" s="247">
        <f t="shared" si="100"/>
        <v>15</v>
      </c>
      <c r="R779" s="259">
        <f>+_xlfn.XLOOKUP(A779,PPTO_GENERADOR!$Q:$Q,PPTO_GENERADOR!A:A,"-",0)</f>
        <v>2.0299999999999998</v>
      </c>
    </row>
    <row r="780" spans="1:18" ht="15" customHeight="1" x14ac:dyDescent="0.35">
      <c r="A780" s="38" t="s">
        <v>48</v>
      </c>
      <c r="B780" s="38" t="s">
        <v>2774</v>
      </c>
      <c r="C780" s="38" t="s">
        <v>2775</v>
      </c>
      <c r="D780" s="38" t="s">
        <v>1101</v>
      </c>
      <c r="E780" s="44" t="str">
        <f>IFERROR(VLOOKUP(D780,MATERIALES!A:B,2,FALSE()),"?")</f>
        <v>Excavación manual para vigas de fundación</v>
      </c>
      <c r="F780" s="44" t="str">
        <f>IFERROR(VLOOKUP(D780,MATERIALES!A:C,3,FALSE()),"?")</f>
        <v>m3</v>
      </c>
      <c r="G780" s="45">
        <v>1</v>
      </c>
      <c r="H780" s="46">
        <v>0</v>
      </c>
      <c r="I780" s="47">
        <f>IFERROR(VLOOKUP(D780,MATERIALES!A:D,4,FALSE()),0)</f>
        <v>26000</v>
      </c>
      <c r="J780" s="42">
        <f>G780*I780*(1+H780)</f>
        <v>26000</v>
      </c>
      <c r="K780" s="15" t="str">
        <f t="shared" si="97"/>
        <v>PTO-0203|MAT</v>
      </c>
      <c r="L780" s="15">
        <f>COUNTIFS($K$2:K780,K780)</f>
        <v>1</v>
      </c>
      <c r="M780" s="15" t="str">
        <f t="shared" si="98"/>
        <v>PTO-0203|MAT|1</v>
      </c>
      <c r="N780" s="47">
        <f>IFERROR(VLOOKUP(A780,PARTIDAS!A:F,6,FALSE()),0)</f>
        <v>1</v>
      </c>
      <c r="O780" s="247">
        <f t="shared" si="99"/>
        <v>1</v>
      </c>
      <c r="P780" s="247">
        <f>+_xlfn.XLOOKUP(A780,PPTO_GENERADOR!Q:Q,PPTO_GENERADOR!E:E,"-",0)</f>
        <v>15</v>
      </c>
      <c r="Q780" s="247">
        <f t="shared" si="100"/>
        <v>15</v>
      </c>
      <c r="R780" s="259">
        <f>+_xlfn.XLOOKUP(A780,PPTO_GENERADOR!$Q:$Q,PPTO_GENERADOR!A:A,"-",0)</f>
        <v>2.0299999999999998</v>
      </c>
    </row>
    <row r="781" spans="1:18" ht="15" customHeight="1" x14ac:dyDescent="0.35">
      <c r="A781" s="38" t="s">
        <v>48</v>
      </c>
      <c r="B781" s="38" t="s">
        <v>2776</v>
      </c>
      <c r="C781" s="38" t="s">
        <v>2777</v>
      </c>
      <c r="D781" s="38" t="s">
        <v>1577</v>
      </c>
      <c r="E781" s="44" t="str">
        <f>IFERROR(VLOOKUP(D781,MANO_DE_OBRA!A:B,2,FALSE()),"?")</f>
        <v>AYUDANTE</v>
      </c>
      <c r="F781" s="44" t="s">
        <v>2778</v>
      </c>
      <c r="G781" s="45">
        <v>1</v>
      </c>
      <c r="H781" s="46">
        <v>0</v>
      </c>
      <c r="I781" s="47">
        <f>IFERROR(VLOOKUP(D781,MANO_DE_OBRA!A:C,3,FALSE()),0)</f>
        <v>60860.580776572002</v>
      </c>
      <c r="J781" s="42">
        <f>G781*I781</f>
        <v>60860.580776572002</v>
      </c>
      <c r="K781" s="15" t="str">
        <f t="shared" si="97"/>
        <v>PTO-0203|MO</v>
      </c>
      <c r="L781" s="15">
        <f>COUNTIFS($K$2:K781,K781)</f>
        <v>1</v>
      </c>
      <c r="M781" s="15" t="str">
        <f t="shared" si="98"/>
        <v>PTO-0203|MO|1</v>
      </c>
      <c r="N781" s="47">
        <f>IFERROR(VLOOKUP(A781,PARTIDAS!A:F,6,FALSE()),0)</f>
        <v>1</v>
      </c>
      <c r="O781" s="247">
        <f t="shared" si="99"/>
        <v>1</v>
      </c>
      <c r="P781" s="247">
        <f>+_xlfn.XLOOKUP(A781,PPTO_GENERADOR!Q:Q,PPTO_GENERADOR!E:E,"-",0)</f>
        <v>15</v>
      </c>
      <c r="Q781" s="247">
        <f t="shared" si="100"/>
        <v>15</v>
      </c>
      <c r="R781" s="259">
        <f>+_xlfn.XLOOKUP(A781,PPTO_GENERADOR!$Q:$Q,PPTO_GENERADOR!A:A,"-",0)</f>
        <v>2.0299999999999998</v>
      </c>
    </row>
    <row r="782" spans="1:18" ht="15" customHeight="1" x14ac:dyDescent="0.35">
      <c r="A782" s="38" t="s">
        <v>51</v>
      </c>
      <c r="B782" s="38" t="s">
        <v>2773</v>
      </c>
      <c r="C782" s="38"/>
      <c r="D782" s="38" t="s">
        <v>1776</v>
      </c>
      <c r="E782" s="44" t="str">
        <f>IFERROR(VLOOKUP(D782,EQUIPOS!A:B,2,FALSE()),"?")</f>
        <v>Herramientas menores y consumibles - Hormigón de limpieza - e: 10 cm</v>
      </c>
      <c r="F782" s="44"/>
      <c r="G782" s="45">
        <v>1</v>
      </c>
      <c r="H782" s="46">
        <v>0</v>
      </c>
      <c r="I782" s="47">
        <f>IFERROR(VLOOKUP(D782,EQUIPOS!A:F,6,FALSE()),0)</f>
        <v>3250.5537282478099</v>
      </c>
      <c r="J782" s="42">
        <f>G782*I782</f>
        <v>3250.5537282478099</v>
      </c>
      <c r="K782" s="15" t="str">
        <f t="shared" si="97"/>
        <v>PTO-0301|EQ</v>
      </c>
      <c r="L782" s="15">
        <f>COUNTIFS($K$2:K782,K782)</f>
        <v>1</v>
      </c>
      <c r="M782" s="15" t="str">
        <f t="shared" si="98"/>
        <v>PTO-0301|EQ|1</v>
      </c>
      <c r="N782" s="47">
        <f>IFERROR(VLOOKUP(A782,PARTIDAS!A:F,6,FALSE()),0)</f>
        <v>1</v>
      </c>
      <c r="O782" s="247">
        <f t="shared" si="99"/>
        <v>1</v>
      </c>
      <c r="P782" s="247">
        <f>+_xlfn.XLOOKUP(A782,PPTO_GENERADOR!Q:Q,PPTO_GENERADOR!E:E,"-",0)</f>
        <v>13</v>
      </c>
      <c r="Q782" s="247">
        <f t="shared" si="100"/>
        <v>13</v>
      </c>
      <c r="R782" s="259">
        <f>+_xlfn.XLOOKUP(A782,PPTO_GENERADOR!$Q:$Q,PPTO_GENERADOR!A:A,"-",0)</f>
        <v>3.01</v>
      </c>
    </row>
    <row r="783" spans="1:18" ht="15" customHeight="1" x14ac:dyDescent="0.35">
      <c r="A783" s="38" t="s">
        <v>51</v>
      </c>
      <c r="B783" s="38" t="s">
        <v>2774</v>
      </c>
      <c r="C783" s="38" t="s">
        <v>2775</v>
      </c>
      <c r="D783" s="38" t="s">
        <v>906</v>
      </c>
      <c r="E783" s="44" t="str">
        <f>IFERROR(VLOOKUP(D783,MATERIALES!A:B,2,FALSE()),"?")</f>
        <v>Bombeo</v>
      </c>
      <c r="F783" s="44" t="str">
        <f>IFERROR(VLOOKUP(D783,MATERIALES!A:C,3,FALSE()),"?")</f>
        <v>m3</v>
      </c>
      <c r="G783" s="45">
        <v>0</v>
      </c>
      <c r="H783" s="46">
        <v>0</v>
      </c>
      <c r="I783" s="47">
        <f>IFERROR(VLOOKUP(D783,MATERIALES!A:D,4,FALSE()),0)</f>
        <v>5330</v>
      </c>
      <c r="J783" s="42">
        <f>G783*I783*(1+H783)</f>
        <v>0</v>
      </c>
      <c r="K783" s="15" t="str">
        <f t="shared" si="97"/>
        <v>PTO-0301|MAT</v>
      </c>
      <c r="L783" s="15">
        <f>COUNTIFS($K$2:K783,K783)</f>
        <v>1</v>
      </c>
      <c r="M783" s="15" t="str">
        <f t="shared" si="98"/>
        <v>PTO-0301|MAT|1</v>
      </c>
      <c r="N783" s="47">
        <f>IFERROR(VLOOKUP(A783,PARTIDAS!A:F,6,FALSE()),0)</f>
        <v>1</v>
      </c>
      <c r="O783" s="247">
        <f t="shared" si="99"/>
        <v>0</v>
      </c>
      <c r="P783" s="247">
        <f>+_xlfn.XLOOKUP(A783,PPTO_GENERADOR!Q:Q,PPTO_GENERADOR!E:E,"-",0)</f>
        <v>13</v>
      </c>
      <c r="Q783" s="247">
        <f t="shared" si="100"/>
        <v>0</v>
      </c>
      <c r="R783" s="259">
        <f>+_xlfn.XLOOKUP(A783,PPTO_GENERADOR!$Q:$Q,PPTO_GENERADOR!A:A,"-",0)</f>
        <v>3.01</v>
      </c>
    </row>
    <row r="784" spans="1:18" ht="15" customHeight="1" x14ac:dyDescent="0.35">
      <c r="A784" s="38" t="s">
        <v>51</v>
      </c>
      <c r="B784" s="38" t="s">
        <v>2774</v>
      </c>
      <c r="C784" s="38" t="s">
        <v>2775</v>
      </c>
      <c r="D784" s="38" t="s">
        <v>1103</v>
      </c>
      <c r="E784" s="44" t="str">
        <f>IFERROR(VLOOKUP(D784,MATERIALES!A:B,2,FALSE()),"?")</f>
        <v>H8</v>
      </c>
      <c r="F784" s="44" t="str">
        <f>IFERROR(VLOOKUP(D784,MATERIALES!A:C,3,FALSE()),"?")</f>
        <v>m3</v>
      </c>
      <c r="G784" s="45">
        <v>1</v>
      </c>
      <c r="H784" s="46">
        <v>0</v>
      </c>
      <c r="I784" s="47">
        <f>IFERROR(VLOOKUP(D784,MATERIALES!A:D,4,FALSE()),0)</f>
        <v>115100</v>
      </c>
      <c r="J784" s="42">
        <f>G784*I784*(1+H784)</f>
        <v>115100</v>
      </c>
      <c r="K784" s="15" t="str">
        <f t="shared" si="97"/>
        <v>PTO-0301|MAT</v>
      </c>
      <c r="L784" s="15">
        <f>COUNTIFS($K$2:K784,K784)</f>
        <v>2</v>
      </c>
      <c r="M784" s="15" t="str">
        <f t="shared" si="98"/>
        <v>PTO-0301|MAT|2</v>
      </c>
      <c r="N784" s="47">
        <f>IFERROR(VLOOKUP(A784,PARTIDAS!A:F,6,FALSE()),0)</f>
        <v>1</v>
      </c>
      <c r="O784" s="247">
        <f t="shared" si="99"/>
        <v>1</v>
      </c>
      <c r="P784" s="247">
        <f>+_xlfn.XLOOKUP(A784,PPTO_GENERADOR!Q:Q,PPTO_GENERADOR!E:E,"-",0)</f>
        <v>13</v>
      </c>
      <c r="Q784" s="247">
        <f t="shared" si="100"/>
        <v>13</v>
      </c>
      <c r="R784" s="259">
        <f>+_xlfn.XLOOKUP(A784,PPTO_GENERADOR!$Q:$Q,PPTO_GENERADOR!A:A,"-",0)</f>
        <v>3.01</v>
      </c>
    </row>
    <row r="785" spans="1:18" ht="15" customHeight="1" x14ac:dyDescent="0.35">
      <c r="A785" s="38" t="s">
        <v>51</v>
      </c>
      <c r="B785" s="38" t="s">
        <v>2774</v>
      </c>
      <c r="C785" s="38" t="s">
        <v>2775</v>
      </c>
      <c r="D785" s="38" t="s">
        <v>1106</v>
      </c>
      <c r="E785" s="44" t="str">
        <f>IFERROR(VLOOKUP(D785,MATERIALES!A:B,2,FALSE()),"?")</f>
        <v>Bomba</v>
      </c>
      <c r="F785" s="44" t="str">
        <f>IFERROR(VLOOKUP(D785,MATERIALES!A:C,3,FALSE()),"?")</f>
        <v>u</v>
      </c>
      <c r="G785" s="45">
        <v>0</v>
      </c>
      <c r="H785" s="46">
        <v>0</v>
      </c>
      <c r="I785" s="47">
        <f>IFERROR(VLOOKUP(D785,MATERIALES!A:D,4,FALSE()),0)</f>
        <v>533000</v>
      </c>
      <c r="J785" s="42">
        <f>G785*I785*(1+H785)</f>
        <v>0</v>
      </c>
      <c r="K785" s="15" t="str">
        <f t="shared" si="97"/>
        <v>PTO-0301|MAT</v>
      </c>
      <c r="L785" s="15">
        <f>COUNTIFS($K$2:K785,K785)</f>
        <v>3</v>
      </c>
      <c r="M785" s="15" t="str">
        <f t="shared" si="98"/>
        <v>PTO-0301|MAT|3</v>
      </c>
      <c r="N785" s="47">
        <f>IFERROR(VLOOKUP(A785,PARTIDAS!A:F,6,FALSE()),0)</f>
        <v>1</v>
      </c>
      <c r="O785" s="247">
        <f t="shared" si="99"/>
        <v>0</v>
      </c>
      <c r="P785" s="247">
        <f>+_xlfn.XLOOKUP(A785,PPTO_GENERADOR!Q:Q,PPTO_GENERADOR!E:E,"-",0)</f>
        <v>13</v>
      </c>
      <c r="Q785" s="247">
        <f t="shared" si="100"/>
        <v>0</v>
      </c>
      <c r="R785" s="259">
        <f>+_xlfn.XLOOKUP(A785,PPTO_GENERADOR!$Q:$Q,PPTO_GENERADOR!A:A,"-",0)</f>
        <v>3.01</v>
      </c>
    </row>
    <row r="786" spans="1:18" ht="15" customHeight="1" x14ac:dyDescent="0.35">
      <c r="A786" s="38" t="s">
        <v>51</v>
      </c>
      <c r="B786" s="38" t="s">
        <v>2776</v>
      </c>
      <c r="C786" s="38" t="s">
        <v>2777</v>
      </c>
      <c r="D786" s="38" t="s">
        <v>1577</v>
      </c>
      <c r="E786" s="44" t="str">
        <f>IFERROR(VLOOKUP(D786,MANO_DE_OBRA!A:B,2,FALSE()),"?")</f>
        <v>AYUDANTE</v>
      </c>
      <c r="F786" s="44" t="s">
        <v>2778</v>
      </c>
      <c r="G786" s="45">
        <v>0.76923076923076905</v>
      </c>
      <c r="H786" s="46">
        <v>0</v>
      </c>
      <c r="I786" s="47">
        <f>IFERROR(VLOOKUP(D786,MANO_DE_OBRA!A:C,3,FALSE()),0)</f>
        <v>60860.580776572002</v>
      </c>
      <c r="J786" s="42">
        <f>G786*I786</f>
        <v>46815.831366593833</v>
      </c>
      <c r="K786" s="15" t="str">
        <f t="shared" si="97"/>
        <v>PTO-0301|MO</v>
      </c>
      <c r="L786" s="15">
        <f>COUNTIFS($K$2:K786,K786)</f>
        <v>1</v>
      </c>
      <c r="M786" s="15" t="str">
        <f t="shared" si="98"/>
        <v>PTO-0301|MO|1</v>
      </c>
      <c r="N786" s="47">
        <f>IFERROR(VLOOKUP(A786,PARTIDAS!A:F,6,FALSE()),0)</f>
        <v>1</v>
      </c>
      <c r="O786" s="247">
        <f t="shared" si="99"/>
        <v>0.76923076923076905</v>
      </c>
      <c r="P786" s="247">
        <f>+_xlfn.XLOOKUP(A786,PPTO_GENERADOR!Q:Q,PPTO_GENERADOR!E:E,"-",0)</f>
        <v>13</v>
      </c>
      <c r="Q786" s="247">
        <f t="shared" si="100"/>
        <v>9.9999999999999982</v>
      </c>
      <c r="R786" s="259">
        <f>+_xlfn.XLOOKUP(A786,PPTO_GENERADOR!$Q:$Q,PPTO_GENERADOR!A:A,"-",0)</f>
        <v>3.01</v>
      </c>
    </row>
    <row r="787" spans="1:18" ht="15" customHeight="1" x14ac:dyDescent="0.35">
      <c r="A787" s="38" t="s">
        <v>51</v>
      </c>
      <c r="B787" s="38" t="s">
        <v>2776</v>
      </c>
      <c r="C787" s="38" t="s">
        <v>2777</v>
      </c>
      <c r="D787" s="237" t="s">
        <v>1574</v>
      </c>
      <c r="E787" s="44" t="str">
        <f>IFERROR(VLOOKUP(D787,MANO_DE_OBRA!A:B,2,FALSE()),"?")</f>
        <v>MEDIO OFICIAL</v>
      </c>
      <c r="F787" s="44" t="s">
        <v>2778</v>
      </c>
      <c r="G787" s="45">
        <v>0.38461538461538503</v>
      </c>
      <c r="H787" s="46">
        <v>0</v>
      </c>
      <c r="I787" s="47">
        <f>IFERROR(VLOOKUP(D787,MANO_DE_OBRA!A:C,3,FALSE()),0)</f>
        <v>65493.071636572</v>
      </c>
      <c r="J787" s="42">
        <f>G787*I787</f>
        <v>25189.642937143104</v>
      </c>
      <c r="K787" s="15" t="str">
        <f t="shared" si="97"/>
        <v>PTO-0301|MO</v>
      </c>
      <c r="L787" s="15">
        <f>COUNTIFS($K$2:K787,K787)</f>
        <v>2</v>
      </c>
      <c r="M787" s="15" t="str">
        <f t="shared" si="98"/>
        <v>PTO-0301|MO|2</v>
      </c>
      <c r="N787" s="47">
        <f>IFERROR(VLOOKUP(A787,PARTIDAS!A:F,6,FALSE()),0)</f>
        <v>1</v>
      </c>
      <c r="O787" s="247">
        <f t="shared" si="99"/>
        <v>0.38461538461538503</v>
      </c>
      <c r="P787" s="247">
        <f>+_xlfn.XLOOKUP(A787,PPTO_GENERADOR!Q:Q,PPTO_GENERADOR!E:E,"-",0)</f>
        <v>13</v>
      </c>
      <c r="Q787" s="247">
        <f t="shared" si="100"/>
        <v>5.0000000000000053</v>
      </c>
      <c r="R787" s="259">
        <f>+_xlfn.XLOOKUP(A787,PPTO_GENERADOR!$Q:$Q,PPTO_GENERADOR!A:A,"-",0)</f>
        <v>3.01</v>
      </c>
    </row>
    <row r="788" spans="1:18" ht="15" customHeight="1" x14ac:dyDescent="0.35">
      <c r="A788" s="38" t="s">
        <v>51</v>
      </c>
      <c r="B788" s="38" t="s">
        <v>2776</v>
      </c>
      <c r="C788" s="38" t="s">
        <v>2777</v>
      </c>
      <c r="D788" s="237" t="s">
        <v>1571</v>
      </c>
      <c r="E788" s="44" t="str">
        <f>IFERROR(VLOOKUP(D788,MANO_DE_OBRA!A:B,2,FALSE()),"?")</f>
        <v>OFICIAL</v>
      </c>
      <c r="F788" s="44" t="s">
        <v>2778</v>
      </c>
      <c r="G788" s="45">
        <v>0.38461538461538503</v>
      </c>
      <c r="H788" s="46">
        <v>0</v>
      </c>
      <c r="I788" s="47">
        <f>IFERROR(VLOOKUP(D788,MANO_DE_OBRA!A:C,3,FALSE()),0)</f>
        <v>76955.079706571996</v>
      </c>
      <c r="J788" s="42">
        <f>G788*I788</f>
        <v>29598.1075794508</v>
      </c>
      <c r="K788" s="15" t="str">
        <f t="shared" si="97"/>
        <v>PTO-0301|MO</v>
      </c>
      <c r="L788" s="15">
        <f>COUNTIFS($K$2:K788,K788)</f>
        <v>3</v>
      </c>
      <c r="M788" s="15" t="str">
        <f t="shared" si="98"/>
        <v>PTO-0301|MO|3</v>
      </c>
      <c r="N788" s="47">
        <f>IFERROR(VLOOKUP(A788,PARTIDAS!A:F,6,FALSE()),0)</f>
        <v>1</v>
      </c>
      <c r="O788" s="247">
        <f t="shared" si="99"/>
        <v>0.38461538461538503</v>
      </c>
      <c r="P788" s="247">
        <f>+_xlfn.XLOOKUP(A788,PPTO_GENERADOR!Q:Q,PPTO_GENERADOR!E:E,"-",0)</f>
        <v>13</v>
      </c>
      <c r="Q788" s="247">
        <f t="shared" si="100"/>
        <v>5.0000000000000053</v>
      </c>
      <c r="R788" s="259">
        <f>+_xlfn.XLOOKUP(A788,PPTO_GENERADOR!$Q:$Q,PPTO_GENERADOR!A:A,"-",0)</f>
        <v>3.01</v>
      </c>
    </row>
    <row r="789" spans="1:18" ht="15" customHeight="1" x14ac:dyDescent="0.35">
      <c r="A789" s="38" t="s">
        <v>54</v>
      </c>
      <c r="B789" s="38" t="s">
        <v>2773</v>
      </c>
      <c r="C789" s="38"/>
      <c r="D789" s="38" t="s">
        <v>1779</v>
      </c>
      <c r="E789" s="44" t="str">
        <f>IFERROR(VLOOKUP(D789,EQUIPOS!A:B,2,FALSE()),"?")</f>
        <v>Herramientas menores y consumibles - Pilotes de tracción Ø 20 cm - (120 kg/m3 de hierro</v>
      </c>
      <c r="F789" s="44"/>
      <c r="G789" s="45">
        <v>1</v>
      </c>
      <c r="H789" s="46">
        <v>0</v>
      </c>
      <c r="I789" s="47">
        <f>IFERROR(VLOOKUP(D789,EQUIPOS!A:F,6,FALSE()),0)</f>
        <v>5108.5619451599996</v>
      </c>
      <c r="J789" s="42">
        <f>G789*I789</f>
        <v>5108.5619451599996</v>
      </c>
      <c r="K789" s="15" t="str">
        <f t="shared" si="97"/>
        <v>PTO-0302|EQ</v>
      </c>
      <c r="L789" s="15">
        <f>COUNTIFS($K$2:K789,K789)</f>
        <v>1</v>
      </c>
      <c r="M789" s="15" t="str">
        <f t="shared" si="98"/>
        <v>PTO-0302|EQ|1</v>
      </c>
      <c r="N789" s="47">
        <f>IFERROR(VLOOKUP(A789,PARTIDAS!A:F,6,FALSE()),0)</f>
        <v>1</v>
      </c>
      <c r="O789" s="247">
        <f t="shared" si="99"/>
        <v>1</v>
      </c>
      <c r="P789" s="247">
        <f>+_xlfn.XLOOKUP(A789,PPTO_GENERADOR!Q:Q,PPTO_GENERADOR!E:E,"-",0)</f>
        <v>18</v>
      </c>
      <c r="Q789" s="247">
        <f t="shared" si="100"/>
        <v>18</v>
      </c>
      <c r="R789" s="259">
        <f>+_xlfn.XLOOKUP(A789,PPTO_GENERADOR!$Q:$Q,PPTO_GENERADOR!A:A,"-",0)</f>
        <v>3.02</v>
      </c>
    </row>
    <row r="790" spans="1:18" ht="15" customHeight="1" x14ac:dyDescent="0.35">
      <c r="A790" s="38" t="s">
        <v>54</v>
      </c>
      <c r="B790" s="38" t="s">
        <v>2774</v>
      </c>
      <c r="C790" s="38" t="s">
        <v>2775</v>
      </c>
      <c r="D790" s="38" t="s">
        <v>1361</v>
      </c>
      <c r="E790" s="44" t="str">
        <f>IFERROR(VLOOKUP(D790,MATERIALES!A:B,2,FALSE()),"?")</f>
        <v>Consumibles</v>
      </c>
      <c r="F790" s="44" t="str">
        <f>IFERROR(VLOOKUP(D790,MATERIALES!A:C,3,FALSE()),"?")</f>
        <v>gl</v>
      </c>
      <c r="G790" s="45">
        <v>4312.8950640000003</v>
      </c>
      <c r="H790" s="46">
        <v>0</v>
      </c>
      <c r="I790" s="47">
        <f>IFERROR(VLOOKUP(D790,MATERIALES!A:D,4,FALSE()),0)</f>
        <v>1</v>
      </c>
      <c r="J790" s="42">
        <f>G790*I790*(1+H790)</f>
        <v>4312.8950640000003</v>
      </c>
      <c r="K790" s="15" t="str">
        <f t="shared" si="97"/>
        <v>PTO-0302|MAT</v>
      </c>
      <c r="L790" s="15">
        <f>COUNTIFS($K$2:K790,K790)</f>
        <v>1</v>
      </c>
      <c r="M790" s="15" t="str">
        <f t="shared" si="98"/>
        <v>PTO-0302|MAT|1</v>
      </c>
      <c r="N790" s="47">
        <f>IFERROR(VLOOKUP(A790,PARTIDAS!A:F,6,FALSE()),0)</f>
        <v>1</v>
      </c>
      <c r="O790" s="247">
        <f t="shared" si="99"/>
        <v>4312.8950640000003</v>
      </c>
      <c r="P790" s="247">
        <f>+_xlfn.XLOOKUP(A790,PPTO_GENERADOR!Q:Q,PPTO_GENERADOR!E:E,"-",0)</f>
        <v>18</v>
      </c>
      <c r="Q790" s="247">
        <f t="shared" si="100"/>
        <v>77632.111151999998</v>
      </c>
      <c r="R790" s="259">
        <f>+_xlfn.XLOOKUP(A790,PPTO_GENERADOR!$Q:$Q,PPTO_GENERADOR!A:A,"-",0)</f>
        <v>3.02</v>
      </c>
    </row>
    <row r="791" spans="1:18" ht="15" customHeight="1" x14ac:dyDescent="0.35">
      <c r="A791" s="38" t="s">
        <v>54</v>
      </c>
      <c r="B791" s="38" t="s">
        <v>2774</v>
      </c>
      <c r="C791" s="38" t="s">
        <v>2775</v>
      </c>
      <c r="D791" s="38" t="s">
        <v>1108</v>
      </c>
      <c r="E791" s="44" t="str">
        <f>IFERROR(VLOOKUP(D791,MATERIALES!A:B,2,FALSE()),"?")</f>
        <v>Hierro del 6</v>
      </c>
      <c r="F791" s="44" t="str">
        <f>IFERROR(VLOOKUP(D791,MATERIALES!A:C,3,FALSE()),"?")</f>
        <v>kg</v>
      </c>
      <c r="G791" s="45">
        <v>22.608000000000001</v>
      </c>
      <c r="H791" s="46">
        <v>0</v>
      </c>
      <c r="I791" s="47">
        <f>IFERROR(VLOOKUP(D791,MATERIALES!A:D,4,FALSE()),0)</f>
        <v>1704.41</v>
      </c>
      <c r="J791" s="42">
        <f>G791*I791*(1+H791)</f>
        <v>38533.30128</v>
      </c>
      <c r="K791" s="15" t="str">
        <f t="shared" si="97"/>
        <v>PTO-0302|MAT</v>
      </c>
      <c r="L791" s="15">
        <f>COUNTIFS($K$2:K791,K791)</f>
        <v>2</v>
      </c>
      <c r="M791" s="15" t="str">
        <f t="shared" si="98"/>
        <v>PTO-0302|MAT|2</v>
      </c>
      <c r="N791" s="47">
        <f>IFERROR(VLOOKUP(A791,PARTIDAS!A:F,6,FALSE()),0)</f>
        <v>1</v>
      </c>
      <c r="O791" s="247">
        <f t="shared" si="99"/>
        <v>22.608000000000001</v>
      </c>
      <c r="P791" s="247">
        <f>+_xlfn.XLOOKUP(A791,PPTO_GENERADOR!Q:Q,PPTO_GENERADOR!E:E,"-",0)</f>
        <v>18</v>
      </c>
      <c r="Q791" s="247">
        <f t="shared" si="100"/>
        <v>406.94400000000002</v>
      </c>
      <c r="R791" s="259">
        <f>+_xlfn.XLOOKUP(A791,PPTO_GENERADOR!$Q:$Q,PPTO_GENERADOR!A:A,"-",0)</f>
        <v>3.02</v>
      </c>
    </row>
    <row r="792" spans="1:18" ht="15" customHeight="1" x14ac:dyDescent="0.35">
      <c r="A792" s="38" t="s">
        <v>54</v>
      </c>
      <c r="B792" s="38" t="s">
        <v>2774</v>
      </c>
      <c r="C792" s="38" t="s">
        <v>2775</v>
      </c>
      <c r="D792" s="38" t="s">
        <v>1111</v>
      </c>
      <c r="E792" s="44" t="str">
        <f>IFERROR(VLOOKUP(D792,MATERIALES!A:B,2,FALSE()),"?")</f>
        <v>CEMENTO AVELLANEDA x 50 KG</v>
      </c>
      <c r="F792" s="44" t="str">
        <f>IFERROR(VLOOKUP(D792,MATERIALES!A:C,3,FALSE()),"?")</f>
        <v>bol</v>
      </c>
      <c r="G792" s="45">
        <v>6.1111111111111098</v>
      </c>
      <c r="H792" s="46">
        <v>0</v>
      </c>
      <c r="I792" s="47">
        <f>IFERROR(VLOOKUP(D792,MATERIALES!A:D,4,FALSE()),0)</f>
        <v>7809.48</v>
      </c>
      <c r="J792" s="42">
        <f>G792*I792*(1+H792)</f>
        <v>47724.599999999984</v>
      </c>
      <c r="K792" s="15" t="str">
        <f t="shared" si="97"/>
        <v>PTO-0302|MAT</v>
      </c>
      <c r="L792" s="15">
        <f>COUNTIFS($K$2:K792,K792)</f>
        <v>3</v>
      </c>
      <c r="M792" s="15" t="str">
        <f t="shared" si="98"/>
        <v>PTO-0302|MAT|3</v>
      </c>
      <c r="N792" s="47">
        <f>IFERROR(VLOOKUP(A792,PARTIDAS!A:F,6,FALSE()),0)</f>
        <v>1</v>
      </c>
      <c r="O792" s="247">
        <f t="shared" si="99"/>
        <v>6.1111111111111098</v>
      </c>
      <c r="P792" s="247">
        <f>+_xlfn.XLOOKUP(A792,PPTO_GENERADOR!Q:Q,PPTO_GENERADOR!E:E,"-",0)</f>
        <v>18</v>
      </c>
      <c r="Q792" s="247">
        <f t="shared" si="100"/>
        <v>109.99999999999997</v>
      </c>
      <c r="R792" s="259">
        <f>+_xlfn.XLOOKUP(A792,PPTO_GENERADOR!$Q:$Q,PPTO_GENERADOR!A:A,"-",0)</f>
        <v>3.02</v>
      </c>
    </row>
    <row r="793" spans="1:18" ht="15" customHeight="1" x14ac:dyDescent="0.35">
      <c r="A793" s="38" t="s">
        <v>54</v>
      </c>
      <c r="B793" s="38" t="s">
        <v>2776</v>
      </c>
      <c r="C793" s="38" t="s">
        <v>2775</v>
      </c>
      <c r="D793" s="38" t="s">
        <v>2243</v>
      </c>
      <c r="E793" s="44" t="str">
        <f>IFERROR(VLOOKUP(D793,SUBCONTRATOS_PRY!A:B,2,FALSE()),"?")</f>
        <v>M.O</v>
      </c>
      <c r="F793" s="44" t="s">
        <v>2778</v>
      </c>
      <c r="G793" s="45">
        <v>5.5555555555555601E-2</v>
      </c>
      <c r="H793" s="46">
        <v>0</v>
      </c>
      <c r="I793" s="47">
        <f>IFERROR(VLOOKUP(D793,SUBCONTRATOS_PRY!A:D,4,FALSE()),0)</f>
        <v>4500000</v>
      </c>
      <c r="J793" s="42">
        <f>G793*I793</f>
        <v>250000.0000000002</v>
      </c>
      <c r="K793" s="15" t="str">
        <f t="shared" si="97"/>
        <v>PTO-0302|MO</v>
      </c>
      <c r="L793" s="15">
        <f>COUNTIFS($K$2:K793,K793)</f>
        <v>1</v>
      </c>
      <c r="M793" s="15" t="str">
        <f t="shared" si="98"/>
        <v>PTO-0302|MO|1</v>
      </c>
      <c r="N793" s="47">
        <f>IFERROR(VLOOKUP(A793,PARTIDAS!A:F,6,FALSE()),0)</f>
        <v>1</v>
      </c>
      <c r="O793" s="247">
        <f t="shared" si="99"/>
        <v>5.5555555555555601E-2</v>
      </c>
      <c r="P793" s="247">
        <f>+_xlfn.XLOOKUP(A793,PPTO_GENERADOR!Q:Q,PPTO_GENERADOR!E:E,"-",0)</f>
        <v>18</v>
      </c>
      <c r="Q793" s="247">
        <f t="shared" si="100"/>
        <v>1.0000000000000009</v>
      </c>
      <c r="R793" s="259">
        <f>+_xlfn.XLOOKUP(A793,PPTO_GENERADOR!$Q:$Q,PPTO_GENERADOR!A:A,"-",0)</f>
        <v>3.02</v>
      </c>
    </row>
    <row r="794" spans="1:18" ht="15" customHeight="1" x14ac:dyDescent="0.35">
      <c r="A794" s="38" t="s">
        <v>56</v>
      </c>
      <c r="B794" s="38" t="s">
        <v>2773</v>
      </c>
      <c r="C794" s="38"/>
      <c r="D794" s="38" t="s">
        <v>1689</v>
      </c>
      <c r="E794" s="44" t="str">
        <f>IFERROR(VLOOKUP(D794,EQUIPOS!A:B,2,FALSE()),"?")</f>
        <v>Herramientas y consumibles Tabique submuración - H35 (95 kg/m3 de hierro)</v>
      </c>
      <c r="F794" s="44"/>
      <c r="G794" s="45">
        <v>1</v>
      </c>
      <c r="H794" s="46">
        <v>0</v>
      </c>
      <c r="I794" s="47">
        <f>IFERROR(VLOOKUP(D794,EQUIPOS!A:F,6,FALSE()),0)</f>
        <v>11395.701623995201</v>
      </c>
      <c r="J794" s="42">
        <f>G794*I794</f>
        <v>11395.701623995201</v>
      </c>
      <c r="K794" s="15" t="str">
        <f t="shared" si="97"/>
        <v>PTO-0303|EQ</v>
      </c>
      <c r="L794" s="15">
        <f>COUNTIFS($K$2:K794,K794)</f>
        <v>1</v>
      </c>
      <c r="M794" s="15" t="str">
        <f t="shared" si="98"/>
        <v>PTO-0303|EQ|1</v>
      </c>
      <c r="N794" s="47">
        <f>IFERROR(VLOOKUP(A794,PARTIDAS!A:F,6,FALSE()),0)</f>
        <v>1</v>
      </c>
      <c r="O794" s="247">
        <f t="shared" si="99"/>
        <v>1</v>
      </c>
      <c r="P794" s="247">
        <f>+_xlfn.XLOOKUP(A794,PPTO_GENERADOR!Q:Q,PPTO_GENERADOR!E:E,"-",0)</f>
        <v>12</v>
      </c>
      <c r="Q794" s="247">
        <f t="shared" si="100"/>
        <v>12</v>
      </c>
      <c r="R794" s="259">
        <f>+_xlfn.XLOOKUP(A794,PPTO_GENERADOR!$Q:$Q,PPTO_GENERADOR!A:A,"-",0)</f>
        <v>3.03</v>
      </c>
    </row>
    <row r="795" spans="1:18" ht="15" customHeight="1" x14ac:dyDescent="0.35">
      <c r="A795" s="38" t="s">
        <v>56</v>
      </c>
      <c r="B795" s="38" t="s">
        <v>2774</v>
      </c>
      <c r="C795" s="38" t="s">
        <v>2779</v>
      </c>
      <c r="D795" s="38" t="s">
        <v>1113</v>
      </c>
      <c r="E795" s="44" t="str">
        <f>IFERROR(VLOOKUP(D795,MATERIALES!A:B,2,FALSE()),"?")</f>
        <v>Tabique submuración - H35 (95 kg/m3 de hierro)</v>
      </c>
      <c r="F795" s="44" t="str">
        <f>IFERROR(VLOOKUP(D795,MATERIALES!A:C,3,FALSE()),"?")</f>
        <v>m3</v>
      </c>
      <c r="G795" s="45">
        <v>1</v>
      </c>
      <c r="H795" s="46">
        <v>0</v>
      </c>
      <c r="I795" s="47">
        <f>IFERROR(VLOOKUP(D795,MATERIALES!A:D,4,FALSE()),0)</f>
        <v>402072.54172518197</v>
      </c>
      <c r="J795" s="42">
        <f>G795*I795*(1+H795)</f>
        <v>402072.54172518197</v>
      </c>
      <c r="K795" s="15" t="str">
        <f t="shared" si="97"/>
        <v>PTO-0303|MAT</v>
      </c>
      <c r="L795" s="15">
        <f>COUNTIFS($K$2:K795,K795)</f>
        <v>1</v>
      </c>
      <c r="M795" s="15" t="str">
        <f t="shared" si="98"/>
        <v>PTO-0303|MAT|1</v>
      </c>
      <c r="N795" s="47">
        <f>IFERROR(VLOOKUP(A795,PARTIDAS!A:F,6,FALSE()),0)</f>
        <v>1</v>
      </c>
      <c r="O795" s="247">
        <f t="shared" si="99"/>
        <v>1</v>
      </c>
      <c r="P795" s="247">
        <f>+_xlfn.XLOOKUP(A795,PPTO_GENERADOR!Q:Q,PPTO_GENERADOR!E:E,"-",0)</f>
        <v>12</v>
      </c>
      <c r="Q795" s="247">
        <f t="shared" si="100"/>
        <v>12</v>
      </c>
      <c r="R795" s="259">
        <f>+_xlfn.XLOOKUP(A795,PPTO_GENERADOR!$Q:$Q,PPTO_GENERADOR!A:A,"-",0)</f>
        <v>3.03</v>
      </c>
    </row>
    <row r="796" spans="1:18" ht="15" customHeight="1" x14ac:dyDescent="0.35">
      <c r="A796" s="38" t="s">
        <v>56</v>
      </c>
      <c r="B796" s="38" t="s">
        <v>2776</v>
      </c>
      <c r="C796" s="38" t="s">
        <v>2775</v>
      </c>
      <c r="D796" s="38" t="s">
        <v>2246</v>
      </c>
      <c r="E796" s="44" t="str">
        <f>IFERROR(VLOOKUP(D796,SUBCONTRATOS_PRY!A:B,2,FALSE()),"?")</f>
        <v>MO Tabique submuración - H35 (95 kg/m3 de hierro)</v>
      </c>
      <c r="F796" s="44" t="s">
        <v>2778</v>
      </c>
      <c r="G796" s="45">
        <v>1</v>
      </c>
      <c r="H796" s="46">
        <v>0</v>
      </c>
      <c r="I796" s="47">
        <f>IFERROR(VLOOKUP(D796,SUBCONTRATOS_PRY!A:D,4,FALSE()),0)</f>
        <v>357640.8998745</v>
      </c>
      <c r="J796" s="42">
        <f>G796*I796</f>
        <v>357640.8998745</v>
      </c>
      <c r="K796" s="15" t="str">
        <f t="shared" si="97"/>
        <v>PTO-0303|MO</v>
      </c>
      <c r="L796" s="15">
        <f>COUNTIFS($K$2:K796,K796)</f>
        <v>1</v>
      </c>
      <c r="M796" s="15" t="str">
        <f t="shared" si="98"/>
        <v>PTO-0303|MO|1</v>
      </c>
      <c r="N796" s="47">
        <f>IFERROR(VLOOKUP(A796,PARTIDAS!A:F,6,FALSE()),0)</f>
        <v>1</v>
      </c>
      <c r="O796" s="247">
        <f t="shared" si="99"/>
        <v>1</v>
      </c>
      <c r="P796" s="247">
        <f>+_xlfn.XLOOKUP(A796,PPTO_GENERADOR!Q:Q,PPTO_GENERADOR!E:E,"-",0)</f>
        <v>12</v>
      </c>
      <c r="Q796" s="247">
        <f t="shared" si="100"/>
        <v>12</v>
      </c>
      <c r="R796" s="259">
        <f>+_xlfn.XLOOKUP(A796,PPTO_GENERADOR!$Q:$Q,PPTO_GENERADOR!A:A,"-",0)</f>
        <v>3.03</v>
      </c>
    </row>
    <row r="797" spans="1:18" ht="15" customHeight="1" x14ac:dyDescent="0.35">
      <c r="A797" s="38" t="s">
        <v>58</v>
      </c>
      <c r="B797" s="38" t="s">
        <v>2773</v>
      </c>
      <c r="C797" s="38"/>
      <c r="D797" s="38" t="s">
        <v>1692</v>
      </c>
      <c r="E797" s="44" t="str">
        <f>IFERROR(VLOOKUP(D797,EQUIPOS!A:B,2,FALSE()),"?")</f>
        <v>Herramientas y consumibles Zapata corrida tabique - H35 (120 kg/m3 de hierro)</v>
      </c>
      <c r="F797" s="44"/>
      <c r="G797" s="45">
        <v>1</v>
      </c>
      <c r="H797" s="46">
        <v>0</v>
      </c>
      <c r="I797" s="47">
        <f>IFERROR(VLOOKUP(D797,EQUIPOS!A:F,6,FALSE()),0)</f>
        <v>10647.458136473801</v>
      </c>
      <c r="J797" s="42">
        <f>G797*I797</f>
        <v>10647.458136473801</v>
      </c>
      <c r="K797" s="15" t="str">
        <f t="shared" si="97"/>
        <v>PTO-0304|EQ</v>
      </c>
      <c r="L797" s="15">
        <f>COUNTIFS($K$2:K797,K797)</f>
        <v>1</v>
      </c>
      <c r="M797" s="15" t="str">
        <f t="shared" si="98"/>
        <v>PTO-0304|EQ|1</v>
      </c>
      <c r="N797" s="47">
        <f>IFERROR(VLOOKUP(A797,PARTIDAS!A:F,6,FALSE()),0)</f>
        <v>1</v>
      </c>
      <c r="O797" s="247">
        <f t="shared" si="99"/>
        <v>1</v>
      </c>
      <c r="P797" s="247">
        <f>+_xlfn.XLOOKUP(A797,PPTO_GENERADOR!Q:Q,PPTO_GENERADOR!E:E,"-",0)</f>
        <v>7</v>
      </c>
      <c r="Q797" s="247">
        <f t="shared" si="100"/>
        <v>7</v>
      </c>
      <c r="R797" s="259">
        <f>+_xlfn.XLOOKUP(A797,PPTO_GENERADOR!$Q:$Q,PPTO_GENERADOR!A:A,"-",0)</f>
        <v>3.04</v>
      </c>
    </row>
    <row r="798" spans="1:18" ht="15" customHeight="1" x14ac:dyDescent="0.35">
      <c r="A798" s="38" t="s">
        <v>58</v>
      </c>
      <c r="B798" s="38" t="s">
        <v>2774</v>
      </c>
      <c r="C798" s="38" t="s">
        <v>2779</v>
      </c>
      <c r="D798" s="38" t="s">
        <v>1115</v>
      </c>
      <c r="E798" s="44" t="str">
        <f>IFERROR(VLOOKUP(D798,MATERIALES!A:B,2,FALSE()),"?")</f>
        <v>Zapata corrida tabique - H35 (120 kg/m3 de hierro)</v>
      </c>
      <c r="F798" s="44" t="str">
        <f>IFERROR(VLOOKUP(D798,MATERIALES!A:C,3,FALSE()),"?")</f>
        <v>m3</v>
      </c>
      <c r="G798" s="45">
        <v>1</v>
      </c>
      <c r="H798" s="46">
        <v>0</v>
      </c>
      <c r="I798" s="47">
        <f>IFERROR(VLOOKUP(D798,MATERIALES!A:D,4,FALSE()),0)</f>
        <v>428196.58025620203</v>
      </c>
      <c r="J798" s="42">
        <f>G798*I798*(1+H798)</f>
        <v>428196.58025620203</v>
      </c>
      <c r="K798" s="15" t="str">
        <f t="shared" si="97"/>
        <v>PTO-0304|MAT</v>
      </c>
      <c r="L798" s="15">
        <f>COUNTIFS($K$2:K798,K798)</f>
        <v>1</v>
      </c>
      <c r="M798" s="15" t="str">
        <f t="shared" si="98"/>
        <v>PTO-0304|MAT|1</v>
      </c>
      <c r="N798" s="47">
        <f>IFERROR(VLOOKUP(A798,PARTIDAS!A:F,6,FALSE()),0)</f>
        <v>1</v>
      </c>
      <c r="O798" s="247">
        <f t="shared" si="99"/>
        <v>1</v>
      </c>
      <c r="P798" s="247">
        <f>+_xlfn.XLOOKUP(A798,PPTO_GENERADOR!Q:Q,PPTO_GENERADOR!E:E,"-",0)</f>
        <v>7</v>
      </c>
      <c r="Q798" s="247">
        <f t="shared" si="100"/>
        <v>7</v>
      </c>
      <c r="R798" s="259">
        <f>+_xlfn.XLOOKUP(A798,PPTO_GENERADOR!$Q:$Q,PPTO_GENERADOR!A:A,"-",0)</f>
        <v>3.04</v>
      </c>
    </row>
    <row r="799" spans="1:18" ht="15" customHeight="1" x14ac:dyDescent="0.35">
      <c r="A799" s="38" t="s">
        <v>58</v>
      </c>
      <c r="B799" s="38" t="s">
        <v>2776</v>
      </c>
      <c r="C799" s="38" t="s">
        <v>2775</v>
      </c>
      <c r="D799" s="38" t="s">
        <v>2248</v>
      </c>
      <c r="E799" s="44" t="str">
        <f>IFERROR(VLOOKUP(D799,SUBCONTRATOS_PRY!A:B,2,FALSE()),"?")</f>
        <v>MO Zapata corrida tabique - H35 (120 kg/m3 de hierro)</v>
      </c>
      <c r="F799" s="44" t="s">
        <v>2778</v>
      </c>
      <c r="G799" s="45">
        <v>1</v>
      </c>
      <c r="H799" s="46">
        <v>0</v>
      </c>
      <c r="I799" s="47">
        <f>IFERROR(VLOOKUP(D799,SUBCONTRATOS_PRY!A:D,4,FALSE()),0)</f>
        <v>281633.96217538603</v>
      </c>
      <c r="J799" s="42">
        <f>G799*I799</f>
        <v>281633.96217538603</v>
      </c>
      <c r="K799" s="15" t="str">
        <f t="shared" si="97"/>
        <v>PTO-0304|MO</v>
      </c>
      <c r="L799" s="15">
        <f>COUNTIFS($K$2:K799,K799)</f>
        <v>1</v>
      </c>
      <c r="M799" s="15" t="str">
        <f t="shared" si="98"/>
        <v>PTO-0304|MO|1</v>
      </c>
      <c r="N799" s="47">
        <f>IFERROR(VLOOKUP(A799,PARTIDAS!A:F,6,FALSE()),0)</f>
        <v>1</v>
      </c>
      <c r="O799" s="247">
        <f t="shared" si="99"/>
        <v>1</v>
      </c>
      <c r="P799" s="247">
        <f>+_xlfn.XLOOKUP(A799,PPTO_GENERADOR!Q:Q,PPTO_GENERADOR!E:E,"-",0)</f>
        <v>7</v>
      </c>
      <c r="Q799" s="247">
        <f t="shared" si="100"/>
        <v>7</v>
      </c>
      <c r="R799" s="259">
        <f>+_xlfn.XLOOKUP(A799,PPTO_GENERADOR!$Q:$Q,PPTO_GENERADOR!A:A,"-",0)</f>
        <v>3.04</v>
      </c>
    </row>
    <row r="800" spans="1:18" ht="15" customHeight="1" x14ac:dyDescent="0.35">
      <c r="A800" s="38" t="s">
        <v>60</v>
      </c>
      <c r="B800" s="38" t="s">
        <v>2773</v>
      </c>
      <c r="C800" s="38"/>
      <c r="D800" s="38" t="s">
        <v>1695</v>
      </c>
      <c r="E800" s="44" t="str">
        <f>IFERROR(VLOOKUP(D800,EQUIPOS!A:B,2,FALSE()),"?")</f>
        <v>Herramientas y consumibles Platea - H35 (95 kg/m3 de hierro)</v>
      </c>
      <c r="F800" s="44"/>
      <c r="G800" s="45">
        <v>1</v>
      </c>
      <c r="H800" s="46">
        <v>0</v>
      </c>
      <c r="I800" s="47">
        <f>IFERROR(VLOOKUP(D800,EQUIPOS!A:F,6,FALSE()),0)</f>
        <v>7920.4190953709203</v>
      </c>
      <c r="J800" s="42">
        <f>G800*I800</f>
        <v>7920.4190953709203</v>
      </c>
      <c r="K800" s="15" t="str">
        <f t="shared" si="97"/>
        <v>PTO-0305|EQ</v>
      </c>
      <c r="L800" s="15">
        <f>COUNTIFS($K$2:K800,K800)</f>
        <v>1</v>
      </c>
      <c r="M800" s="15" t="str">
        <f t="shared" si="98"/>
        <v>PTO-0305|EQ|1</v>
      </c>
      <c r="N800" s="47">
        <f>IFERROR(VLOOKUP(A800,PARTIDAS!A:F,6,FALSE()),0)</f>
        <v>1</v>
      </c>
      <c r="O800" s="247">
        <f t="shared" si="99"/>
        <v>1</v>
      </c>
      <c r="P800" s="247">
        <f>+_xlfn.XLOOKUP(A800,PPTO_GENERADOR!Q:Q,PPTO_GENERADOR!E:E,"-",0)</f>
        <v>38</v>
      </c>
      <c r="Q800" s="247">
        <f t="shared" si="100"/>
        <v>38</v>
      </c>
      <c r="R800" s="259">
        <f>+_xlfn.XLOOKUP(A800,PPTO_GENERADOR!$Q:$Q,PPTO_GENERADOR!A:A,"-",0)</f>
        <v>3.05</v>
      </c>
    </row>
    <row r="801" spans="1:18" ht="15" customHeight="1" x14ac:dyDescent="0.35">
      <c r="A801" s="38" t="s">
        <v>60</v>
      </c>
      <c r="B801" s="38" t="s">
        <v>2774</v>
      </c>
      <c r="C801" s="38" t="s">
        <v>2779</v>
      </c>
      <c r="D801" s="38" t="s">
        <v>1117</v>
      </c>
      <c r="E801" s="44" t="str">
        <f>IFERROR(VLOOKUP(D801,MATERIALES!A:B,2,FALSE()),"?")</f>
        <v>Platea - H35 (95 kg/m3 de hierro)</v>
      </c>
      <c r="F801" s="44" t="str">
        <f>IFERROR(VLOOKUP(D801,MATERIALES!A:C,3,FALSE()),"?")</f>
        <v>m3</v>
      </c>
      <c r="G801" s="45">
        <v>1</v>
      </c>
      <c r="H801" s="46">
        <v>0</v>
      </c>
      <c r="I801" s="47">
        <f>IFERROR(VLOOKUP(D801,MATERIALES!A:D,4,FALSE()),0)</f>
        <v>333700.50579037803</v>
      </c>
      <c r="J801" s="42">
        <f>G801*I801*(1+H801)</f>
        <v>333700.50579037803</v>
      </c>
      <c r="K801" s="15" t="str">
        <f t="shared" si="97"/>
        <v>PTO-0305|MAT</v>
      </c>
      <c r="L801" s="15">
        <f>COUNTIFS($K$2:K801,K801)</f>
        <v>1</v>
      </c>
      <c r="M801" s="15" t="str">
        <f t="shared" si="98"/>
        <v>PTO-0305|MAT|1</v>
      </c>
      <c r="N801" s="47">
        <f>IFERROR(VLOOKUP(A801,PARTIDAS!A:F,6,FALSE()),0)</f>
        <v>1</v>
      </c>
      <c r="O801" s="247">
        <f t="shared" si="99"/>
        <v>1</v>
      </c>
      <c r="P801" s="247">
        <f>+_xlfn.XLOOKUP(A801,PPTO_GENERADOR!Q:Q,PPTO_GENERADOR!E:E,"-",0)</f>
        <v>38</v>
      </c>
      <c r="Q801" s="247">
        <f t="shared" si="100"/>
        <v>38</v>
      </c>
      <c r="R801" s="259">
        <f>+_xlfn.XLOOKUP(A801,PPTO_GENERADOR!$Q:$Q,PPTO_GENERADOR!A:A,"-",0)</f>
        <v>3.05</v>
      </c>
    </row>
    <row r="802" spans="1:18" ht="15" customHeight="1" x14ac:dyDescent="0.35">
      <c r="A802" s="38" t="s">
        <v>60</v>
      </c>
      <c r="B802" s="38" t="s">
        <v>2776</v>
      </c>
      <c r="C802" s="38" t="s">
        <v>2775</v>
      </c>
      <c r="D802" s="38" t="s">
        <v>2250</v>
      </c>
      <c r="E802" s="44" t="str">
        <f>IFERROR(VLOOKUP(D802,SUBCONTRATOS_PRY!A:B,2,FALSE()),"?")</f>
        <v>MO Platea - H35 (95 kg/m3 de hierro)</v>
      </c>
      <c r="F802" s="44" t="s">
        <v>2778</v>
      </c>
      <c r="G802" s="45">
        <v>1</v>
      </c>
      <c r="H802" s="46">
        <v>0</v>
      </c>
      <c r="I802" s="47">
        <f>IFERROR(VLOOKUP(D802,SUBCONTRATOS_PRY!A:D,4,FALSE()),0)</f>
        <v>194327.43390101599</v>
      </c>
      <c r="J802" s="42">
        <f>G802*I802</f>
        <v>194327.43390101599</v>
      </c>
      <c r="K802" s="15" t="str">
        <f t="shared" si="97"/>
        <v>PTO-0305|MO</v>
      </c>
      <c r="L802" s="15">
        <f>COUNTIFS($K$2:K802,K802)</f>
        <v>1</v>
      </c>
      <c r="M802" s="15" t="str">
        <f t="shared" si="98"/>
        <v>PTO-0305|MO|1</v>
      </c>
      <c r="N802" s="47">
        <f>IFERROR(VLOOKUP(A802,PARTIDAS!A:F,6,FALSE()),0)</f>
        <v>1</v>
      </c>
      <c r="O802" s="247">
        <f t="shared" si="99"/>
        <v>1</v>
      </c>
      <c r="P802" s="247">
        <f>+_xlfn.XLOOKUP(A802,PPTO_GENERADOR!Q:Q,PPTO_GENERADOR!E:E,"-",0)</f>
        <v>38</v>
      </c>
      <c r="Q802" s="247">
        <f t="shared" si="100"/>
        <v>38</v>
      </c>
      <c r="R802" s="259">
        <f>+_xlfn.XLOOKUP(A802,PPTO_GENERADOR!$Q:$Q,PPTO_GENERADOR!A:A,"-",0)</f>
        <v>3.05</v>
      </c>
    </row>
    <row r="803" spans="1:18" ht="15" customHeight="1" x14ac:dyDescent="0.35">
      <c r="A803" s="38" t="s">
        <v>62</v>
      </c>
      <c r="B803" s="38" t="s">
        <v>2773</v>
      </c>
      <c r="C803" s="38"/>
      <c r="D803" s="38" t="s">
        <v>1698</v>
      </c>
      <c r="E803" s="44" t="str">
        <f>IFERROR(VLOOKUP(D803,EQUIPOS!A:B,2,FALSE()),"?")</f>
        <v>Herramientas y consumibles Bases aisladas - (60 kg/m3 de hierro)</v>
      </c>
      <c r="F803" s="44"/>
      <c r="G803" s="45">
        <v>1</v>
      </c>
      <c r="H803" s="46">
        <v>0</v>
      </c>
      <c r="I803" s="47">
        <f>IFERROR(VLOOKUP(D803,EQUIPOS!A:F,6,FALSE()),0)</f>
        <v>7040.5471828709196</v>
      </c>
      <c r="J803" s="42">
        <f>G803*I803</f>
        <v>7040.5471828709196</v>
      </c>
      <c r="K803" s="15" t="str">
        <f t="shared" si="97"/>
        <v>PTO-0306|EQ</v>
      </c>
      <c r="L803" s="15">
        <f>COUNTIFS($K$2:K803,K803)</f>
        <v>1</v>
      </c>
      <c r="M803" s="15" t="str">
        <f t="shared" si="98"/>
        <v>PTO-0306|EQ|1</v>
      </c>
      <c r="N803" s="47">
        <f>IFERROR(VLOOKUP(A803,PARTIDAS!A:F,6,FALSE()),0)</f>
        <v>1</v>
      </c>
      <c r="O803" s="247">
        <f t="shared" si="99"/>
        <v>1</v>
      </c>
      <c r="P803" s="247">
        <f>+_xlfn.XLOOKUP(A803,PPTO_GENERADOR!Q:Q,PPTO_GENERADOR!E:E,"-",0)</f>
        <v>51</v>
      </c>
      <c r="Q803" s="247">
        <f t="shared" si="100"/>
        <v>51</v>
      </c>
      <c r="R803" s="259">
        <f>+_xlfn.XLOOKUP(A803,PPTO_GENERADOR!$Q:$Q,PPTO_GENERADOR!A:A,"-",0)</f>
        <v>3.06</v>
      </c>
    </row>
    <row r="804" spans="1:18" ht="15" customHeight="1" x14ac:dyDescent="0.35">
      <c r="A804" s="38" t="s">
        <v>62</v>
      </c>
      <c r="B804" s="38" t="s">
        <v>2774</v>
      </c>
      <c r="C804" s="38" t="s">
        <v>2779</v>
      </c>
      <c r="D804" s="38" t="s">
        <v>1119</v>
      </c>
      <c r="E804" s="44" t="str">
        <f>IFERROR(VLOOKUP(D804,MATERIALES!A:B,2,FALSE()),"?")</f>
        <v>Bases aisladas - (60 kg/m3 de hierro)</v>
      </c>
      <c r="F804" s="44" t="str">
        <f>IFERROR(VLOOKUP(D804,MATERIALES!A:C,3,FALSE()),"?")</f>
        <v>m3</v>
      </c>
      <c r="G804" s="45">
        <v>1</v>
      </c>
      <c r="H804" s="46">
        <v>0</v>
      </c>
      <c r="I804" s="47">
        <f>IFERROR(VLOOKUP(D804,MATERIALES!A:D,4,FALSE()),0)</f>
        <v>275042.37829037802</v>
      </c>
      <c r="J804" s="42">
        <f>G804*I804*(1+H804)</f>
        <v>275042.37829037802</v>
      </c>
      <c r="K804" s="15" t="str">
        <f t="shared" si="97"/>
        <v>PTO-0306|MAT</v>
      </c>
      <c r="L804" s="15">
        <f>COUNTIFS($K$2:K804,K804)</f>
        <v>1</v>
      </c>
      <c r="M804" s="15" t="str">
        <f t="shared" si="98"/>
        <v>PTO-0306|MAT|1</v>
      </c>
      <c r="N804" s="47">
        <f>IFERROR(VLOOKUP(A804,PARTIDAS!A:F,6,FALSE()),0)</f>
        <v>1</v>
      </c>
      <c r="O804" s="247">
        <f t="shared" si="99"/>
        <v>1</v>
      </c>
      <c r="P804" s="247">
        <f>+_xlfn.XLOOKUP(A804,PPTO_GENERADOR!Q:Q,PPTO_GENERADOR!E:E,"-",0)</f>
        <v>51</v>
      </c>
      <c r="Q804" s="247">
        <f t="shared" si="100"/>
        <v>51</v>
      </c>
      <c r="R804" s="259">
        <f>+_xlfn.XLOOKUP(A804,PPTO_GENERADOR!$Q:$Q,PPTO_GENERADOR!A:A,"-",0)</f>
        <v>3.06</v>
      </c>
    </row>
    <row r="805" spans="1:18" ht="15" customHeight="1" x14ac:dyDescent="0.35">
      <c r="A805" s="38" t="s">
        <v>62</v>
      </c>
      <c r="B805" s="38" t="s">
        <v>2776</v>
      </c>
      <c r="C805" s="38" t="s">
        <v>2775</v>
      </c>
      <c r="D805" s="38" t="s">
        <v>2252</v>
      </c>
      <c r="E805" s="44" t="str">
        <f>IFERROR(VLOOKUP(D805,SUBCONTRATOS_PRY!A:B,2,FALSE()),"?")</f>
        <v>MO Bases aisladas - (60 kg/m3 de hierro)</v>
      </c>
      <c r="F805" s="44" t="s">
        <v>2778</v>
      </c>
      <c r="G805" s="45">
        <v>1</v>
      </c>
      <c r="H805" s="46">
        <v>0</v>
      </c>
      <c r="I805" s="47">
        <f>IFERROR(VLOOKUP(D805,SUBCONTRATOS_PRY!A:D,4,FALSE()),0)</f>
        <v>194327.43390101599</v>
      </c>
      <c r="J805" s="42">
        <f>G805*I805</f>
        <v>194327.43390101599</v>
      </c>
      <c r="K805" s="15" t="str">
        <f t="shared" si="97"/>
        <v>PTO-0306|MO</v>
      </c>
      <c r="L805" s="15">
        <f>COUNTIFS($K$2:K805,K805)</f>
        <v>1</v>
      </c>
      <c r="M805" s="15" t="str">
        <f t="shared" si="98"/>
        <v>PTO-0306|MO|1</v>
      </c>
      <c r="N805" s="47">
        <f>IFERROR(VLOOKUP(A805,PARTIDAS!A:F,6,FALSE()),0)</f>
        <v>1</v>
      </c>
      <c r="O805" s="247">
        <f t="shared" si="99"/>
        <v>1</v>
      </c>
      <c r="P805" s="247">
        <f>+_xlfn.XLOOKUP(A805,PPTO_GENERADOR!Q:Q,PPTO_GENERADOR!E:E,"-",0)</f>
        <v>51</v>
      </c>
      <c r="Q805" s="247">
        <f t="shared" si="100"/>
        <v>51</v>
      </c>
      <c r="R805" s="259">
        <f>+_xlfn.XLOOKUP(A805,PPTO_GENERADOR!$Q:$Q,PPTO_GENERADOR!A:A,"-",0)</f>
        <v>3.06</v>
      </c>
    </row>
    <row r="806" spans="1:18" ht="15" customHeight="1" x14ac:dyDescent="0.35">
      <c r="A806" s="38" t="s">
        <v>64</v>
      </c>
      <c r="B806" s="38" t="s">
        <v>2773</v>
      </c>
      <c r="C806" s="38"/>
      <c r="D806" s="38" t="s">
        <v>1701</v>
      </c>
      <c r="E806" s="44" t="str">
        <f>IFERROR(VLOOKUP(D806,EQUIPOS!A:B,2,FALSE()),"?")</f>
        <v>Herramientas y consumibles Troncos de columnas - H35 (240 kg/m3 de hierro)</v>
      </c>
      <c r="F806" s="44"/>
      <c r="G806" s="45">
        <v>1</v>
      </c>
      <c r="H806" s="46">
        <v>0</v>
      </c>
      <c r="I806" s="47">
        <f>IFERROR(VLOOKUP(D806,EQUIPOS!A:F,6,FALSE()),0)</f>
        <v>14296.601471079201</v>
      </c>
      <c r="J806" s="42">
        <f>G806*I806</f>
        <v>14296.601471079201</v>
      </c>
      <c r="K806" s="15" t="str">
        <f t="shared" si="97"/>
        <v>PTO-0307|EQ</v>
      </c>
      <c r="L806" s="15">
        <f>COUNTIFS($K$2:K806,K806)</f>
        <v>1</v>
      </c>
      <c r="M806" s="15" t="str">
        <f t="shared" si="98"/>
        <v>PTO-0307|EQ|1</v>
      </c>
      <c r="N806" s="47">
        <f>IFERROR(VLOOKUP(A806,PARTIDAS!A:F,6,FALSE()),0)</f>
        <v>1</v>
      </c>
      <c r="O806" s="247">
        <f t="shared" si="99"/>
        <v>1</v>
      </c>
      <c r="P806" s="247">
        <f>+_xlfn.XLOOKUP(A806,PPTO_GENERADOR!Q:Q,PPTO_GENERADOR!E:E,"-",0)</f>
        <v>16</v>
      </c>
      <c r="Q806" s="247">
        <f t="shared" si="100"/>
        <v>16</v>
      </c>
      <c r="R806" s="259">
        <f>+_xlfn.XLOOKUP(A806,PPTO_GENERADOR!$Q:$Q,PPTO_GENERADOR!A:A,"-",0)</f>
        <v>3.07</v>
      </c>
    </row>
    <row r="807" spans="1:18" ht="15" customHeight="1" x14ac:dyDescent="0.35">
      <c r="A807" s="38" t="s">
        <v>64</v>
      </c>
      <c r="B807" s="38" t="s">
        <v>2774</v>
      </c>
      <c r="C807" s="38" t="s">
        <v>2779</v>
      </c>
      <c r="D807" s="38" t="s">
        <v>1121</v>
      </c>
      <c r="E807" s="44" t="str">
        <f>IFERROR(VLOOKUP(D807,MATERIALES!A:B,2,FALSE()),"?")</f>
        <v>Troncos de columnas - H35 (240 kg/m3 de hierro)</v>
      </c>
      <c r="F807" s="44" t="str">
        <f>IFERROR(VLOOKUP(D807,MATERIALES!A:C,3,FALSE()),"?")</f>
        <v>m3</v>
      </c>
      <c r="G807" s="45">
        <v>1</v>
      </c>
      <c r="H807" s="46">
        <v>0</v>
      </c>
      <c r="I807" s="47">
        <f>IFERROR(VLOOKUP(D807,MATERIALES!A:D,4,FALSE()),0)</f>
        <v>635192.71722613997</v>
      </c>
      <c r="J807" s="42">
        <f>G807*I807*(1+H807)</f>
        <v>635192.71722613997</v>
      </c>
      <c r="K807" s="15" t="str">
        <f t="shared" si="97"/>
        <v>PTO-0307|MAT</v>
      </c>
      <c r="L807" s="15">
        <f>COUNTIFS($K$2:K807,K807)</f>
        <v>1</v>
      </c>
      <c r="M807" s="15" t="str">
        <f t="shared" si="98"/>
        <v>PTO-0307|MAT|1</v>
      </c>
      <c r="N807" s="47">
        <f>IFERROR(VLOOKUP(A807,PARTIDAS!A:F,6,FALSE()),0)</f>
        <v>1</v>
      </c>
      <c r="O807" s="247">
        <f t="shared" si="99"/>
        <v>1</v>
      </c>
      <c r="P807" s="247">
        <f>+_xlfn.XLOOKUP(A807,PPTO_GENERADOR!Q:Q,PPTO_GENERADOR!E:E,"-",0)</f>
        <v>16</v>
      </c>
      <c r="Q807" s="247">
        <f t="shared" si="100"/>
        <v>16</v>
      </c>
      <c r="R807" s="259">
        <f>+_xlfn.XLOOKUP(A807,PPTO_GENERADOR!$Q:$Q,PPTO_GENERADOR!A:A,"-",0)</f>
        <v>3.07</v>
      </c>
    </row>
    <row r="808" spans="1:18" ht="15" customHeight="1" x14ac:dyDescent="0.35">
      <c r="A808" s="38" t="s">
        <v>64</v>
      </c>
      <c r="B808" s="38" t="s">
        <v>2776</v>
      </c>
      <c r="C808" s="38" t="s">
        <v>2775</v>
      </c>
      <c r="D808" s="38" t="s">
        <v>2254</v>
      </c>
      <c r="E808" s="44" t="str">
        <f>IFERROR(VLOOKUP(D808,SUBCONTRATOS_PRY!A:B,2,FALSE()),"?")</f>
        <v>MO Troncos de columnas - H35 (240 kg/m3 de hierro)</v>
      </c>
      <c r="F808" s="44" t="s">
        <v>2778</v>
      </c>
      <c r="G808" s="45">
        <v>1</v>
      </c>
      <c r="H808" s="46">
        <v>0</v>
      </c>
      <c r="I808" s="47">
        <f>IFERROR(VLOOKUP(D808,SUBCONTRATOS_PRY!A:D,4,FALSE()),0)</f>
        <v>317914.04751247499</v>
      </c>
      <c r="J808" s="42">
        <f>G808*I808</f>
        <v>317914.04751247499</v>
      </c>
      <c r="K808" s="15" t="str">
        <f t="shared" si="97"/>
        <v>PTO-0307|MO</v>
      </c>
      <c r="L808" s="15">
        <f>COUNTIFS($K$2:K808,K808)</f>
        <v>1</v>
      </c>
      <c r="M808" s="15" t="str">
        <f t="shared" si="98"/>
        <v>PTO-0307|MO|1</v>
      </c>
      <c r="N808" s="47">
        <f>IFERROR(VLOOKUP(A808,PARTIDAS!A:F,6,FALSE()),0)</f>
        <v>1</v>
      </c>
      <c r="O808" s="247">
        <f t="shared" si="99"/>
        <v>1</v>
      </c>
      <c r="P808" s="247">
        <f>+_xlfn.XLOOKUP(A808,PPTO_GENERADOR!Q:Q,PPTO_GENERADOR!E:E,"-",0)</f>
        <v>16</v>
      </c>
      <c r="Q808" s="247">
        <f t="shared" si="100"/>
        <v>16</v>
      </c>
      <c r="R808" s="259">
        <f>+_xlfn.XLOOKUP(A808,PPTO_GENERADOR!$Q:$Q,PPTO_GENERADOR!A:A,"-",0)</f>
        <v>3.07</v>
      </c>
    </row>
    <row r="809" spans="1:18" ht="15" customHeight="1" x14ac:dyDescent="0.35">
      <c r="A809" s="38" t="s">
        <v>66</v>
      </c>
      <c r="B809" s="38" t="s">
        <v>2773</v>
      </c>
      <c r="C809" s="38"/>
      <c r="D809" s="38" t="s">
        <v>1704</v>
      </c>
      <c r="E809" s="44" t="str">
        <f>IFERROR(VLOOKUP(D809,EQUIPOS!A:B,2,FALSE()),"?")</f>
        <v>Herramientas y consumibles Viga de encadenado - H35 (180 kg/m3 de hierro)</v>
      </c>
      <c r="F809" s="44"/>
      <c r="G809" s="45">
        <v>1</v>
      </c>
      <c r="H809" s="46">
        <v>0</v>
      </c>
      <c r="I809" s="47">
        <f>IFERROR(VLOOKUP(D809,EQUIPOS!A:F,6,FALSE()),0)</f>
        <v>12155.8099864738</v>
      </c>
      <c r="J809" s="42">
        <f>G809*I809</f>
        <v>12155.8099864738</v>
      </c>
      <c r="K809" s="15" t="str">
        <f t="shared" si="97"/>
        <v>PTO-0308|EQ</v>
      </c>
      <c r="L809" s="15">
        <f>COUNTIFS($K$2:K809,K809)</f>
        <v>1</v>
      </c>
      <c r="M809" s="15" t="str">
        <f t="shared" si="98"/>
        <v>PTO-0308|EQ|1</v>
      </c>
      <c r="N809" s="47">
        <f>IFERROR(VLOOKUP(A809,PARTIDAS!A:F,6,FALSE()),0)</f>
        <v>1</v>
      </c>
      <c r="O809" s="247">
        <f t="shared" si="99"/>
        <v>1</v>
      </c>
      <c r="P809" s="247">
        <f>+_xlfn.XLOOKUP(A809,PPTO_GENERADOR!Q:Q,PPTO_GENERADOR!E:E,"-",0)</f>
        <v>7</v>
      </c>
      <c r="Q809" s="247">
        <f t="shared" si="100"/>
        <v>7</v>
      </c>
      <c r="R809" s="259">
        <f>+_xlfn.XLOOKUP(A809,PPTO_GENERADOR!$Q:$Q,PPTO_GENERADOR!A:A,"-",0)</f>
        <v>3.08</v>
      </c>
    </row>
    <row r="810" spans="1:18" ht="15" customHeight="1" x14ac:dyDescent="0.35">
      <c r="A810" s="38" t="s">
        <v>66</v>
      </c>
      <c r="B810" s="38" t="s">
        <v>2774</v>
      </c>
      <c r="C810" s="38" t="s">
        <v>2779</v>
      </c>
      <c r="D810" s="38" t="s">
        <v>1123</v>
      </c>
      <c r="E810" s="44" t="str">
        <f>IFERROR(VLOOKUP(D810,MATERIALES!A:B,2,FALSE()),"?")</f>
        <v>Viga de encadenado - H35 (180 kg/m3 de hierro)</v>
      </c>
      <c r="F810" s="44" t="str">
        <f>IFERROR(VLOOKUP(D810,MATERIALES!A:C,3,FALSE()),"?")</f>
        <v>m3</v>
      </c>
      <c r="G810" s="45">
        <v>1</v>
      </c>
      <c r="H810" s="46">
        <v>0</v>
      </c>
      <c r="I810" s="47">
        <f>IFERROR(VLOOKUP(D810,MATERIALES!A:D,4,FALSE()),0)</f>
        <v>528753.37025620299</v>
      </c>
      <c r="J810" s="42">
        <f>G810*I810*(1+H810)</f>
        <v>528753.37025620299</v>
      </c>
      <c r="K810" s="15" t="str">
        <f t="shared" si="97"/>
        <v>PTO-0308|MAT</v>
      </c>
      <c r="L810" s="15">
        <f>COUNTIFS($K$2:K810,K810)</f>
        <v>1</v>
      </c>
      <c r="M810" s="15" t="str">
        <f t="shared" si="98"/>
        <v>PTO-0308|MAT|1</v>
      </c>
      <c r="N810" s="47">
        <f>IFERROR(VLOOKUP(A810,PARTIDAS!A:F,6,FALSE()),0)</f>
        <v>1</v>
      </c>
      <c r="O810" s="247">
        <f t="shared" si="99"/>
        <v>1</v>
      </c>
      <c r="P810" s="247">
        <f>+_xlfn.XLOOKUP(A810,PPTO_GENERADOR!Q:Q,PPTO_GENERADOR!E:E,"-",0)</f>
        <v>7</v>
      </c>
      <c r="Q810" s="247">
        <f t="shared" si="100"/>
        <v>7</v>
      </c>
      <c r="R810" s="259">
        <f>+_xlfn.XLOOKUP(A810,PPTO_GENERADOR!$Q:$Q,PPTO_GENERADOR!A:A,"-",0)</f>
        <v>3.08</v>
      </c>
    </row>
    <row r="811" spans="1:18" ht="15" customHeight="1" x14ac:dyDescent="0.35">
      <c r="A811" s="38" t="s">
        <v>66</v>
      </c>
      <c r="B811" s="38" t="s">
        <v>2776</v>
      </c>
      <c r="C811" s="38" t="s">
        <v>2775</v>
      </c>
      <c r="D811" s="38" t="s">
        <v>2256</v>
      </c>
      <c r="E811" s="44" t="str">
        <f>IFERROR(VLOOKUP(D811,SUBCONTRATOS_PRY!A:B,2,FALSE()),"?")</f>
        <v>MO Viga de encadenado - H35 (180 kg/m3 de hierro)</v>
      </c>
      <c r="F811" s="44" t="s">
        <v>2778</v>
      </c>
      <c r="G811" s="45">
        <v>1</v>
      </c>
      <c r="H811" s="46">
        <v>0</v>
      </c>
      <c r="I811" s="47">
        <f>IFERROR(VLOOKUP(D811,SUBCONTRATOS_PRY!A:D,4,FALSE()),0)</f>
        <v>281633.96217538603</v>
      </c>
      <c r="J811" s="42">
        <f>G811*I811</f>
        <v>281633.96217538603</v>
      </c>
      <c r="K811" s="15" t="str">
        <f t="shared" si="97"/>
        <v>PTO-0308|MO</v>
      </c>
      <c r="L811" s="15">
        <f>COUNTIFS($K$2:K811,K811)</f>
        <v>1</v>
      </c>
      <c r="M811" s="15" t="str">
        <f t="shared" si="98"/>
        <v>PTO-0308|MO|1</v>
      </c>
      <c r="N811" s="47">
        <f>IFERROR(VLOOKUP(A811,PARTIDAS!A:F,6,FALSE()),0)</f>
        <v>1</v>
      </c>
      <c r="O811" s="247">
        <f t="shared" si="99"/>
        <v>1</v>
      </c>
      <c r="P811" s="247">
        <f>+_xlfn.XLOOKUP(A811,PPTO_GENERADOR!Q:Q,PPTO_GENERADOR!E:E,"-",0)</f>
        <v>7</v>
      </c>
      <c r="Q811" s="247">
        <f t="shared" si="100"/>
        <v>7</v>
      </c>
      <c r="R811" s="259">
        <f>+_xlfn.XLOOKUP(A811,PPTO_GENERADOR!$Q:$Q,PPTO_GENERADOR!A:A,"-",0)</f>
        <v>3.08</v>
      </c>
    </row>
    <row r="812" spans="1:18" ht="15" customHeight="1" x14ac:dyDescent="0.35">
      <c r="A812" s="38" t="s">
        <v>68</v>
      </c>
      <c r="B812" s="38" t="s">
        <v>2773</v>
      </c>
      <c r="C812" s="38"/>
      <c r="D812" s="38" t="s">
        <v>1707</v>
      </c>
      <c r="E812" s="44" t="str">
        <f>IFERROR(VLOOKUP(D812,EQUIPOS!A:B,2,FALSE()),"?")</f>
        <v>Herramientas y consumibles Losa maciza - H35 (100 kg/m3 de hierro)</v>
      </c>
      <c r="F812" s="44"/>
      <c r="G812" s="45">
        <v>1</v>
      </c>
      <c r="H812" s="46">
        <v>0</v>
      </c>
      <c r="I812" s="47">
        <f>IFERROR(VLOOKUP(D812,EQUIPOS!A:F,6,FALSE()),0)</f>
        <v>8915.6268732254393</v>
      </c>
      <c r="J812" s="42">
        <f>G812*I812</f>
        <v>8915.6268732254393</v>
      </c>
      <c r="K812" s="15" t="str">
        <f t="shared" si="97"/>
        <v>PTO-0309|EQ</v>
      </c>
      <c r="L812" s="15">
        <f>COUNTIFS($K$2:K812,K812)</f>
        <v>1</v>
      </c>
      <c r="M812" s="15" t="str">
        <f t="shared" si="98"/>
        <v>PTO-0309|EQ|1</v>
      </c>
      <c r="N812" s="47">
        <f>IFERROR(VLOOKUP(A812,PARTIDAS!A:F,6,FALSE()),0)</f>
        <v>1</v>
      </c>
      <c r="O812" s="247">
        <f t="shared" si="99"/>
        <v>1</v>
      </c>
      <c r="P812" s="247">
        <f>+_xlfn.XLOOKUP(A812,PPTO_GENERADOR!Q:Q,PPTO_GENERADOR!E:E,"-",0)</f>
        <v>90</v>
      </c>
      <c r="Q812" s="247">
        <f t="shared" si="100"/>
        <v>90</v>
      </c>
      <c r="R812" s="259">
        <f>+_xlfn.XLOOKUP(A812,PPTO_GENERADOR!$Q:$Q,PPTO_GENERADOR!A:A,"-",0)</f>
        <v>3.09</v>
      </c>
    </row>
    <row r="813" spans="1:18" ht="15" customHeight="1" x14ac:dyDescent="0.35">
      <c r="A813" s="38" t="s">
        <v>68</v>
      </c>
      <c r="B813" s="38" t="s">
        <v>2774</v>
      </c>
      <c r="C813" s="38" t="s">
        <v>2779</v>
      </c>
      <c r="D813" s="38" t="s">
        <v>1125</v>
      </c>
      <c r="E813" s="44" t="str">
        <f>IFERROR(VLOOKUP(D813,MATERIALES!A:B,2,FALSE()),"?")</f>
        <v>Losa maciza - H35 (100 kg/m3 de hierro)</v>
      </c>
      <c r="F813" s="44" t="str">
        <f>IFERROR(VLOOKUP(D813,MATERIALES!A:C,3,FALSE()),"?")</f>
        <v>m3</v>
      </c>
      <c r="G813" s="45">
        <v>1</v>
      </c>
      <c r="H813" s="46">
        <v>0</v>
      </c>
      <c r="I813" s="47">
        <f>IFERROR(VLOOKUP(D813,MATERIALES!A:D,4,FALSE()),0)</f>
        <v>372584.32994905498</v>
      </c>
      <c r="J813" s="42">
        <f>G813*I813*(1+H813)</f>
        <v>372584.32994905498</v>
      </c>
      <c r="K813" s="15" t="str">
        <f t="shared" si="97"/>
        <v>PTO-0309|MAT</v>
      </c>
      <c r="L813" s="15">
        <f>COUNTIFS($K$2:K813,K813)</f>
        <v>1</v>
      </c>
      <c r="M813" s="15" t="str">
        <f t="shared" si="98"/>
        <v>PTO-0309|MAT|1</v>
      </c>
      <c r="N813" s="47">
        <f>IFERROR(VLOOKUP(A813,PARTIDAS!A:F,6,FALSE()),0)</f>
        <v>1</v>
      </c>
      <c r="O813" s="247">
        <f t="shared" si="99"/>
        <v>1</v>
      </c>
      <c r="P813" s="247">
        <f>+_xlfn.XLOOKUP(A813,PPTO_GENERADOR!Q:Q,PPTO_GENERADOR!E:E,"-",0)</f>
        <v>90</v>
      </c>
      <c r="Q813" s="247">
        <f t="shared" si="100"/>
        <v>90</v>
      </c>
      <c r="R813" s="259">
        <f>+_xlfn.XLOOKUP(A813,PPTO_GENERADOR!$Q:$Q,PPTO_GENERADOR!A:A,"-",0)</f>
        <v>3.09</v>
      </c>
    </row>
    <row r="814" spans="1:18" ht="15" customHeight="1" x14ac:dyDescent="0.35">
      <c r="A814" s="38" t="s">
        <v>68</v>
      </c>
      <c r="B814" s="38" t="s">
        <v>2776</v>
      </c>
      <c r="C814" s="38" t="s">
        <v>2775</v>
      </c>
      <c r="D814" s="38" t="s">
        <v>2258</v>
      </c>
      <c r="E814" s="44" t="str">
        <f>IFERROR(VLOOKUP(D814,SUBCONTRATOS_PRY!A:B,2,FALSE()),"?")</f>
        <v>MO Losa maciza - H35 (100 kg/m3 de hierro)</v>
      </c>
      <c r="F814" s="44" t="s">
        <v>2778</v>
      </c>
      <c r="G814" s="45">
        <v>1</v>
      </c>
      <c r="H814" s="46">
        <v>0</v>
      </c>
      <c r="I814" s="47">
        <f>IFERROR(VLOOKUP(D814,SUBCONTRATOS_PRY!A:D,4,FALSE()),0)</f>
        <v>221790.794932641</v>
      </c>
      <c r="J814" s="42">
        <f>G814*I814</f>
        <v>221790.794932641</v>
      </c>
      <c r="K814" s="15" t="str">
        <f t="shared" si="97"/>
        <v>PTO-0309|MO</v>
      </c>
      <c r="L814" s="15">
        <f>COUNTIFS($K$2:K814,K814)</f>
        <v>1</v>
      </c>
      <c r="M814" s="15" t="str">
        <f t="shared" si="98"/>
        <v>PTO-0309|MO|1</v>
      </c>
      <c r="N814" s="47">
        <f>IFERROR(VLOOKUP(A814,PARTIDAS!A:F,6,FALSE()),0)</f>
        <v>1</v>
      </c>
      <c r="O814" s="247">
        <f t="shared" si="99"/>
        <v>1</v>
      </c>
      <c r="P814" s="247">
        <f>+_xlfn.XLOOKUP(A814,PPTO_GENERADOR!Q:Q,PPTO_GENERADOR!E:E,"-",0)</f>
        <v>90</v>
      </c>
      <c r="Q814" s="247">
        <f t="shared" si="100"/>
        <v>90</v>
      </c>
      <c r="R814" s="259">
        <f>+_xlfn.XLOOKUP(A814,PPTO_GENERADOR!$Q:$Q,PPTO_GENERADOR!A:A,"-",0)</f>
        <v>3.09</v>
      </c>
    </row>
    <row r="815" spans="1:18" ht="15" customHeight="1" x14ac:dyDescent="0.35">
      <c r="A815" s="38" t="s">
        <v>70</v>
      </c>
      <c r="B815" s="38" t="s">
        <v>2773</v>
      </c>
      <c r="C815" s="38"/>
      <c r="D815" s="38" t="s">
        <v>1710</v>
      </c>
      <c r="E815" s="44" t="str">
        <f>IFERROR(VLOOKUP(D815,EQUIPOS!A:B,2,FALSE()),"?")</f>
        <v>Herramientas y consumibles Losa maciza de Hº visto - H35 (100 kg/m3 de hierro</v>
      </c>
      <c r="F815" s="44"/>
      <c r="G815" s="45">
        <v>1</v>
      </c>
      <c r="H815" s="46">
        <v>0</v>
      </c>
      <c r="I815" s="47">
        <f>IFERROR(VLOOKUP(D815,EQUIPOS!A:F,6,FALSE()),0)</f>
        <v>9854.9599131873692</v>
      </c>
      <c r="J815" s="42">
        <f>G815*I815</f>
        <v>9854.9599131873692</v>
      </c>
      <c r="K815" s="15" t="str">
        <f t="shared" si="97"/>
        <v>PTO-0310|EQ</v>
      </c>
      <c r="L815" s="15">
        <f>COUNTIFS($K$2:K815,K815)</f>
        <v>1</v>
      </c>
      <c r="M815" s="15" t="str">
        <f t="shared" si="98"/>
        <v>PTO-0310|EQ|1</v>
      </c>
      <c r="N815" s="47">
        <f>IFERROR(VLOOKUP(A815,PARTIDAS!A:F,6,FALSE()),0)</f>
        <v>1</v>
      </c>
      <c r="O815" s="247">
        <f t="shared" si="99"/>
        <v>1</v>
      </c>
      <c r="P815" s="247">
        <f>+_xlfn.XLOOKUP(A815,PPTO_GENERADOR!Q:Q,PPTO_GENERADOR!E:E,"-",0)</f>
        <v>32</v>
      </c>
      <c r="Q815" s="247">
        <f t="shared" si="100"/>
        <v>32</v>
      </c>
      <c r="R815" s="259">
        <f>+_xlfn.XLOOKUP(A815,PPTO_GENERADOR!$Q:$Q,PPTO_GENERADOR!A:A,"-",0)</f>
        <v>3.1</v>
      </c>
    </row>
    <row r="816" spans="1:18" ht="15" customHeight="1" x14ac:dyDescent="0.35">
      <c r="A816" s="38" t="s">
        <v>70</v>
      </c>
      <c r="B816" s="38" t="s">
        <v>2774</v>
      </c>
      <c r="C816" s="38" t="s">
        <v>2779</v>
      </c>
      <c r="D816" s="38" t="s">
        <v>1127</v>
      </c>
      <c r="E816" s="44" t="str">
        <f>IFERROR(VLOOKUP(D816,MATERIALES!A:B,2,FALSE()),"?")</f>
        <v xml:space="preserve">Losa maciza de Hº visto - H35 (100 kg/m3 de hierro) </v>
      </c>
      <c r="F816" s="44" t="str">
        <f>IFERROR(VLOOKUP(D816,MATERIALES!A:C,3,FALSE()),"?")</f>
        <v>m3</v>
      </c>
      <c r="G816" s="45">
        <v>1</v>
      </c>
      <c r="H816" s="46">
        <v>0</v>
      </c>
      <c r="I816" s="47">
        <f>IFERROR(VLOOKUP(D816,MATERIALES!A:D,4,FALSE()),0)</f>
        <v>379758.83388002298</v>
      </c>
      <c r="J816" s="42">
        <f>G816*I816*(1+H816)</f>
        <v>379758.83388002298</v>
      </c>
      <c r="K816" s="15" t="str">
        <f t="shared" si="97"/>
        <v>PTO-0310|MAT</v>
      </c>
      <c r="L816" s="15">
        <f>COUNTIFS($K$2:K816,K816)</f>
        <v>1</v>
      </c>
      <c r="M816" s="15" t="str">
        <f t="shared" si="98"/>
        <v>PTO-0310|MAT|1</v>
      </c>
      <c r="N816" s="47">
        <f>IFERROR(VLOOKUP(A816,PARTIDAS!A:F,6,FALSE()),0)</f>
        <v>1</v>
      </c>
      <c r="O816" s="247">
        <f t="shared" si="99"/>
        <v>1</v>
      </c>
      <c r="P816" s="247">
        <f>+_xlfn.XLOOKUP(A816,PPTO_GENERADOR!Q:Q,PPTO_GENERADOR!E:E,"-",0)</f>
        <v>32</v>
      </c>
      <c r="Q816" s="247">
        <f t="shared" si="100"/>
        <v>32</v>
      </c>
      <c r="R816" s="259">
        <f>+_xlfn.XLOOKUP(A816,PPTO_GENERADOR!$Q:$Q,PPTO_GENERADOR!A:A,"-",0)</f>
        <v>3.1</v>
      </c>
    </row>
    <row r="817" spans="1:18" ht="15" customHeight="1" x14ac:dyDescent="0.35">
      <c r="A817" s="38" t="s">
        <v>70</v>
      </c>
      <c r="B817" s="38" t="s">
        <v>2776</v>
      </c>
      <c r="C817" s="38" t="s">
        <v>2775</v>
      </c>
      <c r="D817" s="38" t="s">
        <v>2260</v>
      </c>
      <c r="E817" s="44" t="str">
        <f>IFERROR(VLOOKUP(D817,SUBCONTRATOS_PRY!A:B,2,FALSE()),"?")</f>
        <v xml:space="preserve">MO Losa maciza de Hº visto - H35 (100 kg/m3 de hierro) </v>
      </c>
      <c r="F817" s="44" t="s">
        <v>2778</v>
      </c>
      <c r="G817" s="45">
        <v>1</v>
      </c>
      <c r="H817" s="46">
        <v>0</v>
      </c>
      <c r="I817" s="47">
        <f>IFERROR(VLOOKUP(D817,SUBCONTRATOS_PRY!A:D,4,FALSE()),0)</f>
        <v>277238.49366580101</v>
      </c>
      <c r="J817" s="42">
        <f>G817*I817</f>
        <v>277238.49366580101</v>
      </c>
      <c r="K817" s="15" t="str">
        <f t="shared" si="97"/>
        <v>PTO-0310|MO</v>
      </c>
      <c r="L817" s="15">
        <f>COUNTIFS($K$2:K817,K817)</f>
        <v>1</v>
      </c>
      <c r="M817" s="15" t="str">
        <f t="shared" si="98"/>
        <v>PTO-0310|MO|1</v>
      </c>
      <c r="N817" s="47">
        <f>IFERROR(VLOOKUP(A817,PARTIDAS!A:F,6,FALSE()),0)</f>
        <v>1</v>
      </c>
      <c r="O817" s="247">
        <f t="shared" si="99"/>
        <v>1</v>
      </c>
      <c r="P817" s="247">
        <f>+_xlfn.XLOOKUP(A817,PPTO_GENERADOR!Q:Q,PPTO_GENERADOR!E:E,"-",0)</f>
        <v>32</v>
      </c>
      <c r="Q817" s="247">
        <f t="shared" si="100"/>
        <v>32</v>
      </c>
      <c r="R817" s="259">
        <f>+_xlfn.XLOOKUP(A817,PPTO_GENERADOR!$Q:$Q,PPTO_GENERADOR!A:A,"-",0)</f>
        <v>3.1</v>
      </c>
    </row>
    <row r="818" spans="1:18" ht="15" customHeight="1" x14ac:dyDescent="0.35">
      <c r="A818" s="38" t="s">
        <v>72</v>
      </c>
      <c r="B818" s="38" t="s">
        <v>2773</v>
      </c>
      <c r="C818" s="38"/>
      <c r="D818" s="38" t="s">
        <v>1713</v>
      </c>
      <c r="E818" s="44" t="str">
        <f>IFERROR(VLOOKUP(D818,EQUIPOS!A:B,2,FALSE()),"?")</f>
        <v>Herramientas y consumibles Vigas - H35 (180 kg/m3 de hierro)</v>
      </c>
      <c r="F818" s="44"/>
      <c r="G818" s="45">
        <v>1</v>
      </c>
      <c r="H818" s="46">
        <v>0</v>
      </c>
      <c r="I818" s="47">
        <f>IFERROR(VLOOKUP(D818,EQUIPOS!A:F,6,FALSE()),0)</f>
        <v>16574.254700785801</v>
      </c>
      <c r="J818" s="42">
        <f>G818*I818</f>
        <v>16574.254700785801</v>
      </c>
      <c r="K818" s="15" t="str">
        <f t="shared" si="97"/>
        <v>PTO-0311|EQ</v>
      </c>
      <c r="L818" s="15">
        <f>COUNTIFS($K$2:K818,K818)</f>
        <v>1</v>
      </c>
      <c r="M818" s="15" t="str">
        <f t="shared" si="98"/>
        <v>PTO-0311|EQ|1</v>
      </c>
      <c r="N818" s="47">
        <f>IFERROR(VLOOKUP(A818,PARTIDAS!A:F,6,FALSE()),0)</f>
        <v>1</v>
      </c>
      <c r="O818" s="247">
        <f t="shared" si="99"/>
        <v>1</v>
      </c>
      <c r="P818" s="247">
        <f>+_xlfn.XLOOKUP(A818,PPTO_GENERADOR!Q:Q,PPTO_GENERADOR!E:E,"-",0)</f>
        <v>46</v>
      </c>
      <c r="Q818" s="247">
        <f t="shared" si="100"/>
        <v>46</v>
      </c>
      <c r="R818" s="259">
        <f>+_xlfn.XLOOKUP(A818,PPTO_GENERADOR!$Q:$Q,PPTO_GENERADOR!A:A,"-",0)</f>
        <v>3.11</v>
      </c>
    </row>
    <row r="819" spans="1:18" ht="15" customHeight="1" x14ac:dyDescent="0.35">
      <c r="A819" s="38" t="s">
        <v>72</v>
      </c>
      <c r="B819" s="38" t="s">
        <v>2774</v>
      </c>
      <c r="C819" s="38" t="s">
        <v>2779</v>
      </c>
      <c r="D819" s="38" t="s">
        <v>1130</v>
      </c>
      <c r="E819" s="44" t="str">
        <f>IFERROR(VLOOKUP(D819,MATERIALES!A:B,2,FALSE()),"?")</f>
        <v>Vigas - H35 (180 kg/m3 de hierro)</v>
      </c>
      <c r="F819" s="44" t="str">
        <f>IFERROR(VLOOKUP(D819,MATERIALES!A:C,3,FALSE()),"?")</f>
        <v>m3</v>
      </c>
      <c r="G819" s="45">
        <v>1</v>
      </c>
      <c r="H819" s="46">
        <v>0</v>
      </c>
      <c r="I819" s="47">
        <f>IFERROR(VLOOKUP(D819,MATERIALES!A:D,4,FALSE()),0)</f>
        <v>567913.50664448505</v>
      </c>
      <c r="J819" s="42">
        <f>G819*I819*(1+H819)</f>
        <v>567913.50664448505</v>
      </c>
      <c r="K819" s="15" t="str">
        <f t="shared" si="97"/>
        <v>PTO-0311|MAT</v>
      </c>
      <c r="L819" s="15">
        <f>COUNTIFS($K$2:K819,K819)</f>
        <v>1</v>
      </c>
      <c r="M819" s="15" t="str">
        <f t="shared" si="98"/>
        <v>PTO-0311|MAT|1</v>
      </c>
      <c r="N819" s="47">
        <f>IFERROR(VLOOKUP(A819,PARTIDAS!A:F,6,FALSE()),0)</f>
        <v>1</v>
      </c>
      <c r="O819" s="247">
        <f t="shared" si="99"/>
        <v>1</v>
      </c>
      <c r="P819" s="247">
        <f>+_xlfn.XLOOKUP(A819,PPTO_GENERADOR!Q:Q,PPTO_GENERADOR!E:E,"-",0)</f>
        <v>46</v>
      </c>
      <c r="Q819" s="247">
        <f t="shared" si="100"/>
        <v>46</v>
      </c>
      <c r="R819" s="259">
        <f>+_xlfn.XLOOKUP(A819,PPTO_GENERADOR!$Q:$Q,PPTO_GENERADOR!A:A,"-",0)</f>
        <v>3.11</v>
      </c>
    </row>
    <row r="820" spans="1:18" ht="15" customHeight="1" x14ac:dyDescent="0.35">
      <c r="A820" s="38" t="s">
        <v>72</v>
      </c>
      <c r="B820" s="38" t="s">
        <v>2776</v>
      </c>
      <c r="C820" s="38" t="s">
        <v>2775</v>
      </c>
      <c r="D820" s="38" t="s">
        <v>2262</v>
      </c>
      <c r="E820" s="44" t="str">
        <f>IFERROR(VLOOKUP(D820,SUBCONTRATOS_PRY!A:B,2,FALSE()),"?")</f>
        <v>MO Vigas - H35 (180 kg/m3 de hierro)</v>
      </c>
      <c r="F820" s="44" t="s">
        <v>2778</v>
      </c>
      <c r="G820" s="45">
        <v>1</v>
      </c>
      <c r="H820" s="46">
        <v>0</v>
      </c>
      <c r="I820" s="47">
        <f>IFERROR(VLOOKUP(D820,SUBCONTRATOS_PRY!A:D,4,FALSE()),0)</f>
        <v>537036.80674123298</v>
      </c>
      <c r="J820" s="42">
        <f>G820*I820</f>
        <v>537036.80674123298</v>
      </c>
      <c r="K820" s="15" t="str">
        <f t="shared" si="97"/>
        <v>PTO-0311|MO</v>
      </c>
      <c r="L820" s="15">
        <f>COUNTIFS($K$2:K820,K820)</f>
        <v>1</v>
      </c>
      <c r="M820" s="15" t="str">
        <f t="shared" si="98"/>
        <v>PTO-0311|MO|1</v>
      </c>
      <c r="N820" s="47">
        <f>IFERROR(VLOOKUP(A820,PARTIDAS!A:F,6,FALSE()),0)</f>
        <v>1</v>
      </c>
      <c r="O820" s="247">
        <f t="shared" si="99"/>
        <v>1</v>
      </c>
      <c r="P820" s="247">
        <f>+_xlfn.XLOOKUP(A820,PPTO_GENERADOR!Q:Q,PPTO_GENERADOR!E:E,"-",0)</f>
        <v>46</v>
      </c>
      <c r="Q820" s="247">
        <f t="shared" si="100"/>
        <v>46</v>
      </c>
      <c r="R820" s="259">
        <f>+_xlfn.XLOOKUP(A820,PPTO_GENERADOR!$Q:$Q,PPTO_GENERADOR!A:A,"-",0)</f>
        <v>3.11</v>
      </c>
    </row>
    <row r="821" spans="1:18" ht="15" customHeight="1" x14ac:dyDescent="0.35">
      <c r="A821" s="38" t="s">
        <v>74</v>
      </c>
      <c r="B821" s="38" t="s">
        <v>2773</v>
      </c>
      <c r="C821" s="38"/>
      <c r="D821" s="38" t="s">
        <v>1716</v>
      </c>
      <c r="E821" s="44" t="str">
        <f>IFERROR(VLOOKUP(D821,EQUIPOS!A:B,2,FALSE()),"?")</f>
        <v xml:space="preserve">Herramientas y consumibles Vigas de H° visto - H35 (180 kg/m3 de hierro) </v>
      </c>
      <c r="F821" s="44"/>
      <c r="G821" s="45">
        <v>1</v>
      </c>
      <c r="H821" s="46">
        <v>0</v>
      </c>
      <c r="I821" s="47">
        <f>IFERROR(VLOOKUP(D821,EQUIPOS!A:F,6,FALSE()),0)</f>
        <v>18555.793102383701</v>
      </c>
      <c r="J821" s="42">
        <f>G821*I821</f>
        <v>18555.793102383701</v>
      </c>
      <c r="K821" s="15" t="str">
        <f t="shared" si="97"/>
        <v>PTO-0312|EQ</v>
      </c>
      <c r="L821" s="15">
        <f>COUNTIFS($K$2:K821,K821)</f>
        <v>1</v>
      </c>
      <c r="M821" s="15" t="str">
        <f t="shared" si="98"/>
        <v>PTO-0312|EQ|1</v>
      </c>
      <c r="N821" s="47">
        <f>IFERROR(VLOOKUP(A821,PARTIDAS!A:F,6,FALSE()),0)</f>
        <v>1</v>
      </c>
      <c r="O821" s="247">
        <f t="shared" si="99"/>
        <v>1</v>
      </c>
      <c r="P821" s="247">
        <f>+_xlfn.XLOOKUP(A821,PPTO_GENERADOR!Q:Q,PPTO_GENERADOR!E:E,"-",0)</f>
        <v>31</v>
      </c>
      <c r="Q821" s="247">
        <f t="shared" si="100"/>
        <v>31</v>
      </c>
      <c r="R821" s="259">
        <f>+_xlfn.XLOOKUP(A821,PPTO_GENERADOR!$Q:$Q,PPTO_GENERADOR!A:A,"-",0)</f>
        <v>3.12</v>
      </c>
    </row>
    <row r="822" spans="1:18" ht="15" customHeight="1" x14ac:dyDescent="0.35">
      <c r="A822" s="38" t="s">
        <v>74</v>
      </c>
      <c r="B822" s="38" t="s">
        <v>2774</v>
      </c>
      <c r="C822" s="38" t="s">
        <v>2779</v>
      </c>
      <c r="D822" s="38" t="s">
        <v>1132</v>
      </c>
      <c r="E822" s="44" t="str">
        <f>IFERROR(VLOOKUP(D822,MATERIALES!A:B,2,FALSE()),"?")</f>
        <v xml:space="preserve">Vigas de H° visto - H35 (180 kg/m3 de hierro) </v>
      </c>
      <c r="F822" s="44" t="str">
        <f>IFERROR(VLOOKUP(D822,MATERIALES!A:C,3,FALSE()),"?")</f>
        <v>m3</v>
      </c>
      <c r="G822" s="45">
        <v>1</v>
      </c>
      <c r="H822" s="46">
        <v>0</v>
      </c>
      <c r="I822" s="47">
        <f>IFERROR(VLOOKUP(D822,MATERIALES!A:D,4,FALSE()),0)</f>
        <v>565756.86506570596</v>
      </c>
      <c r="J822" s="42">
        <f>G822*I822*(1+H822)</f>
        <v>565756.86506570596</v>
      </c>
      <c r="K822" s="15" t="str">
        <f t="shared" si="97"/>
        <v>PTO-0312|MAT</v>
      </c>
      <c r="L822" s="15">
        <f>COUNTIFS($K$2:K822,K822)</f>
        <v>1</v>
      </c>
      <c r="M822" s="15" t="str">
        <f t="shared" si="98"/>
        <v>PTO-0312|MAT|1</v>
      </c>
      <c r="N822" s="47">
        <f>IFERROR(VLOOKUP(A822,PARTIDAS!A:F,6,FALSE()),0)</f>
        <v>1</v>
      </c>
      <c r="O822" s="247">
        <f t="shared" si="99"/>
        <v>1</v>
      </c>
      <c r="P822" s="247">
        <f>+_xlfn.XLOOKUP(A822,PPTO_GENERADOR!Q:Q,PPTO_GENERADOR!E:E,"-",0)</f>
        <v>31</v>
      </c>
      <c r="Q822" s="247">
        <f t="shared" si="100"/>
        <v>31</v>
      </c>
      <c r="R822" s="259">
        <f>+_xlfn.XLOOKUP(A822,PPTO_GENERADOR!$Q:$Q,PPTO_GENERADOR!A:A,"-",0)</f>
        <v>3.12</v>
      </c>
    </row>
    <row r="823" spans="1:18" ht="15" customHeight="1" x14ac:dyDescent="0.35">
      <c r="A823" s="38" t="s">
        <v>74</v>
      </c>
      <c r="B823" s="38" t="s">
        <v>2776</v>
      </c>
      <c r="C823" s="38" t="s">
        <v>2775</v>
      </c>
      <c r="D823" s="38" t="s">
        <v>2264</v>
      </c>
      <c r="E823" s="44" t="str">
        <f>IFERROR(VLOOKUP(D823,SUBCONTRATOS_PRY!A:B,2,FALSE()),"?")</f>
        <v xml:space="preserve">MO Vigas de H° visto - H35 (180 kg/m3 de hierro) </v>
      </c>
      <c r="F823" s="44" t="s">
        <v>2778</v>
      </c>
      <c r="G823" s="45">
        <v>1</v>
      </c>
      <c r="H823" s="46">
        <v>0</v>
      </c>
      <c r="I823" s="47">
        <f>IFERROR(VLOOKUP(D823,SUBCONTRATOS_PRY!A:D,4,FALSE()),0)</f>
        <v>671296.008426541</v>
      </c>
      <c r="J823" s="42">
        <f>G823*I823</f>
        <v>671296.008426541</v>
      </c>
      <c r="K823" s="15" t="str">
        <f t="shared" si="97"/>
        <v>PTO-0312|MO</v>
      </c>
      <c r="L823" s="15">
        <f>COUNTIFS($K$2:K823,K823)</f>
        <v>1</v>
      </c>
      <c r="M823" s="15" t="str">
        <f t="shared" si="98"/>
        <v>PTO-0312|MO|1</v>
      </c>
      <c r="N823" s="47">
        <f>IFERROR(VLOOKUP(A823,PARTIDAS!A:F,6,FALSE()),0)</f>
        <v>1</v>
      </c>
      <c r="O823" s="247">
        <f t="shared" si="99"/>
        <v>1</v>
      </c>
      <c r="P823" s="247">
        <f>+_xlfn.XLOOKUP(A823,PPTO_GENERADOR!Q:Q,PPTO_GENERADOR!E:E,"-",0)</f>
        <v>31</v>
      </c>
      <c r="Q823" s="247">
        <f t="shared" si="100"/>
        <v>31</v>
      </c>
      <c r="R823" s="259">
        <f>+_xlfn.XLOOKUP(A823,PPTO_GENERADOR!$Q:$Q,PPTO_GENERADOR!A:A,"-",0)</f>
        <v>3.12</v>
      </c>
    </row>
    <row r="824" spans="1:18" ht="15" customHeight="1" x14ac:dyDescent="0.35">
      <c r="A824" s="38" t="s">
        <v>76</v>
      </c>
      <c r="B824" s="38" t="s">
        <v>2773</v>
      </c>
      <c r="C824" s="38"/>
      <c r="D824" s="38" t="s">
        <v>1719</v>
      </c>
      <c r="E824" s="44" t="str">
        <f>IFERROR(VLOOKUP(D824,EQUIPOS!A:B,2,FALSE()),"?")</f>
        <v>Herramientas y consumibles Tabiques - H35 (100 kg/m3 de hierro)</v>
      </c>
      <c r="F824" s="44"/>
      <c r="G824" s="45">
        <v>1</v>
      </c>
      <c r="H824" s="46">
        <v>0</v>
      </c>
      <c r="I824" s="47">
        <f>IFERROR(VLOOKUP(D824,EQUIPOS!A:F,6,FALSE()),0)</f>
        <v>11521.3976114952</v>
      </c>
      <c r="J824" s="42">
        <f>G824*I824</f>
        <v>11521.3976114952</v>
      </c>
      <c r="K824" s="15" t="str">
        <f t="shared" si="97"/>
        <v>PTO-0313|EQ</v>
      </c>
      <c r="L824" s="15">
        <f>COUNTIFS($K$2:K824,K824)</f>
        <v>1</v>
      </c>
      <c r="M824" s="15" t="str">
        <f t="shared" si="98"/>
        <v>PTO-0313|EQ|1</v>
      </c>
      <c r="N824" s="47">
        <f>IFERROR(VLOOKUP(A824,PARTIDAS!A:F,6,FALSE()),0)</f>
        <v>1</v>
      </c>
      <c r="O824" s="247">
        <f t="shared" si="99"/>
        <v>1</v>
      </c>
      <c r="P824" s="247">
        <f>+_xlfn.XLOOKUP(A824,PPTO_GENERADOR!Q:Q,PPTO_GENERADOR!E:E,"-",0)</f>
        <v>24</v>
      </c>
      <c r="Q824" s="247">
        <f t="shared" si="100"/>
        <v>24</v>
      </c>
      <c r="R824" s="259">
        <f>+_xlfn.XLOOKUP(A824,PPTO_GENERADOR!$Q:$Q,PPTO_GENERADOR!A:A,"-",0)</f>
        <v>3.13</v>
      </c>
    </row>
    <row r="825" spans="1:18" ht="15" customHeight="1" x14ac:dyDescent="0.35">
      <c r="A825" s="38" t="s">
        <v>76</v>
      </c>
      <c r="B825" s="38" t="s">
        <v>2774</v>
      </c>
      <c r="C825" s="38" t="s">
        <v>2779</v>
      </c>
      <c r="D825" s="38" t="s">
        <v>1135</v>
      </c>
      <c r="E825" s="44" t="str">
        <f>IFERROR(VLOOKUP(D825,MATERIALES!A:B,2,FALSE()),"?")</f>
        <v>Tabiques - H35 (100 kg/m3 de hierro)</v>
      </c>
      <c r="F825" s="44" t="str">
        <f>IFERROR(VLOOKUP(D825,MATERIALES!A:C,3,FALSE()),"?")</f>
        <v>m3</v>
      </c>
      <c r="G825" s="45">
        <v>1</v>
      </c>
      <c r="H825" s="46">
        <v>0</v>
      </c>
      <c r="I825" s="47">
        <f>IFERROR(VLOOKUP(D825,MATERIALES!A:D,4,FALSE()),0)</f>
        <v>410452.27422518202</v>
      </c>
      <c r="J825" s="42">
        <f>G825*I825*(1+H825)</f>
        <v>410452.27422518202</v>
      </c>
      <c r="K825" s="15" t="str">
        <f t="shared" si="97"/>
        <v>PTO-0313|MAT</v>
      </c>
      <c r="L825" s="15">
        <f>COUNTIFS($K$2:K825,K825)</f>
        <v>1</v>
      </c>
      <c r="M825" s="15" t="str">
        <f t="shared" si="98"/>
        <v>PTO-0313|MAT|1</v>
      </c>
      <c r="N825" s="47">
        <f>IFERROR(VLOOKUP(A825,PARTIDAS!A:F,6,FALSE()),0)</f>
        <v>1</v>
      </c>
      <c r="O825" s="247">
        <f t="shared" si="99"/>
        <v>1</v>
      </c>
      <c r="P825" s="247">
        <f>+_xlfn.XLOOKUP(A825,PPTO_GENERADOR!Q:Q,PPTO_GENERADOR!E:E,"-",0)</f>
        <v>24</v>
      </c>
      <c r="Q825" s="247">
        <f t="shared" si="100"/>
        <v>24</v>
      </c>
      <c r="R825" s="259">
        <f>+_xlfn.XLOOKUP(A825,PPTO_GENERADOR!$Q:$Q,PPTO_GENERADOR!A:A,"-",0)</f>
        <v>3.13</v>
      </c>
    </row>
    <row r="826" spans="1:18" ht="15" customHeight="1" x14ac:dyDescent="0.35">
      <c r="A826" s="38" t="s">
        <v>76</v>
      </c>
      <c r="B826" s="38" t="s">
        <v>2776</v>
      </c>
      <c r="C826" s="38" t="s">
        <v>2775</v>
      </c>
      <c r="D826" s="38" t="s">
        <v>2266</v>
      </c>
      <c r="E826" s="44" t="str">
        <f>IFERROR(VLOOKUP(D826,SUBCONTRATOS_PRY!A:B,2,FALSE()),"?")</f>
        <v>MO Tabiques - H35 (100 kg/m3 de hierro)</v>
      </c>
      <c r="F826" s="44" t="s">
        <v>2778</v>
      </c>
      <c r="G826" s="45">
        <v>1</v>
      </c>
      <c r="H826" s="46">
        <v>0</v>
      </c>
      <c r="I826" s="47">
        <f>IFERROR(VLOOKUP(D826,SUBCONTRATOS_PRY!A:D,4,FALSE()),0)</f>
        <v>357640.8998745</v>
      </c>
      <c r="J826" s="42">
        <f>G826*I826</f>
        <v>357640.8998745</v>
      </c>
      <c r="K826" s="15" t="str">
        <f t="shared" si="97"/>
        <v>PTO-0313|MO</v>
      </c>
      <c r="L826" s="15">
        <f>COUNTIFS($K$2:K826,K826)</f>
        <v>1</v>
      </c>
      <c r="M826" s="15" t="str">
        <f t="shared" si="98"/>
        <v>PTO-0313|MO|1</v>
      </c>
      <c r="N826" s="47">
        <f>IFERROR(VLOOKUP(A826,PARTIDAS!A:F,6,FALSE()),0)</f>
        <v>1</v>
      </c>
      <c r="O826" s="247">
        <f t="shared" si="99"/>
        <v>1</v>
      </c>
      <c r="P826" s="247">
        <f>+_xlfn.XLOOKUP(A826,PPTO_GENERADOR!Q:Q,PPTO_GENERADOR!E:E,"-",0)</f>
        <v>24</v>
      </c>
      <c r="Q826" s="247">
        <f t="shared" si="100"/>
        <v>24</v>
      </c>
      <c r="R826" s="259">
        <f>+_xlfn.XLOOKUP(A826,PPTO_GENERADOR!$Q:$Q,PPTO_GENERADOR!A:A,"-",0)</f>
        <v>3.13</v>
      </c>
    </row>
    <row r="827" spans="1:18" ht="15" customHeight="1" x14ac:dyDescent="0.35">
      <c r="A827" s="38" t="s">
        <v>78</v>
      </c>
      <c r="B827" s="38" t="s">
        <v>2773</v>
      </c>
      <c r="C827" s="38"/>
      <c r="D827" s="38" t="s">
        <v>1722</v>
      </c>
      <c r="E827" s="44" t="str">
        <f>IFERROR(VLOOKUP(D827,EQUIPOS!A:B,2,FALSE()),"?")</f>
        <v>Herramientas y consumibles Columna - H35 (180 Kg/m3 de hierro)</v>
      </c>
      <c r="F827" s="44"/>
      <c r="G827" s="45">
        <v>1</v>
      </c>
      <c r="H827" s="46">
        <v>0</v>
      </c>
      <c r="I827" s="47">
        <f>IFERROR(VLOOKUP(D827,EQUIPOS!A:F,6,FALSE()),0)</f>
        <v>12788.2496210792</v>
      </c>
      <c r="J827" s="42">
        <f>G827*I827</f>
        <v>12788.2496210792</v>
      </c>
      <c r="K827" s="15" t="str">
        <f t="shared" si="97"/>
        <v>PTO-0314|EQ</v>
      </c>
      <c r="L827" s="15">
        <f>COUNTIFS($K$2:K827,K827)</f>
        <v>1</v>
      </c>
      <c r="M827" s="15" t="str">
        <f t="shared" si="98"/>
        <v>PTO-0314|EQ|1</v>
      </c>
      <c r="N827" s="47">
        <f>IFERROR(VLOOKUP(A827,PARTIDAS!A:F,6,FALSE()),0)</f>
        <v>1</v>
      </c>
      <c r="O827" s="247">
        <f t="shared" si="99"/>
        <v>1</v>
      </c>
      <c r="P827" s="247">
        <f>+_xlfn.XLOOKUP(A827,PPTO_GENERADOR!Q:Q,PPTO_GENERADOR!E:E,"-",0)</f>
        <v>39</v>
      </c>
      <c r="Q827" s="247">
        <f t="shared" si="100"/>
        <v>39</v>
      </c>
      <c r="R827" s="259">
        <f>+_xlfn.XLOOKUP(A827,PPTO_GENERADOR!$Q:$Q,PPTO_GENERADOR!A:A,"-",0)</f>
        <v>3.14</v>
      </c>
    </row>
    <row r="828" spans="1:18" ht="15" customHeight="1" x14ac:dyDescent="0.35">
      <c r="A828" s="38" t="s">
        <v>78</v>
      </c>
      <c r="B828" s="38" t="s">
        <v>2774</v>
      </c>
      <c r="C828" s="38" t="s">
        <v>2779</v>
      </c>
      <c r="D828" s="38" t="s">
        <v>1137</v>
      </c>
      <c r="E828" s="44" t="str">
        <f>IFERROR(VLOOKUP(D828,MATERIALES!A:B,2,FALSE()),"?")</f>
        <v>Columna - H35 (180 Kg/m3 de hierro)</v>
      </c>
      <c r="F828" s="44" t="str">
        <f>IFERROR(VLOOKUP(D828,MATERIALES!A:C,3,FALSE()),"?")</f>
        <v>m3</v>
      </c>
      <c r="G828" s="45">
        <v>1</v>
      </c>
      <c r="H828" s="46">
        <v>0</v>
      </c>
      <c r="I828" s="47">
        <f>IFERROR(VLOOKUP(D828,MATERIALES!A:D,4,FALSE()),0)</f>
        <v>534635.92722614005</v>
      </c>
      <c r="J828" s="42">
        <f>G828*I828*(1+H828)</f>
        <v>534635.92722614005</v>
      </c>
      <c r="K828" s="15" t="str">
        <f t="shared" si="97"/>
        <v>PTO-0314|MAT</v>
      </c>
      <c r="L828" s="15">
        <f>COUNTIFS($K$2:K828,K828)</f>
        <v>1</v>
      </c>
      <c r="M828" s="15" t="str">
        <f t="shared" si="98"/>
        <v>PTO-0314|MAT|1</v>
      </c>
      <c r="N828" s="47">
        <f>IFERROR(VLOOKUP(A828,PARTIDAS!A:F,6,FALSE()),0)</f>
        <v>1</v>
      </c>
      <c r="O828" s="247">
        <f t="shared" si="99"/>
        <v>1</v>
      </c>
      <c r="P828" s="247">
        <f>+_xlfn.XLOOKUP(A828,PPTO_GENERADOR!Q:Q,PPTO_GENERADOR!E:E,"-",0)</f>
        <v>39</v>
      </c>
      <c r="Q828" s="247">
        <f t="shared" si="100"/>
        <v>39</v>
      </c>
      <c r="R828" s="259">
        <f>+_xlfn.XLOOKUP(A828,PPTO_GENERADOR!$Q:$Q,PPTO_GENERADOR!A:A,"-",0)</f>
        <v>3.14</v>
      </c>
    </row>
    <row r="829" spans="1:18" ht="15" customHeight="1" x14ac:dyDescent="0.35">
      <c r="A829" s="38" t="s">
        <v>78</v>
      </c>
      <c r="B829" s="38" t="s">
        <v>2776</v>
      </c>
      <c r="C829" s="38" t="s">
        <v>2775</v>
      </c>
      <c r="D829" s="38" t="s">
        <v>2268</v>
      </c>
      <c r="E829" s="44" t="str">
        <f>IFERROR(VLOOKUP(D829,SUBCONTRATOS_PRY!A:B,2,FALSE()),"?")</f>
        <v>MO Columna - H35 (180 Kg/m3 de hierro)</v>
      </c>
      <c r="F829" s="44" t="s">
        <v>2778</v>
      </c>
      <c r="G829" s="45">
        <v>1</v>
      </c>
      <c r="H829" s="46">
        <v>0</v>
      </c>
      <c r="I829" s="47">
        <f>IFERROR(VLOOKUP(D829,SUBCONTRATOS_PRY!A:D,4,FALSE()),0)</f>
        <v>317914.04751247499</v>
      </c>
      <c r="J829" s="42">
        <f>G829*I829</f>
        <v>317914.04751247499</v>
      </c>
      <c r="K829" s="15" t="str">
        <f t="shared" si="97"/>
        <v>PTO-0314|MO</v>
      </c>
      <c r="L829" s="15">
        <f>COUNTIFS($K$2:K829,K829)</f>
        <v>1</v>
      </c>
      <c r="M829" s="15" t="str">
        <f t="shared" si="98"/>
        <v>PTO-0314|MO|1</v>
      </c>
      <c r="N829" s="47">
        <f>IFERROR(VLOOKUP(A829,PARTIDAS!A:F,6,FALSE()),0)</f>
        <v>1</v>
      </c>
      <c r="O829" s="247">
        <f t="shared" si="99"/>
        <v>1</v>
      </c>
      <c r="P829" s="247">
        <f>+_xlfn.XLOOKUP(A829,PPTO_GENERADOR!Q:Q,PPTO_GENERADOR!E:E,"-",0)</f>
        <v>39</v>
      </c>
      <c r="Q829" s="247">
        <f t="shared" si="100"/>
        <v>39</v>
      </c>
      <c r="R829" s="259">
        <f>+_xlfn.XLOOKUP(A829,PPTO_GENERADOR!$Q:$Q,PPTO_GENERADOR!A:A,"-",0)</f>
        <v>3.14</v>
      </c>
    </row>
    <row r="830" spans="1:18" ht="15" customHeight="1" x14ac:dyDescent="0.35">
      <c r="A830" s="38" t="s">
        <v>80</v>
      </c>
      <c r="B830" s="38" t="s">
        <v>2774</v>
      </c>
      <c r="C830" s="38" t="s">
        <v>2779</v>
      </c>
      <c r="D830" s="38" t="s">
        <v>1139</v>
      </c>
      <c r="E830" s="44" t="str">
        <f>IFERROR(VLOOKUP(D830,MATERIALES!A:B,2,FALSE()),"?")</f>
        <v>Columna vista- H35 (180 Kg/m3 de hierro)</v>
      </c>
      <c r="F830" s="44" t="str">
        <f>IFERROR(VLOOKUP(D830,MATERIALES!A:C,3,FALSE()),"?")</f>
        <v>m3</v>
      </c>
      <c r="G830" s="45">
        <v>1</v>
      </c>
      <c r="H830" s="46">
        <v>0</v>
      </c>
      <c r="I830" s="47">
        <f>IFERROR(VLOOKUP(D830,MATERIALES!A:D,4,FALSE()),0)</f>
        <v>543657.96059143299</v>
      </c>
      <c r="J830" s="42">
        <f>G830*I830*(1+H830)</f>
        <v>543657.96059143299</v>
      </c>
      <c r="K830" s="15" t="str">
        <f t="shared" si="97"/>
        <v>PTO-0316|MAT</v>
      </c>
      <c r="L830" s="15">
        <f>COUNTIFS($K$2:K830,K830)</f>
        <v>1</v>
      </c>
      <c r="M830" s="15" t="str">
        <f t="shared" si="98"/>
        <v>PTO-0316|MAT|1</v>
      </c>
      <c r="N830" s="47">
        <f>IFERROR(VLOOKUP(A830,PARTIDAS!A:F,6,FALSE()),0)</f>
        <v>1</v>
      </c>
      <c r="O830" s="247">
        <f t="shared" si="99"/>
        <v>1</v>
      </c>
      <c r="P830" s="247">
        <f>+_xlfn.XLOOKUP(A830,PPTO_GENERADOR!Q:Q,PPTO_GENERADOR!E:E,"-",0)</f>
        <v>4</v>
      </c>
      <c r="Q830" s="247">
        <f t="shared" si="100"/>
        <v>4</v>
      </c>
      <c r="R830" s="259">
        <f>+_xlfn.XLOOKUP(A830,PPTO_GENERADOR!$Q:$Q,PPTO_GENERADOR!A:A,"-",0)</f>
        <v>3.16</v>
      </c>
    </row>
    <row r="831" spans="1:18" ht="15" customHeight="1" x14ac:dyDescent="0.35">
      <c r="A831" s="38" t="s">
        <v>80</v>
      </c>
      <c r="B831" s="38" t="s">
        <v>2776</v>
      </c>
      <c r="C831" s="38" t="s">
        <v>2775</v>
      </c>
      <c r="D831" s="38" t="s">
        <v>2270</v>
      </c>
      <c r="E831" s="44" t="str">
        <f>IFERROR(VLOOKUP(D831,SUBCONTRATOS_PRY!A:B,2,FALSE()),"?")</f>
        <v>MO Columna vista- H35 (180 Kg/m3 de hierro)</v>
      </c>
      <c r="F831" s="44" t="s">
        <v>2778</v>
      </c>
      <c r="G831" s="45">
        <v>1</v>
      </c>
      <c r="H831" s="46">
        <v>0</v>
      </c>
      <c r="I831" s="47">
        <f>IFERROR(VLOOKUP(D831,SUBCONTRATOS_PRY!A:D,4,FALSE()),0)</f>
        <v>397392.55939059303</v>
      </c>
      <c r="J831" s="42">
        <f>G831*I831</f>
        <v>397392.55939059303</v>
      </c>
      <c r="K831" s="15" t="str">
        <f t="shared" si="97"/>
        <v>PTO-0316|MO</v>
      </c>
      <c r="L831" s="15">
        <f>COUNTIFS($K$2:K831,K831)</f>
        <v>1</v>
      </c>
      <c r="M831" s="15" t="str">
        <f t="shared" si="98"/>
        <v>PTO-0316|MO|1</v>
      </c>
      <c r="N831" s="47">
        <f>IFERROR(VLOOKUP(A831,PARTIDAS!A:F,6,FALSE()),0)</f>
        <v>1</v>
      </c>
      <c r="O831" s="247">
        <f t="shared" si="99"/>
        <v>1</v>
      </c>
      <c r="P831" s="247">
        <f>+_xlfn.XLOOKUP(A831,PPTO_GENERADOR!Q:Q,PPTO_GENERADOR!E:E,"-",0)</f>
        <v>4</v>
      </c>
      <c r="Q831" s="247">
        <f t="shared" si="100"/>
        <v>4</v>
      </c>
      <c r="R831" s="259">
        <f>+_xlfn.XLOOKUP(A831,PPTO_GENERADOR!$Q:$Q,PPTO_GENERADOR!A:A,"-",0)</f>
        <v>3.16</v>
      </c>
    </row>
    <row r="832" spans="1:18" ht="15" customHeight="1" x14ac:dyDescent="0.35">
      <c r="A832" s="38" t="s">
        <v>82</v>
      </c>
      <c r="B832" s="38" t="s">
        <v>2773</v>
      </c>
      <c r="C832" s="38"/>
      <c r="D832" s="38" t="s">
        <v>1725</v>
      </c>
      <c r="E832" s="44" t="str">
        <f>IFERROR(VLOOKUP(D832,EQUIPOS!A:B,2,FALSE()),"?")</f>
        <v>Herramientas y consumibles Escaleras de Hº visto - H35 (105 kg/m3 de hierro)</v>
      </c>
      <c r="F832" s="44"/>
      <c r="G832" s="45">
        <v>1</v>
      </c>
      <c r="H832" s="46">
        <v>0</v>
      </c>
      <c r="I832" s="47">
        <f>IFERROR(VLOOKUP(D832,EQUIPOS!A:F,6,FALSE()),0)</f>
        <v>12325.562186123399</v>
      </c>
      <c r="J832" s="42">
        <f>G832*I832</f>
        <v>12325.562186123399</v>
      </c>
      <c r="K832" s="15" t="str">
        <f t="shared" si="97"/>
        <v>PTO-0317|EQ</v>
      </c>
      <c r="L832" s="15">
        <f>COUNTIFS($K$2:K832,K832)</f>
        <v>1</v>
      </c>
      <c r="M832" s="15" t="str">
        <f t="shared" si="98"/>
        <v>PTO-0317|EQ|1</v>
      </c>
      <c r="N832" s="47">
        <f>IFERROR(VLOOKUP(A832,PARTIDAS!A:F,6,FALSE()),0)</f>
        <v>1</v>
      </c>
      <c r="O832" s="247">
        <f t="shared" si="99"/>
        <v>1</v>
      </c>
      <c r="P832" s="247">
        <f>+_xlfn.XLOOKUP(A832,PPTO_GENERADOR!Q:Q,PPTO_GENERADOR!E:E,"-",0)</f>
        <v>10</v>
      </c>
      <c r="Q832" s="247">
        <f t="shared" si="100"/>
        <v>10</v>
      </c>
      <c r="R832" s="259">
        <f>+_xlfn.XLOOKUP(A832,PPTO_GENERADOR!$Q:$Q,PPTO_GENERADOR!A:A,"-",0)</f>
        <v>3.17</v>
      </c>
    </row>
    <row r="833" spans="1:18" ht="15" customHeight="1" x14ac:dyDescent="0.35">
      <c r="A833" s="38" t="s">
        <v>82</v>
      </c>
      <c r="B833" s="38" t="s">
        <v>2774</v>
      </c>
      <c r="C833" s="38" t="s">
        <v>2779</v>
      </c>
      <c r="D833" s="38" t="s">
        <v>1141</v>
      </c>
      <c r="E833" s="44" t="str">
        <f>IFERROR(VLOOKUP(D833,MATERIALES!A:B,2,FALSE()),"?")</f>
        <v>Escaleras de Hº visto - H35 (105 kg/m3 de hierro)</v>
      </c>
      <c r="F833" s="44" t="str">
        <f>IFERROR(VLOOKUP(D833,MATERIALES!A:C,3,FALSE()),"?")</f>
        <v>m3</v>
      </c>
      <c r="G833" s="45">
        <v>1</v>
      </c>
      <c r="H833" s="46">
        <v>0</v>
      </c>
      <c r="I833" s="47">
        <f>IFERROR(VLOOKUP(D833,MATERIALES!A:D,4,FALSE()),0)</f>
        <v>416173.60204176803</v>
      </c>
      <c r="J833" s="42">
        <f>G833*I833*(1+H833)</f>
        <v>416173.60204176803</v>
      </c>
      <c r="K833" s="15" t="str">
        <f t="shared" si="97"/>
        <v>PTO-0317|MAT</v>
      </c>
      <c r="L833" s="15">
        <f>COUNTIFS($K$2:K833,K833)</f>
        <v>1</v>
      </c>
      <c r="M833" s="15" t="str">
        <f t="shared" si="98"/>
        <v>PTO-0317|MAT|1</v>
      </c>
      <c r="N833" s="47">
        <f>IFERROR(VLOOKUP(A833,PARTIDAS!A:F,6,FALSE()),0)</f>
        <v>1</v>
      </c>
      <c r="O833" s="247">
        <f t="shared" si="99"/>
        <v>1</v>
      </c>
      <c r="P833" s="247">
        <f>+_xlfn.XLOOKUP(A833,PPTO_GENERADOR!Q:Q,PPTO_GENERADOR!E:E,"-",0)</f>
        <v>10</v>
      </c>
      <c r="Q833" s="247">
        <f t="shared" si="100"/>
        <v>10</v>
      </c>
      <c r="R833" s="259">
        <f>+_xlfn.XLOOKUP(A833,PPTO_GENERADOR!$Q:$Q,PPTO_GENERADOR!A:A,"-",0)</f>
        <v>3.17</v>
      </c>
    </row>
    <row r="834" spans="1:18" ht="15" customHeight="1" x14ac:dyDescent="0.35">
      <c r="A834" s="38" t="s">
        <v>82</v>
      </c>
      <c r="B834" s="38" t="s">
        <v>2776</v>
      </c>
      <c r="C834" s="38" t="s">
        <v>2775</v>
      </c>
      <c r="D834" s="38" t="s">
        <v>2272</v>
      </c>
      <c r="E834" s="44" t="str">
        <f>IFERROR(VLOOKUP(D834,SUBCONTRATOS_PRY!A:B,2,FALSE()),"?")</f>
        <v>MO Escaleras de Hº visto - H35 (105 kg/m3 de hierro)</v>
      </c>
      <c r="F834" s="44" t="s">
        <v>2778</v>
      </c>
      <c r="G834" s="45">
        <v>1</v>
      </c>
      <c r="H834" s="46">
        <v>0</v>
      </c>
      <c r="I834" s="47">
        <f>IFERROR(VLOOKUP(D834,SUBCONTRATOS_PRY!A:D,4,FALSE()),0)</f>
        <v>405530.54369979398</v>
      </c>
      <c r="J834" s="42">
        <f>G834*I834</f>
        <v>405530.54369979398</v>
      </c>
      <c r="K834" s="15" t="str">
        <f t="shared" ref="K834:K897" si="101">A834&amp;"|"&amp;B834</f>
        <v>PTO-0317|MO</v>
      </c>
      <c r="L834" s="15">
        <f>COUNTIFS($K$2:K834,K834)</f>
        <v>1</v>
      </c>
      <c r="M834" s="15" t="str">
        <f t="shared" ref="M834:M897" si="102">K834&amp;"|"&amp;L834</f>
        <v>PTO-0317|MO|1</v>
      </c>
      <c r="N834" s="47">
        <f>IFERROR(VLOOKUP(A834,PARTIDAS!A:F,6,FALSE()),0)</f>
        <v>1</v>
      </c>
      <c r="O834" s="247">
        <f t="shared" si="99"/>
        <v>1</v>
      </c>
      <c r="P834" s="247">
        <f>+_xlfn.XLOOKUP(A834,PPTO_GENERADOR!Q:Q,PPTO_GENERADOR!E:E,"-",0)</f>
        <v>10</v>
      </c>
      <c r="Q834" s="247">
        <f t="shared" si="100"/>
        <v>10</v>
      </c>
      <c r="R834" s="259">
        <f>+_xlfn.XLOOKUP(A834,PPTO_GENERADOR!$Q:$Q,PPTO_GENERADOR!A:A,"-",0)</f>
        <v>3.17</v>
      </c>
    </row>
    <row r="835" spans="1:18" ht="15" customHeight="1" x14ac:dyDescent="0.35">
      <c r="A835" s="38" t="s">
        <v>84</v>
      </c>
      <c r="B835" s="38" t="s">
        <v>2773</v>
      </c>
      <c r="C835" s="38"/>
      <c r="D835" s="38" t="s">
        <v>1728</v>
      </c>
      <c r="E835" s="44" t="str">
        <f>IFERROR(VLOOKUP(D835,EQUIPOS!A:B,2,FALSE()),"?")</f>
        <v>Herramientas y consumibles Tanques de HºAº - H35 (100 kg/m3 de hierro) - Tanq</v>
      </c>
      <c r="F835" s="44"/>
      <c r="G835" s="45">
        <v>1</v>
      </c>
      <c r="H835" s="46">
        <v>0</v>
      </c>
      <c r="I835" s="47">
        <f>IFERROR(VLOOKUP(D835,EQUIPOS!A:F,6,FALSE()),0)</f>
        <v>11521.3976114952</v>
      </c>
      <c r="J835" s="42">
        <f>G835*I835</f>
        <v>11521.3976114952</v>
      </c>
      <c r="K835" s="15" t="str">
        <f t="shared" si="101"/>
        <v>PTO-0318|EQ</v>
      </c>
      <c r="L835" s="15">
        <f>COUNTIFS($K$2:K835,K835)</f>
        <v>1</v>
      </c>
      <c r="M835" s="15" t="str">
        <f t="shared" si="102"/>
        <v>PTO-0318|EQ|1</v>
      </c>
      <c r="N835" s="47">
        <f>IFERROR(VLOOKUP(A835,PARTIDAS!A:F,6,FALSE()),0)</f>
        <v>1</v>
      </c>
      <c r="O835" s="247">
        <f t="shared" ref="O835:O898" si="103">+IF(C835="ALB",G835/N835,G835)</f>
        <v>1</v>
      </c>
      <c r="P835" s="247">
        <f>+_xlfn.XLOOKUP(A835,PPTO_GENERADOR!Q:Q,PPTO_GENERADOR!E:E,"-",0)</f>
        <v>6</v>
      </c>
      <c r="Q835" s="247">
        <f t="shared" ref="Q835:Q898" si="104">IFERROR(P835*O835,0)</f>
        <v>6</v>
      </c>
      <c r="R835" s="259">
        <f>+_xlfn.XLOOKUP(A835,PPTO_GENERADOR!$Q:$Q,PPTO_GENERADOR!A:A,"-",0)</f>
        <v>3.18</v>
      </c>
    </row>
    <row r="836" spans="1:18" ht="15" customHeight="1" x14ac:dyDescent="0.35">
      <c r="A836" s="38" t="s">
        <v>84</v>
      </c>
      <c r="B836" s="38" t="s">
        <v>2774</v>
      </c>
      <c r="C836" s="38" t="s">
        <v>2779</v>
      </c>
      <c r="D836" s="38" t="s">
        <v>1143</v>
      </c>
      <c r="E836" s="44" t="str">
        <f>IFERROR(VLOOKUP(D836,MATERIALES!A:B,2,FALSE()),"?")</f>
        <v>Tanques de HºAº - H35 (100 kg/m3 de hierro) - Tanque de reserva</v>
      </c>
      <c r="F836" s="44" t="str">
        <f>IFERROR(VLOOKUP(D836,MATERIALES!A:C,3,FALSE()),"?")</f>
        <v>m3</v>
      </c>
      <c r="G836" s="45">
        <v>1</v>
      </c>
      <c r="H836" s="46">
        <v>0</v>
      </c>
      <c r="I836" s="47">
        <f>IFERROR(VLOOKUP(D836,MATERIALES!A:D,4,FALSE()),0)</f>
        <v>410452.27422518202</v>
      </c>
      <c r="J836" s="42">
        <f>G836*I836*(1+H836)</f>
        <v>410452.27422518202</v>
      </c>
      <c r="K836" s="15" t="str">
        <f t="shared" si="101"/>
        <v>PTO-0318|MAT</v>
      </c>
      <c r="L836" s="15">
        <f>COUNTIFS($K$2:K836,K836)</f>
        <v>1</v>
      </c>
      <c r="M836" s="15" t="str">
        <f t="shared" si="102"/>
        <v>PTO-0318|MAT|1</v>
      </c>
      <c r="N836" s="47">
        <f>IFERROR(VLOOKUP(A836,PARTIDAS!A:F,6,FALSE()),0)</f>
        <v>1</v>
      </c>
      <c r="O836" s="247">
        <f t="shared" si="103"/>
        <v>1</v>
      </c>
      <c r="P836" s="247">
        <f>+_xlfn.XLOOKUP(A836,PPTO_GENERADOR!Q:Q,PPTO_GENERADOR!E:E,"-",0)</f>
        <v>6</v>
      </c>
      <c r="Q836" s="247">
        <f t="shared" si="104"/>
        <v>6</v>
      </c>
      <c r="R836" s="259">
        <f>+_xlfn.XLOOKUP(A836,PPTO_GENERADOR!$Q:$Q,PPTO_GENERADOR!A:A,"-",0)</f>
        <v>3.18</v>
      </c>
    </row>
    <row r="837" spans="1:18" ht="15" customHeight="1" x14ac:dyDescent="0.35">
      <c r="A837" s="38" t="s">
        <v>84</v>
      </c>
      <c r="B837" s="38" t="s">
        <v>2776</v>
      </c>
      <c r="C837" s="38" t="s">
        <v>2775</v>
      </c>
      <c r="D837" s="38" t="s">
        <v>2274</v>
      </c>
      <c r="E837" s="44" t="str">
        <f>IFERROR(VLOOKUP(D837,SUBCONTRATOS_PRY!A:B,2,FALSE()),"?")</f>
        <v>MO Tanques de HºAº - H35 (100 kg/m3 de hierro) - Tanque de reserva</v>
      </c>
      <c r="F837" s="44" t="s">
        <v>2778</v>
      </c>
      <c r="G837" s="45">
        <v>1</v>
      </c>
      <c r="H837" s="46">
        <v>0</v>
      </c>
      <c r="I837" s="47">
        <f>IFERROR(VLOOKUP(D837,SUBCONTRATOS_PRY!A:D,4,FALSE()),0)</f>
        <v>357640.8998745</v>
      </c>
      <c r="J837" s="42">
        <f>G837*I837</f>
        <v>357640.8998745</v>
      </c>
      <c r="K837" s="15" t="str">
        <f t="shared" si="101"/>
        <v>PTO-0318|MO</v>
      </c>
      <c r="L837" s="15">
        <f>COUNTIFS($K$2:K837,K837)</f>
        <v>1</v>
      </c>
      <c r="M837" s="15" t="str">
        <f t="shared" si="102"/>
        <v>PTO-0318|MO|1</v>
      </c>
      <c r="N837" s="47">
        <f>IFERROR(VLOOKUP(A837,PARTIDAS!A:F,6,FALSE()),0)</f>
        <v>1</v>
      </c>
      <c r="O837" s="247">
        <f t="shared" si="103"/>
        <v>1</v>
      </c>
      <c r="P837" s="247">
        <f>+_xlfn.XLOOKUP(A837,PPTO_GENERADOR!Q:Q,PPTO_GENERADOR!E:E,"-",0)</f>
        <v>6</v>
      </c>
      <c r="Q837" s="247">
        <f t="shared" si="104"/>
        <v>6</v>
      </c>
      <c r="R837" s="259">
        <f>+_xlfn.XLOOKUP(A837,PPTO_GENERADOR!$Q:$Q,PPTO_GENERADOR!A:A,"-",0)</f>
        <v>3.18</v>
      </c>
    </row>
    <row r="838" spans="1:18" ht="15" customHeight="1" x14ac:dyDescent="0.35">
      <c r="A838" s="38" t="s">
        <v>86</v>
      </c>
      <c r="B838" s="38" t="s">
        <v>2773</v>
      </c>
      <c r="C838" s="38"/>
      <c r="D838" s="38" t="s">
        <v>1731</v>
      </c>
      <c r="E838" s="44" t="str">
        <f>IFERROR(VLOOKUP(D838,EQUIPOS!A:B,2,FALSE()),"?")</f>
        <v>EQ Sistema de apuntalamiento y reapuntalamiento [ENCOFRADO]</v>
      </c>
      <c r="F838" s="44"/>
      <c r="G838" s="45">
        <v>1</v>
      </c>
      <c r="H838" s="46">
        <v>0</v>
      </c>
      <c r="I838" s="47">
        <f>IFERROR(VLOOKUP(D838,EQUIPOS!A:F,6,FALSE()),0)</f>
        <v>8458556.625</v>
      </c>
      <c r="J838" s="42">
        <f>G838*I838</f>
        <v>8458556.625</v>
      </c>
      <c r="K838" s="15" t="str">
        <f t="shared" si="101"/>
        <v>PTO-0319|EQ</v>
      </c>
      <c r="L838" s="15">
        <f>COUNTIFS($K$2:K838,K838)</f>
        <v>1</v>
      </c>
      <c r="M838" s="15" t="str">
        <f t="shared" si="102"/>
        <v>PTO-0319|EQ|1</v>
      </c>
      <c r="N838" s="47">
        <f>IFERROR(VLOOKUP(A838,PARTIDAS!A:F,6,FALSE()),0)</f>
        <v>1</v>
      </c>
      <c r="O838" s="247">
        <f t="shared" si="103"/>
        <v>1</v>
      </c>
      <c r="P838" s="247">
        <f>+_xlfn.XLOOKUP(A838,PPTO_GENERADOR!Q:Q,PPTO_GENERADOR!E:E,"-",0)</f>
        <v>1</v>
      </c>
      <c r="Q838" s="247">
        <f t="shared" si="104"/>
        <v>1</v>
      </c>
      <c r="R838" s="259">
        <f>+_xlfn.XLOOKUP(A838,PPTO_GENERADOR!$Q:$Q,PPTO_GENERADOR!A:A,"-",0)</f>
        <v>3.19</v>
      </c>
    </row>
    <row r="839" spans="1:18" ht="15" customHeight="1" x14ac:dyDescent="0.35">
      <c r="A839" s="38" t="s">
        <v>88</v>
      </c>
      <c r="B839" s="38" t="s">
        <v>2776</v>
      </c>
      <c r="C839" s="38" t="s">
        <v>2775</v>
      </c>
      <c r="D839" s="38" t="s">
        <v>2276</v>
      </c>
      <c r="E839" s="44" t="str">
        <f>IFERROR(VLOOKUP(D839,SUBCONTRATOS_PRY!A:B,2,FALSE()),"?")</f>
        <v xml:space="preserve">MO Ensayos de hormigon por etapas de hormigonado </v>
      </c>
      <c r="F839" s="44" t="s">
        <v>2778</v>
      </c>
      <c r="G839" s="45">
        <v>1</v>
      </c>
      <c r="H839" s="46">
        <v>0</v>
      </c>
      <c r="I839" s="47">
        <f>IFERROR(VLOOKUP(D839,SUBCONTRATOS_PRY!A:D,4,FALSE()),0)</f>
        <v>228712</v>
      </c>
      <c r="J839" s="42">
        <f>G839*I839</f>
        <v>228712</v>
      </c>
      <c r="K839" s="15" t="str">
        <f t="shared" si="101"/>
        <v>PTO-0320|MO</v>
      </c>
      <c r="L839" s="15">
        <f>COUNTIFS($K$2:K839,K839)</f>
        <v>1</v>
      </c>
      <c r="M839" s="15" t="str">
        <f t="shared" si="102"/>
        <v>PTO-0320|MO|1</v>
      </c>
      <c r="N839" s="47">
        <f>IFERROR(VLOOKUP(A839,PARTIDAS!A:F,6,FALSE()),0)</f>
        <v>1</v>
      </c>
      <c r="O839" s="247">
        <f t="shared" si="103"/>
        <v>1</v>
      </c>
      <c r="P839" s="247">
        <f>+_xlfn.XLOOKUP(A839,PPTO_GENERADOR!Q:Q,PPTO_GENERADOR!E:E,"-",0)</f>
        <v>15</v>
      </c>
      <c r="Q839" s="247">
        <f t="shared" si="104"/>
        <v>15</v>
      </c>
      <c r="R839" s="259">
        <f>+_xlfn.XLOOKUP(A839,PPTO_GENERADOR!$Q:$Q,PPTO_GENERADOR!A:A,"-",0)</f>
        <v>3.2</v>
      </c>
    </row>
    <row r="840" spans="1:18" ht="15" customHeight="1" x14ac:dyDescent="0.35">
      <c r="A840" s="38" t="s">
        <v>90</v>
      </c>
      <c r="B840" s="38" t="s">
        <v>2774</v>
      </c>
      <c r="C840" s="38" t="s">
        <v>2775</v>
      </c>
      <c r="D840" s="38" t="s">
        <v>1145</v>
      </c>
      <c r="E840" s="44" t="str">
        <f>IFERROR(VLOOKUP(D840,MATERIALES!A:B,2,FALSE()),"?")</f>
        <v>Permiso de estacionamiento de bomba de hormigón a contramano</v>
      </c>
      <c r="F840" s="44" t="str">
        <f>IFERROR(VLOOKUP(D840,MATERIALES!A:C,3,FALSE()),"?")</f>
        <v>gl</v>
      </c>
      <c r="G840" s="45">
        <v>1</v>
      </c>
      <c r="H840" s="46">
        <v>0</v>
      </c>
      <c r="I840" s="47">
        <f>IFERROR(VLOOKUP(D840,MATERIALES!A:D,4,FALSE()),0)</f>
        <v>51239.669421487597</v>
      </c>
      <c r="J840" s="42">
        <f>G840*I840*(1+H840)</f>
        <v>51239.669421487597</v>
      </c>
      <c r="K840" s="15" t="str">
        <f t="shared" si="101"/>
        <v>PTO-0321|MAT</v>
      </c>
      <c r="L840" s="15">
        <f>COUNTIFS($K$2:K840,K840)</f>
        <v>1</v>
      </c>
      <c r="M840" s="15" t="str">
        <f t="shared" si="102"/>
        <v>PTO-0321|MAT|1</v>
      </c>
      <c r="N840" s="47">
        <f>IFERROR(VLOOKUP(A840,PARTIDAS!A:F,6,FALSE()),0)</f>
        <v>1</v>
      </c>
      <c r="O840" s="247">
        <f t="shared" si="103"/>
        <v>1</v>
      </c>
      <c r="P840" s="247">
        <f>+_xlfn.XLOOKUP(A840,PPTO_GENERADOR!Q:Q,PPTO_GENERADOR!E:E,"-",0)</f>
        <v>3</v>
      </c>
      <c r="Q840" s="247">
        <f t="shared" si="104"/>
        <v>3</v>
      </c>
      <c r="R840" s="259">
        <f>+_xlfn.XLOOKUP(A840,PPTO_GENERADOR!$Q:$Q,PPTO_GENERADOR!A:A,"-",0)</f>
        <v>3.21</v>
      </c>
    </row>
    <row r="841" spans="1:18" ht="15" customHeight="1" x14ac:dyDescent="0.35">
      <c r="A841" s="38" t="s">
        <v>93</v>
      </c>
      <c r="B841" s="38" t="s">
        <v>2773</v>
      </c>
      <c r="C841" s="38"/>
      <c r="D841" s="38" t="s">
        <v>1782</v>
      </c>
      <c r="E841" s="44" t="str">
        <f>IFERROR(VLOOKUP(D841,EQUIPOS!A:B,2,FALSE()),"?")</f>
        <v>Herramientas menores y consumibles - Picado de medianeras para columnas y vigas - Cotiz</v>
      </c>
      <c r="F841" s="44"/>
      <c r="G841" s="45">
        <v>1</v>
      </c>
      <c r="H841" s="46">
        <v>0</v>
      </c>
      <c r="I841" s="47">
        <f>IFERROR(VLOOKUP(D841,EQUIPOS!A:F,6,FALSE()),0)</f>
        <v>373.21801708038703</v>
      </c>
      <c r="J841" s="42">
        <f>G841*I841</f>
        <v>373.21801708038703</v>
      </c>
      <c r="K841" s="15" t="str">
        <f t="shared" si="101"/>
        <v>PTO-0322|EQ</v>
      </c>
      <c r="L841" s="15">
        <f>COUNTIFS($K$2:K841,K841)</f>
        <v>1</v>
      </c>
      <c r="M841" s="15" t="str">
        <f t="shared" si="102"/>
        <v>PTO-0322|EQ|1</v>
      </c>
      <c r="N841" s="47">
        <f>IFERROR(VLOOKUP(A841,PARTIDAS!A:F,6,FALSE()),0)</f>
        <v>1</v>
      </c>
      <c r="O841" s="247">
        <f t="shared" si="103"/>
        <v>1</v>
      </c>
      <c r="P841" s="247">
        <f>+_xlfn.XLOOKUP(A841,PPTO_GENERADOR!Q:Q,PPTO_GENERADOR!E:E,"-",0)</f>
        <v>78</v>
      </c>
      <c r="Q841" s="247">
        <f t="shared" si="104"/>
        <v>78</v>
      </c>
      <c r="R841" s="259">
        <f>+_xlfn.XLOOKUP(A841,PPTO_GENERADOR!$Q:$Q,PPTO_GENERADOR!A:A,"-",0)</f>
        <v>3.22</v>
      </c>
    </row>
    <row r="842" spans="1:18" ht="15" customHeight="1" x14ac:dyDescent="0.35">
      <c r="A842" s="38" t="s">
        <v>93</v>
      </c>
      <c r="B842" s="38" t="s">
        <v>2774</v>
      </c>
      <c r="C842" s="38" t="s">
        <v>2779</v>
      </c>
      <c r="D842" s="38" t="s">
        <v>1361</v>
      </c>
      <c r="E842" s="44" t="str">
        <f>IFERROR(VLOOKUP(D842,MATERIALES!A:B,2,FALSE()),"?")</f>
        <v>Consumibles</v>
      </c>
      <c r="F842" s="44" t="str">
        <f>IFERROR(VLOOKUP(D842,MATERIALES!A:C,3,FALSE()),"?")</f>
        <v>gl</v>
      </c>
      <c r="G842" s="45">
        <v>1923.0769230799999</v>
      </c>
      <c r="H842" s="46">
        <v>0</v>
      </c>
      <c r="I842" s="47">
        <f>IFERROR(VLOOKUP(D842,MATERIALES!A:D,4,FALSE()),0)</f>
        <v>1</v>
      </c>
      <c r="J842" s="42">
        <f>G842*I842*(1+H842)</f>
        <v>1923.0769230799999</v>
      </c>
      <c r="K842" s="15" t="str">
        <f t="shared" si="101"/>
        <v>PTO-0322|MAT</v>
      </c>
      <c r="L842" s="15">
        <f>COUNTIFS($K$2:K842,K842)</f>
        <v>1</v>
      </c>
      <c r="M842" s="15" t="str">
        <f t="shared" si="102"/>
        <v>PTO-0322|MAT|1</v>
      </c>
      <c r="N842" s="47">
        <f>IFERROR(VLOOKUP(A842,PARTIDAS!A:F,6,FALSE()),0)</f>
        <v>1</v>
      </c>
      <c r="O842" s="247">
        <f t="shared" si="103"/>
        <v>1923.0769230799999</v>
      </c>
      <c r="P842" s="247">
        <f>+_xlfn.XLOOKUP(A842,PPTO_GENERADOR!Q:Q,PPTO_GENERADOR!E:E,"-",0)</f>
        <v>78</v>
      </c>
      <c r="Q842" s="247">
        <f t="shared" si="104"/>
        <v>150000.00000023999</v>
      </c>
      <c r="R842" s="259">
        <f>+_xlfn.XLOOKUP(A842,PPTO_GENERADOR!$Q:$Q,PPTO_GENERADOR!A:A,"-",0)</f>
        <v>3.22</v>
      </c>
    </row>
    <row r="843" spans="1:18" ht="15" customHeight="1" x14ac:dyDescent="0.35">
      <c r="A843" s="38" t="s">
        <v>93</v>
      </c>
      <c r="B843" s="38" t="s">
        <v>2774</v>
      </c>
      <c r="C843" s="38" t="s">
        <v>2775</v>
      </c>
      <c r="D843" s="38" t="s">
        <v>1150</v>
      </c>
      <c r="E843" s="44" t="str">
        <f>IFERROR(VLOOKUP(D843,MATERIALES!A:B,2,FALSE()),"?")</f>
        <v>Volquetes</v>
      </c>
      <c r="F843" s="44" t="str">
        <f>IFERROR(VLOOKUP(D843,MATERIALES!A:C,3,FALSE()),"?")</f>
        <v>u</v>
      </c>
      <c r="G843" s="45">
        <v>5.1282051282051301E-2</v>
      </c>
      <c r="H843" s="46">
        <v>0</v>
      </c>
      <c r="I843" s="47">
        <f>IFERROR(VLOOKUP(D843,MATERIALES!A:D,4,FALSE()),0)</f>
        <v>100000</v>
      </c>
      <c r="J843" s="42">
        <f>G843*I843*(1+H843)</f>
        <v>5128.2051282051298</v>
      </c>
      <c r="K843" s="15" t="str">
        <f t="shared" si="101"/>
        <v>PTO-0322|MAT</v>
      </c>
      <c r="L843" s="15">
        <f>COUNTIFS($K$2:K843,K843)</f>
        <v>2</v>
      </c>
      <c r="M843" s="15" t="str">
        <f t="shared" si="102"/>
        <v>PTO-0322|MAT|2</v>
      </c>
      <c r="N843" s="47">
        <f>IFERROR(VLOOKUP(A843,PARTIDAS!A:F,6,FALSE()),0)</f>
        <v>1</v>
      </c>
      <c r="O843" s="247">
        <f t="shared" si="103"/>
        <v>5.1282051282051301E-2</v>
      </c>
      <c r="P843" s="247">
        <f>+_xlfn.XLOOKUP(A843,PPTO_GENERADOR!Q:Q,PPTO_GENERADOR!E:E,"-",0)</f>
        <v>78</v>
      </c>
      <c r="Q843" s="247">
        <f t="shared" si="104"/>
        <v>4.0000000000000018</v>
      </c>
      <c r="R843" s="259">
        <f>+_xlfn.XLOOKUP(A843,PPTO_GENERADOR!$Q:$Q,PPTO_GENERADOR!A:A,"-",0)</f>
        <v>3.22</v>
      </c>
    </row>
    <row r="844" spans="1:18" ht="15" customHeight="1" x14ac:dyDescent="0.35">
      <c r="A844" s="38" t="s">
        <v>93</v>
      </c>
      <c r="B844" s="38" t="s">
        <v>2776</v>
      </c>
      <c r="C844" s="38" t="s">
        <v>2777</v>
      </c>
      <c r="D844" s="38" t="s">
        <v>1577</v>
      </c>
      <c r="E844" s="44" t="str">
        <f>IFERROR(VLOOKUP(D844,MANO_DE_OBRA!A:B,2,FALSE()),"?")</f>
        <v>AYUDANTE</v>
      </c>
      <c r="F844" s="44" t="s">
        <v>2778</v>
      </c>
      <c r="G844" s="45">
        <v>0.17948717948717999</v>
      </c>
      <c r="H844" s="46">
        <v>0</v>
      </c>
      <c r="I844" s="47">
        <f>IFERROR(VLOOKUP(D844,MANO_DE_OBRA!A:C,3,FALSE()),0)</f>
        <v>60860.580776572002</v>
      </c>
      <c r="J844" s="42">
        <f>G844*I844</f>
        <v>10923.693985538595</v>
      </c>
      <c r="K844" s="15" t="str">
        <f t="shared" si="101"/>
        <v>PTO-0322|MO</v>
      </c>
      <c r="L844" s="15">
        <f>COUNTIFS($K$2:K844,K844)</f>
        <v>1</v>
      </c>
      <c r="M844" s="15" t="str">
        <f t="shared" si="102"/>
        <v>PTO-0322|MO|1</v>
      </c>
      <c r="N844" s="47">
        <f>IFERROR(VLOOKUP(A844,PARTIDAS!A:F,6,FALSE()),0)</f>
        <v>1</v>
      </c>
      <c r="O844" s="247">
        <f t="shared" si="103"/>
        <v>0.17948717948717999</v>
      </c>
      <c r="P844" s="247">
        <f>+_xlfn.XLOOKUP(A844,PPTO_GENERADOR!Q:Q,PPTO_GENERADOR!E:E,"-",0)</f>
        <v>78</v>
      </c>
      <c r="Q844" s="247">
        <f t="shared" si="104"/>
        <v>14.000000000000039</v>
      </c>
      <c r="R844" s="259">
        <f>+_xlfn.XLOOKUP(A844,PPTO_GENERADOR!$Q:$Q,PPTO_GENERADOR!A:A,"-",0)</f>
        <v>3.22</v>
      </c>
    </row>
    <row r="845" spans="1:18" ht="14.25" customHeight="1" x14ac:dyDescent="0.35">
      <c r="A845" s="38" t="s">
        <v>93</v>
      </c>
      <c r="B845" s="38" t="s">
        <v>2776</v>
      </c>
      <c r="C845" s="38" t="s">
        <v>2777</v>
      </c>
      <c r="D845" s="237" t="s">
        <v>1571</v>
      </c>
      <c r="E845" s="44" t="str">
        <f>IFERROR(VLOOKUP(D845,MANO_DE_OBRA!A:B,2,FALSE()),"?")</f>
        <v>OFICIAL</v>
      </c>
      <c r="F845" s="44" t="s">
        <v>2778</v>
      </c>
      <c r="G845" s="45">
        <v>8.9743589743589702E-2</v>
      </c>
      <c r="H845" s="46">
        <v>0</v>
      </c>
      <c r="I845" s="47">
        <f>IFERROR(VLOOKUP(D845,MANO_DE_OBRA!A:C,3,FALSE()),0)</f>
        <v>76955.079706571996</v>
      </c>
      <c r="J845" s="42">
        <f>G845*I845</f>
        <v>6906.2251018718425</v>
      </c>
      <c r="K845" s="15" t="str">
        <f t="shared" si="101"/>
        <v>PTO-0322|MO</v>
      </c>
      <c r="L845" s="15">
        <f>COUNTIFS($K$2:K845,K845)</f>
        <v>2</v>
      </c>
      <c r="M845" s="15" t="str">
        <f t="shared" si="102"/>
        <v>PTO-0322|MO|2</v>
      </c>
      <c r="N845" s="47">
        <f>IFERROR(VLOOKUP(A845,PARTIDAS!A:F,6,FALSE()),0)</f>
        <v>1</v>
      </c>
      <c r="O845" s="247">
        <f t="shared" si="103"/>
        <v>8.9743589743589702E-2</v>
      </c>
      <c r="P845" s="247">
        <f>+_xlfn.XLOOKUP(A845,PPTO_GENERADOR!Q:Q,PPTO_GENERADOR!E:E,"-",0)</f>
        <v>78</v>
      </c>
      <c r="Q845" s="247">
        <f t="shared" si="104"/>
        <v>6.9999999999999964</v>
      </c>
      <c r="R845" s="259">
        <f>+_xlfn.XLOOKUP(A845,PPTO_GENERADOR!$Q:$Q,PPTO_GENERADOR!A:A,"-",0)</f>
        <v>3.22</v>
      </c>
    </row>
    <row r="846" spans="1:18" ht="14.25" customHeight="1" x14ac:dyDescent="0.35">
      <c r="A846" s="38" t="s">
        <v>2672</v>
      </c>
      <c r="B846" s="38" t="s">
        <v>2773</v>
      </c>
      <c r="C846" s="38"/>
      <c r="D846" s="38" t="s">
        <v>1592</v>
      </c>
      <c r="E846" s="44" t="str">
        <f>IFERROR(VLOOKUP(D846,EQUIPOS!A:B,2,FALSE()),"?")</f>
        <v>ANDAMIO TUBULAR DE UNO A TRES CUERPOS</v>
      </c>
      <c r="F846" s="44"/>
      <c r="G846" s="45">
        <v>0.5</v>
      </c>
      <c r="H846" s="46">
        <v>0</v>
      </c>
      <c r="I846" s="47">
        <f>IFERROR(VLOOKUP(D846,EQUIPOS!A:F,6,FALSE()),0)</f>
        <v>571.1794909807611</v>
      </c>
      <c r="J846" s="42">
        <f>G846*I846</f>
        <v>285.58974549038055</v>
      </c>
      <c r="K846" s="15" t="str">
        <f t="shared" si="101"/>
        <v>PTO-0401|EQ</v>
      </c>
      <c r="L846" s="15">
        <f>COUNTIFS($K$2:K846,K846)</f>
        <v>1</v>
      </c>
      <c r="M846" s="15" t="str">
        <f t="shared" si="102"/>
        <v>PTO-0401|EQ|1</v>
      </c>
      <c r="N846" s="47">
        <f>IFERROR(VLOOKUP(A846,PARTIDAS!A:F,6,FALSE()),0)</f>
        <v>15</v>
      </c>
      <c r="O846" s="247">
        <f t="shared" si="103"/>
        <v>0.5</v>
      </c>
      <c r="P846" s="247" t="str">
        <f>+_xlfn.XLOOKUP(A846,PPTO_GENERADOR!Q:Q,PPTO_GENERADOR!E:E,"-",0)</f>
        <v>-</v>
      </c>
      <c r="Q846" s="247">
        <f t="shared" si="104"/>
        <v>0</v>
      </c>
      <c r="R846" s="259" t="str">
        <f>+_xlfn.XLOOKUP(A846,PPTO_GENERADOR!$Q:$Q,PPTO_GENERADOR!A:A,"-",0)</f>
        <v>-</v>
      </c>
    </row>
    <row r="847" spans="1:18" ht="14.25" customHeight="1" x14ac:dyDescent="0.35">
      <c r="A847" s="38" t="s">
        <v>2672</v>
      </c>
      <c r="B847" s="38" t="s">
        <v>2773</v>
      </c>
      <c r="C847" s="38"/>
      <c r="D847" s="38" t="s">
        <v>1595</v>
      </c>
      <c r="E847" s="44" t="str">
        <f>IFERROR(VLOOKUP(D847,EQUIPOS!A:B,2,FALSE()),"?")</f>
        <v>EQUIPO DE ALBAÑILERIA, carpetas, ladrillo</v>
      </c>
      <c r="F847" s="44"/>
      <c r="G847" s="45">
        <v>1</v>
      </c>
      <c r="H847" s="46">
        <v>0</v>
      </c>
      <c r="I847" s="47">
        <f>IFERROR(VLOOKUP(D847,EQUIPOS!A:F,6,FALSE()),0)</f>
        <v>2287.1357450968057</v>
      </c>
      <c r="J847" s="42">
        <f>G847*I847</f>
        <v>2287.1357450968057</v>
      </c>
      <c r="K847" s="15" t="str">
        <f t="shared" si="101"/>
        <v>PTO-0401|EQ</v>
      </c>
      <c r="L847" s="15">
        <f>COUNTIFS($K$2:K847,K847)</f>
        <v>2</v>
      </c>
      <c r="M847" s="15" t="str">
        <f t="shared" si="102"/>
        <v>PTO-0401|EQ|2</v>
      </c>
      <c r="N847" s="47">
        <f>IFERROR(VLOOKUP(A847,PARTIDAS!A:F,6,FALSE()),0)</f>
        <v>15</v>
      </c>
      <c r="O847" s="247">
        <f t="shared" si="103"/>
        <v>1</v>
      </c>
      <c r="P847" s="247" t="str">
        <f>+_xlfn.XLOOKUP(A847,PPTO_GENERADOR!Q:Q,PPTO_GENERADOR!E:E,"-",0)</f>
        <v>-</v>
      </c>
      <c r="Q847" s="247">
        <f t="shared" si="104"/>
        <v>0</v>
      </c>
      <c r="R847" s="259" t="str">
        <f>+_xlfn.XLOOKUP(A847,PPTO_GENERADOR!$Q:$Q,PPTO_GENERADOR!A:A,"-",0)</f>
        <v>-</v>
      </c>
    </row>
    <row r="848" spans="1:18" ht="14.25" customHeight="1" x14ac:dyDescent="0.35">
      <c r="A848" s="38" t="s">
        <v>2672</v>
      </c>
      <c r="B848" s="38" t="s">
        <v>2773</v>
      </c>
      <c r="C848" s="38"/>
      <c r="D848" s="38" t="s">
        <v>1613</v>
      </c>
      <c r="E848" s="44" t="str">
        <f>IFERROR(VLOOKUP(D848,EQUIPOS!A:B,2,FALSE()),"?")</f>
        <v>Hormigonera De 150 Litros 1hp Con Rueda Maciza</v>
      </c>
      <c r="F848" s="44"/>
      <c r="G848" s="45">
        <v>1</v>
      </c>
      <c r="H848" s="46">
        <v>0</v>
      </c>
      <c r="I848" s="47">
        <f>IFERROR(VLOOKUP(D848,EQUIPOS!A:F,6,FALSE()),0)</f>
        <v>957.25319614994726</v>
      </c>
      <c r="J848" s="42">
        <f>G848*I848</f>
        <v>957.25319614994726</v>
      </c>
      <c r="K848" s="15" t="str">
        <f t="shared" si="101"/>
        <v>PTO-0401|EQ</v>
      </c>
      <c r="L848" s="15">
        <f>COUNTIFS($K$2:K848,K848)</f>
        <v>3</v>
      </c>
      <c r="M848" s="15" t="str">
        <f t="shared" si="102"/>
        <v>PTO-0401|EQ|3</v>
      </c>
      <c r="N848" s="47">
        <f>IFERROR(VLOOKUP(A848,PARTIDAS!A:F,6,FALSE()),0)</f>
        <v>15</v>
      </c>
      <c r="O848" s="247">
        <f t="shared" si="103"/>
        <v>1</v>
      </c>
      <c r="P848" s="247" t="str">
        <f>+_xlfn.XLOOKUP(A848,PPTO_GENERADOR!Q:Q,PPTO_GENERADOR!E:E,"-",0)</f>
        <v>-</v>
      </c>
      <c r="Q848" s="247">
        <f t="shared" si="104"/>
        <v>0</v>
      </c>
      <c r="R848" s="259" t="str">
        <f>+_xlfn.XLOOKUP(A848,PPTO_GENERADOR!$Q:$Q,PPTO_GENERADOR!A:A,"-",0)</f>
        <v>-</v>
      </c>
    </row>
    <row r="849" spans="1:18" ht="14.25" customHeight="1" x14ac:dyDescent="0.35">
      <c r="A849" s="38" t="s">
        <v>2672</v>
      </c>
      <c r="B849" s="38" t="s">
        <v>2774</v>
      </c>
      <c r="C849" s="38" t="s">
        <v>2775</v>
      </c>
      <c r="D849" s="38" t="s">
        <v>611</v>
      </c>
      <c r="E849" s="44" t="str">
        <f>IFERROR(VLOOKUP(D849,MATERIALES!A:B,2,FALSE()),"?")</f>
        <v>Barra de Acero Aleteado - 6mm x 12m</v>
      </c>
      <c r="F849" s="44" t="str">
        <f>IFERROR(VLOOKUP(D849,MATERIALES!A:C,3,FALSE()),"?")</f>
        <v>u</v>
      </c>
      <c r="G849" s="45">
        <v>0.17</v>
      </c>
      <c r="H849" s="46">
        <v>0.1</v>
      </c>
      <c r="I849" s="47">
        <f>IFERROR(VLOOKUP(D849,MATERIALES!A:D,4,FALSE()),0)</f>
        <v>3424.53</v>
      </c>
      <c r="J849" s="42">
        <f>G849*I849*(1+H849)</f>
        <v>640.38711000000012</v>
      </c>
      <c r="K849" s="15" t="str">
        <f t="shared" si="101"/>
        <v>PTO-0401|MAT</v>
      </c>
      <c r="L849" s="15">
        <f>COUNTIFS($K$2:K849,K849)</f>
        <v>1</v>
      </c>
      <c r="M849" s="15" t="str">
        <f t="shared" si="102"/>
        <v>PTO-0401|MAT|1</v>
      </c>
      <c r="N849" s="47">
        <f>IFERROR(VLOOKUP(A849,PARTIDAS!A:F,6,FALSE()),0)</f>
        <v>15</v>
      </c>
      <c r="O849" s="247">
        <f t="shared" si="103"/>
        <v>0.17</v>
      </c>
      <c r="P849" s="247" t="str">
        <f>+_xlfn.XLOOKUP(A849,PPTO_GENERADOR!Q:Q,PPTO_GENERADOR!E:E,"-",0)</f>
        <v>-</v>
      </c>
      <c r="Q849" s="247">
        <f t="shared" si="104"/>
        <v>0</v>
      </c>
      <c r="R849" s="259" t="str">
        <f>+_xlfn.XLOOKUP(A849,PPTO_GENERADOR!$Q:$Q,PPTO_GENERADOR!A:A,"-",0)</f>
        <v>-</v>
      </c>
    </row>
    <row r="850" spans="1:18" ht="14.25" customHeight="1" x14ac:dyDescent="0.35">
      <c r="A850" s="38" t="s">
        <v>2672</v>
      </c>
      <c r="B850" s="38" t="s">
        <v>2774</v>
      </c>
      <c r="C850" s="38" t="s">
        <v>2775</v>
      </c>
      <c r="D850" s="38" t="s">
        <v>588</v>
      </c>
      <c r="E850" s="44" t="str">
        <f>IFERROR(VLOOKUP(D850,MATERIALES!A:B,2,FALSE()),"?")</f>
        <v>ARENA LAVADA</v>
      </c>
      <c r="F850" s="44" t="str">
        <f>IFERROR(VLOOKUP(D850,MATERIALES!A:C,3,FALSE()),"?")</f>
        <v>m3</v>
      </c>
      <c r="G850" s="45">
        <v>1.2E-2</v>
      </c>
      <c r="H850" s="46">
        <v>0.1</v>
      </c>
      <c r="I850" s="47">
        <f>IFERROR(VLOOKUP(D850,MATERIALES!A:D,4,FALSE()),0)</f>
        <v>32399.77</v>
      </c>
      <c r="J850" s="42">
        <f>G850*I850*(1+H850)</f>
        <v>427.676964</v>
      </c>
      <c r="K850" s="15" t="str">
        <f t="shared" si="101"/>
        <v>PTO-0401|MAT</v>
      </c>
      <c r="L850" s="15">
        <f>COUNTIFS($K$2:K850,K850)</f>
        <v>2</v>
      </c>
      <c r="M850" s="15" t="str">
        <f t="shared" si="102"/>
        <v>PTO-0401|MAT|2</v>
      </c>
      <c r="N850" s="47">
        <f>IFERROR(VLOOKUP(A850,PARTIDAS!A:F,6,FALSE()),0)</f>
        <v>15</v>
      </c>
      <c r="O850" s="247">
        <f t="shared" si="103"/>
        <v>1.2E-2</v>
      </c>
      <c r="P850" s="247" t="str">
        <f>+_xlfn.XLOOKUP(A850,PPTO_GENERADOR!Q:Q,PPTO_GENERADOR!E:E,"-",0)</f>
        <v>-</v>
      </c>
      <c r="Q850" s="247">
        <f t="shared" si="104"/>
        <v>0</v>
      </c>
      <c r="R850" s="259" t="str">
        <f>+_xlfn.XLOOKUP(A850,PPTO_GENERADOR!$Q:$Q,PPTO_GENERADOR!A:A,"-",0)</f>
        <v>-</v>
      </c>
    </row>
    <row r="851" spans="1:18" ht="14.25" customHeight="1" x14ac:dyDescent="0.35">
      <c r="A851" s="38" t="s">
        <v>2672</v>
      </c>
      <c r="B851" s="38" t="s">
        <v>2774</v>
      </c>
      <c r="C851" s="38" t="s">
        <v>2775</v>
      </c>
      <c r="D851" s="38" t="s">
        <v>599</v>
      </c>
      <c r="E851" s="44" t="str">
        <f>IFERROR(VLOOKUP(D851,MATERIALES!A:B,2,FALSE()),"?")</f>
        <v>Cemento Portland x 50kg</v>
      </c>
      <c r="F851" s="44" t="str">
        <f>IFERROR(VLOOKUP(D851,MATERIALES!A:C,3,FALSE()),"?")</f>
        <v>Bol</v>
      </c>
      <c r="G851" s="45">
        <v>0.05</v>
      </c>
      <c r="H851" s="46">
        <v>0.1</v>
      </c>
      <c r="I851" s="47">
        <f>IFERROR(VLOOKUP(D851,MATERIALES!A:D,4,FALSE()),0)</f>
        <v>7809.48</v>
      </c>
      <c r="J851" s="42">
        <f>G851*I851*(1+H851)</f>
        <v>429.52140000000003</v>
      </c>
      <c r="K851" s="15" t="str">
        <f t="shared" si="101"/>
        <v>PTO-0401|MAT</v>
      </c>
      <c r="L851" s="15">
        <f>COUNTIFS($K$2:K851,K851)</f>
        <v>3</v>
      </c>
      <c r="M851" s="15" t="str">
        <f t="shared" si="102"/>
        <v>PTO-0401|MAT|3</v>
      </c>
      <c r="N851" s="47">
        <f>IFERROR(VLOOKUP(A851,PARTIDAS!A:F,6,FALSE()),0)</f>
        <v>15</v>
      </c>
      <c r="O851" s="247">
        <f t="shared" si="103"/>
        <v>0.05</v>
      </c>
      <c r="P851" s="247" t="str">
        <f>+_xlfn.XLOOKUP(A851,PPTO_GENERADOR!Q:Q,PPTO_GENERADOR!E:E,"-",0)</f>
        <v>-</v>
      </c>
      <c r="Q851" s="247">
        <f t="shared" si="104"/>
        <v>0</v>
      </c>
      <c r="R851" s="259" t="str">
        <f>+_xlfn.XLOOKUP(A851,PPTO_GENERADOR!$Q:$Q,PPTO_GENERADOR!A:A,"-",0)</f>
        <v>-</v>
      </c>
    </row>
    <row r="852" spans="1:18" ht="14.25" customHeight="1" x14ac:dyDescent="0.35">
      <c r="A852" s="38" t="s">
        <v>2672</v>
      </c>
      <c r="B852" s="38" t="s">
        <v>2774</v>
      </c>
      <c r="C852" s="38" t="s">
        <v>2775</v>
      </c>
      <c r="D852" s="38" t="s">
        <v>604</v>
      </c>
      <c r="E852" s="44" t="str">
        <f>IFERROR(VLOOKUP(D852,MATERIALES!A:B,2,FALSE()),"?")</f>
        <v>Cal Comun x 25kg</v>
      </c>
      <c r="F852" s="44" t="str">
        <f>IFERROR(VLOOKUP(D852,MATERIALES!A:C,3,FALSE()),"?")</f>
        <v>bol</v>
      </c>
      <c r="G852" s="45">
        <v>0.1</v>
      </c>
      <c r="H852" s="46">
        <v>0.1</v>
      </c>
      <c r="I852" s="47">
        <f>IFERROR(VLOOKUP(D852,MATERIALES!A:D,4,FALSE()),0)</f>
        <v>3837.96</v>
      </c>
      <c r="J852" s="42">
        <f>G852*I852*(1+H852)</f>
        <v>422.17560000000009</v>
      </c>
      <c r="K852" s="15" t="str">
        <f t="shared" si="101"/>
        <v>PTO-0401|MAT</v>
      </c>
      <c r="L852" s="15">
        <f>COUNTIFS($K$2:K852,K852)</f>
        <v>4</v>
      </c>
      <c r="M852" s="15" t="str">
        <f t="shared" si="102"/>
        <v>PTO-0401|MAT|4</v>
      </c>
      <c r="N852" s="47">
        <f>IFERROR(VLOOKUP(A852,PARTIDAS!A:F,6,FALSE()),0)</f>
        <v>15</v>
      </c>
      <c r="O852" s="247">
        <f t="shared" si="103"/>
        <v>0.1</v>
      </c>
      <c r="P852" s="247" t="str">
        <f>+_xlfn.XLOOKUP(A852,PPTO_GENERADOR!Q:Q,PPTO_GENERADOR!E:E,"-",0)</f>
        <v>-</v>
      </c>
      <c r="Q852" s="247">
        <f t="shared" si="104"/>
        <v>0</v>
      </c>
      <c r="R852" s="259" t="str">
        <f>+_xlfn.XLOOKUP(A852,PPTO_GENERADOR!$Q:$Q,PPTO_GENERADOR!A:A,"-",0)</f>
        <v>-</v>
      </c>
    </row>
    <row r="853" spans="1:18" ht="14.25" customHeight="1" x14ac:dyDescent="0.35">
      <c r="A853" s="38" t="s">
        <v>2672</v>
      </c>
      <c r="B853" s="38" t="s">
        <v>2774</v>
      </c>
      <c r="C853" s="38" t="s">
        <v>2775</v>
      </c>
      <c r="D853" s="38" t="s">
        <v>630</v>
      </c>
      <c r="E853" s="44" t="str">
        <f>IFERROR(VLOOKUP(D853,MATERIALES!A:B,2,FALSE()),"?")</f>
        <v>LADRILLO CERAMICO 8 x 18 x 33 cm</v>
      </c>
      <c r="F853" s="44" t="str">
        <f>IFERROR(VLOOKUP(D853,MATERIALES!A:C,3,FALSE()),"?")</f>
        <v>u</v>
      </c>
      <c r="G853" s="45">
        <v>15</v>
      </c>
      <c r="H853" s="46">
        <v>0.05</v>
      </c>
      <c r="I853" s="47">
        <f>IFERROR(VLOOKUP(D853,MATERIALES!A:D,4,FALSE()),0)</f>
        <v>292.32</v>
      </c>
      <c r="J853" s="42">
        <f>G853*I853*(1+H853)</f>
        <v>4604.04</v>
      </c>
      <c r="K853" s="15" t="str">
        <f t="shared" si="101"/>
        <v>PTO-0401|MAT</v>
      </c>
      <c r="L853" s="15">
        <f>COUNTIFS($K$2:K853,K853)</f>
        <v>5</v>
      </c>
      <c r="M853" s="15" t="str">
        <f t="shared" si="102"/>
        <v>PTO-0401|MAT|5</v>
      </c>
      <c r="N853" s="47">
        <f>IFERROR(VLOOKUP(A853,PARTIDAS!A:F,6,FALSE()),0)</f>
        <v>15</v>
      </c>
      <c r="O853" s="247">
        <f t="shared" si="103"/>
        <v>15</v>
      </c>
      <c r="P853" s="247" t="str">
        <f>+_xlfn.XLOOKUP(A853,PPTO_GENERADOR!Q:Q,PPTO_GENERADOR!E:E,"-",0)</f>
        <v>-</v>
      </c>
      <c r="Q853" s="247">
        <f t="shared" si="104"/>
        <v>0</v>
      </c>
      <c r="R853" s="259" t="str">
        <f>+_xlfn.XLOOKUP(A853,PPTO_GENERADOR!$Q:$Q,PPTO_GENERADOR!A:A,"-",0)</f>
        <v>-</v>
      </c>
    </row>
    <row r="854" spans="1:18" ht="14.25" customHeight="1" x14ac:dyDescent="0.35">
      <c r="A854" s="38" t="s">
        <v>2672</v>
      </c>
      <c r="B854" s="38" t="s">
        <v>2776</v>
      </c>
      <c r="C854" s="38" t="s">
        <v>2777</v>
      </c>
      <c r="D854" s="237" t="s">
        <v>1577</v>
      </c>
      <c r="E854" s="44" t="str">
        <f>IFERROR(VLOOKUP(D854,MANO_DE_OBRA!A:B,2,FALSE()),"?")</f>
        <v>AYUDANTE</v>
      </c>
      <c r="F854" s="44" t="s">
        <v>2778</v>
      </c>
      <c r="G854" s="45">
        <v>1</v>
      </c>
      <c r="H854" s="46">
        <v>0</v>
      </c>
      <c r="I854" s="47">
        <f>IFERROR(VLOOKUP(D854,MANO_DE_OBRA!A:C,3,FALSE()),0)</f>
        <v>60860.580776572002</v>
      </c>
      <c r="J854" s="42">
        <f>G854*I854</f>
        <v>60860.580776572002</v>
      </c>
      <c r="K854" s="15" t="str">
        <f t="shared" si="101"/>
        <v>PTO-0401|MO</v>
      </c>
      <c r="L854" s="15">
        <f>COUNTIFS($K$2:K854,K854)</f>
        <v>1</v>
      </c>
      <c r="M854" s="15" t="str">
        <f t="shared" si="102"/>
        <v>PTO-0401|MO|1</v>
      </c>
      <c r="N854" s="47">
        <f>IFERROR(VLOOKUP(A854,PARTIDAS!A:F,6,FALSE()),0)</f>
        <v>15</v>
      </c>
      <c r="O854" s="247">
        <f t="shared" si="103"/>
        <v>6.6666666666666666E-2</v>
      </c>
      <c r="P854" s="247" t="str">
        <f>+_xlfn.XLOOKUP(A854,PPTO_GENERADOR!Q:Q,PPTO_GENERADOR!E:E,"-",0)</f>
        <v>-</v>
      </c>
      <c r="Q854" s="247">
        <f t="shared" si="104"/>
        <v>0</v>
      </c>
      <c r="R854" s="259" t="str">
        <f>+_xlfn.XLOOKUP(A854,PPTO_GENERADOR!$Q:$Q,PPTO_GENERADOR!A:A,"-",0)</f>
        <v>-</v>
      </c>
    </row>
    <row r="855" spans="1:18" ht="14.25" customHeight="1" x14ac:dyDescent="0.35">
      <c r="A855" s="38" t="s">
        <v>2672</v>
      </c>
      <c r="B855" s="38" t="s">
        <v>2776</v>
      </c>
      <c r="C855" s="38" t="s">
        <v>2777</v>
      </c>
      <c r="D855" s="237" t="s">
        <v>1568</v>
      </c>
      <c r="E855" s="44" t="str">
        <f>IFERROR(VLOOKUP(D855,MANO_DE_OBRA!A:B,2,FALSE()),"?")</f>
        <v>ESPECIALIZADO</v>
      </c>
      <c r="F855" s="44" t="s">
        <v>2778</v>
      </c>
      <c r="G855" s="45">
        <v>1</v>
      </c>
      <c r="H855" s="46">
        <v>0</v>
      </c>
      <c r="I855" s="47">
        <f>IFERROR(VLOOKUP(D855,MANO_DE_OBRA!A:C,3,FALSE()),0)</f>
        <v>85927.097156571996</v>
      </c>
      <c r="J855" s="42">
        <f>G855*I855</f>
        <v>85927.097156571996</v>
      </c>
      <c r="K855" s="15" t="str">
        <f t="shared" si="101"/>
        <v>PTO-0401|MO</v>
      </c>
      <c r="L855" s="15">
        <f>COUNTIFS($K$2:K855,K855)</f>
        <v>2</v>
      </c>
      <c r="M855" s="15" t="str">
        <f t="shared" si="102"/>
        <v>PTO-0401|MO|2</v>
      </c>
      <c r="N855" s="47">
        <f>IFERROR(VLOOKUP(A855,PARTIDAS!A:F,6,FALSE()),0)</f>
        <v>15</v>
      </c>
      <c r="O855" s="247">
        <f t="shared" si="103"/>
        <v>6.6666666666666666E-2</v>
      </c>
      <c r="P855" s="247" t="str">
        <f>+_xlfn.XLOOKUP(A855,PPTO_GENERADOR!Q:Q,PPTO_GENERADOR!E:E,"-",0)</f>
        <v>-</v>
      </c>
      <c r="Q855" s="247">
        <f t="shared" si="104"/>
        <v>0</v>
      </c>
      <c r="R855" s="259" t="str">
        <f>+_xlfn.XLOOKUP(A855,PPTO_GENERADOR!$Q:$Q,PPTO_GENERADOR!A:A,"-",0)</f>
        <v>-</v>
      </c>
    </row>
    <row r="856" spans="1:18" ht="14.25" customHeight="1" x14ac:dyDescent="0.35">
      <c r="A856" s="38" t="s">
        <v>2674</v>
      </c>
      <c r="B856" s="38" t="s">
        <v>2773</v>
      </c>
      <c r="C856" s="38"/>
      <c r="D856" s="38" t="s">
        <v>1592</v>
      </c>
      <c r="E856" s="44" t="str">
        <f>IFERROR(VLOOKUP(D856,EQUIPOS!A:B,2,FALSE()),"?")</f>
        <v>ANDAMIO TUBULAR DE UNO A TRES CUERPOS</v>
      </c>
      <c r="F856" s="44"/>
      <c r="G856" s="45">
        <v>0.5</v>
      </c>
      <c r="H856" s="46">
        <v>0</v>
      </c>
      <c r="I856" s="47">
        <f>IFERROR(VLOOKUP(D856,EQUIPOS!A:F,6,FALSE()),0)</f>
        <v>571.1794909807611</v>
      </c>
      <c r="J856" s="42">
        <f>G856*I856</f>
        <v>285.58974549038055</v>
      </c>
      <c r="K856" s="15" t="str">
        <f t="shared" si="101"/>
        <v>PTO-0402|EQ</v>
      </c>
      <c r="L856" s="15">
        <f>COUNTIFS($K$2:K856,K856)</f>
        <v>1</v>
      </c>
      <c r="M856" s="15" t="str">
        <f t="shared" si="102"/>
        <v>PTO-0402|EQ|1</v>
      </c>
      <c r="N856" s="47">
        <f>IFERROR(VLOOKUP(A856,PARTIDAS!A:F,6,FALSE()),0)</f>
        <v>15</v>
      </c>
      <c r="O856" s="247">
        <f t="shared" si="103"/>
        <v>0.5</v>
      </c>
      <c r="P856" s="247" t="str">
        <f>+_xlfn.XLOOKUP(A856,PPTO_GENERADOR!Q:Q,PPTO_GENERADOR!E:E,"-",0)</f>
        <v>-</v>
      </c>
      <c r="Q856" s="247">
        <f t="shared" si="104"/>
        <v>0</v>
      </c>
      <c r="R856" s="259" t="str">
        <f>+_xlfn.XLOOKUP(A856,PPTO_GENERADOR!$Q:$Q,PPTO_GENERADOR!A:A,"-",0)</f>
        <v>-</v>
      </c>
    </row>
    <row r="857" spans="1:18" ht="14.25" customHeight="1" x14ac:dyDescent="0.35">
      <c r="A857" s="38" t="s">
        <v>2674</v>
      </c>
      <c r="B857" s="38" t="s">
        <v>2773</v>
      </c>
      <c r="C857" s="38"/>
      <c r="D857" s="38" t="s">
        <v>1595</v>
      </c>
      <c r="E857" s="44" t="str">
        <f>IFERROR(VLOOKUP(D857,EQUIPOS!A:B,2,FALSE()),"?")</f>
        <v>EQUIPO DE ALBAÑILERIA, carpetas, ladrillo</v>
      </c>
      <c r="F857" s="44"/>
      <c r="G857" s="45">
        <v>1</v>
      </c>
      <c r="H857" s="46">
        <v>0</v>
      </c>
      <c r="I857" s="47">
        <f>IFERROR(VLOOKUP(D857,EQUIPOS!A:F,6,FALSE()),0)</f>
        <v>2287.1357450968057</v>
      </c>
      <c r="J857" s="42">
        <f>G857*I857</f>
        <v>2287.1357450968057</v>
      </c>
      <c r="K857" s="15" t="str">
        <f t="shared" si="101"/>
        <v>PTO-0402|EQ</v>
      </c>
      <c r="L857" s="15">
        <f>COUNTIFS($K$2:K857,K857)</f>
        <v>2</v>
      </c>
      <c r="M857" s="15" t="str">
        <f t="shared" si="102"/>
        <v>PTO-0402|EQ|2</v>
      </c>
      <c r="N857" s="47">
        <f>IFERROR(VLOOKUP(A857,PARTIDAS!A:F,6,FALSE()),0)</f>
        <v>15</v>
      </c>
      <c r="O857" s="247">
        <f t="shared" si="103"/>
        <v>1</v>
      </c>
      <c r="P857" s="247" t="str">
        <f>+_xlfn.XLOOKUP(A857,PPTO_GENERADOR!Q:Q,PPTO_GENERADOR!E:E,"-",0)</f>
        <v>-</v>
      </c>
      <c r="Q857" s="247">
        <f t="shared" si="104"/>
        <v>0</v>
      </c>
      <c r="R857" s="259" t="str">
        <f>+_xlfn.XLOOKUP(A857,PPTO_GENERADOR!$Q:$Q,PPTO_GENERADOR!A:A,"-",0)</f>
        <v>-</v>
      </c>
    </row>
    <row r="858" spans="1:18" ht="14.25" customHeight="1" x14ac:dyDescent="0.35">
      <c r="A858" s="38" t="s">
        <v>2674</v>
      </c>
      <c r="B858" s="38" t="s">
        <v>2773</v>
      </c>
      <c r="C858" s="38"/>
      <c r="D858" s="38" t="s">
        <v>1613</v>
      </c>
      <c r="E858" s="44" t="str">
        <f>IFERROR(VLOOKUP(D858,EQUIPOS!A:B,2,FALSE()),"?")</f>
        <v>Hormigonera De 150 Litros 1hp Con Rueda Maciza</v>
      </c>
      <c r="F858" s="44"/>
      <c r="G858" s="45">
        <v>1</v>
      </c>
      <c r="H858" s="46">
        <v>0</v>
      </c>
      <c r="I858" s="47">
        <f>IFERROR(VLOOKUP(D858,EQUIPOS!A:F,6,FALSE()),0)</f>
        <v>957.25319614994726</v>
      </c>
      <c r="J858" s="42">
        <f>G858*I858</f>
        <v>957.25319614994726</v>
      </c>
      <c r="K858" s="15" t="str">
        <f t="shared" si="101"/>
        <v>PTO-0402|EQ</v>
      </c>
      <c r="L858" s="15">
        <f>COUNTIFS($K$2:K858,K858)</f>
        <v>3</v>
      </c>
      <c r="M858" s="15" t="str">
        <f t="shared" si="102"/>
        <v>PTO-0402|EQ|3</v>
      </c>
      <c r="N858" s="47">
        <f>IFERROR(VLOOKUP(A858,PARTIDAS!A:F,6,FALSE()),0)</f>
        <v>15</v>
      </c>
      <c r="O858" s="247">
        <f t="shared" si="103"/>
        <v>1</v>
      </c>
      <c r="P858" s="247" t="str">
        <f>+_xlfn.XLOOKUP(A858,PPTO_GENERADOR!Q:Q,PPTO_GENERADOR!E:E,"-",0)</f>
        <v>-</v>
      </c>
      <c r="Q858" s="247">
        <f t="shared" si="104"/>
        <v>0</v>
      </c>
      <c r="R858" s="259" t="str">
        <f>+_xlfn.XLOOKUP(A858,PPTO_GENERADOR!$Q:$Q,PPTO_GENERADOR!A:A,"-",0)</f>
        <v>-</v>
      </c>
    </row>
    <row r="859" spans="1:18" ht="14.25" customHeight="1" x14ac:dyDescent="0.35">
      <c r="A859" s="38" t="s">
        <v>2674</v>
      </c>
      <c r="B859" s="38" t="s">
        <v>2774</v>
      </c>
      <c r="C859" s="38" t="s">
        <v>2775</v>
      </c>
      <c r="D859" s="38" t="s">
        <v>611</v>
      </c>
      <c r="E859" s="44" t="str">
        <f>IFERROR(VLOOKUP(D859,MATERIALES!A:B,2,FALSE()),"?")</f>
        <v>Barra de Acero Aleteado - 6mm x 12m</v>
      </c>
      <c r="F859" s="44" t="str">
        <f>IFERROR(VLOOKUP(D859,MATERIALES!A:C,3,FALSE()),"?")</f>
        <v>u</v>
      </c>
      <c r="G859" s="45">
        <v>0.17</v>
      </c>
      <c r="H859" s="46">
        <v>0.1</v>
      </c>
      <c r="I859" s="47">
        <f>IFERROR(VLOOKUP(D859,MATERIALES!A:D,4,FALSE()),0)</f>
        <v>3424.53</v>
      </c>
      <c r="J859" s="42">
        <f>G859*I859*(1+H859)</f>
        <v>640.38711000000012</v>
      </c>
      <c r="K859" s="15" t="str">
        <f t="shared" si="101"/>
        <v>PTO-0402|MAT</v>
      </c>
      <c r="L859" s="15">
        <f>COUNTIFS($K$2:K859,K859)</f>
        <v>1</v>
      </c>
      <c r="M859" s="15" t="str">
        <f t="shared" si="102"/>
        <v>PTO-0402|MAT|1</v>
      </c>
      <c r="N859" s="47">
        <f>IFERROR(VLOOKUP(A859,PARTIDAS!A:F,6,FALSE()),0)</f>
        <v>15</v>
      </c>
      <c r="O859" s="247">
        <f t="shared" si="103"/>
        <v>0.17</v>
      </c>
      <c r="P859" s="247" t="str">
        <f>+_xlfn.XLOOKUP(A859,PPTO_GENERADOR!Q:Q,PPTO_GENERADOR!E:E,"-",0)</f>
        <v>-</v>
      </c>
      <c r="Q859" s="247">
        <f t="shared" si="104"/>
        <v>0</v>
      </c>
      <c r="R859" s="259" t="str">
        <f>+_xlfn.XLOOKUP(A859,PPTO_GENERADOR!$Q:$Q,PPTO_GENERADOR!A:A,"-",0)</f>
        <v>-</v>
      </c>
    </row>
    <row r="860" spans="1:18" ht="14.25" customHeight="1" x14ac:dyDescent="0.35">
      <c r="A860" s="38" t="s">
        <v>2674</v>
      </c>
      <c r="B860" s="38" t="s">
        <v>2774</v>
      </c>
      <c r="C860" s="38" t="s">
        <v>2775</v>
      </c>
      <c r="D860" s="38" t="s">
        <v>588</v>
      </c>
      <c r="E860" s="44" t="str">
        <f>IFERROR(VLOOKUP(D860,MATERIALES!A:B,2,FALSE()),"?")</f>
        <v>ARENA LAVADA</v>
      </c>
      <c r="F860" s="44" t="str">
        <f>IFERROR(VLOOKUP(D860,MATERIALES!A:C,3,FALSE()),"?")</f>
        <v>m3</v>
      </c>
      <c r="G860" s="45">
        <v>1.7999999999999999E-2</v>
      </c>
      <c r="H860" s="46">
        <v>0.1</v>
      </c>
      <c r="I860" s="47">
        <f>IFERROR(VLOOKUP(D860,MATERIALES!A:D,4,FALSE()),0)</f>
        <v>32399.77</v>
      </c>
      <c r="J860" s="42">
        <f>G860*I860*(1+H860)</f>
        <v>641.515446</v>
      </c>
      <c r="K860" s="15" t="str">
        <f t="shared" si="101"/>
        <v>PTO-0402|MAT</v>
      </c>
      <c r="L860" s="15">
        <f>COUNTIFS($K$2:K860,K860)</f>
        <v>2</v>
      </c>
      <c r="M860" s="15" t="str">
        <f t="shared" si="102"/>
        <v>PTO-0402|MAT|2</v>
      </c>
      <c r="N860" s="47">
        <f>IFERROR(VLOOKUP(A860,PARTIDAS!A:F,6,FALSE()),0)</f>
        <v>15</v>
      </c>
      <c r="O860" s="247">
        <f t="shared" si="103"/>
        <v>1.7999999999999999E-2</v>
      </c>
      <c r="P860" s="247" t="str">
        <f>+_xlfn.XLOOKUP(A860,PPTO_GENERADOR!Q:Q,PPTO_GENERADOR!E:E,"-",0)</f>
        <v>-</v>
      </c>
      <c r="Q860" s="247">
        <f t="shared" si="104"/>
        <v>0</v>
      </c>
      <c r="R860" s="259" t="str">
        <f>+_xlfn.XLOOKUP(A860,PPTO_GENERADOR!$Q:$Q,PPTO_GENERADOR!A:A,"-",0)</f>
        <v>-</v>
      </c>
    </row>
    <row r="861" spans="1:18" ht="14.25" customHeight="1" x14ac:dyDescent="0.35">
      <c r="A861" s="38" t="s">
        <v>2674</v>
      </c>
      <c r="B861" s="38" t="s">
        <v>2774</v>
      </c>
      <c r="C861" s="38" t="s">
        <v>2775</v>
      </c>
      <c r="D861" s="38" t="s">
        <v>599</v>
      </c>
      <c r="E861" s="44" t="str">
        <f>IFERROR(VLOOKUP(D861,MATERIALES!A:B,2,FALSE()),"?")</f>
        <v>Cemento Portland x 50kg</v>
      </c>
      <c r="F861" s="44" t="str">
        <f>IFERROR(VLOOKUP(D861,MATERIALES!A:C,3,FALSE()),"?")</f>
        <v>Bol</v>
      </c>
      <c r="G861" s="45">
        <v>7.4999999999999997E-2</v>
      </c>
      <c r="H861" s="46">
        <v>0.1</v>
      </c>
      <c r="I861" s="47">
        <f>IFERROR(VLOOKUP(D861,MATERIALES!A:D,4,FALSE()),0)</f>
        <v>7809.48</v>
      </c>
      <c r="J861" s="42">
        <f>G861*I861*(1+H861)</f>
        <v>644.2820999999999</v>
      </c>
      <c r="K861" s="15" t="str">
        <f t="shared" si="101"/>
        <v>PTO-0402|MAT</v>
      </c>
      <c r="L861" s="15">
        <f>COUNTIFS($K$2:K861,K861)</f>
        <v>3</v>
      </c>
      <c r="M861" s="15" t="str">
        <f t="shared" si="102"/>
        <v>PTO-0402|MAT|3</v>
      </c>
      <c r="N861" s="47">
        <f>IFERROR(VLOOKUP(A861,PARTIDAS!A:F,6,FALSE()),0)</f>
        <v>15</v>
      </c>
      <c r="O861" s="247">
        <f t="shared" si="103"/>
        <v>7.4999999999999997E-2</v>
      </c>
      <c r="P861" s="247" t="str">
        <f>+_xlfn.XLOOKUP(A861,PPTO_GENERADOR!Q:Q,PPTO_GENERADOR!E:E,"-",0)</f>
        <v>-</v>
      </c>
      <c r="Q861" s="247">
        <f t="shared" si="104"/>
        <v>0</v>
      </c>
      <c r="R861" s="259" t="str">
        <f>+_xlfn.XLOOKUP(A861,PPTO_GENERADOR!$Q:$Q,PPTO_GENERADOR!A:A,"-",0)</f>
        <v>-</v>
      </c>
    </row>
    <row r="862" spans="1:18" ht="14.25" customHeight="1" x14ac:dyDescent="0.35">
      <c r="A862" s="38" t="s">
        <v>2674</v>
      </c>
      <c r="B862" s="38" t="s">
        <v>2774</v>
      </c>
      <c r="C862" s="38" t="s">
        <v>2775</v>
      </c>
      <c r="D862" s="38" t="s">
        <v>604</v>
      </c>
      <c r="E862" s="44" t="str">
        <f>IFERROR(VLOOKUP(D862,MATERIALES!A:B,2,FALSE()),"?")</f>
        <v>Cal Comun x 25kg</v>
      </c>
      <c r="F862" s="44" t="str">
        <f>IFERROR(VLOOKUP(D862,MATERIALES!A:C,3,FALSE()),"?")</f>
        <v>bol</v>
      </c>
      <c r="G862" s="45">
        <v>0.15</v>
      </c>
      <c r="H862" s="46">
        <v>0.1</v>
      </c>
      <c r="I862" s="47">
        <f>IFERROR(VLOOKUP(D862,MATERIALES!A:D,4,FALSE()),0)</f>
        <v>3837.96</v>
      </c>
      <c r="J862" s="42">
        <f>G862*I862*(1+H862)</f>
        <v>633.26340000000005</v>
      </c>
      <c r="K862" s="15" t="str">
        <f t="shared" si="101"/>
        <v>PTO-0402|MAT</v>
      </c>
      <c r="L862" s="15">
        <f>COUNTIFS($K$2:K862,K862)</f>
        <v>4</v>
      </c>
      <c r="M862" s="15" t="str">
        <f t="shared" si="102"/>
        <v>PTO-0402|MAT|4</v>
      </c>
      <c r="N862" s="47">
        <f>IFERROR(VLOOKUP(A862,PARTIDAS!A:F,6,FALSE()),0)</f>
        <v>15</v>
      </c>
      <c r="O862" s="247">
        <f t="shared" si="103"/>
        <v>0.15</v>
      </c>
      <c r="P862" s="247" t="str">
        <f>+_xlfn.XLOOKUP(A862,PPTO_GENERADOR!Q:Q,PPTO_GENERADOR!E:E,"-",0)</f>
        <v>-</v>
      </c>
      <c r="Q862" s="247">
        <f t="shared" si="104"/>
        <v>0</v>
      </c>
      <c r="R862" s="259" t="str">
        <f>+_xlfn.XLOOKUP(A862,PPTO_GENERADOR!$Q:$Q,PPTO_GENERADOR!A:A,"-",0)</f>
        <v>-</v>
      </c>
    </row>
    <row r="863" spans="1:18" ht="14.25" customHeight="1" x14ac:dyDescent="0.35">
      <c r="A863" s="38" t="s">
        <v>2674</v>
      </c>
      <c r="B863" s="38" t="s">
        <v>2774</v>
      </c>
      <c r="C863" s="38" t="s">
        <v>2775</v>
      </c>
      <c r="D863" s="38" t="s">
        <v>633</v>
      </c>
      <c r="E863" s="44" t="str">
        <f>IFERROR(VLOOKUP(D863,MATERIALES!A:B,2,FALSE()),"?")</f>
        <v>LADRILLO CERAMICO 12 x 18 x 33 cm</v>
      </c>
      <c r="F863" s="44" t="str">
        <f>IFERROR(VLOOKUP(D863,MATERIALES!A:C,3,FALSE()),"?")</f>
        <v>u</v>
      </c>
      <c r="G863" s="45">
        <v>15</v>
      </c>
      <c r="H863" s="46">
        <v>0.05</v>
      </c>
      <c r="I863" s="47">
        <f>IFERROR(VLOOKUP(D863,MATERIALES!A:D,4,FALSE()),0)</f>
        <v>365.4</v>
      </c>
      <c r="J863" s="42">
        <f>G863*I863*(1+H863)</f>
        <v>5755.05</v>
      </c>
      <c r="K863" s="15" t="str">
        <f t="shared" si="101"/>
        <v>PTO-0402|MAT</v>
      </c>
      <c r="L863" s="15">
        <f>COUNTIFS($K$2:K863,K863)</f>
        <v>5</v>
      </c>
      <c r="M863" s="15" t="str">
        <f t="shared" si="102"/>
        <v>PTO-0402|MAT|5</v>
      </c>
      <c r="N863" s="47">
        <f>IFERROR(VLOOKUP(A863,PARTIDAS!A:F,6,FALSE()),0)</f>
        <v>15</v>
      </c>
      <c r="O863" s="247">
        <f t="shared" si="103"/>
        <v>15</v>
      </c>
      <c r="P863" s="247" t="str">
        <f>+_xlfn.XLOOKUP(A863,PPTO_GENERADOR!Q:Q,PPTO_GENERADOR!E:E,"-",0)</f>
        <v>-</v>
      </c>
      <c r="Q863" s="247">
        <f t="shared" si="104"/>
        <v>0</v>
      </c>
      <c r="R863" s="259" t="str">
        <f>+_xlfn.XLOOKUP(A863,PPTO_GENERADOR!$Q:$Q,PPTO_GENERADOR!A:A,"-",0)</f>
        <v>-</v>
      </c>
    </row>
    <row r="864" spans="1:18" ht="14.25" customHeight="1" x14ac:dyDescent="0.35">
      <c r="A864" s="38" t="s">
        <v>2674</v>
      </c>
      <c r="B864" s="38" t="s">
        <v>2776</v>
      </c>
      <c r="C864" s="38" t="s">
        <v>2777</v>
      </c>
      <c r="D864" s="237" t="s">
        <v>1577</v>
      </c>
      <c r="E864" s="44" t="str">
        <f>IFERROR(VLOOKUP(D864,MANO_DE_OBRA!A:B,2,FALSE()),"?")</f>
        <v>AYUDANTE</v>
      </c>
      <c r="F864" s="44" t="s">
        <v>2778</v>
      </c>
      <c r="G864" s="45">
        <v>1</v>
      </c>
      <c r="H864" s="46">
        <v>0</v>
      </c>
      <c r="I864" s="47">
        <f>IFERROR(VLOOKUP(D864,MANO_DE_OBRA!A:C,3,FALSE()),0)</f>
        <v>60860.580776572002</v>
      </c>
      <c r="J864" s="42">
        <f>G864*I864</f>
        <v>60860.580776572002</v>
      </c>
      <c r="K864" s="15" t="str">
        <f t="shared" si="101"/>
        <v>PTO-0402|MO</v>
      </c>
      <c r="L864" s="15">
        <f>COUNTIFS($K$2:K864,K864)</f>
        <v>1</v>
      </c>
      <c r="M864" s="15" t="str">
        <f t="shared" si="102"/>
        <v>PTO-0402|MO|1</v>
      </c>
      <c r="N864" s="47">
        <f>IFERROR(VLOOKUP(A864,PARTIDAS!A:F,6,FALSE()),0)</f>
        <v>15</v>
      </c>
      <c r="O864" s="247">
        <f t="shared" si="103"/>
        <v>6.6666666666666666E-2</v>
      </c>
      <c r="P864" s="247" t="str">
        <f>+_xlfn.XLOOKUP(A864,PPTO_GENERADOR!Q:Q,PPTO_GENERADOR!E:E,"-",0)</f>
        <v>-</v>
      </c>
      <c r="Q864" s="247">
        <f t="shared" si="104"/>
        <v>0</v>
      </c>
      <c r="R864" s="259" t="str">
        <f>+_xlfn.XLOOKUP(A864,PPTO_GENERADOR!$Q:$Q,PPTO_GENERADOR!A:A,"-",0)</f>
        <v>-</v>
      </c>
    </row>
    <row r="865" spans="1:18" ht="14.25" customHeight="1" x14ac:dyDescent="0.35">
      <c r="A865" s="38" t="s">
        <v>2674</v>
      </c>
      <c r="B865" s="38" t="s">
        <v>2776</v>
      </c>
      <c r="C865" s="38" t="s">
        <v>2777</v>
      </c>
      <c r="D865" s="237" t="s">
        <v>1568</v>
      </c>
      <c r="E865" s="44" t="str">
        <f>IFERROR(VLOOKUP(D865,MANO_DE_OBRA!A:B,2,FALSE()),"?")</f>
        <v>ESPECIALIZADO</v>
      </c>
      <c r="F865" s="44" t="s">
        <v>2778</v>
      </c>
      <c r="G865" s="45">
        <v>1</v>
      </c>
      <c r="H865" s="46">
        <v>0</v>
      </c>
      <c r="I865" s="47">
        <f>IFERROR(VLOOKUP(D865,MANO_DE_OBRA!A:C,3,FALSE()),0)</f>
        <v>85927.097156571996</v>
      </c>
      <c r="J865" s="42">
        <f>G865*I865</f>
        <v>85927.097156571996</v>
      </c>
      <c r="K865" s="15" t="str">
        <f t="shared" si="101"/>
        <v>PTO-0402|MO</v>
      </c>
      <c r="L865" s="15">
        <f>COUNTIFS($K$2:K865,K865)</f>
        <v>2</v>
      </c>
      <c r="M865" s="15" t="str">
        <f t="shared" si="102"/>
        <v>PTO-0402|MO|2</v>
      </c>
      <c r="N865" s="47">
        <f>IFERROR(VLOOKUP(A865,PARTIDAS!A:F,6,FALSE()),0)</f>
        <v>15</v>
      </c>
      <c r="O865" s="247">
        <f t="shared" si="103"/>
        <v>6.6666666666666666E-2</v>
      </c>
      <c r="P865" s="247" t="str">
        <f>+_xlfn.XLOOKUP(A865,PPTO_GENERADOR!Q:Q,PPTO_GENERADOR!E:E,"-",0)</f>
        <v>-</v>
      </c>
      <c r="Q865" s="247">
        <f t="shared" si="104"/>
        <v>0</v>
      </c>
      <c r="R865" s="259" t="str">
        <f>+_xlfn.XLOOKUP(A865,PPTO_GENERADOR!$Q:$Q,PPTO_GENERADOR!A:A,"-",0)</f>
        <v>-</v>
      </c>
    </row>
    <row r="866" spans="1:18" ht="14.25" customHeight="1" x14ac:dyDescent="0.35">
      <c r="A866" s="38" t="s">
        <v>101</v>
      </c>
      <c r="B866" s="38" t="s">
        <v>2773</v>
      </c>
      <c r="C866" s="38"/>
      <c r="D866" s="38" t="s">
        <v>1592</v>
      </c>
      <c r="E866" s="44" t="str">
        <f>IFERROR(VLOOKUP(D866,EQUIPOS!A:B,2,FALSE()),"?")</f>
        <v>ANDAMIO TUBULAR DE UNO A TRES CUERPOS</v>
      </c>
      <c r="F866" s="44"/>
      <c r="G866" s="45">
        <v>0.5</v>
      </c>
      <c r="H866" s="46">
        <v>0</v>
      </c>
      <c r="I866" s="47">
        <f>IFERROR(VLOOKUP(D866,EQUIPOS!A:F,6,FALSE()),0)</f>
        <v>571.1794909807611</v>
      </c>
      <c r="J866" s="42">
        <f>G866*I866</f>
        <v>285.58974549038055</v>
      </c>
      <c r="K866" s="15" t="str">
        <f t="shared" si="101"/>
        <v>PTO-0403|EQ</v>
      </c>
      <c r="L866" s="15">
        <f>COUNTIFS($K$2:K866,K866)</f>
        <v>1</v>
      </c>
      <c r="M866" s="15" t="str">
        <f t="shared" si="102"/>
        <v>PTO-0403|EQ|1</v>
      </c>
      <c r="N866" s="47">
        <f>IFERROR(VLOOKUP(A866,PARTIDAS!A:F,6,FALSE()),0)</f>
        <v>7</v>
      </c>
      <c r="O866" s="247">
        <f t="shared" si="103"/>
        <v>0.5</v>
      </c>
      <c r="P866" s="247">
        <f>+_xlfn.XLOOKUP(A866,PPTO_GENERADOR!Q:Q,PPTO_GENERADOR!E:E,"-",0)</f>
        <v>56</v>
      </c>
      <c r="Q866" s="247">
        <f t="shared" si="104"/>
        <v>28</v>
      </c>
      <c r="R866" s="259">
        <f>+_xlfn.XLOOKUP(A866,PPTO_GENERADOR!$Q:$Q,PPTO_GENERADOR!A:A,"-",0)</f>
        <v>4.03</v>
      </c>
    </row>
    <row r="867" spans="1:18" ht="14.25" customHeight="1" x14ac:dyDescent="0.35">
      <c r="A867" s="38" t="s">
        <v>101</v>
      </c>
      <c r="B867" s="38" t="s">
        <v>2773</v>
      </c>
      <c r="C867" s="38"/>
      <c r="D867" s="38" t="s">
        <v>1595</v>
      </c>
      <c r="E867" s="44" t="str">
        <f>IFERROR(VLOOKUP(D867,EQUIPOS!A:B,2,FALSE()),"?")</f>
        <v>EQUIPO DE ALBAÑILERIA, carpetas, ladrillo</v>
      </c>
      <c r="F867" s="44"/>
      <c r="G867" s="45">
        <v>1</v>
      </c>
      <c r="H867" s="46">
        <v>0</v>
      </c>
      <c r="I867" s="47">
        <f>IFERROR(VLOOKUP(D867,EQUIPOS!A:F,6,FALSE()),0)</f>
        <v>2287.1357450968057</v>
      </c>
      <c r="J867" s="42">
        <f>G867*I867</f>
        <v>2287.1357450968057</v>
      </c>
      <c r="K867" s="15" t="str">
        <f t="shared" si="101"/>
        <v>PTO-0403|EQ</v>
      </c>
      <c r="L867" s="15">
        <f>COUNTIFS($K$2:K867,K867)</f>
        <v>2</v>
      </c>
      <c r="M867" s="15" t="str">
        <f t="shared" si="102"/>
        <v>PTO-0403|EQ|2</v>
      </c>
      <c r="N867" s="47">
        <f>IFERROR(VLOOKUP(A867,PARTIDAS!A:F,6,FALSE()),0)</f>
        <v>7</v>
      </c>
      <c r="O867" s="247">
        <f t="shared" si="103"/>
        <v>1</v>
      </c>
      <c r="P867" s="247">
        <f>+_xlfn.XLOOKUP(A867,PPTO_GENERADOR!Q:Q,PPTO_GENERADOR!E:E,"-",0)</f>
        <v>56</v>
      </c>
      <c r="Q867" s="247">
        <f t="shared" si="104"/>
        <v>56</v>
      </c>
      <c r="R867" s="259">
        <f>+_xlfn.XLOOKUP(A867,PPTO_GENERADOR!$Q:$Q,PPTO_GENERADOR!A:A,"-",0)</f>
        <v>4.03</v>
      </c>
    </row>
    <row r="868" spans="1:18" ht="14.25" customHeight="1" x14ac:dyDescent="0.35">
      <c r="A868" s="38" t="s">
        <v>101</v>
      </c>
      <c r="B868" s="38" t="s">
        <v>2773</v>
      </c>
      <c r="C868" s="38"/>
      <c r="D868" s="38" t="s">
        <v>1613</v>
      </c>
      <c r="E868" s="44" t="str">
        <f>IFERROR(VLOOKUP(D868,EQUIPOS!A:B,2,FALSE()),"?")</f>
        <v>Hormigonera De 150 Litros 1hp Con Rueda Maciza</v>
      </c>
      <c r="F868" s="44"/>
      <c r="G868" s="45">
        <v>1</v>
      </c>
      <c r="H868" s="46">
        <v>0</v>
      </c>
      <c r="I868" s="47">
        <f>IFERROR(VLOOKUP(D868,EQUIPOS!A:F,6,FALSE()),0)</f>
        <v>957.25319614994726</v>
      </c>
      <c r="J868" s="42">
        <f>G868*I868</f>
        <v>957.25319614994726</v>
      </c>
      <c r="K868" s="15" t="str">
        <f t="shared" si="101"/>
        <v>PTO-0403|EQ</v>
      </c>
      <c r="L868" s="15">
        <f>COUNTIFS($K$2:K868,K868)</f>
        <v>3</v>
      </c>
      <c r="M868" s="15" t="str">
        <f t="shared" si="102"/>
        <v>PTO-0403|EQ|3</v>
      </c>
      <c r="N868" s="47">
        <f>IFERROR(VLOOKUP(A868,PARTIDAS!A:F,6,FALSE()),0)</f>
        <v>7</v>
      </c>
      <c r="O868" s="247">
        <f t="shared" si="103"/>
        <v>1</v>
      </c>
      <c r="P868" s="247">
        <f>+_xlfn.XLOOKUP(A868,PPTO_GENERADOR!Q:Q,PPTO_GENERADOR!E:E,"-",0)</f>
        <v>56</v>
      </c>
      <c r="Q868" s="247">
        <f t="shared" si="104"/>
        <v>56</v>
      </c>
      <c r="R868" s="259">
        <f>+_xlfn.XLOOKUP(A868,PPTO_GENERADOR!$Q:$Q,PPTO_GENERADOR!A:A,"-",0)</f>
        <v>4.03</v>
      </c>
    </row>
    <row r="869" spans="1:18" ht="14.25" customHeight="1" x14ac:dyDescent="0.35">
      <c r="A869" s="38" t="s">
        <v>101</v>
      </c>
      <c r="B869" s="38" t="s">
        <v>2774</v>
      </c>
      <c r="C869" s="38" t="s">
        <v>2775</v>
      </c>
      <c r="D869" s="38" t="s">
        <v>611</v>
      </c>
      <c r="E869" s="44" t="str">
        <f>IFERROR(VLOOKUP(D869,MATERIALES!A:B,2,FALSE()),"?")</f>
        <v>Barra de Acero Aleteado - 6mm x 12m</v>
      </c>
      <c r="F869" s="44" t="str">
        <f>IFERROR(VLOOKUP(D869,MATERIALES!A:C,3,FALSE()),"?")</f>
        <v>u</v>
      </c>
      <c r="G869" s="45">
        <v>8.5000000000000006E-2</v>
      </c>
      <c r="H869" s="46">
        <v>0.1</v>
      </c>
      <c r="I869" s="47">
        <f>IFERROR(VLOOKUP(D869,MATERIALES!A:D,4,FALSE()),0)</f>
        <v>3424.53</v>
      </c>
      <c r="J869" s="42">
        <f t="shared" ref="J869:J874" si="105">G869*I869*(1+H869)</f>
        <v>320.19355500000006</v>
      </c>
      <c r="K869" s="15" t="str">
        <f t="shared" si="101"/>
        <v>PTO-0403|MAT</v>
      </c>
      <c r="L869" s="15">
        <f>COUNTIFS($K$2:K869,K869)</f>
        <v>1</v>
      </c>
      <c r="M869" s="15" t="str">
        <f t="shared" si="102"/>
        <v>PTO-0403|MAT|1</v>
      </c>
      <c r="N869" s="47">
        <f>IFERROR(VLOOKUP(A869,PARTIDAS!A:F,6,FALSE()),0)</f>
        <v>7</v>
      </c>
      <c r="O869" s="247">
        <f t="shared" si="103"/>
        <v>8.5000000000000006E-2</v>
      </c>
      <c r="P869" s="247">
        <f>+_xlfn.XLOOKUP(A869,PPTO_GENERADOR!Q:Q,PPTO_GENERADOR!E:E,"-",0)</f>
        <v>56</v>
      </c>
      <c r="Q869" s="247">
        <f t="shared" si="104"/>
        <v>4.7600000000000007</v>
      </c>
      <c r="R869" s="259">
        <f>+_xlfn.XLOOKUP(A869,PPTO_GENERADOR!$Q:$Q,PPTO_GENERADOR!A:A,"-",0)</f>
        <v>4.03</v>
      </c>
    </row>
    <row r="870" spans="1:18" ht="14.25" customHeight="1" x14ac:dyDescent="0.35">
      <c r="A870" s="38" t="s">
        <v>101</v>
      </c>
      <c r="B870" s="38" t="s">
        <v>2774</v>
      </c>
      <c r="C870" s="38" t="s">
        <v>2775</v>
      </c>
      <c r="D870" s="38" t="s">
        <v>588</v>
      </c>
      <c r="E870" s="44" t="str">
        <f>IFERROR(VLOOKUP(D870,MATERIALES!A:B,2,FALSE()),"?")</f>
        <v>ARENA LAVADA</v>
      </c>
      <c r="F870" s="44" t="str">
        <f>IFERROR(VLOOKUP(D870,MATERIALES!A:C,3,FALSE()),"?")</f>
        <v>m3</v>
      </c>
      <c r="G870" s="45">
        <v>1.7500000000000002E-2</v>
      </c>
      <c r="H870" s="46">
        <v>0.1</v>
      </c>
      <c r="I870" s="47">
        <f>IFERROR(VLOOKUP(D870,MATERIALES!A:D,4,FALSE()),0)</f>
        <v>32399.77</v>
      </c>
      <c r="J870" s="42">
        <f t="shared" si="105"/>
        <v>623.69557250000014</v>
      </c>
      <c r="K870" s="15" t="str">
        <f t="shared" si="101"/>
        <v>PTO-0403|MAT</v>
      </c>
      <c r="L870" s="15">
        <f>COUNTIFS($K$2:K870,K870)</f>
        <v>2</v>
      </c>
      <c r="M870" s="15" t="str">
        <f t="shared" si="102"/>
        <v>PTO-0403|MAT|2</v>
      </c>
      <c r="N870" s="47">
        <f>IFERROR(VLOOKUP(A870,PARTIDAS!A:F,6,FALSE()),0)</f>
        <v>7</v>
      </c>
      <c r="O870" s="247">
        <f t="shared" si="103"/>
        <v>1.7500000000000002E-2</v>
      </c>
      <c r="P870" s="247">
        <f>+_xlfn.XLOOKUP(A870,PPTO_GENERADOR!Q:Q,PPTO_GENERADOR!E:E,"-",0)</f>
        <v>56</v>
      </c>
      <c r="Q870" s="247">
        <f t="shared" si="104"/>
        <v>0.98000000000000009</v>
      </c>
      <c r="R870" s="259">
        <f>+_xlfn.XLOOKUP(A870,PPTO_GENERADOR!$Q:$Q,PPTO_GENERADOR!A:A,"-",0)</f>
        <v>4.03</v>
      </c>
    </row>
    <row r="871" spans="1:18" ht="14.25" customHeight="1" x14ac:dyDescent="0.35">
      <c r="A871" s="38" t="s">
        <v>101</v>
      </c>
      <c r="B871" s="38" t="s">
        <v>2774</v>
      </c>
      <c r="C871" s="38" t="s">
        <v>2775</v>
      </c>
      <c r="D871" s="38" t="s">
        <v>599</v>
      </c>
      <c r="E871" s="44" t="str">
        <f>IFERROR(VLOOKUP(D871,MATERIALES!A:B,2,FALSE()),"?")</f>
        <v>Cemento Portland x 50kg</v>
      </c>
      <c r="F871" s="44" t="str">
        <f>IFERROR(VLOOKUP(D871,MATERIALES!A:C,3,FALSE()),"?")</f>
        <v>Bol</v>
      </c>
      <c r="G871" s="45">
        <v>7.4999999999999997E-2</v>
      </c>
      <c r="H871" s="46">
        <v>0.1</v>
      </c>
      <c r="I871" s="47">
        <f>IFERROR(VLOOKUP(D871,MATERIALES!A:D,4,FALSE()),0)</f>
        <v>7809.48</v>
      </c>
      <c r="J871" s="42">
        <f t="shared" si="105"/>
        <v>644.2820999999999</v>
      </c>
      <c r="K871" s="15" t="str">
        <f t="shared" si="101"/>
        <v>PTO-0403|MAT</v>
      </c>
      <c r="L871" s="15">
        <f>COUNTIFS($K$2:K871,K871)</f>
        <v>3</v>
      </c>
      <c r="M871" s="15" t="str">
        <f t="shared" si="102"/>
        <v>PTO-0403|MAT|3</v>
      </c>
      <c r="N871" s="47">
        <f>IFERROR(VLOOKUP(A871,PARTIDAS!A:F,6,FALSE()),0)</f>
        <v>7</v>
      </c>
      <c r="O871" s="247">
        <f t="shared" si="103"/>
        <v>7.4999999999999997E-2</v>
      </c>
      <c r="P871" s="247">
        <f>+_xlfn.XLOOKUP(A871,PPTO_GENERADOR!Q:Q,PPTO_GENERADOR!E:E,"-",0)</f>
        <v>56</v>
      </c>
      <c r="Q871" s="247">
        <f t="shared" si="104"/>
        <v>4.2</v>
      </c>
      <c r="R871" s="259">
        <f>+_xlfn.XLOOKUP(A871,PPTO_GENERADOR!$Q:$Q,PPTO_GENERADOR!A:A,"-",0)</f>
        <v>4.03</v>
      </c>
    </row>
    <row r="872" spans="1:18" ht="14.25" customHeight="1" x14ac:dyDescent="0.35">
      <c r="A872" s="38" t="s">
        <v>101</v>
      </c>
      <c r="B872" s="38" t="s">
        <v>2774</v>
      </c>
      <c r="C872" s="38" t="s">
        <v>2775</v>
      </c>
      <c r="D872" s="38" t="s">
        <v>604</v>
      </c>
      <c r="E872" s="44" t="str">
        <f>IFERROR(VLOOKUP(D872,MATERIALES!A:B,2,FALSE()),"?")</f>
        <v>Cal Comun x 25kg</v>
      </c>
      <c r="F872" s="44" t="str">
        <f>IFERROR(VLOOKUP(D872,MATERIALES!A:C,3,FALSE()),"?")</f>
        <v>bol</v>
      </c>
      <c r="G872" s="45">
        <v>0.15</v>
      </c>
      <c r="H872" s="46">
        <v>0.1</v>
      </c>
      <c r="I872" s="47">
        <f>IFERROR(VLOOKUP(D872,MATERIALES!A:D,4,FALSE()),0)</f>
        <v>3837.96</v>
      </c>
      <c r="J872" s="42">
        <f t="shared" si="105"/>
        <v>633.26340000000005</v>
      </c>
      <c r="K872" s="15" t="str">
        <f t="shared" si="101"/>
        <v>PTO-0403|MAT</v>
      </c>
      <c r="L872" s="15">
        <f>COUNTIFS($K$2:K872,K872)</f>
        <v>4</v>
      </c>
      <c r="M872" s="15" t="str">
        <f t="shared" si="102"/>
        <v>PTO-0403|MAT|4</v>
      </c>
      <c r="N872" s="47">
        <f>IFERROR(VLOOKUP(A872,PARTIDAS!A:F,6,FALSE()),0)</f>
        <v>7</v>
      </c>
      <c r="O872" s="247">
        <f t="shared" si="103"/>
        <v>0.15</v>
      </c>
      <c r="P872" s="247">
        <f>+_xlfn.XLOOKUP(A872,PPTO_GENERADOR!Q:Q,PPTO_GENERADOR!E:E,"-",0)</f>
        <v>56</v>
      </c>
      <c r="Q872" s="247">
        <f t="shared" si="104"/>
        <v>8.4</v>
      </c>
      <c r="R872" s="259">
        <f>+_xlfn.XLOOKUP(A872,PPTO_GENERADOR!$Q:$Q,PPTO_GENERADOR!A:A,"-",0)</f>
        <v>4.03</v>
      </c>
    </row>
    <row r="873" spans="1:18" ht="14.25" customHeight="1" x14ac:dyDescent="0.35">
      <c r="A873" s="38" t="s">
        <v>101</v>
      </c>
      <c r="B873" s="38" t="s">
        <v>2774</v>
      </c>
      <c r="C873" s="38" t="s">
        <v>2775</v>
      </c>
      <c r="D873" s="38" t="s">
        <v>640</v>
      </c>
      <c r="E873" s="44" t="str">
        <f>IFERROR(VLOOKUP(D873,MATERIALES!A:B,2,FALSE()),"?")</f>
        <v>Ladrillo Comun 12.5 x 5.5 x 25</v>
      </c>
      <c r="F873" s="44" t="str">
        <f>IFERROR(VLOOKUP(D873,MATERIALES!A:C,3,FALSE()),"?")</f>
        <v>u</v>
      </c>
      <c r="G873" s="45">
        <v>30</v>
      </c>
      <c r="H873" s="46">
        <v>0.05</v>
      </c>
      <c r="I873" s="47">
        <f>IFERROR(VLOOKUP(D873,MATERIALES!A:D,4,FALSE()),0)</f>
        <v>132.30000000000001</v>
      </c>
      <c r="J873" s="42">
        <f t="shared" si="105"/>
        <v>4167.4500000000007</v>
      </c>
      <c r="K873" s="15" t="str">
        <f t="shared" si="101"/>
        <v>PTO-0403|MAT</v>
      </c>
      <c r="L873" s="15">
        <f>COUNTIFS($K$2:K873,K873)</f>
        <v>5</v>
      </c>
      <c r="M873" s="15" t="str">
        <f t="shared" si="102"/>
        <v>PTO-0403|MAT|5</v>
      </c>
      <c r="N873" s="47">
        <f>IFERROR(VLOOKUP(A873,PARTIDAS!A:F,6,FALSE()),0)</f>
        <v>7</v>
      </c>
      <c r="O873" s="247">
        <f t="shared" si="103"/>
        <v>30</v>
      </c>
      <c r="P873" s="247">
        <f>+_xlfn.XLOOKUP(A873,PPTO_GENERADOR!Q:Q,PPTO_GENERADOR!E:E,"-",0)</f>
        <v>56</v>
      </c>
      <c r="Q873" s="247">
        <f t="shared" si="104"/>
        <v>1680</v>
      </c>
      <c r="R873" s="259">
        <f>+_xlfn.XLOOKUP(A873,PPTO_GENERADOR!$Q:$Q,PPTO_GENERADOR!A:A,"-",0)</f>
        <v>4.03</v>
      </c>
    </row>
    <row r="874" spans="1:18" ht="14.25" customHeight="1" x14ac:dyDescent="0.35">
      <c r="A874" s="38" t="s">
        <v>101</v>
      </c>
      <c r="B874" s="38" t="s">
        <v>2774</v>
      </c>
      <c r="C874" s="38" t="s">
        <v>2775</v>
      </c>
      <c r="D874" s="38" t="s">
        <v>1361</v>
      </c>
      <c r="E874" s="44" t="str">
        <f>IFERROR(VLOOKUP(D874,MATERIALES!A:B,2,FALSE()),"?")</f>
        <v>Consumibles</v>
      </c>
      <c r="F874" s="44" t="str">
        <f>IFERROR(VLOOKUP(D874,MATERIALES!A:C,3,FALSE()),"?")</f>
        <v>gl</v>
      </c>
      <c r="G874" s="45">
        <v>65.805511663250002</v>
      </c>
      <c r="H874" s="46">
        <v>0</v>
      </c>
      <c r="I874" s="47">
        <f>IFERROR(VLOOKUP(D874,MATERIALES!A:D,4,FALSE()),0)</f>
        <v>1</v>
      </c>
      <c r="J874" s="42">
        <f t="shared" si="105"/>
        <v>65.805511663250002</v>
      </c>
      <c r="K874" s="15" t="str">
        <f t="shared" si="101"/>
        <v>PTO-0403|MAT</v>
      </c>
      <c r="L874" s="15">
        <f>COUNTIFS($K$2:K874,K874)</f>
        <v>6</v>
      </c>
      <c r="M874" s="15" t="str">
        <f t="shared" si="102"/>
        <v>PTO-0403|MAT|6</v>
      </c>
      <c r="N874" s="47">
        <f>IFERROR(VLOOKUP(A874,PARTIDAS!A:F,6,FALSE()),0)</f>
        <v>7</v>
      </c>
      <c r="O874" s="247">
        <f t="shared" si="103"/>
        <v>65.805511663250002</v>
      </c>
      <c r="P874" s="247">
        <f>+_xlfn.XLOOKUP(A874,PPTO_GENERADOR!Q:Q,PPTO_GENERADOR!E:E,"-",0)</f>
        <v>56</v>
      </c>
      <c r="Q874" s="247">
        <f t="shared" si="104"/>
        <v>3685.1086531420001</v>
      </c>
      <c r="R874" s="259">
        <f>+_xlfn.XLOOKUP(A874,PPTO_GENERADOR!$Q:$Q,PPTO_GENERADOR!A:A,"-",0)</f>
        <v>4.03</v>
      </c>
    </row>
    <row r="875" spans="1:18" ht="14.25" customHeight="1" x14ac:dyDescent="0.35">
      <c r="A875" s="38" t="s">
        <v>101</v>
      </c>
      <c r="B875" s="38" t="s">
        <v>2776</v>
      </c>
      <c r="C875" s="38" t="s">
        <v>2777</v>
      </c>
      <c r="D875" s="237" t="s">
        <v>1577</v>
      </c>
      <c r="E875" s="44" t="str">
        <f>IFERROR(VLOOKUP(D875,MANO_DE_OBRA!A:B,2,FALSE()),"?")</f>
        <v>AYUDANTE</v>
      </c>
      <c r="F875" s="44" t="s">
        <v>2778</v>
      </c>
      <c r="G875" s="45">
        <v>0.5</v>
      </c>
      <c r="H875" s="46">
        <v>0</v>
      </c>
      <c r="I875" s="47">
        <f>IFERROR(VLOOKUP(D875,MANO_DE_OBRA!A:C,3,FALSE()),0)</f>
        <v>60860.580776572002</v>
      </c>
      <c r="J875" s="42">
        <f>G875*I875</f>
        <v>30430.290388286001</v>
      </c>
      <c r="K875" s="15" t="str">
        <f t="shared" si="101"/>
        <v>PTO-0403|MO</v>
      </c>
      <c r="L875" s="15">
        <f>COUNTIFS($K$2:K875,K875)</f>
        <v>1</v>
      </c>
      <c r="M875" s="15" t="str">
        <f t="shared" si="102"/>
        <v>PTO-0403|MO|1</v>
      </c>
      <c r="N875" s="47">
        <f>IFERROR(VLOOKUP(A875,PARTIDAS!A:F,6,FALSE()),0)</f>
        <v>7</v>
      </c>
      <c r="O875" s="247">
        <f t="shared" si="103"/>
        <v>7.1428571428571425E-2</v>
      </c>
      <c r="P875" s="247">
        <f>+_xlfn.XLOOKUP(A875,PPTO_GENERADOR!Q:Q,PPTO_GENERADOR!E:E,"-",0)</f>
        <v>56</v>
      </c>
      <c r="Q875" s="247">
        <f t="shared" si="104"/>
        <v>4</v>
      </c>
      <c r="R875" s="259">
        <f>+_xlfn.XLOOKUP(A875,PPTO_GENERADOR!$Q:$Q,PPTO_GENERADOR!A:A,"-",0)</f>
        <v>4.03</v>
      </c>
    </row>
    <row r="876" spans="1:18" ht="14.25" customHeight="1" x14ac:dyDescent="0.35">
      <c r="A876" s="38" t="s">
        <v>101</v>
      </c>
      <c r="B876" s="38" t="s">
        <v>2776</v>
      </c>
      <c r="C876" s="38" t="s">
        <v>2777</v>
      </c>
      <c r="D876" s="237" t="s">
        <v>1568</v>
      </c>
      <c r="E876" s="44" t="str">
        <f>IFERROR(VLOOKUP(D876,MANO_DE_OBRA!A:B,2,FALSE()),"?")</f>
        <v>ESPECIALIZADO</v>
      </c>
      <c r="F876" s="44" t="s">
        <v>2778</v>
      </c>
      <c r="G876" s="45">
        <v>0.5</v>
      </c>
      <c r="H876" s="46">
        <v>0</v>
      </c>
      <c r="I876" s="47">
        <f>IFERROR(VLOOKUP(D876,MANO_DE_OBRA!A:C,3,FALSE()),0)</f>
        <v>85927.097156571996</v>
      </c>
      <c r="J876" s="42">
        <f>G876*I876</f>
        <v>42963.548578285998</v>
      </c>
      <c r="K876" s="15" t="str">
        <f t="shared" si="101"/>
        <v>PTO-0403|MO</v>
      </c>
      <c r="L876" s="15">
        <f>COUNTIFS($K$2:K876,K876)</f>
        <v>2</v>
      </c>
      <c r="M876" s="15" t="str">
        <f t="shared" si="102"/>
        <v>PTO-0403|MO|2</v>
      </c>
      <c r="N876" s="47">
        <f>IFERROR(VLOOKUP(A876,PARTIDAS!A:F,6,FALSE()),0)</f>
        <v>7</v>
      </c>
      <c r="O876" s="247">
        <f t="shared" si="103"/>
        <v>7.1428571428571425E-2</v>
      </c>
      <c r="P876" s="247">
        <f>+_xlfn.XLOOKUP(A876,PPTO_GENERADOR!Q:Q,PPTO_GENERADOR!E:E,"-",0)</f>
        <v>56</v>
      </c>
      <c r="Q876" s="247">
        <f t="shared" si="104"/>
        <v>4</v>
      </c>
      <c r="R876" s="259">
        <f>+_xlfn.XLOOKUP(A876,PPTO_GENERADOR!$Q:$Q,PPTO_GENERADOR!A:A,"-",0)</f>
        <v>4.03</v>
      </c>
    </row>
    <row r="877" spans="1:18" ht="14.25" customHeight="1" x14ac:dyDescent="0.35">
      <c r="A877" s="38" t="s">
        <v>2678</v>
      </c>
      <c r="B877" s="38" t="s">
        <v>2773</v>
      </c>
      <c r="C877" s="38"/>
      <c r="D877" s="38" t="s">
        <v>1592</v>
      </c>
      <c r="E877" s="44" t="str">
        <f>IFERROR(VLOOKUP(D877,EQUIPOS!A:B,2,FALSE()),"?")</f>
        <v>ANDAMIO TUBULAR DE UNO A TRES CUERPOS</v>
      </c>
      <c r="F877" s="44"/>
      <c r="G877" s="45">
        <v>0.5</v>
      </c>
      <c r="H877" s="46">
        <v>0</v>
      </c>
      <c r="I877" s="47">
        <f>IFERROR(VLOOKUP(D877,EQUIPOS!A:F,6,FALSE()),0)</f>
        <v>571.1794909807611</v>
      </c>
      <c r="J877" s="42">
        <f>G877*I877</f>
        <v>285.58974549038055</v>
      </c>
      <c r="K877" s="15" t="str">
        <f t="shared" si="101"/>
        <v>PTO-0404|EQ</v>
      </c>
      <c r="L877" s="15">
        <f>COUNTIFS($K$2:K877,K877)</f>
        <v>1</v>
      </c>
      <c r="M877" s="15" t="str">
        <f t="shared" si="102"/>
        <v>PTO-0404|EQ|1</v>
      </c>
      <c r="N877" s="47">
        <f>IFERROR(VLOOKUP(A877,PARTIDAS!A:F,6,FALSE()),0)</f>
        <v>15</v>
      </c>
      <c r="O877" s="247">
        <f t="shared" si="103"/>
        <v>0.5</v>
      </c>
      <c r="P877" s="247" t="str">
        <f>+_xlfn.XLOOKUP(A877,PPTO_GENERADOR!Q:Q,PPTO_GENERADOR!E:E,"-",0)</f>
        <v>-</v>
      </c>
      <c r="Q877" s="247">
        <f t="shared" si="104"/>
        <v>0</v>
      </c>
      <c r="R877" s="259" t="str">
        <f>+_xlfn.XLOOKUP(A877,PPTO_GENERADOR!$Q:$Q,PPTO_GENERADOR!A:A,"-",0)</f>
        <v>-</v>
      </c>
    </row>
    <row r="878" spans="1:18" ht="14.25" customHeight="1" x14ac:dyDescent="0.35">
      <c r="A878" s="38" t="s">
        <v>2678</v>
      </c>
      <c r="B878" s="38" t="s">
        <v>2773</v>
      </c>
      <c r="C878" s="38"/>
      <c r="D878" s="38" t="s">
        <v>1595</v>
      </c>
      <c r="E878" s="44" t="str">
        <f>IFERROR(VLOOKUP(D878,EQUIPOS!A:B,2,FALSE()),"?")</f>
        <v>EQUIPO DE ALBAÑILERIA, carpetas, ladrillo</v>
      </c>
      <c r="F878" s="44"/>
      <c r="G878" s="45">
        <v>1</v>
      </c>
      <c r="H878" s="46">
        <v>0</v>
      </c>
      <c r="I878" s="47">
        <f>IFERROR(VLOOKUP(D878,EQUIPOS!A:F,6,FALSE()),0)</f>
        <v>2287.1357450968057</v>
      </c>
      <c r="J878" s="42">
        <f>G878*I878</f>
        <v>2287.1357450968057</v>
      </c>
      <c r="K878" s="15" t="str">
        <f t="shared" si="101"/>
        <v>PTO-0404|EQ</v>
      </c>
      <c r="L878" s="15">
        <f>COUNTIFS($K$2:K878,K878)</f>
        <v>2</v>
      </c>
      <c r="M878" s="15" t="str">
        <f t="shared" si="102"/>
        <v>PTO-0404|EQ|2</v>
      </c>
      <c r="N878" s="47">
        <f>IFERROR(VLOOKUP(A878,PARTIDAS!A:F,6,FALSE()),0)</f>
        <v>15</v>
      </c>
      <c r="O878" s="247">
        <f t="shared" si="103"/>
        <v>1</v>
      </c>
      <c r="P878" s="247" t="str">
        <f>+_xlfn.XLOOKUP(A878,PPTO_GENERADOR!Q:Q,PPTO_GENERADOR!E:E,"-",0)</f>
        <v>-</v>
      </c>
      <c r="Q878" s="247">
        <f t="shared" si="104"/>
        <v>0</v>
      </c>
      <c r="R878" s="259" t="str">
        <f>+_xlfn.XLOOKUP(A878,PPTO_GENERADOR!$Q:$Q,PPTO_GENERADOR!A:A,"-",0)</f>
        <v>-</v>
      </c>
    </row>
    <row r="879" spans="1:18" ht="14.25" customHeight="1" x14ac:dyDescent="0.35">
      <c r="A879" s="38" t="s">
        <v>2678</v>
      </c>
      <c r="B879" s="38" t="s">
        <v>2773</v>
      </c>
      <c r="C879" s="38"/>
      <c r="D879" s="38" t="s">
        <v>1613</v>
      </c>
      <c r="E879" s="44" t="str">
        <f>IFERROR(VLOOKUP(D879,EQUIPOS!A:B,2,FALSE()),"?")</f>
        <v>Hormigonera De 150 Litros 1hp Con Rueda Maciza</v>
      </c>
      <c r="F879" s="44"/>
      <c r="G879" s="45">
        <v>1</v>
      </c>
      <c r="H879" s="46">
        <v>0</v>
      </c>
      <c r="I879" s="47">
        <f>IFERROR(VLOOKUP(D879,EQUIPOS!A:F,6,FALSE()),0)</f>
        <v>957.25319614994726</v>
      </c>
      <c r="J879" s="42">
        <f>G879*I879</f>
        <v>957.25319614994726</v>
      </c>
      <c r="K879" s="15" t="str">
        <f t="shared" si="101"/>
        <v>PTO-0404|EQ</v>
      </c>
      <c r="L879" s="15">
        <f>COUNTIFS($K$2:K879,K879)</f>
        <v>3</v>
      </c>
      <c r="M879" s="15" t="str">
        <f t="shared" si="102"/>
        <v>PTO-0404|EQ|3</v>
      </c>
      <c r="N879" s="47">
        <f>IFERROR(VLOOKUP(A879,PARTIDAS!A:F,6,FALSE()),0)</f>
        <v>15</v>
      </c>
      <c r="O879" s="247">
        <f t="shared" si="103"/>
        <v>1</v>
      </c>
      <c r="P879" s="247" t="str">
        <f>+_xlfn.XLOOKUP(A879,PPTO_GENERADOR!Q:Q,PPTO_GENERADOR!E:E,"-",0)</f>
        <v>-</v>
      </c>
      <c r="Q879" s="247">
        <f t="shared" si="104"/>
        <v>0</v>
      </c>
      <c r="R879" s="259" t="str">
        <f>+_xlfn.XLOOKUP(A879,PPTO_GENERADOR!$Q:$Q,PPTO_GENERADOR!A:A,"-",0)</f>
        <v>-</v>
      </c>
    </row>
    <row r="880" spans="1:18" ht="14.25" customHeight="1" x14ac:dyDescent="0.35">
      <c r="A880" s="38" t="s">
        <v>2678</v>
      </c>
      <c r="B880" s="38" t="s">
        <v>2774</v>
      </c>
      <c r="C880" s="38" t="s">
        <v>2775</v>
      </c>
      <c r="D880" s="38" t="s">
        <v>611</v>
      </c>
      <c r="E880" s="44" t="str">
        <f>IFERROR(VLOOKUP(D880,MATERIALES!A:B,2,FALSE()),"?")</f>
        <v>Barra de Acero Aleteado - 6mm x 12m</v>
      </c>
      <c r="F880" s="44" t="str">
        <f>IFERROR(VLOOKUP(D880,MATERIALES!A:C,3,FALSE()),"?")</f>
        <v>u</v>
      </c>
      <c r="G880" s="45">
        <v>0.17</v>
      </c>
      <c r="H880" s="46">
        <v>0.1</v>
      </c>
      <c r="I880" s="47">
        <f>IFERROR(VLOOKUP(D880,MATERIALES!A:D,4,FALSE()),0)</f>
        <v>3424.53</v>
      </c>
      <c r="J880" s="42">
        <f>G880*I880*(1+H880)</f>
        <v>640.38711000000012</v>
      </c>
      <c r="K880" s="15" t="str">
        <f t="shared" si="101"/>
        <v>PTO-0404|MAT</v>
      </c>
      <c r="L880" s="15">
        <f>COUNTIFS($K$2:K880,K880)</f>
        <v>1</v>
      </c>
      <c r="M880" s="15" t="str">
        <f t="shared" si="102"/>
        <v>PTO-0404|MAT|1</v>
      </c>
      <c r="N880" s="47">
        <f>IFERROR(VLOOKUP(A880,PARTIDAS!A:F,6,FALSE()),0)</f>
        <v>15</v>
      </c>
      <c r="O880" s="247">
        <f t="shared" si="103"/>
        <v>0.17</v>
      </c>
      <c r="P880" s="247" t="str">
        <f>+_xlfn.XLOOKUP(A880,PPTO_GENERADOR!Q:Q,PPTO_GENERADOR!E:E,"-",0)</f>
        <v>-</v>
      </c>
      <c r="Q880" s="247">
        <f t="shared" si="104"/>
        <v>0</v>
      </c>
      <c r="R880" s="259" t="str">
        <f>+_xlfn.XLOOKUP(A880,PPTO_GENERADOR!$Q:$Q,PPTO_GENERADOR!A:A,"-",0)</f>
        <v>-</v>
      </c>
    </row>
    <row r="881" spans="1:18" ht="14.25" customHeight="1" x14ac:dyDescent="0.35">
      <c r="A881" s="38" t="s">
        <v>2678</v>
      </c>
      <c r="B881" s="38" t="s">
        <v>2774</v>
      </c>
      <c r="C881" s="38" t="s">
        <v>2775</v>
      </c>
      <c r="D881" s="38" t="s">
        <v>588</v>
      </c>
      <c r="E881" s="44" t="str">
        <f>IFERROR(VLOOKUP(D881,MATERIALES!A:B,2,FALSE()),"?")</f>
        <v>ARENA LAVADA</v>
      </c>
      <c r="F881" s="44" t="str">
        <f>IFERROR(VLOOKUP(D881,MATERIALES!A:C,3,FALSE()),"?")</f>
        <v>m3</v>
      </c>
      <c r="G881" s="45">
        <v>1.7999999999999999E-2</v>
      </c>
      <c r="H881" s="46">
        <v>0.1</v>
      </c>
      <c r="I881" s="47">
        <f>IFERROR(VLOOKUP(D881,MATERIALES!A:D,4,FALSE()),0)</f>
        <v>32399.77</v>
      </c>
      <c r="J881" s="42">
        <f>G881*I881*(1+H881)</f>
        <v>641.515446</v>
      </c>
      <c r="K881" s="15" t="str">
        <f t="shared" si="101"/>
        <v>PTO-0404|MAT</v>
      </c>
      <c r="L881" s="15">
        <f>COUNTIFS($K$2:K881,K881)</f>
        <v>2</v>
      </c>
      <c r="M881" s="15" t="str">
        <f t="shared" si="102"/>
        <v>PTO-0404|MAT|2</v>
      </c>
      <c r="N881" s="47">
        <f>IFERROR(VLOOKUP(A881,PARTIDAS!A:F,6,FALSE()),0)</f>
        <v>15</v>
      </c>
      <c r="O881" s="247">
        <f t="shared" si="103"/>
        <v>1.7999999999999999E-2</v>
      </c>
      <c r="P881" s="247" t="str">
        <f>+_xlfn.XLOOKUP(A881,PPTO_GENERADOR!Q:Q,PPTO_GENERADOR!E:E,"-",0)</f>
        <v>-</v>
      </c>
      <c r="Q881" s="247">
        <f t="shared" si="104"/>
        <v>0</v>
      </c>
      <c r="R881" s="259" t="str">
        <f>+_xlfn.XLOOKUP(A881,PPTO_GENERADOR!$Q:$Q,PPTO_GENERADOR!A:A,"-",0)</f>
        <v>-</v>
      </c>
    </row>
    <row r="882" spans="1:18" ht="14.25" customHeight="1" x14ac:dyDescent="0.35">
      <c r="A882" s="38" t="s">
        <v>2678</v>
      </c>
      <c r="B882" s="38" t="s">
        <v>2774</v>
      </c>
      <c r="C882" s="38" t="s">
        <v>2775</v>
      </c>
      <c r="D882" s="38" t="s">
        <v>599</v>
      </c>
      <c r="E882" s="44" t="str">
        <f>IFERROR(VLOOKUP(D882,MATERIALES!A:B,2,FALSE()),"?")</f>
        <v>Cemento Portland x 50kg</v>
      </c>
      <c r="F882" s="44" t="str">
        <f>IFERROR(VLOOKUP(D882,MATERIALES!A:C,3,FALSE()),"?")</f>
        <v>Bol</v>
      </c>
      <c r="G882" s="45">
        <v>7.4999999999999997E-2</v>
      </c>
      <c r="H882" s="46">
        <v>0.1</v>
      </c>
      <c r="I882" s="47">
        <f>IFERROR(VLOOKUP(D882,MATERIALES!A:D,4,FALSE()),0)</f>
        <v>7809.48</v>
      </c>
      <c r="J882" s="42">
        <f>G882*I882*(1+H882)</f>
        <v>644.2820999999999</v>
      </c>
      <c r="K882" s="15" t="str">
        <f t="shared" si="101"/>
        <v>PTO-0404|MAT</v>
      </c>
      <c r="L882" s="15">
        <f>COUNTIFS($K$2:K882,K882)</f>
        <v>3</v>
      </c>
      <c r="M882" s="15" t="str">
        <f t="shared" si="102"/>
        <v>PTO-0404|MAT|3</v>
      </c>
      <c r="N882" s="47">
        <f>IFERROR(VLOOKUP(A882,PARTIDAS!A:F,6,FALSE()),0)</f>
        <v>15</v>
      </c>
      <c r="O882" s="247">
        <f t="shared" si="103"/>
        <v>7.4999999999999997E-2</v>
      </c>
      <c r="P882" s="247" t="str">
        <f>+_xlfn.XLOOKUP(A882,PPTO_GENERADOR!Q:Q,PPTO_GENERADOR!E:E,"-",0)</f>
        <v>-</v>
      </c>
      <c r="Q882" s="247">
        <f t="shared" si="104"/>
        <v>0</v>
      </c>
      <c r="R882" s="259" t="str">
        <f>+_xlfn.XLOOKUP(A882,PPTO_GENERADOR!$Q:$Q,PPTO_GENERADOR!A:A,"-",0)</f>
        <v>-</v>
      </c>
    </row>
    <row r="883" spans="1:18" ht="14.25" customHeight="1" x14ac:dyDescent="0.35">
      <c r="A883" s="38" t="s">
        <v>2678</v>
      </c>
      <c r="B883" s="38" t="s">
        <v>2774</v>
      </c>
      <c r="C883" s="38" t="s">
        <v>2775</v>
      </c>
      <c r="D883" s="38" t="s">
        <v>604</v>
      </c>
      <c r="E883" s="44" t="str">
        <f>IFERROR(VLOOKUP(D883,MATERIALES!A:B,2,FALSE()),"?")</f>
        <v>Cal Comun x 25kg</v>
      </c>
      <c r="F883" s="44" t="str">
        <f>IFERROR(VLOOKUP(D883,MATERIALES!A:C,3,FALSE()),"?")</f>
        <v>bol</v>
      </c>
      <c r="G883" s="45">
        <v>0.15</v>
      </c>
      <c r="H883" s="46">
        <v>0.1</v>
      </c>
      <c r="I883" s="47">
        <f>IFERROR(VLOOKUP(D883,MATERIALES!A:D,4,FALSE()),0)</f>
        <v>3837.96</v>
      </c>
      <c r="J883" s="42">
        <f>G883*I883*(1+H883)</f>
        <v>633.26340000000005</v>
      </c>
      <c r="K883" s="15" t="str">
        <f t="shared" si="101"/>
        <v>PTO-0404|MAT</v>
      </c>
      <c r="L883" s="15">
        <f>COUNTIFS($K$2:K883,K883)</f>
        <v>4</v>
      </c>
      <c r="M883" s="15" t="str">
        <f t="shared" si="102"/>
        <v>PTO-0404|MAT|4</v>
      </c>
      <c r="N883" s="47">
        <f>IFERROR(VLOOKUP(A883,PARTIDAS!A:F,6,FALSE()),0)</f>
        <v>15</v>
      </c>
      <c r="O883" s="247">
        <f t="shared" si="103"/>
        <v>0.15</v>
      </c>
      <c r="P883" s="247" t="str">
        <f>+_xlfn.XLOOKUP(A883,PPTO_GENERADOR!Q:Q,PPTO_GENERADOR!E:E,"-",0)</f>
        <v>-</v>
      </c>
      <c r="Q883" s="247">
        <f t="shared" si="104"/>
        <v>0</v>
      </c>
      <c r="R883" s="259" t="str">
        <f>+_xlfn.XLOOKUP(A883,PPTO_GENERADOR!$Q:$Q,PPTO_GENERADOR!A:A,"-",0)</f>
        <v>-</v>
      </c>
    </row>
    <row r="884" spans="1:18" ht="14.25" customHeight="1" x14ac:dyDescent="0.35">
      <c r="A884" s="38" t="s">
        <v>2678</v>
      </c>
      <c r="B884" s="38" t="s">
        <v>2774</v>
      </c>
      <c r="C884" s="38" t="s">
        <v>2775</v>
      </c>
      <c r="D884" s="38" t="s">
        <v>643</v>
      </c>
      <c r="E884" s="44" t="str">
        <f>IFERROR(VLOOKUP(D884,MATERIALES!A:B,2,FALSE()),"?")</f>
        <v>Ladrillo hueco ceramico 12x19x33 - Portante</v>
      </c>
      <c r="F884" s="44" t="str">
        <f>IFERROR(VLOOKUP(D884,MATERIALES!A:C,3,FALSE()),"?")</f>
        <v>u</v>
      </c>
      <c r="G884" s="45">
        <v>15</v>
      </c>
      <c r="H884" s="46">
        <v>0.05</v>
      </c>
      <c r="I884" s="47">
        <f>IFERROR(VLOOKUP(D884,MATERIALES!A:D,4,FALSE()),0)</f>
        <v>563.22</v>
      </c>
      <c r="J884" s="42">
        <f>G884*I884*(1+H884)</f>
        <v>8870.715000000002</v>
      </c>
      <c r="K884" s="15" t="str">
        <f t="shared" si="101"/>
        <v>PTO-0404|MAT</v>
      </c>
      <c r="L884" s="15">
        <f>COUNTIFS($K$2:K884,K884)</f>
        <v>5</v>
      </c>
      <c r="M884" s="15" t="str">
        <f t="shared" si="102"/>
        <v>PTO-0404|MAT|5</v>
      </c>
      <c r="N884" s="47">
        <f>IFERROR(VLOOKUP(A884,PARTIDAS!A:F,6,FALSE()),0)</f>
        <v>15</v>
      </c>
      <c r="O884" s="247">
        <f t="shared" si="103"/>
        <v>15</v>
      </c>
      <c r="P884" s="247" t="str">
        <f>+_xlfn.XLOOKUP(A884,PPTO_GENERADOR!Q:Q,PPTO_GENERADOR!E:E,"-",0)</f>
        <v>-</v>
      </c>
      <c r="Q884" s="247">
        <f t="shared" si="104"/>
        <v>0</v>
      </c>
      <c r="R884" s="259" t="str">
        <f>+_xlfn.XLOOKUP(A884,PPTO_GENERADOR!$Q:$Q,PPTO_GENERADOR!A:A,"-",0)</f>
        <v>-</v>
      </c>
    </row>
    <row r="885" spans="1:18" ht="14.25" customHeight="1" x14ac:dyDescent="0.35">
      <c r="A885" s="38" t="s">
        <v>2678</v>
      </c>
      <c r="B885" s="38" t="s">
        <v>2776</v>
      </c>
      <c r="C885" s="38" t="s">
        <v>2777</v>
      </c>
      <c r="D885" s="237" t="s">
        <v>1577</v>
      </c>
      <c r="E885" s="44" t="str">
        <f>IFERROR(VLOOKUP(D885,MANO_DE_OBRA!A:B,2,FALSE()),"?")</f>
        <v>AYUDANTE</v>
      </c>
      <c r="F885" s="44" t="s">
        <v>2778</v>
      </c>
      <c r="G885" s="45">
        <v>1</v>
      </c>
      <c r="H885" s="46">
        <v>0</v>
      </c>
      <c r="I885" s="47">
        <f>IFERROR(VLOOKUP(D885,MANO_DE_OBRA!A:C,3,FALSE()),0)</f>
        <v>60860.580776572002</v>
      </c>
      <c r="J885" s="42">
        <f>G885*I885</f>
        <v>60860.580776572002</v>
      </c>
      <c r="K885" s="15" t="str">
        <f t="shared" si="101"/>
        <v>PTO-0404|MO</v>
      </c>
      <c r="L885" s="15">
        <f>COUNTIFS($K$2:K885,K885)</f>
        <v>1</v>
      </c>
      <c r="M885" s="15" t="str">
        <f t="shared" si="102"/>
        <v>PTO-0404|MO|1</v>
      </c>
      <c r="N885" s="47">
        <f>IFERROR(VLOOKUP(A885,PARTIDAS!A:F,6,FALSE()),0)</f>
        <v>15</v>
      </c>
      <c r="O885" s="247">
        <f t="shared" si="103"/>
        <v>6.6666666666666666E-2</v>
      </c>
      <c r="P885" s="247" t="str">
        <f>+_xlfn.XLOOKUP(A885,PPTO_GENERADOR!Q:Q,PPTO_GENERADOR!E:E,"-",0)</f>
        <v>-</v>
      </c>
      <c r="Q885" s="247">
        <f t="shared" si="104"/>
        <v>0</v>
      </c>
      <c r="R885" s="259" t="str">
        <f>+_xlfn.XLOOKUP(A885,PPTO_GENERADOR!$Q:$Q,PPTO_GENERADOR!A:A,"-",0)</f>
        <v>-</v>
      </c>
    </row>
    <row r="886" spans="1:18" ht="14.25" customHeight="1" x14ac:dyDescent="0.35">
      <c r="A886" s="38" t="s">
        <v>2678</v>
      </c>
      <c r="B886" s="38" t="s">
        <v>2776</v>
      </c>
      <c r="C886" s="38" t="s">
        <v>2777</v>
      </c>
      <c r="D886" s="237" t="s">
        <v>1568</v>
      </c>
      <c r="E886" s="44" t="str">
        <f>IFERROR(VLOOKUP(D886,MANO_DE_OBRA!A:B,2,FALSE()),"?")</f>
        <v>ESPECIALIZADO</v>
      </c>
      <c r="F886" s="44" t="s">
        <v>2778</v>
      </c>
      <c r="G886" s="45">
        <v>1</v>
      </c>
      <c r="H886" s="46">
        <v>0</v>
      </c>
      <c r="I886" s="47">
        <f>IFERROR(VLOOKUP(D886,MANO_DE_OBRA!A:C,3,FALSE()),0)</f>
        <v>85927.097156571996</v>
      </c>
      <c r="J886" s="42">
        <f>G886*I886</f>
        <v>85927.097156571996</v>
      </c>
      <c r="K886" s="15" t="str">
        <f t="shared" si="101"/>
        <v>PTO-0404|MO</v>
      </c>
      <c r="L886" s="15">
        <f>COUNTIFS($K$2:K886,K886)</f>
        <v>2</v>
      </c>
      <c r="M886" s="15" t="str">
        <f t="shared" si="102"/>
        <v>PTO-0404|MO|2</v>
      </c>
      <c r="N886" s="47">
        <f>IFERROR(VLOOKUP(A886,PARTIDAS!A:F,6,FALSE()),0)</f>
        <v>15</v>
      </c>
      <c r="O886" s="247">
        <f t="shared" si="103"/>
        <v>6.6666666666666666E-2</v>
      </c>
      <c r="P886" s="247" t="str">
        <f>+_xlfn.XLOOKUP(A886,PPTO_GENERADOR!Q:Q,PPTO_GENERADOR!E:E,"-",0)</f>
        <v>-</v>
      </c>
      <c r="Q886" s="247">
        <f t="shared" si="104"/>
        <v>0</v>
      </c>
      <c r="R886" s="259" t="str">
        <f>+_xlfn.XLOOKUP(A886,PPTO_GENERADOR!$Q:$Q,PPTO_GENERADOR!A:A,"-",0)</f>
        <v>-</v>
      </c>
    </row>
    <row r="887" spans="1:18" ht="14.25" customHeight="1" x14ac:dyDescent="0.35">
      <c r="A887" s="38" t="s">
        <v>105</v>
      </c>
      <c r="B887" s="38" t="s">
        <v>2773</v>
      </c>
      <c r="C887" s="38"/>
      <c r="D887" s="38" t="s">
        <v>1785</v>
      </c>
      <c r="E887" s="44" t="str">
        <f>IFERROR(VLOOKUP(D887,EQUIPOS!A:B,2,FALSE()),"?")</f>
        <v>Herramientas menores y consumibles - Muro tipo 5 - Bloque HCCA e: 7,5 cm</v>
      </c>
      <c r="F887" s="44"/>
      <c r="G887" s="45">
        <v>1</v>
      </c>
      <c r="H887" s="46">
        <v>0</v>
      </c>
      <c r="I887" s="47">
        <f>IFERROR(VLOOKUP(D887,EQUIPOS!A:F,6,FALSE()),0)</f>
        <v>409.54162235694002</v>
      </c>
      <c r="J887" s="42">
        <f>G887*I887</f>
        <v>409.54162235694002</v>
      </c>
      <c r="K887" s="15" t="str">
        <f t="shared" si="101"/>
        <v>PTO-0405|EQ</v>
      </c>
      <c r="L887" s="15">
        <f>COUNTIFS($K$2:K887,K887)</f>
        <v>1</v>
      </c>
      <c r="M887" s="15" t="str">
        <f t="shared" si="102"/>
        <v>PTO-0405|EQ|1</v>
      </c>
      <c r="N887" s="47">
        <f>IFERROR(VLOOKUP(A887,PARTIDAS!A:F,6,FALSE()),0)</f>
        <v>1</v>
      </c>
      <c r="O887" s="247">
        <f t="shared" si="103"/>
        <v>1</v>
      </c>
      <c r="P887" s="247">
        <f>+_xlfn.XLOOKUP(A887,PPTO_GENERADOR!Q:Q,PPTO_GENERADOR!E:E,"-",0)</f>
        <v>70</v>
      </c>
      <c r="Q887" s="247">
        <f t="shared" si="104"/>
        <v>70</v>
      </c>
      <c r="R887" s="259">
        <f>+_xlfn.XLOOKUP(A887,PPTO_GENERADOR!$Q:$Q,PPTO_GENERADOR!A:A,"-",0)</f>
        <v>4.05</v>
      </c>
    </row>
    <row r="888" spans="1:18" ht="14.25" customHeight="1" x14ac:dyDescent="0.35">
      <c r="A888" s="38" t="s">
        <v>105</v>
      </c>
      <c r="B888" s="38" t="s">
        <v>2774</v>
      </c>
      <c r="C888" s="38" t="s">
        <v>2779</v>
      </c>
      <c r="D888" s="38" t="s">
        <v>695</v>
      </c>
      <c r="E888" s="44" t="str">
        <f>IFERROR(VLOOKUP(D888,MATERIALES!A:B,2,FALSE()),"?")</f>
        <v>Bloque HCCA Brimax 7,5 x 20 x 60</v>
      </c>
      <c r="F888" s="44" t="str">
        <f>IFERROR(VLOOKUP(D888,MATERIALES!A:C,3,FALSE()),"?")</f>
        <v>u</v>
      </c>
      <c r="G888" s="45">
        <v>8.5</v>
      </c>
      <c r="H888" s="46">
        <v>0</v>
      </c>
      <c r="I888" s="47">
        <f>IFERROR(VLOOKUP(D888,MATERIALES!A:D,4,FALSE()),0)</f>
        <v>1516.11</v>
      </c>
      <c r="J888" s="42">
        <f>G888*I888*(1+H888)</f>
        <v>12886.934999999999</v>
      </c>
      <c r="K888" s="15" t="str">
        <f t="shared" si="101"/>
        <v>PTO-0405|MAT</v>
      </c>
      <c r="L888" s="15">
        <f>COUNTIFS($K$2:K888,K888)</f>
        <v>1</v>
      </c>
      <c r="M888" s="15" t="str">
        <f t="shared" si="102"/>
        <v>PTO-0405|MAT|1</v>
      </c>
      <c r="N888" s="47">
        <f>IFERROR(VLOOKUP(A888,PARTIDAS!A:F,6,FALSE()),0)</f>
        <v>1</v>
      </c>
      <c r="O888" s="247">
        <f t="shared" si="103"/>
        <v>8.5</v>
      </c>
      <c r="P888" s="247">
        <f>+_xlfn.XLOOKUP(A888,PPTO_GENERADOR!Q:Q,PPTO_GENERADOR!E:E,"-",0)</f>
        <v>70</v>
      </c>
      <c r="Q888" s="247">
        <f t="shared" si="104"/>
        <v>595</v>
      </c>
      <c r="R888" s="259">
        <f>+_xlfn.XLOOKUP(A888,PPTO_GENERADOR!$Q:$Q,PPTO_GENERADOR!A:A,"-",0)</f>
        <v>4.05</v>
      </c>
    </row>
    <row r="889" spans="1:18" ht="14.25" customHeight="1" x14ac:dyDescent="0.35">
      <c r="A889" s="38" t="s">
        <v>105</v>
      </c>
      <c r="B889" s="38" t="s">
        <v>2774</v>
      </c>
      <c r="C889" s="38" t="s">
        <v>2779</v>
      </c>
      <c r="D889" s="38" t="s">
        <v>1361</v>
      </c>
      <c r="E889" s="44" t="str">
        <f>IFERROR(VLOOKUP(D889,MATERIALES!A:B,2,FALSE()),"?")</f>
        <v>Consumibles</v>
      </c>
      <c r="F889" s="44" t="str">
        <f>IFERROR(VLOOKUP(D889,MATERIALES!A:C,3,FALSE()),"?")</f>
        <v>gl</v>
      </c>
      <c r="G889" s="45">
        <v>2660.95511429</v>
      </c>
      <c r="H889" s="46">
        <v>0</v>
      </c>
      <c r="I889" s="47">
        <f>IFERROR(VLOOKUP(D889,MATERIALES!A:D,4,FALSE()),0)</f>
        <v>1</v>
      </c>
      <c r="J889" s="42">
        <f>G889*I889*(1+H889)</f>
        <v>2660.95511429</v>
      </c>
      <c r="K889" s="15" t="str">
        <f t="shared" si="101"/>
        <v>PTO-0405|MAT</v>
      </c>
      <c r="L889" s="15">
        <f>COUNTIFS($K$2:K889,K889)</f>
        <v>2</v>
      </c>
      <c r="M889" s="15" t="str">
        <f t="shared" si="102"/>
        <v>PTO-0405|MAT|2</v>
      </c>
      <c r="N889" s="47">
        <f>IFERROR(VLOOKUP(A889,PARTIDAS!A:F,6,FALSE()),0)</f>
        <v>1</v>
      </c>
      <c r="O889" s="247">
        <f t="shared" si="103"/>
        <v>2660.95511429</v>
      </c>
      <c r="P889" s="247">
        <f>+_xlfn.XLOOKUP(A889,PPTO_GENERADOR!Q:Q,PPTO_GENERADOR!E:E,"-",0)</f>
        <v>70</v>
      </c>
      <c r="Q889" s="247">
        <f t="shared" si="104"/>
        <v>186266.85800030001</v>
      </c>
      <c r="R889" s="259">
        <f>+_xlfn.XLOOKUP(A889,PPTO_GENERADOR!$Q:$Q,PPTO_GENERADOR!A:A,"-",0)</f>
        <v>4.05</v>
      </c>
    </row>
    <row r="890" spans="1:18" ht="14.25" customHeight="1" x14ac:dyDescent="0.35">
      <c r="A890" s="38" t="s">
        <v>105</v>
      </c>
      <c r="B890" s="38" t="s">
        <v>2774</v>
      </c>
      <c r="C890" s="38" t="s">
        <v>2779</v>
      </c>
      <c r="D890" s="38" t="s">
        <v>1108</v>
      </c>
      <c r="E890" s="44" t="str">
        <f>IFERROR(VLOOKUP(D890,MATERIALES!A:B,2,FALSE()),"?")</f>
        <v>Hierro del 6</v>
      </c>
      <c r="F890" s="44" t="str">
        <f>IFERROR(VLOOKUP(D890,MATERIALES!A:C,3,FALSE()),"?")</f>
        <v>kg</v>
      </c>
      <c r="G890" s="45">
        <v>0.17142857142857101</v>
      </c>
      <c r="H890" s="46">
        <v>0</v>
      </c>
      <c r="I890" s="47">
        <f>IFERROR(VLOOKUP(D890,MATERIALES!A:D,4,FALSE()),0)</f>
        <v>1704.41</v>
      </c>
      <c r="J890" s="42">
        <f>G890*I890*(1+H890)</f>
        <v>292.18457142857073</v>
      </c>
      <c r="K890" s="15" t="str">
        <f t="shared" si="101"/>
        <v>PTO-0405|MAT</v>
      </c>
      <c r="L890" s="15">
        <f>COUNTIFS($K$2:K890,K890)</f>
        <v>3</v>
      </c>
      <c r="M890" s="15" t="str">
        <f t="shared" si="102"/>
        <v>PTO-0405|MAT|3</v>
      </c>
      <c r="N890" s="47">
        <f>IFERROR(VLOOKUP(A890,PARTIDAS!A:F,6,FALSE()),0)</f>
        <v>1</v>
      </c>
      <c r="O890" s="247">
        <f t="shared" si="103"/>
        <v>0.17142857142857101</v>
      </c>
      <c r="P890" s="247">
        <f>+_xlfn.XLOOKUP(A890,PPTO_GENERADOR!Q:Q,PPTO_GENERADOR!E:E,"-",0)</f>
        <v>70</v>
      </c>
      <c r="Q890" s="247">
        <f t="shared" si="104"/>
        <v>11.999999999999972</v>
      </c>
      <c r="R890" s="259">
        <f>+_xlfn.XLOOKUP(A890,PPTO_GENERADOR!$Q:$Q,PPTO_GENERADOR!A:A,"-",0)</f>
        <v>4.05</v>
      </c>
    </row>
    <row r="891" spans="1:18" ht="14.25" customHeight="1" x14ac:dyDescent="0.35">
      <c r="A891" s="38" t="s">
        <v>105</v>
      </c>
      <c r="B891" s="38" t="s">
        <v>2774</v>
      </c>
      <c r="C891" s="38" t="s">
        <v>2779</v>
      </c>
      <c r="D891" s="38" t="s">
        <v>1151</v>
      </c>
      <c r="E891" s="44" t="str">
        <f>IFERROR(VLOOKUP(D891,MATERIALES!A:B,2,FALSE()),"?")</f>
        <v>Weber celublock x 30 kg</v>
      </c>
      <c r="F891" s="44" t="str">
        <f>IFERROR(VLOOKUP(D891,MATERIALES!A:C,3,FALSE()),"?")</f>
        <v>bol</v>
      </c>
      <c r="G891" s="45">
        <v>0.1</v>
      </c>
      <c r="H891" s="46">
        <v>0</v>
      </c>
      <c r="I891" s="47">
        <f>IFERROR(VLOOKUP(D891,MATERIALES!A:D,4,FALSE()),0)</f>
        <v>9778.66</v>
      </c>
      <c r="J891" s="42">
        <f>G891*I891*(1+H891)</f>
        <v>977.86599999999999</v>
      </c>
      <c r="K891" s="15" t="str">
        <f t="shared" si="101"/>
        <v>PTO-0405|MAT</v>
      </c>
      <c r="L891" s="15">
        <f>COUNTIFS($K$2:K891,K891)</f>
        <v>4</v>
      </c>
      <c r="M891" s="15" t="str">
        <f t="shared" si="102"/>
        <v>PTO-0405|MAT|4</v>
      </c>
      <c r="N891" s="47">
        <f>IFERROR(VLOOKUP(A891,PARTIDAS!A:F,6,FALSE()),0)</f>
        <v>1</v>
      </c>
      <c r="O891" s="247">
        <f t="shared" si="103"/>
        <v>0.1</v>
      </c>
      <c r="P891" s="247">
        <f>+_xlfn.XLOOKUP(A891,PPTO_GENERADOR!Q:Q,PPTO_GENERADOR!E:E,"-",0)</f>
        <v>70</v>
      </c>
      <c r="Q891" s="247">
        <f t="shared" si="104"/>
        <v>7</v>
      </c>
      <c r="R891" s="259">
        <f>+_xlfn.XLOOKUP(A891,PPTO_GENERADOR!$Q:$Q,PPTO_GENERADOR!A:A,"-",0)</f>
        <v>4.05</v>
      </c>
    </row>
    <row r="892" spans="1:18" ht="14.25" customHeight="1" x14ac:dyDescent="0.35">
      <c r="A892" s="38" t="s">
        <v>105</v>
      </c>
      <c r="B892" s="38" t="s">
        <v>2776</v>
      </c>
      <c r="C892" s="38" t="s">
        <v>2777</v>
      </c>
      <c r="D892" s="38" t="s">
        <v>1577</v>
      </c>
      <c r="E892" s="44" t="str">
        <f>IFERROR(VLOOKUP(D892,MANO_DE_OBRA!A:B,2,FALSE()),"?")</f>
        <v>AYUDANTE</v>
      </c>
      <c r="F892" s="44" t="s">
        <v>2778</v>
      </c>
      <c r="G892" s="45">
        <v>7.1428571428571397E-2</v>
      </c>
      <c r="H892" s="46">
        <v>0</v>
      </c>
      <c r="I892" s="47">
        <f>IFERROR(VLOOKUP(D892,MANO_DE_OBRA!A:C,3,FALSE()),0)</f>
        <v>60860.580776572002</v>
      </c>
      <c r="J892" s="42">
        <f>G892*I892</f>
        <v>4347.1843411837126</v>
      </c>
      <c r="K892" s="15" t="str">
        <f t="shared" si="101"/>
        <v>PTO-0405|MO</v>
      </c>
      <c r="L892" s="15">
        <f>COUNTIFS($K$2:K892,K892)</f>
        <v>1</v>
      </c>
      <c r="M892" s="15" t="str">
        <f t="shared" si="102"/>
        <v>PTO-0405|MO|1</v>
      </c>
      <c r="N892" s="47">
        <f>IFERROR(VLOOKUP(A892,PARTIDAS!A:F,6,FALSE()),0)</f>
        <v>1</v>
      </c>
      <c r="O892" s="247">
        <f t="shared" si="103"/>
        <v>7.1428571428571397E-2</v>
      </c>
      <c r="P892" s="247">
        <f>+_xlfn.XLOOKUP(A892,PPTO_GENERADOR!Q:Q,PPTO_GENERADOR!E:E,"-",0)</f>
        <v>70</v>
      </c>
      <c r="Q892" s="247">
        <f t="shared" si="104"/>
        <v>4.9999999999999982</v>
      </c>
      <c r="R892" s="259">
        <f>+_xlfn.XLOOKUP(A892,PPTO_GENERADOR!$Q:$Q,PPTO_GENERADOR!A:A,"-",0)</f>
        <v>4.05</v>
      </c>
    </row>
    <row r="893" spans="1:18" ht="14.25" customHeight="1" x14ac:dyDescent="0.35">
      <c r="A893" s="38" t="s">
        <v>105</v>
      </c>
      <c r="B893" s="38" t="s">
        <v>2776</v>
      </c>
      <c r="C893" s="38" t="s">
        <v>2777</v>
      </c>
      <c r="D893" s="237" t="s">
        <v>1568</v>
      </c>
      <c r="E893" s="44" t="str">
        <f>IFERROR(VLOOKUP(D893,MANO_DE_OBRA!A:B,2,FALSE()),"?")</f>
        <v>ESPECIALIZADO</v>
      </c>
      <c r="F893" s="44" t="s">
        <v>2778</v>
      </c>
      <c r="G893" s="45">
        <v>7.1428571428571397E-2</v>
      </c>
      <c r="H893" s="46">
        <v>0</v>
      </c>
      <c r="I893" s="47">
        <f>IFERROR(VLOOKUP(D893,MANO_DE_OBRA!A:C,3,FALSE()),0)</f>
        <v>85927.097156571996</v>
      </c>
      <c r="J893" s="42">
        <f>G893*I893</f>
        <v>6137.6497968979966</v>
      </c>
      <c r="K893" s="15" t="str">
        <f t="shared" si="101"/>
        <v>PTO-0405|MO</v>
      </c>
      <c r="L893" s="15">
        <f>COUNTIFS($K$2:K893,K893)</f>
        <v>2</v>
      </c>
      <c r="M893" s="15" t="str">
        <f t="shared" si="102"/>
        <v>PTO-0405|MO|2</v>
      </c>
      <c r="N893" s="47">
        <f>IFERROR(VLOOKUP(A893,PARTIDAS!A:F,6,FALSE()),0)</f>
        <v>1</v>
      </c>
      <c r="O893" s="247">
        <f t="shared" si="103"/>
        <v>7.1428571428571397E-2</v>
      </c>
      <c r="P893" s="247">
        <f>+_xlfn.XLOOKUP(A893,PPTO_GENERADOR!Q:Q,PPTO_GENERADOR!E:E,"-",0)</f>
        <v>70</v>
      </c>
      <c r="Q893" s="247">
        <f t="shared" si="104"/>
        <v>4.9999999999999982</v>
      </c>
      <c r="R893" s="259">
        <f>+_xlfn.XLOOKUP(A893,PPTO_GENERADOR!$Q:$Q,PPTO_GENERADOR!A:A,"-",0)</f>
        <v>4.05</v>
      </c>
    </row>
    <row r="894" spans="1:18" ht="14.25" customHeight="1" x14ac:dyDescent="0.35">
      <c r="A894" s="38" t="s">
        <v>2680</v>
      </c>
      <c r="B894" s="38" t="s">
        <v>2773</v>
      </c>
      <c r="C894" s="38"/>
      <c r="D894" s="38" t="s">
        <v>1592</v>
      </c>
      <c r="E894" s="44" t="str">
        <f>IFERROR(VLOOKUP(D894,EQUIPOS!A:B,2,FALSE()),"?")</f>
        <v>ANDAMIO TUBULAR DE UNO A TRES CUERPOS</v>
      </c>
      <c r="F894" s="44"/>
      <c r="G894" s="45">
        <v>0.5</v>
      </c>
      <c r="H894" s="46">
        <v>0</v>
      </c>
      <c r="I894" s="47">
        <f>IFERROR(VLOOKUP(D894,EQUIPOS!A:F,6,FALSE()),0)</f>
        <v>571.1794909807611</v>
      </c>
      <c r="J894" s="42">
        <f>G894*I894</f>
        <v>285.58974549038055</v>
      </c>
      <c r="K894" s="15" t="str">
        <f t="shared" si="101"/>
        <v>PTO-0406|EQ</v>
      </c>
      <c r="L894" s="15">
        <f>COUNTIFS($K$2:K894,K894)</f>
        <v>1</v>
      </c>
      <c r="M894" s="15" t="str">
        <f t="shared" si="102"/>
        <v>PTO-0406|EQ|1</v>
      </c>
      <c r="N894" s="47">
        <f>IFERROR(VLOOKUP(A894,PARTIDAS!A:F,6,FALSE()),0)</f>
        <v>15</v>
      </c>
      <c r="O894" s="247">
        <f t="shared" si="103"/>
        <v>0.5</v>
      </c>
      <c r="P894" s="247" t="str">
        <f>+_xlfn.XLOOKUP(A894,PPTO_GENERADOR!Q:Q,PPTO_GENERADOR!E:E,"-",0)</f>
        <v>-</v>
      </c>
      <c r="Q894" s="247">
        <f t="shared" si="104"/>
        <v>0</v>
      </c>
      <c r="R894" s="259" t="str">
        <f>+_xlfn.XLOOKUP(A894,PPTO_GENERADOR!$Q:$Q,PPTO_GENERADOR!A:A,"-",0)</f>
        <v>-</v>
      </c>
    </row>
    <row r="895" spans="1:18" ht="14.25" customHeight="1" x14ac:dyDescent="0.35">
      <c r="A895" s="38" t="s">
        <v>2680</v>
      </c>
      <c r="B895" s="38" t="s">
        <v>2773</v>
      </c>
      <c r="C895" s="38"/>
      <c r="D895" s="38" t="s">
        <v>1595</v>
      </c>
      <c r="E895" s="44" t="str">
        <f>IFERROR(VLOOKUP(D895,EQUIPOS!A:B,2,FALSE()),"?")</f>
        <v>EQUIPO DE ALBAÑILERIA, carpetas, ladrillo</v>
      </c>
      <c r="F895" s="44"/>
      <c r="G895" s="45">
        <v>1</v>
      </c>
      <c r="H895" s="46">
        <v>0</v>
      </c>
      <c r="I895" s="47">
        <f>IFERROR(VLOOKUP(D895,EQUIPOS!A:F,6,FALSE()),0)</f>
        <v>2287.1357450968057</v>
      </c>
      <c r="J895" s="42">
        <f>G895*I895</f>
        <v>2287.1357450968057</v>
      </c>
      <c r="K895" s="15" t="str">
        <f t="shared" si="101"/>
        <v>PTO-0406|EQ</v>
      </c>
      <c r="L895" s="15">
        <f>COUNTIFS($K$2:K895,K895)</f>
        <v>2</v>
      </c>
      <c r="M895" s="15" t="str">
        <f t="shared" si="102"/>
        <v>PTO-0406|EQ|2</v>
      </c>
      <c r="N895" s="47">
        <f>IFERROR(VLOOKUP(A895,PARTIDAS!A:F,6,FALSE()),0)</f>
        <v>15</v>
      </c>
      <c r="O895" s="247">
        <f t="shared" si="103"/>
        <v>1</v>
      </c>
      <c r="P895" s="247" t="str">
        <f>+_xlfn.XLOOKUP(A895,PPTO_GENERADOR!Q:Q,PPTO_GENERADOR!E:E,"-",0)</f>
        <v>-</v>
      </c>
      <c r="Q895" s="247">
        <f t="shared" si="104"/>
        <v>0</v>
      </c>
      <c r="R895" s="259" t="str">
        <f>+_xlfn.XLOOKUP(A895,PPTO_GENERADOR!$Q:$Q,PPTO_GENERADOR!A:A,"-",0)</f>
        <v>-</v>
      </c>
    </row>
    <row r="896" spans="1:18" ht="14.25" customHeight="1" x14ac:dyDescent="0.35">
      <c r="A896" s="38" t="s">
        <v>2680</v>
      </c>
      <c r="B896" s="38" t="s">
        <v>2773</v>
      </c>
      <c r="C896" s="38"/>
      <c r="D896" s="38" t="s">
        <v>1613</v>
      </c>
      <c r="E896" s="44" t="str">
        <f>IFERROR(VLOOKUP(D896,EQUIPOS!A:B,2,FALSE()),"?")</f>
        <v>Hormigonera De 150 Litros 1hp Con Rueda Maciza</v>
      </c>
      <c r="F896" s="44"/>
      <c r="G896" s="45">
        <v>1</v>
      </c>
      <c r="H896" s="46">
        <v>0</v>
      </c>
      <c r="I896" s="47">
        <f>IFERROR(VLOOKUP(D896,EQUIPOS!A:F,6,FALSE()),0)</f>
        <v>957.25319614994726</v>
      </c>
      <c r="J896" s="42">
        <f>G896*I896</f>
        <v>957.25319614994726</v>
      </c>
      <c r="K896" s="15" t="str">
        <f t="shared" si="101"/>
        <v>PTO-0406|EQ</v>
      </c>
      <c r="L896" s="15">
        <f>COUNTIFS($K$2:K896,K896)</f>
        <v>3</v>
      </c>
      <c r="M896" s="15" t="str">
        <f t="shared" si="102"/>
        <v>PTO-0406|EQ|3</v>
      </c>
      <c r="N896" s="47">
        <f>IFERROR(VLOOKUP(A896,PARTIDAS!A:F,6,FALSE()),0)</f>
        <v>15</v>
      </c>
      <c r="O896" s="247">
        <f t="shared" si="103"/>
        <v>1</v>
      </c>
      <c r="P896" s="247" t="str">
        <f>+_xlfn.XLOOKUP(A896,PPTO_GENERADOR!Q:Q,PPTO_GENERADOR!E:E,"-",0)</f>
        <v>-</v>
      </c>
      <c r="Q896" s="247">
        <f t="shared" si="104"/>
        <v>0</v>
      </c>
      <c r="R896" s="259" t="str">
        <f>+_xlfn.XLOOKUP(A896,PPTO_GENERADOR!$Q:$Q,PPTO_GENERADOR!A:A,"-",0)</f>
        <v>-</v>
      </c>
    </row>
    <row r="897" spans="1:18" ht="14.25" customHeight="1" x14ac:dyDescent="0.35">
      <c r="A897" s="38" t="s">
        <v>2680</v>
      </c>
      <c r="B897" s="38" t="s">
        <v>2774</v>
      </c>
      <c r="C897" s="38" t="s">
        <v>2775</v>
      </c>
      <c r="D897" s="38" t="s">
        <v>611</v>
      </c>
      <c r="E897" s="44" t="str">
        <f>IFERROR(VLOOKUP(D897,MATERIALES!A:B,2,FALSE()),"?")</f>
        <v>Barra de Acero Aleteado - 6mm x 12m</v>
      </c>
      <c r="F897" s="44" t="str">
        <f>IFERROR(VLOOKUP(D897,MATERIALES!A:C,3,FALSE()),"?")</f>
        <v>u</v>
      </c>
      <c r="G897" s="45">
        <v>0.17</v>
      </c>
      <c r="H897" s="46">
        <v>0.1</v>
      </c>
      <c r="I897" s="47">
        <f>IFERROR(VLOOKUP(D897,MATERIALES!A:D,4,FALSE()),0)</f>
        <v>3424.53</v>
      </c>
      <c r="J897" s="42">
        <f>G897*I897*(1+H897)</f>
        <v>640.38711000000012</v>
      </c>
      <c r="K897" s="15" t="str">
        <f t="shared" si="101"/>
        <v>PTO-0406|MAT</v>
      </c>
      <c r="L897" s="15">
        <f>COUNTIFS($K$2:K897,K897)</f>
        <v>1</v>
      </c>
      <c r="M897" s="15" t="str">
        <f t="shared" si="102"/>
        <v>PTO-0406|MAT|1</v>
      </c>
      <c r="N897" s="47">
        <f>IFERROR(VLOOKUP(A897,PARTIDAS!A:F,6,FALSE()),0)</f>
        <v>15</v>
      </c>
      <c r="O897" s="247">
        <f t="shared" si="103"/>
        <v>0.17</v>
      </c>
      <c r="P897" s="247" t="str">
        <f>+_xlfn.XLOOKUP(A897,PPTO_GENERADOR!Q:Q,PPTO_GENERADOR!E:E,"-",0)</f>
        <v>-</v>
      </c>
      <c r="Q897" s="247">
        <f t="shared" si="104"/>
        <v>0</v>
      </c>
      <c r="R897" s="259" t="str">
        <f>+_xlfn.XLOOKUP(A897,PPTO_GENERADOR!$Q:$Q,PPTO_GENERADOR!A:A,"-",0)</f>
        <v>-</v>
      </c>
    </row>
    <row r="898" spans="1:18" ht="14.25" customHeight="1" x14ac:dyDescent="0.35">
      <c r="A898" s="38" t="s">
        <v>2680</v>
      </c>
      <c r="B898" s="38" t="s">
        <v>2774</v>
      </c>
      <c r="C898" s="38" t="s">
        <v>2775</v>
      </c>
      <c r="D898" s="38" t="s">
        <v>588</v>
      </c>
      <c r="E898" s="44" t="str">
        <f>IFERROR(VLOOKUP(D898,MATERIALES!A:B,2,FALSE()),"?")</f>
        <v>ARENA LAVADA</v>
      </c>
      <c r="F898" s="44" t="str">
        <f>IFERROR(VLOOKUP(D898,MATERIALES!A:C,3,FALSE()),"?")</f>
        <v>m3</v>
      </c>
      <c r="G898" s="45">
        <v>2.4E-2</v>
      </c>
      <c r="H898" s="46">
        <v>0.1</v>
      </c>
      <c r="I898" s="47">
        <f>IFERROR(VLOOKUP(D898,MATERIALES!A:D,4,FALSE()),0)</f>
        <v>32399.77</v>
      </c>
      <c r="J898" s="42">
        <f>G898*I898*(1+H898)</f>
        <v>855.353928</v>
      </c>
      <c r="K898" s="15" t="str">
        <f t="shared" ref="K898:K961" si="106">A898&amp;"|"&amp;B898</f>
        <v>PTO-0406|MAT</v>
      </c>
      <c r="L898" s="15">
        <f>COUNTIFS($K$2:K898,K898)</f>
        <v>2</v>
      </c>
      <c r="M898" s="15" t="str">
        <f t="shared" ref="M898:M961" si="107">K898&amp;"|"&amp;L898</f>
        <v>PTO-0406|MAT|2</v>
      </c>
      <c r="N898" s="47">
        <f>IFERROR(VLOOKUP(A898,PARTIDAS!A:F,6,FALSE()),0)</f>
        <v>15</v>
      </c>
      <c r="O898" s="247">
        <f t="shared" si="103"/>
        <v>2.4E-2</v>
      </c>
      <c r="P898" s="247" t="str">
        <f>+_xlfn.XLOOKUP(A898,PPTO_GENERADOR!Q:Q,PPTO_GENERADOR!E:E,"-",0)</f>
        <v>-</v>
      </c>
      <c r="Q898" s="247">
        <f t="shared" si="104"/>
        <v>0</v>
      </c>
      <c r="R898" s="259" t="str">
        <f>+_xlfn.XLOOKUP(A898,PPTO_GENERADOR!$Q:$Q,PPTO_GENERADOR!A:A,"-",0)</f>
        <v>-</v>
      </c>
    </row>
    <row r="899" spans="1:18" ht="14.25" customHeight="1" x14ac:dyDescent="0.35">
      <c r="A899" s="38" t="s">
        <v>2680</v>
      </c>
      <c r="B899" s="38" t="s">
        <v>2774</v>
      </c>
      <c r="C899" s="38" t="s">
        <v>2775</v>
      </c>
      <c r="D899" s="38" t="s">
        <v>599</v>
      </c>
      <c r="E899" s="44" t="str">
        <f>IFERROR(VLOOKUP(D899,MATERIALES!A:B,2,FALSE()),"?")</f>
        <v>Cemento Portland x 50kg</v>
      </c>
      <c r="F899" s="44" t="str">
        <f>IFERROR(VLOOKUP(D899,MATERIALES!A:C,3,FALSE()),"?")</f>
        <v>Bol</v>
      </c>
      <c r="G899" s="45">
        <v>0.1</v>
      </c>
      <c r="H899" s="46">
        <v>0.1</v>
      </c>
      <c r="I899" s="47">
        <f>IFERROR(VLOOKUP(D899,MATERIALES!A:D,4,FALSE()),0)</f>
        <v>7809.48</v>
      </c>
      <c r="J899" s="42">
        <f>G899*I899*(1+H899)</f>
        <v>859.04280000000006</v>
      </c>
      <c r="K899" s="15" t="str">
        <f t="shared" si="106"/>
        <v>PTO-0406|MAT</v>
      </c>
      <c r="L899" s="15">
        <f>COUNTIFS($K$2:K899,K899)</f>
        <v>3</v>
      </c>
      <c r="M899" s="15" t="str">
        <f t="shared" si="107"/>
        <v>PTO-0406|MAT|3</v>
      </c>
      <c r="N899" s="47">
        <f>IFERROR(VLOOKUP(A899,PARTIDAS!A:F,6,FALSE()),0)</f>
        <v>15</v>
      </c>
      <c r="O899" s="247">
        <f t="shared" ref="O899:O962" si="108">+IF(C899="ALB",G899/N899,G899)</f>
        <v>0.1</v>
      </c>
      <c r="P899" s="247" t="str">
        <f>+_xlfn.XLOOKUP(A899,PPTO_GENERADOR!Q:Q,PPTO_GENERADOR!E:E,"-",0)</f>
        <v>-</v>
      </c>
      <c r="Q899" s="247">
        <f t="shared" ref="Q899:Q962" si="109">IFERROR(P899*O899,0)</f>
        <v>0</v>
      </c>
      <c r="R899" s="259" t="str">
        <f>+_xlfn.XLOOKUP(A899,PPTO_GENERADOR!$Q:$Q,PPTO_GENERADOR!A:A,"-",0)</f>
        <v>-</v>
      </c>
    </row>
    <row r="900" spans="1:18" ht="14.25" customHeight="1" x14ac:dyDescent="0.35">
      <c r="A900" s="38" t="s">
        <v>2680</v>
      </c>
      <c r="B900" s="38" t="s">
        <v>2774</v>
      </c>
      <c r="C900" s="38" t="s">
        <v>2775</v>
      </c>
      <c r="D900" s="38" t="s">
        <v>604</v>
      </c>
      <c r="E900" s="44" t="str">
        <f>IFERROR(VLOOKUP(D900,MATERIALES!A:B,2,FALSE()),"?")</f>
        <v>Cal Comun x 25kg</v>
      </c>
      <c r="F900" s="44" t="str">
        <f>IFERROR(VLOOKUP(D900,MATERIALES!A:C,3,FALSE()),"?")</f>
        <v>bol</v>
      </c>
      <c r="G900" s="45">
        <v>0.2</v>
      </c>
      <c r="H900" s="46">
        <v>0.1</v>
      </c>
      <c r="I900" s="47">
        <f>IFERROR(VLOOKUP(D900,MATERIALES!A:D,4,FALSE()),0)</f>
        <v>3837.96</v>
      </c>
      <c r="J900" s="42">
        <f>G900*I900*(1+H900)</f>
        <v>844.35120000000018</v>
      </c>
      <c r="K900" s="15" t="str">
        <f t="shared" si="106"/>
        <v>PTO-0406|MAT</v>
      </c>
      <c r="L900" s="15">
        <f>COUNTIFS($K$2:K900,K900)</f>
        <v>4</v>
      </c>
      <c r="M900" s="15" t="str">
        <f t="shared" si="107"/>
        <v>PTO-0406|MAT|4</v>
      </c>
      <c r="N900" s="47">
        <f>IFERROR(VLOOKUP(A900,PARTIDAS!A:F,6,FALSE()),0)</f>
        <v>15</v>
      </c>
      <c r="O900" s="247">
        <f t="shared" si="108"/>
        <v>0.2</v>
      </c>
      <c r="P900" s="247" t="str">
        <f>+_xlfn.XLOOKUP(A900,PPTO_GENERADOR!Q:Q,PPTO_GENERADOR!E:E,"-",0)</f>
        <v>-</v>
      </c>
      <c r="Q900" s="247">
        <f t="shared" si="109"/>
        <v>0</v>
      </c>
      <c r="R900" s="259" t="str">
        <f>+_xlfn.XLOOKUP(A900,PPTO_GENERADOR!$Q:$Q,PPTO_GENERADOR!A:A,"-",0)</f>
        <v>-</v>
      </c>
    </row>
    <row r="901" spans="1:18" ht="14.25" customHeight="1" x14ac:dyDescent="0.35">
      <c r="A901" s="38" t="s">
        <v>2680</v>
      </c>
      <c r="B901" s="38" t="s">
        <v>2774</v>
      </c>
      <c r="C901" s="38" t="s">
        <v>2775</v>
      </c>
      <c r="D901" s="38" t="s">
        <v>637</v>
      </c>
      <c r="E901" s="44" t="str">
        <f>IFERROR(VLOOKUP(D901,MATERIALES!A:B,2,FALSE()),"?")</f>
        <v>LADRILLO CERAMICO 18 x 18 x 33 cm</v>
      </c>
      <c r="F901" s="44" t="str">
        <f>IFERROR(VLOOKUP(D901,MATERIALES!A:C,3,FALSE()),"?")</f>
        <v>u</v>
      </c>
      <c r="G901" s="45">
        <v>15</v>
      </c>
      <c r="H901" s="46">
        <v>0.05</v>
      </c>
      <c r="I901" s="47">
        <f>IFERROR(VLOOKUP(D901,MATERIALES!A:D,4,FALSE()),0)</f>
        <v>519.12</v>
      </c>
      <c r="J901" s="42">
        <f>G901*I901*(1+H901)</f>
        <v>8176.14</v>
      </c>
      <c r="K901" s="15" t="str">
        <f t="shared" si="106"/>
        <v>PTO-0406|MAT</v>
      </c>
      <c r="L901" s="15">
        <f>COUNTIFS($K$2:K901,K901)</f>
        <v>5</v>
      </c>
      <c r="M901" s="15" t="str">
        <f t="shared" si="107"/>
        <v>PTO-0406|MAT|5</v>
      </c>
      <c r="N901" s="47">
        <f>IFERROR(VLOOKUP(A901,PARTIDAS!A:F,6,FALSE()),0)</f>
        <v>15</v>
      </c>
      <c r="O901" s="247">
        <f t="shared" si="108"/>
        <v>15</v>
      </c>
      <c r="P901" s="247" t="str">
        <f>+_xlfn.XLOOKUP(A901,PPTO_GENERADOR!Q:Q,PPTO_GENERADOR!E:E,"-",0)</f>
        <v>-</v>
      </c>
      <c r="Q901" s="247">
        <f t="shared" si="109"/>
        <v>0</v>
      </c>
      <c r="R901" s="259" t="str">
        <f>+_xlfn.XLOOKUP(A901,PPTO_GENERADOR!$Q:$Q,PPTO_GENERADOR!A:A,"-",0)</f>
        <v>-</v>
      </c>
    </row>
    <row r="902" spans="1:18" ht="14.25" customHeight="1" x14ac:dyDescent="0.35">
      <c r="A902" s="38" t="s">
        <v>2680</v>
      </c>
      <c r="B902" s="38" t="s">
        <v>2776</v>
      </c>
      <c r="C902" s="38" t="s">
        <v>2777</v>
      </c>
      <c r="D902" s="237" t="s">
        <v>1577</v>
      </c>
      <c r="E902" s="44" t="str">
        <f>IFERROR(VLOOKUP(D902,MANO_DE_OBRA!A:B,2,FALSE()),"?")</f>
        <v>AYUDANTE</v>
      </c>
      <c r="F902" s="44" t="s">
        <v>2778</v>
      </c>
      <c r="G902" s="45">
        <v>1</v>
      </c>
      <c r="H902" s="46">
        <v>0</v>
      </c>
      <c r="I902" s="47">
        <f>IFERROR(VLOOKUP(D902,MANO_DE_OBRA!A:C,3,FALSE()),0)</f>
        <v>60860.580776572002</v>
      </c>
      <c r="J902" s="42">
        <f>G902*I902</f>
        <v>60860.580776572002</v>
      </c>
      <c r="K902" s="15" t="str">
        <f t="shared" si="106"/>
        <v>PTO-0406|MO</v>
      </c>
      <c r="L902" s="15">
        <f>COUNTIFS($K$2:K902,K902)</f>
        <v>1</v>
      </c>
      <c r="M902" s="15" t="str">
        <f t="shared" si="107"/>
        <v>PTO-0406|MO|1</v>
      </c>
      <c r="N902" s="47">
        <f>IFERROR(VLOOKUP(A902,PARTIDAS!A:F,6,FALSE()),0)</f>
        <v>15</v>
      </c>
      <c r="O902" s="247">
        <f t="shared" si="108"/>
        <v>6.6666666666666666E-2</v>
      </c>
      <c r="P902" s="247" t="str">
        <f>+_xlfn.XLOOKUP(A902,PPTO_GENERADOR!Q:Q,PPTO_GENERADOR!E:E,"-",0)</f>
        <v>-</v>
      </c>
      <c r="Q902" s="247">
        <f t="shared" si="109"/>
        <v>0</v>
      </c>
      <c r="R902" s="259" t="str">
        <f>+_xlfn.XLOOKUP(A902,PPTO_GENERADOR!$Q:$Q,PPTO_GENERADOR!A:A,"-",0)</f>
        <v>-</v>
      </c>
    </row>
    <row r="903" spans="1:18" ht="14.25" customHeight="1" x14ac:dyDescent="0.35">
      <c r="A903" s="38" t="s">
        <v>2680</v>
      </c>
      <c r="B903" s="38" t="s">
        <v>2776</v>
      </c>
      <c r="C903" s="38" t="s">
        <v>2777</v>
      </c>
      <c r="D903" s="237" t="s">
        <v>1568</v>
      </c>
      <c r="E903" s="44" t="str">
        <f>IFERROR(VLOOKUP(D903,MANO_DE_OBRA!A:B,2,FALSE()),"?")</f>
        <v>ESPECIALIZADO</v>
      </c>
      <c r="F903" s="44" t="s">
        <v>2778</v>
      </c>
      <c r="G903" s="45">
        <v>1</v>
      </c>
      <c r="H903" s="46">
        <v>0</v>
      </c>
      <c r="I903" s="47">
        <f>IFERROR(VLOOKUP(D903,MANO_DE_OBRA!A:C,3,FALSE()),0)</f>
        <v>85927.097156571996</v>
      </c>
      <c r="J903" s="42">
        <f>G903*I903</f>
        <v>85927.097156571996</v>
      </c>
      <c r="K903" s="15" t="str">
        <f t="shared" si="106"/>
        <v>PTO-0406|MO</v>
      </c>
      <c r="L903" s="15">
        <f>COUNTIFS($K$2:K903,K903)</f>
        <v>2</v>
      </c>
      <c r="M903" s="15" t="str">
        <f t="shared" si="107"/>
        <v>PTO-0406|MO|2</v>
      </c>
      <c r="N903" s="47">
        <f>IFERROR(VLOOKUP(A903,PARTIDAS!A:F,6,FALSE()),0)</f>
        <v>15</v>
      </c>
      <c r="O903" s="247">
        <f t="shared" si="108"/>
        <v>6.6666666666666666E-2</v>
      </c>
      <c r="P903" s="247" t="str">
        <f>+_xlfn.XLOOKUP(A903,PPTO_GENERADOR!Q:Q,PPTO_GENERADOR!E:E,"-",0)</f>
        <v>-</v>
      </c>
      <c r="Q903" s="247">
        <f t="shared" si="109"/>
        <v>0</v>
      </c>
      <c r="R903" s="259" t="str">
        <f>+_xlfn.XLOOKUP(A903,PPTO_GENERADOR!$Q:$Q,PPTO_GENERADOR!A:A,"-",0)</f>
        <v>-</v>
      </c>
    </row>
    <row r="904" spans="1:18" ht="14.25" customHeight="1" x14ac:dyDescent="0.35">
      <c r="A904" s="38" t="s">
        <v>109</v>
      </c>
      <c r="B904" s="38" t="s">
        <v>2773</v>
      </c>
      <c r="C904" s="38"/>
      <c r="D904" s="38" t="s">
        <v>1592</v>
      </c>
      <c r="E904" s="44" t="str">
        <f>IFERROR(VLOOKUP(D904,EQUIPOS!A:B,2,FALSE()),"?")</f>
        <v>ANDAMIO TUBULAR DE UNO A TRES CUERPOS</v>
      </c>
      <c r="F904" s="44"/>
      <c r="G904" s="45">
        <v>0.25</v>
      </c>
      <c r="H904" s="46">
        <v>0</v>
      </c>
      <c r="I904" s="47">
        <f>IFERROR(VLOOKUP(D904,EQUIPOS!A:F,6,FALSE()),0)</f>
        <v>571.1794909807611</v>
      </c>
      <c r="J904" s="42">
        <f>G904*I904</f>
        <v>142.79487274519028</v>
      </c>
      <c r="K904" s="15" t="str">
        <f t="shared" si="106"/>
        <v>PTO-0407|EQ</v>
      </c>
      <c r="L904" s="15">
        <f>COUNTIFS($K$2:K904,K904)</f>
        <v>1</v>
      </c>
      <c r="M904" s="15" t="str">
        <f t="shared" si="107"/>
        <v>PTO-0407|EQ|1</v>
      </c>
      <c r="N904" s="47">
        <f>IFERROR(VLOOKUP(A904,PARTIDAS!A:F,6,FALSE()),0)</f>
        <v>7</v>
      </c>
      <c r="O904" s="247">
        <f t="shared" si="108"/>
        <v>0.25</v>
      </c>
      <c r="P904" s="247">
        <f>+_xlfn.XLOOKUP(A904,PPTO_GENERADOR!Q:Q,PPTO_GENERADOR!E:E,"-",0)</f>
        <v>193</v>
      </c>
      <c r="Q904" s="247">
        <f t="shared" si="109"/>
        <v>48.25</v>
      </c>
      <c r="R904" s="259">
        <f>+_xlfn.XLOOKUP(A904,PPTO_GENERADOR!$Q:$Q,PPTO_GENERADOR!A:A,"-",0)</f>
        <v>4.07</v>
      </c>
    </row>
    <row r="905" spans="1:18" ht="14.25" customHeight="1" x14ac:dyDescent="0.35">
      <c r="A905" s="38" t="s">
        <v>109</v>
      </c>
      <c r="B905" s="38" t="s">
        <v>2773</v>
      </c>
      <c r="C905" s="38"/>
      <c r="D905" s="38" t="s">
        <v>1595</v>
      </c>
      <c r="E905" s="44" t="str">
        <f>IFERROR(VLOOKUP(D905,EQUIPOS!A:B,2,FALSE()),"?")</f>
        <v>EQUIPO DE ALBAÑILERIA, carpetas, ladrillo</v>
      </c>
      <c r="F905" s="44"/>
      <c r="G905" s="45">
        <v>0.5</v>
      </c>
      <c r="H905" s="46">
        <v>0</v>
      </c>
      <c r="I905" s="47">
        <f>IFERROR(VLOOKUP(D905,EQUIPOS!A:F,6,FALSE()),0)</f>
        <v>2287.1357450968057</v>
      </c>
      <c r="J905" s="42">
        <f>G905*I905</f>
        <v>1143.5678725484029</v>
      </c>
      <c r="K905" s="15" t="str">
        <f t="shared" si="106"/>
        <v>PTO-0407|EQ</v>
      </c>
      <c r="L905" s="15">
        <f>COUNTIFS($K$2:K905,K905)</f>
        <v>2</v>
      </c>
      <c r="M905" s="15" t="str">
        <f t="shared" si="107"/>
        <v>PTO-0407|EQ|2</v>
      </c>
      <c r="N905" s="47">
        <f>IFERROR(VLOOKUP(A905,PARTIDAS!A:F,6,FALSE()),0)</f>
        <v>7</v>
      </c>
      <c r="O905" s="247">
        <f t="shared" si="108"/>
        <v>0.5</v>
      </c>
      <c r="P905" s="247">
        <f>+_xlfn.XLOOKUP(A905,PPTO_GENERADOR!Q:Q,PPTO_GENERADOR!E:E,"-",0)</f>
        <v>193</v>
      </c>
      <c r="Q905" s="247">
        <f t="shared" si="109"/>
        <v>96.5</v>
      </c>
      <c r="R905" s="259">
        <f>+_xlfn.XLOOKUP(A905,PPTO_GENERADOR!$Q:$Q,PPTO_GENERADOR!A:A,"-",0)</f>
        <v>4.07</v>
      </c>
    </row>
    <row r="906" spans="1:18" ht="14.25" customHeight="1" x14ac:dyDescent="0.35">
      <c r="A906" s="38" t="s">
        <v>109</v>
      </c>
      <c r="B906" s="38" t="s">
        <v>2773</v>
      </c>
      <c r="C906" s="38"/>
      <c r="D906" s="38" t="s">
        <v>1613</v>
      </c>
      <c r="E906" s="44" t="str">
        <f>IFERROR(VLOOKUP(D906,EQUIPOS!A:B,2,FALSE()),"?")</f>
        <v>Hormigonera De 150 Litros 1hp Con Rueda Maciza</v>
      </c>
      <c r="F906" s="44"/>
      <c r="G906" s="45">
        <v>0.5</v>
      </c>
      <c r="H906" s="46">
        <v>0</v>
      </c>
      <c r="I906" s="47">
        <f>IFERROR(VLOOKUP(D906,EQUIPOS!A:F,6,FALSE()),0)</f>
        <v>957.25319614994726</v>
      </c>
      <c r="J906" s="42">
        <f>G906*I906</f>
        <v>478.62659807497363</v>
      </c>
      <c r="K906" s="15" t="str">
        <f t="shared" si="106"/>
        <v>PTO-0407|EQ</v>
      </c>
      <c r="L906" s="15">
        <f>COUNTIFS($K$2:K906,K906)</f>
        <v>3</v>
      </c>
      <c r="M906" s="15" t="str">
        <f t="shared" si="107"/>
        <v>PTO-0407|EQ|3</v>
      </c>
      <c r="N906" s="47">
        <f>IFERROR(VLOOKUP(A906,PARTIDAS!A:F,6,FALSE()),0)</f>
        <v>7</v>
      </c>
      <c r="O906" s="247">
        <f t="shared" si="108"/>
        <v>0.5</v>
      </c>
      <c r="P906" s="247">
        <f>+_xlfn.XLOOKUP(A906,PPTO_GENERADOR!Q:Q,PPTO_GENERADOR!E:E,"-",0)</f>
        <v>193</v>
      </c>
      <c r="Q906" s="247">
        <f t="shared" si="109"/>
        <v>96.5</v>
      </c>
      <c r="R906" s="259">
        <f>+_xlfn.XLOOKUP(A906,PPTO_GENERADOR!$Q:$Q,PPTO_GENERADOR!A:A,"-",0)</f>
        <v>4.07</v>
      </c>
    </row>
    <row r="907" spans="1:18" ht="14.25" customHeight="1" x14ac:dyDescent="0.35">
      <c r="A907" s="38" t="s">
        <v>109</v>
      </c>
      <c r="B907" s="38" t="s">
        <v>2774</v>
      </c>
      <c r="C907" s="38" t="s">
        <v>2775</v>
      </c>
      <c r="D907" s="38" t="s">
        <v>611</v>
      </c>
      <c r="E907" s="44" t="str">
        <f>IFERROR(VLOOKUP(D907,MATERIALES!A:B,2,FALSE()),"?")</f>
        <v>Barra de Acero Aleteado - 6mm x 12m</v>
      </c>
      <c r="F907" s="44" t="str">
        <f>IFERROR(VLOOKUP(D907,MATERIALES!A:C,3,FALSE()),"?")</f>
        <v>u</v>
      </c>
      <c r="G907" s="45">
        <v>4.2500000000000003E-2</v>
      </c>
      <c r="H907" s="46">
        <v>0.1</v>
      </c>
      <c r="I907" s="47">
        <f>IFERROR(VLOOKUP(D907,MATERIALES!A:D,4,FALSE()),0)</f>
        <v>3424.53</v>
      </c>
      <c r="J907" s="42">
        <f t="shared" ref="J907:J912" si="110">G907*I907*(1+H907)</f>
        <v>160.09677750000003</v>
      </c>
      <c r="K907" s="15" t="str">
        <f t="shared" si="106"/>
        <v>PTO-0407|MAT</v>
      </c>
      <c r="L907" s="15">
        <f>COUNTIFS($K$2:K907,K907)</f>
        <v>1</v>
      </c>
      <c r="M907" s="15" t="str">
        <f t="shared" si="107"/>
        <v>PTO-0407|MAT|1</v>
      </c>
      <c r="N907" s="47">
        <f>IFERROR(VLOOKUP(A907,PARTIDAS!A:F,6,FALSE()),0)</f>
        <v>7</v>
      </c>
      <c r="O907" s="247">
        <f t="shared" si="108"/>
        <v>4.2500000000000003E-2</v>
      </c>
      <c r="P907" s="247">
        <f>+_xlfn.XLOOKUP(A907,PPTO_GENERADOR!Q:Q,PPTO_GENERADOR!E:E,"-",0)</f>
        <v>193</v>
      </c>
      <c r="Q907" s="247">
        <f t="shared" si="109"/>
        <v>8.2025000000000006</v>
      </c>
      <c r="R907" s="259">
        <f>+_xlfn.XLOOKUP(A907,PPTO_GENERADOR!$Q:$Q,PPTO_GENERADOR!A:A,"-",0)</f>
        <v>4.07</v>
      </c>
    </row>
    <row r="908" spans="1:18" ht="14.25" customHeight="1" x14ac:dyDescent="0.35">
      <c r="A908" s="38" t="s">
        <v>109</v>
      </c>
      <c r="B908" s="38" t="s">
        <v>2774</v>
      </c>
      <c r="C908" s="38" t="s">
        <v>2775</v>
      </c>
      <c r="D908" s="38" t="s">
        <v>588</v>
      </c>
      <c r="E908" s="44" t="str">
        <f>IFERROR(VLOOKUP(D908,MATERIALES!A:B,2,FALSE()),"?")</f>
        <v>ARENA LAVADA</v>
      </c>
      <c r="F908" s="44" t="str">
        <f>IFERROR(VLOOKUP(D908,MATERIALES!A:C,3,FALSE()),"?")</f>
        <v>m3</v>
      </c>
      <c r="G908" s="45">
        <v>8.7500000000000008E-3</v>
      </c>
      <c r="H908" s="46">
        <v>0.1</v>
      </c>
      <c r="I908" s="47">
        <f>IFERROR(VLOOKUP(D908,MATERIALES!A:D,4,FALSE()),0)</f>
        <v>32399.77</v>
      </c>
      <c r="J908" s="42">
        <f t="shared" si="110"/>
        <v>311.84778625000007</v>
      </c>
      <c r="K908" s="15" t="str">
        <f t="shared" si="106"/>
        <v>PTO-0407|MAT</v>
      </c>
      <c r="L908" s="15">
        <f>COUNTIFS($K$2:K908,K908)</f>
        <v>2</v>
      </c>
      <c r="M908" s="15" t="str">
        <f t="shared" si="107"/>
        <v>PTO-0407|MAT|2</v>
      </c>
      <c r="N908" s="47">
        <f>IFERROR(VLOOKUP(A908,PARTIDAS!A:F,6,FALSE()),0)</f>
        <v>7</v>
      </c>
      <c r="O908" s="247">
        <f t="shared" si="108"/>
        <v>8.7500000000000008E-3</v>
      </c>
      <c r="P908" s="247">
        <f>+_xlfn.XLOOKUP(A908,PPTO_GENERADOR!Q:Q,PPTO_GENERADOR!E:E,"-",0)</f>
        <v>193</v>
      </c>
      <c r="Q908" s="247">
        <f t="shared" si="109"/>
        <v>1.6887500000000002</v>
      </c>
      <c r="R908" s="259">
        <f>+_xlfn.XLOOKUP(A908,PPTO_GENERADOR!$Q:$Q,PPTO_GENERADOR!A:A,"-",0)</f>
        <v>4.07</v>
      </c>
    </row>
    <row r="909" spans="1:18" ht="14.25" customHeight="1" x14ac:dyDescent="0.35">
      <c r="A909" s="38" t="s">
        <v>109</v>
      </c>
      <c r="B909" s="38" t="s">
        <v>2774</v>
      </c>
      <c r="C909" s="38" t="s">
        <v>2775</v>
      </c>
      <c r="D909" s="38" t="s">
        <v>599</v>
      </c>
      <c r="E909" s="44" t="str">
        <f>IFERROR(VLOOKUP(D909,MATERIALES!A:B,2,FALSE()),"?")</f>
        <v>Cemento Portland x 50kg</v>
      </c>
      <c r="F909" s="44" t="str">
        <f>IFERROR(VLOOKUP(D909,MATERIALES!A:C,3,FALSE()),"?")</f>
        <v>Bol</v>
      </c>
      <c r="G909" s="45">
        <v>3.7499999999999999E-2</v>
      </c>
      <c r="H909" s="46">
        <v>0.1</v>
      </c>
      <c r="I909" s="47">
        <f>IFERROR(VLOOKUP(D909,MATERIALES!A:D,4,FALSE()),0)</f>
        <v>7809.48</v>
      </c>
      <c r="J909" s="42">
        <f t="shared" si="110"/>
        <v>322.14104999999995</v>
      </c>
      <c r="K909" s="15" t="str">
        <f t="shared" si="106"/>
        <v>PTO-0407|MAT</v>
      </c>
      <c r="L909" s="15">
        <f>COUNTIFS($K$2:K909,K909)</f>
        <v>3</v>
      </c>
      <c r="M909" s="15" t="str">
        <f t="shared" si="107"/>
        <v>PTO-0407|MAT|3</v>
      </c>
      <c r="N909" s="47">
        <f>IFERROR(VLOOKUP(A909,PARTIDAS!A:F,6,FALSE()),0)</f>
        <v>7</v>
      </c>
      <c r="O909" s="247">
        <f t="shared" si="108"/>
        <v>3.7499999999999999E-2</v>
      </c>
      <c r="P909" s="247">
        <f>+_xlfn.XLOOKUP(A909,PPTO_GENERADOR!Q:Q,PPTO_GENERADOR!E:E,"-",0)</f>
        <v>193</v>
      </c>
      <c r="Q909" s="247">
        <f t="shared" si="109"/>
        <v>7.2374999999999998</v>
      </c>
      <c r="R909" s="259">
        <f>+_xlfn.XLOOKUP(A909,PPTO_GENERADOR!$Q:$Q,PPTO_GENERADOR!A:A,"-",0)</f>
        <v>4.07</v>
      </c>
    </row>
    <row r="910" spans="1:18" ht="14.25" customHeight="1" x14ac:dyDescent="0.35">
      <c r="A910" s="38" t="s">
        <v>109</v>
      </c>
      <c r="B910" s="38" t="s">
        <v>2774</v>
      </c>
      <c r="C910" s="38" t="s">
        <v>2775</v>
      </c>
      <c r="D910" s="38" t="s">
        <v>604</v>
      </c>
      <c r="E910" s="44" t="str">
        <f>IFERROR(VLOOKUP(D910,MATERIALES!A:B,2,FALSE()),"?")</f>
        <v>Cal Comun x 25kg</v>
      </c>
      <c r="F910" s="44" t="str">
        <f>IFERROR(VLOOKUP(D910,MATERIALES!A:C,3,FALSE()),"?")</f>
        <v>bol</v>
      </c>
      <c r="G910" s="45">
        <v>7.4999999999999997E-2</v>
      </c>
      <c r="H910" s="46">
        <v>0.1</v>
      </c>
      <c r="I910" s="47">
        <f>IFERROR(VLOOKUP(D910,MATERIALES!A:D,4,FALSE()),0)</f>
        <v>3837.96</v>
      </c>
      <c r="J910" s="42">
        <f t="shared" si="110"/>
        <v>316.63170000000002</v>
      </c>
      <c r="K910" s="15" t="str">
        <f t="shared" si="106"/>
        <v>PTO-0407|MAT</v>
      </c>
      <c r="L910" s="15">
        <f>COUNTIFS($K$2:K910,K910)</f>
        <v>4</v>
      </c>
      <c r="M910" s="15" t="str">
        <f t="shared" si="107"/>
        <v>PTO-0407|MAT|4</v>
      </c>
      <c r="N910" s="47">
        <f>IFERROR(VLOOKUP(A910,PARTIDAS!A:F,6,FALSE()),0)</f>
        <v>7</v>
      </c>
      <c r="O910" s="247">
        <f t="shared" si="108"/>
        <v>7.4999999999999997E-2</v>
      </c>
      <c r="P910" s="247">
        <f>+_xlfn.XLOOKUP(A910,PPTO_GENERADOR!Q:Q,PPTO_GENERADOR!E:E,"-",0)</f>
        <v>193</v>
      </c>
      <c r="Q910" s="247">
        <f t="shared" si="109"/>
        <v>14.475</v>
      </c>
      <c r="R910" s="259">
        <f>+_xlfn.XLOOKUP(A910,PPTO_GENERADOR!$Q:$Q,PPTO_GENERADOR!A:A,"-",0)</f>
        <v>4.07</v>
      </c>
    </row>
    <row r="911" spans="1:18" ht="14.25" customHeight="1" x14ac:dyDescent="0.35">
      <c r="A911" s="38" t="s">
        <v>109</v>
      </c>
      <c r="B911" s="38" t="s">
        <v>2774</v>
      </c>
      <c r="C911" s="38" t="s">
        <v>2775</v>
      </c>
      <c r="D911" s="38" t="s">
        <v>640</v>
      </c>
      <c r="E911" s="44" t="str">
        <f>IFERROR(VLOOKUP(D911,MATERIALES!A:B,2,FALSE()),"?")</f>
        <v>Ladrillo Comun 12.5 x 5.5 x 25</v>
      </c>
      <c r="F911" s="44" t="str">
        <f>IFERROR(VLOOKUP(D911,MATERIALES!A:C,3,FALSE()),"?")</f>
        <v>u</v>
      </c>
      <c r="G911" s="45">
        <v>15</v>
      </c>
      <c r="H911" s="46">
        <v>0.05</v>
      </c>
      <c r="I911" s="47">
        <f>IFERROR(VLOOKUP(D911,MATERIALES!A:D,4,FALSE()),0)</f>
        <v>132.30000000000001</v>
      </c>
      <c r="J911" s="42">
        <f t="shared" si="110"/>
        <v>2083.7250000000004</v>
      </c>
      <c r="K911" s="15" t="str">
        <f t="shared" si="106"/>
        <v>PTO-0407|MAT</v>
      </c>
      <c r="L911" s="15">
        <f>COUNTIFS($K$2:K911,K911)</f>
        <v>5</v>
      </c>
      <c r="M911" s="15" t="str">
        <f t="shared" si="107"/>
        <v>PTO-0407|MAT|5</v>
      </c>
      <c r="N911" s="47">
        <f>IFERROR(VLOOKUP(A911,PARTIDAS!A:F,6,FALSE()),0)</f>
        <v>7</v>
      </c>
      <c r="O911" s="247">
        <f t="shared" si="108"/>
        <v>15</v>
      </c>
      <c r="P911" s="247">
        <f>+_xlfn.XLOOKUP(A911,PPTO_GENERADOR!Q:Q,PPTO_GENERADOR!E:E,"-",0)</f>
        <v>193</v>
      </c>
      <c r="Q911" s="247">
        <f t="shared" si="109"/>
        <v>2895</v>
      </c>
      <c r="R911" s="259">
        <f>+_xlfn.XLOOKUP(A911,PPTO_GENERADOR!$Q:$Q,PPTO_GENERADOR!A:A,"-",0)</f>
        <v>4.07</v>
      </c>
    </row>
    <row r="912" spans="1:18" ht="14.25" customHeight="1" x14ac:dyDescent="0.35">
      <c r="A912" s="38" t="s">
        <v>109</v>
      </c>
      <c r="B912" s="38" t="s">
        <v>2774</v>
      </c>
      <c r="C912" s="38" t="s">
        <v>2775</v>
      </c>
      <c r="D912" s="38" t="s">
        <v>1361</v>
      </c>
      <c r="E912" s="44" t="str">
        <f>IFERROR(VLOOKUP(D912,MATERIALES!A:B,2,FALSE()),"?")</f>
        <v>Consumibles</v>
      </c>
      <c r="F912" s="44" t="str">
        <f>IFERROR(VLOOKUP(D912,MATERIALES!A:C,3,FALSE()),"?")</f>
        <v>gl</v>
      </c>
      <c r="G912" s="45">
        <v>32.902755831625001</v>
      </c>
      <c r="H912" s="46">
        <v>0</v>
      </c>
      <c r="I912" s="47">
        <f>IFERROR(VLOOKUP(D912,MATERIALES!A:D,4,FALSE()),0)</f>
        <v>1</v>
      </c>
      <c r="J912" s="42">
        <f t="shared" si="110"/>
        <v>32.902755831625001</v>
      </c>
      <c r="K912" s="15" t="str">
        <f t="shared" si="106"/>
        <v>PTO-0407|MAT</v>
      </c>
      <c r="L912" s="15">
        <f>COUNTIFS($K$2:K912,K912)</f>
        <v>6</v>
      </c>
      <c r="M912" s="15" t="str">
        <f t="shared" si="107"/>
        <v>PTO-0407|MAT|6</v>
      </c>
      <c r="N912" s="47">
        <f>IFERROR(VLOOKUP(A912,PARTIDAS!A:F,6,FALSE()),0)</f>
        <v>7</v>
      </c>
      <c r="O912" s="247">
        <f t="shared" si="108"/>
        <v>32.902755831625001</v>
      </c>
      <c r="P912" s="247">
        <f>+_xlfn.XLOOKUP(A912,PPTO_GENERADOR!Q:Q,PPTO_GENERADOR!E:E,"-",0)</f>
        <v>193</v>
      </c>
      <c r="Q912" s="247">
        <f t="shared" si="109"/>
        <v>6350.2318755036249</v>
      </c>
      <c r="R912" s="259">
        <f>+_xlfn.XLOOKUP(A912,PPTO_GENERADOR!$Q:$Q,PPTO_GENERADOR!A:A,"-",0)</f>
        <v>4.07</v>
      </c>
    </row>
    <row r="913" spans="1:18" ht="14.25" customHeight="1" x14ac:dyDescent="0.35">
      <c r="A913" s="38" t="s">
        <v>109</v>
      </c>
      <c r="B913" s="38" t="s">
        <v>2776</v>
      </c>
      <c r="C913" s="38" t="s">
        <v>2777</v>
      </c>
      <c r="D913" s="237" t="s">
        <v>1577</v>
      </c>
      <c r="E913" s="44" t="str">
        <f>IFERROR(VLOOKUP(D913,MANO_DE_OBRA!A:B,2,FALSE()),"?")</f>
        <v>AYUDANTE</v>
      </c>
      <c r="F913" s="44" t="s">
        <v>2778</v>
      </c>
      <c r="G913" s="45">
        <v>0.5</v>
      </c>
      <c r="H913" s="46">
        <v>0</v>
      </c>
      <c r="I913" s="47">
        <f>IFERROR(VLOOKUP(D913,MANO_DE_OBRA!A:C,3,FALSE()),0)</f>
        <v>60860.580776572002</v>
      </c>
      <c r="J913" s="42">
        <f>G913*I913</f>
        <v>30430.290388286001</v>
      </c>
      <c r="K913" s="15" t="str">
        <f t="shared" si="106"/>
        <v>PTO-0407|MO</v>
      </c>
      <c r="L913" s="15">
        <f>COUNTIFS($K$2:K913,K913)</f>
        <v>1</v>
      </c>
      <c r="M913" s="15" t="str">
        <f t="shared" si="107"/>
        <v>PTO-0407|MO|1</v>
      </c>
      <c r="N913" s="47">
        <f>IFERROR(VLOOKUP(A913,PARTIDAS!A:F,6,FALSE()),0)</f>
        <v>7</v>
      </c>
      <c r="O913" s="247">
        <f t="shared" si="108"/>
        <v>7.1428571428571425E-2</v>
      </c>
      <c r="P913" s="247">
        <f>+_xlfn.XLOOKUP(A913,PPTO_GENERADOR!Q:Q,PPTO_GENERADOR!E:E,"-",0)</f>
        <v>193</v>
      </c>
      <c r="Q913" s="247">
        <f t="shared" si="109"/>
        <v>13.785714285714285</v>
      </c>
      <c r="R913" s="259">
        <f>+_xlfn.XLOOKUP(A913,PPTO_GENERADOR!$Q:$Q,PPTO_GENERADOR!A:A,"-",0)</f>
        <v>4.07</v>
      </c>
    </row>
    <row r="914" spans="1:18" ht="14.25" customHeight="1" x14ac:dyDescent="0.35">
      <c r="A914" s="38" t="s">
        <v>109</v>
      </c>
      <c r="B914" s="38" t="s">
        <v>2776</v>
      </c>
      <c r="C914" s="38" t="s">
        <v>2777</v>
      </c>
      <c r="D914" s="237" t="s">
        <v>1568</v>
      </c>
      <c r="E914" s="44" t="str">
        <f>IFERROR(VLOOKUP(D914,MANO_DE_OBRA!A:B,2,FALSE()),"?")</f>
        <v>ESPECIALIZADO</v>
      </c>
      <c r="F914" s="44" t="s">
        <v>2778</v>
      </c>
      <c r="G914" s="45">
        <v>0.5</v>
      </c>
      <c r="H914" s="46">
        <v>0</v>
      </c>
      <c r="I914" s="47">
        <f>IFERROR(VLOOKUP(D914,MANO_DE_OBRA!A:C,3,FALSE()),0)</f>
        <v>85927.097156571996</v>
      </c>
      <c r="J914" s="42">
        <f>G914*I914</f>
        <v>42963.548578285998</v>
      </c>
      <c r="K914" s="15" t="str">
        <f t="shared" si="106"/>
        <v>PTO-0407|MO</v>
      </c>
      <c r="L914" s="15">
        <f>COUNTIFS($K$2:K914,K914)</f>
        <v>2</v>
      </c>
      <c r="M914" s="15" t="str">
        <f t="shared" si="107"/>
        <v>PTO-0407|MO|2</v>
      </c>
      <c r="N914" s="47">
        <f>IFERROR(VLOOKUP(A914,PARTIDAS!A:F,6,FALSE()),0)</f>
        <v>7</v>
      </c>
      <c r="O914" s="247">
        <f t="shared" si="108"/>
        <v>7.1428571428571425E-2</v>
      </c>
      <c r="P914" s="247">
        <f>+_xlfn.XLOOKUP(A914,PPTO_GENERADOR!Q:Q,PPTO_GENERADOR!E:E,"-",0)</f>
        <v>193</v>
      </c>
      <c r="Q914" s="247">
        <f t="shared" si="109"/>
        <v>13.785714285714285</v>
      </c>
      <c r="R914" s="259">
        <f>+_xlfn.XLOOKUP(A914,PPTO_GENERADOR!$Q:$Q,PPTO_GENERADOR!A:A,"-",0)</f>
        <v>4.07</v>
      </c>
    </row>
    <row r="915" spans="1:18" ht="14.25" customHeight="1" x14ac:dyDescent="0.35">
      <c r="A915" s="38" t="s">
        <v>111</v>
      </c>
      <c r="B915" s="38" t="s">
        <v>2773</v>
      </c>
      <c r="C915" s="38"/>
      <c r="D915" s="38" t="s">
        <v>1788</v>
      </c>
      <c r="E915" s="44" t="str">
        <f>IFERROR(VLOOKUP(D915,EQUIPOS!A:B,2,FALSE()),"?")</f>
        <v>Herramientas menores y consumibles - Cordón de hormigón en umbrales carpinterías</v>
      </c>
      <c r="F915" s="44"/>
      <c r="G915" s="45">
        <v>1</v>
      </c>
      <c r="H915" s="46">
        <v>0</v>
      </c>
      <c r="I915" s="47">
        <f>IFERROR(VLOOKUP(D915,EQUIPOS!A:F,6,FALSE()),0)</f>
        <v>316.88644749976697</v>
      </c>
      <c r="J915" s="42">
        <f>G915*I915</f>
        <v>316.88644749976697</v>
      </c>
      <c r="K915" s="15" t="str">
        <f t="shared" si="106"/>
        <v>PTO-0408|EQ</v>
      </c>
      <c r="L915" s="15">
        <f>COUNTIFS($K$2:K915,K915)</f>
        <v>1</v>
      </c>
      <c r="M915" s="15" t="str">
        <f t="shared" si="107"/>
        <v>PTO-0408|EQ|1</v>
      </c>
      <c r="N915" s="47">
        <f>IFERROR(VLOOKUP(A915,PARTIDAS!A:F,6,FALSE()),0)</f>
        <v>1</v>
      </c>
      <c r="O915" s="247">
        <f t="shared" si="108"/>
        <v>1</v>
      </c>
      <c r="P915" s="247">
        <f>+_xlfn.XLOOKUP(A915,PPTO_GENERADOR!Q:Q,PPTO_GENERADOR!E:E,"-",0)</f>
        <v>61</v>
      </c>
      <c r="Q915" s="247">
        <f t="shared" si="109"/>
        <v>61</v>
      </c>
      <c r="R915" s="259">
        <f>+_xlfn.XLOOKUP(A915,PPTO_GENERADOR!$Q:$Q,PPTO_GENERADOR!A:A,"-",0)</f>
        <v>4.08</v>
      </c>
    </row>
    <row r="916" spans="1:18" ht="14.25" customHeight="1" x14ac:dyDescent="0.35">
      <c r="A916" s="38" t="s">
        <v>111</v>
      </c>
      <c r="B916" s="38" t="s">
        <v>2774</v>
      </c>
      <c r="C916" s="38" t="s">
        <v>2779</v>
      </c>
      <c r="D916" s="38" t="s">
        <v>1361</v>
      </c>
      <c r="E916" s="44" t="str">
        <f>IFERROR(VLOOKUP(D916,MATERIALES!A:B,2,FALSE()),"?")</f>
        <v>Consumibles</v>
      </c>
      <c r="F916" s="44" t="str">
        <f>IFERROR(VLOOKUP(D916,MATERIALES!A:C,3,FALSE()),"?")</f>
        <v>gl</v>
      </c>
      <c r="G916" s="45">
        <v>1391.9845</v>
      </c>
      <c r="H916" s="46">
        <v>0</v>
      </c>
      <c r="I916" s="47">
        <f>IFERROR(VLOOKUP(D916,MATERIALES!A:D,4,FALSE()),0)</f>
        <v>1</v>
      </c>
      <c r="J916" s="42">
        <f>G916*I916*(1+H916)</f>
        <v>1391.9845</v>
      </c>
      <c r="K916" s="15" t="str">
        <f t="shared" si="106"/>
        <v>PTO-0408|MAT</v>
      </c>
      <c r="L916" s="15">
        <f>COUNTIFS($K$2:K916,K916)</f>
        <v>1</v>
      </c>
      <c r="M916" s="15" t="str">
        <f t="shared" si="107"/>
        <v>PTO-0408|MAT|1</v>
      </c>
      <c r="N916" s="47">
        <f>IFERROR(VLOOKUP(A916,PARTIDAS!A:F,6,FALSE()),0)</f>
        <v>1</v>
      </c>
      <c r="O916" s="247">
        <f t="shared" si="108"/>
        <v>1391.9845</v>
      </c>
      <c r="P916" s="247">
        <f>+_xlfn.XLOOKUP(A916,PPTO_GENERADOR!Q:Q,PPTO_GENERADOR!E:E,"-",0)</f>
        <v>61</v>
      </c>
      <c r="Q916" s="247">
        <f t="shared" si="109"/>
        <v>84911.054499999998</v>
      </c>
      <c r="R916" s="259">
        <f>+_xlfn.XLOOKUP(A916,PPTO_GENERADOR!$Q:$Q,PPTO_GENERADOR!A:A,"-",0)</f>
        <v>4.08</v>
      </c>
    </row>
    <row r="917" spans="1:18" ht="14.25" customHeight="1" x14ac:dyDescent="0.35">
      <c r="A917" s="38" t="s">
        <v>111</v>
      </c>
      <c r="B917" s="38" t="s">
        <v>2774</v>
      </c>
      <c r="C917" s="38" t="s">
        <v>2775</v>
      </c>
      <c r="D917" s="38" t="s">
        <v>1108</v>
      </c>
      <c r="E917" s="44" t="str">
        <f>IFERROR(VLOOKUP(D917,MATERIALES!A:B,2,FALSE()),"?")</f>
        <v>Hierro del 6</v>
      </c>
      <c r="F917" s="44" t="str">
        <f>IFERROR(VLOOKUP(D917,MATERIALES!A:C,3,FALSE()),"?")</f>
        <v>kg</v>
      </c>
      <c r="G917" s="45">
        <v>0.9</v>
      </c>
      <c r="H917" s="46">
        <v>0</v>
      </c>
      <c r="I917" s="47">
        <f>IFERROR(VLOOKUP(D917,MATERIALES!A:D,4,FALSE()),0)</f>
        <v>1704.41</v>
      </c>
      <c r="J917" s="42">
        <f>G917*I917*(1+H917)</f>
        <v>1533.9690000000001</v>
      </c>
      <c r="K917" s="15" t="str">
        <f t="shared" si="106"/>
        <v>PTO-0408|MAT</v>
      </c>
      <c r="L917" s="15">
        <f>COUNTIFS($K$2:K917,K917)</f>
        <v>2</v>
      </c>
      <c r="M917" s="15" t="str">
        <f t="shared" si="107"/>
        <v>PTO-0408|MAT|2</v>
      </c>
      <c r="N917" s="47">
        <f>IFERROR(VLOOKUP(A917,PARTIDAS!A:F,6,FALSE()),0)</f>
        <v>1</v>
      </c>
      <c r="O917" s="247">
        <f t="shared" si="108"/>
        <v>0.9</v>
      </c>
      <c r="P917" s="247">
        <f>+_xlfn.XLOOKUP(A917,PPTO_GENERADOR!Q:Q,PPTO_GENERADOR!E:E,"-",0)</f>
        <v>61</v>
      </c>
      <c r="Q917" s="247">
        <f t="shared" si="109"/>
        <v>54.9</v>
      </c>
      <c r="R917" s="259">
        <f>+_xlfn.XLOOKUP(A917,PPTO_GENERADOR!$Q:$Q,PPTO_GENERADOR!A:A,"-",0)</f>
        <v>4.08</v>
      </c>
    </row>
    <row r="918" spans="1:18" ht="14.25" customHeight="1" x14ac:dyDescent="0.35">
      <c r="A918" s="38" t="s">
        <v>111</v>
      </c>
      <c r="B918" s="38" t="s">
        <v>2774</v>
      </c>
      <c r="C918" s="38" t="s">
        <v>2775</v>
      </c>
      <c r="D918" s="38" t="s">
        <v>1154</v>
      </c>
      <c r="E918" s="44" t="str">
        <f>IFERROR(VLOOKUP(D918,MATERIALES!A:B,2,FALSE()),"?")</f>
        <v>H30 6.20</v>
      </c>
      <c r="F918" s="44" t="str">
        <f>IFERROR(VLOOKUP(D918,MATERIALES!A:C,3,FALSE()),"?")</f>
        <v>m3</v>
      </c>
      <c r="G918" s="45">
        <v>0.01</v>
      </c>
      <c r="H918" s="46">
        <v>0</v>
      </c>
      <c r="I918" s="47">
        <f>IFERROR(VLOOKUP(D918,MATERIALES!A:D,4,FALSE()),0)</f>
        <v>125000</v>
      </c>
      <c r="J918" s="42">
        <f>G918*I918*(1+H918)</f>
        <v>1250</v>
      </c>
      <c r="K918" s="15" t="str">
        <f t="shared" si="106"/>
        <v>PTO-0408|MAT</v>
      </c>
      <c r="L918" s="15">
        <f>COUNTIFS($K$2:K918,K918)</f>
        <v>3</v>
      </c>
      <c r="M918" s="15" t="str">
        <f t="shared" si="107"/>
        <v>PTO-0408|MAT|3</v>
      </c>
      <c r="N918" s="47">
        <f>IFERROR(VLOOKUP(A918,PARTIDAS!A:F,6,FALSE()),0)</f>
        <v>1</v>
      </c>
      <c r="O918" s="247">
        <f t="shared" si="108"/>
        <v>0.01</v>
      </c>
      <c r="P918" s="247">
        <f>+_xlfn.XLOOKUP(A918,PPTO_GENERADOR!Q:Q,PPTO_GENERADOR!E:E,"-",0)</f>
        <v>61</v>
      </c>
      <c r="Q918" s="247">
        <f t="shared" si="109"/>
        <v>0.61</v>
      </c>
      <c r="R918" s="259">
        <f>+_xlfn.XLOOKUP(A918,PPTO_GENERADOR!$Q:$Q,PPTO_GENERADOR!A:A,"-",0)</f>
        <v>4.08</v>
      </c>
    </row>
    <row r="919" spans="1:18" ht="14.25" customHeight="1" x14ac:dyDescent="0.35">
      <c r="A919" s="38" t="s">
        <v>111</v>
      </c>
      <c r="B919" s="38" t="s">
        <v>2774</v>
      </c>
      <c r="C919" s="38" t="s">
        <v>2775</v>
      </c>
      <c r="D919" s="38" t="s">
        <v>1157</v>
      </c>
      <c r="E919" s="44" t="str">
        <f>IFERROR(VLOOKUP(D919,MATERIALES!A:B,2,FALSE()),"?")</f>
        <v>Taco quimico</v>
      </c>
      <c r="F919" s="44" t="str">
        <f>IFERROR(VLOOKUP(D919,MATERIALES!A:C,3,FALSE()),"?")</f>
        <v>u</v>
      </c>
      <c r="G919" s="45">
        <v>8.1967213114754106E-2</v>
      </c>
      <c r="H919" s="46">
        <v>0</v>
      </c>
      <c r="I919" s="47">
        <f>IFERROR(VLOOKUP(D919,MATERIALES!A:D,4,FALSE()),0)</f>
        <v>60000</v>
      </c>
      <c r="J919" s="42">
        <f>G919*I919*(1+H919)</f>
        <v>4918.0327868852464</v>
      </c>
      <c r="K919" s="15" t="str">
        <f t="shared" si="106"/>
        <v>PTO-0408|MAT</v>
      </c>
      <c r="L919" s="15">
        <f>COUNTIFS($K$2:K919,K919)</f>
        <v>4</v>
      </c>
      <c r="M919" s="15" t="str">
        <f t="shared" si="107"/>
        <v>PTO-0408|MAT|4</v>
      </c>
      <c r="N919" s="47">
        <f>IFERROR(VLOOKUP(A919,PARTIDAS!A:F,6,FALSE()),0)</f>
        <v>1</v>
      </c>
      <c r="O919" s="247">
        <f t="shared" si="108"/>
        <v>8.1967213114754106E-2</v>
      </c>
      <c r="P919" s="247">
        <f>+_xlfn.XLOOKUP(A919,PPTO_GENERADOR!Q:Q,PPTO_GENERADOR!E:E,"-",0)</f>
        <v>61</v>
      </c>
      <c r="Q919" s="247">
        <f t="shared" si="109"/>
        <v>5.0000000000000009</v>
      </c>
      <c r="R919" s="259">
        <f>+_xlfn.XLOOKUP(A919,PPTO_GENERADOR!$Q:$Q,PPTO_GENERADOR!A:A,"-",0)</f>
        <v>4.08</v>
      </c>
    </row>
    <row r="920" spans="1:18" ht="14.25" customHeight="1" x14ac:dyDescent="0.35">
      <c r="A920" s="38" t="s">
        <v>111</v>
      </c>
      <c r="B920" s="38" t="s">
        <v>2776</v>
      </c>
      <c r="C920" s="38" t="s">
        <v>2777</v>
      </c>
      <c r="D920" s="38" t="s">
        <v>1577</v>
      </c>
      <c r="E920" s="44" t="str">
        <f>IFERROR(VLOOKUP(D920,MANO_DE_OBRA!A:B,2,FALSE()),"?")</f>
        <v>AYUDANTE</v>
      </c>
      <c r="F920" s="44" t="s">
        <v>2778</v>
      </c>
      <c r="G920" s="45">
        <v>8.1967213114754106E-2</v>
      </c>
      <c r="H920" s="46">
        <v>0</v>
      </c>
      <c r="I920" s="47">
        <f>IFERROR(VLOOKUP(D920,MANO_DE_OBRA!A:C,3,FALSE()),0)</f>
        <v>60860.580776572002</v>
      </c>
      <c r="J920" s="42">
        <f>G920*I920</f>
        <v>4988.5721948009841</v>
      </c>
      <c r="K920" s="15" t="str">
        <f t="shared" si="106"/>
        <v>PTO-0408|MO</v>
      </c>
      <c r="L920" s="15">
        <f>COUNTIFS($K$2:K920,K920)</f>
        <v>1</v>
      </c>
      <c r="M920" s="15" t="str">
        <f t="shared" si="107"/>
        <v>PTO-0408|MO|1</v>
      </c>
      <c r="N920" s="47">
        <f>IFERROR(VLOOKUP(A920,PARTIDAS!A:F,6,FALSE()),0)</f>
        <v>1</v>
      </c>
      <c r="O920" s="247">
        <f t="shared" si="108"/>
        <v>8.1967213114754106E-2</v>
      </c>
      <c r="P920" s="247">
        <f>+_xlfn.XLOOKUP(A920,PPTO_GENERADOR!Q:Q,PPTO_GENERADOR!E:E,"-",0)</f>
        <v>61</v>
      </c>
      <c r="Q920" s="247">
        <f t="shared" si="109"/>
        <v>5.0000000000000009</v>
      </c>
      <c r="R920" s="259">
        <f>+_xlfn.XLOOKUP(A920,PPTO_GENERADOR!$Q:$Q,PPTO_GENERADOR!A:A,"-",0)</f>
        <v>4.08</v>
      </c>
    </row>
    <row r="921" spans="1:18" ht="14.25" customHeight="1" x14ac:dyDescent="0.35">
      <c r="A921" s="38" t="s">
        <v>111</v>
      </c>
      <c r="B921" s="38" t="s">
        <v>2776</v>
      </c>
      <c r="C921" s="38" t="s">
        <v>2777</v>
      </c>
      <c r="D921" s="237" t="s">
        <v>1568</v>
      </c>
      <c r="E921" s="44" t="str">
        <f>IFERROR(VLOOKUP(D921,MANO_DE_OBRA!A:B,2,FALSE()),"?")</f>
        <v>ESPECIALIZADO</v>
      </c>
      <c r="F921" s="44" t="s">
        <v>2778</v>
      </c>
      <c r="G921" s="45">
        <v>8.1967213114754106E-2</v>
      </c>
      <c r="H921" s="46">
        <v>0</v>
      </c>
      <c r="I921" s="47">
        <f>IFERROR(VLOOKUP(D921,MANO_DE_OBRA!A:C,3,FALSE()),0)</f>
        <v>85927.097156571996</v>
      </c>
      <c r="J921" s="42">
        <f>G921*I921</f>
        <v>7043.2046849649187</v>
      </c>
      <c r="K921" s="15" t="str">
        <f t="shared" si="106"/>
        <v>PTO-0408|MO</v>
      </c>
      <c r="L921" s="15">
        <f>COUNTIFS($K$2:K921,K921)</f>
        <v>2</v>
      </c>
      <c r="M921" s="15" t="str">
        <f t="shared" si="107"/>
        <v>PTO-0408|MO|2</v>
      </c>
      <c r="N921" s="47">
        <f>IFERROR(VLOOKUP(A921,PARTIDAS!A:F,6,FALSE()),0)</f>
        <v>1</v>
      </c>
      <c r="O921" s="247">
        <f t="shared" si="108"/>
        <v>8.1967213114754106E-2</v>
      </c>
      <c r="P921" s="247">
        <f>+_xlfn.XLOOKUP(A921,PPTO_GENERADOR!Q:Q,PPTO_GENERADOR!E:E,"-",0)</f>
        <v>61</v>
      </c>
      <c r="Q921" s="247">
        <f t="shared" si="109"/>
        <v>5.0000000000000009</v>
      </c>
      <c r="R921" s="259">
        <f>+_xlfn.XLOOKUP(A921,PPTO_GENERADOR!$Q:$Q,PPTO_GENERADOR!A:A,"-",0)</f>
        <v>4.08</v>
      </c>
    </row>
    <row r="922" spans="1:18" ht="14.25" customHeight="1" x14ac:dyDescent="0.35">
      <c r="A922" s="38" t="s">
        <v>113</v>
      </c>
      <c r="B922" s="38" t="s">
        <v>2773</v>
      </c>
      <c r="C922" s="38"/>
      <c r="D922" s="38" t="s">
        <v>1791</v>
      </c>
      <c r="E922" s="44" t="str">
        <f>IFERROR(VLOOKUP(D922,EQUIPOS!A:B,2,FALSE()),"?")</f>
        <v xml:space="preserve">Herramientas menores y consumibles - Banquina Sala tanque de bombeo </v>
      </c>
      <c r="F922" s="44"/>
      <c r="G922" s="45">
        <v>1</v>
      </c>
      <c r="H922" s="46">
        <v>0</v>
      </c>
      <c r="I922" s="47">
        <f>IFERROR(VLOOKUP(D922,EQUIPOS!A:F,6,FALSE()),0)</f>
        <v>3113.9806362981599</v>
      </c>
      <c r="J922" s="42">
        <f>G922*I922</f>
        <v>3113.9806362981599</v>
      </c>
      <c r="K922" s="15" t="str">
        <f t="shared" si="106"/>
        <v>PTO-0409|EQ</v>
      </c>
      <c r="L922" s="15">
        <f>COUNTIFS($K$2:K922,K922)</f>
        <v>1</v>
      </c>
      <c r="M922" s="15" t="str">
        <f t="shared" si="107"/>
        <v>PTO-0409|EQ|1</v>
      </c>
      <c r="N922" s="47">
        <f>IFERROR(VLOOKUP(A922,PARTIDAS!A:F,6,FALSE()),0)</f>
        <v>1</v>
      </c>
      <c r="O922" s="247">
        <f t="shared" si="108"/>
        <v>1</v>
      </c>
      <c r="P922" s="247">
        <f>+_xlfn.XLOOKUP(A922,PPTO_GENERADOR!Q:Q,PPTO_GENERADOR!E:E,"-",0)</f>
        <v>1</v>
      </c>
      <c r="Q922" s="247">
        <f t="shared" si="109"/>
        <v>1</v>
      </c>
      <c r="R922" s="259">
        <f>+_xlfn.XLOOKUP(A922,PPTO_GENERADOR!$Q:$Q,PPTO_GENERADOR!A:A,"-",0)</f>
        <v>4.09</v>
      </c>
    </row>
    <row r="923" spans="1:18" ht="14.25" customHeight="1" x14ac:dyDescent="0.35">
      <c r="A923" s="38" t="s">
        <v>113</v>
      </c>
      <c r="B923" s="38" t="s">
        <v>2774</v>
      </c>
      <c r="C923" s="38" t="s">
        <v>2779</v>
      </c>
      <c r="D923" s="38" t="s">
        <v>1361</v>
      </c>
      <c r="E923" s="44" t="str">
        <f>IFERROR(VLOOKUP(D923,MATERIALES!A:B,2,FALSE()),"?")</f>
        <v>Consumibles</v>
      </c>
      <c r="F923" s="44" t="str">
        <f>IFERROR(VLOOKUP(D923,MATERIALES!A:C,3,FALSE()),"?")</f>
        <v>gl</v>
      </c>
      <c r="G923" s="45">
        <v>10135.171858899999</v>
      </c>
      <c r="H923" s="46">
        <v>0</v>
      </c>
      <c r="I923" s="47">
        <f>IFERROR(VLOOKUP(D923,MATERIALES!A:D,4,FALSE()),0)</f>
        <v>1</v>
      </c>
      <c r="J923" s="42">
        <f>G923*I923*(1+H923)</f>
        <v>10135.171858899999</v>
      </c>
      <c r="K923" s="15" t="str">
        <f t="shared" si="106"/>
        <v>PTO-0409|MAT</v>
      </c>
      <c r="L923" s="15">
        <f>COUNTIFS($K$2:K923,K923)</f>
        <v>1</v>
      </c>
      <c r="M923" s="15" t="str">
        <f t="shared" si="107"/>
        <v>PTO-0409|MAT|1</v>
      </c>
      <c r="N923" s="47">
        <f>IFERROR(VLOOKUP(A923,PARTIDAS!A:F,6,FALSE()),0)</f>
        <v>1</v>
      </c>
      <c r="O923" s="247">
        <f t="shared" si="108"/>
        <v>10135.171858899999</v>
      </c>
      <c r="P923" s="247">
        <f>+_xlfn.XLOOKUP(A923,PPTO_GENERADOR!Q:Q,PPTO_GENERADOR!E:E,"-",0)</f>
        <v>1</v>
      </c>
      <c r="Q923" s="247">
        <f t="shared" si="109"/>
        <v>10135.171858899999</v>
      </c>
      <c r="R923" s="259">
        <f>+_xlfn.XLOOKUP(A923,PPTO_GENERADOR!$Q:$Q,PPTO_GENERADOR!A:A,"-",0)</f>
        <v>4.09</v>
      </c>
    </row>
    <row r="924" spans="1:18" ht="14.25" customHeight="1" x14ac:dyDescent="0.35">
      <c r="A924" s="38" t="s">
        <v>113</v>
      </c>
      <c r="B924" s="38" t="s">
        <v>2774</v>
      </c>
      <c r="C924" s="38" t="s">
        <v>2779</v>
      </c>
      <c r="D924" s="38" t="s">
        <v>1159</v>
      </c>
      <c r="E924" s="44" t="str">
        <f>IFERROR(VLOOKUP(D924,MATERIALES!A:B,2,FALSE()),"?")</f>
        <v xml:space="preserve">Contrapiso </v>
      </c>
      <c r="F924" s="44" t="str">
        <f>IFERROR(VLOOKUP(D924,MATERIALES!A:C,3,FALSE()),"?")</f>
        <v>m3</v>
      </c>
      <c r="G924" s="45">
        <v>0.5</v>
      </c>
      <c r="H924" s="46">
        <v>0</v>
      </c>
      <c r="I924" s="47">
        <f>IFERROR(VLOOKUP(D924,MATERIALES!A:D,4,FALSE()),0)</f>
        <v>67465.638888999994</v>
      </c>
      <c r="J924" s="42">
        <f>G924*I924*(1+H924)</f>
        <v>33732.819444499997</v>
      </c>
      <c r="K924" s="15" t="str">
        <f t="shared" si="106"/>
        <v>PTO-0409|MAT</v>
      </c>
      <c r="L924" s="15">
        <f>COUNTIFS($K$2:K924,K924)</f>
        <v>2</v>
      </c>
      <c r="M924" s="15" t="str">
        <f t="shared" si="107"/>
        <v>PTO-0409|MAT|2</v>
      </c>
      <c r="N924" s="47">
        <f>IFERROR(VLOOKUP(A924,PARTIDAS!A:F,6,FALSE()),0)</f>
        <v>1</v>
      </c>
      <c r="O924" s="247">
        <f t="shared" si="108"/>
        <v>0.5</v>
      </c>
      <c r="P924" s="247">
        <f>+_xlfn.XLOOKUP(A924,PPTO_GENERADOR!Q:Q,PPTO_GENERADOR!E:E,"-",0)</f>
        <v>1</v>
      </c>
      <c r="Q924" s="247">
        <f t="shared" si="109"/>
        <v>0.5</v>
      </c>
      <c r="R924" s="259">
        <f>+_xlfn.XLOOKUP(A924,PPTO_GENERADOR!$Q:$Q,PPTO_GENERADOR!A:A,"-",0)</f>
        <v>4.09</v>
      </c>
    </row>
    <row r="925" spans="1:18" ht="14.25" customHeight="1" x14ac:dyDescent="0.35">
      <c r="A925" s="38" t="s">
        <v>113</v>
      </c>
      <c r="B925" s="38" t="s">
        <v>2774</v>
      </c>
      <c r="C925" s="38" t="s">
        <v>2779</v>
      </c>
      <c r="D925" s="38" t="s">
        <v>1162</v>
      </c>
      <c r="E925" s="44" t="str">
        <f>IFERROR(VLOOKUP(D925,MATERIALES!A:B,2,FALSE()),"?")</f>
        <v>Carpeta</v>
      </c>
      <c r="F925" s="44" t="str">
        <f>IFERROR(VLOOKUP(D925,MATERIALES!A:C,3,FALSE()),"?")</f>
        <v>m2</v>
      </c>
      <c r="G925" s="45">
        <v>5</v>
      </c>
      <c r="H925" s="46">
        <v>0</v>
      </c>
      <c r="I925" s="47">
        <f>IFERROR(VLOOKUP(D925,MATERIALES!A:D,4,FALSE()),0)</f>
        <v>3388.60797</v>
      </c>
      <c r="J925" s="42">
        <f>G925*I925*(1+H925)</f>
        <v>16943.039850000001</v>
      </c>
      <c r="K925" s="15" t="str">
        <f t="shared" si="106"/>
        <v>PTO-0409|MAT</v>
      </c>
      <c r="L925" s="15">
        <f>COUNTIFS($K$2:K925,K925)</f>
        <v>3</v>
      </c>
      <c r="M925" s="15" t="str">
        <f t="shared" si="107"/>
        <v>PTO-0409|MAT|3</v>
      </c>
      <c r="N925" s="47">
        <f>IFERROR(VLOOKUP(A925,PARTIDAS!A:F,6,FALSE()),0)</f>
        <v>1</v>
      </c>
      <c r="O925" s="247">
        <f t="shared" si="108"/>
        <v>5</v>
      </c>
      <c r="P925" s="247">
        <f>+_xlfn.XLOOKUP(A925,PPTO_GENERADOR!Q:Q,PPTO_GENERADOR!E:E,"-",0)</f>
        <v>1</v>
      </c>
      <c r="Q925" s="247">
        <f t="shared" si="109"/>
        <v>5</v>
      </c>
      <c r="R925" s="259">
        <f>+_xlfn.XLOOKUP(A925,PPTO_GENERADOR!$Q:$Q,PPTO_GENERADOR!A:A,"-",0)</f>
        <v>4.09</v>
      </c>
    </row>
    <row r="926" spans="1:18" ht="14.25" customHeight="1" x14ac:dyDescent="0.35">
      <c r="A926" s="38" t="s">
        <v>113</v>
      </c>
      <c r="B926" s="38" t="s">
        <v>2776</v>
      </c>
      <c r="C926" s="38" t="s">
        <v>2777</v>
      </c>
      <c r="D926" s="38" t="s">
        <v>1577</v>
      </c>
      <c r="E926" s="44" t="str">
        <f>IFERROR(VLOOKUP(D926,MANO_DE_OBRA!A:B,2,FALSE()),"?")</f>
        <v>AYUDANTE</v>
      </c>
      <c r="F926" s="44" t="s">
        <v>2778</v>
      </c>
      <c r="G926" s="45">
        <v>1</v>
      </c>
      <c r="H926" s="46">
        <v>0</v>
      </c>
      <c r="I926" s="47">
        <f>IFERROR(VLOOKUP(D926,MANO_DE_OBRA!A:C,3,FALSE()),0)</f>
        <v>60860.580776572002</v>
      </c>
      <c r="J926" s="42">
        <f>G926*I926</f>
        <v>60860.580776572002</v>
      </c>
      <c r="K926" s="15" t="str">
        <f t="shared" si="106"/>
        <v>PTO-0409|MO</v>
      </c>
      <c r="L926" s="15">
        <f>COUNTIFS($K$2:K926,K926)</f>
        <v>1</v>
      </c>
      <c r="M926" s="15" t="str">
        <f t="shared" si="107"/>
        <v>PTO-0409|MO|1</v>
      </c>
      <c r="N926" s="47">
        <f>IFERROR(VLOOKUP(A926,PARTIDAS!A:F,6,FALSE()),0)</f>
        <v>1</v>
      </c>
      <c r="O926" s="247">
        <f t="shared" si="108"/>
        <v>1</v>
      </c>
      <c r="P926" s="247">
        <f>+_xlfn.XLOOKUP(A926,PPTO_GENERADOR!Q:Q,PPTO_GENERADOR!E:E,"-",0)</f>
        <v>1</v>
      </c>
      <c r="Q926" s="247">
        <f t="shared" si="109"/>
        <v>1</v>
      </c>
      <c r="R926" s="259">
        <f>+_xlfn.XLOOKUP(A926,PPTO_GENERADOR!$Q:$Q,PPTO_GENERADOR!A:A,"-",0)</f>
        <v>4.09</v>
      </c>
    </row>
    <row r="927" spans="1:18" ht="14.25" customHeight="1" x14ac:dyDescent="0.35">
      <c r="A927" s="38" t="s">
        <v>113</v>
      </c>
      <c r="B927" s="38" t="s">
        <v>2776</v>
      </c>
      <c r="C927" s="38" t="s">
        <v>2777</v>
      </c>
      <c r="D927" s="237" t="s">
        <v>1568</v>
      </c>
      <c r="E927" s="44" t="str">
        <f>IFERROR(VLOOKUP(D927,MANO_DE_OBRA!A:B,2,FALSE()),"?")</f>
        <v>ESPECIALIZADO</v>
      </c>
      <c r="F927" s="44" t="s">
        <v>2778</v>
      </c>
      <c r="G927" s="45">
        <v>1</v>
      </c>
      <c r="H927" s="46">
        <v>0</v>
      </c>
      <c r="I927" s="47">
        <f>IFERROR(VLOOKUP(D927,MANO_DE_OBRA!A:C,3,FALSE()),0)</f>
        <v>85927.097156571996</v>
      </c>
      <c r="J927" s="42">
        <f>G927*I927</f>
        <v>85927.097156571996</v>
      </c>
      <c r="K927" s="15" t="str">
        <f t="shared" si="106"/>
        <v>PTO-0409|MO</v>
      </c>
      <c r="L927" s="15">
        <f>COUNTIFS($K$2:K927,K927)</f>
        <v>2</v>
      </c>
      <c r="M927" s="15" t="str">
        <f t="shared" si="107"/>
        <v>PTO-0409|MO|2</v>
      </c>
      <c r="N927" s="47">
        <f>IFERROR(VLOOKUP(A927,PARTIDAS!A:F,6,FALSE()),0)</f>
        <v>1</v>
      </c>
      <c r="O927" s="247">
        <f t="shared" si="108"/>
        <v>1</v>
      </c>
      <c r="P927" s="247">
        <f>+_xlfn.XLOOKUP(A927,PPTO_GENERADOR!Q:Q,PPTO_GENERADOR!E:E,"-",0)</f>
        <v>1</v>
      </c>
      <c r="Q927" s="247">
        <f t="shared" si="109"/>
        <v>1</v>
      </c>
      <c r="R927" s="259">
        <f>+_xlfn.XLOOKUP(A927,PPTO_GENERADOR!$Q:$Q,PPTO_GENERADOR!A:A,"-",0)</f>
        <v>4.09</v>
      </c>
    </row>
    <row r="928" spans="1:18" ht="14.25" customHeight="1" x14ac:dyDescent="0.35">
      <c r="A928" s="38" t="s">
        <v>115</v>
      </c>
      <c r="B928" s="38" t="s">
        <v>2773</v>
      </c>
      <c r="C928" s="38"/>
      <c r="D928" s="38" t="s">
        <v>1794</v>
      </c>
      <c r="E928" s="44" t="str">
        <f>IFERROR(VLOOKUP(D928,EQUIPOS!A:B,2,FALSE()),"?")</f>
        <v>Herramientas menores y consumibles - Banquina en parrillas</v>
      </c>
      <c r="F928" s="44"/>
      <c r="G928" s="45">
        <v>1</v>
      </c>
      <c r="H928" s="46">
        <v>0</v>
      </c>
      <c r="I928" s="47">
        <f>IFERROR(VLOOKUP(D928,EQUIPOS!A:F,6,FALSE()),0)</f>
        <v>8884.4798329444802</v>
      </c>
      <c r="J928" s="42">
        <f>G928*I928</f>
        <v>8884.4798329444802</v>
      </c>
      <c r="K928" s="15" t="str">
        <f t="shared" si="106"/>
        <v>PTO-0410|EQ</v>
      </c>
      <c r="L928" s="15">
        <f>COUNTIFS($K$2:K928,K928)</f>
        <v>1</v>
      </c>
      <c r="M928" s="15" t="str">
        <f t="shared" si="107"/>
        <v>PTO-0410|EQ|1</v>
      </c>
      <c r="N928" s="47">
        <f>IFERROR(VLOOKUP(A928,PARTIDAS!A:F,6,FALSE()),0)</f>
        <v>1</v>
      </c>
      <c r="O928" s="247">
        <f t="shared" si="108"/>
        <v>1</v>
      </c>
      <c r="P928" s="247">
        <f>+_xlfn.XLOOKUP(A928,PPTO_GENERADOR!Q:Q,PPTO_GENERADOR!E:E,"-",0)</f>
        <v>1</v>
      </c>
      <c r="Q928" s="247">
        <f t="shared" si="109"/>
        <v>1</v>
      </c>
      <c r="R928" s="259">
        <f>+_xlfn.XLOOKUP(A928,PPTO_GENERADOR!$Q:$Q,PPTO_GENERADOR!A:A,"-",0)</f>
        <v>4.0999999999999996</v>
      </c>
    </row>
    <row r="929" spans="1:18" ht="14.25" customHeight="1" x14ac:dyDescent="0.35">
      <c r="A929" s="38" t="s">
        <v>115</v>
      </c>
      <c r="B929" s="38" t="s">
        <v>2774</v>
      </c>
      <c r="C929" s="38" t="s">
        <v>2779</v>
      </c>
      <c r="D929" s="38" t="s">
        <v>1361</v>
      </c>
      <c r="E929" s="44" t="str">
        <f>IFERROR(VLOOKUP(D929,MATERIALES!A:B,2,FALSE()),"?")</f>
        <v>Consumibles</v>
      </c>
      <c r="F929" s="44" t="str">
        <f>IFERROR(VLOOKUP(D929,MATERIALES!A:C,3,FALSE()),"?")</f>
        <v>gl</v>
      </c>
      <c r="G929" s="45">
        <v>50645.2072434</v>
      </c>
      <c r="H929" s="46">
        <v>0</v>
      </c>
      <c r="I929" s="47">
        <f>IFERROR(VLOOKUP(D929,MATERIALES!A:D,4,FALSE()),0)</f>
        <v>1</v>
      </c>
      <c r="J929" s="42">
        <f>G929*I929*(1+H929)</f>
        <v>50645.2072434</v>
      </c>
      <c r="K929" s="15" t="str">
        <f t="shared" si="106"/>
        <v>PTO-0410|MAT</v>
      </c>
      <c r="L929" s="15">
        <f>COUNTIFS($K$2:K929,K929)</f>
        <v>1</v>
      </c>
      <c r="M929" s="15" t="str">
        <f t="shared" si="107"/>
        <v>PTO-0410|MAT|1</v>
      </c>
      <c r="N929" s="47">
        <f>IFERROR(VLOOKUP(A929,PARTIDAS!A:F,6,FALSE()),0)</f>
        <v>1</v>
      </c>
      <c r="O929" s="247">
        <f t="shared" si="108"/>
        <v>50645.2072434</v>
      </c>
      <c r="P929" s="247">
        <f>+_xlfn.XLOOKUP(A929,PPTO_GENERADOR!Q:Q,PPTO_GENERADOR!E:E,"-",0)</f>
        <v>1</v>
      </c>
      <c r="Q929" s="247">
        <f t="shared" si="109"/>
        <v>50645.2072434</v>
      </c>
      <c r="R929" s="259">
        <f>+_xlfn.XLOOKUP(A929,PPTO_GENERADOR!$Q:$Q,PPTO_GENERADOR!A:A,"-",0)</f>
        <v>4.0999999999999996</v>
      </c>
    </row>
    <row r="930" spans="1:18" ht="14.25" customHeight="1" x14ac:dyDescent="0.35">
      <c r="A930" s="38" t="s">
        <v>115</v>
      </c>
      <c r="B930" s="38" t="s">
        <v>2774</v>
      </c>
      <c r="C930" s="38" t="s">
        <v>2779</v>
      </c>
      <c r="D930" s="38" t="s">
        <v>1159</v>
      </c>
      <c r="E930" s="44" t="str">
        <f>IFERROR(VLOOKUP(D930,MATERIALES!A:B,2,FALSE()),"?")</f>
        <v xml:space="preserve">Contrapiso </v>
      </c>
      <c r="F930" s="44" t="str">
        <f>IFERROR(VLOOKUP(D930,MATERIALES!A:C,3,FALSE()),"?")</f>
        <v>m3</v>
      </c>
      <c r="G930" s="45">
        <v>1.2</v>
      </c>
      <c r="H930" s="46">
        <v>0</v>
      </c>
      <c r="I930" s="47">
        <f>IFERROR(VLOOKUP(D930,MATERIALES!A:D,4,FALSE()),0)</f>
        <v>67465.638888999994</v>
      </c>
      <c r="J930" s="42">
        <f>G930*I930*(1+H930)</f>
        <v>80958.766666799987</v>
      </c>
      <c r="K930" s="15" t="str">
        <f t="shared" si="106"/>
        <v>PTO-0410|MAT</v>
      </c>
      <c r="L930" s="15">
        <f>COUNTIFS($K$2:K930,K930)</f>
        <v>2</v>
      </c>
      <c r="M930" s="15" t="str">
        <f t="shared" si="107"/>
        <v>PTO-0410|MAT|2</v>
      </c>
      <c r="N930" s="47">
        <f>IFERROR(VLOOKUP(A930,PARTIDAS!A:F,6,FALSE()),0)</f>
        <v>1</v>
      </c>
      <c r="O930" s="247">
        <f t="shared" si="108"/>
        <v>1.2</v>
      </c>
      <c r="P930" s="247">
        <f>+_xlfn.XLOOKUP(A930,PPTO_GENERADOR!Q:Q,PPTO_GENERADOR!E:E,"-",0)</f>
        <v>1</v>
      </c>
      <c r="Q930" s="247">
        <f t="shared" si="109"/>
        <v>1.2</v>
      </c>
      <c r="R930" s="259">
        <f>+_xlfn.XLOOKUP(A930,PPTO_GENERADOR!$Q:$Q,PPTO_GENERADOR!A:A,"-",0)</f>
        <v>4.0999999999999996</v>
      </c>
    </row>
    <row r="931" spans="1:18" ht="14.25" customHeight="1" x14ac:dyDescent="0.35">
      <c r="A931" s="38" t="s">
        <v>115</v>
      </c>
      <c r="B931" s="38" t="s">
        <v>2774</v>
      </c>
      <c r="C931" s="38" t="s">
        <v>2779</v>
      </c>
      <c r="D931" s="38" t="s">
        <v>1162</v>
      </c>
      <c r="E931" s="44" t="str">
        <f>IFERROR(VLOOKUP(D931,MATERIALES!A:B,2,FALSE()),"?")</f>
        <v>Carpeta</v>
      </c>
      <c r="F931" s="44" t="str">
        <f>IFERROR(VLOOKUP(D931,MATERIALES!A:C,3,FALSE()),"?")</f>
        <v>m2</v>
      </c>
      <c r="G931" s="45">
        <v>6</v>
      </c>
      <c r="H931" s="46">
        <v>0</v>
      </c>
      <c r="I931" s="47">
        <f>IFERROR(VLOOKUP(D931,MATERIALES!A:D,4,FALSE()),0)</f>
        <v>3388.60797</v>
      </c>
      <c r="J931" s="42">
        <f>G931*I931*(1+H931)</f>
        <v>20331.647819999998</v>
      </c>
      <c r="K931" s="15" t="str">
        <f t="shared" si="106"/>
        <v>PTO-0410|MAT</v>
      </c>
      <c r="L931" s="15">
        <f>COUNTIFS($K$2:K931,K931)</f>
        <v>3</v>
      </c>
      <c r="M931" s="15" t="str">
        <f t="shared" si="107"/>
        <v>PTO-0410|MAT|3</v>
      </c>
      <c r="N931" s="47">
        <f>IFERROR(VLOOKUP(A931,PARTIDAS!A:F,6,FALSE()),0)</f>
        <v>1</v>
      </c>
      <c r="O931" s="247">
        <f t="shared" si="108"/>
        <v>6</v>
      </c>
      <c r="P931" s="247">
        <f>+_xlfn.XLOOKUP(A931,PPTO_GENERADOR!Q:Q,PPTO_GENERADOR!E:E,"-",0)</f>
        <v>1</v>
      </c>
      <c r="Q931" s="247">
        <f t="shared" si="109"/>
        <v>6</v>
      </c>
      <c r="R931" s="259">
        <f>+_xlfn.XLOOKUP(A931,PPTO_GENERADOR!$Q:$Q,PPTO_GENERADOR!A:A,"-",0)</f>
        <v>4.0999999999999996</v>
      </c>
    </row>
    <row r="932" spans="1:18" ht="14.25" customHeight="1" x14ac:dyDescent="0.35">
      <c r="A932" s="38" t="s">
        <v>115</v>
      </c>
      <c r="B932" s="38" t="s">
        <v>2776</v>
      </c>
      <c r="C932" s="38" t="s">
        <v>2777</v>
      </c>
      <c r="D932" s="38" t="s">
        <v>1577</v>
      </c>
      <c r="E932" s="44" t="str">
        <f>IFERROR(VLOOKUP(D932,MANO_DE_OBRA!A:B,2,FALSE()),"?")</f>
        <v>AYUDANTE</v>
      </c>
      <c r="F932" s="44" t="s">
        <v>2778</v>
      </c>
      <c r="G932" s="45">
        <v>3</v>
      </c>
      <c r="H932" s="46">
        <v>0</v>
      </c>
      <c r="I932" s="47">
        <f>IFERROR(VLOOKUP(D932,MANO_DE_OBRA!A:C,3,FALSE()),0)</f>
        <v>60860.580776572002</v>
      </c>
      <c r="J932" s="42">
        <f>G932*I932</f>
        <v>182581.74232971601</v>
      </c>
      <c r="K932" s="15" t="str">
        <f t="shared" si="106"/>
        <v>PTO-0410|MO</v>
      </c>
      <c r="L932" s="15">
        <f>COUNTIFS($K$2:K932,K932)</f>
        <v>1</v>
      </c>
      <c r="M932" s="15" t="str">
        <f t="shared" si="107"/>
        <v>PTO-0410|MO|1</v>
      </c>
      <c r="N932" s="47">
        <f>IFERROR(VLOOKUP(A932,PARTIDAS!A:F,6,FALSE()),0)</f>
        <v>1</v>
      </c>
      <c r="O932" s="247">
        <f t="shared" si="108"/>
        <v>3</v>
      </c>
      <c r="P932" s="247">
        <f>+_xlfn.XLOOKUP(A932,PPTO_GENERADOR!Q:Q,PPTO_GENERADOR!E:E,"-",0)</f>
        <v>1</v>
      </c>
      <c r="Q932" s="247">
        <f t="shared" si="109"/>
        <v>3</v>
      </c>
      <c r="R932" s="259">
        <f>+_xlfn.XLOOKUP(A932,PPTO_GENERADOR!$Q:$Q,PPTO_GENERADOR!A:A,"-",0)</f>
        <v>4.0999999999999996</v>
      </c>
    </row>
    <row r="933" spans="1:18" ht="14.25" customHeight="1" x14ac:dyDescent="0.35">
      <c r="A933" s="38" t="s">
        <v>115</v>
      </c>
      <c r="B933" s="38" t="s">
        <v>2776</v>
      </c>
      <c r="C933" s="38" t="s">
        <v>2777</v>
      </c>
      <c r="D933" s="237" t="s">
        <v>1568</v>
      </c>
      <c r="E933" s="44" t="str">
        <f>IFERROR(VLOOKUP(D933,MANO_DE_OBRA!A:B,2,FALSE()),"?")</f>
        <v>ESPECIALIZADO</v>
      </c>
      <c r="F933" s="44" t="s">
        <v>2778</v>
      </c>
      <c r="G933" s="45">
        <v>3</v>
      </c>
      <c r="H933" s="46">
        <v>0</v>
      </c>
      <c r="I933" s="47">
        <f>IFERROR(VLOOKUP(D933,MANO_DE_OBRA!A:C,3,FALSE()),0)</f>
        <v>85927.097156571996</v>
      </c>
      <c r="J933" s="42">
        <f>G933*I933</f>
        <v>257781.291469716</v>
      </c>
      <c r="K933" s="15" t="str">
        <f t="shared" si="106"/>
        <v>PTO-0410|MO</v>
      </c>
      <c r="L933" s="15">
        <f>COUNTIFS($K$2:K933,K933)</f>
        <v>2</v>
      </c>
      <c r="M933" s="15" t="str">
        <f t="shared" si="107"/>
        <v>PTO-0410|MO|2</v>
      </c>
      <c r="N933" s="47">
        <f>IFERROR(VLOOKUP(A933,PARTIDAS!A:F,6,FALSE()),0)</f>
        <v>1</v>
      </c>
      <c r="O933" s="247">
        <f t="shared" si="108"/>
        <v>3</v>
      </c>
      <c r="P933" s="247">
        <f>+_xlfn.XLOOKUP(A933,PPTO_GENERADOR!Q:Q,PPTO_GENERADOR!E:E,"-",0)</f>
        <v>1</v>
      </c>
      <c r="Q933" s="247">
        <f t="shared" si="109"/>
        <v>3</v>
      </c>
      <c r="R933" s="259">
        <f>+_xlfn.XLOOKUP(A933,PPTO_GENERADOR!$Q:$Q,PPTO_GENERADOR!A:A,"-",0)</f>
        <v>4.0999999999999996</v>
      </c>
    </row>
    <row r="934" spans="1:18" ht="14.25" customHeight="1" x14ac:dyDescent="0.35">
      <c r="A934" s="38" t="s">
        <v>117</v>
      </c>
      <c r="B934" s="38" t="s">
        <v>2773</v>
      </c>
      <c r="C934" s="38"/>
      <c r="D934" s="38" t="s">
        <v>1797</v>
      </c>
      <c r="E934" s="44" t="str">
        <f>IFERROR(VLOOKUP(D934,EQUIPOS!A:B,2,FALSE()),"?")</f>
        <v>Herramientas menores y consumibles - Excavación y amurado con Hº tanque de recuperación</v>
      </c>
      <c r="F934" s="44"/>
      <c r="G934" s="45">
        <v>1</v>
      </c>
      <c r="H934" s="46">
        <v>0</v>
      </c>
      <c r="I934" s="47">
        <f>IFERROR(VLOOKUP(D934,EQUIPOS!A:F,6,FALSE()),0)</f>
        <v>5824.1957555443196</v>
      </c>
      <c r="J934" s="42">
        <f>G934*I934</f>
        <v>5824.1957555443196</v>
      </c>
      <c r="K934" s="15" t="str">
        <f t="shared" si="106"/>
        <v>PTO-0411|EQ</v>
      </c>
      <c r="L934" s="15">
        <f>COUNTIFS($K$2:K934,K934)</f>
        <v>1</v>
      </c>
      <c r="M934" s="15" t="str">
        <f t="shared" si="107"/>
        <v>PTO-0411|EQ|1</v>
      </c>
      <c r="N934" s="47">
        <f>IFERROR(VLOOKUP(A934,PARTIDAS!A:F,6,FALSE()),0)</f>
        <v>1</v>
      </c>
      <c r="O934" s="247">
        <f t="shared" si="108"/>
        <v>1</v>
      </c>
      <c r="P934" s="247">
        <f>+_xlfn.XLOOKUP(A934,PPTO_GENERADOR!Q:Q,PPTO_GENERADOR!E:E,"-",0)</f>
        <v>1</v>
      </c>
      <c r="Q934" s="247">
        <f t="shared" si="109"/>
        <v>1</v>
      </c>
      <c r="R934" s="259">
        <f>+_xlfn.XLOOKUP(A934,PPTO_GENERADOR!$Q:$Q,PPTO_GENERADOR!A:A,"-",0)</f>
        <v>4.1100000000000003</v>
      </c>
    </row>
    <row r="935" spans="1:18" ht="14.25" customHeight="1" x14ac:dyDescent="0.35">
      <c r="A935" s="38" t="s">
        <v>117</v>
      </c>
      <c r="B935" s="38" t="s">
        <v>2774</v>
      </c>
      <c r="C935" s="38" t="s">
        <v>2779</v>
      </c>
      <c r="D935" s="38" t="s">
        <v>1164</v>
      </c>
      <c r="E935" s="44" t="str">
        <f>IFERROR(VLOOKUP(D935,MATERIALES!A:B,2,FALSE()),"?")</f>
        <v>HªAª</v>
      </c>
      <c r="F935" s="44" t="str">
        <f>IFERROR(VLOOKUP(D935,MATERIALES!A:C,3,FALSE()),"?")</f>
        <v>m3</v>
      </c>
      <c r="G935" s="45">
        <v>0.75</v>
      </c>
      <c r="H935" s="46">
        <v>0</v>
      </c>
      <c r="I935" s="47">
        <f>IFERROR(VLOOKUP(D935,MATERIALES!A:D,4,FALSE()),0)</f>
        <v>125000</v>
      </c>
      <c r="J935" s="42">
        <f>G935*I935*(1+H935)</f>
        <v>93750</v>
      </c>
      <c r="K935" s="15" t="str">
        <f t="shared" si="106"/>
        <v>PTO-0411|MAT</v>
      </c>
      <c r="L935" s="15">
        <f>COUNTIFS($K$2:K935,K935)</f>
        <v>1</v>
      </c>
      <c r="M935" s="15" t="str">
        <f t="shared" si="107"/>
        <v>PTO-0411|MAT|1</v>
      </c>
      <c r="N935" s="47">
        <f>IFERROR(VLOOKUP(A935,PARTIDAS!A:F,6,FALSE()),0)</f>
        <v>1</v>
      </c>
      <c r="O935" s="247">
        <f t="shared" si="108"/>
        <v>0.75</v>
      </c>
      <c r="P935" s="247">
        <f>+_xlfn.XLOOKUP(A935,PPTO_GENERADOR!Q:Q,PPTO_GENERADOR!E:E,"-",0)</f>
        <v>1</v>
      </c>
      <c r="Q935" s="247">
        <f t="shared" si="109"/>
        <v>0.75</v>
      </c>
      <c r="R935" s="259">
        <f>+_xlfn.XLOOKUP(A935,PPTO_GENERADOR!$Q:$Q,PPTO_GENERADOR!A:A,"-",0)</f>
        <v>4.1100000000000003</v>
      </c>
    </row>
    <row r="936" spans="1:18" ht="14.25" customHeight="1" x14ac:dyDescent="0.35">
      <c r="A936" s="38" t="s">
        <v>117</v>
      </c>
      <c r="B936" s="38" t="s">
        <v>2774</v>
      </c>
      <c r="C936" s="38" t="s">
        <v>2779</v>
      </c>
      <c r="D936" s="38" t="s">
        <v>1167</v>
      </c>
      <c r="E936" s="44" t="str">
        <f>IFERROR(VLOOKUP(D936,MATERIALES!A:B,2,FALSE()),"?")</f>
        <v xml:space="preserve">Malla </v>
      </c>
      <c r="F936" s="44" t="str">
        <f>IFERROR(VLOOKUP(D936,MATERIALES!A:C,3,FALSE()),"?")</f>
        <v>u</v>
      </c>
      <c r="G936" s="45">
        <v>0.5</v>
      </c>
      <c r="H936" s="46">
        <v>0</v>
      </c>
      <c r="I936" s="47">
        <f>IFERROR(VLOOKUP(D936,MATERIALES!A:D,4,FALSE()),0)</f>
        <v>69985.789999999994</v>
      </c>
      <c r="J936" s="42">
        <f>G936*I936*(1+H936)</f>
        <v>34992.894999999997</v>
      </c>
      <c r="K936" s="15" t="str">
        <f t="shared" si="106"/>
        <v>PTO-0411|MAT</v>
      </c>
      <c r="L936" s="15">
        <f>COUNTIFS($K$2:K936,K936)</f>
        <v>2</v>
      </c>
      <c r="M936" s="15" t="str">
        <f t="shared" si="107"/>
        <v>PTO-0411|MAT|2</v>
      </c>
      <c r="N936" s="47">
        <f>IFERROR(VLOOKUP(A936,PARTIDAS!A:F,6,FALSE()),0)</f>
        <v>1</v>
      </c>
      <c r="O936" s="247">
        <f t="shared" si="108"/>
        <v>0.5</v>
      </c>
      <c r="P936" s="247">
        <f>+_xlfn.XLOOKUP(A936,PPTO_GENERADOR!Q:Q,PPTO_GENERADOR!E:E,"-",0)</f>
        <v>1</v>
      </c>
      <c r="Q936" s="247">
        <f t="shared" si="109"/>
        <v>0.5</v>
      </c>
      <c r="R936" s="259">
        <f>+_xlfn.XLOOKUP(A936,PPTO_GENERADOR!$Q:$Q,PPTO_GENERADOR!A:A,"-",0)</f>
        <v>4.1100000000000003</v>
      </c>
    </row>
    <row r="937" spans="1:18" ht="14.25" customHeight="1" x14ac:dyDescent="0.35">
      <c r="A937" s="38" t="s">
        <v>117</v>
      </c>
      <c r="B937" s="38" t="s">
        <v>2776</v>
      </c>
      <c r="C937" s="38" t="s">
        <v>2777</v>
      </c>
      <c r="D937" s="38" t="s">
        <v>1577</v>
      </c>
      <c r="E937" s="44" t="str">
        <f>IFERROR(VLOOKUP(D937,MANO_DE_OBRA!A:B,2,FALSE()),"?")</f>
        <v>AYUDANTE</v>
      </c>
      <c r="F937" s="44" t="s">
        <v>2778</v>
      </c>
      <c r="G937" s="45">
        <v>3</v>
      </c>
      <c r="H937" s="46">
        <v>0</v>
      </c>
      <c r="I937" s="47">
        <f>IFERROR(VLOOKUP(D937,MANO_DE_OBRA!A:C,3,FALSE()),0)</f>
        <v>60860.580776572002</v>
      </c>
      <c r="J937" s="42">
        <f>G937*I937</f>
        <v>182581.74232971601</v>
      </c>
      <c r="K937" s="15" t="str">
        <f t="shared" si="106"/>
        <v>PTO-0411|MO</v>
      </c>
      <c r="L937" s="15">
        <f>COUNTIFS($K$2:K937,K937)</f>
        <v>1</v>
      </c>
      <c r="M937" s="15" t="str">
        <f t="shared" si="107"/>
        <v>PTO-0411|MO|1</v>
      </c>
      <c r="N937" s="47">
        <f>IFERROR(VLOOKUP(A937,PARTIDAS!A:F,6,FALSE()),0)</f>
        <v>1</v>
      </c>
      <c r="O937" s="247">
        <f t="shared" si="108"/>
        <v>3</v>
      </c>
      <c r="P937" s="247">
        <f>+_xlfn.XLOOKUP(A937,PPTO_GENERADOR!Q:Q,PPTO_GENERADOR!E:E,"-",0)</f>
        <v>1</v>
      </c>
      <c r="Q937" s="247">
        <f t="shared" si="109"/>
        <v>3</v>
      </c>
      <c r="R937" s="259">
        <f>+_xlfn.XLOOKUP(A937,PPTO_GENERADOR!$Q:$Q,PPTO_GENERADOR!A:A,"-",0)</f>
        <v>4.1100000000000003</v>
      </c>
    </row>
    <row r="938" spans="1:18" ht="14.25" customHeight="1" x14ac:dyDescent="0.35">
      <c r="A938" s="38" t="s">
        <v>117</v>
      </c>
      <c r="B938" s="38" t="s">
        <v>2776</v>
      </c>
      <c r="C938" s="38" t="s">
        <v>2777</v>
      </c>
      <c r="D938" s="237" t="s">
        <v>1571</v>
      </c>
      <c r="E938" s="44" t="str">
        <f>IFERROR(VLOOKUP(D938,MANO_DE_OBRA!A:B,2,FALSE()),"?")</f>
        <v>OFICIAL</v>
      </c>
      <c r="F938" s="44" t="s">
        <v>2778</v>
      </c>
      <c r="G938" s="45">
        <v>1</v>
      </c>
      <c r="H938" s="46">
        <v>0</v>
      </c>
      <c r="I938" s="47">
        <f>IFERROR(VLOOKUP(D938,MANO_DE_OBRA!A:C,3,FALSE()),0)</f>
        <v>76955.079706571996</v>
      </c>
      <c r="J938" s="42">
        <f>G938*I938</f>
        <v>76955.079706571996</v>
      </c>
      <c r="K938" s="15" t="str">
        <f t="shared" si="106"/>
        <v>PTO-0411|MO</v>
      </c>
      <c r="L938" s="15">
        <f>COUNTIFS($K$2:K938,K938)</f>
        <v>2</v>
      </c>
      <c r="M938" s="15" t="str">
        <f t="shared" si="107"/>
        <v>PTO-0411|MO|2</v>
      </c>
      <c r="N938" s="47">
        <f>IFERROR(VLOOKUP(A938,PARTIDAS!A:F,6,FALSE()),0)</f>
        <v>1</v>
      </c>
      <c r="O938" s="247">
        <f t="shared" si="108"/>
        <v>1</v>
      </c>
      <c r="P938" s="247">
        <f>+_xlfn.XLOOKUP(A938,PPTO_GENERADOR!Q:Q,PPTO_GENERADOR!E:E,"-",0)</f>
        <v>1</v>
      </c>
      <c r="Q938" s="247">
        <f t="shared" si="109"/>
        <v>1</v>
      </c>
      <c r="R938" s="259">
        <f>+_xlfn.XLOOKUP(A938,PPTO_GENERADOR!$Q:$Q,PPTO_GENERADOR!A:A,"-",0)</f>
        <v>4.1100000000000003</v>
      </c>
    </row>
    <row r="939" spans="1:18" ht="14.25" customHeight="1" x14ac:dyDescent="0.35">
      <c r="A939" s="38" t="s">
        <v>119</v>
      </c>
      <c r="B939" s="38" t="s">
        <v>2773</v>
      </c>
      <c r="C939" s="38"/>
      <c r="D939" s="38" t="s">
        <v>1800</v>
      </c>
      <c r="E939" s="44" t="str">
        <f>IFERROR(VLOOKUP(D939,EQUIPOS!A:B,2,FALSE()),"?")</f>
        <v>Herramientas menores y consumibles - Provisión y amurado de tapas de inspección para ta</v>
      </c>
      <c r="F939" s="44"/>
      <c r="G939" s="45">
        <v>1</v>
      </c>
      <c r="H939" s="46">
        <v>0</v>
      </c>
      <c r="I939" s="47">
        <f>IFERROR(VLOOKUP(D939,EQUIPOS!A:F,6,FALSE()),0)</f>
        <v>2636.7249339025002</v>
      </c>
      <c r="J939" s="42">
        <f>G939*I939</f>
        <v>2636.7249339025002</v>
      </c>
      <c r="K939" s="15" t="str">
        <f t="shared" si="106"/>
        <v>PTO-0412|EQ</v>
      </c>
      <c r="L939" s="15">
        <f>COUNTIFS($K$2:K939,K939)</f>
        <v>1</v>
      </c>
      <c r="M939" s="15" t="str">
        <f t="shared" si="107"/>
        <v>PTO-0412|EQ|1</v>
      </c>
      <c r="N939" s="47">
        <f>IFERROR(VLOOKUP(A939,PARTIDAS!A:F,6,FALSE()),0)</f>
        <v>1</v>
      </c>
      <c r="O939" s="247">
        <f t="shared" si="108"/>
        <v>1</v>
      </c>
      <c r="P939" s="247">
        <f>+_xlfn.XLOOKUP(A939,PPTO_GENERADOR!Q:Q,PPTO_GENERADOR!E:E,"-",0)</f>
        <v>3</v>
      </c>
      <c r="Q939" s="247">
        <f t="shared" si="109"/>
        <v>3</v>
      </c>
      <c r="R939" s="259">
        <f>+_xlfn.XLOOKUP(A939,PPTO_GENERADOR!$Q:$Q,PPTO_GENERADOR!A:A,"-",0)</f>
        <v>4.12</v>
      </c>
    </row>
    <row r="940" spans="1:18" ht="14.25" customHeight="1" x14ac:dyDescent="0.35">
      <c r="A940" s="38" t="s">
        <v>119</v>
      </c>
      <c r="B940" s="38" t="s">
        <v>2774</v>
      </c>
      <c r="C940" s="38" t="s">
        <v>2775</v>
      </c>
      <c r="D940" s="38" t="s">
        <v>1169</v>
      </c>
      <c r="E940" s="44" t="str">
        <f>IFERROR(VLOOKUP(D940,MATERIALES!A:B,2,FALSE()),"?")</f>
        <v>Tapa Y Marco Para Tanque De Hormigón Poliéster 52 X 52 Cm</v>
      </c>
      <c r="F940" s="44" t="str">
        <f>IFERROR(VLOOKUP(D940,MATERIALES!A:C,3,FALSE()),"?")</f>
        <v>u</v>
      </c>
      <c r="G940" s="45">
        <v>1</v>
      </c>
      <c r="H940" s="46">
        <v>0</v>
      </c>
      <c r="I940" s="47">
        <f>IFERROR(VLOOKUP(D940,MATERIALES!A:D,4,FALSE()),0)</f>
        <v>121487.603305785</v>
      </c>
      <c r="J940" s="42">
        <f>G940*I940*(1+H940)</f>
        <v>121487.603305785</v>
      </c>
      <c r="K940" s="15" t="str">
        <f t="shared" si="106"/>
        <v>PTO-0412|MAT</v>
      </c>
      <c r="L940" s="15">
        <f>COUNTIFS($K$2:K940,K940)</f>
        <v>1</v>
      </c>
      <c r="M940" s="15" t="str">
        <f t="shared" si="107"/>
        <v>PTO-0412|MAT|1</v>
      </c>
      <c r="N940" s="47">
        <f>IFERROR(VLOOKUP(A940,PARTIDAS!A:F,6,FALSE()),0)</f>
        <v>1</v>
      </c>
      <c r="O940" s="247">
        <f t="shared" si="108"/>
        <v>1</v>
      </c>
      <c r="P940" s="247">
        <f>+_xlfn.XLOOKUP(A940,PPTO_GENERADOR!Q:Q,PPTO_GENERADOR!E:E,"-",0)</f>
        <v>3</v>
      </c>
      <c r="Q940" s="247">
        <f t="shared" si="109"/>
        <v>3</v>
      </c>
      <c r="R940" s="259">
        <f>+_xlfn.XLOOKUP(A940,PPTO_GENERADOR!$Q:$Q,PPTO_GENERADOR!A:A,"-",0)</f>
        <v>4.12</v>
      </c>
    </row>
    <row r="941" spans="1:18" ht="14.25" customHeight="1" x14ac:dyDescent="0.35">
      <c r="A941" s="38" t="s">
        <v>119</v>
      </c>
      <c r="B941" s="38" t="s">
        <v>2776</v>
      </c>
      <c r="C941" s="38" t="s">
        <v>2777</v>
      </c>
      <c r="D941" s="237" t="s">
        <v>1568</v>
      </c>
      <c r="E941" s="44" t="str">
        <f>IFERROR(VLOOKUP(D941,MANO_DE_OBRA!A:B,2,FALSE()),"?")</f>
        <v>ESPECIALIZADO</v>
      </c>
      <c r="F941" s="44" t="s">
        <v>2778</v>
      </c>
      <c r="G941" s="45">
        <v>0.33333333333333298</v>
      </c>
      <c r="H941" s="46">
        <v>0</v>
      </c>
      <c r="I941" s="47">
        <f>IFERROR(VLOOKUP(D941,MANO_DE_OBRA!A:C,3,FALSE()),0)</f>
        <v>85927.097156571996</v>
      </c>
      <c r="J941" s="42">
        <f>G941*I941</f>
        <v>28642.365718857302</v>
      </c>
      <c r="K941" s="15" t="str">
        <f t="shared" si="106"/>
        <v>PTO-0412|MO</v>
      </c>
      <c r="L941" s="15">
        <f>COUNTIFS($K$2:K941,K941)</f>
        <v>1</v>
      </c>
      <c r="M941" s="15" t="str">
        <f t="shared" si="107"/>
        <v>PTO-0412|MO|1</v>
      </c>
      <c r="N941" s="47">
        <f>IFERROR(VLOOKUP(A941,PARTIDAS!A:F,6,FALSE()),0)</f>
        <v>1</v>
      </c>
      <c r="O941" s="247">
        <f t="shared" si="108"/>
        <v>0.33333333333333298</v>
      </c>
      <c r="P941" s="247">
        <f>+_xlfn.XLOOKUP(A941,PPTO_GENERADOR!Q:Q,PPTO_GENERADOR!E:E,"-",0)</f>
        <v>3</v>
      </c>
      <c r="Q941" s="247">
        <f t="shared" si="109"/>
        <v>0.99999999999999889</v>
      </c>
      <c r="R941" s="259">
        <f>+_xlfn.XLOOKUP(A941,PPTO_GENERADOR!$Q:$Q,PPTO_GENERADOR!A:A,"-",0)</f>
        <v>4.12</v>
      </c>
    </row>
    <row r="942" spans="1:18" ht="14.25" customHeight="1" x14ac:dyDescent="0.35">
      <c r="A942" s="38" t="s">
        <v>119</v>
      </c>
      <c r="B942" s="38" t="s">
        <v>2776</v>
      </c>
      <c r="C942" s="38" t="s">
        <v>2777</v>
      </c>
      <c r="D942" s="237" t="s">
        <v>1571</v>
      </c>
      <c r="E942" s="44" t="str">
        <f>IFERROR(VLOOKUP(D942,MANO_DE_OBRA!A:B,2,FALSE()),"?")</f>
        <v>OFICIAL</v>
      </c>
      <c r="F942" s="44" t="s">
        <v>2778</v>
      </c>
      <c r="G942" s="45">
        <v>0.33333333333333298</v>
      </c>
      <c r="H942" s="46">
        <v>0</v>
      </c>
      <c r="I942" s="47">
        <f>IFERROR(VLOOKUP(D942,MANO_DE_OBRA!A:C,3,FALSE()),0)</f>
        <v>76955.079706571996</v>
      </c>
      <c r="J942" s="42">
        <f>G942*I942</f>
        <v>25651.693235523973</v>
      </c>
      <c r="K942" s="15" t="str">
        <f t="shared" si="106"/>
        <v>PTO-0412|MO</v>
      </c>
      <c r="L942" s="15">
        <f>COUNTIFS($K$2:K942,K942)</f>
        <v>2</v>
      </c>
      <c r="M942" s="15" t="str">
        <f t="shared" si="107"/>
        <v>PTO-0412|MO|2</v>
      </c>
      <c r="N942" s="47">
        <f>IFERROR(VLOOKUP(A942,PARTIDAS!A:F,6,FALSE()),0)</f>
        <v>1</v>
      </c>
      <c r="O942" s="247">
        <f t="shared" si="108"/>
        <v>0.33333333333333298</v>
      </c>
      <c r="P942" s="247">
        <f>+_xlfn.XLOOKUP(A942,PPTO_GENERADOR!Q:Q,PPTO_GENERADOR!E:E,"-",0)</f>
        <v>3</v>
      </c>
      <c r="Q942" s="247">
        <f t="shared" si="109"/>
        <v>0.99999999999999889</v>
      </c>
      <c r="R942" s="259">
        <f>+_xlfn.XLOOKUP(A942,PPTO_GENERADOR!$Q:$Q,PPTO_GENERADOR!A:A,"-",0)</f>
        <v>4.12</v>
      </c>
    </row>
    <row r="943" spans="1:18" ht="14.25" customHeight="1" x14ac:dyDescent="0.35">
      <c r="A943" s="38" t="s">
        <v>121</v>
      </c>
      <c r="B943" s="38" t="s">
        <v>2773</v>
      </c>
      <c r="C943" s="38"/>
      <c r="D943" s="38" t="s">
        <v>1803</v>
      </c>
      <c r="E943" s="44" t="str">
        <f>IFERROR(VLOOKUP(D943,EQUIPOS!A:B,2,FALSE()),"?")</f>
        <v>Herramientas menores y consumibles - Vigas de encadenado - Cuantía aprox. 60 kg/m3</v>
      </c>
      <c r="F943" s="44"/>
      <c r="G943" s="45">
        <v>1</v>
      </c>
      <c r="H943" s="46">
        <v>0</v>
      </c>
      <c r="I943" s="47">
        <f>IFERROR(VLOOKUP(D943,EQUIPOS!A:F,6,FALSE()),0)</f>
        <v>1086.9845825454699</v>
      </c>
      <c r="J943" s="42">
        <f>G943*I943</f>
        <v>1086.9845825454699</v>
      </c>
      <c r="K943" s="15" t="str">
        <f t="shared" si="106"/>
        <v>PTO-0413|EQ</v>
      </c>
      <c r="L943" s="15">
        <f>COUNTIFS($K$2:K943,K943)</f>
        <v>1</v>
      </c>
      <c r="M943" s="15" t="str">
        <f t="shared" si="107"/>
        <v>PTO-0413|EQ|1</v>
      </c>
      <c r="N943" s="47">
        <f>IFERROR(VLOOKUP(A943,PARTIDAS!A:F,6,FALSE()),0)</f>
        <v>1</v>
      </c>
      <c r="O943" s="247">
        <f t="shared" si="108"/>
        <v>1</v>
      </c>
      <c r="P943" s="247">
        <f>+_xlfn.XLOOKUP(A943,PPTO_GENERADOR!Q:Q,PPTO_GENERADOR!E:E,"-",0)</f>
        <v>40</v>
      </c>
      <c r="Q943" s="247">
        <f t="shared" si="109"/>
        <v>40</v>
      </c>
      <c r="R943" s="259">
        <f>+_xlfn.XLOOKUP(A943,PPTO_GENERADOR!$Q:$Q,PPTO_GENERADOR!A:A,"-",0)</f>
        <v>4.13</v>
      </c>
    </row>
    <row r="944" spans="1:18" ht="14.25" customHeight="1" x14ac:dyDescent="0.35">
      <c r="A944" s="38" t="s">
        <v>121</v>
      </c>
      <c r="B944" s="38" t="s">
        <v>2774</v>
      </c>
      <c r="C944" s="38" t="s">
        <v>2775</v>
      </c>
      <c r="D944" s="38" t="s">
        <v>1361</v>
      </c>
      <c r="E944" s="44" t="str">
        <f>IFERROR(VLOOKUP(D944,MATERIALES!A:B,2,FALSE()),"?")</f>
        <v>Consumibles</v>
      </c>
      <c r="F944" s="44" t="str">
        <f>IFERROR(VLOOKUP(D944,MATERIALES!A:C,3,FALSE()),"?")</f>
        <v>gl</v>
      </c>
      <c r="G944" s="45">
        <v>3340.8074999999999</v>
      </c>
      <c r="H944" s="46">
        <v>0</v>
      </c>
      <c r="I944" s="47">
        <f>IFERROR(VLOOKUP(D944,MATERIALES!A:D,4,FALSE()),0)</f>
        <v>1</v>
      </c>
      <c r="J944" s="42">
        <f>G944*I944*(1+H944)</f>
        <v>3340.8074999999999</v>
      </c>
      <c r="K944" s="15" t="str">
        <f t="shared" si="106"/>
        <v>PTO-0413|MAT</v>
      </c>
      <c r="L944" s="15">
        <f>COUNTIFS($K$2:K944,K944)</f>
        <v>1</v>
      </c>
      <c r="M944" s="15" t="str">
        <f t="shared" si="107"/>
        <v>PTO-0413|MAT|1</v>
      </c>
      <c r="N944" s="47">
        <f>IFERROR(VLOOKUP(A944,PARTIDAS!A:F,6,FALSE()),0)</f>
        <v>1</v>
      </c>
      <c r="O944" s="247">
        <f t="shared" si="108"/>
        <v>3340.8074999999999</v>
      </c>
      <c r="P944" s="247">
        <f>+_xlfn.XLOOKUP(A944,PPTO_GENERADOR!Q:Q,PPTO_GENERADOR!E:E,"-",0)</f>
        <v>40</v>
      </c>
      <c r="Q944" s="247">
        <f t="shared" si="109"/>
        <v>133632.29999999999</v>
      </c>
      <c r="R944" s="259">
        <f>+_xlfn.XLOOKUP(A944,PPTO_GENERADOR!$Q:$Q,PPTO_GENERADOR!A:A,"-",0)</f>
        <v>4.13</v>
      </c>
    </row>
    <row r="945" spans="1:18" ht="14.25" customHeight="1" x14ac:dyDescent="0.35">
      <c r="A945" s="38" t="s">
        <v>121</v>
      </c>
      <c r="B945" s="38" t="s">
        <v>2774</v>
      </c>
      <c r="C945" s="38" t="s">
        <v>2775</v>
      </c>
      <c r="D945" s="38" t="s">
        <v>1108</v>
      </c>
      <c r="E945" s="44" t="str">
        <f>IFERROR(VLOOKUP(D945,MATERIALES!A:B,2,FALSE()),"?")</f>
        <v>Hierro del 6</v>
      </c>
      <c r="F945" s="44" t="str">
        <f>IFERROR(VLOOKUP(D945,MATERIALES!A:C,3,FALSE()),"?")</f>
        <v>kg</v>
      </c>
      <c r="G945" s="45">
        <v>7.5</v>
      </c>
      <c r="H945" s="46">
        <v>0</v>
      </c>
      <c r="I945" s="47">
        <f>IFERROR(VLOOKUP(D945,MATERIALES!A:D,4,FALSE()),0)</f>
        <v>1704.41</v>
      </c>
      <c r="J945" s="42">
        <f>G945*I945*(1+H945)</f>
        <v>12783.075000000001</v>
      </c>
      <c r="K945" s="15" t="str">
        <f t="shared" si="106"/>
        <v>PTO-0413|MAT</v>
      </c>
      <c r="L945" s="15">
        <f>COUNTIFS($K$2:K945,K945)</f>
        <v>2</v>
      </c>
      <c r="M945" s="15" t="str">
        <f t="shared" si="107"/>
        <v>PTO-0413|MAT|2</v>
      </c>
      <c r="N945" s="47">
        <f>IFERROR(VLOOKUP(A945,PARTIDAS!A:F,6,FALSE()),0)</f>
        <v>1</v>
      </c>
      <c r="O945" s="247">
        <f t="shared" si="108"/>
        <v>7.5</v>
      </c>
      <c r="P945" s="247">
        <f>+_xlfn.XLOOKUP(A945,PPTO_GENERADOR!Q:Q,PPTO_GENERADOR!E:E,"-",0)</f>
        <v>40</v>
      </c>
      <c r="Q945" s="247">
        <f t="shared" si="109"/>
        <v>300</v>
      </c>
      <c r="R945" s="259">
        <f>+_xlfn.XLOOKUP(A945,PPTO_GENERADOR!$Q:$Q,PPTO_GENERADOR!A:A,"-",0)</f>
        <v>4.13</v>
      </c>
    </row>
    <row r="946" spans="1:18" ht="14.25" customHeight="1" x14ac:dyDescent="0.35">
      <c r="A946" s="38" t="s">
        <v>121</v>
      </c>
      <c r="B946" s="38" t="s">
        <v>2774</v>
      </c>
      <c r="C946" s="38" t="s">
        <v>2775</v>
      </c>
      <c r="D946" s="38" t="s">
        <v>1154</v>
      </c>
      <c r="E946" s="44" t="str">
        <f>IFERROR(VLOOKUP(D946,MATERIALES!A:B,2,FALSE()),"?")</f>
        <v>H30 6.20</v>
      </c>
      <c r="F946" s="44" t="str">
        <f>IFERROR(VLOOKUP(D946,MATERIALES!A:C,3,FALSE()),"?")</f>
        <v>m3</v>
      </c>
      <c r="G946" s="45">
        <v>0.125</v>
      </c>
      <c r="H946" s="46">
        <v>0</v>
      </c>
      <c r="I946" s="47">
        <f>IFERROR(VLOOKUP(D946,MATERIALES!A:D,4,FALSE()),0)</f>
        <v>125000</v>
      </c>
      <c r="J946" s="42">
        <f>G946*I946*(1+H946)</f>
        <v>15625</v>
      </c>
      <c r="K946" s="15" t="str">
        <f t="shared" si="106"/>
        <v>PTO-0413|MAT</v>
      </c>
      <c r="L946" s="15">
        <f>COUNTIFS($K$2:K946,K946)</f>
        <v>3</v>
      </c>
      <c r="M946" s="15" t="str">
        <f t="shared" si="107"/>
        <v>PTO-0413|MAT|3</v>
      </c>
      <c r="N946" s="47">
        <f>IFERROR(VLOOKUP(A946,PARTIDAS!A:F,6,FALSE()),0)</f>
        <v>1</v>
      </c>
      <c r="O946" s="247">
        <f t="shared" si="108"/>
        <v>0.125</v>
      </c>
      <c r="P946" s="247">
        <f>+_xlfn.XLOOKUP(A946,PPTO_GENERADOR!Q:Q,PPTO_GENERADOR!E:E,"-",0)</f>
        <v>40</v>
      </c>
      <c r="Q946" s="247">
        <f t="shared" si="109"/>
        <v>5</v>
      </c>
      <c r="R946" s="259">
        <f>+_xlfn.XLOOKUP(A946,PPTO_GENERADOR!$Q:$Q,PPTO_GENERADOR!A:A,"-",0)</f>
        <v>4.13</v>
      </c>
    </row>
    <row r="947" spans="1:18" ht="14.25" customHeight="1" x14ac:dyDescent="0.35">
      <c r="A947" s="38" t="s">
        <v>121</v>
      </c>
      <c r="B947" s="38" t="s">
        <v>2774</v>
      </c>
      <c r="C947" s="38" t="s">
        <v>2775</v>
      </c>
      <c r="D947" s="38" t="s">
        <v>1172</v>
      </c>
      <c r="E947" s="44" t="str">
        <f>IFERROR(VLOOKUP(D947,MATERIALES!A:B,2,FALSE()),"?")</f>
        <v>Volquete</v>
      </c>
      <c r="F947" s="44" t="str">
        <f>IFERROR(VLOOKUP(D947,MATERIALES!A:C,3,FALSE()),"?")</f>
        <v>u</v>
      </c>
      <c r="G947" s="45">
        <v>0.05</v>
      </c>
      <c r="H947" s="46">
        <v>0</v>
      </c>
      <c r="I947" s="47">
        <f>IFERROR(VLOOKUP(D947,MATERIALES!A:D,4,FALSE()),0)</f>
        <v>100000</v>
      </c>
      <c r="J947" s="42">
        <f>G947*I947*(1+H947)</f>
        <v>5000</v>
      </c>
      <c r="K947" s="15" t="str">
        <f t="shared" si="106"/>
        <v>PTO-0413|MAT</v>
      </c>
      <c r="L947" s="15">
        <f>COUNTIFS($K$2:K947,K947)</f>
        <v>4</v>
      </c>
      <c r="M947" s="15" t="str">
        <f t="shared" si="107"/>
        <v>PTO-0413|MAT|4</v>
      </c>
      <c r="N947" s="47">
        <f>IFERROR(VLOOKUP(A947,PARTIDAS!A:F,6,FALSE()),0)</f>
        <v>1</v>
      </c>
      <c r="O947" s="247">
        <f t="shared" si="108"/>
        <v>0.05</v>
      </c>
      <c r="P947" s="247">
        <f>+_xlfn.XLOOKUP(A947,PPTO_GENERADOR!Q:Q,PPTO_GENERADOR!E:E,"-",0)</f>
        <v>40</v>
      </c>
      <c r="Q947" s="247">
        <f t="shared" si="109"/>
        <v>2</v>
      </c>
      <c r="R947" s="259">
        <f>+_xlfn.XLOOKUP(A947,PPTO_GENERADOR!$Q:$Q,PPTO_GENERADOR!A:A,"-",0)</f>
        <v>4.13</v>
      </c>
    </row>
    <row r="948" spans="1:18" ht="14.25" customHeight="1" x14ac:dyDescent="0.35">
      <c r="A948" s="38" t="s">
        <v>121</v>
      </c>
      <c r="B948" s="38" t="s">
        <v>2776</v>
      </c>
      <c r="C948" s="38" t="s">
        <v>2777</v>
      </c>
      <c r="D948" s="38" t="s">
        <v>1577</v>
      </c>
      <c r="E948" s="44" t="str">
        <f>IFERROR(VLOOKUP(D948,MANO_DE_OBRA!A:B,2,FALSE()),"?")</f>
        <v>AYUDANTE</v>
      </c>
      <c r="F948" s="44" t="s">
        <v>2778</v>
      </c>
      <c r="G948" s="45">
        <v>0.375</v>
      </c>
      <c r="H948" s="46">
        <v>0</v>
      </c>
      <c r="I948" s="47">
        <f>IFERROR(VLOOKUP(D948,MANO_DE_OBRA!A:C,3,FALSE()),0)</f>
        <v>60860.580776572002</v>
      </c>
      <c r="J948" s="42">
        <f>G948*I948</f>
        <v>22822.717791214502</v>
      </c>
      <c r="K948" s="15" t="str">
        <f t="shared" si="106"/>
        <v>PTO-0413|MO</v>
      </c>
      <c r="L948" s="15">
        <f>COUNTIFS($K$2:K948,K948)</f>
        <v>1</v>
      </c>
      <c r="M948" s="15" t="str">
        <f t="shared" si="107"/>
        <v>PTO-0413|MO|1</v>
      </c>
      <c r="N948" s="47">
        <f>IFERROR(VLOOKUP(A948,PARTIDAS!A:F,6,FALSE()),0)</f>
        <v>1</v>
      </c>
      <c r="O948" s="247">
        <f t="shared" si="108"/>
        <v>0.375</v>
      </c>
      <c r="P948" s="247">
        <f>+_xlfn.XLOOKUP(A948,PPTO_GENERADOR!Q:Q,PPTO_GENERADOR!E:E,"-",0)</f>
        <v>40</v>
      </c>
      <c r="Q948" s="247">
        <f t="shared" si="109"/>
        <v>15</v>
      </c>
      <c r="R948" s="259">
        <f>+_xlfn.XLOOKUP(A948,PPTO_GENERADOR!$Q:$Q,PPTO_GENERADOR!A:A,"-",0)</f>
        <v>4.13</v>
      </c>
    </row>
    <row r="949" spans="1:18" ht="14.25" customHeight="1" x14ac:dyDescent="0.35">
      <c r="A949" s="38" t="s">
        <v>121</v>
      </c>
      <c r="B949" s="38" t="s">
        <v>2776</v>
      </c>
      <c r="C949" s="38" t="s">
        <v>2777</v>
      </c>
      <c r="D949" s="237" t="s">
        <v>1574</v>
      </c>
      <c r="E949" s="44" t="str">
        <f>IFERROR(VLOOKUP(D949,MANO_DE_OBRA!A:B,2,FALSE()),"?")</f>
        <v>MEDIO OFICIAL</v>
      </c>
      <c r="F949" s="44" t="s">
        <v>2778</v>
      </c>
      <c r="G949" s="45">
        <v>0.05</v>
      </c>
      <c r="H949" s="46">
        <v>0</v>
      </c>
      <c r="I949" s="47">
        <f>IFERROR(VLOOKUP(D949,MANO_DE_OBRA!A:C,3,FALSE()),0)</f>
        <v>65493.071636572</v>
      </c>
      <c r="J949" s="42">
        <f>G949*I949</f>
        <v>3274.6535818286002</v>
      </c>
      <c r="K949" s="15" t="str">
        <f t="shared" si="106"/>
        <v>PTO-0413|MO</v>
      </c>
      <c r="L949" s="15">
        <f>COUNTIFS($K$2:K949,K949)</f>
        <v>2</v>
      </c>
      <c r="M949" s="15" t="str">
        <f t="shared" si="107"/>
        <v>PTO-0413|MO|2</v>
      </c>
      <c r="N949" s="47">
        <f>IFERROR(VLOOKUP(A949,PARTIDAS!A:F,6,FALSE()),0)</f>
        <v>1</v>
      </c>
      <c r="O949" s="247">
        <f t="shared" si="108"/>
        <v>0.05</v>
      </c>
      <c r="P949" s="247">
        <f>+_xlfn.XLOOKUP(A949,PPTO_GENERADOR!Q:Q,PPTO_GENERADOR!E:E,"-",0)</f>
        <v>40</v>
      </c>
      <c r="Q949" s="247">
        <f t="shared" si="109"/>
        <v>2</v>
      </c>
      <c r="R949" s="259">
        <f>+_xlfn.XLOOKUP(A949,PPTO_GENERADOR!$Q:$Q,PPTO_GENERADOR!A:A,"-",0)</f>
        <v>4.13</v>
      </c>
    </row>
    <row r="950" spans="1:18" ht="14.25" customHeight="1" x14ac:dyDescent="0.35">
      <c r="A950" s="38" t="s">
        <v>121</v>
      </c>
      <c r="B950" s="38" t="s">
        <v>2776</v>
      </c>
      <c r="C950" s="38" t="s">
        <v>2777</v>
      </c>
      <c r="D950" s="237" t="s">
        <v>1571</v>
      </c>
      <c r="E950" s="44" t="str">
        <f>IFERROR(VLOOKUP(D950,MANO_DE_OBRA!A:B,2,FALSE()),"?")</f>
        <v>OFICIAL</v>
      </c>
      <c r="F950" s="44" t="s">
        <v>2778</v>
      </c>
      <c r="G950" s="45">
        <v>0.125</v>
      </c>
      <c r="H950" s="46">
        <v>0</v>
      </c>
      <c r="I950" s="47">
        <f>IFERROR(VLOOKUP(D950,MANO_DE_OBRA!A:C,3,FALSE()),0)</f>
        <v>76955.079706571996</v>
      </c>
      <c r="J950" s="42">
        <f>G950*I950</f>
        <v>9619.3849633214995</v>
      </c>
      <c r="K950" s="15" t="str">
        <f t="shared" si="106"/>
        <v>PTO-0413|MO</v>
      </c>
      <c r="L950" s="15">
        <f>COUNTIFS($K$2:K950,K950)</f>
        <v>3</v>
      </c>
      <c r="M950" s="15" t="str">
        <f t="shared" si="107"/>
        <v>PTO-0413|MO|3</v>
      </c>
      <c r="N950" s="47">
        <f>IFERROR(VLOOKUP(A950,PARTIDAS!A:F,6,FALSE()),0)</f>
        <v>1</v>
      </c>
      <c r="O950" s="247">
        <f t="shared" si="108"/>
        <v>0.125</v>
      </c>
      <c r="P950" s="247">
        <f>+_xlfn.XLOOKUP(A950,PPTO_GENERADOR!Q:Q,PPTO_GENERADOR!E:E,"-",0)</f>
        <v>40</v>
      </c>
      <c r="Q950" s="247">
        <f t="shared" si="109"/>
        <v>5</v>
      </c>
      <c r="R950" s="259">
        <f>+_xlfn.XLOOKUP(A950,PPTO_GENERADOR!$Q:$Q,PPTO_GENERADOR!A:A,"-",0)</f>
        <v>4.13</v>
      </c>
    </row>
    <row r="951" spans="1:18" ht="14.25" customHeight="1" x14ac:dyDescent="0.35">
      <c r="A951" s="38" t="s">
        <v>123</v>
      </c>
      <c r="B951" s="38" t="s">
        <v>2773</v>
      </c>
      <c r="C951" s="38"/>
      <c r="D951" s="38" t="s">
        <v>1806</v>
      </c>
      <c r="E951" s="44" t="str">
        <f>IFERROR(VLOOKUP(D951,EQUIPOS!A:B,2,FALSE()),"?")</f>
        <v xml:space="preserve">Herramientas menores y consumibles - Amurado de bañera </v>
      </c>
      <c r="F951" s="44"/>
      <c r="G951" s="45">
        <v>1</v>
      </c>
      <c r="H951" s="46">
        <v>0</v>
      </c>
      <c r="I951" s="47">
        <f>IFERROR(VLOOKUP(D951,EQUIPOS!A:F,6,FALSE()),0)</f>
        <v>1969.9744827858201</v>
      </c>
      <c r="J951" s="42">
        <f>G951*I951</f>
        <v>1969.9744827858201</v>
      </c>
      <c r="K951" s="15" t="str">
        <f t="shared" si="106"/>
        <v>PTO-0414|EQ</v>
      </c>
      <c r="L951" s="15">
        <f>COUNTIFS($K$2:K951,K951)</f>
        <v>1</v>
      </c>
      <c r="M951" s="15" t="str">
        <f t="shared" si="107"/>
        <v>PTO-0414|EQ|1</v>
      </c>
      <c r="N951" s="47">
        <f>IFERROR(VLOOKUP(A951,PARTIDAS!A:F,6,FALSE()),0)</f>
        <v>1</v>
      </c>
      <c r="O951" s="247">
        <f t="shared" si="108"/>
        <v>1</v>
      </c>
      <c r="P951" s="247">
        <f>+_xlfn.XLOOKUP(A951,PPTO_GENERADOR!Q:Q,PPTO_GENERADOR!E:E,"-",0)</f>
        <v>8</v>
      </c>
      <c r="Q951" s="247">
        <f t="shared" si="109"/>
        <v>8</v>
      </c>
      <c r="R951" s="259">
        <f>+_xlfn.XLOOKUP(A951,PPTO_GENERADOR!$Q:$Q,PPTO_GENERADOR!A:A,"-",0)</f>
        <v>4.1399999999999997</v>
      </c>
    </row>
    <row r="952" spans="1:18" ht="14.25" customHeight="1" x14ac:dyDescent="0.35">
      <c r="A952" s="38" t="s">
        <v>123</v>
      </c>
      <c r="B952" s="38" t="s">
        <v>2774</v>
      </c>
      <c r="C952" s="38" t="s">
        <v>2779</v>
      </c>
      <c r="D952" s="38" t="s">
        <v>1361</v>
      </c>
      <c r="E952" s="44" t="str">
        <f>IFERROR(VLOOKUP(D952,MATERIALES!A:B,2,FALSE()),"?")</f>
        <v>Consumibles</v>
      </c>
      <c r="F952" s="44" t="str">
        <f>IFERROR(VLOOKUP(D952,MATERIALES!A:C,3,FALSE()),"?")</f>
        <v>gl</v>
      </c>
      <c r="G952" s="45">
        <v>2176.93291735</v>
      </c>
      <c r="H952" s="46">
        <v>0</v>
      </c>
      <c r="I952" s="47">
        <f>IFERROR(VLOOKUP(D952,MATERIALES!A:D,4,FALSE()),0)</f>
        <v>1</v>
      </c>
      <c r="J952" s="42">
        <f>G952*I952*(1+H952)</f>
        <v>2176.93291735</v>
      </c>
      <c r="K952" s="15" t="str">
        <f t="shared" si="106"/>
        <v>PTO-0414|MAT</v>
      </c>
      <c r="L952" s="15">
        <f>COUNTIFS($K$2:K952,K952)</f>
        <v>1</v>
      </c>
      <c r="M952" s="15" t="str">
        <f t="shared" si="107"/>
        <v>PTO-0414|MAT|1</v>
      </c>
      <c r="N952" s="47">
        <f>IFERROR(VLOOKUP(A952,PARTIDAS!A:F,6,FALSE()),0)</f>
        <v>1</v>
      </c>
      <c r="O952" s="247">
        <f t="shared" si="108"/>
        <v>2176.93291735</v>
      </c>
      <c r="P952" s="247">
        <f>+_xlfn.XLOOKUP(A952,PPTO_GENERADOR!Q:Q,PPTO_GENERADOR!E:E,"-",0)</f>
        <v>8</v>
      </c>
      <c r="Q952" s="247">
        <f t="shared" si="109"/>
        <v>17415.4633388</v>
      </c>
      <c r="R952" s="259">
        <f>+_xlfn.XLOOKUP(A952,PPTO_GENERADOR!$Q:$Q,PPTO_GENERADOR!A:A,"-",0)</f>
        <v>4.1399999999999997</v>
      </c>
    </row>
    <row r="953" spans="1:18" ht="14.25" customHeight="1" x14ac:dyDescent="0.35">
      <c r="A953" s="38" t="s">
        <v>123</v>
      </c>
      <c r="B953" s="38" t="s">
        <v>2774</v>
      </c>
      <c r="C953" s="38" t="s">
        <v>2779</v>
      </c>
      <c r="D953" s="38" t="s">
        <v>1175</v>
      </c>
      <c r="E953" s="44" t="str">
        <f>IFERROR(VLOOKUP(D953,MATERIALES!A:B,2,FALSE()),"?")</f>
        <v>Ladrillo del 8</v>
      </c>
      <c r="F953" s="44" t="str">
        <f>IFERROR(VLOOKUP(D953,MATERIALES!A:C,3,FALSE()),"?")</f>
        <v>m2</v>
      </c>
      <c r="G953" s="45">
        <v>1.8</v>
      </c>
      <c r="H953" s="46">
        <v>0</v>
      </c>
      <c r="I953" s="47">
        <f>IFERROR(VLOOKUP(D953,MATERIALES!A:D,4,FALSE()),0)</f>
        <v>6590.9962250622002</v>
      </c>
      <c r="J953" s="42">
        <f>G953*I953*(1+H953)</f>
        <v>11863.793205111961</v>
      </c>
      <c r="K953" s="15" t="str">
        <f t="shared" si="106"/>
        <v>PTO-0414|MAT</v>
      </c>
      <c r="L953" s="15">
        <f>COUNTIFS($K$2:K953,K953)</f>
        <v>2</v>
      </c>
      <c r="M953" s="15" t="str">
        <f t="shared" si="107"/>
        <v>PTO-0414|MAT|2</v>
      </c>
      <c r="N953" s="47">
        <f>IFERROR(VLOOKUP(A953,PARTIDAS!A:F,6,FALSE()),0)</f>
        <v>1</v>
      </c>
      <c r="O953" s="247">
        <f t="shared" si="108"/>
        <v>1.8</v>
      </c>
      <c r="P953" s="247">
        <f>+_xlfn.XLOOKUP(A953,PPTO_GENERADOR!Q:Q,PPTO_GENERADOR!E:E,"-",0)</f>
        <v>8</v>
      </c>
      <c r="Q953" s="247">
        <f t="shared" si="109"/>
        <v>14.4</v>
      </c>
      <c r="R953" s="259">
        <f>+_xlfn.XLOOKUP(A953,PPTO_GENERADOR!$Q:$Q,PPTO_GENERADOR!A:A,"-",0)</f>
        <v>4.1399999999999997</v>
      </c>
    </row>
    <row r="954" spans="1:18" ht="14.25" customHeight="1" x14ac:dyDescent="0.35">
      <c r="A954" s="38" t="s">
        <v>123</v>
      </c>
      <c r="B954" s="38" t="s">
        <v>2774</v>
      </c>
      <c r="C954" s="38" t="s">
        <v>2779</v>
      </c>
      <c r="D954" s="38" t="s">
        <v>1178</v>
      </c>
      <c r="E954" s="44" t="str">
        <f>IFERROR(VLOOKUP(D954,MATERIALES!A:B,2,FALSE()),"?")</f>
        <v>Revoque grueso bajo revest.</v>
      </c>
      <c r="F954" s="44" t="str">
        <f>IFERROR(VLOOKUP(D954,MATERIALES!A:C,3,FALSE()),"?")</f>
        <v>m2</v>
      </c>
      <c r="G954" s="45">
        <v>0.6</v>
      </c>
      <c r="H954" s="46">
        <v>0</v>
      </c>
      <c r="I954" s="47">
        <f>IFERROR(VLOOKUP(D954,MATERIALES!A:D,4,FALSE()),0)</f>
        <v>4009.2266140000002</v>
      </c>
      <c r="J954" s="42">
        <f>G954*I954*(1+H954)</f>
        <v>2405.5359684</v>
      </c>
      <c r="K954" s="15" t="str">
        <f t="shared" si="106"/>
        <v>PTO-0414|MAT</v>
      </c>
      <c r="L954" s="15">
        <f>COUNTIFS($K$2:K954,K954)</f>
        <v>3</v>
      </c>
      <c r="M954" s="15" t="str">
        <f t="shared" si="107"/>
        <v>PTO-0414|MAT|3</v>
      </c>
      <c r="N954" s="47">
        <f>IFERROR(VLOOKUP(A954,PARTIDAS!A:F,6,FALSE()),0)</f>
        <v>1</v>
      </c>
      <c r="O954" s="247">
        <f t="shared" si="108"/>
        <v>0.6</v>
      </c>
      <c r="P954" s="247">
        <f>+_xlfn.XLOOKUP(A954,PPTO_GENERADOR!Q:Q,PPTO_GENERADOR!E:E,"-",0)</f>
        <v>8</v>
      </c>
      <c r="Q954" s="247">
        <f t="shared" si="109"/>
        <v>4.8</v>
      </c>
      <c r="R954" s="259">
        <f>+_xlfn.XLOOKUP(A954,PPTO_GENERADOR!$Q:$Q,PPTO_GENERADOR!A:A,"-",0)</f>
        <v>4.1399999999999997</v>
      </c>
    </row>
    <row r="955" spans="1:18" ht="14.25" customHeight="1" x14ac:dyDescent="0.35">
      <c r="A955" s="38" t="s">
        <v>123</v>
      </c>
      <c r="B955" s="38" t="s">
        <v>2774</v>
      </c>
      <c r="C955" s="38" t="s">
        <v>2775</v>
      </c>
      <c r="D955" s="38" t="s">
        <v>1180</v>
      </c>
      <c r="E955" s="44" t="str">
        <f>IFERROR(VLOOKUP(D955,MATERIALES!A:B,2,FALSE()),"?")</f>
        <v>Sellador / Silicona (2 bañeras)</v>
      </c>
      <c r="F955" s="44" t="str">
        <f>IFERROR(VLOOKUP(D955,MATERIALES!A:C,3,FALSE()),"?")</f>
        <v>u</v>
      </c>
      <c r="G955" s="45">
        <v>0.5</v>
      </c>
      <c r="H955" s="46">
        <v>0</v>
      </c>
      <c r="I955" s="47">
        <f>IFERROR(VLOOKUP(D955,MATERIALES!A:D,4,FALSE()),0)</f>
        <v>15000</v>
      </c>
      <c r="J955" s="42">
        <f>G955*I955*(1+H955)</f>
        <v>7500</v>
      </c>
      <c r="K955" s="15" t="str">
        <f t="shared" si="106"/>
        <v>PTO-0414|MAT</v>
      </c>
      <c r="L955" s="15">
        <f>COUNTIFS($K$2:K955,K955)</f>
        <v>4</v>
      </c>
      <c r="M955" s="15" t="str">
        <f t="shared" si="107"/>
        <v>PTO-0414|MAT|4</v>
      </c>
      <c r="N955" s="47">
        <f>IFERROR(VLOOKUP(A955,PARTIDAS!A:F,6,FALSE()),0)</f>
        <v>1</v>
      </c>
      <c r="O955" s="247">
        <f t="shared" si="108"/>
        <v>0.5</v>
      </c>
      <c r="P955" s="247">
        <f>+_xlfn.XLOOKUP(A955,PPTO_GENERADOR!Q:Q,PPTO_GENERADOR!E:E,"-",0)</f>
        <v>8</v>
      </c>
      <c r="Q955" s="247">
        <f t="shared" si="109"/>
        <v>4</v>
      </c>
      <c r="R955" s="259">
        <f>+_xlfn.XLOOKUP(A955,PPTO_GENERADOR!$Q:$Q,PPTO_GENERADOR!A:A,"-",0)</f>
        <v>4.1399999999999997</v>
      </c>
    </row>
    <row r="956" spans="1:18" ht="14.25" customHeight="1" x14ac:dyDescent="0.35">
      <c r="A956" s="38" t="s">
        <v>123</v>
      </c>
      <c r="B956" s="38" t="s">
        <v>2776</v>
      </c>
      <c r="C956" s="38" t="s">
        <v>2777</v>
      </c>
      <c r="D956" s="38" t="s">
        <v>1577</v>
      </c>
      <c r="E956" s="44" t="str">
        <f>IFERROR(VLOOKUP(D956,MANO_DE_OBRA!A:B,2,FALSE()),"?")</f>
        <v>AYUDANTE</v>
      </c>
      <c r="F956" s="44" t="s">
        <v>2778</v>
      </c>
      <c r="G956" s="45">
        <v>0.5</v>
      </c>
      <c r="H956" s="46">
        <v>0</v>
      </c>
      <c r="I956" s="47">
        <f>IFERROR(VLOOKUP(D956,MANO_DE_OBRA!A:C,3,FALSE()),0)</f>
        <v>60860.580776572002</v>
      </c>
      <c r="J956" s="42">
        <f>G956*I956</f>
        <v>30430.290388286001</v>
      </c>
      <c r="K956" s="15" t="str">
        <f t="shared" si="106"/>
        <v>PTO-0414|MO</v>
      </c>
      <c r="L956" s="15">
        <f>COUNTIFS($K$2:K956,K956)</f>
        <v>1</v>
      </c>
      <c r="M956" s="15" t="str">
        <f t="shared" si="107"/>
        <v>PTO-0414|MO|1</v>
      </c>
      <c r="N956" s="47">
        <f>IFERROR(VLOOKUP(A956,PARTIDAS!A:F,6,FALSE()),0)</f>
        <v>1</v>
      </c>
      <c r="O956" s="247">
        <f t="shared" si="108"/>
        <v>0.5</v>
      </c>
      <c r="P956" s="247">
        <f>+_xlfn.XLOOKUP(A956,PPTO_GENERADOR!Q:Q,PPTO_GENERADOR!E:E,"-",0)</f>
        <v>8</v>
      </c>
      <c r="Q956" s="247">
        <f t="shared" si="109"/>
        <v>4</v>
      </c>
      <c r="R956" s="259">
        <f>+_xlfn.XLOOKUP(A956,PPTO_GENERADOR!$Q:$Q,PPTO_GENERADOR!A:A,"-",0)</f>
        <v>4.1399999999999997</v>
      </c>
    </row>
    <row r="957" spans="1:18" ht="14.25" customHeight="1" x14ac:dyDescent="0.35">
      <c r="A957" s="38" t="s">
        <v>123</v>
      </c>
      <c r="B957" s="38" t="s">
        <v>2776</v>
      </c>
      <c r="C957" s="38" t="s">
        <v>2777</v>
      </c>
      <c r="D957" s="237" t="s">
        <v>1571</v>
      </c>
      <c r="E957" s="44" t="str">
        <f>IFERROR(VLOOKUP(D957,MANO_DE_OBRA!A:B,2,FALSE()),"?")</f>
        <v>OFICIAL</v>
      </c>
      <c r="F957" s="44" t="s">
        <v>2778</v>
      </c>
      <c r="G957" s="45">
        <v>1</v>
      </c>
      <c r="H957" s="46">
        <v>0</v>
      </c>
      <c r="I957" s="47">
        <f>IFERROR(VLOOKUP(D957,MANO_DE_OBRA!A:C,3,FALSE()),0)</f>
        <v>76955.079706571996</v>
      </c>
      <c r="J957" s="42">
        <f>G957*I957</f>
        <v>76955.079706571996</v>
      </c>
      <c r="K957" s="15" t="str">
        <f t="shared" si="106"/>
        <v>PTO-0414|MO</v>
      </c>
      <c r="L957" s="15">
        <f>COUNTIFS($K$2:K957,K957)</f>
        <v>2</v>
      </c>
      <c r="M957" s="15" t="str">
        <f t="shared" si="107"/>
        <v>PTO-0414|MO|2</v>
      </c>
      <c r="N957" s="47">
        <f>IFERROR(VLOOKUP(A957,PARTIDAS!A:F,6,FALSE()),0)</f>
        <v>1</v>
      </c>
      <c r="O957" s="247">
        <f t="shared" si="108"/>
        <v>1</v>
      </c>
      <c r="P957" s="247">
        <f>+_xlfn.XLOOKUP(A957,PPTO_GENERADOR!Q:Q,PPTO_GENERADOR!E:E,"-",0)</f>
        <v>8</v>
      </c>
      <c r="Q957" s="247">
        <f t="shared" si="109"/>
        <v>8</v>
      </c>
      <c r="R957" s="259">
        <f>+_xlfn.XLOOKUP(A957,PPTO_GENERADOR!$Q:$Q,PPTO_GENERADOR!A:A,"-",0)</f>
        <v>4.1399999999999997</v>
      </c>
    </row>
    <row r="958" spans="1:18" ht="14.25" customHeight="1" x14ac:dyDescent="0.35">
      <c r="A958" s="38" t="s">
        <v>125</v>
      </c>
      <c r="B958" s="38" t="s">
        <v>2773</v>
      </c>
      <c r="C958" s="38"/>
      <c r="D958" s="38" t="s">
        <v>1592</v>
      </c>
      <c r="E958" s="44" t="str">
        <f>IFERROR(VLOOKUP(D958,EQUIPOS!A:B,2,FALSE()),"?")</f>
        <v>ANDAMIO TUBULAR DE UNO A TRES CUERPOS</v>
      </c>
      <c r="F958" s="44"/>
      <c r="G958" s="45">
        <v>0.5</v>
      </c>
      <c r="H958" s="46">
        <v>0</v>
      </c>
      <c r="I958" s="47">
        <f>IFERROR(VLOOKUP(D958,EQUIPOS!A:F,6,FALSE()),0)</f>
        <v>571.1794909807611</v>
      </c>
      <c r="J958" s="42">
        <f>G958*I958</f>
        <v>285.58974549038055</v>
      </c>
      <c r="K958" s="15" t="str">
        <f t="shared" si="106"/>
        <v>PTO-0501|EQ</v>
      </c>
      <c r="L958" s="15">
        <f>COUNTIFS($K$2:K958,K958)</f>
        <v>1</v>
      </c>
      <c r="M958" s="15" t="str">
        <f t="shared" si="107"/>
        <v>PTO-0501|EQ|1</v>
      </c>
      <c r="N958" s="47">
        <f>IFERROR(VLOOKUP(A958,PARTIDAS!A:F,6,FALSE()),0)</f>
        <v>28</v>
      </c>
      <c r="O958" s="247">
        <f t="shared" si="108"/>
        <v>0.5</v>
      </c>
      <c r="P958" s="247">
        <f>+_xlfn.XLOOKUP(A958,PPTO_GENERADOR!Q:Q,PPTO_GENERADOR!E:E,"-",0)</f>
        <v>136</v>
      </c>
      <c r="Q958" s="247">
        <f t="shared" si="109"/>
        <v>68</v>
      </c>
      <c r="R958" s="259">
        <f>+_xlfn.XLOOKUP(A958,PPTO_GENERADOR!$Q:$Q,PPTO_GENERADOR!A:A,"-",0)</f>
        <v>5.01</v>
      </c>
    </row>
    <row r="959" spans="1:18" ht="14.25" customHeight="1" x14ac:dyDescent="0.35">
      <c r="A959" s="38" t="s">
        <v>125</v>
      </c>
      <c r="B959" s="38" t="s">
        <v>2773</v>
      </c>
      <c r="C959" s="38"/>
      <c r="D959" s="38" t="s">
        <v>1595</v>
      </c>
      <c r="E959" s="44" t="str">
        <f>IFERROR(VLOOKUP(D959,EQUIPOS!A:B,2,FALSE()),"?")</f>
        <v>EQUIPO DE ALBAÑILERIA, carpetas, ladrillo</v>
      </c>
      <c r="F959" s="44"/>
      <c r="G959" s="45">
        <v>1</v>
      </c>
      <c r="H959" s="46">
        <v>0</v>
      </c>
      <c r="I959" s="47">
        <f>IFERROR(VLOOKUP(D959,EQUIPOS!A:F,6,FALSE()),0)</f>
        <v>2287.1357450968057</v>
      </c>
      <c r="J959" s="42">
        <f>G959*I959</f>
        <v>2287.1357450968057</v>
      </c>
      <c r="K959" s="15" t="str">
        <f t="shared" si="106"/>
        <v>PTO-0501|EQ</v>
      </c>
      <c r="L959" s="15">
        <f>COUNTIFS($K$2:K959,K959)</f>
        <v>2</v>
      </c>
      <c r="M959" s="15" t="str">
        <f t="shared" si="107"/>
        <v>PTO-0501|EQ|2</v>
      </c>
      <c r="N959" s="47">
        <f>IFERROR(VLOOKUP(A959,PARTIDAS!A:F,6,FALSE()),0)</f>
        <v>28</v>
      </c>
      <c r="O959" s="247">
        <f t="shared" si="108"/>
        <v>1</v>
      </c>
      <c r="P959" s="247">
        <f>+_xlfn.XLOOKUP(A959,PPTO_GENERADOR!Q:Q,PPTO_GENERADOR!E:E,"-",0)</f>
        <v>136</v>
      </c>
      <c r="Q959" s="247">
        <f t="shared" si="109"/>
        <v>136</v>
      </c>
      <c r="R959" s="259">
        <f>+_xlfn.XLOOKUP(A959,PPTO_GENERADOR!$Q:$Q,PPTO_GENERADOR!A:A,"-",0)</f>
        <v>5.01</v>
      </c>
    </row>
    <row r="960" spans="1:18" ht="14.25" customHeight="1" x14ac:dyDescent="0.35">
      <c r="A960" s="38" t="s">
        <v>125</v>
      </c>
      <c r="B960" s="38" t="s">
        <v>2773</v>
      </c>
      <c r="C960" s="38"/>
      <c r="D960" s="38" t="s">
        <v>1613</v>
      </c>
      <c r="E960" s="44" t="str">
        <f>IFERROR(VLOOKUP(D960,EQUIPOS!A:B,2,FALSE()),"?")</f>
        <v>Hormigonera De 150 Litros 1hp Con Rueda Maciza</v>
      </c>
      <c r="F960" s="44"/>
      <c r="G960" s="45">
        <v>1</v>
      </c>
      <c r="H960" s="46">
        <v>0</v>
      </c>
      <c r="I960" s="47">
        <f>IFERROR(VLOOKUP(D960,EQUIPOS!A:F,6,FALSE()),0)</f>
        <v>957.25319614994726</v>
      </c>
      <c r="J960" s="42">
        <f>G960*I960</f>
        <v>957.25319614994726</v>
      </c>
      <c r="K960" s="15" t="str">
        <f t="shared" si="106"/>
        <v>PTO-0501|EQ</v>
      </c>
      <c r="L960" s="15">
        <f>COUNTIFS($K$2:K960,K960)</f>
        <v>3</v>
      </c>
      <c r="M960" s="15" t="str">
        <f t="shared" si="107"/>
        <v>PTO-0501|EQ|3</v>
      </c>
      <c r="N960" s="47">
        <f>IFERROR(VLOOKUP(A960,PARTIDAS!A:F,6,FALSE()),0)</f>
        <v>28</v>
      </c>
      <c r="O960" s="247">
        <f t="shared" si="108"/>
        <v>1</v>
      </c>
      <c r="P960" s="247">
        <f>+_xlfn.XLOOKUP(A960,PPTO_GENERADOR!Q:Q,PPTO_GENERADOR!E:E,"-",0)</f>
        <v>136</v>
      </c>
      <c r="Q960" s="247">
        <f t="shared" si="109"/>
        <v>136</v>
      </c>
      <c r="R960" s="259">
        <f>+_xlfn.XLOOKUP(A960,PPTO_GENERADOR!$Q:$Q,PPTO_GENERADOR!A:A,"-",0)</f>
        <v>5.01</v>
      </c>
    </row>
    <row r="961" spans="1:18" ht="14.25" customHeight="1" x14ac:dyDescent="0.35">
      <c r="A961" s="38" t="s">
        <v>125</v>
      </c>
      <c r="B961" s="38" t="s">
        <v>2774</v>
      </c>
      <c r="C961" s="38" t="s">
        <v>2775</v>
      </c>
      <c r="D961" s="38" t="s">
        <v>588</v>
      </c>
      <c r="E961" s="44" t="str">
        <f>IFERROR(VLOOKUP(D961,MATERIALES!A:B,2,FALSE()),"?")</f>
        <v>ARENA LAVADA</v>
      </c>
      <c r="F961" s="44" t="str">
        <f>IFERROR(VLOOKUP(D961,MATERIALES!A:C,3,FALSE()),"?")</f>
        <v>m3</v>
      </c>
      <c r="G961" s="45">
        <v>6.0000000000000001E-3</v>
      </c>
      <c r="H961" s="46">
        <v>0.1</v>
      </c>
      <c r="I961" s="47">
        <f>IFERROR(VLOOKUP(D961,MATERIALES!A:D,4,FALSE()),0)</f>
        <v>32399.77</v>
      </c>
      <c r="J961" s="42">
        <f>G961*I961*(1+H961)</f>
        <v>213.838482</v>
      </c>
      <c r="K961" s="15" t="str">
        <f t="shared" si="106"/>
        <v>PTO-0501|MAT</v>
      </c>
      <c r="L961" s="15">
        <f>COUNTIFS($K$2:K961,K961)</f>
        <v>1</v>
      </c>
      <c r="M961" s="15" t="str">
        <f t="shared" si="107"/>
        <v>PTO-0501|MAT|1</v>
      </c>
      <c r="N961" s="47">
        <f>IFERROR(VLOOKUP(A961,PARTIDAS!A:F,6,FALSE()),0)</f>
        <v>28</v>
      </c>
      <c r="O961" s="247">
        <f t="shared" si="108"/>
        <v>6.0000000000000001E-3</v>
      </c>
      <c r="P961" s="247">
        <f>+_xlfn.XLOOKUP(A961,PPTO_GENERADOR!Q:Q,PPTO_GENERADOR!E:E,"-",0)</f>
        <v>136</v>
      </c>
      <c r="Q961" s="247">
        <f t="shared" si="109"/>
        <v>0.81600000000000006</v>
      </c>
      <c r="R961" s="259">
        <f>+_xlfn.XLOOKUP(A961,PPTO_GENERADOR!$Q:$Q,PPTO_GENERADOR!A:A,"-",0)</f>
        <v>5.01</v>
      </c>
    </row>
    <row r="962" spans="1:18" ht="14.25" customHeight="1" x14ac:dyDescent="0.35">
      <c r="A962" s="38" t="s">
        <v>125</v>
      </c>
      <c r="B962" s="38" t="s">
        <v>2774</v>
      </c>
      <c r="C962" s="38" t="s">
        <v>2775</v>
      </c>
      <c r="D962" s="38" t="s">
        <v>599</v>
      </c>
      <c r="E962" s="44" t="str">
        <f>IFERROR(VLOOKUP(D962,MATERIALES!A:B,2,FALSE()),"?")</f>
        <v>Cemento Portland x 50kg</v>
      </c>
      <c r="F962" s="44" t="str">
        <f>IFERROR(VLOOKUP(D962,MATERIALES!A:C,3,FALSE()),"?")</f>
        <v>Bol</v>
      </c>
      <c r="G962" s="45">
        <v>5.3999999999999999E-2</v>
      </c>
      <c r="H962" s="46">
        <v>0.1</v>
      </c>
      <c r="I962" s="47">
        <f>IFERROR(VLOOKUP(D962,MATERIALES!A:D,4,FALSE()),0)</f>
        <v>7809.48</v>
      </c>
      <c r="J962" s="42">
        <f>G962*I962*(1+H962)</f>
        <v>463.88311199999998</v>
      </c>
      <c r="K962" s="15" t="str">
        <f t="shared" ref="K962:K1025" si="111">A962&amp;"|"&amp;B962</f>
        <v>PTO-0501|MAT</v>
      </c>
      <c r="L962" s="15">
        <f>COUNTIFS($K$2:K962,K962)</f>
        <v>2</v>
      </c>
      <c r="M962" s="15" t="str">
        <f t="shared" ref="M962:M1025" si="112">K962&amp;"|"&amp;L962</f>
        <v>PTO-0501|MAT|2</v>
      </c>
      <c r="N962" s="47">
        <f>IFERROR(VLOOKUP(A962,PARTIDAS!A:F,6,FALSE()),0)</f>
        <v>28</v>
      </c>
      <c r="O962" s="247">
        <f t="shared" si="108"/>
        <v>5.3999999999999999E-2</v>
      </c>
      <c r="P962" s="247">
        <f>+_xlfn.XLOOKUP(A962,PPTO_GENERADOR!Q:Q,PPTO_GENERADOR!E:E,"-",0)</f>
        <v>136</v>
      </c>
      <c r="Q962" s="247">
        <f t="shared" si="109"/>
        <v>7.3440000000000003</v>
      </c>
      <c r="R962" s="259">
        <f>+_xlfn.XLOOKUP(A962,PPTO_GENERADOR!$Q:$Q,PPTO_GENERADOR!A:A,"-",0)</f>
        <v>5.01</v>
      </c>
    </row>
    <row r="963" spans="1:18" ht="14.25" customHeight="1" x14ac:dyDescent="0.35">
      <c r="A963" s="38" t="s">
        <v>125</v>
      </c>
      <c r="B963" s="38" t="s">
        <v>2774</v>
      </c>
      <c r="C963" s="38" t="s">
        <v>2775</v>
      </c>
      <c r="D963" s="38" t="s">
        <v>660</v>
      </c>
      <c r="E963" s="44" t="str">
        <f>IFERROR(VLOOKUP(D963,MATERIALES!A:B,2,FALSE()),"?")</f>
        <v>Aditivo Hidrofugo en pasta - Ceresita x 1kg</v>
      </c>
      <c r="F963" s="44" t="str">
        <f>IFERROR(VLOOKUP(D963,MATERIALES!A:C,3,FALSE()),"?")</f>
        <v>kg</v>
      </c>
      <c r="G963" s="45">
        <v>0.1</v>
      </c>
      <c r="H963" s="46">
        <v>0.05</v>
      </c>
      <c r="I963" s="47">
        <f>IFERROR(VLOOKUP(D963,MATERIALES!A:D,4,FALSE()),0)</f>
        <v>1256.1279999999999</v>
      </c>
      <c r="J963" s="42">
        <f>G963*I963*(1+H963)</f>
        <v>131.89344</v>
      </c>
      <c r="K963" s="15" t="str">
        <f t="shared" si="111"/>
        <v>PTO-0501|MAT</v>
      </c>
      <c r="L963" s="15">
        <f>COUNTIFS($K$2:K963,K963)</f>
        <v>3</v>
      </c>
      <c r="M963" s="15" t="str">
        <f t="shared" si="112"/>
        <v>PTO-0501|MAT|3</v>
      </c>
      <c r="N963" s="47">
        <f>IFERROR(VLOOKUP(A963,PARTIDAS!A:F,6,FALSE()),0)</f>
        <v>28</v>
      </c>
      <c r="O963" s="247">
        <f t="shared" ref="O963:O1026" si="113">+IF(C963="ALB",G963/N963,G963)</f>
        <v>0.1</v>
      </c>
      <c r="P963" s="247">
        <f>+_xlfn.XLOOKUP(A963,PPTO_GENERADOR!Q:Q,PPTO_GENERADOR!E:E,"-",0)</f>
        <v>136</v>
      </c>
      <c r="Q963" s="247">
        <f t="shared" ref="Q963:Q1026" si="114">IFERROR(P963*O963,0)</f>
        <v>13.600000000000001</v>
      </c>
      <c r="R963" s="259">
        <f>+_xlfn.XLOOKUP(A963,PPTO_GENERADOR!$Q:$Q,PPTO_GENERADOR!A:A,"-",0)</f>
        <v>5.01</v>
      </c>
    </row>
    <row r="964" spans="1:18" ht="14.25" customHeight="1" x14ac:dyDescent="0.35">
      <c r="A964" s="38" t="s">
        <v>125</v>
      </c>
      <c r="B964" s="38" t="s">
        <v>2776</v>
      </c>
      <c r="C964" s="38" t="s">
        <v>2777</v>
      </c>
      <c r="D964" s="237" t="s">
        <v>1577</v>
      </c>
      <c r="E964" s="44" t="str">
        <f>IFERROR(VLOOKUP(D964,MANO_DE_OBRA!A:B,2,FALSE()),"?")</f>
        <v>AYUDANTE</v>
      </c>
      <c r="F964" s="44" t="s">
        <v>2778</v>
      </c>
      <c r="G964" s="45">
        <v>0.4</v>
      </c>
      <c r="H964" s="46">
        <v>0</v>
      </c>
      <c r="I964" s="47">
        <f>IFERROR(VLOOKUP(D964,MANO_DE_OBRA!A:C,3,FALSE()),0)</f>
        <v>60860.580776572002</v>
      </c>
      <c r="J964" s="42">
        <f>G964*I964</f>
        <v>24344.232310628802</v>
      </c>
      <c r="K964" s="15" t="str">
        <f t="shared" si="111"/>
        <v>PTO-0501|MO</v>
      </c>
      <c r="L964" s="15">
        <f>COUNTIFS($K$2:K964,K964)</f>
        <v>1</v>
      </c>
      <c r="M964" s="15" t="str">
        <f t="shared" si="112"/>
        <v>PTO-0501|MO|1</v>
      </c>
      <c r="N964" s="47">
        <f>IFERROR(VLOOKUP(A964,PARTIDAS!A:F,6,FALSE()),0)</f>
        <v>28</v>
      </c>
      <c r="O964" s="247">
        <f t="shared" si="113"/>
        <v>1.4285714285714287E-2</v>
      </c>
      <c r="P964" s="247">
        <f>+_xlfn.XLOOKUP(A964,PPTO_GENERADOR!Q:Q,PPTO_GENERADOR!E:E,"-",0)</f>
        <v>136</v>
      </c>
      <c r="Q964" s="247">
        <f t="shared" si="114"/>
        <v>1.9428571428571431</v>
      </c>
      <c r="R964" s="259">
        <f>+_xlfn.XLOOKUP(A964,PPTO_GENERADOR!$Q:$Q,PPTO_GENERADOR!A:A,"-",0)</f>
        <v>5.01</v>
      </c>
    </row>
    <row r="965" spans="1:18" ht="14.25" customHeight="1" x14ac:dyDescent="0.35">
      <c r="A965" s="38" t="s">
        <v>125</v>
      </c>
      <c r="B965" s="38" t="s">
        <v>2776</v>
      </c>
      <c r="C965" s="38" t="s">
        <v>2777</v>
      </c>
      <c r="D965" s="237" t="s">
        <v>1568</v>
      </c>
      <c r="E965" s="44" t="str">
        <f>IFERROR(VLOOKUP(D965,MANO_DE_OBRA!A:B,2,FALSE()),"?")</f>
        <v>ESPECIALIZADO</v>
      </c>
      <c r="F965" s="44" t="s">
        <v>2778</v>
      </c>
      <c r="G965" s="45">
        <v>1</v>
      </c>
      <c r="H965" s="46">
        <v>0</v>
      </c>
      <c r="I965" s="47">
        <f>IFERROR(VLOOKUP(D965,MANO_DE_OBRA!A:C,3,FALSE()),0)</f>
        <v>85927.097156571996</v>
      </c>
      <c r="J965" s="42">
        <f>G965*I965</f>
        <v>85927.097156571996</v>
      </c>
      <c r="K965" s="15" t="str">
        <f t="shared" si="111"/>
        <v>PTO-0501|MO</v>
      </c>
      <c r="L965" s="15">
        <f>COUNTIFS($K$2:K965,K965)</f>
        <v>2</v>
      </c>
      <c r="M965" s="15" t="str">
        <f t="shared" si="112"/>
        <v>PTO-0501|MO|2</v>
      </c>
      <c r="N965" s="47">
        <f>IFERROR(VLOOKUP(A965,PARTIDAS!A:F,6,FALSE()),0)</f>
        <v>28</v>
      </c>
      <c r="O965" s="247">
        <f t="shared" si="113"/>
        <v>3.5714285714285712E-2</v>
      </c>
      <c r="P965" s="247">
        <f>+_xlfn.XLOOKUP(A965,PPTO_GENERADOR!Q:Q,PPTO_GENERADOR!E:E,"-",0)</f>
        <v>136</v>
      </c>
      <c r="Q965" s="247">
        <f t="shared" si="114"/>
        <v>4.8571428571428568</v>
      </c>
      <c r="R965" s="259">
        <f>+_xlfn.XLOOKUP(A965,PPTO_GENERADOR!$Q:$Q,PPTO_GENERADOR!A:A,"-",0)</f>
        <v>5.01</v>
      </c>
    </row>
    <row r="966" spans="1:18" ht="14.25" customHeight="1" x14ac:dyDescent="0.35">
      <c r="A966" s="38" t="s">
        <v>127</v>
      </c>
      <c r="B966" s="38" t="s">
        <v>2773</v>
      </c>
      <c r="C966" s="38"/>
      <c r="D966" s="38" t="s">
        <v>1616</v>
      </c>
      <c r="E966" s="44" t="str">
        <f>IFERROR(VLOOKUP(D966,EQUIPOS!A:B,2,FALSE()),"?")</f>
        <v>Soldador Soplete A Gas Techista Membrana 10 Kg Boca 50mm</v>
      </c>
      <c r="F966" s="44"/>
      <c r="G966" s="45">
        <v>1</v>
      </c>
      <c r="H966" s="46">
        <v>0</v>
      </c>
      <c r="I966" s="47">
        <f>IFERROR(VLOOKUP(D966,EQUIPOS!A:F,6,FALSE()),0)</f>
        <v>804.50568716120006</v>
      </c>
      <c r="J966" s="42">
        <f>G966*I966</f>
        <v>804.50568716120006</v>
      </c>
      <c r="K966" s="15" t="str">
        <f t="shared" si="111"/>
        <v>PTO-0502|EQ</v>
      </c>
      <c r="L966" s="15">
        <f>COUNTIFS($K$2:K966,K966)</f>
        <v>1</v>
      </c>
      <c r="M966" s="15" t="str">
        <f t="shared" si="112"/>
        <v>PTO-0502|EQ|1</v>
      </c>
      <c r="N966" s="47">
        <f>IFERROR(VLOOKUP(A966,PARTIDAS!A:F,6,FALSE()),0)</f>
        <v>25</v>
      </c>
      <c r="O966" s="247">
        <f t="shared" si="113"/>
        <v>1</v>
      </c>
      <c r="P966" s="247">
        <f>+_xlfn.XLOOKUP(A966,PPTO_GENERADOR!Q:Q,PPTO_GENERADOR!E:E,"-",0)</f>
        <v>77</v>
      </c>
      <c r="Q966" s="247">
        <f t="shared" si="114"/>
        <v>77</v>
      </c>
      <c r="R966" s="259">
        <f>+_xlfn.XLOOKUP(A966,PPTO_GENERADOR!$Q:$Q,PPTO_GENERADOR!A:A,"-",0)</f>
        <v>5.0199999999999996</v>
      </c>
    </row>
    <row r="967" spans="1:18" ht="14.25" customHeight="1" x14ac:dyDescent="0.35">
      <c r="A967" s="38" t="s">
        <v>127</v>
      </c>
      <c r="B967" s="38" t="s">
        <v>2774</v>
      </c>
      <c r="C967" s="38" t="s">
        <v>2775</v>
      </c>
      <c r="D967" s="38" t="s">
        <v>831</v>
      </c>
      <c r="E967" s="44" t="str">
        <f>IFERROR(VLOOKUP(D967,MATERIALES!A:B,2,FALSE()),"?")</f>
        <v>Membrana Geotextil Ormiflex 4mm - (35kg) x10m</v>
      </c>
      <c r="F967" s="44" t="str">
        <f>IFERROR(VLOOKUP(D967,MATERIALES!A:C,3,FALSE()),"?")</f>
        <v>u</v>
      </c>
      <c r="G967" s="45">
        <v>0.1</v>
      </c>
      <c r="H967" s="46">
        <v>0.1</v>
      </c>
      <c r="I967" s="47">
        <f>IFERROR(VLOOKUP(D967,MATERIALES!A:D,4,FALSE()),0)</f>
        <v>70192.210000000006</v>
      </c>
      <c r="J967" s="42">
        <f t="shared" ref="J967:J975" si="115">G967*I967*(1+H967)</f>
        <v>7721.1431000000021</v>
      </c>
      <c r="K967" s="15" t="str">
        <f t="shared" si="111"/>
        <v>PTO-0502|MAT</v>
      </c>
      <c r="L967" s="15">
        <f>COUNTIFS($K$2:K967,K967)</f>
        <v>1</v>
      </c>
      <c r="M967" s="15" t="str">
        <f t="shared" si="112"/>
        <v>PTO-0502|MAT|1</v>
      </c>
      <c r="N967" s="47">
        <f>IFERROR(VLOOKUP(A967,PARTIDAS!A:F,6,FALSE()),0)</f>
        <v>25</v>
      </c>
      <c r="O967" s="247">
        <f t="shared" si="113"/>
        <v>0.1</v>
      </c>
      <c r="P967" s="247">
        <f>+_xlfn.XLOOKUP(A967,PPTO_GENERADOR!Q:Q,PPTO_GENERADOR!E:E,"-",0)</f>
        <v>77</v>
      </c>
      <c r="Q967" s="247">
        <f t="shared" si="114"/>
        <v>7.7</v>
      </c>
      <c r="R967" s="259">
        <f>+_xlfn.XLOOKUP(A967,PPTO_GENERADOR!$Q:$Q,PPTO_GENERADOR!A:A,"-",0)</f>
        <v>5.0199999999999996</v>
      </c>
    </row>
    <row r="968" spans="1:18" ht="14.25" customHeight="1" x14ac:dyDescent="0.35">
      <c r="A968" s="38" t="s">
        <v>127</v>
      </c>
      <c r="B968" s="38" t="s">
        <v>2774</v>
      </c>
      <c r="C968" s="38" t="s">
        <v>2775</v>
      </c>
      <c r="D968" s="38" t="s">
        <v>845</v>
      </c>
      <c r="E968" s="44" t="str">
        <f>IFERROR(VLOOKUP(D968,MATERIALES!A:B,2,FALSE()),"?")</f>
        <v>Aguarras Hydrarras Hydra x 18lts</v>
      </c>
      <c r="F968" s="44" t="str">
        <f>IFERROR(VLOOKUP(D968,MATERIALES!A:C,3,FALSE()),"?")</f>
        <v>b</v>
      </c>
      <c r="G968" s="45">
        <v>0.01</v>
      </c>
      <c r="H968" s="46">
        <v>0.05</v>
      </c>
      <c r="I968" s="47">
        <f>IFERROR(VLOOKUP(D968,MATERIALES!A:D,4,FALSE()),0)</f>
        <v>26907.33</v>
      </c>
      <c r="J968" s="42">
        <f t="shared" si="115"/>
        <v>282.52696500000002</v>
      </c>
      <c r="K968" s="15" t="str">
        <f t="shared" si="111"/>
        <v>PTO-0502|MAT</v>
      </c>
      <c r="L968" s="15">
        <f>COUNTIFS($K$2:K968,K968)</f>
        <v>2</v>
      </c>
      <c r="M968" s="15" t="str">
        <f t="shared" si="112"/>
        <v>PTO-0502|MAT|2</v>
      </c>
      <c r="N968" s="47">
        <f>IFERROR(VLOOKUP(A968,PARTIDAS!A:F,6,FALSE()),0)</f>
        <v>25</v>
      </c>
      <c r="O968" s="247">
        <f t="shared" si="113"/>
        <v>0.01</v>
      </c>
      <c r="P968" s="247">
        <f>+_xlfn.XLOOKUP(A968,PPTO_GENERADOR!Q:Q,PPTO_GENERADOR!E:E,"-",0)</f>
        <v>77</v>
      </c>
      <c r="Q968" s="247">
        <f t="shared" si="114"/>
        <v>0.77</v>
      </c>
      <c r="R968" s="259">
        <f>+_xlfn.XLOOKUP(A968,PPTO_GENERADOR!$Q:$Q,PPTO_GENERADOR!A:A,"-",0)</f>
        <v>5.0199999999999996</v>
      </c>
    </row>
    <row r="969" spans="1:18" ht="14.25" customHeight="1" x14ac:dyDescent="0.35">
      <c r="A969" s="38" t="s">
        <v>127</v>
      </c>
      <c r="B969" s="38" t="s">
        <v>2774</v>
      </c>
      <c r="C969" s="38" t="s">
        <v>2775</v>
      </c>
      <c r="D969" s="38" t="s">
        <v>855</v>
      </c>
      <c r="E969" s="44" t="str">
        <f>IFERROR(VLOOKUP(D969,MATERIALES!A:B,2,FALSE()),"?")</f>
        <v>Trapo</v>
      </c>
      <c r="F969" s="44" t="str">
        <f>IFERROR(VLOOKUP(D969,MATERIALES!A:C,3,FALSE()),"?")</f>
        <v>u</v>
      </c>
      <c r="G969" s="45">
        <v>0.02</v>
      </c>
      <c r="H969" s="46">
        <v>0.05</v>
      </c>
      <c r="I969" s="47">
        <f>IFERROR(VLOOKUP(D969,MATERIALES!A:D,4,FALSE()),0)</f>
        <v>735.06</v>
      </c>
      <c r="J969" s="42">
        <f t="shared" si="115"/>
        <v>15.436260000000001</v>
      </c>
      <c r="K969" s="15" t="str">
        <f t="shared" si="111"/>
        <v>PTO-0502|MAT</v>
      </c>
      <c r="L969" s="15">
        <f>COUNTIFS($K$2:K969,K969)</f>
        <v>3</v>
      </c>
      <c r="M969" s="15" t="str">
        <f t="shared" si="112"/>
        <v>PTO-0502|MAT|3</v>
      </c>
      <c r="N969" s="47">
        <f>IFERROR(VLOOKUP(A969,PARTIDAS!A:F,6,FALSE()),0)</f>
        <v>25</v>
      </c>
      <c r="O969" s="247">
        <f t="shared" si="113"/>
        <v>0.02</v>
      </c>
      <c r="P969" s="247">
        <f>+_xlfn.XLOOKUP(A969,PPTO_GENERADOR!Q:Q,PPTO_GENERADOR!E:E,"-",0)</f>
        <v>77</v>
      </c>
      <c r="Q969" s="247">
        <f t="shared" si="114"/>
        <v>1.54</v>
      </c>
      <c r="R969" s="259">
        <f>+_xlfn.XLOOKUP(A969,PPTO_GENERADOR!$Q:$Q,PPTO_GENERADOR!A:A,"-",0)</f>
        <v>5.0199999999999996</v>
      </c>
    </row>
    <row r="970" spans="1:18" ht="14.25" customHeight="1" x14ac:dyDescent="0.35">
      <c r="A970" s="38" t="s">
        <v>127</v>
      </c>
      <c r="B970" s="38" t="s">
        <v>2774</v>
      </c>
      <c r="C970" s="38" t="s">
        <v>2775</v>
      </c>
      <c r="D970" s="38" t="s">
        <v>863</v>
      </c>
      <c r="E970" s="44" t="str">
        <f>IFERROR(VLOOKUP(D970,MATERIALES!A:B,2,FALSE()),"?")</f>
        <v>Rodillo de lana pelo largo N°22 - El Galgo</v>
      </c>
      <c r="F970" s="44" t="str">
        <f>IFERROR(VLOOKUP(D970,MATERIALES!A:C,3,FALSE()),"?")</f>
        <v>u</v>
      </c>
      <c r="G970" s="45">
        <v>0.01</v>
      </c>
      <c r="H970" s="46">
        <v>0.05</v>
      </c>
      <c r="I970" s="47">
        <f>IFERROR(VLOOKUP(D970,MATERIALES!A:D,4,FALSE()),0)</f>
        <v>6678.36</v>
      </c>
      <c r="J970" s="42">
        <f t="shared" si="115"/>
        <v>70.122779999999992</v>
      </c>
      <c r="K970" s="15" t="str">
        <f t="shared" si="111"/>
        <v>PTO-0502|MAT</v>
      </c>
      <c r="L970" s="15">
        <f>COUNTIFS($K$2:K970,K970)</f>
        <v>4</v>
      </c>
      <c r="M970" s="15" t="str">
        <f t="shared" si="112"/>
        <v>PTO-0502|MAT|4</v>
      </c>
      <c r="N970" s="47">
        <f>IFERROR(VLOOKUP(A970,PARTIDAS!A:F,6,FALSE()),0)</f>
        <v>25</v>
      </c>
      <c r="O970" s="247">
        <f t="shared" si="113"/>
        <v>0.01</v>
      </c>
      <c r="P970" s="247">
        <f>+_xlfn.XLOOKUP(A970,PPTO_GENERADOR!Q:Q,PPTO_GENERADOR!E:E,"-",0)</f>
        <v>77</v>
      </c>
      <c r="Q970" s="247">
        <f t="shared" si="114"/>
        <v>0.77</v>
      </c>
      <c r="R970" s="259">
        <f>+_xlfn.XLOOKUP(A970,PPTO_GENERADOR!$Q:$Q,PPTO_GENERADOR!A:A,"-",0)</f>
        <v>5.0199999999999996</v>
      </c>
    </row>
    <row r="971" spans="1:18" ht="14.25" customHeight="1" x14ac:dyDescent="0.35">
      <c r="A971" s="38" t="s">
        <v>127</v>
      </c>
      <c r="B971" s="38" t="s">
        <v>2774</v>
      </c>
      <c r="C971" s="38" t="s">
        <v>2775</v>
      </c>
      <c r="D971" s="38" t="s">
        <v>865</v>
      </c>
      <c r="E971" s="44" t="str">
        <f>IFERROR(VLOOKUP(D971,MATERIALES!A:B,2,FALSE()),"?")</f>
        <v>Pincel N° 20 - El Galgo</v>
      </c>
      <c r="F971" s="44" t="str">
        <f>IFERROR(VLOOKUP(D971,MATERIALES!A:C,3,FALSE()),"?")</f>
        <v>u</v>
      </c>
      <c r="G971" s="45">
        <v>0.02</v>
      </c>
      <c r="H971" s="46">
        <v>0.05</v>
      </c>
      <c r="I971" s="47">
        <f>IFERROR(VLOOKUP(D971,MATERIALES!A:D,4,FALSE()),0)</f>
        <v>5282.24</v>
      </c>
      <c r="J971" s="42">
        <f t="shared" si="115"/>
        <v>110.92704000000001</v>
      </c>
      <c r="K971" s="15" t="str">
        <f t="shared" si="111"/>
        <v>PTO-0502|MAT</v>
      </c>
      <c r="L971" s="15">
        <f>COUNTIFS($K$2:K971,K971)</f>
        <v>5</v>
      </c>
      <c r="M971" s="15" t="str">
        <f t="shared" si="112"/>
        <v>PTO-0502|MAT|5</v>
      </c>
      <c r="N971" s="47">
        <f>IFERROR(VLOOKUP(A971,PARTIDAS!A:F,6,FALSE()),0)</f>
        <v>25</v>
      </c>
      <c r="O971" s="247">
        <f t="shared" si="113"/>
        <v>0.02</v>
      </c>
      <c r="P971" s="247">
        <f>+_xlfn.XLOOKUP(A971,PPTO_GENERADOR!Q:Q,PPTO_GENERADOR!E:E,"-",0)</f>
        <v>77</v>
      </c>
      <c r="Q971" s="247">
        <f t="shared" si="114"/>
        <v>1.54</v>
      </c>
      <c r="R971" s="259">
        <f>+_xlfn.XLOOKUP(A971,PPTO_GENERADOR!$Q:$Q,PPTO_GENERADOR!A:A,"-",0)</f>
        <v>5.0199999999999996</v>
      </c>
    </row>
    <row r="972" spans="1:18" ht="14.25" customHeight="1" x14ac:dyDescent="0.35">
      <c r="A972" s="38" t="s">
        <v>127</v>
      </c>
      <c r="B972" s="38" t="s">
        <v>2774</v>
      </c>
      <c r="C972" s="38" t="s">
        <v>2775</v>
      </c>
      <c r="D972" s="38" t="s">
        <v>982</v>
      </c>
      <c r="E972" s="44" t="str">
        <f>IFERROR(VLOOKUP(D972,MATERIALES!A:B,2,FALSE()),"?")</f>
        <v>Guante Vaqueta Medio Paseo</v>
      </c>
      <c r="F972" s="44" t="str">
        <f>IFERROR(VLOOKUP(D972,MATERIALES!A:C,3,FALSE()),"?")</f>
        <v>par</v>
      </c>
      <c r="G972" s="45">
        <v>0.06</v>
      </c>
      <c r="H972" s="46">
        <v>0.05</v>
      </c>
      <c r="I972" s="47">
        <f>IFERROR(VLOOKUP(D972,MATERIALES!A:D,4,FALSE()),0)</f>
        <v>4842</v>
      </c>
      <c r="J972" s="42">
        <f t="shared" si="115"/>
        <v>305.04599999999999</v>
      </c>
      <c r="K972" s="15" t="str">
        <f t="shared" si="111"/>
        <v>PTO-0502|MAT</v>
      </c>
      <c r="L972" s="15">
        <f>COUNTIFS($K$2:K972,K972)</f>
        <v>6</v>
      </c>
      <c r="M972" s="15" t="str">
        <f t="shared" si="112"/>
        <v>PTO-0502|MAT|6</v>
      </c>
      <c r="N972" s="47">
        <f>IFERROR(VLOOKUP(A972,PARTIDAS!A:F,6,FALSE()),0)</f>
        <v>25</v>
      </c>
      <c r="O972" s="247">
        <f t="shared" si="113"/>
        <v>0.06</v>
      </c>
      <c r="P972" s="247">
        <f>+_xlfn.XLOOKUP(A972,PPTO_GENERADOR!Q:Q,PPTO_GENERADOR!E:E,"-",0)</f>
        <v>77</v>
      </c>
      <c r="Q972" s="247">
        <f t="shared" si="114"/>
        <v>4.62</v>
      </c>
      <c r="R972" s="259">
        <f>+_xlfn.XLOOKUP(A972,PPTO_GENERADOR!$Q:$Q,PPTO_GENERADOR!A:A,"-",0)</f>
        <v>5.0199999999999996</v>
      </c>
    </row>
    <row r="973" spans="1:18" ht="14.25" customHeight="1" x14ac:dyDescent="0.35">
      <c r="A973" s="38" t="s">
        <v>127</v>
      </c>
      <c r="B973" s="38" t="s">
        <v>2774</v>
      </c>
      <c r="C973" s="38" t="s">
        <v>2775</v>
      </c>
      <c r="D973" s="38" t="s">
        <v>985</v>
      </c>
      <c r="E973" s="44" t="str">
        <f>IFERROR(VLOOKUP(D973,MATERIALES!A:B,2,FALSE()),"?")</f>
        <v>Recarga de garrafa</v>
      </c>
      <c r="F973" s="44" t="str">
        <f>IFERROR(VLOOKUP(D973,MATERIALES!A:C,3,FALSE()),"?")</f>
        <v>u</v>
      </c>
      <c r="G973" s="45">
        <v>0.02</v>
      </c>
      <c r="H973" s="46">
        <v>0.05</v>
      </c>
      <c r="I973" s="47">
        <f>IFERROR(VLOOKUP(D973,MATERIALES!A:D,4,FALSE()),0)</f>
        <v>12396.694214876001</v>
      </c>
      <c r="J973" s="42">
        <f t="shared" si="115"/>
        <v>260.33057851239602</v>
      </c>
      <c r="K973" s="15" t="str">
        <f t="shared" si="111"/>
        <v>PTO-0502|MAT</v>
      </c>
      <c r="L973" s="15">
        <f>COUNTIFS($K$2:K973,K973)</f>
        <v>7</v>
      </c>
      <c r="M973" s="15" t="str">
        <f t="shared" si="112"/>
        <v>PTO-0502|MAT|7</v>
      </c>
      <c r="N973" s="47">
        <f>IFERROR(VLOOKUP(A973,PARTIDAS!A:F,6,FALSE()),0)</f>
        <v>25</v>
      </c>
      <c r="O973" s="247">
        <f t="shared" si="113"/>
        <v>0.02</v>
      </c>
      <c r="P973" s="247">
        <f>+_xlfn.XLOOKUP(A973,PPTO_GENERADOR!Q:Q,PPTO_GENERADOR!E:E,"-",0)</f>
        <v>77</v>
      </c>
      <c r="Q973" s="247">
        <f t="shared" si="114"/>
        <v>1.54</v>
      </c>
      <c r="R973" s="259">
        <f>+_xlfn.XLOOKUP(A973,PPTO_GENERADOR!$Q:$Q,PPTO_GENERADOR!A:A,"-",0)</f>
        <v>5.0199999999999996</v>
      </c>
    </row>
    <row r="974" spans="1:18" ht="14.25" customHeight="1" x14ac:dyDescent="0.35">
      <c r="A974" s="38" t="s">
        <v>127</v>
      </c>
      <c r="B974" s="38" t="s">
        <v>2774</v>
      </c>
      <c r="C974" s="38" t="s">
        <v>2775</v>
      </c>
      <c r="D974" s="38" t="s">
        <v>1367</v>
      </c>
      <c r="E974" s="44" t="str">
        <f>IFERROR(VLOOKUP(D974,MATERIALES!A:B,2,FALSE()),"?")</f>
        <v>Materiales adicionales s/MAT 35% - PTO-0502</v>
      </c>
      <c r="F974" s="44" t="str">
        <f>IFERROR(VLOOKUP(D974,MATERIALES!A:C,3,FALSE()),"?")</f>
        <v>m2</v>
      </c>
      <c r="G974" s="45">
        <v>1</v>
      </c>
      <c r="H974" s="46">
        <v>0</v>
      </c>
      <c r="I974" s="47">
        <f>IFERROR(VLOOKUP(D974,MATERIALES!A:D,4,FALSE()),0)</f>
        <v>3419.20382267378</v>
      </c>
      <c r="J974" s="42">
        <f t="shared" si="115"/>
        <v>3419.20382267378</v>
      </c>
      <c r="K974" s="15" t="str">
        <f t="shared" si="111"/>
        <v>PTO-0502|MAT</v>
      </c>
      <c r="L974" s="15">
        <f>COUNTIFS($K$2:K974,K974)</f>
        <v>8</v>
      </c>
      <c r="M974" s="15" t="str">
        <f t="shared" si="112"/>
        <v>PTO-0502|MAT|8</v>
      </c>
      <c r="N974" s="47">
        <f>IFERROR(VLOOKUP(A974,PARTIDAS!A:F,6,FALSE()),0)</f>
        <v>25</v>
      </c>
      <c r="O974" s="247">
        <f t="shared" si="113"/>
        <v>1</v>
      </c>
      <c r="P974" s="247">
        <f>+_xlfn.XLOOKUP(A974,PPTO_GENERADOR!Q:Q,PPTO_GENERADOR!E:E,"-",0)</f>
        <v>77</v>
      </c>
      <c r="Q974" s="247">
        <f t="shared" si="114"/>
        <v>77</v>
      </c>
      <c r="R974" s="259">
        <f>+_xlfn.XLOOKUP(A974,PPTO_GENERADOR!$Q:$Q,PPTO_GENERADOR!A:A,"-",0)</f>
        <v>5.0199999999999996</v>
      </c>
    </row>
    <row r="975" spans="1:18" ht="14.25" customHeight="1" x14ac:dyDescent="0.35">
      <c r="A975" s="38" t="s">
        <v>127</v>
      </c>
      <c r="B975" s="38" t="s">
        <v>2774</v>
      </c>
      <c r="C975" s="38" t="s">
        <v>2775</v>
      </c>
      <c r="D975" s="38" t="s">
        <v>822</v>
      </c>
      <c r="E975" s="44" t="str">
        <f>IFERROR(VLOOKUP(D975,MATERIALES!A:B,2,FALSE()),"?")</f>
        <v>Pintura Asfaltica Asfasol x18ts</v>
      </c>
      <c r="F975" s="44" t="str">
        <f>IFERROR(VLOOKUP(D975,MATERIALES!A:C,3,FALSE()),"?")</f>
        <v>b</v>
      </c>
      <c r="G975" s="45">
        <v>2.7777777777777801E-2</v>
      </c>
      <c r="H975" s="46">
        <v>0.1</v>
      </c>
      <c r="I975" s="47">
        <f>IFERROR(VLOOKUP(D975,MATERIALES!A:D,4,FALSE()),0)</f>
        <v>32845.78</v>
      </c>
      <c r="J975" s="42">
        <f t="shared" si="115"/>
        <v>1003.6210555555565</v>
      </c>
      <c r="K975" s="15" t="str">
        <f t="shared" si="111"/>
        <v>PTO-0502|MAT</v>
      </c>
      <c r="L975" s="15">
        <f>COUNTIFS($K$2:K975,K975)</f>
        <v>9</v>
      </c>
      <c r="M975" s="15" t="str">
        <f t="shared" si="112"/>
        <v>PTO-0502|MAT|9</v>
      </c>
      <c r="N975" s="47">
        <f>IFERROR(VLOOKUP(A975,PARTIDAS!A:F,6,FALSE()),0)</f>
        <v>25</v>
      </c>
      <c r="O975" s="247">
        <f t="shared" si="113"/>
        <v>2.7777777777777801E-2</v>
      </c>
      <c r="P975" s="247">
        <f>+_xlfn.XLOOKUP(A975,PPTO_GENERADOR!Q:Q,PPTO_GENERADOR!E:E,"-",0)</f>
        <v>77</v>
      </c>
      <c r="Q975" s="247">
        <f t="shared" si="114"/>
        <v>2.1388888888888906</v>
      </c>
      <c r="R975" s="259">
        <f>+_xlfn.XLOOKUP(A975,PPTO_GENERADOR!$Q:$Q,PPTO_GENERADOR!A:A,"-",0)</f>
        <v>5.0199999999999996</v>
      </c>
    </row>
    <row r="976" spans="1:18" ht="14.25" customHeight="1" x14ac:dyDescent="0.35">
      <c r="A976" s="38" t="s">
        <v>127</v>
      </c>
      <c r="B976" s="38" t="s">
        <v>2776</v>
      </c>
      <c r="C976" s="38" t="s">
        <v>2777</v>
      </c>
      <c r="D976" s="237" t="s">
        <v>1577</v>
      </c>
      <c r="E976" s="44" t="str">
        <f>IFERROR(VLOOKUP(D976,MANO_DE_OBRA!A:B,2,FALSE()),"?")</f>
        <v>AYUDANTE</v>
      </c>
      <c r="F976" s="44" t="s">
        <v>2778</v>
      </c>
      <c r="G976" s="45">
        <v>1</v>
      </c>
      <c r="H976" s="46">
        <v>0</v>
      </c>
      <c r="I976" s="47">
        <f>IFERROR(VLOOKUP(D976,MANO_DE_OBRA!A:C,3,FALSE()),0)</f>
        <v>60860.580776572002</v>
      </c>
      <c r="J976" s="42">
        <f t="shared" ref="J976:J981" si="116">G976*I976</f>
        <v>60860.580776572002</v>
      </c>
      <c r="K976" s="15" t="str">
        <f t="shared" si="111"/>
        <v>PTO-0502|MO</v>
      </c>
      <c r="L976" s="15">
        <f>COUNTIFS($K$2:K976,K976)</f>
        <v>1</v>
      </c>
      <c r="M976" s="15" t="str">
        <f t="shared" si="112"/>
        <v>PTO-0502|MO|1</v>
      </c>
      <c r="N976" s="47">
        <f>IFERROR(VLOOKUP(A976,PARTIDAS!A:F,6,FALSE()),0)</f>
        <v>25</v>
      </c>
      <c r="O976" s="247">
        <f t="shared" si="113"/>
        <v>0.04</v>
      </c>
      <c r="P976" s="247">
        <f>+_xlfn.XLOOKUP(A976,PPTO_GENERADOR!Q:Q,PPTO_GENERADOR!E:E,"-",0)</f>
        <v>77</v>
      </c>
      <c r="Q976" s="247">
        <f t="shared" si="114"/>
        <v>3.08</v>
      </c>
      <c r="R976" s="259">
        <f>+_xlfn.XLOOKUP(A976,PPTO_GENERADOR!$Q:$Q,PPTO_GENERADOR!A:A,"-",0)</f>
        <v>5.0199999999999996</v>
      </c>
    </row>
    <row r="977" spans="1:18" ht="14.25" customHeight="1" x14ac:dyDescent="0.35">
      <c r="A977" s="38" t="s">
        <v>127</v>
      </c>
      <c r="B977" s="38" t="s">
        <v>2776</v>
      </c>
      <c r="C977" s="38" t="s">
        <v>2777</v>
      </c>
      <c r="D977" s="237" t="s">
        <v>1568</v>
      </c>
      <c r="E977" s="44" t="str">
        <f>IFERROR(VLOOKUP(D977,MANO_DE_OBRA!A:B,2,FALSE()),"?")</f>
        <v>ESPECIALIZADO</v>
      </c>
      <c r="F977" s="44" t="s">
        <v>2778</v>
      </c>
      <c r="G977" s="45">
        <v>1</v>
      </c>
      <c r="H977" s="46">
        <v>0</v>
      </c>
      <c r="I977" s="47">
        <f>IFERROR(VLOOKUP(D977,MANO_DE_OBRA!A:C,3,FALSE()),0)</f>
        <v>85927.097156571996</v>
      </c>
      <c r="J977" s="42">
        <f t="shared" si="116"/>
        <v>85927.097156571996</v>
      </c>
      <c r="K977" s="15" t="str">
        <f t="shared" si="111"/>
        <v>PTO-0502|MO</v>
      </c>
      <c r="L977" s="15">
        <f>COUNTIFS($K$2:K977,K977)</f>
        <v>2</v>
      </c>
      <c r="M977" s="15" t="str">
        <f t="shared" si="112"/>
        <v>PTO-0502|MO|2</v>
      </c>
      <c r="N977" s="47">
        <f>IFERROR(VLOOKUP(A977,PARTIDAS!A:F,6,FALSE()),0)</f>
        <v>25</v>
      </c>
      <c r="O977" s="247">
        <f t="shared" si="113"/>
        <v>0.04</v>
      </c>
      <c r="P977" s="247">
        <f>+_xlfn.XLOOKUP(A977,PPTO_GENERADOR!Q:Q,PPTO_GENERADOR!E:E,"-",0)</f>
        <v>77</v>
      </c>
      <c r="Q977" s="247">
        <f t="shared" si="114"/>
        <v>3.08</v>
      </c>
      <c r="R977" s="259">
        <f>+_xlfn.XLOOKUP(A977,PPTO_GENERADOR!$Q:$Q,PPTO_GENERADOR!A:A,"-",0)</f>
        <v>5.0199999999999996</v>
      </c>
    </row>
    <row r="978" spans="1:18" ht="14.25" customHeight="1" x14ac:dyDescent="0.35">
      <c r="A978" s="38" t="s">
        <v>127</v>
      </c>
      <c r="B978" s="38" t="s">
        <v>2776</v>
      </c>
      <c r="C978" s="38" t="s">
        <v>2775</v>
      </c>
      <c r="D978" s="38" t="s">
        <v>2411</v>
      </c>
      <c r="E978" s="44" t="str">
        <f>IFERROR(VLOOKUP(D978,SUBCONTRATOS_PRY!A:B,2,FALSE()),"?")</f>
        <v>MO adicional s/MO 100% - PTO-0502</v>
      </c>
      <c r="F978" s="44" t="s">
        <v>2778</v>
      </c>
      <c r="G978" s="45">
        <v>1</v>
      </c>
      <c r="H978" s="46">
        <v>0</v>
      </c>
      <c r="I978" s="47">
        <f>IFERROR(VLOOKUP(D978,SUBCONTRATOS_PRY!A:D,4,FALSE()),0)</f>
        <v>146787.677933144</v>
      </c>
      <c r="J978" s="42">
        <f t="shared" si="116"/>
        <v>146787.677933144</v>
      </c>
      <c r="K978" s="15" t="str">
        <f t="shared" si="111"/>
        <v>PTO-0502|MO</v>
      </c>
      <c r="L978" s="15">
        <f>COUNTIFS($K$2:K978,K978)</f>
        <v>3</v>
      </c>
      <c r="M978" s="15" t="str">
        <f t="shared" si="112"/>
        <v>PTO-0502|MO|3</v>
      </c>
      <c r="N978" s="47">
        <f>IFERROR(VLOOKUP(A978,PARTIDAS!A:F,6,FALSE()),0)</f>
        <v>25</v>
      </c>
      <c r="O978" s="247">
        <f t="shared" si="113"/>
        <v>1</v>
      </c>
      <c r="P978" s="247">
        <f>+_xlfn.XLOOKUP(A978,PPTO_GENERADOR!Q:Q,PPTO_GENERADOR!E:E,"-",0)</f>
        <v>77</v>
      </c>
      <c r="Q978" s="247">
        <f t="shared" si="114"/>
        <v>77</v>
      </c>
      <c r="R978" s="259">
        <f>+_xlfn.XLOOKUP(A978,PPTO_GENERADOR!$Q:$Q,PPTO_GENERADOR!A:A,"-",0)</f>
        <v>5.0199999999999996</v>
      </c>
    </row>
    <row r="979" spans="1:18" ht="14.25" customHeight="1" x14ac:dyDescent="0.35">
      <c r="A979" s="38" t="s">
        <v>129</v>
      </c>
      <c r="B979" s="38" t="s">
        <v>2773</v>
      </c>
      <c r="C979" s="38"/>
      <c r="D979" s="38" t="s">
        <v>1592</v>
      </c>
      <c r="E979" s="44" t="str">
        <f>IFERROR(VLOOKUP(D979,EQUIPOS!A:B,2,FALSE()),"?")</f>
        <v>ANDAMIO TUBULAR DE UNO A TRES CUERPOS</v>
      </c>
      <c r="F979" s="44"/>
      <c r="G979" s="45">
        <v>0.5</v>
      </c>
      <c r="H979" s="46">
        <v>0</v>
      </c>
      <c r="I979" s="47">
        <f>IFERROR(VLOOKUP(D979,EQUIPOS!A:F,6,FALSE()),0)</f>
        <v>571.1794909807611</v>
      </c>
      <c r="J979" s="42">
        <f t="shared" si="116"/>
        <v>285.58974549038055</v>
      </c>
      <c r="K979" s="15" t="str">
        <f t="shared" si="111"/>
        <v>PTO-0503|EQ</v>
      </c>
      <c r="L979" s="15">
        <f>COUNTIFS($K$2:K979,K979)</f>
        <v>1</v>
      </c>
      <c r="M979" s="15" t="str">
        <f t="shared" si="112"/>
        <v>PTO-0503|EQ|1</v>
      </c>
      <c r="N979" s="47">
        <f>IFERROR(VLOOKUP(A979,PARTIDAS!A:F,6,FALSE()),0)</f>
        <v>28</v>
      </c>
      <c r="O979" s="247">
        <f t="shared" si="113"/>
        <v>0.5</v>
      </c>
      <c r="P979" s="247">
        <f>+_xlfn.XLOOKUP(A979,PPTO_GENERADOR!Q:Q,PPTO_GENERADOR!E:E,"-",0)</f>
        <v>107</v>
      </c>
      <c r="Q979" s="247">
        <f t="shared" si="114"/>
        <v>53.5</v>
      </c>
      <c r="R979" s="259">
        <f>+_xlfn.XLOOKUP(A979,PPTO_GENERADOR!$Q:$Q,PPTO_GENERADOR!A:A,"-",0)</f>
        <v>5.03</v>
      </c>
    </row>
    <row r="980" spans="1:18" ht="14.25" customHeight="1" x14ac:dyDescent="0.35">
      <c r="A980" s="38" t="s">
        <v>129</v>
      </c>
      <c r="B980" s="38" t="s">
        <v>2773</v>
      </c>
      <c r="C980" s="38"/>
      <c r="D980" s="38" t="s">
        <v>1595</v>
      </c>
      <c r="E980" s="44" t="str">
        <f>IFERROR(VLOOKUP(D980,EQUIPOS!A:B,2,FALSE()),"?")</f>
        <v>EQUIPO DE ALBAÑILERIA, carpetas, ladrillo</v>
      </c>
      <c r="F980" s="44"/>
      <c r="G980" s="45">
        <v>1</v>
      </c>
      <c r="H980" s="46">
        <v>0</v>
      </c>
      <c r="I980" s="47">
        <f>IFERROR(VLOOKUP(D980,EQUIPOS!A:F,6,FALSE()),0)</f>
        <v>2287.1357450968057</v>
      </c>
      <c r="J980" s="42">
        <f t="shared" si="116"/>
        <v>2287.1357450968057</v>
      </c>
      <c r="K980" s="15" t="str">
        <f t="shared" si="111"/>
        <v>PTO-0503|EQ</v>
      </c>
      <c r="L980" s="15">
        <f>COUNTIFS($K$2:K980,K980)</f>
        <v>2</v>
      </c>
      <c r="M980" s="15" t="str">
        <f t="shared" si="112"/>
        <v>PTO-0503|EQ|2</v>
      </c>
      <c r="N980" s="47">
        <f>IFERROR(VLOOKUP(A980,PARTIDAS!A:F,6,FALSE()),0)</f>
        <v>28</v>
      </c>
      <c r="O980" s="247">
        <f t="shared" si="113"/>
        <v>1</v>
      </c>
      <c r="P980" s="247">
        <f>+_xlfn.XLOOKUP(A980,PPTO_GENERADOR!Q:Q,PPTO_GENERADOR!E:E,"-",0)</f>
        <v>107</v>
      </c>
      <c r="Q980" s="247">
        <f t="shared" si="114"/>
        <v>107</v>
      </c>
      <c r="R980" s="259">
        <f>+_xlfn.XLOOKUP(A980,PPTO_GENERADOR!$Q:$Q,PPTO_GENERADOR!A:A,"-",0)</f>
        <v>5.03</v>
      </c>
    </row>
    <row r="981" spans="1:18" ht="14.25" customHeight="1" x14ac:dyDescent="0.35">
      <c r="A981" s="38" t="s">
        <v>129</v>
      </c>
      <c r="B981" s="38" t="s">
        <v>2773</v>
      </c>
      <c r="C981" s="38"/>
      <c r="D981" s="38" t="s">
        <v>1613</v>
      </c>
      <c r="E981" s="44" t="str">
        <f>IFERROR(VLOOKUP(D981,EQUIPOS!A:B,2,FALSE()),"?")</f>
        <v>Hormigonera De 150 Litros 1hp Con Rueda Maciza</v>
      </c>
      <c r="F981" s="44"/>
      <c r="G981" s="45">
        <v>1</v>
      </c>
      <c r="H981" s="46">
        <v>0</v>
      </c>
      <c r="I981" s="47">
        <f>IFERROR(VLOOKUP(D981,EQUIPOS!A:F,6,FALSE()),0)</f>
        <v>957.25319614994726</v>
      </c>
      <c r="J981" s="42">
        <f t="shared" si="116"/>
        <v>957.25319614994726</v>
      </c>
      <c r="K981" s="15" t="str">
        <f t="shared" si="111"/>
        <v>PTO-0503|EQ</v>
      </c>
      <c r="L981" s="15">
        <f>COUNTIFS($K$2:K981,K981)</f>
        <v>3</v>
      </c>
      <c r="M981" s="15" t="str">
        <f t="shared" si="112"/>
        <v>PTO-0503|EQ|3</v>
      </c>
      <c r="N981" s="47">
        <f>IFERROR(VLOOKUP(A981,PARTIDAS!A:F,6,FALSE()),0)</f>
        <v>28</v>
      </c>
      <c r="O981" s="247">
        <f t="shared" si="113"/>
        <v>1</v>
      </c>
      <c r="P981" s="247">
        <f>+_xlfn.XLOOKUP(A981,PPTO_GENERADOR!Q:Q,PPTO_GENERADOR!E:E,"-",0)</f>
        <v>107</v>
      </c>
      <c r="Q981" s="247">
        <f t="shared" si="114"/>
        <v>107</v>
      </c>
      <c r="R981" s="259">
        <f>+_xlfn.XLOOKUP(A981,PPTO_GENERADOR!$Q:$Q,PPTO_GENERADOR!A:A,"-",0)</f>
        <v>5.03</v>
      </c>
    </row>
    <row r="982" spans="1:18" ht="14.25" customHeight="1" x14ac:dyDescent="0.35">
      <c r="A982" s="38" t="s">
        <v>129</v>
      </c>
      <c r="B982" s="38" t="s">
        <v>2774</v>
      </c>
      <c r="C982" s="38" t="s">
        <v>2775</v>
      </c>
      <c r="D982" s="38" t="s">
        <v>588</v>
      </c>
      <c r="E982" s="44" t="str">
        <f>IFERROR(VLOOKUP(D982,MATERIALES!A:B,2,FALSE()),"?")</f>
        <v>ARENA LAVADA</v>
      </c>
      <c r="F982" s="44" t="str">
        <f>IFERROR(VLOOKUP(D982,MATERIALES!A:C,3,FALSE()),"?")</f>
        <v>m3</v>
      </c>
      <c r="G982" s="45">
        <v>6.0000000000000001E-3</v>
      </c>
      <c r="H982" s="46">
        <v>0.1</v>
      </c>
      <c r="I982" s="47">
        <f>IFERROR(VLOOKUP(D982,MATERIALES!A:D,4,FALSE()),0)</f>
        <v>32399.77</v>
      </c>
      <c r="J982" s="42">
        <f>G982*I982*(1+H982)</f>
        <v>213.838482</v>
      </c>
      <c r="K982" s="15" t="str">
        <f t="shared" si="111"/>
        <v>PTO-0503|MAT</v>
      </c>
      <c r="L982" s="15">
        <f>COUNTIFS($K$2:K982,K982)</f>
        <v>1</v>
      </c>
      <c r="M982" s="15" t="str">
        <f t="shared" si="112"/>
        <v>PTO-0503|MAT|1</v>
      </c>
      <c r="N982" s="47">
        <f>IFERROR(VLOOKUP(A982,PARTIDAS!A:F,6,FALSE()),0)</f>
        <v>28</v>
      </c>
      <c r="O982" s="247">
        <f t="shared" si="113"/>
        <v>6.0000000000000001E-3</v>
      </c>
      <c r="P982" s="247">
        <f>+_xlfn.XLOOKUP(A982,PPTO_GENERADOR!Q:Q,PPTO_GENERADOR!E:E,"-",0)</f>
        <v>107</v>
      </c>
      <c r="Q982" s="247">
        <f t="shared" si="114"/>
        <v>0.64200000000000002</v>
      </c>
      <c r="R982" s="259">
        <f>+_xlfn.XLOOKUP(A982,PPTO_GENERADOR!$Q:$Q,PPTO_GENERADOR!A:A,"-",0)</f>
        <v>5.03</v>
      </c>
    </row>
    <row r="983" spans="1:18" ht="14.25" customHeight="1" x14ac:dyDescent="0.35">
      <c r="A983" s="38" t="s">
        <v>129</v>
      </c>
      <c r="B983" s="38" t="s">
        <v>2774</v>
      </c>
      <c r="C983" s="38" t="s">
        <v>2775</v>
      </c>
      <c r="D983" s="38" t="s">
        <v>599</v>
      </c>
      <c r="E983" s="44" t="str">
        <f>IFERROR(VLOOKUP(D983,MATERIALES!A:B,2,FALSE()),"?")</f>
        <v>Cemento Portland x 50kg</v>
      </c>
      <c r="F983" s="44" t="str">
        <f>IFERROR(VLOOKUP(D983,MATERIALES!A:C,3,FALSE()),"?")</f>
        <v>Bol</v>
      </c>
      <c r="G983" s="45">
        <v>5.3999999999999999E-2</v>
      </c>
      <c r="H983" s="46">
        <v>0.1</v>
      </c>
      <c r="I983" s="47">
        <f>IFERROR(VLOOKUP(D983,MATERIALES!A:D,4,FALSE()),0)</f>
        <v>7809.48</v>
      </c>
      <c r="J983" s="42">
        <f>G983*I983*(1+H983)</f>
        <v>463.88311199999998</v>
      </c>
      <c r="K983" s="15" t="str">
        <f t="shared" si="111"/>
        <v>PTO-0503|MAT</v>
      </c>
      <c r="L983" s="15">
        <f>COUNTIFS($K$2:K983,K983)</f>
        <v>2</v>
      </c>
      <c r="M983" s="15" t="str">
        <f t="shared" si="112"/>
        <v>PTO-0503|MAT|2</v>
      </c>
      <c r="N983" s="47">
        <f>IFERROR(VLOOKUP(A983,PARTIDAS!A:F,6,FALSE()),0)</f>
        <v>28</v>
      </c>
      <c r="O983" s="247">
        <f t="shared" si="113"/>
        <v>5.3999999999999999E-2</v>
      </c>
      <c r="P983" s="247">
        <f>+_xlfn.XLOOKUP(A983,PPTO_GENERADOR!Q:Q,PPTO_GENERADOR!E:E,"-",0)</f>
        <v>107</v>
      </c>
      <c r="Q983" s="247">
        <f t="shared" si="114"/>
        <v>5.7779999999999996</v>
      </c>
      <c r="R983" s="259">
        <f>+_xlfn.XLOOKUP(A983,PPTO_GENERADOR!$Q:$Q,PPTO_GENERADOR!A:A,"-",0)</f>
        <v>5.03</v>
      </c>
    </row>
    <row r="984" spans="1:18" ht="14.25" customHeight="1" x14ac:dyDescent="0.35">
      <c r="A984" s="38" t="s">
        <v>129</v>
      </c>
      <c r="B984" s="38" t="s">
        <v>2774</v>
      </c>
      <c r="C984" s="38" t="s">
        <v>2775</v>
      </c>
      <c r="D984" s="38" t="s">
        <v>660</v>
      </c>
      <c r="E984" s="44" t="str">
        <f>IFERROR(VLOOKUP(D984,MATERIALES!A:B,2,FALSE()),"?")</f>
        <v>Aditivo Hidrofugo en pasta - Ceresita x 1kg</v>
      </c>
      <c r="F984" s="44" t="str">
        <f>IFERROR(VLOOKUP(D984,MATERIALES!A:C,3,FALSE()),"?")</f>
        <v>kg</v>
      </c>
      <c r="G984" s="45">
        <v>0.1</v>
      </c>
      <c r="H984" s="46">
        <v>0.05</v>
      </c>
      <c r="I984" s="47">
        <f>IFERROR(VLOOKUP(D984,MATERIALES!A:D,4,FALSE()),0)</f>
        <v>1256.1279999999999</v>
      </c>
      <c r="J984" s="42">
        <f>G984*I984*(1+H984)</f>
        <v>131.89344</v>
      </c>
      <c r="K984" s="15" t="str">
        <f t="shared" si="111"/>
        <v>PTO-0503|MAT</v>
      </c>
      <c r="L984" s="15">
        <f>COUNTIFS($K$2:K984,K984)</f>
        <v>3</v>
      </c>
      <c r="M984" s="15" t="str">
        <f t="shared" si="112"/>
        <v>PTO-0503|MAT|3</v>
      </c>
      <c r="N984" s="47">
        <f>IFERROR(VLOOKUP(A984,PARTIDAS!A:F,6,FALSE()),0)</f>
        <v>28</v>
      </c>
      <c r="O984" s="247">
        <f t="shared" si="113"/>
        <v>0.1</v>
      </c>
      <c r="P984" s="247">
        <f>+_xlfn.XLOOKUP(A984,PPTO_GENERADOR!Q:Q,PPTO_GENERADOR!E:E,"-",0)</f>
        <v>107</v>
      </c>
      <c r="Q984" s="247">
        <f t="shared" si="114"/>
        <v>10.700000000000001</v>
      </c>
      <c r="R984" s="259">
        <f>+_xlfn.XLOOKUP(A984,PPTO_GENERADOR!$Q:$Q,PPTO_GENERADOR!A:A,"-",0)</f>
        <v>5.03</v>
      </c>
    </row>
    <row r="985" spans="1:18" ht="14.25" customHeight="1" x14ac:dyDescent="0.35">
      <c r="A985" s="38" t="s">
        <v>129</v>
      </c>
      <c r="B985" s="38" t="s">
        <v>2776</v>
      </c>
      <c r="C985" s="38" t="s">
        <v>2777</v>
      </c>
      <c r="D985" s="237" t="s">
        <v>1577</v>
      </c>
      <c r="E985" s="44" t="str">
        <f>IFERROR(VLOOKUP(D985,MANO_DE_OBRA!A:B,2,FALSE()),"?")</f>
        <v>AYUDANTE</v>
      </c>
      <c r="F985" s="44" t="s">
        <v>2778</v>
      </c>
      <c r="G985" s="45">
        <v>0.4</v>
      </c>
      <c r="H985" s="46">
        <v>0</v>
      </c>
      <c r="I985" s="47">
        <f>IFERROR(VLOOKUP(D985,MANO_DE_OBRA!A:C,3,FALSE()),0)</f>
        <v>60860.580776572002</v>
      </c>
      <c r="J985" s="42">
        <f>G985*I985</f>
        <v>24344.232310628802</v>
      </c>
      <c r="K985" s="15" t="str">
        <f t="shared" si="111"/>
        <v>PTO-0503|MO</v>
      </c>
      <c r="L985" s="15">
        <f>COUNTIFS($K$2:K985,K985)</f>
        <v>1</v>
      </c>
      <c r="M985" s="15" t="str">
        <f t="shared" si="112"/>
        <v>PTO-0503|MO|1</v>
      </c>
      <c r="N985" s="47">
        <f>IFERROR(VLOOKUP(A985,PARTIDAS!A:F,6,FALSE()),0)</f>
        <v>28</v>
      </c>
      <c r="O985" s="247">
        <f t="shared" si="113"/>
        <v>1.4285714285714287E-2</v>
      </c>
      <c r="P985" s="247">
        <f>+_xlfn.XLOOKUP(A985,PPTO_GENERADOR!Q:Q,PPTO_GENERADOR!E:E,"-",0)</f>
        <v>107</v>
      </c>
      <c r="Q985" s="247">
        <f t="shared" si="114"/>
        <v>1.5285714285714287</v>
      </c>
      <c r="R985" s="259">
        <f>+_xlfn.XLOOKUP(A985,PPTO_GENERADOR!$Q:$Q,PPTO_GENERADOR!A:A,"-",0)</f>
        <v>5.03</v>
      </c>
    </row>
    <row r="986" spans="1:18" ht="14.25" customHeight="1" x14ac:dyDescent="0.35">
      <c r="A986" s="38" t="s">
        <v>129</v>
      </c>
      <c r="B986" s="38" t="s">
        <v>2776</v>
      </c>
      <c r="C986" s="38" t="s">
        <v>2777</v>
      </c>
      <c r="D986" s="237" t="s">
        <v>1568</v>
      </c>
      <c r="E986" s="44" t="str">
        <f>IFERROR(VLOOKUP(D986,MANO_DE_OBRA!A:B,2,FALSE()),"?")</f>
        <v>ESPECIALIZADO</v>
      </c>
      <c r="F986" s="44" t="s">
        <v>2778</v>
      </c>
      <c r="G986" s="45">
        <v>1</v>
      </c>
      <c r="H986" s="46">
        <v>0</v>
      </c>
      <c r="I986" s="47">
        <f>IFERROR(VLOOKUP(D986,MANO_DE_OBRA!A:C,3,FALSE()),0)</f>
        <v>85927.097156571996</v>
      </c>
      <c r="J986" s="42">
        <f>G986*I986</f>
        <v>85927.097156571996</v>
      </c>
      <c r="K986" s="15" t="str">
        <f t="shared" si="111"/>
        <v>PTO-0503|MO</v>
      </c>
      <c r="L986" s="15">
        <f>COUNTIFS($K$2:K986,K986)</f>
        <v>2</v>
      </c>
      <c r="M986" s="15" t="str">
        <f t="shared" si="112"/>
        <v>PTO-0503|MO|2</v>
      </c>
      <c r="N986" s="47">
        <f>IFERROR(VLOOKUP(A986,PARTIDAS!A:F,6,FALSE()),0)</f>
        <v>28</v>
      </c>
      <c r="O986" s="247">
        <f t="shared" si="113"/>
        <v>3.5714285714285712E-2</v>
      </c>
      <c r="P986" s="247">
        <f>+_xlfn.XLOOKUP(A986,PPTO_GENERADOR!Q:Q,PPTO_GENERADOR!E:E,"-",0)</f>
        <v>107</v>
      </c>
      <c r="Q986" s="247">
        <f t="shared" si="114"/>
        <v>3.8214285714285712</v>
      </c>
      <c r="R986" s="259">
        <f>+_xlfn.XLOOKUP(A986,PPTO_GENERADOR!$Q:$Q,PPTO_GENERADOR!A:A,"-",0)</f>
        <v>5.03</v>
      </c>
    </row>
    <row r="987" spans="1:18" ht="14.25" customHeight="1" x14ac:dyDescent="0.35">
      <c r="A987" s="38" t="s">
        <v>131</v>
      </c>
      <c r="B987" s="38" t="s">
        <v>2774</v>
      </c>
      <c r="C987" s="38" t="s">
        <v>2775</v>
      </c>
      <c r="D987" s="38" t="s">
        <v>1184</v>
      </c>
      <c r="E987" s="44" t="str">
        <f>IFERROR(VLOOKUP(D987,MATERIALES!A:B,2,FALSE()),"?")</f>
        <v>Telgopor 1 x 1 x 20 mm densidad 20 kg</v>
      </c>
      <c r="F987" s="44" t="str">
        <f>IFERROR(VLOOKUP(D987,MATERIALES!A:C,3,FALSE()),"?")</f>
        <v>u</v>
      </c>
      <c r="G987" s="45">
        <v>1</v>
      </c>
      <c r="H987" s="46">
        <v>0</v>
      </c>
      <c r="I987" s="47">
        <f>IFERROR(VLOOKUP(D987,MATERIALES!A:D,4,FALSE()),0)</f>
        <v>3625.4</v>
      </c>
      <c r="J987" s="42">
        <f>G987*I987*(1+H987)</f>
        <v>3625.4</v>
      </c>
      <c r="K987" s="15" t="str">
        <f t="shared" si="111"/>
        <v>PTO-0504|MAT</v>
      </c>
      <c r="L987" s="15">
        <f>COUNTIFS($K$2:K987,K987)</f>
        <v>1</v>
      </c>
      <c r="M987" s="15" t="str">
        <f t="shared" si="112"/>
        <v>PTO-0504|MAT|1</v>
      </c>
      <c r="N987" s="47">
        <f>IFERROR(VLOOKUP(A987,PARTIDAS!A:F,6,FALSE()),0)</f>
        <v>1</v>
      </c>
      <c r="O987" s="247">
        <f t="shared" si="113"/>
        <v>1</v>
      </c>
      <c r="P987" s="247">
        <f>+_xlfn.XLOOKUP(A987,PPTO_GENERADOR!Q:Q,PPTO_GENERADOR!E:E,"-",0)</f>
        <v>186</v>
      </c>
      <c r="Q987" s="247">
        <f t="shared" si="114"/>
        <v>186</v>
      </c>
      <c r="R987" s="259">
        <f>+_xlfn.XLOOKUP(A987,PPTO_GENERADOR!$Q:$Q,PPTO_GENERADOR!A:A,"-",0)</f>
        <v>5.04</v>
      </c>
    </row>
    <row r="988" spans="1:18" ht="14.25" customHeight="1" x14ac:dyDescent="0.35">
      <c r="A988" s="38" t="s">
        <v>2688</v>
      </c>
      <c r="B988" s="38" t="s">
        <v>2773</v>
      </c>
      <c r="C988" s="38"/>
      <c r="D988" s="38" t="s">
        <v>1616</v>
      </c>
      <c r="E988" s="44" t="str">
        <f>IFERROR(VLOOKUP(D988,EQUIPOS!A:B,2,FALSE()),"?")</f>
        <v>Soldador Soplete A Gas Techista Membrana 10 Kg Boca 50mm</v>
      </c>
      <c r="F988" s="44"/>
      <c r="G988" s="45">
        <v>1</v>
      </c>
      <c r="H988" s="46">
        <v>0</v>
      </c>
      <c r="I988" s="47">
        <f>IFERROR(VLOOKUP(D988,EQUIPOS!A:F,6,FALSE()),0)</f>
        <v>804.50568716120006</v>
      </c>
      <c r="J988" s="42">
        <f>G988*I988</f>
        <v>804.50568716120006</v>
      </c>
      <c r="K988" s="15" t="str">
        <f t="shared" si="111"/>
        <v>PTO-0505|EQ</v>
      </c>
      <c r="L988" s="15">
        <f>COUNTIFS($K$2:K988,K988)</f>
        <v>1</v>
      </c>
      <c r="M988" s="15" t="str">
        <f t="shared" si="112"/>
        <v>PTO-0505|EQ|1</v>
      </c>
      <c r="N988" s="47">
        <f>IFERROR(VLOOKUP(A988,PARTIDAS!A:F,6,FALSE()),0)</f>
        <v>80</v>
      </c>
      <c r="O988" s="247">
        <f t="shared" si="113"/>
        <v>1</v>
      </c>
      <c r="P988" s="247" t="str">
        <f>+_xlfn.XLOOKUP(A988,PPTO_GENERADOR!Q:Q,PPTO_GENERADOR!E:E,"-",0)</f>
        <v>-</v>
      </c>
      <c r="Q988" s="247">
        <f t="shared" si="114"/>
        <v>0</v>
      </c>
      <c r="R988" s="259" t="str">
        <f>+_xlfn.XLOOKUP(A988,PPTO_GENERADOR!$Q:$Q,PPTO_GENERADOR!A:A,"-",0)</f>
        <v>-</v>
      </c>
    </row>
    <row r="989" spans="1:18" ht="14.25" customHeight="1" x14ac:dyDescent="0.35">
      <c r="A989" s="38" t="s">
        <v>2688</v>
      </c>
      <c r="B989" s="38" t="s">
        <v>2774</v>
      </c>
      <c r="C989" s="38" t="s">
        <v>2775</v>
      </c>
      <c r="D989" s="38" t="s">
        <v>845</v>
      </c>
      <c r="E989" s="44" t="str">
        <f>IFERROR(VLOOKUP(D989,MATERIALES!A:B,2,FALSE()),"?")</f>
        <v>Aguarras Hydrarras Hydra x 18lts</v>
      </c>
      <c r="F989" s="44" t="str">
        <f>IFERROR(VLOOKUP(D989,MATERIALES!A:C,3,FALSE()),"?")</f>
        <v>b</v>
      </c>
      <c r="G989" s="45">
        <v>2E-3</v>
      </c>
      <c r="H989" s="46">
        <v>0.05</v>
      </c>
      <c r="I989" s="47">
        <f>IFERROR(VLOOKUP(D989,MATERIALES!A:D,4,FALSE()),0)</f>
        <v>26907.33</v>
      </c>
      <c r="J989" s="42">
        <f>G989*I989*(1+H989)</f>
        <v>56.505393000000005</v>
      </c>
      <c r="K989" s="15" t="str">
        <f t="shared" si="111"/>
        <v>PTO-0505|MAT</v>
      </c>
      <c r="L989" s="15">
        <f>COUNTIFS($K$2:K989,K989)</f>
        <v>1</v>
      </c>
      <c r="M989" s="15" t="str">
        <f t="shared" si="112"/>
        <v>PTO-0505|MAT|1</v>
      </c>
      <c r="N989" s="47">
        <f>IFERROR(VLOOKUP(A989,PARTIDAS!A:F,6,FALSE()),0)</f>
        <v>80</v>
      </c>
      <c r="O989" s="247">
        <f t="shared" si="113"/>
        <v>2E-3</v>
      </c>
      <c r="P989" s="247" t="str">
        <f>+_xlfn.XLOOKUP(A989,PPTO_GENERADOR!Q:Q,PPTO_GENERADOR!E:E,"-",0)</f>
        <v>-</v>
      </c>
      <c r="Q989" s="247">
        <f t="shared" si="114"/>
        <v>0</v>
      </c>
      <c r="R989" s="259" t="str">
        <f>+_xlfn.XLOOKUP(A989,PPTO_GENERADOR!$Q:$Q,PPTO_GENERADOR!A:A,"-",0)</f>
        <v>-</v>
      </c>
    </row>
    <row r="990" spans="1:18" ht="14.25" customHeight="1" x14ac:dyDescent="0.35">
      <c r="A990" s="38" t="s">
        <v>2688</v>
      </c>
      <c r="B990" s="38" t="s">
        <v>2774</v>
      </c>
      <c r="C990" s="38" t="s">
        <v>2775</v>
      </c>
      <c r="D990" s="38" t="s">
        <v>855</v>
      </c>
      <c r="E990" s="44" t="str">
        <f>IFERROR(VLOOKUP(D990,MATERIALES!A:B,2,FALSE()),"?")</f>
        <v>Trapo</v>
      </c>
      <c r="F990" s="44" t="str">
        <f>IFERROR(VLOOKUP(D990,MATERIALES!A:C,3,FALSE()),"?")</f>
        <v>u</v>
      </c>
      <c r="G990" s="45">
        <v>0.02</v>
      </c>
      <c r="H990" s="46">
        <v>0.05</v>
      </c>
      <c r="I990" s="47">
        <f>IFERROR(VLOOKUP(D990,MATERIALES!A:D,4,FALSE()),0)</f>
        <v>735.06</v>
      </c>
      <c r="J990" s="42">
        <f>G990*I990*(1+H990)</f>
        <v>15.436260000000001</v>
      </c>
      <c r="K990" s="15" t="str">
        <f t="shared" si="111"/>
        <v>PTO-0505|MAT</v>
      </c>
      <c r="L990" s="15">
        <f>COUNTIFS($K$2:K990,K990)</f>
        <v>2</v>
      </c>
      <c r="M990" s="15" t="str">
        <f t="shared" si="112"/>
        <v>PTO-0505|MAT|2</v>
      </c>
      <c r="N990" s="47">
        <f>IFERROR(VLOOKUP(A990,PARTIDAS!A:F,6,FALSE()),0)</f>
        <v>80</v>
      </c>
      <c r="O990" s="247">
        <f t="shared" si="113"/>
        <v>0.02</v>
      </c>
      <c r="P990" s="247" t="str">
        <f>+_xlfn.XLOOKUP(A990,PPTO_GENERADOR!Q:Q,PPTO_GENERADOR!E:E,"-",0)</f>
        <v>-</v>
      </c>
      <c r="Q990" s="247">
        <f t="shared" si="114"/>
        <v>0</v>
      </c>
      <c r="R990" s="259" t="str">
        <f>+_xlfn.XLOOKUP(A990,PPTO_GENERADOR!$Q:$Q,PPTO_GENERADOR!A:A,"-",0)</f>
        <v>-</v>
      </c>
    </row>
    <row r="991" spans="1:18" ht="14.25" customHeight="1" x14ac:dyDescent="0.35">
      <c r="A991" s="38" t="s">
        <v>2688</v>
      </c>
      <c r="B991" s="38" t="s">
        <v>2774</v>
      </c>
      <c r="C991" s="38" t="s">
        <v>2775</v>
      </c>
      <c r="D991" s="38" t="s">
        <v>863</v>
      </c>
      <c r="E991" s="44" t="str">
        <f>IFERROR(VLOOKUP(D991,MATERIALES!A:B,2,FALSE()),"?")</f>
        <v>Rodillo de lana pelo largo N°22 - El Galgo</v>
      </c>
      <c r="F991" s="44" t="str">
        <f>IFERROR(VLOOKUP(D991,MATERIALES!A:C,3,FALSE()),"?")</f>
        <v>u</v>
      </c>
      <c r="G991" s="45">
        <v>0.01</v>
      </c>
      <c r="H991" s="46">
        <v>0.05</v>
      </c>
      <c r="I991" s="47">
        <f>IFERROR(VLOOKUP(D991,MATERIALES!A:D,4,FALSE()),0)</f>
        <v>6678.36</v>
      </c>
      <c r="J991" s="42">
        <f>G991*I991*(1+H991)</f>
        <v>70.122779999999992</v>
      </c>
      <c r="K991" s="15" t="str">
        <f t="shared" si="111"/>
        <v>PTO-0505|MAT</v>
      </c>
      <c r="L991" s="15">
        <f>COUNTIFS($K$2:K991,K991)</f>
        <v>3</v>
      </c>
      <c r="M991" s="15" t="str">
        <f t="shared" si="112"/>
        <v>PTO-0505|MAT|3</v>
      </c>
      <c r="N991" s="47">
        <f>IFERROR(VLOOKUP(A991,PARTIDAS!A:F,6,FALSE()),0)</f>
        <v>80</v>
      </c>
      <c r="O991" s="247">
        <f t="shared" si="113"/>
        <v>0.01</v>
      </c>
      <c r="P991" s="247" t="str">
        <f>+_xlfn.XLOOKUP(A991,PPTO_GENERADOR!Q:Q,PPTO_GENERADOR!E:E,"-",0)</f>
        <v>-</v>
      </c>
      <c r="Q991" s="247">
        <f t="shared" si="114"/>
        <v>0</v>
      </c>
      <c r="R991" s="259" t="str">
        <f>+_xlfn.XLOOKUP(A991,PPTO_GENERADOR!$Q:$Q,PPTO_GENERADOR!A:A,"-",0)</f>
        <v>-</v>
      </c>
    </row>
    <row r="992" spans="1:18" ht="14.25" customHeight="1" x14ac:dyDescent="0.35">
      <c r="A992" s="38" t="s">
        <v>2688</v>
      </c>
      <c r="B992" s="38" t="s">
        <v>2774</v>
      </c>
      <c r="C992" s="38" t="s">
        <v>2775</v>
      </c>
      <c r="D992" s="38" t="s">
        <v>865</v>
      </c>
      <c r="E992" s="44" t="str">
        <f>IFERROR(VLOOKUP(D992,MATERIALES!A:B,2,FALSE()),"?")</f>
        <v>Pincel N° 20 - El Galgo</v>
      </c>
      <c r="F992" s="44" t="str">
        <f>IFERROR(VLOOKUP(D992,MATERIALES!A:C,3,FALSE()),"?")</f>
        <v>u</v>
      </c>
      <c r="G992" s="45">
        <v>0.02</v>
      </c>
      <c r="H992" s="46">
        <v>0.05</v>
      </c>
      <c r="I992" s="47">
        <f>IFERROR(VLOOKUP(D992,MATERIALES!A:D,4,FALSE()),0)</f>
        <v>5282.24</v>
      </c>
      <c r="J992" s="42">
        <f>G992*I992*(1+H992)</f>
        <v>110.92704000000001</v>
      </c>
      <c r="K992" s="15" t="str">
        <f t="shared" si="111"/>
        <v>PTO-0505|MAT</v>
      </c>
      <c r="L992" s="15">
        <f>COUNTIFS($K$2:K992,K992)</f>
        <v>4</v>
      </c>
      <c r="M992" s="15" t="str">
        <f t="shared" si="112"/>
        <v>PTO-0505|MAT|4</v>
      </c>
      <c r="N992" s="47">
        <f>IFERROR(VLOOKUP(A992,PARTIDAS!A:F,6,FALSE()),0)</f>
        <v>80</v>
      </c>
      <c r="O992" s="247">
        <f t="shared" si="113"/>
        <v>0.02</v>
      </c>
      <c r="P992" s="247" t="str">
        <f>+_xlfn.XLOOKUP(A992,PPTO_GENERADOR!Q:Q,PPTO_GENERADOR!E:E,"-",0)</f>
        <v>-</v>
      </c>
      <c r="Q992" s="247">
        <f t="shared" si="114"/>
        <v>0</v>
      </c>
      <c r="R992" s="259" t="str">
        <f>+_xlfn.XLOOKUP(A992,PPTO_GENERADOR!$Q:$Q,PPTO_GENERADOR!A:A,"-",0)</f>
        <v>-</v>
      </c>
    </row>
    <row r="993" spans="1:18" ht="14.25" customHeight="1" x14ac:dyDescent="0.35">
      <c r="A993" s="38" t="s">
        <v>2688</v>
      </c>
      <c r="B993" s="38" t="s">
        <v>2774</v>
      </c>
      <c r="C993" s="38" t="s">
        <v>2775</v>
      </c>
      <c r="D993" s="38" t="s">
        <v>822</v>
      </c>
      <c r="E993" s="44" t="str">
        <f>IFERROR(VLOOKUP(D993,MATERIALES!A:B,2,FALSE()),"?")</f>
        <v>Pintura Asfaltica Asfasol x18ts</v>
      </c>
      <c r="F993" s="44" t="str">
        <f>IFERROR(VLOOKUP(D993,MATERIALES!A:C,3,FALSE()),"?")</f>
        <v>b</v>
      </c>
      <c r="G993" s="45">
        <v>2.7777777777777801E-2</v>
      </c>
      <c r="H993" s="46">
        <v>0.1</v>
      </c>
      <c r="I993" s="47">
        <f>IFERROR(VLOOKUP(D993,MATERIALES!A:D,4,FALSE()),0)</f>
        <v>32845.78</v>
      </c>
      <c r="J993" s="42">
        <f>G993*I993*(1+H993)</f>
        <v>1003.6210555555565</v>
      </c>
      <c r="K993" s="15" t="str">
        <f t="shared" si="111"/>
        <v>PTO-0505|MAT</v>
      </c>
      <c r="L993" s="15">
        <f>COUNTIFS($K$2:K993,K993)</f>
        <v>5</v>
      </c>
      <c r="M993" s="15" t="str">
        <f t="shared" si="112"/>
        <v>PTO-0505|MAT|5</v>
      </c>
      <c r="N993" s="47">
        <f>IFERROR(VLOOKUP(A993,PARTIDAS!A:F,6,FALSE()),0)</f>
        <v>80</v>
      </c>
      <c r="O993" s="247">
        <f t="shared" si="113"/>
        <v>2.7777777777777801E-2</v>
      </c>
      <c r="P993" s="247" t="str">
        <f>+_xlfn.XLOOKUP(A993,PPTO_GENERADOR!Q:Q,PPTO_GENERADOR!E:E,"-",0)</f>
        <v>-</v>
      </c>
      <c r="Q993" s="247">
        <f t="shared" si="114"/>
        <v>0</v>
      </c>
      <c r="R993" s="259" t="str">
        <f>+_xlfn.XLOOKUP(A993,PPTO_GENERADOR!$Q:$Q,PPTO_GENERADOR!A:A,"-",0)</f>
        <v>-</v>
      </c>
    </row>
    <row r="994" spans="1:18" ht="14.25" customHeight="1" x14ac:dyDescent="0.35">
      <c r="A994" s="38" t="s">
        <v>2688</v>
      </c>
      <c r="B994" s="38" t="s">
        <v>2776</v>
      </c>
      <c r="C994" s="38" t="s">
        <v>2777</v>
      </c>
      <c r="D994" s="237" t="s">
        <v>1577</v>
      </c>
      <c r="E994" s="44" t="str">
        <f>IFERROR(VLOOKUP(D994,MANO_DE_OBRA!A:B,2,FALSE()),"?")</f>
        <v>AYUDANTE</v>
      </c>
      <c r="F994" s="44" t="s">
        <v>2778</v>
      </c>
      <c r="G994" s="45">
        <v>1</v>
      </c>
      <c r="H994" s="46">
        <v>0</v>
      </c>
      <c r="I994" s="47">
        <f>IFERROR(VLOOKUP(D994,MANO_DE_OBRA!A:C,3,FALSE()),0)</f>
        <v>60860.580776572002</v>
      </c>
      <c r="J994" s="42">
        <f>G994*I994</f>
        <v>60860.580776572002</v>
      </c>
      <c r="K994" s="15" t="str">
        <f t="shared" si="111"/>
        <v>PTO-0505|MO</v>
      </c>
      <c r="L994" s="15">
        <f>COUNTIFS($K$2:K994,K994)</f>
        <v>1</v>
      </c>
      <c r="M994" s="15" t="str">
        <f t="shared" si="112"/>
        <v>PTO-0505|MO|1</v>
      </c>
      <c r="N994" s="47">
        <f>IFERROR(VLOOKUP(A994,PARTIDAS!A:F,6,FALSE()),0)</f>
        <v>80</v>
      </c>
      <c r="O994" s="247">
        <f t="shared" si="113"/>
        <v>1.2500000000000001E-2</v>
      </c>
      <c r="P994" s="247" t="str">
        <f>+_xlfn.XLOOKUP(A994,PPTO_GENERADOR!Q:Q,PPTO_GENERADOR!E:E,"-",0)</f>
        <v>-</v>
      </c>
      <c r="Q994" s="247">
        <f t="shared" si="114"/>
        <v>0</v>
      </c>
      <c r="R994" s="259" t="str">
        <f>+_xlfn.XLOOKUP(A994,PPTO_GENERADOR!$Q:$Q,PPTO_GENERADOR!A:A,"-",0)</f>
        <v>-</v>
      </c>
    </row>
    <row r="995" spans="1:18" ht="14.25" customHeight="1" x14ac:dyDescent="0.35">
      <c r="A995" s="38" t="s">
        <v>2688</v>
      </c>
      <c r="B995" s="38" t="s">
        <v>2776</v>
      </c>
      <c r="C995" s="38" t="s">
        <v>2777</v>
      </c>
      <c r="D995" s="237" t="s">
        <v>1571</v>
      </c>
      <c r="E995" s="44" t="str">
        <f>IFERROR(VLOOKUP(D995,MANO_DE_OBRA!A:B,2,FALSE()),"?")</f>
        <v>OFICIAL</v>
      </c>
      <c r="F995" s="44" t="s">
        <v>2778</v>
      </c>
      <c r="G995" s="45">
        <v>1</v>
      </c>
      <c r="H995" s="46">
        <v>0</v>
      </c>
      <c r="I995" s="47">
        <f>IFERROR(VLOOKUP(D995,MANO_DE_OBRA!A:C,3,FALSE()),0)</f>
        <v>76955.079706571996</v>
      </c>
      <c r="J995" s="42">
        <f>G995*I995</f>
        <v>76955.079706571996</v>
      </c>
      <c r="K995" s="15" t="str">
        <f t="shared" si="111"/>
        <v>PTO-0505|MO</v>
      </c>
      <c r="L995" s="15">
        <f>COUNTIFS($K$2:K995,K995)</f>
        <v>2</v>
      </c>
      <c r="M995" s="15" t="str">
        <f t="shared" si="112"/>
        <v>PTO-0505|MO|2</v>
      </c>
      <c r="N995" s="47">
        <f>IFERROR(VLOOKUP(A995,PARTIDAS!A:F,6,FALSE()),0)</f>
        <v>80</v>
      </c>
      <c r="O995" s="247">
        <f t="shared" si="113"/>
        <v>1.2500000000000001E-2</v>
      </c>
      <c r="P995" s="247" t="str">
        <f>+_xlfn.XLOOKUP(A995,PPTO_GENERADOR!Q:Q,PPTO_GENERADOR!E:E,"-",0)</f>
        <v>-</v>
      </c>
      <c r="Q995" s="247">
        <f t="shared" si="114"/>
        <v>0</v>
      </c>
      <c r="R995" s="259" t="str">
        <f>+_xlfn.XLOOKUP(A995,PPTO_GENERADOR!$Q:$Q,PPTO_GENERADOR!A:A,"-",0)</f>
        <v>-</v>
      </c>
    </row>
    <row r="996" spans="1:18" ht="14.25" customHeight="1" x14ac:dyDescent="0.35">
      <c r="A996" s="38" t="s">
        <v>135</v>
      </c>
      <c r="B996" s="38" t="s">
        <v>2773</v>
      </c>
      <c r="C996" s="38"/>
      <c r="D996" s="38" t="s">
        <v>1616</v>
      </c>
      <c r="E996" s="44" t="str">
        <f>IFERROR(VLOOKUP(D996,EQUIPOS!A:B,2,FALSE()),"?")</f>
        <v>Soldador Soplete A Gas Techista Membrana 10 Kg Boca 50mm</v>
      </c>
      <c r="F996" s="44"/>
      <c r="G996" s="45">
        <v>1</v>
      </c>
      <c r="H996" s="46">
        <v>0</v>
      </c>
      <c r="I996" s="47">
        <f>IFERROR(VLOOKUP(D996,EQUIPOS!A:F,6,FALSE()),0)</f>
        <v>804.50568716120006</v>
      </c>
      <c r="J996" s="42">
        <f>G996*I996</f>
        <v>804.50568716120006</v>
      </c>
      <c r="K996" s="15" t="str">
        <f t="shared" si="111"/>
        <v>PTO-0506|EQ</v>
      </c>
      <c r="L996" s="15">
        <f>COUNTIFS($K$2:K996,K996)</f>
        <v>1</v>
      </c>
      <c r="M996" s="15" t="str">
        <f t="shared" si="112"/>
        <v>PTO-0506|EQ|1</v>
      </c>
      <c r="N996" s="47">
        <f>IFERROR(VLOOKUP(A996,PARTIDAS!A:F,6,FALSE()),0)</f>
        <v>25</v>
      </c>
      <c r="O996" s="247">
        <f t="shared" si="113"/>
        <v>1</v>
      </c>
      <c r="P996" s="247">
        <f>+_xlfn.XLOOKUP(A996,PPTO_GENERADOR!Q:Q,PPTO_GENERADOR!E:E,"-",0)</f>
        <v>390</v>
      </c>
      <c r="Q996" s="247">
        <f t="shared" si="114"/>
        <v>390</v>
      </c>
      <c r="R996" s="259">
        <f>+_xlfn.XLOOKUP(A996,PPTO_GENERADOR!$Q:$Q,PPTO_GENERADOR!A:A,"-",0)</f>
        <v>5.0599999999999996</v>
      </c>
    </row>
    <row r="997" spans="1:18" ht="14.25" customHeight="1" x14ac:dyDescent="0.35">
      <c r="A997" s="38" t="s">
        <v>135</v>
      </c>
      <c r="B997" s="38" t="s">
        <v>2774</v>
      </c>
      <c r="C997" s="38" t="s">
        <v>2775</v>
      </c>
      <c r="D997" s="38" t="s">
        <v>831</v>
      </c>
      <c r="E997" s="44" t="str">
        <f>IFERROR(VLOOKUP(D997,MATERIALES!A:B,2,FALSE()),"?")</f>
        <v>Membrana Geotextil Ormiflex 4mm - (35kg) x10m</v>
      </c>
      <c r="F997" s="44" t="str">
        <f>IFERROR(VLOOKUP(D997,MATERIALES!A:C,3,FALSE()),"?")</f>
        <v>u</v>
      </c>
      <c r="G997" s="45">
        <v>0.1</v>
      </c>
      <c r="H997" s="46">
        <v>0.1</v>
      </c>
      <c r="I997" s="47">
        <f>IFERROR(VLOOKUP(D997,MATERIALES!A:D,4,FALSE()),0)</f>
        <v>70192.210000000006</v>
      </c>
      <c r="J997" s="42">
        <f t="shared" ref="J997:J1005" si="117">G997*I997*(1+H997)</f>
        <v>7721.1431000000021</v>
      </c>
      <c r="K997" s="15" t="str">
        <f t="shared" si="111"/>
        <v>PTO-0506|MAT</v>
      </c>
      <c r="L997" s="15">
        <f>COUNTIFS($K$2:K997,K997)</f>
        <v>1</v>
      </c>
      <c r="M997" s="15" t="str">
        <f t="shared" si="112"/>
        <v>PTO-0506|MAT|1</v>
      </c>
      <c r="N997" s="47">
        <f>IFERROR(VLOOKUP(A997,PARTIDAS!A:F,6,FALSE()),0)</f>
        <v>25</v>
      </c>
      <c r="O997" s="247">
        <f t="shared" si="113"/>
        <v>0.1</v>
      </c>
      <c r="P997" s="247">
        <f>+_xlfn.XLOOKUP(A997,PPTO_GENERADOR!Q:Q,PPTO_GENERADOR!E:E,"-",0)</f>
        <v>390</v>
      </c>
      <c r="Q997" s="247">
        <f t="shared" si="114"/>
        <v>39</v>
      </c>
      <c r="R997" s="259">
        <f>+_xlfn.XLOOKUP(A997,PPTO_GENERADOR!$Q:$Q,PPTO_GENERADOR!A:A,"-",0)</f>
        <v>5.0599999999999996</v>
      </c>
    </row>
    <row r="998" spans="1:18" ht="14.25" customHeight="1" x14ac:dyDescent="0.35">
      <c r="A998" s="38" t="s">
        <v>135</v>
      </c>
      <c r="B998" s="38" t="s">
        <v>2774</v>
      </c>
      <c r="C998" s="38" t="s">
        <v>2775</v>
      </c>
      <c r="D998" s="38" t="s">
        <v>845</v>
      </c>
      <c r="E998" s="44" t="str">
        <f>IFERROR(VLOOKUP(D998,MATERIALES!A:B,2,FALSE()),"?")</f>
        <v>Aguarras Hydrarras Hydra x 18lts</v>
      </c>
      <c r="F998" s="44" t="str">
        <f>IFERROR(VLOOKUP(D998,MATERIALES!A:C,3,FALSE()),"?")</f>
        <v>b</v>
      </c>
      <c r="G998" s="45">
        <v>0.01</v>
      </c>
      <c r="H998" s="46">
        <v>0.05</v>
      </c>
      <c r="I998" s="47">
        <f>IFERROR(VLOOKUP(D998,MATERIALES!A:D,4,FALSE()),0)</f>
        <v>26907.33</v>
      </c>
      <c r="J998" s="42">
        <f t="shared" si="117"/>
        <v>282.52696500000002</v>
      </c>
      <c r="K998" s="15" t="str">
        <f t="shared" si="111"/>
        <v>PTO-0506|MAT</v>
      </c>
      <c r="L998" s="15">
        <f>COUNTIFS($K$2:K998,K998)</f>
        <v>2</v>
      </c>
      <c r="M998" s="15" t="str">
        <f t="shared" si="112"/>
        <v>PTO-0506|MAT|2</v>
      </c>
      <c r="N998" s="47">
        <f>IFERROR(VLOOKUP(A998,PARTIDAS!A:F,6,FALSE()),0)</f>
        <v>25</v>
      </c>
      <c r="O998" s="247">
        <f t="shared" si="113"/>
        <v>0.01</v>
      </c>
      <c r="P998" s="247">
        <f>+_xlfn.XLOOKUP(A998,PPTO_GENERADOR!Q:Q,PPTO_GENERADOR!E:E,"-",0)</f>
        <v>390</v>
      </c>
      <c r="Q998" s="247">
        <f t="shared" si="114"/>
        <v>3.9</v>
      </c>
      <c r="R998" s="259">
        <f>+_xlfn.XLOOKUP(A998,PPTO_GENERADOR!$Q:$Q,PPTO_GENERADOR!A:A,"-",0)</f>
        <v>5.0599999999999996</v>
      </c>
    </row>
    <row r="999" spans="1:18" ht="14.25" customHeight="1" x14ac:dyDescent="0.35">
      <c r="A999" s="38" t="s">
        <v>135</v>
      </c>
      <c r="B999" s="38" t="s">
        <v>2774</v>
      </c>
      <c r="C999" s="38" t="s">
        <v>2775</v>
      </c>
      <c r="D999" s="38" t="s">
        <v>855</v>
      </c>
      <c r="E999" s="44" t="str">
        <f>IFERROR(VLOOKUP(D999,MATERIALES!A:B,2,FALSE()),"?")</f>
        <v>Trapo</v>
      </c>
      <c r="F999" s="44" t="str">
        <f>IFERROR(VLOOKUP(D999,MATERIALES!A:C,3,FALSE()),"?")</f>
        <v>u</v>
      </c>
      <c r="G999" s="45">
        <v>0.02</v>
      </c>
      <c r="H999" s="46">
        <v>0.05</v>
      </c>
      <c r="I999" s="47">
        <f>IFERROR(VLOOKUP(D999,MATERIALES!A:D,4,FALSE()),0)</f>
        <v>735.06</v>
      </c>
      <c r="J999" s="42">
        <f t="shared" si="117"/>
        <v>15.436260000000001</v>
      </c>
      <c r="K999" s="15" t="str">
        <f t="shared" si="111"/>
        <v>PTO-0506|MAT</v>
      </c>
      <c r="L999" s="15">
        <f>COUNTIFS($K$2:K999,K999)</f>
        <v>3</v>
      </c>
      <c r="M999" s="15" t="str">
        <f t="shared" si="112"/>
        <v>PTO-0506|MAT|3</v>
      </c>
      <c r="N999" s="47">
        <f>IFERROR(VLOOKUP(A999,PARTIDAS!A:F,6,FALSE()),0)</f>
        <v>25</v>
      </c>
      <c r="O999" s="247">
        <f t="shared" si="113"/>
        <v>0.02</v>
      </c>
      <c r="P999" s="247">
        <f>+_xlfn.XLOOKUP(A999,PPTO_GENERADOR!Q:Q,PPTO_GENERADOR!E:E,"-",0)</f>
        <v>390</v>
      </c>
      <c r="Q999" s="247">
        <f t="shared" si="114"/>
        <v>7.8</v>
      </c>
      <c r="R999" s="259">
        <f>+_xlfn.XLOOKUP(A999,PPTO_GENERADOR!$Q:$Q,PPTO_GENERADOR!A:A,"-",0)</f>
        <v>5.0599999999999996</v>
      </c>
    </row>
    <row r="1000" spans="1:18" ht="14.25" customHeight="1" x14ac:dyDescent="0.35">
      <c r="A1000" s="38" t="s">
        <v>135</v>
      </c>
      <c r="B1000" s="38" t="s">
        <v>2774</v>
      </c>
      <c r="C1000" s="38" t="s">
        <v>2775</v>
      </c>
      <c r="D1000" s="38" t="s">
        <v>863</v>
      </c>
      <c r="E1000" s="44" t="str">
        <f>IFERROR(VLOOKUP(D1000,MATERIALES!A:B,2,FALSE()),"?")</f>
        <v>Rodillo de lana pelo largo N°22 - El Galgo</v>
      </c>
      <c r="F1000" s="44" t="str">
        <f>IFERROR(VLOOKUP(D1000,MATERIALES!A:C,3,FALSE()),"?")</f>
        <v>u</v>
      </c>
      <c r="G1000" s="45">
        <v>0.01</v>
      </c>
      <c r="H1000" s="46">
        <v>0.05</v>
      </c>
      <c r="I1000" s="47">
        <f>IFERROR(VLOOKUP(D1000,MATERIALES!A:D,4,FALSE()),0)</f>
        <v>6678.36</v>
      </c>
      <c r="J1000" s="42">
        <f t="shared" si="117"/>
        <v>70.122779999999992</v>
      </c>
      <c r="K1000" s="15" t="str">
        <f t="shared" si="111"/>
        <v>PTO-0506|MAT</v>
      </c>
      <c r="L1000" s="15">
        <f>COUNTIFS($K$2:K1000,K1000)</f>
        <v>4</v>
      </c>
      <c r="M1000" s="15" t="str">
        <f t="shared" si="112"/>
        <v>PTO-0506|MAT|4</v>
      </c>
      <c r="N1000" s="47">
        <f>IFERROR(VLOOKUP(A1000,PARTIDAS!A:F,6,FALSE()),0)</f>
        <v>25</v>
      </c>
      <c r="O1000" s="247">
        <f t="shared" si="113"/>
        <v>0.01</v>
      </c>
      <c r="P1000" s="247">
        <f>+_xlfn.XLOOKUP(A1000,PPTO_GENERADOR!Q:Q,PPTO_GENERADOR!E:E,"-",0)</f>
        <v>390</v>
      </c>
      <c r="Q1000" s="247">
        <f t="shared" si="114"/>
        <v>3.9</v>
      </c>
      <c r="R1000" s="259">
        <f>+_xlfn.XLOOKUP(A1000,PPTO_GENERADOR!$Q:$Q,PPTO_GENERADOR!A:A,"-",0)</f>
        <v>5.0599999999999996</v>
      </c>
    </row>
    <row r="1001" spans="1:18" ht="14.25" customHeight="1" x14ac:dyDescent="0.35">
      <c r="A1001" s="38" t="s">
        <v>135</v>
      </c>
      <c r="B1001" s="38" t="s">
        <v>2774</v>
      </c>
      <c r="C1001" s="38" t="s">
        <v>2775</v>
      </c>
      <c r="D1001" s="38" t="s">
        <v>865</v>
      </c>
      <c r="E1001" s="44" t="str">
        <f>IFERROR(VLOOKUP(D1001,MATERIALES!A:B,2,FALSE()),"?")</f>
        <v>Pincel N° 20 - El Galgo</v>
      </c>
      <c r="F1001" s="44" t="str">
        <f>IFERROR(VLOOKUP(D1001,MATERIALES!A:C,3,FALSE()),"?")</f>
        <v>u</v>
      </c>
      <c r="G1001" s="45">
        <v>0.02</v>
      </c>
      <c r="H1001" s="46">
        <v>0.05</v>
      </c>
      <c r="I1001" s="47">
        <f>IFERROR(VLOOKUP(D1001,MATERIALES!A:D,4,FALSE()),0)</f>
        <v>5282.24</v>
      </c>
      <c r="J1001" s="42">
        <f t="shared" si="117"/>
        <v>110.92704000000001</v>
      </c>
      <c r="K1001" s="15" t="str">
        <f t="shared" si="111"/>
        <v>PTO-0506|MAT</v>
      </c>
      <c r="L1001" s="15">
        <f>COUNTIFS($K$2:K1001,K1001)</f>
        <v>5</v>
      </c>
      <c r="M1001" s="15" t="str">
        <f t="shared" si="112"/>
        <v>PTO-0506|MAT|5</v>
      </c>
      <c r="N1001" s="47">
        <f>IFERROR(VLOOKUP(A1001,PARTIDAS!A:F,6,FALSE()),0)</f>
        <v>25</v>
      </c>
      <c r="O1001" s="247">
        <f t="shared" si="113"/>
        <v>0.02</v>
      </c>
      <c r="P1001" s="247">
        <f>+_xlfn.XLOOKUP(A1001,PPTO_GENERADOR!Q:Q,PPTO_GENERADOR!E:E,"-",0)</f>
        <v>390</v>
      </c>
      <c r="Q1001" s="247">
        <f t="shared" si="114"/>
        <v>7.8</v>
      </c>
      <c r="R1001" s="259">
        <f>+_xlfn.XLOOKUP(A1001,PPTO_GENERADOR!$Q:$Q,PPTO_GENERADOR!A:A,"-",0)</f>
        <v>5.0599999999999996</v>
      </c>
    </row>
    <row r="1002" spans="1:18" ht="14.25" customHeight="1" x14ac:dyDescent="0.35">
      <c r="A1002" s="38" t="s">
        <v>135</v>
      </c>
      <c r="B1002" s="38" t="s">
        <v>2774</v>
      </c>
      <c r="C1002" s="38" t="s">
        <v>2775</v>
      </c>
      <c r="D1002" s="38" t="s">
        <v>982</v>
      </c>
      <c r="E1002" s="44" t="str">
        <f>IFERROR(VLOOKUP(D1002,MATERIALES!A:B,2,FALSE()),"?")</f>
        <v>Guante Vaqueta Medio Paseo</v>
      </c>
      <c r="F1002" s="44" t="str">
        <f>IFERROR(VLOOKUP(D1002,MATERIALES!A:C,3,FALSE()),"?")</f>
        <v>par</v>
      </c>
      <c r="G1002" s="45">
        <v>0.06</v>
      </c>
      <c r="H1002" s="46">
        <v>0.05</v>
      </c>
      <c r="I1002" s="47">
        <f>IFERROR(VLOOKUP(D1002,MATERIALES!A:D,4,FALSE()),0)</f>
        <v>4842</v>
      </c>
      <c r="J1002" s="42">
        <f t="shared" si="117"/>
        <v>305.04599999999999</v>
      </c>
      <c r="K1002" s="15" t="str">
        <f t="shared" si="111"/>
        <v>PTO-0506|MAT</v>
      </c>
      <c r="L1002" s="15">
        <f>COUNTIFS($K$2:K1002,K1002)</f>
        <v>6</v>
      </c>
      <c r="M1002" s="15" t="str">
        <f t="shared" si="112"/>
        <v>PTO-0506|MAT|6</v>
      </c>
      <c r="N1002" s="47">
        <f>IFERROR(VLOOKUP(A1002,PARTIDAS!A:F,6,FALSE()),0)</f>
        <v>25</v>
      </c>
      <c r="O1002" s="247">
        <f t="shared" si="113"/>
        <v>0.06</v>
      </c>
      <c r="P1002" s="247">
        <f>+_xlfn.XLOOKUP(A1002,PPTO_GENERADOR!Q:Q,PPTO_GENERADOR!E:E,"-",0)</f>
        <v>390</v>
      </c>
      <c r="Q1002" s="247">
        <f t="shared" si="114"/>
        <v>23.4</v>
      </c>
      <c r="R1002" s="259">
        <f>+_xlfn.XLOOKUP(A1002,PPTO_GENERADOR!$Q:$Q,PPTO_GENERADOR!A:A,"-",0)</f>
        <v>5.0599999999999996</v>
      </c>
    </row>
    <row r="1003" spans="1:18" ht="14.25" customHeight="1" x14ac:dyDescent="0.35">
      <c r="A1003" s="38" t="s">
        <v>135</v>
      </c>
      <c r="B1003" s="38" t="s">
        <v>2774</v>
      </c>
      <c r="C1003" s="38" t="s">
        <v>2775</v>
      </c>
      <c r="D1003" s="38" t="s">
        <v>985</v>
      </c>
      <c r="E1003" s="44" t="str">
        <f>IFERROR(VLOOKUP(D1003,MATERIALES!A:B,2,FALSE()),"?")</f>
        <v>Recarga de garrafa</v>
      </c>
      <c r="F1003" s="44" t="str">
        <f>IFERROR(VLOOKUP(D1003,MATERIALES!A:C,3,FALSE()),"?")</f>
        <v>u</v>
      </c>
      <c r="G1003" s="45">
        <v>0.02</v>
      </c>
      <c r="H1003" s="46">
        <v>0.05</v>
      </c>
      <c r="I1003" s="47">
        <f>IFERROR(VLOOKUP(D1003,MATERIALES!A:D,4,FALSE()),0)</f>
        <v>12396.694214876001</v>
      </c>
      <c r="J1003" s="42">
        <f t="shared" si="117"/>
        <v>260.33057851239602</v>
      </c>
      <c r="K1003" s="15" t="str">
        <f t="shared" si="111"/>
        <v>PTO-0506|MAT</v>
      </c>
      <c r="L1003" s="15">
        <f>COUNTIFS($K$2:K1003,K1003)</f>
        <v>7</v>
      </c>
      <c r="M1003" s="15" t="str">
        <f t="shared" si="112"/>
        <v>PTO-0506|MAT|7</v>
      </c>
      <c r="N1003" s="47">
        <f>IFERROR(VLOOKUP(A1003,PARTIDAS!A:F,6,FALSE()),0)</f>
        <v>25</v>
      </c>
      <c r="O1003" s="247">
        <f t="shared" si="113"/>
        <v>0.02</v>
      </c>
      <c r="P1003" s="247">
        <f>+_xlfn.XLOOKUP(A1003,PPTO_GENERADOR!Q:Q,PPTO_GENERADOR!E:E,"-",0)</f>
        <v>390</v>
      </c>
      <c r="Q1003" s="247">
        <f t="shared" si="114"/>
        <v>7.8</v>
      </c>
      <c r="R1003" s="259">
        <f>+_xlfn.XLOOKUP(A1003,PPTO_GENERADOR!$Q:$Q,PPTO_GENERADOR!A:A,"-",0)</f>
        <v>5.0599999999999996</v>
      </c>
    </row>
    <row r="1004" spans="1:18" ht="14.25" customHeight="1" x14ac:dyDescent="0.35">
      <c r="A1004" s="38" t="s">
        <v>135</v>
      </c>
      <c r="B1004" s="38" t="s">
        <v>2774</v>
      </c>
      <c r="C1004" s="38" t="s">
        <v>2775</v>
      </c>
      <c r="D1004" s="38" t="s">
        <v>1370</v>
      </c>
      <c r="E1004" s="44" t="str">
        <f>IFERROR(VLOOKUP(D1004,MATERIALES!A:B,2,FALSE()),"?")</f>
        <v>Materiales adicionales s/MAT 20% - PTO-0506</v>
      </c>
      <c r="F1004" s="44" t="str">
        <f>IFERROR(VLOOKUP(D1004,MATERIALES!A:C,3,FALSE()),"?")</f>
        <v>m2</v>
      </c>
      <c r="G1004" s="45">
        <v>1</v>
      </c>
      <c r="H1004" s="46">
        <v>0</v>
      </c>
      <c r="I1004" s="47">
        <f>IFERROR(VLOOKUP(D1004,MATERIALES!A:D,4,FALSE()),0)</f>
        <v>1953.83075581359</v>
      </c>
      <c r="J1004" s="42">
        <f t="shared" si="117"/>
        <v>1953.83075581359</v>
      </c>
      <c r="K1004" s="15" t="str">
        <f t="shared" si="111"/>
        <v>PTO-0506|MAT</v>
      </c>
      <c r="L1004" s="15">
        <f>COUNTIFS($K$2:K1004,K1004)</f>
        <v>8</v>
      </c>
      <c r="M1004" s="15" t="str">
        <f t="shared" si="112"/>
        <v>PTO-0506|MAT|8</v>
      </c>
      <c r="N1004" s="47">
        <f>IFERROR(VLOOKUP(A1004,PARTIDAS!A:F,6,FALSE()),0)</f>
        <v>25</v>
      </c>
      <c r="O1004" s="247">
        <f t="shared" si="113"/>
        <v>1</v>
      </c>
      <c r="P1004" s="247">
        <f>+_xlfn.XLOOKUP(A1004,PPTO_GENERADOR!Q:Q,PPTO_GENERADOR!E:E,"-",0)</f>
        <v>390</v>
      </c>
      <c r="Q1004" s="247">
        <f t="shared" si="114"/>
        <v>390</v>
      </c>
      <c r="R1004" s="259">
        <f>+_xlfn.XLOOKUP(A1004,PPTO_GENERADOR!$Q:$Q,PPTO_GENERADOR!A:A,"-",0)</f>
        <v>5.0599999999999996</v>
      </c>
    </row>
    <row r="1005" spans="1:18" ht="14.25" customHeight="1" x14ac:dyDescent="0.35">
      <c r="A1005" s="38" t="s">
        <v>135</v>
      </c>
      <c r="B1005" s="38" t="s">
        <v>2774</v>
      </c>
      <c r="C1005" s="38" t="s">
        <v>2775</v>
      </c>
      <c r="D1005" s="38" t="s">
        <v>822</v>
      </c>
      <c r="E1005" s="44" t="str">
        <f>IFERROR(VLOOKUP(D1005,MATERIALES!A:B,2,FALSE()),"?")</f>
        <v>Pintura Asfaltica Asfasol x18ts</v>
      </c>
      <c r="F1005" s="44" t="str">
        <f>IFERROR(VLOOKUP(D1005,MATERIALES!A:C,3,FALSE()),"?")</f>
        <v>b</v>
      </c>
      <c r="G1005" s="45">
        <v>2.7777777777777801E-2</v>
      </c>
      <c r="H1005" s="46">
        <v>0.1</v>
      </c>
      <c r="I1005" s="47">
        <f>IFERROR(VLOOKUP(D1005,MATERIALES!A:D,4,FALSE()),0)</f>
        <v>32845.78</v>
      </c>
      <c r="J1005" s="42">
        <f t="shared" si="117"/>
        <v>1003.6210555555565</v>
      </c>
      <c r="K1005" s="15" t="str">
        <f t="shared" si="111"/>
        <v>PTO-0506|MAT</v>
      </c>
      <c r="L1005" s="15">
        <f>COUNTIFS($K$2:K1005,K1005)</f>
        <v>9</v>
      </c>
      <c r="M1005" s="15" t="str">
        <f t="shared" si="112"/>
        <v>PTO-0506|MAT|9</v>
      </c>
      <c r="N1005" s="47">
        <f>IFERROR(VLOOKUP(A1005,PARTIDAS!A:F,6,FALSE()),0)</f>
        <v>25</v>
      </c>
      <c r="O1005" s="247">
        <f t="shared" si="113"/>
        <v>2.7777777777777801E-2</v>
      </c>
      <c r="P1005" s="247">
        <f>+_xlfn.XLOOKUP(A1005,PPTO_GENERADOR!Q:Q,PPTO_GENERADOR!E:E,"-",0)</f>
        <v>390</v>
      </c>
      <c r="Q1005" s="247">
        <f t="shared" si="114"/>
        <v>10.833333333333343</v>
      </c>
      <c r="R1005" s="259">
        <f>+_xlfn.XLOOKUP(A1005,PPTO_GENERADOR!$Q:$Q,PPTO_GENERADOR!A:A,"-",0)</f>
        <v>5.0599999999999996</v>
      </c>
    </row>
    <row r="1006" spans="1:18" ht="14.25" customHeight="1" x14ac:dyDescent="0.35">
      <c r="A1006" s="38" t="s">
        <v>135</v>
      </c>
      <c r="B1006" s="38" t="s">
        <v>2776</v>
      </c>
      <c r="C1006" s="38" t="s">
        <v>2777</v>
      </c>
      <c r="D1006" s="237" t="s">
        <v>1577</v>
      </c>
      <c r="E1006" s="44" t="str">
        <f>IFERROR(VLOOKUP(D1006,MANO_DE_OBRA!A:B,2,FALSE()),"?")</f>
        <v>AYUDANTE</v>
      </c>
      <c r="F1006" s="44" t="s">
        <v>2778</v>
      </c>
      <c r="G1006" s="45">
        <v>1</v>
      </c>
      <c r="H1006" s="46">
        <v>0</v>
      </c>
      <c r="I1006" s="47">
        <f>IFERROR(VLOOKUP(D1006,MANO_DE_OBRA!A:C,3,FALSE()),0)</f>
        <v>60860.580776572002</v>
      </c>
      <c r="J1006" s="42">
        <f>G1006*I1006</f>
        <v>60860.580776572002</v>
      </c>
      <c r="K1006" s="15" t="str">
        <f t="shared" si="111"/>
        <v>PTO-0506|MO</v>
      </c>
      <c r="L1006" s="15">
        <f>COUNTIFS($K$2:K1006,K1006)</f>
        <v>1</v>
      </c>
      <c r="M1006" s="15" t="str">
        <f t="shared" si="112"/>
        <v>PTO-0506|MO|1</v>
      </c>
      <c r="N1006" s="47">
        <f>IFERROR(VLOOKUP(A1006,PARTIDAS!A:F,6,FALSE()),0)</f>
        <v>25</v>
      </c>
      <c r="O1006" s="247">
        <f t="shared" si="113"/>
        <v>0.04</v>
      </c>
      <c r="P1006" s="247">
        <f>+_xlfn.XLOOKUP(A1006,PPTO_GENERADOR!Q:Q,PPTO_GENERADOR!E:E,"-",0)</f>
        <v>390</v>
      </c>
      <c r="Q1006" s="247">
        <f t="shared" si="114"/>
        <v>15.6</v>
      </c>
      <c r="R1006" s="259">
        <f>+_xlfn.XLOOKUP(A1006,PPTO_GENERADOR!$Q:$Q,PPTO_GENERADOR!A:A,"-",0)</f>
        <v>5.0599999999999996</v>
      </c>
    </row>
    <row r="1007" spans="1:18" ht="13.5" customHeight="1" x14ac:dyDescent="0.35">
      <c r="A1007" s="38" t="s">
        <v>135</v>
      </c>
      <c r="B1007" s="38" t="s">
        <v>2776</v>
      </c>
      <c r="C1007" s="38" t="s">
        <v>2777</v>
      </c>
      <c r="D1007" s="237" t="s">
        <v>1568</v>
      </c>
      <c r="E1007" s="44" t="str">
        <f>IFERROR(VLOOKUP(D1007,MANO_DE_OBRA!A:B,2,FALSE()),"?")</f>
        <v>ESPECIALIZADO</v>
      </c>
      <c r="F1007" s="44" t="s">
        <v>2778</v>
      </c>
      <c r="G1007" s="45">
        <v>1</v>
      </c>
      <c r="H1007" s="46">
        <v>0</v>
      </c>
      <c r="I1007" s="47">
        <f>IFERROR(VLOOKUP(D1007,MANO_DE_OBRA!A:C,3,FALSE()),0)</f>
        <v>85927.097156571996</v>
      </c>
      <c r="J1007" s="42">
        <f>G1007*I1007</f>
        <v>85927.097156571996</v>
      </c>
      <c r="K1007" s="15" t="str">
        <f t="shared" si="111"/>
        <v>PTO-0506|MO</v>
      </c>
      <c r="L1007" s="15">
        <f>COUNTIFS($K$2:K1007,K1007)</f>
        <v>2</v>
      </c>
      <c r="M1007" s="15" t="str">
        <f t="shared" si="112"/>
        <v>PTO-0506|MO|2</v>
      </c>
      <c r="N1007" s="47">
        <f>IFERROR(VLOOKUP(A1007,PARTIDAS!A:F,6,FALSE()),0)</f>
        <v>25</v>
      </c>
      <c r="O1007" s="247">
        <f t="shared" si="113"/>
        <v>0.04</v>
      </c>
      <c r="P1007" s="247">
        <f>+_xlfn.XLOOKUP(A1007,PPTO_GENERADOR!Q:Q,PPTO_GENERADOR!E:E,"-",0)</f>
        <v>390</v>
      </c>
      <c r="Q1007" s="247">
        <f t="shared" si="114"/>
        <v>15.6</v>
      </c>
      <c r="R1007" s="259">
        <f>+_xlfn.XLOOKUP(A1007,PPTO_GENERADOR!$Q:$Q,PPTO_GENERADOR!A:A,"-",0)</f>
        <v>5.0599999999999996</v>
      </c>
    </row>
    <row r="1008" spans="1:18" ht="14.25" customHeight="1" x14ac:dyDescent="0.35">
      <c r="A1008" s="38" t="s">
        <v>135</v>
      </c>
      <c r="B1008" s="38" t="s">
        <v>2776</v>
      </c>
      <c r="C1008" s="38" t="s">
        <v>2775</v>
      </c>
      <c r="D1008" s="38" t="s">
        <v>2413</v>
      </c>
      <c r="E1008" s="44" t="str">
        <f>IFERROR(VLOOKUP(D1008,SUBCONTRATOS_PRY!A:B,2,FALSE()),"?")</f>
        <v>MO adicional s/MO 60% - PTO-0506</v>
      </c>
      <c r="F1008" s="44" t="s">
        <v>2778</v>
      </c>
      <c r="G1008" s="45">
        <v>1</v>
      </c>
      <c r="H1008" s="46">
        <v>0</v>
      </c>
      <c r="I1008" s="47">
        <f>IFERROR(VLOOKUP(D1008,SUBCONTRATOS_PRY!A:D,4,FALSE()),0)</f>
        <v>88072.606759886403</v>
      </c>
      <c r="J1008" s="42">
        <f>G1008*I1008</f>
        <v>88072.606759886403</v>
      </c>
      <c r="K1008" s="15" t="str">
        <f t="shared" si="111"/>
        <v>PTO-0506|MO</v>
      </c>
      <c r="L1008" s="15">
        <f>COUNTIFS($K$2:K1008,K1008)</f>
        <v>3</v>
      </c>
      <c r="M1008" s="15" t="str">
        <f t="shared" si="112"/>
        <v>PTO-0506|MO|3</v>
      </c>
      <c r="N1008" s="47">
        <f>IFERROR(VLOOKUP(A1008,PARTIDAS!A:F,6,FALSE()),0)</f>
        <v>25</v>
      </c>
      <c r="O1008" s="247">
        <f t="shared" si="113"/>
        <v>1</v>
      </c>
      <c r="P1008" s="247">
        <f>+_xlfn.XLOOKUP(A1008,PPTO_GENERADOR!Q:Q,PPTO_GENERADOR!E:E,"-",0)</f>
        <v>390</v>
      </c>
      <c r="Q1008" s="247">
        <f t="shared" si="114"/>
        <v>390</v>
      </c>
      <c r="R1008" s="259">
        <f>+_xlfn.XLOOKUP(A1008,PPTO_GENERADOR!$Q:$Q,PPTO_GENERADOR!A:A,"-",0)</f>
        <v>5.0599999999999996</v>
      </c>
    </row>
    <row r="1009" spans="1:18" ht="14.25" customHeight="1" x14ac:dyDescent="0.35">
      <c r="A1009" s="38" t="s">
        <v>137</v>
      </c>
      <c r="B1009" s="38" t="s">
        <v>2776</v>
      </c>
      <c r="C1009" s="38" t="s">
        <v>2775</v>
      </c>
      <c r="D1009" s="38" t="s">
        <v>2279</v>
      </c>
      <c r="E1009" s="44" t="str">
        <f>IFERROR(VLOOKUP(D1009,SUBCONTRATOS_PRY!A:B,2,FALSE()),"?")</f>
        <v>MO Impermeabilización de tanque de reserva de HºAº [SUBCONTRATOS]</v>
      </c>
      <c r="F1009" s="44" t="s">
        <v>2778</v>
      </c>
      <c r="G1009" s="45">
        <v>1</v>
      </c>
      <c r="H1009" s="46">
        <v>0</v>
      </c>
      <c r="I1009" s="47">
        <f>IFERROR(VLOOKUP(D1009,SUBCONTRATOS_PRY!A:D,4,FALSE()),0)</f>
        <v>1829911.58844288</v>
      </c>
      <c r="J1009" s="42">
        <f>G1009*I1009</f>
        <v>1829911.58844288</v>
      </c>
      <c r="K1009" s="15" t="str">
        <f t="shared" si="111"/>
        <v>PTO-0507|MO</v>
      </c>
      <c r="L1009" s="15">
        <f>COUNTIFS($K$2:K1009,K1009)</f>
        <v>1</v>
      </c>
      <c r="M1009" s="15" t="str">
        <f t="shared" si="112"/>
        <v>PTO-0507|MO|1</v>
      </c>
      <c r="N1009" s="47">
        <f>IFERROR(VLOOKUP(A1009,PARTIDAS!A:F,6,FALSE()),0)</f>
        <v>1</v>
      </c>
      <c r="O1009" s="247">
        <f t="shared" si="113"/>
        <v>1</v>
      </c>
      <c r="P1009" s="247">
        <f>+_xlfn.XLOOKUP(A1009,PPTO_GENERADOR!Q:Q,PPTO_GENERADOR!E:E,"-",0)</f>
        <v>1</v>
      </c>
      <c r="Q1009" s="247">
        <f t="shared" si="114"/>
        <v>1</v>
      </c>
      <c r="R1009" s="259">
        <f>+_xlfn.XLOOKUP(A1009,PPTO_GENERADOR!$Q:$Q,PPTO_GENERADOR!A:A,"-",0)</f>
        <v>5.07</v>
      </c>
    </row>
    <row r="1010" spans="1:18" ht="14.25" customHeight="1" x14ac:dyDescent="0.35">
      <c r="A1010" s="38" t="s">
        <v>140</v>
      </c>
      <c r="B1010" s="38" t="s">
        <v>2773</v>
      </c>
      <c r="C1010" s="38"/>
      <c r="D1010" s="38" t="s">
        <v>1809</v>
      </c>
      <c r="E1010" s="44" t="str">
        <f>IFERROR(VLOOKUP(D1010,EQUIPOS!A:B,2,FALSE()),"?")</f>
        <v>Herramientas menores y consumibles - Babeta de chapa galvanizada en medianeras</v>
      </c>
      <c r="F1010" s="44"/>
      <c r="G1010" s="45">
        <v>1</v>
      </c>
      <c r="H1010" s="46">
        <v>0</v>
      </c>
      <c r="I1010" s="47">
        <f>IFERROR(VLOOKUP(D1010,EQUIPOS!A:F,6,FALSE()),0)</f>
        <v>347.35203892992803</v>
      </c>
      <c r="J1010" s="42">
        <f>G1010*I1010</f>
        <v>347.35203892992803</v>
      </c>
      <c r="K1010" s="15" t="str">
        <f t="shared" si="111"/>
        <v>PTO-0602|EQ</v>
      </c>
      <c r="L1010" s="15">
        <f>COUNTIFS($K$2:K1010,K1010)</f>
        <v>1</v>
      </c>
      <c r="M1010" s="15" t="str">
        <f t="shared" si="112"/>
        <v>PTO-0602|EQ|1</v>
      </c>
      <c r="N1010" s="47">
        <f>IFERROR(VLOOKUP(A1010,PARTIDAS!A:F,6,FALSE()),0)</f>
        <v>1</v>
      </c>
      <c r="O1010" s="247">
        <f t="shared" si="113"/>
        <v>1</v>
      </c>
      <c r="P1010" s="247">
        <f>+_xlfn.XLOOKUP(A1010,PPTO_GENERADOR!Q:Q,PPTO_GENERADOR!E:E,"-",0)</f>
        <v>55</v>
      </c>
      <c r="Q1010" s="247">
        <f t="shared" si="114"/>
        <v>55</v>
      </c>
      <c r="R1010" s="259">
        <f>+_xlfn.XLOOKUP(A1010,PPTO_GENERADOR!$Q:$Q,PPTO_GENERADOR!A:A,"-",0)</f>
        <v>6.02</v>
      </c>
    </row>
    <row r="1011" spans="1:18" ht="14.25" customHeight="1" x14ac:dyDescent="0.35">
      <c r="A1011" s="38" t="s">
        <v>140</v>
      </c>
      <c r="B1011" s="38" t="s">
        <v>2774</v>
      </c>
      <c r="C1011" s="38" t="s">
        <v>2775</v>
      </c>
      <c r="D1011" s="38" t="s">
        <v>1361</v>
      </c>
      <c r="E1011" s="44" t="str">
        <f>IFERROR(VLOOKUP(D1011,MATERIALES!A:B,2,FALSE()),"?")</f>
        <v>Consumibles</v>
      </c>
      <c r="F1011" s="44" t="str">
        <f>IFERROR(VLOOKUP(D1011,MATERIALES!A:C,3,FALSE()),"?")</f>
        <v>gl</v>
      </c>
      <c r="G1011" s="45">
        <v>1354.32006011</v>
      </c>
      <c r="H1011" s="46">
        <v>0</v>
      </c>
      <c r="I1011" s="47">
        <f>IFERROR(VLOOKUP(D1011,MATERIALES!A:D,4,FALSE()),0)</f>
        <v>1</v>
      </c>
      <c r="J1011" s="42">
        <f>G1011*I1011*(1+H1011)</f>
        <v>1354.32006011</v>
      </c>
      <c r="K1011" s="15" t="str">
        <f t="shared" si="111"/>
        <v>PTO-0602|MAT</v>
      </c>
      <c r="L1011" s="15">
        <f>COUNTIFS($K$2:K1011,K1011)</f>
        <v>1</v>
      </c>
      <c r="M1011" s="15" t="str">
        <f t="shared" si="112"/>
        <v>PTO-0602|MAT|1</v>
      </c>
      <c r="N1011" s="47">
        <f>IFERROR(VLOOKUP(A1011,PARTIDAS!A:F,6,FALSE()),0)</f>
        <v>1</v>
      </c>
      <c r="O1011" s="247">
        <f t="shared" si="113"/>
        <v>1354.32006011</v>
      </c>
      <c r="P1011" s="247">
        <f>+_xlfn.XLOOKUP(A1011,PPTO_GENERADOR!Q:Q,PPTO_GENERADOR!E:E,"-",0)</f>
        <v>55</v>
      </c>
      <c r="Q1011" s="247">
        <f t="shared" si="114"/>
        <v>74487.603306050005</v>
      </c>
      <c r="R1011" s="259">
        <f>+_xlfn.XLOOKUP(A1011,PPTO_GENERADOR!$Q:$Q,PPTO_GENERADOR!A:A,"-",0)</f>
        <v>6.02</v>
      </c>
    </row>
    <row r="1012" spans="1:18" ht="14.25" customHeight="1" x14ac:dyDescent="0.35">
      <c r="A1012" s="38" t="s">
        <v>140</v>
      </c>
      <c r="B1012" s="38" t="s">
        <v>2774</v>
      </c>
      <c r="C1012" s="38" t="s">
        <v>2775</v>
      </c>
      <c r="D1012" s="38" t="s">
        <v>1187</v>
      </c>
      <c r="E1012" s="44" t="str">
        <f>IFERROR(VLOOKUP(D1012,MATERIALES!A:B,2,FALSE()),"?")</f>
        <v>Babeta de amure C25, des. 200 mm x 2,44 m</v>
      </c>
      <c r="F1012" s="44" t="str">
        <f>IFERROR(VLOOKUP(D1012,MATERIALES!A:C,3,FALSE()),"?")</f>
        <v>u</v>
      </c>
      <c r="G1012" s="45">
        <v>0.45454545454545497</v>
      </c>
      <c r="H1012" s="46">
        <v>0</v>
      </c>
      <c r="I1012" s="47">
        <f>IFERROR(VLOOKUP(D1012,MATERIALES!A:D,4,FALSE()),0)</f>
        <v>18595.0413223141</v>
      </c>
      <c r="J1012" s="42">
        <f>G1012*I1012*(1+H1012)</f>
        <v>8452.2915101427807</v>
      </c>
      <c r="K1012" s="15" t="str">
        <f t="shared" si="111"/>
        <v>PTO-0602|MAT</v>
      </c>
      <c r="L1012" s="15">
        <f>COUNTIFS($K$2:K1012,K1012)</f>
        <v>2</v>
      </c>
      <c r="M1012" s="15" t="str">
        <f t="shared" si="112"/>
        <v>PTO-0602|MAT|2</v>
      </c>
      <c r="N1012" s="47">
        <f>IFERROR(VLOOKUP(A1012,PARTIDAS!A:F,6,FALSE()),0)</f>
        <v>1</v>
      </c>
      <c r="O1012" s="247">
        <f t="shared" si="113"/>
        <v>0.45454545454545497</v>
      </c>
      <c r="P1012" s="247">
        <f>+_xlfn.XLOOKUP(A1012,PPTO_GENERADOR!Q:Q,PPTO_GENERADOR!E:E,"-",0)</f>
        <v>55</v>
      </c>
      <c r="Q1012" s="247">
        <f t="shared" si="114"/>
        <v>25.000000000000025</v>
      </c>
      <c r="R1012" s="259">
        <f>+_xlfn.XLOOKUP(A1012,PPTO_GENERADOR!$Q:$Q,PPTO_GENERADOR!A:A,"-",0)</f>
        <v>6.02</v>
      </c>
    </row>
    <row r="1013" spans="1:18" ht="14.25" customHeight="1" x14ac:dyDescent="0.35">
      <c r="A1013" s="38" t="s">
        <v>140</v>
      </c>
      <c r="B1013" s="38" t="s">
        <v>2774</v>
      </c>
      <c r="C1013" s="38" t="s">
        <v>2775</v>
      </c>
      <c r="D1013" s="38" t="s">
        <v>1190</v>
      </c>
      <c r="E1013" s="44" t="str">
        <f>IFERROR(VLOOKUP(D1013,MATERIALES!A:B,2,FALSE()),"?")</f>
        <v xml:space="preserve">Sellador / Silicona (rinde 5 mts) </v>
      </c>
      <c r="F1013" s="44" t="str">
        <f>IFERROR(VLOOKUP(D1013,MATERIALES!A:C,3,FALSE()),"?")</f>
        <v>u</v>
      </c>
      <c r="G1013" s="45">
        <v>0.2</v>
      </c>
      <c r="H1013" s="46">
        <v>0</v>
      </c>
      <c r="I1013" s="47">
        <f>IFERROR(VLOOKUP(D1013,MATERIALES!A:D,4,FALSE()),0)</f>
        <v>25454.5454545455</v>
      </c>
      <c r="J1013" s="42">
        <f>G1013*I1013*(1+H1013)</f>
        <v>5090.9090909091001</v>
      </c>
      <c r="K1013" s="15" t="str">
        <f t="shared" si="111"/>
        <v>PTO-0602|MAT</v>
      </c>
      <c r="L1013" s="15">
        <f>COUNTIFS($K$2:K1013,K1013)</f>
        <v>3</v>
      </c>
      <c r="M1013" s="15" t="str">
        <f t="shared" si="112"/>
        <v>PTO-0602|MAT|3</v>
      </c>
      <c r="N1013" s="47">
        <f>IFERROR(VLOOKUP(A1013,PARTIDAS!A:F,6,FALSE()),0)</f>
        <v>1</v>
      </c>
      <c r="O1013" s="247">
        <f t="shared" si="113"/>
        <v>0.2</v>
      </c>
      <c r="P1013" s="247">
        <f>+_xlfn.XLOOKUP(A1013,PPTO_GENERADOR!Q:Q,PPTO_GENERADOR!E:E,"-",0)</f>
        <v>55</v>
      </c>
      <c r="Q1013" s="247">
        <f t="shared" si="114"/>
        <v>11</v>
      </c>
      <c r="R1013" s="259">
        <f>+_xlfn.XLOOKUP(A1013,PPTO_GENERADOR!$Q:$Q,PPTO_GENERADOR!A:A,"-",0)</f>
        <v>6.02</v>
      </c>
    </row>
    <row r="1014" spans="1:18" ht="14.25" customHeight="1" x14ac:dyDescent="0.35">
      <c r="A1014" s="38" t="s">
        <v>140</v>
      </c>
      <c r="B1014" s="38" t="s">
        <v>2776</v>
      </c>
      <c r="C1014" s="38" t="s">
        <v>2777</v>
      </c>
      <c r="D1014" s="237" t="s">
        <v>1568</v>
      </c>
      <c r="E1014" s="44" t="str">
        <f>IFERROR(VLOOKUP(D1014,MANO_DE_OBRA!A:B,2,FALSE()),"?")</f>
        <v>ESPECIALIZADO</v>
      </c>
      <c r="F1014" s="44" t="s">
        <v>2778</v>
      </c>
      <c r="G1014" s="45">
        <v>5.4545454545454501E-2</v>
      </c>
      <c r="H1014" s="46">
        <v>0</v>
      </c>
      <c r="I1014" s="47">
        <f>IFERROR(VLOOKUP(D1014,MANO_DE_OBRA!A:C,3,FALSE()),0)</f>
        <v>85927.097156571996</v>
      </c>
      <c r="J1014" s="42">
        <f>G1014*I1014</f>
        <v>4686.9325721766509</v>
      </c>
      <c r="K1014" s="15" t="str">
        <f t="shared" si="111"/>
        <v>PTO-0602|MO</v>
      </c>
      <c r="L1014" s="15">
        <f>COUNTIFS($K$2:K1014,K1014)</f>
        <v>1</v>
      </c>
      <c r="M1014" s="15" t="str">
        <f t="shared" si="112"/>
        <v>PTO-0602|MO|1</v>
      </c>
      <c r="N1014" s="47">
        <f>IFERROR(VLOOKUP(A1014,PARTIDAS!A:F,6,FALSE()),0)</f>
        <v>1</v>
      </c>
      <c r="O1014" s="247">
        <f t="shared" si="113"/>
        <v>5.4545454545454501E-2</v>
      </c>
      <c r="P1014" s="247">
        <f>+_xlfn.XLOOKUP(A1014,PPTO_GENERADOR!Q:Q,PPTO_GENERADOR!E:E,"-",0)</f>
        <v>55</v>
      </c>
      <c r="Q1014" s="247">
        <f t="shared" si="114"/>
        <v>2.9999999999999978</v>
      </c>
      <c r="R1014" s="259">
        <f>+_xlfn.XLOOKUP(A1014,PPTO_GENERADOR!$Q:$Q,PPTO_GENERADOR!A:A,"-",0)</f>
        <v>6.02</v>
      </c>
    </row>
    <row r="1015" spans="1:18" ht="14.25" customHeight="1" x14ac:dyDescent="0.35">
      <c r="A1015" s="38" t="s">
        <v>140</v>
      </c>
      <c r="B1015" s="38" t="s">
        <v>2776</v>
      </c>
      <c r="C1015" s="38" t="s">
        <v>2777</v>
      </c>
      <c r="D1015" s="237" t="s">
        <v>1574</v>
      </c>
      <c r="E1015" s="44" t="str">
        <f>IFERROR(VLOOKUP(D1015,MANO_DE_OBRA!A:B,2,FALSE()),"?")</f>
        <v>MEDIO OFICIAL</v>
      </c>
      <c r="F1015" s="44" t="s">
        <v>2778</v>
      </c>
      <c r="G1015" s="45">
        <v>5.4545454545454501E-2</v>
      </c>
      <c r="H1015" s="46">
        <v>0</v>
      </c>
      <c r="I1015" s="47">
        <f>IFERROR(VLOOKUP(D1015,MANO_DE_OBRA!A:C,3,FALSE()),0)</f>
        <v>65493.071636572</v>
      </c>
      <c r="J1015" s="42">
        <f>G1015*I1015</f>
        <v>3572.3493619948335</v>
      </c>
      <c r="K1015" s="15" t="str">
        <f t="shared" si="111"/>
        <v>PTO-0602|MO</v>
      </c>
      <c r="L1015" s="15">
        <f>COUNTIFS($K$2:K1015,K1015)</f>
        <v>2</v>
      </c>
      <c r="M1015" s="15" t="str">
        <f t="shared" si="112"/>
        <v>PTO-0602|MO|2</v>
      </c>
      <c r="N1015" s="47">
        <f>IFERROR(VLOOKUP(A1015,PARTIDAS!A:F,6,FALSE()),0)</f>
        <v>1</v>
      </c>
      <c r="O1015" s="247">
        <f t="shared" si="113"/>
        <v>5.4545454545454501E-2</v>
      </c>
      <c r="P1015" s="247">
        <f>+_xlfn.XLOOKUP(A1015,PPTO_GENERADOR!Q:Q,PPTO_GENERADOR!E:E,"-",0)</f>
        <v>55</v>
      </c>
      <c r="Q1015" s="247">
        <f t="shared" si="114"/>
        <v>2.9999999999999978</v>
      </c>
      <c r="R1015" s="259">
        <f>+_xlfn.XLOOKUP(A1015,PPTO_GENERADOR!$Q:$Q,PPTO_GENERADOR!A:A,"-",0)</f>
        <v>6.02</v>
      </c>
    </row>
    <row r="1016" spans="1:18" ht="14.25" customHeight="1" x14ac:dyDescent="0.35">
      <c r="A1016" s="38" t="s">
        <v>2691</v>
      </c>
      <c r="B1016" s="38" t="s">
        <v>2773</v>
      </c>
      <c r="C1016" s="38"/>
      <c r="D1016" s="38" t="s">
        <v>1592</v>
      </c>
      <c r="E1016" s="44" t="str">
        <f>IFERROR(VLOOKUP(D1016,EQUIPOS!A:B,2,FALSE()),"?")</f>
        <v>ANDAMIO TUBULAR DE UNO A TRES CUERPOS</v>
      </c>
      <c r="F1016" s="44"/>
      <c r="G1016" s="45">
        <v>0.5</v>
      </c>
      <c r="H1016" s="46">
        <v>0</v>
      </c>
      <c r="I1016" s="47">
        <f>IFERROR(VLOOKUP(D1016,EQUIPOS!A:F,6,FALSE()),0)</f>
        <v>571.1794909807611</v>
      </c>
      <c r="J1016" s="42">
        <f>G1016*I1016</f>
        <v>285.58974549038055</v>
      </c>
      <c r="K1016" s="15" t="str">
        <f t="shared" si="111"/>
        <v>PTO-0701|EQ</v>
      </c>
      <c r="L1016" s="15">
        <f>COUNTIFS($K$2:K1016,K1016)</f>
        <v>1</v>
      </c>
      <c r="M1016" s="15" t="str">
        <f t="shared" si="112"/>
        <v>PTO-0701|EQ|1</v>
      </c>
      <c r="N1016" s="47">
        <f>IFERROR(VLOOKUP(A1016,PARTIDAS!A:F,6,FALSE()),0)</f>
        <v>11.5</v>
      </c>
      <c r="O1016" s="247">
        <f t="shared" si="113"/>
        <v>0.5</v>
      </c>
      <c r="P1016" s="247" t="str">
        <f>+_xlfn.XLOOKUP(A1016,PPTO_GENERADOR!Q:Q,PPTO_GENERADOR!E:E,"-",0)</f>
        <v>-</v>
      </c>
      <c r="Q1016" s="247">
        <f t="shared" si="114"/>
        <v>0</v>
      </c>
      <c r="R1016" s="259" t="str">
        <f>+_xlfn.XLOOKUP(A1016,PPTO_GENERADOR!$Q:$Q,PPTO_GENERADOR!A:A,"-",0)</f>
        <v>-</v>
      </c>
    </row>
    <row r="1017" spans="1:18" ht="14.25" customHeight="1" x14ac:dyDescent="0.35">
      <c r="A1017" s="38" t="s">
        <v>2691</v>
      </c>
      <c r="B1017" s="38" t="s">
        <v>2773</v>
      </c>
      <c r="C1017" s="38"/>
      <c r="D1017" s="38" t="s">
        <v>1595</v>
      </c>
      <c r="E1017" s="44" t="str">
        <f>IFERROR(VLOOKUP(D1017,EQUIPOS!A:B,2,FALSE()),"?")</f>
        <v>EQUIPO DE ALBAÑILERIA, carpetas, ladrillo</v>
      </c>
      <c r="F1017" s="44"/>
      <c r="G1017" s="45">
        <v>1</v>
      </c>
      <c r="H1017" s="46">
        <v>0</v>
      </c>
      <c r="I1017" s="47">
        <f>IFERROR(VLOOKUP(D1017,EQUIPOS!A:F,6,FALSE()),0)</f>
        <v>2287.1357450968057</v>
      </c>
      <c r="J1017" s="42">
        <f>G1017*I1017</f>
        <v>2287.1357450968057</v>
      </c>
      <c r="K1017" s="15" t="str">
        <f t="shared" si="111"/>
        <v>PTO-0701|EQ</v>
      </c>
      <c r="L1017" s="15">
        <f>COUNTIFS($K$2:K1017,K1017)</f>
        <v>2</v>
      </c>
      <c r="M1017" s="15" t="str">
        <f t="shared" si="112"/>
        <v>PTO-0701|EQ|2</v>
      </c>
      <c r="N1017" s="47">
        <f>IFERROR(VLOOKUP(A1017,PARTIDAS!A:F,6,FALSE()),0)</f>
        <v>11.5</v>
      </c>
      <c r="O1017" s="247">
        <f t="shared" si="113"/>
        <v>1</v>
      </c>
      <c r="P1017" s="247" t="str">
        <f>+_xlfn.XLOOKUP(A1017,PPTO_GENERADOR!Q:Q,PPTO_GENERADOR!E:E,"-",0)</f>
        <v>-</v>
      </c>
      <c r="Q1017" s="247">
        <f t="shared" si="114"/>
        <v>0</v>
      </c>
      <c r="R1017" s="259" t="str">
        <f>+_xlfn.XLOOKUP(A1017,PPTO_GENERADOR!$Q:$Q,PPTO_GENERADOR!A:A,"-",0)</f>
        <v>-</v>
      </c>
    </row>
    <row r="1018" spans="1:18" ht="14.25" customHeight="1" x14ac:dyDescent="0.35">
      <c r="A1018" s="38" t="s">
        <v>2691</v>
      </c>
      <c r="B1018" s="38" t="s">
        <v>2773</v>
      </c>
      <c r="C1018" s="38"/>
      <c r="D1018" s="38" t="s">
        <v>1613</v>
      </c>
      <c r="E1018" s="44" t="str">
        <f>IFERROR(VLOOKUP(D1018,EQUIPOS!A:B,2,FALSE()),"?")</f>
        <v>Hormigonera De 150 Litros 1hp Con Rueda Maciza</v>
      </c>
      <c r="F1018" s="44"/>
      <c r="G1018" s="45">
        <v>1</v>
      </c>
      <c r="H1018" s="46">
        <v>0</v>
      </c>
      <c r="I1018" s="47">
        <f>IFERROR(VLOOKUP(D1018,EQUIPOS!A:F,6,FALSE()),0)</f>
        <v>957.25319614994726</v>
      </c>
      <c r="J1018" s="42">
        <f>G1018*I1018</f>
        <v>957.25319614994726</v>
      </c>
      <c r="K1018" s="15" t="str">
        <f t="shared" si="111"/>
        <v>PTO-0701|EQ</v>
      </c>
      <c r="L1018" s="15">
        <f>COUNTIFS($K$2:K1018,K1018)</f>
        <v>3</v>
      </c>
      <c r="M1018" s="15" t="str">
        <f t="shared" si="112"/>
        <v>PTO-0701|EQ|3</v>
      </c>
      <c r="N1018" s="47">
        <f>IFERROR(VLOOKUP(A1018,PARTIDAS!A:F,6,FALSE()),0)</f>
        <v>11.5</v>
      </c>
      <c r="O1018" s="247">
        <f t="shared" si="113"/>
        <v>1</v>
      </c>
      <c r="P1018" s="247" t="str">
        <f>+_xlfn.XLOOKUP(A1018,PPTO_GENERADOR!Q:Q,PPTO_GENERADOR!E:E,"-",0)</f>
        <v>-</v>
      </c>
      <c r="Q1018" s="247">
        <f t="shared" si="114"/>
        <v>0</v>
      </c>
      <c r="R1018" s="259" t="str">
        <f>+_xlfn.XLOOKUP(A1018,PPTO_GENERADOR!$Q:$Q,PPTO_GENERADOR!A:A,"-",0)</f>
        <v>-</v>
      </c>
    </row>
    <row r="1019" spans="1:18" ht="14.25" customHeight="1" x14ac:dyDescent="0.35">
      <c r="A1019" s="38" t="s">
        <v>2691</v>
      </c>
      <c r="B1019" s="38" t="s">
        <v>2774</v>
      </c>
      <c r="C1019" s="38" t="s">
        <v>2775</v>
      </c>
      <c r="D1019" s="38" t="s">
        <v>588</v>
      </c>
      <c r="E1019" s="44" t="str">
        <f>IFERROR(VLOOKUP(D1019,MATERIALES!A:B,2,FALSE()),"?")</f>
        <v>ARENA LAVADA</v>
      </c>
      <c r="F1019" s="44" t="str">
        <f>IFERROR(VLOOKUP(D1019,MATERIALES!A:C,3,FALSE()),"?")</f>
        <v>m3</v>
      </c>
      <c r="G1019" s="45">
        <v>2.5999999999999999E-2</v>
      </c>
      <c r="H1019" s="46">
        <v>0.1</v>
      </c>
      <c r="I1019" s="47">
        <f>IFERROR(VLOOKUP(D1019,MATERIALES!A:D,4,FALSE()),0)</f>
        <v>32399.77</v>
      </c>
      <c r="J1019" s="42">
        <f>G1019*I1019*(1+H1019)</f>
        <v>926.633422</v>
      </c>
      <c r="K1019" s="15" t="str">
        <f t="shared" si="111"/>
        <v>PTO-0701|MAT</v>
      </c>
      <c r="L1019" s="15">
        <f>COUNTIFS($K$2:K1019,K1019)</f>
        <v>1</v>
      </c>
      <c r="M1019" s="15" t="str">
        <f t="shared" si="112"/>
        <v>PTO-0701|MAT|1</v>
      </c>
      <c r="N1019" s="47">
        <f>IFERROR(VLOOKUP(A1019,PARTIDAS!A:F,6,FALSE()),0)</f>
        <v>11.5</v>
      </c>
      <c r="O1019" s="247">
        <f t="shared" si="113"/>
        <v>2.5999999999999999E-2</v>
      </c>
      <c r="P1019" s="247" t="str">
        <f>+_xlfn.XLOOKUP(A1019,PPTO_GENERADOR!Q:Q,PPTO_GENERADOR!E:E,"-",0)</f>
        <v>-</v>
      </c>
      <c r="Q1019" s="247">
        <f t="shared" si="114"/>
        <v>0</v>
      </c>
      <c r="R1019" s="259" t="str">
        <f>+_xlfn.XLOOKUP(A1019,PPTO_GENERADOR!$Q:$Q,PPTO_GENERADOR!A:A,"-",0)</f>
        <v>-</v>
      </c>
    </row>
    <row r="1020" spans="1:18" ht="14.25" customHeight="1" x14ac:dyDescent="0.35">
      <c r="A1020" s="38" t="s">
        <v>2691</v>
      </c>
      <c r="B1020" s="38" t="s">
        <v>2774</v>
      </c>
      <c r="C1020" s="38" t="s">
        <v>2775</v>
      </c>
      <c r="D1020" s="38" t="s">
        <v>599</v>
      </c>
      <c r="E1020" s="44" t="str">
        <f>IFERROR(VLOOKUP(D1020,MATERIALES!A:B,2,FALSE()),"?")</f>
        <v>Cemento Portland x 50kg</v>
      </c>
      <c r="F1020" s="44" t="str">
        <f>IFERROR(VLOOKUP(D1020,MATERIALES!A:C,3,FALSE()),"?")</f>
        <v>Bol</v>
      </c>
      <c r="G1020" s="45">
        <v>0.314</v>
      </c>
      <c r="H1020" s="46">
        <v>0.1</v>
      </c>
      <c r="I1020" s="47">
        <f>IFERROR(VLOOKUP(D1020,MATERIALES!A:D,4,FALSE()),0)</f>
        <v>7809.48</v>
      </c>
      <c r="J1020" s="42">
        <f>G1020*I1020*(1+H1020)</f>
        <v>2697.3943920000002</v>
      </c>
      <c r="K1020" s="15" t="str">
        <f t="shared" si="111"/>
        <v>PTO-0701|MAT</v>
      </c>
      <c r="L1020" s="15">
        <f>COUNTIFS($K$2:K1020,K1020)</f>
        <v>2</v>
      </c>
      <c r="M1020" s="15" t="str">
        <f t="shared" si="112"/>
        <v>PTO-0701|MAT|2</v>
      </c>
      <c r="N1020" s="47">
        <f>IFERROR(VLOOKUP(A1020,PARTIDAS!A:F,6,FALSE()),0)</f>
        <v>11.5</v>
      </c>
      <c r="O1020" s="247">
        <f t="shared" si="113"/>
        <v>0.314</v>
      </c>
      <c r="P1020" s="247" t="str">
        <f>+_xlfn.XLOOKUP(A1020,PPTO_GENERADOR!Q:Q,PPTO_GENERADOR!E:E,"-",0)</f>
        <v>-</v>
      </c>
      <c r="Q1020" s="247">
        <f t="shared" si="114"/>
        <v>0</v>
      </c>
      <c r="R1020" s="259" t="str">
        <f>+_xlfn.XLOOKUP(A1020,PPTO_GENERADOR!$Q:$Q,PPTO_GENERADOR!A:A,"-",0)</f>
        <v>-</v>
      </c>
    </row>
    <row r="1021" spans="1:18" ht="14.25" customHeight="1" x14ac:dyDescent="0.35">
      <c r="A1021" s="38" t="s">
        <v>2691</v>
      </c>
      <c r="B1021" s="38" t="s">
        <v>2774</v>
      </c>
      <c r="C1021" s="38" t="s">
        <v>2775</v>
      </c>
      <c r="D1021" s="38" t="s">
        <v>604</v>
      </c>
      <c r="E1021" s="44" t="str">
        <f>IFERROR(VLOOKUP(D1021,MATERIALES!A:B,2,FALSE()),"?")</f>
        <v>Cal Comun x 25kg</v>
      </c>
      <c r="F1021" s="44" t="str">
        <f>IFERROR(VLOOKUP(D1021,MATERIALES!A:C,3,FALSE()),"?")</f>
        <v>bol</v>
      </c>
      <c r="G1021" s="45">
        <v>0.06</v>
      </c>
      <c r="H1021" s="46">
        <v>0.1</v>
      </c>
      <c r="I1021" s="47">
        <f>IFERROR(VLOOKUP(D1021,MATERIALES!A:D,4,FALSE()),0)</f>
        <v>3837.96</v>
      </c>
      <c r="J1021" s="42">
        <f>G1021*I1021*(1+H1021)</f>
        <v>253.30536000000004</v>
      </c>
      <c r="K1021" s="15" t="str">
        <f t="shared" si="111"/>
        <v>PTO-0701|MAT</v>
      </c>
      <c r="L1021" s="15">
        <f>COUNTIFS($K$2:K1021,K1021)</f>
        <v>3</v>
      </c>
      <c r="M1021" s="15" t="str">
        <f t="shared" si="112"/>
        <v>PTO-0701|MAT|3</v>
      </c>
      <c r="N1021" s="47">
        <f>IFERROR(VLOOKUP(A1021,PARTIDAS!A:F,6,FALSE()),0)</f>
        <v>11.5</v>
      </c>
      <c r="O1021" s="247">
        <f t="shared" si="113"/>
        <v>0.06</v>
      </c>
      <c r="P1021" s="247" t="str">
        <f>+_xlfn.XLOOKUP(A1021,PPTO_GENERADOR!Q:Q,PPTO_GENERADOR!E:E,"-",0)</f>
        <v>-</v>
      </c>
      <c r="Q1021" s="247">
        <f t="shared" si="114"/>
        <v>0</v>
      </c>
      <c r="R1021" s="259" t="str">
        <f>+_xlfn.XLOOKUP(A1021,PPTO_GENERADOR!$Q:$Q,PPTO_GENERADOR!A:A,"-",0)</f>
        <v>-</v>
      </c>
    </row>
    <row r="1022" spans="1:18" ht="14.25" customHeight="1" x14ac:dyDescent="0.35">
      <c r="A1022" s="38" t="s">
        <v>2691</v>
      </c>
      <c r="B1022" s="38" t="s">
        <v>2774</v>
      </c>
      <c r="C1022" s="38" t="s">
        <v>2775</v>
      </c>
      <c r="D1022" s="38" t="s">
        <v>660</v>
      </c>
      <c r="E1022" s="44" t="str">
        <f>IFERROR(VLOOKUP(D1022,MATERIALES!A:B,2,FALSE()),"?")</f>
        <v>Aditivo Hidrofugo en pasta - Ceresita x 1kg</v>
      </c>
      <c r="F1022" s="44" t="str">
        <f>IFERROR(VLOOKUP(D1022,MATERIALES!A:C,3,FALSE()),"?")</f>
        <v>kg</v>
      </c>
      <c r="G1022" s="45">
        <v>0.1</v>
      </c>
      <c r="H1022" s="46">
        <v>0.05</v>
      </c>
      <c r="I1022" s="47">
        <f>IFERROR(VLOOKUP(D1022,MATERIALES!A:D,4,FALSE()),0)</f>
        <v>1256.1279999999999</v>
      </c>
      <c r="J1022" s="42">
        <f>G1022*I1022*(1+H1022)</f>
        <v>131.89344</v>
      </c>
      <c r="K1022" s="15" t="str">
        <f t="shared" si="111"/>
        <v>PTO-0701|MAT</v>
      </c>
      <c r="L1022" s="15">
        <f>COUNTIFS($K$2:K1022,K1022)</f>
        <v>4</v>
      </c>
      <c r="M1022" s="15" t="str">
        <f t="shared" si="112"/>
        <v>PTO-0701|MAT|4</v>
      </c>
      <c r="N1022" s="47">
        <f>IFERROR(VLOOKUP(A1022,PARTIDAS!A:F,6,FALSE()),0)</f>
        <v>11.5</v>
      </c>
      <c r="O1022" s="247">
        <f t="shared" si="113"/>
        <v>0.1</v>
      </c>
      <c r="P1022" s="247" t="str">
        <f>+_xlfn.XLOOKUP(A1022,PPTO_GENERADOR!Q:Q,PPTO_GENERADOR!E:E,"-",0)</f>
        <v>-</v>
      </c>
      <c r="Q1022" s="247">
        <f t="shared" si="114"/>
        <v>0</v>
      </c>
      <c r="R1022" s="259" t="str">
        <f>+_xlfn.XLOOKUP(A1022,PPTO_GENERADOR!$Q:$Q,PPTO_GENERADOR!A:A,"-",0)</f>
        <v>-</v>
      </c>
    </row>
    <row r="1023" spans="1:18" ht="14.25" customHeight="1" x14ac:dyDescent="0.35">
      <c r="A1023" s="38" t="s">
        <v>2691</v>
      </c>
      <c r="B1023" s="38" t="s">
        <v>2776</v>
      </c>
      <c r="C1023" s="38" t="s">
        <v>2777</v>
      </c>
      <c r="D1023" s="237" t="s">
        <v>1577</v>
      </c>
      <c r="E1023" s="44" t="str">
        <f>IFERROR(VLOOKUP(D1023,MANO_DE_OBRA!A:B,2,FALSE()),"?")</f>
        <v>AYUDANTE</v>
      </c>
      <c r="F1023" s="44" t="s">
        <v>2778</v>
      </c>
      <c r="G1023" s="45">
        <v>0.6</v>
      </c>
      <c r="H1023" s="46">
        <v>0</v>
      </c>
      <c r="I1023" s="47">
        <f>IFERROR(VLOOKUP(D1023,MANO_DE_OBRA!A:C,3,FALSE()),0)</f>
        <v>60860.580776572002</v>
      </c>
      <c r="J1023" s="42">
        <f>G1023*I1023</f>
        <v>36516.3484659432</v>
      </c>
      <c r="K1023" s="15" t="str">
        <f t="shared" si="111"/>
        <v>PTO-0701|MO</v>
      </c>
      <c r="L1023" s="15">
        <f>COUNTIFS($K$2:K1023,K1023)</f>
        <v>1</v>
      </c>
      <c r="M1023" s="15" t="str">
        <f t="shared" si="112"/>
        <v>PTO-0701|MO|1</v>
      </c>
      <c r="N1023" s="47">
        <f>IFERROR(VLOOKUP(A1023,PARTIDAS!A:F,6,FALSE()),0)</f>
        <v>11.5</v>
      </c>
      <c r="O1023" s="247">
        <f t="shared" si="113"/>
        <v>5.2173913043478258E-2</v>
      </c>
      <c r="P1023" s="247" t="str">
        <f>+_xlfn.XLOOKUP(A1023,PPTO_GENERADOR!Q:Q,PPTO_GENERADOR!E:E,"-",0)</f>
        <v>-</v>
      </c>
      <c r="Q1023" s="247">
        <f t="shared" si="114"/>
        <v>0</v>
      </c>
      <c r="R1023" s="259" t="str">
        <f>+_xlfn.XLOOKUP(A1023,PPTO_GENERADOR!$Q:$Q,PPTO_GENERADOR!A:A,"-",0)</f>
        <v>-</v>
      </c>
    </row>
    <row r="1024" spans="1:18" ht="14.25" customHeight="1" x14ac:dyDescent="0.35">
      <c r="A1024" s="38" t="s">
        <v>2691</v>
      </c>
      <c r="B1024" s="38" t="s">
        <v>2776</v>
      </c>
      <c r="C1024" s="38" t="s">
        <v>2777</v>
      </c>
      <c r="D1024" s="237" t="s">
        <v>1568</v>
      </c>
      <c r="E1024" s="44" t="str">
        <f>IFERROR(VLOOKUP(D1024,MANO_DE_OBRA!A:B,2,FALSE()),"?")</f>
        <v>ESPECIALIZADO</v>
      </c>
      <c r="F1024" s="44" t="s">
        <v>2778</v>
      </c>
      <c r="G1024" s="45">
        <v>1</v>
      </c>
      <c r="H1024" s="46">
        <v>0</v>
      </c>
      <c r="I1024" s="47">
        <f>IFERROR(VLOOKUP(D1024,MANO_DE_OBRA!A:C,3,FALSE()),0)</f>
        <v>85927.097156571996</v>
      </c>
      <c r="J1024" s="42">
        <f>G1024*I1024</f>
        <v>85927.097156571996</v>
      </c>
      <c r="K1024" s="15" t="str">
        <f t="shared" si="111"/>
        <v>PTO-0701|MO</v>
      </c>
      <c r="L1024" s="15">
        <f>COUNTIFS($K$2:K1024,K1024)</f>
        <v>2</v>
      </c>
      <c r="M1024" s="15" t="str">
        <f t="shared" si="112"/>
        <v>PTO-0701|MO|2</v>
      </c>
      <c r="N1024" s="47">
        <f>IFERROR(VLOOKUP(A1024,PARTIDAS!A:F,6,FALSE()),0)</f>
        <v>11.5</v>
      </c>
      <c r="O1024" s="247">
        <f t="shared" si="113"/>
        <v>8.6956521739130432E-2</v>
      </c>
      <c r="P1024" s="247" t="str">
        <f>+_xlfn.XLOOKUP(A1024,PPTO_GENERADOR!Q:Q,PPTO_GENERADOR!E:E,"-",0)</f>
        <v>-</v>
      </c>
      <c r="Q1024" s="247">
        <f t="shared" si="114"/>
        <v>0</v>
      </c>
      <c r="R1024" s="259" t="str">
        <f>+_xlfn.XLOOKUP(A1024,PPTO_GENERADOR!$Q:$Q,PPTO_GENERADOR!A:A,"-",0)</f>
        <v>-</v>
      </c>
    </row>
    <row r="1025" spans="1:18" ht="14.25" customHeight="1" x14ac:dyDescent="0.35">
      <c r="A1025" s="38" t="s">
        <v>145</v>
      </c>
      <c r="B1025" s="38" t="s">
        <v>2773</v>
      </c>
      <c r="C1025" s="38"/>
      <c r="D1025" s="38" t="s">
        <v>1628</v>
      </c>
      <c r="E1025" s="44" t="str">
        <f>IFERROR(VLOOKUP(D1025,EQUIPOS!A:B,2,FALSE()),"?")</f>
        <v>Balancin</v>
      </c>
      <c r="F1025" s="44"/>
      <c r="G1025" s="45">
        <v>1</v>
      </c>
      <c r="H1025" s="46">
        <v>0</v>
      </c>
      <c r="I1025" s="47">
        <f>IFERROR(VLOOKUP(D1025,EQUIPOS!A:F,6,FALSE()),0)</f>
        <v>2910.133166666667</v>
      </c>
      <c r="J1025" s="42">
        <f>G1025*I1025</f>
        <v>2910.133166666667</v>
      </c>
      <c r="K1025" s="15" t="str">
        <f t="shared" si="111"/>
        <v>PTO-0702|EQ</v>
      </c>
      <c r="L1025" s="15">
        <f>COUNTIFS($K$2:K1025,K1025)</f>
        <v>1</v>
      </c>
      <c r="M1025" s="15" t="str">
        <f t="shared" si="112"/>
        <v>PTO-0702|EQ|1</v>
      </c>
      <c r="N1025" s="47">
        <f>IFERROR(VLOOKUP(A1025,PARTIDAS!A:F,6,FALSE()),0)</f>
        <v>8</v>
      </c>
      <c r="O1025" s="247">
        <f t="shared" si="113"/>
        <v>1</v>
      </c>
      <c r="P1025" s="247">
        <f>+_xlfn.XLOOKUP(A1025,PPTO_GENERADOR!Q:Q,PPTO_GENERADOR!E:E,"-",0)</f>
        <v>716</v>
      </c>
      <c r="Q1025" s="247">
        <f t="shared" si="114"/>
        <v>716</v>
      </c>
      <c r="R1025" s="259">
        <f>+_xlfn.XLOOKUP(A1025,PPTO_GENERADOR!$Q:$Q,PPTO_GENERADOR!A:A,"-",0)</f>
        <v>7.02</v>
      </c>
    </row>
    <row r="1026" spans="1:18" ht="14.25" customHeight="1" x14ac:dyDescent="0.35">
      <c r="A1026" s="38" t="s">
        <v>145</v>
      </c>
      <c r="B1026" s="38" t="s">
        <v>2773</v>
      </c>
      <c r="C1026" s="38"/>
      <c r="D1026" s="38" t="s">
        <v>1595</v>
      </c>
      <c r="E1026" s="44" t="str">
        <f>IFERROR(VLOOKUP(D1026,EQUIPOS!A:B,2,FALSE()),"?")</f>
        <v>EQUIPO DE ALBAÑILERIA, carpetas, ladrillo</v>
      </c>
      <c r="F1026" s="44"/>
      <c r="G1026" s="45">
        <v>1</v>
      </c>
      <c r="H1026" s="46">
        <v>0</v>
      </c>
      <c r="I1026" s="47">
        <f>IFERROR(VLOOKUP(D1026,EQUIPOS!A:F,6,FALSE()),0)</f>
        <v>2287.1357450968057</v>
      </c>
      <c r="J1026" s="42">
        <f>G1026*I1026</f>
        <v>2287.1357450968057</v>
      </c>
      <c r="K1026" s="15" t="str">
        <f t="shared" ref="K1026:K1089" si="118">A1026&amp;"|"&amp;B1026</f>
        <v>PTO-0702|EQ</v>
      </c>
      <c r="L1026" s="15">
        <f>COUNTIFS($K$2:K1026,K1026)</f>
        <v>2</v>
      </c>
      <c r="M1026" s="15" t="str">
        <f t="shared" ref="M1026:M1089" si="119">K1026&amp;"|"&amp;L1026</f>
        <v>PTO-0702|EQ|2</v>
      </c>
      <c r="N1026" s="47">
        <f>IFERROR(VLOOKUP(A1026,PARTIDAS!A:F,6,FALSE()),0)</f>
        <v>8</v>
      </c>
      <c r="O1026" s="247">
        <f t="shared" si="113"/>
        <v>1</v>
      </c>
      <c r="P1026" s="247">
        <f>+_xlfn.XLOOKUP(A1026,PPTO_GENERADOR!Q:Q,PPTO_GENERADOR!E:E,"-",0)</f>
        <v>716</v>
      </c>
      <c r="Q1026" s="247">
        <f t="shared" si="114"/>
        <v>716</v>
      </c>
      <c r="R1026" s="259">
        <f>+_xlfn.XLOOKUP(A1026,PPTO_GENERADOR!$Q:$Q,PPTO_GENERADOR!A:A,"-",0)</f>
        <v>7.02</v>
      </c>
    </row>
    <row r="1027" spans="1:18" ht="14.25" customHeight="1" x14ac:dyDescent="0.35">
      <c r="A1027" s="38" t="s">
        <v>145</v>
      </c>
      <c r="B1027" s="38" t="s">
        <v>2773</v>
      </c>
      <c r="C1027" s="38"/>
      <c r="D1027" s="38" t="s">
        <v>1613</v>
      </c>
      <c r="E1027" s="44" t="str">
        <f>IFERROR(VLOOKUP(D1027,EQUIPOS!A:B,2,FALSE()),"?")</f>
        <v>Hormigonera De 150 Litros 1hp Con Rueda Maciza</v>
      </c>
      <c r="F1027" s="44"/>
      <c r="G1027" s="45">
        <v>1</v>
      </c>
      <c r="H1027" s="46">
        <v>0</v>
      </c>
      <c r="I1027" s="47">
        <f>IFERROR(VLOOKUP(D1027,EQUIPOS!A:F,6,FALSE()),0)</f>
        <v>957.25319614994726</v>
      </c>
      <c r="J1027" s="42">
        <f>G1027*I1027</f>
        <v>957.25319614994726</v>
      </c>
      <c r="K1027" s="15" t="str">
        <f t="shared" si="118"/>
        <v>PTO-0702|EQ</v>
      </c>
      <c r="L1027" s="15">
        <f>COUNTIFS($K$2:K1027,K1027)</f>
        <v>3</v>
      </c>
      <c r="M1027" s="15" t="str">
        <f t="shared" si="119"/>
        <v>PTO-0702|EQ|3</v>
      </c>
      <c r="N1027" s="47">
        <f>IFERROR(VLOOKUP(A1027,PARTIDAS!A:F,6,FALSE()),0)</f>
        <v>8</v>
      </c>
      <c r="O1027" s="247">
        <f t="shared" ref="O1027:O1090" si="120">+IF(C1027="ALB",G1027/N1027,G1027)</f>
        <v>1</v>
      </c>
      <c r="P1027" s="247">
        <f>+_xlfn.XLOOKUP(A1027,PPTO_GENERADOR!Q:Q,PPTO_GENERADOR!E:E,"-",0)</f>
        <v>716</v>
      </c>
      <c r="Q1027" s="247">
        <f t="shared" ref="Q1027:Q1090" si="121">IFERROR(P1027*O1027,0)</f>
        <v>716</v>
      </c>
      <c r="R1027" s="259">
        <f>+_xlfn.XLOOKUP(A1027,PPTO_GENERADOR!$Q:$Q,PPTO_GENERADOR!A:A,"-",0)</f>
        <v>7.02</v>
      </c>
    </row>
    <row r="1028" spans="1:18" ht="14.25" customHeight="1" x14ac:dyDescent="0.35">
      <c r="A1028" s="38" t="s">
        <v>145</v>
      </c>
      <c r="B1028" s="38" t="s">
        <v>2774</v>
      </c>
      <c r="C1028" s="38" t="s">
        <v>2775</v>
      </c>
      <c r="D1028" s="38" t="s">
        <v>588</v>
      </c>
      <c r="E1028" s="44" t="str">
        <f>IFERROR(VLOOKUP(D1028,MATERIALES!A:B,2,FALSE()),"?")</f>
        <v>ARENA LAVADA</v>
      </c>
      <c r="F1028" s="44" t="str">
        <f>IFERROR(VLOOKUP(D1028,MATERIALES!A:C,3,FALSE()),"?")</f>
        <v>m3</v>
      </c>
      <c r="G1028" s="45">
        <v>2.5999999999999999E-2</v>
      </c>
      <c r="H1028" s="46">
        <v>0.1</v>
      </c>
      <c r="I1028" s="47">
        <f>IFERROR(VLOOKUP(D1028,MATERIALES!A:D,4,FALSE()),0)</f>
        <v>32399.77</v>
      </c>
      <c r="J1028" s="42">
        <f>G1028*I1028*(1+H1028)</f>
        <v>926.633422</v>
      </c>
      <c r="K1028" s="15" t="str">
        <f t="shared" si="118"/>
        <v>PTO-0702|MAT</v>
      </c>
      <c r="L1028" s="15">
        <f>COUNTIFS($K$2:K1028,K1028)</f>
        <v>1</v>
      </c>
      <c r="M1028" s="15" t="str">
        <f t="shared" si="119"/>
        <v>PTO-0702|MAT|1</v>
      </c>
      <c r="N1028" s="47">
        <f>IFERROR(VLOOKUP(A1028,PARTIDAS!A:F,6,FALSE()),0)</f>
        <v>8</v>
      </c>
      <c r="O1028" s="247">
        <f t="shared" si="120"/>
        <v>2.5999999999999999E-2</v>
      </c>
      <c r="P1028" s="247">
        <f>+_xlfn.XLOOKUP(A1028,PPTO_GENERADOR!Q:Q,PPTO_GENERADOR!E:E,"-",0)</f>
        <v>716</v>
      </c>
      <c r="Q1028" s="247">
        <f t="shared" si="121"/>
        <v>18.616</v>
      </c>
      <c r="R1028" s="259">
        <f>+_xlfn.XLOOKUP(A1028,PPTO_GENERADOR!$Q:$Q,PPTO_GENERADOR!A:A,"-",0)</f>
        <v>7.02</v>
      </c>
    </row>
    <row r="1029" spans="1:18" ht="14.25" customHeight="1" x14ac:dyDescent="0.35">
      <c r="A1029" s="38" t="s">
        <v>145</v>
      </c>
      <c r="B1029" s="38" t="s">
        <v>2774</v>
      </c>
      <c r="C1029" s="38" t="s">
        <v>2775</v>
      </c>
      <c r="D1029" s="38" t="s">
        <v>599</v>
      </c>
      <c r="E1029" s="44" t="str">
        <f>IFERROR(VLOOKUP(D1029,MATERIALES!A:B,2,FALSE()),"?")</f>
        <v>Cemento Portland x 50kg</v>
      </c>
      <c r="F1029" s="44" t="str">
        <f>IFERROR(VLOOKUP(D1029,MATERIALES!A:C,3,FALSE()),"?")</f>
        <v>Bol</v>
      </c>
      <c r="G1029" s="45">
        <v>0.314</v>
      </c>
      <c r="H1029" s="46">
        <v>0.1</v>
      </c>
      <c r="I1029" s="47">
        <f>IFERROR(VLOOKUP(D1029,MATERIALES!A:D,4,FALSE()),0)</f>
        <v>7809.48</v>
      </c>
      <c r="J1029" s="42">
        <f>G1029*I1029*(1+H1029)</f>
        <v>2697.3943920000002</v>
      </c>
      <c r="K1029" s="15" t="str">
        <f t="shared" si="118"/>
        <v>PTO-0702|MAT</v>
      </c>
      <c r="L1029" s="15">
        <f>COUNTIFS($K$2:K1029,K1029)</f>
        <v>2</v>
      </c>
      <c r="M1029" s="15" t="str">
        <f t="shared" si="119"/>
        <v>PTO-0702|MAT|2</v>
      </c>
      <c r="N1029" s="47">
        <f>IFERROR(VLOOKUP(A1029,PARTIDAS!A:F,6,FALSE()),0)</f>
        <v>8</v>
      </c>
      <c r="O1029" s="247">
        <f t="shared" si="120"/>
        <v>0.314</v>
      </c>
      <c r="P1029" s="247">
        <f>+_xlfn.XLOOKUP(A1029,PPTO_GENERADOR!Q:Q,PPTO_GENERADOR!E:E,"-",0)</f>
        <v>716</v>
      </c>
      <c r="Q1029" s="247">
        <f t="shared" si="121"/>
        <v>224.82400000000001</v>
      </c>
      <c r="R1029" s="259">
        <f>+_xlfn.XLOOKUP(A1029,PPTO_GENERADOR!$Q:$Q,PPTO_GENERADOR!A:A,"-",0)</f>
        <v>7.02</v>
      </c>
    </row>
    <row r="1030" spans="1:18" ht="14.25" customHeight="1" x14ac:dyDescent="0.35">
      <c r="A1030" s="38" t="s">
        <v>145</v>
      </c>
      <c r="B1030" s="38" t="s">
        <v>2774</v>
      </c>
      <c r="C1030" s="38" t="s">
        <v>2775</v>
      </c>
      <c r="D1030" s="38" t="s">
        <v>604</v>
      </c>
      <c r="E1030" s="44" t="str">
        <f>IFERROR(VLOOKUP(D1030,MATERIALES!A:B,2,FALSE()),"?")</f>
        <v>Cal Comun x 25kg</v>
      </c>
      <c r="F1030" s="44" t="str">
        <f>IFERROR(VLOOKUP(D1030,MATERIALES!A:C,3,FALSE()),"?")</f>
        <v>bol</v>
      </c>
      <c r="G1030" s="45">
        <v>0.06</v>
      </c>
      <c r="H1030" s="46">
        <v>0.1</v>
      </c>
      <c r="I1030" s="47">
        <f>IFERROR(VLOOKUP(D1030,MATERIALES!A:D,4,FALSE()),0)</f>
        <v>3837.96</v>
      </c>
      <c r="J1030" s="42">
        <f>G1030*I1030*(1+H1030)</f>
        <v>253.30536000000004</v>
      </c>
      <c r="K1030" s="15" t="str">
        <f t="shared" si="118"/>
        <v>PTO-0702|MAT</v>
      </c>
      <c r="L1030" s="15">
        <f>COUNTIFS($K$2:K1030,K1030)</f>
        <v>3</v>
      </c>
      <c r="M1030" s="15" t="str">
        <f t="shared" si="119"/>
        <v>PTO-0702|MAT|3</v>
      </c>
      <c r="N1030" s="47">
        <f>IFERROR(VLOOKUP(A1030,PARTIDAS!A:F,6,FALSE()),0)</f>
        <v>8</v>
      </c>
      <c r="O1030" s="247">
        <f t="shared" si="120"/>
        <v>0.06</v>
      </c>
      <c r="P1030" s="247">
        <f>+_xlfn.XLOOKUP(A1030,PPTO_GENERADOR!Q:Q,PPTO_GENERADOR!E:E,"-",0)</f>
        <v>716</v>
      </c>
      <c r="Q1030" s="247">
        <f t="shared" si="121"/>
        <v>42.96</v>
      </c>
      <c r="R1030" s="259">
        <f>+_xlfn.XLOOKUP(A1030,PPTO_GENERADOR!$Q:$Q,PPTO_GENERADOR!A:A,"-",0)</f>
        <v>7.02</v>
      </c>
    </row>
    <row r="1031" spans="1:18" ht="14.25" customHeight="1" x14ac:dyDescent="0.35">
      <c r="A1031" s="38" t="s">
        <v>145</v>
      </c>
      <c r="B1031" s="38" t="s">
        <v>2774</v>
      </c>
      <c r="C1031" s="38" t="s">
        <v>2775</v>
      </c>
      <c r="D1031" s="38" t="s">
        <v>660</v>
      </c>
      <c r="E1031" s="44" t="str">
        <f>IFERROR(VLOOKUP(D1031,MATERIALES!A:B,2,FALSE()),"?")</f>
        <v>Aditivo Hidrofugo en pasta - Ceresita x 1kg</v>
      </c>
      <c r="F1031" s="44" t="str">
        <f>IFERROR(VLOOKUP(D1031,MATERIALES!A:C,3,FALSE()),"?")</f>
        <v>kg</v>
      </c>
      <c r="G1031" s="45">
        <v>0.1</v>
      </c>
      <c r="H1031" s="46">
        <v>0.05</v>
      </c>
      <c r="I1031" s="47">
        <f>IFERROR(VLOOKUP(D1031,MATERIALES!A:D,4,FALSE()),0)</f>
        <v>1256.1279999999999</v>
      </c>
      <c r="J1031" s="42">
        <f>G1031*I1031*(1+H1031)</f>
        <v>131.89344</v>
      </c>
      <c r="K1031" s="15" t="str">
        <f t="shared" si="118"/>
        <v>PTO-0702|MAT</v>
      </c>
      <c r="L1031" s="15">
        <f>COUNTIFS($K$2:K1031,K1031)</f>
        <v>4</v>
      </c>
      <c r="M1031" s="15" t="str">
        <f t="shared" si="119"/>
        <v>PTO-0702|MAT|4</v>
      </c>
      <c r="N1031" s="47">
        <f>IFERROR(VLOOKUP(A1031,PARTIDAS!A:F,6,FALSE()),0)</f>
        <v>8</v>
      </c>
      <c r="O1031" s="247">
        <f t="shared" si="120"/>
        <v>0.1</v>
      </c>
      <c r="P1031" s="247">
        <f>+_xlfn.XLOOKUP(A1031,PPTO_GENERADOR!Q:Q,PPTO_GENERADOR!E:E,"-",0)</f>
        <v>716</v>
      </c>
      <c r="Q1031" s="247">
        <f t="shared" si="121"/>
        <v>71.600000000000009</v>
      </c>
      <c r="R1031" s="259">
        <f>+_xlfn.XLOOKUP(A1031,PPTO_GENERADOR!$Q:$Q,PPTO_GENERADOR!A:A,"-",0)</f>
        <v>7.02</v>
      </c>
    </row>
    <row r="1032" spans="1:18" ht="14.25" customHeight="1" x14ac:dyDescent="0.35">
      <c r="A1032" s="38" t="s">
        <v>145</v>
      </c>
      <c r="B1032" s="38" t="s">
        <v>2776</v>
      </c>
      <c r="C1032" s="38" t="s">
        <v>2777</v>
      </c>
      <c r="D1032" s="237" t="s">
        <v>1577</v>
      </c>
      <c r="E1032" s="44" t="str">
        <f>IFERROR(VLOOKUP(D1032,MANO_DE_OBRA!A:B,2,FALSE()),"?")</f>
        <v>AYUDANTE</v>
      </c>
      <c r="F1032" s="44" t="s">
        <v>2778</v>
      </c>
      <c r="G1032" s="45">
        <v>0.6</v>
      </c>
      <c r="H1032" s="46">
        <v>0</v>
      </c>
      <c r="I1032" s="47">
        <f>IFERROR(VLOOKUP(D1032,MANO_DE_OBRA!A:C,3,FALSE()),0)</f>
        <v>60860.580776572002</v>
      </c>
      <c r="J1032" s="42">
        <f>G1032*I1032</f>
        <v>36516.3484659432</v>
      </c>
      <c r="K1032" s="15" t="str">
        <f t="shared" si="118"/>
        <v>PTO-0702|MO</v>
      </c>
      <c r="L1032" s="15">
        <f>COUNTIFS($K$2:K1032,K1032)</f>
        <v>1</v>
      </c>
      <c r="M1032" s="15" t="str">
        <f t="shared" si="119"/>
        <v>PTO-0702|MO|1</v>
      </c>
      <c r="N1032" s="47">
        <f>IFERROR(VLOOKUP(A1032,PARTIDAS!A:F,6,FALSE()),0)</f>
        <v>8</v>
      </c>
      <c r="O1032" s="247">
        <f t="shared" si="120"/>
        <v>7.4999999999999997E-2</v>
      </c>
      <c r="P1032" s="247">
        <f>+_xlfn.XLOOKUP(A1032,PPTO_GENERADOR!Q:Q,PPTO_GENERADOR!E:E,"-",0)</f>
        <v>716</v>
      </c>
      <c r="Q1032" s="247">
        <f t="shared" si="121"/>
        <v>53.699999999999996</v>
      </c>
      <c r="R1032" s="259">
        <f>+_xlfn.XLOOKUP(A1032,PPTO_GENERADOR!$Q:$Q,PPTO_GENERADOR!A:A,"-",0)</f>
        <v>7.02</v>
      </c>
    </row>
    <row r="1033" spans="1:18" ht="14.25" customHeight="1" x14ac:dyDescent="0.35">
      <c r="A1033" s="38" t="s">
        <v>145</v>
      </c>
      <c r="B1033" s="38" t="s">
        <v>2776</v>
      </c>
      <c r="C1033" s="38" t="s">
        <v>2777</v>
      </c>
      <c r="D1033" s="237" t="s">
        <v>1568</v>
      </c>
      <c r="E1033" s="44" t="str">
        <f>IFERROR(VLOOKUP(D1033,MANO_DE_OBRA!A:B,2,FALSE()),"?")</f>
        <v>ESPECIALIZADO</v>
      </c>
      <c r="F1033" s="44" t="s">
        <v>2778</v>
      </c>
      <c r="G1033" s="45">
        <v>1</v>
      </c>
      <c r="H1033" s="46">
        <v>0</v>
      </c>
      <c r="I1033" s="47">
        <f>IFERROR(VLOOKUP(D1033,MANO_DE_OBRA!A:C,3,FALSE()),0)</f>
        <v>85927.097156571996</v>
      </c>
      <c r="J1033" s="42">
        <f>G1033*I1033</f>
        <v>85927.097156571996</v>
      </c>
      <c r="K1033" s="15" t="str">
        <f t="shared" si="118"/>
        <v>PTO-0702|MO</v>
      </c>
      <c r="L1033" s="15">
        <f>COUNTIFS($K$2:K1033,K1033)</f>
        <v>2</v>
      </c>
      <c r="M1033" s="15" t="str">
        <f t="shared" si="119"/>
        <v>PTO-0702|MO|2</v>
      </c>
      <c r="N1033" s="47">
        <f>IFERROR(VLOOKUP(A1033,PARTIDAS!A:F,6,FALSE()),0)</f>
        <v>8</v>
      </c>
      <c r="O1033" s="247">
        <f t="shared" si="120"/>
        <v>0.125</v>
      </c>
      <c r="P1033" s="247">
        <f>+_xlfn.XLOOKUP(A1033,PPTO_GENERADOR!Q:Q,PPTO_GENERADOR!E:E,"-",0)</f>
        <v>716</v>
      </c>
      <c r="Q1033" s="247">
        <f t="shared" si="121"/>
        <v>89.5</v>
      </c>
      <c r="R1033" s="259">
        <f>+_xlfn.XLOOKUP(A1033,PPTO_GENERADOR!$Q:$Q,PPTO_GENERADOR!A:A,"-",0)</f>
        <v>7.02</v>
      </c>
    </row>
    <row r="1034" spans="1:18" ht="14.25" customHeight="1" x14ac:dyDescent="0.35">
      <c r="A1034" s="38" t="s">
        <v>147</v>
      </c>
      <c r="B1034" s="38" t="s">
        <v>2773</v>
      </c>
      <c r="C1034" s="38"/>
      <c r="D1034" s="38" t="s">
        <v>1812</v>
      </c>
      <c r="E1034" s="44" t="str">
        <f>IFERROR(VLOOKUP(D1034,EQUIPOS!A:B,2,FALSE()),"?")</f>
        <v>Herramientas menores y consumibles - Yeso interior</v>
      </c>
      <c r="F1034" s="44"/>
      <c r="G1034" s="45">
        <v>1</v>
      </c>
      <c r="H1034" s="46">
        <v>0</v>
      </c>
      <c r="I1034" s="47">
        <f>IFERROR(VLOOKUP(D1034,EQUIPOS!A:F,6,FALSE()),0)</f>
        <v>254.63084667573</v>
      </c>
      <c r="J1034" s="42">
        <f>G1034*I1034</f>
        <v>254.63084667573</v>
      </c>
      <c r="K1034" s="15" t="str">
        <f t="shared" si="118"/>
        <v>PTO-0703|EQ</v>
      </c>
      <c r="L1034" s="15">
        <f>COUNTIFS($K$2:K1034,K1034)</f>
        <v>1</v>
      </c>
      <c r="M1034" s="15" t="str">
        <f t="shared" si="119"/>
        <v>PTO-0703|EQ|1</v>
      </c>
      <c r="N1034" s="47">
        <f>IFERROR(VLOOKUP(A1034,PARTIDAS!A:F,6,FALSE()),0)</f>
        <v>1</v>
      </c>
      <c r="O1034" s="247">
        <f t="shared" si="120"/>
        <v>1</v>
      </c>
      <c r="P1034" s="247">
        <f>+_xlfn.XLOOKUP(A1034,PPTO_GENERADOR!Q:Q,PPTO_GENERADOR!E:E,"-",0)</f>
        <v>1439</v>
      </c>
      <c r="Q1034" s="247">
        <f t="shared" si="121"/>
        <v>1439</v>
      </c>
      <c r="R1034" s="259">
        <f>+_xlfn.XLOOKUP(A1034,PPTO_GENERADOR!$Q:$Q,PPTO_GENERADOR!A:A,"-",0)</f>
        <v>7.03</v>
      </c>
    </row>
    <row r="1035" spans="1:18" ht="14.25" customHeight="1" x14ac:dyDescent="0.35">
      <c r="A1035" s="38" t="s">
        <v>147</v>
      </c>
      <c r="B1035" s="38" t="s">
        <v>2774</v>
      </c>
      <c r="C1035" s="38" t="s">
        <v>2779</v>
      </c>
      <c r="D1035" s="38" t="s">
        <v>1192</v>
      </c>
      <c r="E1035" s="44" t="str">
        <f>IFERROR(VLOOKUP(D1035,MATERIALES!A:B,2,FALSE()),"?")</f>
        <v>Yeso Knauf MP 40/75 Proyectable x 25 kg - (17 kg/m2)</v>
      </c>
      <c r="F1035" s="44" t="str">
        <f>IFERROR(VLOOKUP(D1035,MATERIALES!A:C,3,FALSE()),"?")</f>
        <v>bol</v>
      </c>
      <c r="G1035" s="45">
        <v>0.71438498957609498</v>
      </c>
      <c r="H1035" s="46">
        <v>0</v>
      </c>
      <c r="I1035" s="47">
        <f>IFERROR(VLOOKUP(D1035,MATERIALES!A:D,4,FALSE()),0)</f>
        <v>6965.28</v>
      </c>
      <c r="J1035" s="42">
        <f>G1035*I1035*(1+H1035)</f>
        <v>4975.891480194583</v>
      </c>
      <c r="K1035" s="15" t="str">
        <f t="shared" si="118"/>
        <v>PTO-0703|MAT</v>
      </c>
      <c r="L1035" s="15">
        <f>COUNTIFS($K$2:K1035,K1035)</f>
        <v>1</v>
      </c>
      <c r="M1035" s="15" t="str">
        <f t="shared" si="119"/>
        <v>PTO-0703|MAT|1</v>
      </c>
      <c r="N1035" s="47">
        <f>IFERROR(VLOOKUP(A1035,PARTIDAS!A:F,6,FALSE()),0)</f>
        <v>1</v>
      </c>
      <c r="O1035" s="247">
        <f t="shared" si="120"/>
        <v>0.71438498957609498</v>
      </c>
      <c r="P1035" s="247">
        <f>+_xlfn.XLOOKUP(A1035,PPTO_GENERADOR!Q:Q,PPTO_GENERADOR!E:E,"-",0)</f>
        <v>1439</v>
      </c>
      <c r="Q1035" s="247">
        <f t="shared" si="121"/>
        <v>1028.0000000000007</v>
      </c>
      <c r="R1035" s="259">
        <f>+_xlfn.XLOOKUP(A1035,PPTO_GENERADOR!$Q:$Q,PPTO_GENERADOR!A:A,"-",0)</f>
        <v>7.03</v>
      </c>
    </row>
    <row r="1036" spans="1:18" ht="14.25" customHeight="1" x14ac:dyDescent="0.35">
      <c r="A1036" s="38" t="s">
        <v>147</v>
      </c>
      <c r="B1036" s="38" t="s">
        <v>2774</v>
      </c>
      <c r="C1036" s="38" t="s">
        <v>2779</v>
      </c>
      <c r="D1036" s="38" t="s">
        <v>1195</v>
      </c>
      <c r="E1036" s="44" t="str">
        <f>IFERROR(VLOOKUP(D1036,MATERIALES!A:B,2,FALSE()),"?")</f>
        <v>PA-MAX PUENTE DE ADHERENCIA 20LT (150 m2/tac) - Contemplo el 20% de los m2</v>
      </c>
      <c r="F1036" s="44" t="str">
        <f>IFERROR(VLOOKUP(D1036,MATERIALES!A:C,3,FALSE()),"?")</f>
        <v>tac</v>
      </c>
      <c r="G1036" s="45">
        <v>1.38985406532314E-3</v>
      </c>
      <c r="H1036" s="46">
        <v>0</v>
      </c>
      <c r="I1036" s="47">
        <f>IFERROR(VLOOKUP(D1036,MATERIALES!A:D,4,FALSE()),0)</f>
        <v>127350</v>
      </c>
      <c r="J1036" s="42">
        <f>G1036*I1036*(1+H1036)</f>
        <v>176.99791521890188</v>
      </c>
      <c r="K1036" s="15" t="str">
        <f t="shared" si="118"/>
        <v>PTO-0703|MAT</v>
      </c>
      <c r="L1036" s="15">
        <f>COUNTIFS($K$2:K1036,K1036)</f>
        <v>2</v>
      </c>
      <c r="M1036" s="15" t="str">
        <f t="shared" si="119"/>
        <v>PTO-0703|MAT|2</v>
      </c>
      <c r="N1036" s="47">
        <f>IFERROR(VLOOKUP(A1036,PARTIDAS!A:F,6,FALSE()),0)</f>
        <v>1</v>
      </c>
      <c r="O1036" s="247">
        <f t="shared" si="120"/>
        <v>1.38985406532314E-3</v>
      </c>
      <c r="P1036" s="247">
        <f>+_xlfn.XLOOKUP(A1036,PPTO_GENERADOR!Q:Q,PPTO_GENERADOR!E:E,"-",0)</f>
        <v>1439</v>
      </c>
      <c r="Q1036" s="247">
        <f t="shared" si="121"/>
        <v>1.9999999999999984</v>
      </c>
      <c r="R1036" s="259">
        <f>+_xlfn.XLOOKUP(A1036,PPTO_GENERADOR!$Q:$Q,PPTO_GENERADOR!A:A,"-",0)</f>
        <v>7.03</v>
      </c>
    </row>
    <row r="1037" spans="1:18" ht="14.25" customHeight="1" x14ac:dyDescent="0.35">
      <c r="A1037" s="38" t="s">
        <v>147</v>
      </c>
      <c r="B1037" s="38" t="s">
        <v>2774</v>
      </c>
      <c r="C1037" s="38" t="s">
        <v>2779</v>
      </c>
      <c r="D1037" s="38" t="s">
        <v>1197</v>
      </c>
      <c r="E1037" s="44" t="str">
        <f>IFERROR(VLOOKUP(D1037,MATERIALES!A:B,2,FALSE()),"?")</f>
        <v xml:space="preserve">Malla de fibra 5 x 5 90 gr, rollo 1 x 50 mts - Contemplo el 20% de los m2 </v>
      </c>
      <c r="F1037" s="44" t="str">
        <f>IFERROR(VLOOKUP(D1037,MATERIALES!A:C,3,FALSE()),"?")</f>
        <v>rol</v>
      </c>
      <c r="G1037" s="45">
        <v>4.8644892286309896E-3</v>
      </c>
      <c r="H1037" s="46">
        <v>0</v>
      </c>
      <c r="I1037" s="47">
        <f>IFERROR(VLOOKUP(D1037,MATERIALES!A:D,4,FALSE()),0)</f>
        <v>35210.699999999997</v>
      </c>
      <c r="J1037" s="42">
        <f>G1037*I1037*(1+H1037)</f>
        <v>171.28207088255718</v>
      </c>
      <c r="K1037" s="15" t="str">
        <f t="shared" si="118"/>
        <v>PTO-0703|MAT</v>
      </c>
      <c r="L1037" s="15">
        <f>COUNTIFS($K$2:K1037,K1037)</f>
        <v>3</v>
      </c>
      <c r="M1037" s="15" t="str">
        <f t="shared" si="119"/>
        <v>PTO-0703|MAT|3</v>
      </c>
      <c r="N1037" s="47">
        <f>IFERROR(VLOOKUP(A1037,PARTIDAS!A:F,6,FALSE()),0)</f>
        <v>1</v>
      </c>
      <c r="O1037" s="247">
        <f t="shared" si="120"/>
        <v>4.8644892286309896E-3</v>
      </c>
      <c r="P1037" s="247">
        <f>+_xlfn.XLOOKUP(A1037,PPTO_GENERADOR!Q:Q,PPTO_GENERADOR!E:E,"-",0)</f>
        <v>1439</v>
      </c>
      <c r="Q1037" s="247">
        <f t="shared" si="121"/>
        <v>6.9999999999999938</v>
      </c>
      <c r="R1037" s="259">
        <f>+_xlfn.XLOOKUP(A1037,PPTO_GENERADOR!$Q:$Q,PPTO_GENERADOR!A:A,"-",0)</f>
        <v>7.03</v>
      </c>
    </row>
    <row r="1038" spans="1:18" ht="14.25" customHeight="1" x14ac:dyDescent="0.35">
      <c r="A1038" s="38" t="s">
        <v>147</v>
      </c>
      <c r="B1038" s="38" t="s">
        <v>2776</v>
      </c>
      <c r="C1038" s="38" t="s">
        <v>2775</v>
      </c>
      <c r="D1038" s="38" t="s">
        <v>2282</v>
      </c>
      <c r="E1038" s="44" t="str">
        <f>IFERROR(VLOOKUP(D1038,SUBCONTRATOS_PRY!A:B,2,FALSE()),"?")</f>
        <v>M.Obra</v>
      </c>
      <c r="F1038" s="44" t="s">
        <v>2778</v>
      </c>
      <c r="G1038" s="45">
        <v>1</v>
      </c>
      <c r="H1038" s="46">
        <v>0</v>
      </c>
      <c r="I1038" s="47">
        <f>IFERROR(VLOOKUP(D1038,SUBCONTRATOS_PRY!A:D,4,FALSE()),0)</f>
        <v>11651.218312086001</v>
      </c>
      <c r="J1038" s="42">
        <f>G1038*I1038</f>
        <v>11651.218312086001</v>
      </c>
      <c r="K1038" s="15" t="str">
        <f t="shared" si="118"/>
        <v>PTO-0703|MO</v>
      </c>
      <c r="L1038" s="15">
        <f>COUNTIFS($K$2:K1038,K1038)</f>
        <v>1</v>
      </c>
      <c r="M1038" s="15" t="str">
        <f t="shared" si="119"/>
        <v>PTO-0703|MO|1</v>
      </c>
      <c r="N1038" s="47">
        <f>IFERROR(VLOOKUP(A1038,PARTIDAS!A:F,6,FALSE()),0)</f>
        <v>1</v>
      </c>
      <c r="O1038" s="247">
        <f t="shared" si="120"/>
        <v>1</v>
      </c>
      <c r="P1038" s="247">
        <f>+_xlfn.XLOOKUP(A1038,PPTO_GENERADOR!Q:Q,PPTO_GENERADOR!E:E,"-",0)</f>
        <v>1439</v>
      </c>
      <c r="Q1038" s="247">
        <f t="shared" si="121"/>
        <v>1439</v>
      </c>
      <c r="R1038" s="259">
        <f>+_xlfn.XLOOKUP(A1038,PPTO_GENERADOR!$Q:$Q,PPTO_GENERADOR!A:A,"-",0)</f>
        <v>7.03</v>
      </c>
    </row>
    <row r="1039" spans="1:18" ht="14.25" customHeight="1" x14ac:dyDescent="0.35">
      <c r="A1039" s="38" t="s">
        <v>149</v>
      </c>
      <c r="B1039" s="38" t="s">
        <v>2773</v>
      </c>
      <c r="C1039" s="38"/>
      <c r="D1039" s="38" t="s">
        <v>1815</v>
      </c>
      <c r="E1039" s="44" t="str">
        <f>IFERROR(VLOOKUP(D1039,EQUIPOS!A:B,2,FALSE()),"?")</f>
        <v xml:space="preserve">Herramientas menores y consumibles - Arista en yeso </v>
      </c>
      <c r="F1039" s="44"/>
      <c r="G1039" s="45">
        <v>1</v>
      </c>
      <c r="H1039" s="46">
        <v>0</v>
      </c>
      <c r="I1039" s="47">
        <f>IFERROR(VLOOKUP(D1039,EQUIPOS!A:F,6,FALSE()),0)</f>
        <v>187.4920973566</v>
      </c>
      <c r="J1039" s="42">
        <f>G1039*I1039</f>
        <v>187.4920973566</v>
      </c>
      <c r="K1039" s="15" t="str">
        <f t="shared" si="118"/>
        <v>PTO-0704|EQ</v>
      </c>
      <c r="L1039" s="15">
        <f>COUNTIFS($K$2:K1039,K1039)</f>
        <v>1</v>
      </c>
      <c r="M1039" s="15" t="str">
        <f t="shared" si="119"/>
        <v>PTO-0704|EQ|1</v>
      </c>
      <c r="N1039" s="47">
        <f>IFERROR(VLOOKUP(A1039,PARTIDAS!A:F,6,FALSE()),0)</f>
        <v>1</v>
      </c>
      <c r="O1039" s="247">
        <f t="shared" si="120"/>
        <v>1</v>
      </c>
      <c r="P1039" s="247">
        <f>+_xlfn.XLOOKUP(A1039,PPTO_GENERADOR!Q:Q,PPTO_GENERADOR!E:E,"-",0)</f>
        <v>347</v>
      </c>
      <c r="Q1039" s="247">
        <f t="shared" si="121"/>
        <v>347</v>
      </c>
      <c r="R1039" s="259">
        <f>+_xlfn.XLOOKUP(A1039,PPTO_GENERADOR!$Q:$Q,PPTO_GENERADOR!A:A,"-",0)</f>
        <v>7.04</v>
      </c>
    </row>
    <row r="1040" spans="1:18" ht="14.25" customHeight="1" x14ac:dyDescent="0.35">
      <c r="A1040" s="38" t="s">
        <v>149</v>
      </c>
      <c r="B1040" s="38" t="s">
        <v>2776</v>
      </c>
      <c r="C1040" s="38" t="s">
        <v>2775</v>
      </c>
      <c r="D1040" s="38" t="s">
        <v>2284</v>
      </c>
      <c r="E1040" s="44" t="str">
        <f>IFERROR(VLOOKUP(D1040,SUBCONTRATOS_PRY!A:B,2,FALSE()),"?")</f>
        <v xml:space="preserve">Arista en yeso </v>
      </c>
      <c r="F1040" s="44" t="s">
        <v>2778</v>
      </c>
      <c r="G1040" s="45">
        <v>1</v>
      </c>
      <c r="H1040" s="46">
        <v>0</v>
      </c>
      <c r="I1040" s="47">
        <f>IFERROR(VLOOKUP(D1040,SUBCONTRATOS_PRY!A:D,4,FALSE()),0)</f>
        <v>12499.4731571067</v>
      </c>
      <c r="J1040" s="42">
        <f>G1040*I1040</f>
        <v>12499.4731571067</v>
      </c>
      <c r="K1040" s="15" t="str">
        <f t="shared" si="118"/>
        <v>PTO-0704|MO</v>
      </c>
      <c r="L1040" s="15">
        <f>COUNTIFS($K$2:K1040,K1040)</f>
        <v>1</v>
      </c>
      <c r="M1040" s="15" t="str">
        <f t="shared" si="119"/>
        <v>PTO-0704|MO|1</v>
      </c>
      <c r="N1040" s="47">
        <f>IFERROR(VLOOKUP(A1040,PARTIDAS!A:F,6,FALSE()),0)</f>
        <v>1</v>
      </c>
      <c r="O1040" s="247">
        <f t="shared" si="120"/>
        <v>1</v>
      </c>
      <c r="P1040" s="247">
        <f>+_xlfn.XLOOKUP(A1040,PPTO_GENERADOR!Q:Q,PPTO_GENERADOR!E:E,"-",0)</f>
        <v>347</v>
      </c>
      <c r="Q1040" s="247">
        <f t="shared" si="121"/>
        <v>347</v>
      </c>
      <c r="R1040" s="259">
        <f>+_xlfn.XLOOKUP(A1040,PPTO_GENERADOR!$Q:$Q,PPTO_GENERADOR!A:A,"-",0)</f>
        <v>7.04</v>
      </c>
    </row>
    <row r="1041" spans="1:18" ht="14.25" customHeight="1" x14ac:dyDescent="0.35">
      <c r="A1041" s="38" t="s">
        <v>152</v>
      </c>
      <c r="B1041" s="38" t="s">
        <v>2773</v>
      </c>
      <c r="C1041" s="38"/>
      <c r="D1041" s="38" t="s">
        <v>1818</v>
      </c>
      <c r="E1041" s="44" t="str">
        <f>IFERROR(VLOOKUP(D1041,EQUIPOS!A:B,2,FALSE()),"?")</f>
        <v xml:space="preserve">Herramientas menores y consumibles - Provisión y colocación de guardacanto yesero </v>
      </c>
      <c r="F1041" s="44"/>
      <c r="G1041" s="45">
        <v>1</v>
      </c>
      <c r="H1041" s="46">
        <v>0</v>
      </c>
      <c r="I1041" s="47">
        <f>IFERROR(VLOOKUP(D1041,EQUIPOS!A:F,6,FALSE()),0)</f>
        <v>214.94396350429901</v>
      </c>
      <c r="J1041" s="42">
        <f>G1041*I1041</f>
        <v>214.94396350429901</v>
      </c>
      <c r="K1041" s="15" t="str">
        <f t="shared" si="118"/>
        <v>PTO-0705|EQ</v>
      </c>
      <c r="L1041" s="15">
        <f>COUNTIFS($K$2:K1041,K1041)</f>
        <v>1</v>
      </c>
      <c r="M1041" s="15" t="str">
        <f t="shared" si="119"/>
        <v>PTO-0705|EQ|1</v>
      </c>
      <c r="N1041" s="47">
        <f>IFERROR(VLOOKUP(A1041,PARTIDAS!A:F,6,FALSE()),0)</f>
        <v>1</v>
      </c>
      <c r="O1041" s="247">
        <f t="shared" si="120"/>
        <v>1</v>
      </c>
      <c r="P1041" s="247">
        <f>+_xlfn.XLOOKUP(A1041,PPTO_GENERADOR!Q:Q,PPTO_GENERADOR!E:E,"-",0)</f>
        <v>132</v>
      </c>
      <c r="Q1041" s="247">
        <f t="shared" si="121"/>
        <v>132</v>
      </c>
      <c r="R1041" s="259">
        <f>+_xlfn.XLOOKUP(A1041,PPTO_GENERADOR!$Q:$Q,PPTO_GENERADOR!A:A,"-",0)</f>
        <v>7.05</v>
      </c>
    </row>
    <row r="1042" spans="1:18" ht="14.25" customHeight="1" x14ac:dyDescent="0.35">
      <c r="A1042" s="38" t="s">
        <v>152</v>
      </c>
      <c r="B1042" s="38" t="s">
        <v>2774</v>
      </c>
      <c r="C1042" s="38" t="s">
        <v>2779</v>
      </c>
      <c r="D1042" s="38" t="s">
        <v>1199</v>
      </c>
      <c r="E1042" s="44" t="str">
        <f>IFERROR(VLOOKUP(D1042,MATERIALES!A:B,2,FALSE()),"?")</f>
        <v>Guardacanto yesero 2,00 mts</v>
      </c>
      <c r="F1042" s="44" t="str">
        <f>IFERROR(VLOOKUP(D1042,MATERIALES!A:C,3,FALSE()),"?")</f>
        <v>u</v>
      </c>
      <c r="G1042" s="45">
        <v>1.0530303030303001</v>
      </c>
      <c r="H1042" s="46">
        <v>0</v>
      </c>
      <c r="I1042" s="47">
        <f>IFERROR(VLOOKUP(D1042,MATERIALES!A:D,4,FALSE()),0)</f>
        <v>1108.49</v>
      </c>
      <c r="J1042" s="42">
        <f>G1042*I1042*(1+H1042)</f>
        <v>1167.2735606060573</v>
      </c>
      <c r="K1042" s="15" t="str">
        <f t="shared" si="118"/>
        <v>PTO-0705|MAT</v>
      </c>
      <c r="L1042" s="15">
        <f>COUNTIFS($K$2:K1042,K1042)</f>
        <v>1</v>
      </c>
      <c r="M1042" s="15" t="str">
        <f t="shared" si="119"/>
        <v>PTO-0705|MAT|1</v>
      </c>
      <c r="N1042" s="47">
        <f>IFERROR(VLOOKUP(A1042,PARTIDAS!A:F,6,FALSE()),0)</f>
        <v>1</v>
      </c>
      <c r="O1042" s="247">
        <f t="shared" si="120"/>
        <v>1.0530303030303001</v>
      </c>
      <c r="P1042" s="247">
        <f>+_xlfn.XLOOKUP(A1042,PPTO_GENERADOR!Q:Q,PPTO_GENERADOR!E:E,"-",0)</f>
        <v>132</v>
      </c>
      <c r="Q1042" s="247">
        <f t="shared" si="121"/>
        <v>138.9999999999996</v>
      </c>
      <c r="R1042" s="259">
        <f>+_xlfn.XLOOKUP(A1042,PPTO_GENERADOR!$Q:$Q,PPTO_GENERADOR!A:A,"-",0)</f>
        <v>7.05</v>
      </c>
    </row>
    <row r="1043" spans="1:18" ht="14.25" customHeight="1" x14ac:dyDescent="0.35">
      <c r="A1043" s="38" t="s">
        <v>152</v>
      </c>
      <c r="B1043" s="38" t="s">
        <v>2776</v>
      </c>
      <c r="C1043" s="38" t="s">
        <v>2775</v>
      </c>
      <c r="D1043" s="38" t="s">
        <v>2287</v>
      </c>
      <c r="E1043" s="44" t="str">
        <f>IFERROR(VLOOKUP(D1043,SUBCONTRATOS_PRY!A:B,2,FALSE()),"?")</f>
        <v>Guardacanto yesero 2,00 mts</v>
      </c>
      <c r="F1043" s="44" t="s">
        <v>2778</v>
      </c>
      <c r="G1043" s="45">
        <v>1.0530303030303001</v>
      </c>
      <c r="H1043" s="46">
        <v>0</v>
      </c>
      <c r="I1043" s="47">
        <f>IFERROR(VLOOKUP(D1043,SUBCONTRATOS_PRY!A:D,4,FALSE()),0)</f>
        <v>12499.4731571067</v>
      </c>
      <c r="J1043" s="42">
        <f>G1043*I1043</f>
        <v>13162.324006347171</v>
      </c>
      <c r="K1043" s="15" t="str">
        <f t="shared" si="118"/>
        <v>PTO-0705|MO</v>
      </c>
      <c r="L1043" s="15">
        <f>COUNTIFS($K$2:K1043,K1043)</f>
        <v>1</v>
      </c>
      <c r="M1043" s="15" t="str">
        <f t="shared" si="119"/>
        <v>PTO-0705|MO|1</v>
      </c>
      <c r="N1043" s="47">
        <f>IFERROR(VLOOKUP(A1043,PARTIDAS!A:F,6,FALSE()),0)</f>
        <v>1</v>
      </c>
      <c r="O1043" s="247">
        <f t="shared" si="120"/>
        <v>1.0530303030303001</v>
      </c>
      <c r="P1043" s="247">
        <f>+_xlfn.XLOOKUP(A1043,PPTO_GENERADOR!Q:Q,PPTO_GENERADOR!E:E,"-",0)</f>
        <v>132</v>
      </c>
      <c r="Q1043" s="247">
        <f t="shared" si="121"/>
        <v>138.9999999999996</v>
      </c>
      <c r="R1043" s="259">
        <f>+_xlfn.XLOOKUP(A1043,PPTO_GENERADOR!$Q:$Q,PPTO_GENERADOR!A:A,"-",0)</f>
        <v>7.05</v>
      </c>
    </row>
    <row r="1044" spans="1:18" ht="14.25" customHeight="1" x14ac:dyDescent="0.35">
      <c r="A1044" s="38" t="s">
        <v>2696</v>
      </c>
      <c r="B1044" s="38" t="s">
        <v>2773</v>
      </c>
      <c r="C1044" s="38"/>
      <c r="D1044" s="38" t="s">
        <v>1592</v>
      </c>
      <c r="E1044" s="44" t="str">
        <f>IFERROR(VLOOKUP(D1044,EQUIPOS!A:B,2,FALSE()),"?")</f>
        <v>ANDAMIO TUBULAR DE UNO A TRES CUERPOS</v>
      </c>
      <c r="F1044" s="44"/>
      <c r="G1044" s="45">
        <v>0.5</v>
      </c>
      <c r="H1044" s="46">
        <v>0</v>
      </c>
      <c r="I1044" s="47">
        <f>IFERROR(VLOOKUP(D1044,EQUIPOS!A:F,6,FALSE()),0)</f>
        <v>571.1794909807611</v>
      </c>
      <c r="J1044" s="42">
        <f>G1044*I1044</f>
        <v>285.58974549038055</v>
      </c>
      <c r="K1044" s="15" t="str">
        <f t="shared" si="118"/>
        <v>PTO-0706|EQ</v>
      </c>
      <c r="L1044" s="15">
        <f>COUNTIFS($K$2:K1044,K1044)</f>
        <v>1</v>
      </c>
      <c r="M1044" s="15" t="str">
        <f t="shared" si="119"/>
        <v>PTO-0706|EQ|1</v>
      </c>
      <c r="N1044" s="47">
        <f>IFERROR(VLOOKUP(A1044,PARTIDAS!A:F,6,FALSE()),0)</f>
        <v>11.5</v>
      </c>
      <c r="O1044" s="247">
        <f t="shared" si="120"/>
        <v>0.5</v>
      </c>
      <c r="P1044" s="247" t="str">
        <f>+_xlfn.XLOOKUP(A1044,PPTO_GENERADOR!Q:Q,PPTO_GENERADOR!E:E,"-",0)</f>
        <v>-</v>
      </c>
      <c r="Q1044" s="247">
        <f t="shared" si="121"/>
        <v>0</v>
      </c>
      <c r="R1044" s="259" t="str">
        <f>+_xlfn.XLOOKUP(A1044,PPTO_GENERADOR!$Q:$Q,PPTO_GENERADOR!A:A,"-",0)</f>
        <v>-</v>
      </c>
    </row>
    <row r="1045" spans="1:18" ht="14.25" customHeight="1" x14ac:dyDescent="0.35">
      <c r="A1045" s="38" t="s">
        <v>2696</v>
      </c>
      <c r="B1045" s="38" t="s">
        <v>2773</v>
      </c>
      <c r="C1045" s="38"/>
      <c r="D1045" s="38" t="s">
        <v>1595</v>
      </c>
      <c r="E1045" s="44" t="str">
        <f>IFERROR(VLOOKUP(D1045,EQUIPOS!A:B,2,FALSE()),"?")</f>
        <v>EQUIPO DE ALBAÑILERIA, carpetas, ladrillo</v>
      </c>
      <c r="F1045" s="44"/>
      <c r="G1045" s="45">
        <v>1</v>
      </c>
      <c r="H1045" s="46">
        <v>0</v>
      </c>
      <c r="I1045" s="47">
        <f>IFERROR(VLOOKUP(D1045,EQUIPOS!A:F,6,FALSE()),0)</f>
        <v>2287.1357450968057</v>
      </c>
      <c r="J1045" s="42">
        <f>G1045*I1045</f>
        <v>2287.1357450968057</v>
      </c>
      <c r="K1045" s="15" t="str">
        <f t="shared" si="118"/>
        <v>PTO-0706|EQ</v>
      </c>
      <c r="L1045" s="15">
        <f>COUNTIFS($K$2:K1045,K1045)</f>
        <v>2</v>
      </c>
      <c r="M1045" s="15" t="str">
        <f t="shared" si="119"/>
        <v>PTO-0706|EQ|2</v>
      </c>
      <c r="N1045" s="47">
        <f>IFERROR(VLOOKUP(A1045,PARTIDAS!A:F,6,FALSE()),0)</f>
        <v>11.5</v>
      </c>
      <c r="O1045" s="247">
        <f t="shared" si="120"/>
        <v>1</v>
      </c>
      <c r="P1045" s="247" t="str">
        <f>+_xlfn.XLOOKUP(A1045,PPTO_GENERADOR!Q:Q,PPTO_GENERADOR!E:E,"-",0)</f>
        <v>-</v>
      </c>
      <c r="Q1045" s="247">
        <f t="shared" si="121"/>
        <v>0</v>
      </c>
      <c r="R1045" s="259" t="str">
        <f>+_xlfn.XLOOKUP(A1045,PPTO_GENERADOR!$Q:$Q,PPTO_GENERADOR!A:A,"-",0)</f>
        <v>-</v>
      </c>
    </row>
    <row r="1046" spans="1:18" ht="14.25" customHeight="1" x14ac:dyDescent="0.35">
      <c r="A1046" s="38" t="s">
        <v>2696</v>
      </c>
      <c r="B1046" s="38" t="s">
        <v>2773</v>
      </c>
      <c r="C1046" s="38"/>
      <c r="D1046" s="38" t="s">
        <v>1613</v>
      </c>
      <c r="E1046" s="44" t="str">
        <f>IFERROR(VLOOKUP(D1046,EQUIPOS!A:B,2,FALSE()),"?")</f>
        <v>Hormigonera De 150 Litros 1hp Con Rueda Maciza</v>
      </c>
      <c r="F1046" s="44"/>
      <c r="G1046" s="45">
        <v>1</v>
      </c>
      <c r="H1046" s="46">
        <v>0</v>
      </c>
      <c r="I1046" s="47">
        <f>IFERROR(VLOOKUP(D1046,EQUIPOS!A:F,6,FALSE()),0)</f>
        <v>957.25319614994726</v>
      </c>
      <c r="J1046" s="42">
        <f>G1046*I1046</f>
        <v>957.25319614994726</v>
      </c>
      <c r="K1046" s="15" t="str">
        <f t="shared" si="118"/>
        <v>PTO-0706|EQ</v>
      </c>
      <c r="L1046" s="15">
        <f>COUNTIFS($K$2:K1046,K1046)</f>
        <v>3</v>
      </c>
      <c r="M1046" s="15" t="str">
        <f t="shared" si="119"/>
        <v>PTO-0706|EQ|3</v>
      </c>
      <c r="N1046" s="47">
        <f>IFERROR(VLOOKUP(A1046,PARTIDAS!A:F,6,FALSE()),0)</f>
        <v>11.5</v>
      </c>
      <c r="O1046" s="247">
        <f t="shared" si="120"/>
        <v>1</v>
      </c>
      <c r="P1046" s="247" t="str">
        <f>+_xlfn.XLOOKUP(A1046,PPTO_GENERADOR!Q:Q,PPTO_GENERADOR!E:E,"-",0)</f>
        <v>-</v>
      </c>
      <c r="Q1046" s="247">
        <f t="shared" si="121"/>
        <v>0</v>
      </c>
      <c r="R1046" s="259" t="str">
        <f>+_xlfn.XLOOKUP(A1046,PPTO_GENERADOR!$Q:$Q,PPTO_GENERADOR!A:A,"-",0)</f>
        <v>-</v>
      </c>
    </row>
    <row r="1047" spans="1:18" ht="14.25" customHeight="1" x14ac:dyDescent="0.35">
      <c r="A1047" s="38" t="s">
        <v>2696</v>
      </c>
      <c r="B1047" s="38" t="s">
        <v>2774</v>
      </c>
      <c r="C1047" s="38" t="s">
        <v>2775</v>
      </c>
      <c r="D1047" s="38" t="s">
        <v>588</v>
      </c>
      <c r="E1047" s="44" t="str">
        <f>IFERROR(VLOOKUP(D1047,MATERIALES!A:B,2,FALSE()),"?")</f>
        <v>ARENA LAVADA</v>
      </c>
      <c r="F1047" s="44" t="str">
        <f>IFERROR(VLOOKUP(D1047,MATERIALES!A:C,3,FALSE()),"?")</f>
        <v>m3</v>
      </c>
      <c r="G1047" s="45">
        <v>2.5999999999999999E-2</v>
      </c>
      <c r="H1047" s="46">
        <v>0.1</v>
      </c>
      <c r="I1047" s="47">
        <f>IFERROR(VLOOKUP(D1047,MATERIALES!A:D,4,FALSE()),0)</f>
        <v>32399.77</v>
      </c>
      <c r="J1047" s="42">
        <f>G1047*I1047*(1+H1047)</f>
        <v>926.633422</v>
      </c>
      <c r="K1047" s="15" t="str">
        <f t="shared" si="118"/>
        <v>PTO-0706|MAT</v>
      </c>
      <c r="L1047" s="15">
        <f>COUNTIFS($K$2:K1047,K1047)</f>
        <v>1</v>
      </c>
      <c r="M1047" s="15" t="str">
        <f t="shared" si="119"/>
        <v>PTO-0706|MAT|1</v>
      </c>
      <c r="N1047" s="47">
        <f>IFERROR(VLOOKUP(A1047,PARTIDAS!A:F,6,FALSE()),0)</f>
        <v>11.5</v>
      </c>
      <c r="O1047" s="247">
        <f t="shared" si="120"/>
        <v>2.5999999999999999E-2</v>
      </c>
      <c r="P1047" s="247" t="str">
        <f>+_xlfn.XLOOKUP(A1047,PPTO_GENERADOR!Q:Q,PPTO_GENERADOR!E:E,"-",0)</f>
        <v>-</v>
      </c>
      <c r="Q1047" s="247">
        <f t="shared" si="121"/>
        <v>0</v>
      </c>
      <c r="R1047" s="259" t="str">
        <f>+_xlfn.XLOOKUP(A1047,PPTO_GENERADOR!$Q:$Q,PPTO_GENERADOR!A:A,"-",0)</f>
        <v>-</v>
      </c>
    </row>
    <row r="1048" spans="1:18" ht="14.25" customHeight="1" x14ac:dyDescent="0.35">
      <c r="A1048" s="38" t="s">
        <v>2696</v>
      </c>
      <c r="B1048" s="38" t="s">
        <v>2774</v>
      </c>
      <c r="C1048" s="38" t="s">
        <v>2775</v>
      </c>
      <c r="D1048" s="38" t="s">
        <v>599</v>
      </c>
      <c r="E1048" s="44" t="str">
        <f>IFERROR(VLOOKUP(D1048,MATERIALES!A:B,2,FALSE()),"?")</f>
        <v>Cemento Portland x 50kg</v>
      </c>
      <c r="F1048" s="44" t="str">
        <f>IFERROR(VLOOKUP(D1048,MATERIALES!A:C,3,FALSE()),"?")</f>
        <v>Bol</v>
      </c>
      <c r="G1048" s="45">
        <v>0.314</v>
      </c>
      <c r="H1048" s="46">
        <v>0.1</v>
      </c>
      <c r="I1048" s="47">
        <f>IFERROR(VLOOKUP(D1048,MATERIALES!A:D,4,FALSE()),0)</f>
        <v>7809.48</v>
      </c>
      <c r="J1048" s="42">
        <f>G1048*I1048*(1+H1048)</f>
        <v>2697.3943920000002</v>
      </c>
      <c r="K1048" s="15" t="str">
        <f t="shared" si="118"/>
        <v>PTO-0706|MAT</v>
      </c>
      <c r="L1048" s="15">
        <f>COUNTIFS($K$2:K1048,K1048)</f>
        <v>2</v>
      </c>
      <c r="M1048" s="15" t="str">
        <f t="shared" si="119"/>
        <v>PTO-0706|MAT|2</v>
      </c>
      <c r="N1048" s="47">
        <f>IFERROR(VLOOKUP(A1048,PARTIDAS!A:F,6,FALSE()),0)</f>
        <v>11.5</v>
      </c>
      <c r="O1048" s="247">
        <f t="shared" si="120"/>
        <v>0.314</v>
      </c>
      <c r="P1048" s="247" t="str">
        <f>+_xlfn.XLOOKUP(A1048,PPTO_GENERADOR!Q:Q,PPTO_GENERADOR!E:E,"-",0)</f>
        <v>-</v>
      </c>
      <c r="Q1048" s="247">
        <f t="shared" si="121"/>
        <v>0</v>
      </c>
      <c r="R1048" s="259" t="str">
        <f>+_xlfn.XLOOKUP(A1048,PPTO_GENERADOR!$Q:$Q,PPTO_GENERADOR!A:A,"-",0)</f>
        <v>-</v>
      </c>
    </row>
    <row r="1049" spans="1:18" ht="14.25" customHeight="1" x14ac:dyDescent="0.35">
      <c r="A1049" s="38" t="s">
        <v>2696</v>
      </c>
      <c r="B1049" s="38" t="s">
        <v>2774</v>
      </c>
      <c r="C1049" s="38" t="s">
        <v>2775</v>
      </c>
      <c r="D1049" s="38" t="s">
        <v>604</v>
      </c>
      <c r="E1049" s="44" t="str">
        <f>IFERROR(VLOOKUP(D1049,MATERIALES!A:B,2,FALSE()),"?")</f>
        <v>Cal Comun x 25kg</v>
      </c>
      <c r="F1049" s="44" t="str">
        <f>IFERROR(VLOOKUP(D1049,MATERIALES!A:C,3,FALSE()),"?")</f>
        <v>bol</v>
      </c>
      <c r="G1049" s="45">
        <v>0.06</v>
      </c>
      <c r="H1049" s="46">
        <v>0.1</v>
      </c>
      <c r="I1049" s="47">
        <f>IFERROR(VLOOKUP(D1049,MATERIALES!A:D,4,FALSE()),0)</f>
        <v>3837.96</v>
      </c>
      <c r="J1049" s="42">
        <f>G1049*I1049*(1+H1049)</f>
        <v>253.30536000000004</v>
      </c>
      <c r="K1049" s="15" t="str">
        <f t="shared" si="118"/>
        <v>PTO-0706|MAT</v>
      </c>
      <c r="L1049" s="15">
        <f>COUNTIFS($K$2:K1049,K1049)</f>
        <v>3</v>
      </c>
      <c r="M1049" s="15" t="str">
        <f t="shared" si="119"/>
        <v>PTO-0706|MAT|3</v>
      </c>
      <c r="N1049" s="47">
        <f>IFERROR(VLOOKUP(A1049,PARTIDAS!A:F,6,FALSE()),0)</f>
        <v>11.5</v>
      </c>
      <c r="O1049" s="247">
        <f t="shared" si="120"/>
        <v>0.06</v>
      </c>
      <c r="P1049" s="247" t="str">
        <f>+_xlfn.XLOOKUP(A1049,PPTO_GENERADOR!Q:Q,PPTO_GENERADOR!E:E,"-",0)</f>
        <v>-</v>
      </c>
      <c r="Q1049" s="247">
        <f t="shared" si="121"/>
        <v>0</v>
      </c>
      <c r="R1049" s="259" t="str">
        <f>+_xlfn.XLOOKUP(A1049,PPTO_GENERADOR!$Q:$Q,PPTO_GENERADOR!A:A,"-",0)</f>
        <v>-</v>
      </c>
    </row>
    <row r="1050" spans="1:18" ht="14.25" customHeight="1" x14ac:dyDescent="0.35">
      <c r="A1050" s="38" t="s">
        <v>2696</v>
      </c>
      <c r="B1050" s="38" t="s">
        <v>2774</v>
      </c>
      <c r="C1050" s="38" t="s">
        <v>2775</v>
      </c>
      <c r="D1050" s="38" t="s">
        <v>660</v>
      </c>
      <c r="E1050" s="44" t="str">
        <f>IFERROR(VLOOKUP(D1050,MATERIALES!A:B,2,FALSE()),"?")</f>
        <v>Aditivo Hidrofugo en pasta - Ceresita x 1kg</v>
      </c>
      <c r="F1050" s="44" t="str">
        <f>IFERROR(VLOOKUP(D1050,MATERIALES!A:C,3,FALSE()),"?")</f>
        <v>kg</v>
      </c>
      <c r="G1050" s="45">
        <v>0.1</v>
      </c>
      <c r="H1050" s="46">
        <v>0.05</v>
      </c>
      <c r="I1050" s="47">
        <f>IFERROR(VLOOKUP(D1050,MATERIALES!A:D,4,FALSE()),0)</f>
        <v>1256.1279999999999</v>
      </c>
      <c r="J1050" s="42">
        <f>G1050*I1050*(1+H1050)</f>
        <v>131.89344</v>
      </c>
      <c r="K1050" s="15" t="str">
        <f t="shared" si="118"/>
        <v>PTO-0706|MAT</v>
      </c>
      <c r="L1050" s="15">
        <f>COUNTIFS($K$2:K1050,K1050)</f>
        <v>4</v>
      </c>
      <c r="M1050" s="15" t="str">
        <f t="shared" si="119"/>
        <v>PTO-0706|MAT|4</v>
      </c>
      <c r="N1050" s="47">
        <f>IFERROR(VLOOKUP(A1050,PARTIDAS!A:F,6,FALSE()),0)</f>
        <v>11.5</v>
      </c>
      <c r="O1050" s="247">
        <f t="shared" si="120"/>
        <v>0.1</v>
      </c>
      <c r="P1050" s="247" t="str">
        <f>+_xlfn.XLOOKUP(A1050,PPTO_GENERADOR!Q:Q,PPTO_GENERADOR!E:E,"-",0)</f>
        <v>-</v>
      </c>
      <c r="Q1050" s="247">
        <f t="shared" si="121"/>
        <v>0</v>
      </c>
      <c r="R1050" s="259" t="str">
        <f>+_xlfn.XLOOKUP(A1050,PPTO_GENERADOR!$Q:$Q,PPTO_GENERADOR!A:A,"-",0)</f>
        <v>-</v>
      </c>
    </row>
    <row r="1051" spans="1:18" ht="14.25" customHeight="1" x14ac:dyDescent="0.35">
      <c r="A1051" s="38" t="s">
        <v>2696</v>
      </c>
      <c r="B1051" s="38" t="s">
        <v>2776</v>
      </c>
      <c r="C1051" s="38" t="s">
        <v>2777</v>
      </c>
      <c r="D1051" s="237" t="s">
        <v>1577</v>
      </c>
      <c r="E1051" s="44" t="str">
        <f>IFERROR(VLOOKUP(D1051,MANO_DE_OBRA!A:B,2,FALSE()),"?")</f>
        <v>AYUDANTE</v>
      </c>
      <c r="F1051" s="44" t="s">
        <v>2778</v>
      </c>
      <c r="G1051" s="45">
        <v>0.6</v>
      </c>
      <c r="H1051" s="46">
        <v>0</v>
      </c>
      <c r="I1051" s="47">
        <f>IFERROR(VLOOKUP(D1051,MANO_DE_OBRA!A:C,3,FALSE()),0)</f>
        <v>60860.580776572002</v>
      </c>
      <c r="J1051" s="42">
        <f>G1051*I1051</f>
        <v>36516.3484659432</v>
      </c>
      <c r="K1051" s="15" t="str">
        <f t="shared" si="118"/>
        <v>PTO-0706|MO</v>
      </c>
      <c r="L1051" s="15">
        <f>COUNTIFS($K$2:K1051,K1051)</f>
        <v>1</v>
      </c>
      <c r="M1051" s="15" t="str">
        <f t="shared" si="119"/>
        <v>PTO-0706|MO|1</v>
      </c>
      <c r="N1051" s="47">
        <f>IFERROR(VLOOKUP(A1051,PARTIDAS!A:F,6,FALSE()),0)</f>
        <v>11.5</v>
      </c>
      <c r="O1051" s="247">
        <f t="shared" si="120"/>
        <v>5.2173913043478258E-2</v>
      </c>
      <c r="P1051" s="247" t="str">
        <f>+_xlfn.XLOOKUP(A1051,PPTO_GENERADOR!Q:Q,PPTO_GENERADOR!E:E,"-",0)</f>
        <v>-</v>
      </c>
      <c r="Q1051" s="247">
        <f t="shared" si="121"/>
        <v>0</v>
      </c>
      <c r="R1051" s="259" t="str">
        <f>+_xlfn.XLOOKUP(A1051,PPTO_GENERADOR!$Q:$Q,PPTO_GENERADOR!A:A,"-",0)</f>
        <v>-</v>
      </c>
    </row>
    <row r="1052" spans="1:18" ht="14.25" customHeight="1" x14ac:dyDescent="0.35">
      <c r="A1052" s="38" t="s">
        <v>2696</v>
      </c>
      <c r="B1052" s="38" t="s">
        <v>2776</v>
      </c>
      <c r="C1052" s="38" t="s">
        <v>2777</v>
      </c>
      <c r="D1052" s="237" t="s">
        <v>1568</v>
      </c>
      <c r="E1052" s="44" t="str">
        <f>IFERROR(VLOOKUP(D1052,MANO_DE_OBRA!A:B,2,FALSE()),"?")</f>
        <v>ESPECIALIZADO</v>
      </c>
      <c r="F1052" s="44" t="s">
        <v>2778</v>
      </c>
      <c r="G1052" s="45">
        <v>1</v>
      </c>
      <c r="H1052" s="46">
        <v>0</v>
      </c>
      <c r="I1052" s="47">
        <f>IFERROR(VLOOKUP(D1052,MANO_DE_OBRA!A:C,3,FALSE()),0)</f>
        <v>85927.097156571996</v>
      </c>
      <c r="J1052" s="42">
        <f>G1052*I1052</f>
        <v>85927.097156571996</v>
      </c>
      <c r="K1052" s="15" t="str">
        <f t="shared" si="118"/>
        <v>PTO-0706|MO</v>
      </c>
      <c r="L1052" s="15">
        <f>COUNTIFS($K$2:K1052,K1052)</f>
        <v>2</v>
      </c>
      <c r="M1052" s="15" t="str">
        <f t="shared" si="119"/>
        <v>PTO-0706|MO|2</v>
      </c>
      <c r="N1052" s="47">
        <f>IFERROR(VLOOKUP(A1052,PARTIDAS!A:F,6,FALSE()),0)</f>
        <v>11.5</v>
      </c>
      <c r="O1052" s="247">
        <f t="shared" si="120"/>
        <v>8.6956521739130432E-2</v>
      </c>
      <c r="P1052" s="247" t="str">
        <f>+_xlfn.XLOOKUP(A1052,PPTO_GENERADOR!Q:Q,PPTO_GENERADOR!E:E,"-",0)</f>
        <v>-</v>
      </c>
      <c r="Q1052" s="247">
        <f t="shared" si="121"/>
        <v>0</v>
      </c>
      <c r="R1052" s="259" t="str">
        <f>+_xlfn.XLOOKUP(A1052,PPTO_GENERADOR!$Q:$Q,PPTO_GENERADOR!A:A,"-",0)</f>
        <v>-</v>
      </c>
    </row>
    <row r="1053" spans="1:18" ht="14.25" customHeight="1" x14ac:dyDescent="0.35">
      <c r="A1053" s="38" t="s">
        <v>156</v>
      </c>
      <c r="B1053" s="38" t="s">
        <v>2773</v>
      </c>
      <c r="C1053" s="38"/>
      <c r="D1053" s="38" t="s">
        <v>1821</v>
      </c>
      <c r="E1053" s="44" t="str">
        <f>IFERROR(VLOOKUP(D1053,EQUIPOS!A:B,2,FALSE()),"?")</f>
        <v xml:space="preserve">Herramientas menores y consumibles - Contrapiso de Hº armado e: 18 cm, incluye malla Ø </v>
      </c>
      <c r="F1053" s="44"/>
      <c r="G1053" s="45">
        <v>1</v>
      </c>
      <c r="H1053" s="46">
        <v>0</v>
      </c>
      <c r="I1053" s="47">
        <f>IFERROR(VLOOKUP(D1053,EQUIPOS!A:F,6,FALSE()),0)</f>
        <v>649.57350320066905</v>
      </c>
      <c r="J1053" s="42">
        <f>G1053*I1053</f>
        <v>649.57350320066905</v>
      </c>
      <c r="K1053" s="15" t="str">
        <f t="shared" si="118"/>
        <v>PTO-0801|EQ</v>
      </c>
      <c r="L1053" s="15">
        <f>COUNTIFS($K$2:K1053,K1053)</f>
        <v>1</v>
      </c>
      <c r="M1053" s="15" t="str">
        <f t="shared" si="119"/>
        <v>PTO-0801|EQ|1</v>
      </c>
      <c r="N1053" s="47">
        <f>IFERROR(VLOOKUP(A1053,PARTIDAS!A:F,6,FALSE()),0)</f>
        <v>1</v>
      </c>
      <c r="O1053" s="247">
        <f t="shared" si="120"/>
        <v>1</v>
      </c>
      <c r="P1053" s="247">
        <f>+_xlfn.XLOOKUP(A1053,PPTO_GENERADOR!Q:Q,PPTO_GENERADOR!E:E,"-",0)</f>
        <v>107</v>
      </c>
      <c r="Q1053" s="247">
        <f t="shared" si="121"/>
        <v>107</v>
      </c>
      <c r="R1053" s="259">
        <f>+_xlfn.XLOOKUP(A1053,PPTO_GENERADOR!$Q:$Q,PPTO_GENERADOR!A:A,"-",0)</f>
        <v>8.01</v>
      </c>
    </row>
    <row r="1054" spans="1:18" ht="14.25" customHeight="1" x14ac:dyDescent="0.35">
      <c r="A1054" s="38" t="s">
        <v>156</v>
      </c>
      <c r="B1054" s="38" t="s">
        <v>2774</v>
      </c>
      <c r="C1054" s="38" t="s">
        <v>2779</v>
      </c>
      <c r="D1054" s="38" t="s">
        <v>1361</v>
      </c>
      <c r="E1054" s="44" t="str">
        <f>IFERROR(VLOOKUP(D1054,MATERIALES!A:B,2,FALSE()),"?")</f>
        <v>Consumibles</v>
      </c>
      <c r="F1054" s="44" t="str">
        <f>IFERROR(VLOOKUP(D1054,MATERIALES!A:C,3,FALSE()),"?")</f>
        <v>gl</v>
      </c>
      <c r="G1054" s="45">
        <f>129730.12/107</f>
        <v>1212.4310280373832</v>
      </c>
      <c r="H1054" s="46">
        <v>0</v>
      </c>
      <c r="I1054" s="47">
        <f>IFERROR(VLOOKUP(D1054,MATERIALES!A:D,4,FALSE()),0)</f>
        <v>1</v>
      </c>
      <c r="J1054" s="42">
        <f>G1054*I1054*(1+H1054)</f>
        <v>1212.4310280373832</v>
      </c>
      <c r="K1054" s="15" t="str">
        <f t="shared" si="118"/>
        <v>PTO-0801|MAT</v>
      </c>
      <c r="L1054" s="15">
        <f>COUNTIFS($K$2:K1054,K1054)</f>
        <v>1</v>
      </c>
      <c r="M1054" s="15" t="str">
        <f t="shared" si="119"/>
        <v>PTO-0801|MAT|1</v>
      </c>
      <c r="N1054" s="47">
        <f>IFERROR(VLOOKUP(A1054,PARTIDAS!A:F,6,FALSE()),0)</f>
        <v>1</v>
      </c>
      <c r="O1054" s="247">
        <f t="shared" si="120"/>
        <v>1212.4310280373832</v>
      </c>
      <c r="P1054" s="247">
        <f>+_xlfn.XLOOKUP(A1054,PPTO_GENERADOR!Q:Q,PPTO_GENERADOR!E:E,"-",0)</f>
        <v>107</v>
      </c>
      <c r="Q1054" s="247">
        <f t="shared" si="121"/>
        <v>129730.12</v>
      </c>
      <c r="R1054" s="259">
        <f>+_xlfn.XLOOKUP(A1054,PPTO_GENERADOR!$Q:$Q,PPTO_GENERADOR!A:A,"-",0)</f>
        <v>8.01</v>
      </c>
    </row>
    <row r="1055" spans="1:18" ht="14.25" customHeight="1" x14ac:dyDescent="0.35">
      <c r="A1055" s="38" t="s">
        <v>156</v>
      </c>
      <c r="B1055" s="38" t="s">
        <v>2774</v>
      </c>
      <c r="C1055" s="38" t="s">
        <v>2779</v>
      </c>
      <c r="D1055" s="38" t="s">
        <v>1202</v>
      </c>
      <c r="E1055" s="44" t="str">
        <f>IFERROR(VLOOKUP(D1055,MATERIALES!A:B,2,FALSE()),"?")</f>
        <v>Rollo Polietileno negro 2x50 mt x 200mic</v>
      </c>
      <c r="F1055" s="44" t="str">
        <f>IFERROR(VLOOKUP(D1055,MATERIALES!A:C,3,FALSE()),"?")</f>
        <v>rol</v>
      </c>
      <c r="G1055" s="45">
        <v>6.4999999999999997E-3</v>
      </c>
      <c r="H1055" s="46">
        <v>0</v>
      </c>
      <c r="I1055" s="47">
        <f>IFERROR(VLOOKUP(D1055,MATERIALES!A:D,4,FALSE()),0)</f>
        <v>27000</v>
      </c>
      <c r="J1055" s="42">
        <f>G1055*I1055*(1+H1055)</f>
        <v>175.5</v>
      </c>
      <c r="K1055" s="15" t="str">
        <f t="shared" si="118"/>
        <v>PTO-0801|MAT</v>
      </c>
      <c r="L1055" s="15">
        <f>COUNTIFS($K$2:K1055,K1055)</f>
        <v>2</v>
      </c>
      <c r="M1055" s="15" t="str">
        <f t="shared" si="119"/>
        <v>PTO-0801|MAT|2</v>
      </c>
      <c r="N1055" s="47">
        <f>IFERROR(VLOOKUP(A1055,PARTIDAS!A:F,6,FALSE()),0)</f>
        <v>1</v>
      </c>
      <c r="O1055" s="247">
        <f t="shared" si="120"/>
        <v>6.4999999999999997E-3</v>
      </c>
      <c r="P1055" s="247">
        <f>+_xlfn.XLOOKUP(A1055,PPTO_GENERADOR!Q:Q,PPTO_GENERADOR!E:E,"-",0)</f>
        <v>107</v>
      </c>
      <c r="Q1055" s="247">
        <f t="shared" si="121"/>
        <v>0.69550000000000001</v>
      </c>
      <c r="R1055" s="259">
        <f>+_xlfn.XLOOKUP(A1055,PPTO_GENERADOR!$Q:$Q,PPTO_GENERADOR!A:A,"-",0)</f>
        <v>8.01</v>
      </c>
    </row>
    <row r="1056" spans="1:18" ht="14.25" customHeight="1" x14ac:dyDescent="0.35">
      <c r="A1056" s="38" t="s">
        <v>156</v>
      </c>
      <c r="B1056" s="38" t="s">
        <v>2774</v>
      </c>
      <c r="C1056" s="38" t="s">
        <v>2779</v>
      </c>
      <c r="D1056" s="38" t="s">
        <v>1205</v>
      </c>
      <c r="E1056" s="44" t="str">
        <f>IFERROR(VLOOKUP(D1056,MATERIALES!A:B,2,FALSE()),"?")</f>
        <v>Malla Q188 15 x 15 6 mm 6x2,40</v>
      </c>
      <c r="F1056" s="44" t="str">
        <f>IFERROR(VLOOKUP(D1056,MATERIALES!A:C,3,FALSE()),"?")</f>
        <v>un</v>
      </c>
      <c r="G1056" s="45">
        <v>8.4112149532710304E-2</v>
      </c>
      <c r="H1056" s="46">
        <v>0</v>
      </c>
      <c r="I1056" s="47">
        <f>IFERROR(VLOOKUP(D1056,MATERIALES!A:D,4,FALSE()),0)</f>
        <v>69985.789999999994</v>
      </c>
      <c r="J1056" s="42">
        <f>G1056*I1056*(1+H1056)</f>
        <v>5886.6552336448613</v>
      </c>
      <c r="K1056" s="15" t="str">
        <f t="shared" si="118"/>
        <v>PTO-0801|MAT</v>
      </c>
      <c r="L1056" s="15">
        <f>COUNTIFS($K$2:K1056,K1056)</f>
        <v>3</v>
      </c>
      <c r="M1056" s="15" t="str">
        <f t="shared" si="119"/>
        <v>PTO-0801|MAT|3</v>
      </c>
      <c r="N1056" s="47">
        <f>IFERROR(VLOOKUP(A1056,PARTIDAS!A:F,6,FALSE()),0)</f>
        <v>1</v>
      </c>
      <c r="O1056" s="247">
        <f t="shared" si="120"/>
        <v>8.4112149532710304E-2</v>
      </c>
      <c r="P1056" s="247">
        <f>+_xlfn.XLOOKUP(A1056,PPTO_GENERADOR!Q:Q,PPTO_GENERADOR!E:E,"-",0)</f>
        <v>107</v>
      </c>
      <c r="Q1056" s="247">
        <f t="shared" si="121"/>
        <v>9.0000000000000018</v>
      </c>
      <c r="R1056" s="259">
        <f>+_xlfn.XLOOKUP(A1056,PPTO_GENERADOR!$Q:$Q,PPTO_GENERADOR!A:A,"-",0)</f>
        <v>8.01</v>
      </c>
    </row>
    <row r="1057" spans="1:18" ht="14.25" customHeight="1" x14ac:dyDescent="0.35">
      <c r="A1057" s="38" t="s">
        <v>156</v>
      </c>
      <c r="B1057" s="38" t="s">
        <v>2774</v>
      </c>
      <c r="C1057" s="38" t="s">
        <v>2779</v>
      </c>
      <c r="D1057" s="38" t="s">
        <v>1207</v>
      </c>
      <c r="E1057" s="44" t="str">
        <f>IFERROR(VLOOKUP(D1057,MATERIALES!A:B,2,FALSE()),"?")</f>
        <v>H13 6.20</v>
      </c>
      <c r="F1057" s="44" t="str">
        <f>IFERROR(VLOOKUP(D1057,MATERIALES!A:C,3,FALSE()),"?")</f>
        <v>m3</v>
      </c>
      <c r="G1057" s="45">
        <v>0.20560747663551401</v>
      </c>
      <c r="H1057" s="46">
        <v>0</v>
      </c>
      <c r="I1057" s="47">
        <f>IFERROR(VLOOKUP(D1057,MATERIALES!A:D,4,FALSE()),0)</f>
        <v>115100</v>
      </c>
      <c r="J1057" s="42">
        <f>G1057*I1057*(1+H1057)</f>
        <v>23665.420560747662</v>
      </c>
      <c r="K1057" s="15" t="str">
        <f t="shared" si="118"/>
        <v>PTO-0801|MAT</v>
      </c>
      <c r="L1057" s="15">
        <f>COUNTIFS($K$2:K1057,K1057)</f>
        <v>4</v>
      </c>
      <c r="M1057" s="15" t="str">
        <f t="shared" si="119"/>
        <v>PTO-0801|MAT|4</v>
      </c>
      <c r="N1057" s="47">
        <f>IFERROR(VLOOKUP(A1057,PARTIDAS!A:F,6,FALSE()),0)</f>
        <v>1</v>
      </c>
      <c r="O1057" s="247">
        <f t="shared" si="120"/>
        <v>0.20560747663551401</v>
      </c>
      <c r="P1057" s="247">
        <f>+_xlfn.XLOOKUP(A1057,PPTO_GENERADOR!Q:Q,PPTO_GENERADOR!E:E,"-",0)</f>
        <v>107</v>
      </c>
      <c r="Q1057" s="247">
        <f t="shared" si="121"/>
        <v>22</v>
      </c>
      <c r="R1057" s="259">
        <f>+_xlfn.XLOOKUP(A1057,PPTO_GENERADOR!$Q:$Q,PPTO_GENERADOR!A:A,"-",0)</f>
        <v>8.01</v>
      </c>
    </row>
    <row r="1058" spans="1:18" ht="14.25" customHeight="1" x14ac:dyDescent="0.35">
      <c r="A1058" s="38" t="s">
        <v>156</v>
      </c>
      <c r="B1058" s="38" t="s">
        <v>2776</v>
      </c>
      <c r="C1058" s="38" t="s">
        <v>2777</v>
      </c>
      <c r="D1058" s="38" t="s">
        <v>1577</v>
      </c>
      <c r="E1058" s="44" t="str">
        <f>IFERROR(VLOOKUP(D1058,MANO_DE_OBRA!A:B,2,FALSE()),"?")</f>
        <v>AYUDANTE</v>
      </c>
      <c r="F1058" s="44" t="s">
        <v>2778</v>
      </c>
      <c r="G1058" s="45">
        <v>0.11214953271028</v>
      </c>
      <c r="H1058" s="46">
        <v>0</v>
      </c>
      <c r="I1058" s="47">
        <f>IFERROR(VLOOKUP(D1058,MANO_DE_OBRA!A:C,3,FALSE()),0)</f>
        <v>60860.580776572002</v>
      </c>
      <c r="J1058" s="42">
        <f>G1058*I1058</f>
        <v>6825.4856945687998</v>
      </c>
      <c r="K1058" s="15" t="str">
        <f t="shared" si="118"/>
        <v>PTO-0801|MO</v>
      </c>
      <c r="L1058" s="15">
        <f>COUNTIFS($K$2:K1058,K1058)</f>
        <v>1</v>
      </c>
      <c r="M1058" s="15" t="str">
        <f t="shared" si="119"/>
        <v>PTO-0801|MO|1</v>
      </c>
      <c r="N1058" s="47">
        <f>IFERROR(VLOOKUP(A1058,PARTIDAS!A:F,6,FALSE()),0)</f>
        <v>1</v>
      </c>
      <c r="O1058" s="247">
        <f t="shared" si="120"/>
        <v>0.11214953271028</v>
      </c>
      <c r="P1058" s="247">
        <f>+_xlfn.XLOOKUP(A1058,PPTO_GENERADOR!Q:Q,PPTO_GENERADOR!E:E,"-",0)</f>
        <v>107</v>
      </c>
      <c r="Q1058" s="247">
        <f t="shared" si="121"/>
        <v>11.999999999999959</v>
      </c>
      <c r="R1058" s="259">
        <f>+_xlfn.XLOOKUP(A1058,PPTO_GENERADOR!$Q:$Q,PPTO_GENERADOR!A:A,"-",0)</f>
        <v>8.01</v>
      </c>
    </row>
    <row r="1059" spans="1:18" ht="14.25" customHeight="1" x14ac:dyDescent="0.35">
      <c r="A1059" s="38" t="s">
        <v>156</v>
      </c>
      <c r="B1059" s="38" t="s">
        <v>2776</v>
      </c>
      <c r="C1059" s="38" t="s">
        <v>2777</v>
      </c>
      <c r="D1059" s="237" t="s">
        <v>1574</v>
      </c>
      <c r="E1059" s="44" t="str">
        <f>IFERROR(VLOOKUP(D1059,MANO_DE_OBRA!A:B,2,FALSE()),"?")</f>
        <v>MEDIO OFICIAL</v>
      </c>
      <c r="F1059" s="44" t="s">
        <v>2778</v>
      </c>
      <c r="G1059" s="45">
        <v>1.86915887850467E-2</v>
      </c>
      <c r="H1059" s="46">
        <v>0</v>
      </c>
      <c r="I1059" s="47">
        <f>IFERROR(VLOOKUP(D1059,MANO_DE_OBRA!A:C,3,FALSE()),0)</f>
        <v>65493.071636572</v>
      </c>
      <c r="J1059" s="42">
        <f>G1059*I1059</f>
        <v>1224.1695633004092</v>
      </c>
      <c r="K1059" s="15" t="str">
        <f t="shared" si="118"/>
        <v>PTO-0801|MO</v>
      </c>
      <c r="L1059" s="15">
        <f>COUNTIFS($K$2:K1059,K1059)</f>
        <v>2</v>
      </c>
      <c r="M1059" s="15" t="str">
        <f t="shared" si="119"/>
        <v>PTO-0801|MO|2</v>
      </c>
      <c r="N1059" s="47">
        <f>IFERROR(VLOOKUP(A1059,PARTIDAS!A:F,6,FALSE()),0)</f>
        <v>1</v>
      </c>
      <c r="O1059" s="247">
        <f t="shared" si="120"/>
        <v>1.86915887850467E-2</v>
      </c>
      <c r="P1059" s="247">
        <f>+_xlfn.XLOOKUP(A1059,PPTO_GENERADOR!Q:Q,PPTO_GENERADOR!E:E,"-",0)</f>
        <v>107</v>
      </c>
      <c r="Q1059" s="247">
        <f t="shared" si="121"/>
        <v>1.9999999999999969</v>
      </c>
      <c r="R1059" s="259">
        <f>+_xlfn.XLOOKUP(A1059,PPTO_GENERADOR!$Q:$Q,PPTO_GENERADOR!A:A,"-",0)</f>
        <v>8.01</v>
      </c>
    </row>
    <row r="1060" spans="1:18" ht="14.25" customHeight="1" x14ac:dyDescent="0.35">
      <c r="A1060" s="38" t="s">
        <v>156</v>
      </c>
      <c r="B1060" s="38" t="s">
        <v>2776</v>
      </c>
      <c r="C1060" s="38" t="s">
        <v>2777</v>
      </c>
      <c r="D1060" s="237" t="s">
        <v>1571</v>
      </c>
      <c r="E1060" s="44" t="str">
        <f>IFERROR(VLOOKUP(D1060,MANO_DE_OBRA!A:B,2,FALSE()),"?")</f>
        <v>OFICIAL</v>
      </c>
      <c r="F1060" s="44" t="s">
        <v>2778</v>
      </c>
      <c r="G1060" s="45">
        <v>5.60747663551402E-2</v>
      </c>
      <c r="H1060" s="46">
        <v>0</v>
      </c>
      <c r="I1060" s="47">
        <f>IFERROR(VLOOKUP(D1060,MANO_DE_OBRA!A:C,3,FALSE()),0)</f>
        <v>76955.079706571996</v>
      </c>
      <c r="J1060" s="42">
        <f>G1060*I1060</f>
        <v>4315.2381143872153</v>
      </c>
      <c r="K1060" s="15" t="str">
        <f t="shared" si="118"/>
        <v>PTO-0801|MO</v>
      </c>
      <c r="L1060" s="15">
        <f>COUNTIFS($K$2:K1060,K1060)</f>
        <v>3</v>
      </c>
      <c r="M1060" s="15" t="str">
        <f t="shared" si="119"/>
        <v>PTO-0801|MO|3</v>
      </c>
      <c r="N1060" s="47">
        <f>IFERROR(VLOOKUP(A1060,PARTIDAS!A:F,6,FALSE()),0)</f>
        <v>1</v>
      </c>
      <c r="O1060" s="247">
        <f t="shared" si="120"/>
        <v>5.60747663551402E-2</v>
      </c>
      <c r="P1060" s="247">
        <f>+_xlfn.XLOOKUP(A1060,PPTO_GENERADOR!Q:Q,PPTO_GENERADOR!E:E,"-",0)</f>
        <v>107</v>
      </c>
      <c r="Q1060" s="247">
        <f t="shared" si="121"/>
        <v>6.0000000000000018</v>
      </c>
      <c r="R1060" s="259">
        <f>+_xlfn.XLOOKUP(A1060,PPTO_GENERADOR!$Q:$Q,PPTO_GENERADOR!A:A,"-",0)</f>
        <v>8.01</v>
      </c>
    </row>
    <row r="1061" spans="1:18" ht="14.25" customHeight="1" x14ac:dyDescent="0.35">
      <c r="A1061" s="38" t="s">
        <v>158</v>
      </c>
      <c r="B1061" s="38" t="s">
        <v>2773</v>
      </c>
      <c r="C1061" s="38"/>
      <c r="D1061" s="38" t="s">
        <v>1824</v>
      </c>
      <c r="E1061" s="44" t="str">
        <f>IFERROR(VLOOKUP(D1061,EQUIPOS!A:B,2,FALSE()),"?")</f>
        <v>Herramientas menores y consumibles - Contrapiso de H13 subase bajo intertrabado y garde</v>
      </c>
      <c r="F1061" s="44"/>
      <c r="G1061" s="45">
        <v>1</v>
      </c>
      <c r="H1061" s="46">
        <v>0</v>
      </c>
      <c r="I1061" s="47">
        <f>IFERROR(VLOOKUP(D1061,EQUIPOS!A:F,6,FALSE()),0)</f>
        <v>429.44656213747601</v>
      </c>
      <c r="J1061" s="42">
        <f>G1061*I1061</f>
        <v>429.44656213747601</v>
      </c>
      <c r="K1061" s="15" t="str">
        <f t="shared" si="118"/>
        <v>PTO-0802|EQ</v>
      </c>
      <c r="L1061" s="15">
        <f>COUNTIFS($K$2:K1061,K1061)</f>
        <v>1</v>
      </c>
      <c r="M1061" s="15" t="str">
        <f t="shared" si="119"/>
        <v>PTO-0802|EQ|1</v>
      </c>
      <c r="N1061" s="47">
        <f>IFERROR(VLOOKUP(A1061,PARTIDAS!A:F,6,FALSE()),0)</f>
        <v>1</v>
      </c>
      <c r="O1061" s="247">
        <f t="shared" si="120"/>
        <v>1</v>
      </c>
      <c r="P1061" s="247">
        <f>+_xlfn.XLOOKUP(A1061,PPTO_GENERADOR!Q:Q,PPTO_GENERADOR!E:E,"-",0)</f>
        <v>258</v>
      </c>
      <c r="Q1061" s="247">
        <f t="shared" si="121"/>
        <v>258</v>
      </c>
      <c r="R1061" s="259">
        <f>+_xlfn.XLOOKUP(A1061,PPTO_GENERADOR!$Q:$Q,PPTO_GENERADOR!A:A,"-",0)</f>
        <v>8.02</v>
      </c>
    </row>
    <row r="1062" spans="1:18" ht="14.25" customHeight="1" x14ac:dyDescent="0.35">
      <c r="A1062" s="38" t="s">
        <v>158</v>
      </c>
      <c r="B1062" s="38" t="s">
        <v>2774</v>
      </c>
      <c r="C1062" s="38" t="s">
        <v>2775</v>
      </c>
      <c r="D1062" s="38" t="s">
        <v>906</v>
      </c>
      <c r="E1062" s="44" t="str">
        <f>IFERROR(VLOOKUP(D1062,MATERIALES!A:B,2,FALSE()),"?")</f>
        <v>Bombeo</v>
      </c>
      <c r="F1062" s="44" t="str">
        <f>IFERROR(VLOOKUP(D1062,MATERIALES!A:C,3,FALSE()),"?")</f>
        <v>m3</v>
      </c>
      <c r="G1062" s="45">
        <v>0.15891472868217099</v>
      </c>
      <c r="H1062" s="46">
        <v>0</v>
      </c>
      <c r="I1062" s="47">
        <f>IFERROR(VLOOKUP(D1062,MATERIALES!A:D,4,FALSE()),0)</f>
        <v>5330</v>
      </c>
      <c r="J1062" s="42">
        <f t="shared" ref="J1062:J1067" si="122">G1062*I1062*(1+H1062)</f>
        <v>847.01550387597138</v>
      </c>
      <c r="K1062" s="15" t="str">
        <f t="shared" si="118"/>
        <v>PTO-0802|MAT</v>
      </c>
      <c r="L1062" s="15">
        <f>COUNTIFS($K$2:K1062,K1062)</f>
        <v>1</v>
      </c>
      <c r="M1062" s="15" t="str">
        <f t="shared" si="119"/>
        <v>PTO-0802|MAT|1</v>
      </c>
      <c r="N1062" s="47">
        <f>IFERROR(VLOOKUP(A1062,PARTIDAS!A:F,6,FALSE()),0)</f>
        <v>1</v>
      </c>
      <c r="O1062" s="247">
        <f t="shared" si="120"/>
        <v>0.15891472868217099</v>
      </c>
      <c r="P1062" s="247">
        <f>+_xlfn.XLOOKUP(A1062,PPTO_GENERADOR!Q:Q,PPTO_GENERADOR!E:E,"-",0)</f>
        <v>258</v>
      </c>
      <c r="Q1062" s="247">
        <f t="shared" si="121"/>
        <v>41.000000000000114</v>
      </c>
      <c r="R1062" s="259">
        <f>+_xlfn.XLOOKUP(A1062,PPTO_GENERADOR!$Q:$Q,PPTO_GENERADOR!A:A,"-",0)</f>
        <v>8.02</v>
      </c>
    </row>
    <row r="1063" spans="1:18" ht="14.25" customHeight="1" x14ac:dyDescent="0.35">
      <c r="A1063" s="38" t="s">
        <v>158</v>
      </c>
      <c r="B1063" s="38" t="s">
        <v>2774</v>
      </c>
      <c r="C1063" s="38" t="s">
        <v>2775</v>
      </c>
      <c r="D1063" s="38" t="s">
        <v>1111</v>
      </c>
      <c r="E1063" s="44" t="str">
        <f>IFERROR(VLOOKUP(D1063,MATERIALES!A:B,2,FALSE()),"?")</f>
        <v>CEMENTO AVELLANEDA x 50 KG</v>
      </c>
      <c r="F1063" s="44" t="str">
        <f>IFERROR(VLOOKUP(D1063,MATERIALES!A:C,3,FALSE()),"?")</f>
        <v>bol</v>
      </c>
      <c r="G1063" s="45">
        <v>7.7519379844961198E-2</v>
      </c>
      <c r="H1063" s="46">
        <v>0</v>
      </c>
      <c r="I1063" s="47">
        <f>IFERROR(VLOOKUP(D1063,MATERIALES!A:D,4,FALSE()),0)</f>
        <v>7809.48</v>
      </c>
      <c r="J1063" s="42">
        <f t="shared" si="122"/>
        <v>605.38604651162757</v>
      </c>
      <c r="K1063" s="15" t="str">
        <f t="shared" si="118"/>
        <v>PTO-0802|MAT</v>
      </c>
      <c r="L1063" s="15">
        <f>COUNTIFS($K$2:K1063,K1063)</f>
        <v>2</v>
      </c>
      <c r="M1063" s="15" t="str">
        <f t="shared" si="119"/>
        <v>PTO-0802|MAT|2</v>
      </c>
      <c r="N1063" s="47">
        <f>IFERROR(VLOOKUP(A1063,PARTIDAS!A:F,6,FALSE()),0)</f>
        <v>1</v>
      </c>
      <c r="O1063" s="247">
        <f t="shared" si="120"/>
        <v>7.7519379844961198E-2</v>
      </c>
      <c r="P1063" s="247">
        <f>+_xlfn.XLOOKUP(A1063,PPTO_GENERADOR!Q:Q,PPTO_GENERADOR!E:E,"-",0)</f>
        <v>258</v>
      </c>
      <c r="Q1063" s="247">
        <f t="shared" si="121"/>
        <v>19.999999999999989</v>
      </c>
      <c r="R1063" s="259">
        <f>+_xlfn.XLOOKUP(A1063,PPTO_GENERADOR!$Q:$Q,PPTO_GENERADOR!A:A,"-",0)</f>
        <v>8.02</v>
      </c>
    </row>
    <row r="1064" spans="1:18" ht="14.25" customHeight="1" x14ac:dyDescent="0.35">
      <c r="A1064" s="38" t="s">
        <v>158</v>
      </c>
      <c r="B1064" s="38" t="s">
        <v>2774</v>
      </c>
      <c r="C1064" s="38" t="s">
        <v>2775</v>
      </c>
      <c r="D1064" s="38" t="s">
        <v>1202</v>
      </c>
      <c r="E1064" s="44" t="str">
        <f>IFERROR(VLOOKUP(D1064,MATERIALES!A:B,2,FALSE()),"?")</f>
        <v>Rollo Polietileno negro 2x50 mt x 200mic</v>
      </c>
      <c r="F1064" s="44" t="str">
        <f>IFERROR(VLOOKUP(D1064,MATERIALES!A:C,3,FALSE()),"?")</f>
        <v>rol</v>
      </c>
      <c r="G1064" s="45">
        <v>5.0000000000000001E-3</v>
      </c>
      <c r="H1064" s="46">
        <v>0</v>
      </c>
      <c r="I1064" s="47">
        <f>IFERROR(VLOOKUP(D1064,MATERIALES!A:D,4,FALSE()),0)</f>
        <v>27000</v>
      </c>
      <c r="J1064" s="42">
        <f t="shared" si="122"/>
        <v>135</v>
      </c>
      <c r="K1064" s="15" t="str">
        <f t="shared" si="118"/>
        <v>PTO-0802|MAT</v>
      </c>
      <c r="L1064" s="15">
        <f>COUNTIFS($K$2:K1064,K1064)</f>
        <v>3</v>
      </c>
      <c r="M1064" s="15" t="str">
        <f t="shared" si="119"/>
        <v>PTO-0802|MAT|3</v>
      </c>
      <c r="N1064" s="47">
        <f>IFERROR(VLOOKUP(A1064,PARTIDAS!A:F,6,FALSE()),0)</f>
        <v>1</v>
      </c>
      <c r="O1064" s="247">
        <f t="shared" si="120"/>
        <v>5.0000000000000001E-3</v>
      </c>
      <c r="P1064" s="247">
        <f>+_xlfn.XLOOKUP(A1064,PPTO_GENERADOR!Q:Q,PPTO_GENERADOR!E:E,"-",0)</f>
        <v>258</v>
      </c>
      <c r="Q1064" s="247">
        <f t="shared" si="121"/>
        <v>1.29</v>
      </c>
      <c r="R1064" s="259">
        <f>+_xlfn.XLOOKUP(A1064,PPTO_GENERADOR!$Q:$Q,PPTO_GENERADOR!A:A,"-",0)</f>
        <v>8.02</v>
      </c>
    </row>
    <row r="1065" spans="1:18" ht="14.25" customHeight="1" x14ac:dyDescent="0.35">
      <c r="A1065" s="38" t="s">
        <v>158</v>
      </c>
      <c r="B1065" s="38" t="s">
        <v>2774</v>
      </c>
      <c r="C1065" s="38" t="s">
        <v>2775</v>
      </c>
      <c r="D1065" s="38" t="s">
        <v>1207</v>
      </c>
      <c r="E1065" s="44" t="str">
        <f>IFERROR(VLOOKUP(D1065,MATERIALES!A:B,2,FALSE()),"?")</f>
        <v>H13 6.20</v>
      </c>
      <c r="F1065" s="44" t="str">
        <f>IFERROR(VLOOKUP(D1065,MATERIALES!A:C,3,FALSE()),"?")</f>
        <v>m3</v>
      </c>
      <c r="G1065" s="45">
        <v>0.15891472868217099</v>
      </c>
      <c r="H1065" s="46">
        <v>0</v>
      </c>
      <c r="I1065" s="47">
        <f>IFERROR(VLOOKUP(D1065,MATERIALES!A:D,4,FALSE()),0)</f>
        <v>115100</v>
      </c>
      <c r="J1065" s="42">
        <f t="shared" si="122"/>
        <v>18291.085271317883</v>
      </c>
      <c r="K1065" s="15" t="str">
        <f t="shared" si="118"/>
        <v>PTO-0802|MAT</v>
      </c>
      <c r="L1065" s="15">
        <f>COUNTIFS($K$2:K1065,K1065)</f>
        <v>4</v>
      </c>
      <c r="M1065" s="15" t="str">
        <f t="shared" si="119"/>
        <v>PTO-0802|MAT|4</v>
      </c>
      <c r="N1065" s="47">
        <f>IFERROR(VLOOKUP(A1065,PARTIDAS!A:F,6,FALSE()),0)</f>
        <v>1</v>
      </c>
      <c r="O1065" s="247">
        <f t="shared" si="120"/>
        <v>0.15891472868217099</v>
      </c>
      <c r="P1065" s="247">
        <f>+_xlfn.XLOOKUP(A1065,PPTO_GENERADOR!Q:Q,PPTO_GENERADOR!E:E,"-",0)</f>
        <v>258</v>
      </c>
      <c r="Q1065" s="247">
        <f t="shared" si="121"/>
        <v>41.000000000000114</v>
      </c>
      <c r="R1065" s="259">
        <f>+_xlfn.XLOOKUP(A1065,PPTO_GENERADOR!$Q:$Q,PPTO_GENERADOR!A:A,"-",0)</f>
        <v>8.02</v>
      </c>
    </row>
    <row r="1066" spans="1:18" ht="14.25" customHeight="1" x14ac:dyDescent="0.35">
      <c r="A1066" s="38" t="s">
        <v>158</v>
      </c>
      <c r="B1066" s="38" t="s">
        <v>2774</v>
      </c>
      <c r="C1066" s="38" t="s">
        <v>2775</v>
      </c>
      <c r="D1066" s="38" t="s">
        <v>1209</v>
      </c>
      <c r="E1066" s="44" t="str">
        <f>IFERROR(VLOOKUP(D1066,MATERIALES!A:B,2,FALSE()),"?")</f>
        <v xml:space="preserve">Acarreo </v>
      </c>
      <c r="F1066" s="44" t="str">
        <f>IFERROR(VLOOKUP(D1066,MATERIALES!A:C,3,FALSE()),"?")</f>
        <v>gl</v>
      </c>
      <c r="G1066" s="45">
        <v>3.8759689922480598E-3</v>
      </c>
      <c r="H1066" s="46">
        <v>0</v>
      </c>
      <c r="I1066" s="47">
        <f>IFERROR(VLOOKUP(D1066,MATERIALES!A:D,4,FALSE()),0)</f>
        <v>533000</v>
      </c>
      <c r="J1066" s="42">
        <f t="shared" si="122"/>
        <v>2065.8914728682157</v>
      </c>
      <c r="K1066" s="15" t="str">
        <f t="shared" si="118"/>
        <v>PTO-0802|MAT</v>
      </c>
      <c r="L1066" s="15">
        <f>COUNTIFS($K$2:K1066,K1066)</f>
        <v>5</v>
      </c>
      <c r="M1066" s="15" t="str">
        <f t="shared" si="119"/>
        <v>PTO-0802|MAT|5</v>
      </c>
      <c r="N1066" s="47">
        <f>IFERROR(VLOOKUP(A1066,PARTIDAS!A:F,6,FALSE()),0)</f>
        <v>1</v>
      </c>
      <c r="O1066" s="247">
        <f t="shared" si="120"/>
        <v>3.8759689922480598E-3</v>
      </c>
      <c r="P1066" s="247">
        <f>+_xlfn.XLOOKUP(A1066,PPTO_GENERADOR!Q:Q,PPTO_GENERADOR!E:E,"-",0)</f>
        <v>258</v>
      </c>
      <c r="Q1066" s="247">
        <f t="shared" si="121"/>
        <v>0.99999999999999944</v>
      </c>
      <c r="R1066" s="259">
        <f>+_xlfn.XLOOKUP(A1066,PPTO_GENERADOR!$Q:$Q,PPTO_GENERADOR!A:A,"-",0)</f>
        <v>8.02</v>
      </c>
    </row>
    <row r="1067" spans="1:18" ht="14.25" customHeight="1" x14ac:dyDescent="0.35">
      <c r="A1067" s="38" t="s">
        <v>158</v>
      </c>
      <c r="B1067" s="38" t="s">
        <v>2774</v>
      </c>
      <c r="C1067" s="38" t="s">
        <v>2775</v>
      </c>
      <c r="D1067" s="38" t="s">
        <v>1212</v>
      </c>
      <c r="E1067" s="44" t="str">
        <f>IFERROR(VLOOKUP(D1067,MATERIALES!A:B,2,FALSE()),"?")</f>
        <v>Alquiler vibropison</v>
      </c>
      <c r="F1067" s="44" t="str">
        <f>IFERROR(VLOOKUP(D1067,MATERIALES!A:C,3,FALSE()),"?")</f>
        <v>sem</v>
      </c>
      <c r="G1067" s="45">
        <v>3.8759689922480598E-3</v>
      </c>
      <c r="H1067" s="46">
        <v>0</v>
      </c>
      <c r="I1067" s="47">
        <f>IFERROR(VLOOKUP(D1067,MATERIALES!A:D,4,FALSE()),0)</f>
        <v>25000</v>
      </c>
      <c r="J1067" s="42">
        <f t="shared" si="122"/>
        <v>96.899224806201488</v>
      </c>
      <c r="K1067" s="15" t="str">
        <f t="shared" si="118"/>
        <v>PTO-0802|MAT</v>
      </c>
      <c r="L1067" s="15">
        <f>COUNTIFS($K$2:K1067,K1067)</f>
        <v>6</v>
      </c>
      <c r="M1067" s="15" t="str">
        <f t="shared" si="119"/>
        <v>PTO-0802|MAT|6</v>
      </c>
      <c r="N1067" s="47">
        <f>IFERROR(VLOOKUP(A1067,PARTIDAS!A:F,6,FALSE()),0)</f>
        <v>1</v>
      </c>
      <c r="O1067" s="247">
        <f t="shared" si="120"/>
        <v>3.8759689922480598E-3</v>
      </c>
      <c r="P1067" s="247">
        <f>+_xlfn.XLOOKUP(A1067,PPTO_GENERADOR!Q:Q,PPTO_GENERADOR!E:E,"-",0)</f>
        <v>258</v>
      </c>
      <c r="Q1067" s="247">
        <f t="shared" si="121"/>
        <v>0.99999999999999944</v>
      </c>
      <c r="R1067" s="259">
        <f>+_xlfn.XLOOKUP(A1067,PPTO_GENERADOR!$Q:$Q,PPTO_GENERADOR!A:A,"-",0)</f>
        <v>8.02</v>
      </c>
    </row>
    <row r="1068" spans="1:18" ht="14.25" customHeight="1" x14ac:dyDescent="0.35">
      <c r="A1068" s="38" t="s">
        <v>158</v>
      </c>
      <c r="B1068" s="38" t="s">
        <v>2776</v>
      </c>
      <c r="C1068" s="38" t="s">
        <v>2777</v>
      </c>
      <c r="D1068" s="38" t="s">
        <v>1577</v>
      </c>
      <c r="E1068" s="44" t="str">
        <f>IFERROR(VLOOKUP(D1068,MANO_DE_OBRA!A:B,2,FALSE()),"?")</f>
        <v>AYUDANTE</v>
      </c>
      <c r="F1068" s="44" t="s">
        <v>2778</v>
      </c>
      <c r="G1068" s="45">
        <v>5.0387596899224799E-2</v>
      </c>
      <c r="H1068" s="46">
        <v>0</v>
      </c>
      <c r="I1068" s="47">
        <f>IFERROR(VLOOKUP(D1068,MANO_DE_OBRA!A:C,3,FALSE()),0)</f>
        <v>60860.580776572002</v>
      </c>
      <c r="J1068" s="42">
        <f t="shared" ref="J1068:J1074" si="123">G1068*I1068</f>
        <v>3066.6184112226197</v>
      </c>
      <c r="K1068" s="15" t="str">
        <f t="shared" si="118"/>
        <v>PTO-0802|MO</v>
      </c>
      <c r="L1068" s="15">
        <f>COUNTIFS($K$2:K1068,K1068)</f>
        <v>1</v>
      </c>
      <c r="M1068" s="15" t="str">
        <f t="shared" si="119"/>
        <v>PTO-0802|MO|1</v>
      </c>
      <c r="N1068" s="47">
        <f>IFERROR(VLOOKUP(A1068,PARTIDAS!A:F,6,FALSE()),0)</f>
        <v>1</v>
      </c>
      <c r="O1068" s="247">
        <f t="shared" si="120"/>
        <v>5.0387596899224799E-2</v>
      </c>
      <c r="P1068" s="247">
        <f>+_xlfn.XLOOKUP(A1068,PPTO_GENERADOR!Q:Q,PPTO_GENERADOR!E:E,"-",0)</f>
        <v>258</v>
      </c>
      <c r="Q1068" s="247">
        <f t="shared" si="121"/>
        <v>12.999999999999998</v>
      </c>
      <c r="R1068" s="259">
        <f>+_xlfn.XLOOKUP(A1068,PPTO_GENERADOR!$Q:$Q,PPTO_GENERADOR!A:A,"-",0)</f>
        <v>8.02</v>
      </c>
    </row>
    <row r="1069" spans="1:18" ht="14.25" customHeight="1" x14ac:dyDescent="0.35">
      <c r="A1069" s="38" t="s">
        <v>158</v>
      </c>
      <c r="B1069" s="38" t="s">
        <v>2776</v>
      </c>
      <c r="C1069" s="38" t="s">
        <v>2777</v>
      </c>
      <c r="D1069" s="237" t="s">
        <v>1568</v>
      </c>
      <c r="E1069" s="44" t="str">
        <f>IFERROR(VLOOKUP(D1069,MANO_DE_OBRA!A:B,2,FALSE()),"?")</f>
        <v>ESPECIALIZADO</v>
      </c>
      <c r="F1069" s="44" t="s">
        <v>2778</v>
      </c>
      <c r="G1069" s="45">
        <v>3.8759689922480598E-3</v>
      </c>
      <c r="H1069" s="46">
        <v>0</v>
      </c>
      <c r="I1069" s="47">
        <f>IFERROR(VLOOKUP(D1069,MANO_DE_OBRA!A:C,3,FALSE()),0)</f>
        <v>85927.097156571996</v>
      </c>
      <c r="J1069" s="42">
        <f t="shared" si="123"/>
        <v>333.0507641727595</v>
      </c>
      <c r="K1069" s="15" t="str">
        <f t="shared" si="118"/>
        <v>PTO-0802|MO</v>
      </c>
      <c r="L1069" s="15">
        <f>COUNTIFS($K$2:K1069,K1069)</f>
        <v>2</v>
      </c>
      <c r="M1069" s="15" t="str">
        <f t="shared" si="119"/>
        <v>PTO-0802|MO|2</v>
      </c>
      <c r="N1069" s="47">
        <f>IFERROR(VLOOKUP(A1069,PARTIDAS!A:F,6,FALSE()),0)</f>
        <v>1</v>
      </c>
      <c r="O1069" s="247">
        <f t="shared" si="120"/>
        <v>3.8759689922480598E-3</v>
      </c>
      <c r="P1069" s="247">
        <f>+_xlfn.XLOOKUP(A1069,PPTO_GENERADOR!Q:Q,PPTO_GENERADOR!E:E,"-",0)</f>
        <v>258</v>
      </c>
      <c r="Q1069" s="247">
        <f t="shared" si="121"/>
        <v>0.99999999999999944</v>
      </c>
      <c r="R1069" s="259">
        <f>+_xlfn.XLOOKUP(A1069,PPTO_GENERADOR!$Q:$Q,PPTO_GENERADOR!A:A,"-",0)</f>
        <v>8.02</v>
      </c>
    </row>
    <row r="1070" spans="1:18" ht="14.25" customHeight="1" x14ac:dyDescent="0.35">
      <c r="A1070" s="38" t="s">
        <v>158</v>
      </c>
      <c r="B1070" s="38" t="s">
        <v>2776</v>
      </c>
      <c r="C1070" s="38" t="s">
        <v>2777</v>
      </c>
      <c r="D1070" s="237" t="s">
        <v>1574</v>
      </c>
      <c r="E1070" s="44" t="str">
        <f>IFERROR(VLOOKUP(D1070,MANO_DE_OBRA!A:B,2,FALSE()),"?")</f>
        <v>MEDIO OFICIAL</v>
      </c>
      <c r="F1070" s="44" t="s">
        <v>2778</v>
      </c>
      <c r="G1070" s="45">
        <v>7.7519379844961196E-3</v>
      </c>
      <c r="H1070" s="46">
        <v>0</v>
      </c>
      <c r="I1070" s="47">
        <f>IFERROR(VLOOKUP(D1070,MANO_DE_OBRA!A:C,3,FALSE()),0)</f>
        <v>65493.071636572</v>
      </c>
      <c r="J1070" s="42">
        <f t="shared" si="123"/>
        <v>507.69822974086793</v>
      </c>
      <c r="K1070" s="15" t="str">
        <f t="shared" si="118"/>
        <v>PTO-0802|MO</v>
      </c>
      <c r="L1070" s="15">
        <f>COUNTIFS($K$2:K1070,K1070)</f>
        <v>3</v>
      </c>
      <c r="M1070" s="15" t="str">
        <f t="shared" si="119"/>
        <v>PTO-0802|MO|3</v>
      </c>
      <c r="N1070" s="47">
        <f>IFERROR(VLOOKUP(A1070,PARTIDAS!A:F,6,FALSE()),0)</f>
        <v>1</v>
      </c>
      <c r="O1070" s="247">
        <f t="shared" si="120"/>
        <v>7.7519379844961196E-3</v>
      </c>
      <c r="P1070" s="247">
        <f>+_xlfn.XLOOKUP(A1070,PPTO_GENERADOR!Q:Q,PPTO_GENERADOR!E:E,"-",0)</f>
        <v>258</v>
      </c>
      <c r="Q1070" s="247">
        <f t="shared" si="121"/>
        <v>1.9999999999999989</v>
      </c>
      <c r="R1070" s="259">
        <f>+_xlfn.XLOOKUP(A1070,PPTO_GENERADOR!$Q:$Q,PPTO_GENERADOR!A:A,"-",0)</f>
        <v>8.02</v>
      </c>
    </row>
    <row r="1071" spans="1:18" ht="14.25" customHeight="1" x14ac:dyDescent="0.35">
      <c r="A1071" s="38" t="s">
        <v>158</v>
      </c>
      <c r="B1071" s="38" t="s">
        <v>2776</v>
      </c>
      <c r="C1071" s="38" t="s">
        <v>2777</v>
      </c>
      <c r="D1071" s="237" t="s">
        <v>1571</v>
      </c>
      <c r="E1071" s="44" t="str">
        <f>IFERROR(VLOOKUP(D1071,MANO_DE_OBRA!A:B,2,FALSE()),"?")</f>
        <v>OFICIAL</v>
      </c>
      <c r="F1071" s="44" t="s">
        <v>2778</v>
      </c>
      <c r="G1071" s="45">
        <v>2.32558139534884E-2</v>
      </c>
      <c r="H1071" s="46">
        <v>0</v>
      </c>
      <c r="I1071" s="47">
        <f>IFERROR(VLOOKUP(D1071,MANO_DE_OBRA!A:C,3,FALSE()),0)</f>
        <v>76955.079706571996</v>
      </c>
      <c r="J1071" s="42">
        <f t="shared" si="123"/>
        <v>1789.653016431909</v>
      </c>
      <c r="K1071" s="15" t="str">
        <f t="shared" si="118"/>
        <v>PTO-0802|MO</v>
      </c>
      <c r="L1071" s="15">
        <f>COUNTIFS($K$2:K1071,K1071)</f>
        <v>4</v>
      </c>
      <c r="M1071" s="15" t="str">
        <f t="shared" si="119"/>
        <v>PTO-0802|MO|4</v>
      </c>
      <c r="N1071" s="47">
        <f>IFERROR(VLOOKUP(A1071,PARTIDAS!A:F,6,FALSE()),0)</f>
        <v>1</v>
      </c>
      <c r="O1071" s="247">
        <f t="shared" si="120"/>
        <v>2.32558139534884E-2</v>
      </c>
      <c r="P1071" s="247">
        <f>+_xlfn.XLOOKUP(A1071,PPTO_GENERADOR!Q:Q,PPTO_GENERADOR!E:E,"-",0)</f>
        <v>258</v>
      </c>
      <c r="Q1071" s="247">
        <f t="shared" si="121"/>
        <v>6.0000000000000071</v>
      </c>
      <c r="R1071" s="259">
        <f>+_xlfn.XLOOKUP(A1071,PPTO_GENERADOR!$Q:$Q,PPTO_GENERADOR!A:A,"-",0)</f>
        <v>8.02</v>
      </c>
    </row>
    <row r="1072" spans="1:18" ht="14.25" customHeight="1" x14ac:dyDescent="0.35">
      <c r="A1072" s="38" t="s">
        <v>158</v>
      </c>
      <c r="B1072" s="38" t="s">
        <v>2776</v>
      </c>
      <c r="C1072" s="38" t="s">
        <v>2775</v>
      </c>
      <c r="D1072" s="38" t="s">
        <v>2435</v>
      </c>
      <c r="E1072" s="44" t="str">
        <f>IFERROR(VLOOKUP(D1072,SUBCONTRATOS_PRY!A:B,2,FALSE()),"?")</f>
        <v>Alquiler vibropison</v>
      </c>
      <c r="F1072" s="44" t="s">
        <v>2778</v>
      </c>
      <c r="G1072" s="45">
        <v>3.8759689922480598E-3</v>
      </c>
      <c r="H1072" s="46">
        <v>0</v>
      </c>
      <c r="I1072" s="47">
        <f>IFERROR(VLOOKUP(D1072,SUBCONTRATOS_PRY!A:D,4,FALSE()),0)</f>
        <v>230000</v>
      </c>
      <c r="J1072" s="42">
        <f t="shared" si="123"/>
        <v>891.4728682170537</v>
      </c>
      <c r="K1072" s="15" t="str">
        <f t="shared" si="118"/>
        <v>PTO-0802|MO</v>
      </c>
      <c r="L1072" s="15">
        <f>COUNTIFS($K$2:K1072,K1072)</f>
        <v>5</v>
      </c>
      <c r="M1072" s="15" t="str">
        <f t="shared" si="119"/>
        <v>PTO-0802|MO|5</v>
      </c>
      <c r="N1072" s="47">
        <f>IFERROR(VLOOKUP(A1072,PARTIDAS!A:F,6,FALSE()),0)</f>
        <v>1</v>
      </c>
      <c r="O1072" s="247">
        <f t="shared" si="120"/>
        <v>3.8759689922480598E-3</v>
      </c>
      <c r="P1072" s="247">
        <f>+_xlfn.XLOOKUP(A1072,PPTO_GENERADOR!Q:Q,PPTO_GENERADOR!E:E,"-",0)</f>
        <v>258</v>
      </c>
      <c r="Q1072" s="247">
        <f t="shared" si="121"/>
        <v>0.99999999999999944</v>
      </c>
      <c r="R1072" s="259">
        <f>+_xlfn.XLOOKUP(A1072,PPTO_GENERADOR!$Q:$Q,PPTO_GENERADOR!A:A,"-",0)</f>
        <v>8.02</v>
      </c>
    </row>
    <row r="1073" spans="1:18" ht="14.25" customHeight="1" x14ac:dyDescent="0.35">
      <c r="A1073" s="38" t="s">
        <v>160</v>
      </c>
      <c r="B1073" s="38" t="s">
        <v>2773</v>
      </c>
      <c r="C1073" s="38"/>
      <c r="D1073" s="38" t="s">
        <v>1595</v>
      </c>
      <c r="E1073" s="44" t="str">
        <f>IFERROR(VLOOKUP(D1073,EQUIPOS!A:B,2,FALSE()),"?")</f>
        <v>EQUIPO DE ALBAÑILERIA, carpetas, ladrillo</v>
      </c>
      <c r="F1073" s="44"/>
      <c r="G1073" s="45">
        <v>1</v>
      </c>
      <c r="H1073" s="46">
        <v>0</v>
      </c>
      <c r="I1073" s="47">
        <f>IFERROR(VLOOKUP(D1073,EQUIPOS!A:F,6,FALSE()),0)</f>
        <v>2287.1357450968057</v>
      </c>
      <c r="J1073" s="42">
        <f t="shared" si="123"/>
        <v>2287.1357450968057</v>
      </c>
      <c r="K1073" s="15" t="str">
        <f t="shared" si="118"/>
        <v>PTO-0803|EQ</v>
      </c>
      <c r="L1073" s="15">
        <f>COUNTIFS($K$2:K1073,K1073)</f>
        <v>1</v>
      </c>
      <c r="M1073" s="15" t="str">
        <f t="shared" si="119"/>
        <v>PTO-0803|EQ|1</v>
      </c>
      <c r="N1073" s="47">
        <f>IFERROR(VLOOKUP(A1073,PARTIDAS!A:F,6,FALSE()),0)</f>
        <v>35</v>
      </c>
      <c r="O1073" s="247">
        <f t="shared" si="120"/>
        <v>1</v>
      </c>
      <c r="P1073" s="247">
        <f>+_xlfn.XLOOKUP(A1073,PPTO_GENERADOR!Q:Q,PPTO_GENERADOR!E:E,"-",0)</f>
        <v>425</v>
      </c>
      <c r="Q1073" s="247">
        <f t="shared" si="121"/>
        <v>425</v>
      </c>
      <c r="R1073" s="259">
        <f>+_xlfn.XLOOKUP(A1073,PPTO_GENERADOR!$Q:$Q,PPTO_GENERADOR!A:A,"-",0)</f>
        <v>8.0299999999999994</v>
      </c>
    </row>
    <row r="1074" spans="1:18" ht="14.25" customHeight="1" x14ac:dyDescent="0.35">
      <c r="A1074" s="38" t="s">
        <v>160</v>
      </c>
      <c r="B1074" s="38" t="s">
        <v>2773</v>
      </c>
      <c r="C1074" s="38"/>
      <c r="D1074" s="38" t="s">
        <v>1613</v>
      </c>
      <c r="E1074" s="44" t="str">
        <f>IFERROR(VLOOKUP(D1074,EQUIPOS!A:B,2,FALSE()),"?")</f>
        <v>Hormigonera De 150 Litros 1hp Con Rueda Maciza</v>
      </c>
      <c r="F1074" s="44"/>
      <c r="G1074" s="45">
        <v>2</v>
      </c>
      <c r="H1074" s="46">
        <v>0</v>
      </c>
      <c r="I1074" s="47">
        <f>IFERROR(VLOOKUP(D1074,EQUIPOS!A:F,6,FALSE()),0)</f>
        <v>957.25319614994726</v>
      </c>
      <c r="J1074" s="42">
        <f t="shared" si="123"/>
        <v>1914.5063922998945</v>
      </c>
      <c r="K1074" s="15" t="str">
        <f t="shared" si="118"/>
        <v>PTO-0803|EQ</v>
      </c>
      <c r="L1074" s="15">
        <f>COUNTIFS($K$2:K1074,K1074)</f>
        <v>2</v>
      </c>
      <c r="M1074" s="15" t="str">
        <f t="shared" si="119"/>
        <v>PTO-0803|EQ|2</v>
      </c>
      <c r="N1074" s="47">
        <f>IFERROR(VLOOKUP(A1074,PARTIDAS!A:F,6,FALSE()),0)</f>
        <v>35</v>
      </c>
      <c r="O1074" s="247">
        <f t="shared" si="120"/>
        <v>2</v>
      </c>
      <c r="P1074" s="247">
        <f>+_xlfn.XLOOKUP(A1074,PPTO_GENERADOR!Q:Q,PPTO_GENERADOR!E:E,"-",0)</f>
        <v>425</v>
      </c>
      <c r="Q1074" s="247">
        <f t="shared" si="121"/>
        <v>850</v>
      </c>
      <c r="R1074" s="259">
        <f>+_xlfn.XLOOKUP(A1074,PPTO_GENERADOR!$Q:$Q,PPTO_GENERADOR!A:A,"-",0)</f>
        <v>8.0299999999999994</v>
      </c>
    </row>
    <row r="1075" spans="1:18" ht="14.25" customHeight="1" x14ac:dyDescent="0.35">
      <c r="A1075" s="38" t="s">
        <v>160</v>
      </c>
      <c r="B1075" s="38" t="s">
        <v>2774</v>
      </c>
      <c r="C1075" s="38" t="s">
        <v>2775</v>
      </c>
      <c r="D1075" s="38" t="s">
        <v>688</v>
      </c>
      <c r="E1075" s="44" t="str">
        <f>IFERROR(VLOOKUP(D1075,MATERIALES!A:B,2,FALSE()),"?")</f>
        <v>Sika Poro Plus x 10 kg</v>
      </c>
      <c r="F1075" s="44" t="str">
        <f>IFERROR(VLOOKUP(D1075,MATERIALES!A:C,3,FALSE()),"?")</f>
        <v>b</v>
      </c>
      <c r="G1075" s="45">
        <v>2.4499999999999999E-3</v>
      </c>
      <c r="H1075" s="46">
        <v>0.05</v>
      </c>
      <c r="I1075" s="47">
        <f>IFERROR(VLOOKUP(D1075,MATERIALES!A:D,4,FALSE()),0)</f>
        <v>252066.115702479</v>
      </c>
      <c r="J1075" s="42">
        <f>G1075*I1075*(1+H1075)</f>
        <v>648.44008264462718</v>
      </c>
      <c r="K1075" s="15" t="str">
        <f t="shared" si="118"/>
        <v>PTO-0803|MAT</v>
      </c>
      <c r="L1075" s="15">
        <f>COUNTIFS($K$2:K1075,K1075)</f>
        <v>1</v>
      </c>
      <c r="M1075" s="15" t="str">
        <f t="shared" si="119"/>
        <v>PTO-0803|MAT|1</v>
      </c>
      <c r="N1075" s="47">
        <f>IFERROR(VLOOKUP(A1075,PARTIDAS!A:F,6,FALSE()),0)</f>
        <v>35</v>
      </c>
      <c r="O1075" s="247">
        <f t="shared" si="120"/>
        <v>2.4499999999999999E-3</v>
      </c>
      <c r="P1075" s="247">
        <f>+_xlfn.XLOOKUP(A1075,PPTO_GENERADOR!Q:Q,PPTO_GENERADOR!E:E,"-",0)</f>
        <v>425</v>
      </c>
      <c r="Q1075" s="247">
        <f t="shared" si="121"/>
        <v>1.04125</v>
      </c>
      <c r="R1075" s="259">
        <f>+_xlfn.XLOOKUP(A1075,PPTO_GENERADOR!$Q:$Q,PPTO_GENERADOR!A:A,"-",0)</f>
        <v>8.0299999999999994</v>
      </c>
    </row>
    <row r="1076" spans="1:18" ht="14.25" customHeight="1" x14ac:dyDescent="0.35">
      <c r="A1076" s="38" t="s">
        <v>160</v>
      </c>
      <c r="B1076" s="38" t="s">
        <v>2774</v>
      </c>
      <c r="C1076" s="38" t="s">
        <v>2775</v>
      </c>
      <c r="D1076" s="38" t="s">
        <v>588</v>
      </c>
      <c r="E1076" s="44" t="str">
        <f>IFERROR(VLOOKUP(D1076,MATERIALES!A:B,2,FALSE()),"?")</f>
        <v>ARENA LAVADA</v>
      </c>
      <c r="F1076" s="44" t="str">
        <f>IFERROR(VLOOKUP(D1076,MATERIALES!A:C,3,FALSE()),"?")</f>
        <v>m3</v>
      </c>
      <c r="G1076" s="45">
        <v>5.9499999999999997E-2</v>
      </c>
      <c r="H1076" s="46">
        <v>0.1</v>
      </c>
      <c r="I1076" s="47">
        <f>IFERROR(VLOOKUP(D1076,MATERIALES!A:D,4,FALSE()),0)</f>
        <v>32399.77</v>
      </c>
      <c r="J1076" s="42">
        <f>G1076*I1076*(1+H1076)</f>
        <v>2120.5649465000001</v>
      </c>
      <c r="K1076" s="15" t="str">
        <f t="shared" si="118"/>
        <v>PTO-0803|MAT</v>
      </c>
      <c r="L1076" s="15">
        <f>COUNTIFS($K$2:K1076,K1076)</f>
        <v>2</v>
      </c>
      <c r="M1076" s="15" t="str">
        <f t="shared" si="119"/>
        <v>PTO-0803|MAT|2</v>
      </c>
      <c r="N1076" s="47">
        <f>IFERROR(VLOOKUP(A1076,PARTIDAS!A:F,6,FALSE()),0)</f>
        <v>35</v>
      </c>
      <c r="O1076" s="247">
        <f t="shared" si="120"/>
        <v>5.9499999999999997E-2</v>
      </c>
      <c r="P1076" s="247">
        <f>+_xlfn.XLOOKUP(A1076,PPTO_GENERADOR!Q:Q,PPTO_GENERADOR!E:E,"-",0)</f>
        <v>425</v>
      </c>
      <c r="Q1076" s="247">
        <f t="shared" si="121"/>
        <v>25.287499999999998</v>
      </c>
      <c r="R1076" s="259">
        <f>+_xlfn.XLOOKUP(A1076,PPTO_GENERADOR!$Q:$Q,PPTO_GENERADOR!A:A,"-",0)</f>
        <v>8.0299999999999994</v>
      </c>
    </row>
    <row r="1077" spans="1:18" ht="14.25" customHeight="1" x14ac:dyDescent="0.35">
      <c r="A1077" s="38" t="s">
        <v>160</v>
      </c>
      <c r="B1077" s="38" t="s">
        <v>2774</v>
      </c>
      <c r="C1077" s="38" t="s">
        <v>2775</v>
      </c>
      <c r="D1077" s="38" t="s">
        <v>599</v>
      </c>
      <c r="E1077" s="44" t="str">
        <f>IFERROR(VLOOKUP(D1077,MATERIALES!A:B,2,FALSE()),"?")</f>
        <v>Cemento Portland x 50kg</v>
      </c>
      <c r="F1077" s="44" t="str">
        <f>IFERROR(VLOOKUP(D1077,MATERIALES!A:C,3,FALSE()),"?")</f>
        <v>Bol</v>
      </c>
      <c r="G1077" s="45">
        <v>0.42</v>
      </c>
      <c r="H1077" s="46">
        <v>0.1</v>
      </c>
      <c r="I1077" s="47">
        <f>IFERROR(VLOOKUP(D1077,MATERIALES!A:D,4,FALSE()),0)</f>
        <v>7809.48</v>
      </c>
      <c r="J1077" s="42">
        <f>G1077*I1077*(1+H1077)</f>
        <v>3607.9797599999997</v>
      </c>
      <c r="K1077" s="15" t="str">
        <f t="shared" si="118"/>
        <v>PTO-0803|MAT</v>
      </c>
      <c r="L1077" s="15">
        <f>COUNTIFS($K$2:K1077,K1077)</f>
        <v>3</v>
      </c>
      <c r="M1077" s="15" t="str">
        <f t="shared" si="119"/>
        <v>PTO-0803|MAT|3</v>
      </c>
      <c r="N1077" s="47">
        <f>IFERROR(VLOOKUP(A1077,PARTIDAS!A:F,6,FALSE()),0)</f>
        <v>35</v>
      </c>
      <c r="O1077" s="247">
        <f t="shared" si="120"/>
        <v>0.42</v>
      </c>
      <c r="P1077" s="247">
        <f>+_xlfn.XLOOKUP(A1077,PPTO_GENERADOR!Q:Q,PPTO_GENERADOR!E:E,"-",0)</f>
        <v>425</v>
      </c>
      <c r="Q1077" s="247">
        <f t="shared" si="121"/>
        <v>178.5</v>
      </c>
      <c r="R1077" s="259">
        <f>+_xlfn.XLOOKUP(A1077,PPTO_GENERADOR!$Q:$Q,PPTO_GENERADOR!A:A,"-",0)</f>
        <v>8.0299999999999994</v>
      </c>
    </row>
    <row r="1078" spans="1:18" ht="14.25" customHeight="1" x14ac:dyDescent="0.35">
      <c r="A1078" s="38" t="s">
        <v>160</v>
      </c>
      <c r="B1078" s="38" t="s">
        <v>2774</v>
      </c>
      <c r="C1078" s="38" t="s">
        <v>2775</v>
      </c>
      <c r="D1078" s="38" t="s">
        <v>604</v>
      </c>
      <c r="E1078" s="44" t="str">
        <f>IFERROR(VLOOKUP(D1078,MATERIALES!A:B,2,FALSE()),"?")</f>
        <v>Cal Comun x 25kg</v>
      </c>
      <c r="F1078" s="44" t="str">
        <f>IFERROR(VLOOKUP(D1078,MATERIALES!A:C,3,FALSE()),"?")</f>
        <v>bol</v>
      </c>
      <c r="G1078" s="45">
        <v>0.14000000000000001</v>
      </c>
      <c r="H1078" s="46">
        <v>0.1</v>
      </c>
      <c r="I1078" s="47">
        <f>IFERROR(VLOOKUP(D1078,MATERIALES!A:D,4,FALSE()),0)</f>
        <v>3837.96</v>
      </c>
      <c r="J1078" s="42">
        <f>G1078*I1078*(1+H1078)</f>
        <v>591.04584000000011</v>
      </c>
      <c r="K1078" s="15" t="str">
        <f t="shared" si="118"/>
        <v>PTO-0803|MAT</v>
      </c>
      <c r="L1078" s="15">
        <f>COUNTIFS($K$2:K1078,K1078)</f>
        <v>4</v>
      </c>
      <c r="M1078" s="15" t="str">
        <f t="shared" si="119"/>
        <v>PTO-0803|MAT|4</v>
      </c>
      <c r="N1078" s="47">
        <f>IFERROR(VLOOKUP(A1078,PARTIDAS!A:F,6,FALSE()),0)</f>
        <v>35</v>
      </c>
      <c r="O1078" s="247">
        <f t="shared" si="120"/>
        <v>0.14000000000000001</v>
      </c>
      <c r="P1078" s="247">
        <f>+_xlfn.XLOOKUP(A1078,PPTO_GENERADOR!Q:Q,PPTO_GENERADOR!E:E,"-",0)</f>
        <v>425</v>
      </c>
      <c r="Q1078" s="247">
        <f t="shared" si="121"/>
        <v>59.500000000000007</v>
      </c>
      <c r="R1078" s="259">
        <f>+_xlfn.XLOOKUP(A1078,PPTO_GENERADOR!$Q:$Q,PPTO_GENERADOR!A:A,"-",0)</f>
        <v>8.0299999999999994</v>
      </c>
    </row>
    <row r="1079" spans="1:18" ht="14.25" customHeight="1" x14ac:dyDescent="0.35">
      <c r="A1079" s="38" t="s">
        <v>160</v>
      </c>
      <c r="B1079" s="38" t="s">
        <v>2776</v>
      </c>
      <c r="C1079" s="38" t="s">
        <v>2777</v>
      </c>
      <c r="D1079" s="237" t="s">
        <v>1577</v>
      </c>
      <c r="E1079" s="44" t="str">
        <f>IFERROR(VLOOKUP(D1079,MANO_DE_OBRA!A:B,2,FALSE()),"?")</f>
        <v>AYUDANTE</v>
      </c>
      <c r="F1079" s="44" t="s">
        <v>2778</v>
      </c>
      <c r="G1079" s="45">
        <v>3</v>
      </c>
      <c r="H1079" s="46">
        <v>0</v>
      </c>
      <c r="I1079" s="47">
        <f>IFERROR(VLOOKUP(D1079,MANO_DE_OBRA!A:C,3,FALSE()),0)</f>
        <v>60860.580776572002</v>
      </c>
      <c r="J1079" s="42">
        <f>G1079*I1079</f>
        <v>182581.74232971601</v>
      </c>
      <c r="K1079" s="15" t="str">
        <f t="shared" si="118"/>
        <v>PTO-0803|MO</v>
      </c>
      <c r="L1079" s="15">
        <f>COUNTIFS($K$2:K1079,K1079)</f>
        <v>1</v>
      </c>
      <c r="M1079" s="15" t="str">
        <f t="shared" si="119"/>
        <v>PTO-0803|MO|1</v>
      </c>
      <c r="N1079" s="47">
        <f>IFERROR(VLOOKUP(A1079,PARTIDAS!A:F,6,FALSE()),0)</f>
        <v>35</v>
      </c>
      <c r="O1079" s="247">
        <f t="shared" si="120"/>
        <v>8.5714285714285715E-2</v>
      </c>
      <c r="P1079" s="247">
        <f>+_xlfn.XLOOKUP(A1079,PPTO_GENERADOR!Q:Q,PPTO_GENERADOR!E:E,"-",0)</f>
        <v>425</v>
      </c>
      <c r="Q1079" s="247">
        <f t="shared" si="121"/>
        <v>36.428571428571431</v>
      </c>
      <c r="R1079" s="259">
        <f>+_xlfn.XLOOKUP(A1079,PPTO_GENERADOR!$Q:$Q,PPTO_GENERADOR!A:A,"-",0)</f>
        <v>8.0299999999999994</v>
      </c>
    </row>
    <row r="1080" spans="1:18" ht="14.25" customHeight="1" x14ac:dyDescent="0.35">
      <c r="A1080" s="38" t="s">
        <v>160</v>
      </c>
      <c r="B1080" s="38" t="s">
        <v>2776</v>
      </c>
      <c r="C1080" s="38" t="s">
        <v>2777</v>
      </c>
      <c r="D1080" s="237" t="s">
        <v>1568</v>
      </c>
      <c r="E1080" s="44" t="str">
        <f>IFERROR(VLOOKUP(D1080,MANO_DE_OBRA!A:B,2,FALSE()),"?")</f>
        <v>ESPECIALIZADO</v>
      </c>
      <c r="F1080" s="44" t="s">
        <v>2778</v>
      </c>
      <c r="G1080" s="45">
        <v>2</v>
      </c>
      <c r="H1080" s="46">
        <v>0</v>
      </c>
      <c r="I1080" s="47">
        <f>IFERROR(VLOOKUP(D1080,MANO_DE_OBRA!A:C,3,FALSE()),0)</f>
        <v>85927.097156571996</v>
      </c>
      <c r="J1080" s="42">
        <f>G1080*I1080</f>
        <v>171854.19431314399</v>
      </c>
      <c r="K1080" s="15" t="str">
        <f t="shared" si="118"/>
        <v>PTO-0803|MO</v>
      </c>
      <c r="L1080" s="15">
        <f>COUNTIFS($K$2:K1080,K1080)</f>
        <v>2</v>
      </c>
      <c r="M1080" s="15" t="str">
        <f t="shared" si="119"/>
        <v>PTO-0803|MO|2</v>
      </c>
      <c r="N1080" s="47">
        <f>IFERROR(VLOOKUP(A1080,PARTIDAS!A:F,6,FALSE()),0)</f>
        <v>35</v>
      </c>
      <c r="O1080" s="247">
        <f t="shared" si="120"/>
        <v>5.7142857142857141E-2</v>
      </c>
      <c r="P1080" s="247">
        <f>+_xlfn.XLOOKUP(A1080,PPTO_GENERADOR!Q:Q,PPTO_GENERADOR!E:E,"-",0)</f>
        <v>425</v>
      </c>
      <c r="Q1080" s="247">
        <f t="shared" si="121"/>
        <v>24.285714285714285</v>
      </c>
      <c r="R1080" s="259">
        <f>+_xlfn.XLOOKUP(A1080,PPTO_GENERADOR!$Q:$Q,PPTO_GENERADOR!A:A,"-",0)</f>
        <v>8.0299999999999994</v>
      </c>
    </row>
    <row r="1081" spans="1:18" ht="14.25" customHeight="1" x14ac:dyDescent="0.35">
      <c r="A1081" s="38" t="s">
        <v>162</v>
      </c>
      <c r="B1081" s="38" t="s">
        <v>2773</v>
      </c>
      <c r="C1081" s="38"/>
      <c r="D1081" s="38" t="s">
        <v>1827</v>
      </c>
      <c r="E1081" s="44" t="str">
        <f>IFERROR(VLOOKUP(D1081,EQUIPOS!A:B,2,FALSE()),"?")</f>
        <v>Herramientas menores y consumibles - Contrapiso alivianado en azoteas (RDC), e: 15 cm</v>
      </c>
      <c r="F1081" s="44"/>
      <c r="G1081" s="45">
        <v>1</v>
      </c>
      <c r="H1081" s="46">
        <v>0</v>
      </c>
      <c r="I1081" s="47">
        <f>IFERROR(VLOOKUP(D1081,EQUIPOS!A:F,6,FALSE()),0)</f>
        <v>447.47765896838598</v>
      </c>
      <c r="J1081" s="42">
        <f>G1081*I1081</f>
        <v>447.47765896838598</v>
      </c>
      <c r="K1081" s="15" t="str">
        <f t="shared" si="118"/>
        <v>PTO-0804|EQ</v>
      </c>
      <c r="L1081" s="15">
        <f>COUNTIFS($K$2:K1081,K1081)</f>
        <v>1</v>
      </c>
      <c r="M1081" s="15" t="str">
        <f t="shared" si="119"/>
        <v>PTO-0804|EQ|1</v>
      </c>
      <c r="N1081" s="47">
        <f>IFERROR(VLOOKUP(A1081,PARTIDAS!A:F,6,FALSE()),0)</f>
        <v>1</v>
      </c>
      <c r="O1081" s="247">
        <f t="shared" si="120"/>
        <v>1</v>
      </c>
      <c r="P1081" s="247">
        <f>+_xlfn.XLOOKUP(A1081,PPTO_GENERADOR!Q:Q,PPTO_GENERADOR!E:E,"-",0)</f>
        <v>200</v>
      </c>
      <c r="Q1081" s="247">
        <f t="shared" si="121"/>
        <v>200</v>
      </c>
      <c r="R1081" s="259">
        <f>+_xlfn.XLOOKUP(A1081,PPTO_GENERADOR!$Q:$Q,PPTO_GENERADOR!A:A,"-",0)</f>
        <v>8.0399999999999991</v>
      </c>
    </row>
    <row r="1082" spans="1:18" ht="14.25" customHeight="1" x14ac:dyDescent="0.35">
      <c r="A1082" s="38" t="s">
        <v>162</v>
      </c>
      <c r="B1082" s="38" t="s">
        <v>2774</v>
      </c>
      <c r="C1082" s="38" t="s">
        <v>2779</v>
      </c>
      <c r="D1082" s="38" t="s">
        <v>1214</v>
      </c>
      <c r="E1082" s="44" t="str">
        <f>IFERROR(VLOOKUP(D1082,MATERIALES!A:B,2,FALSE()),"?")</f>
        <v>Tomado de puntos y niveles</v>
      </c>
      <c r="F1082" s="44" t="str">
        <f>IFERROR(VLOOKUP(D1082,MATERIALES!A:C,3,FALSE()),"?")</f>
        <v>d</v>
      </c>
      <c r="G1082" s="45">
        <v>1.4999999999999999E-2</v>
      </c>
      <c r="H1082" s="46">
        <v>0</v>
      </c>
      <c r="I1082" s="47">
        <f>IFERROR(VLOOKUP(D1082,MATERIALES!A:D,4,FALSE()),0)</f>
        <v>20000</v>
      </c>
      <c r="J1082" s="42">
        <f>G1082*I1082*(1+H1082)</f>
        <v>300</v>
      </c>
      <c r="K1082" s="15" t="str">
        <f t="shared" si="118"/>
        <v>PTO-0804|MAT</v>
      </c>
      <c r="L1082" s="15">
        <f>COUNTIFS($K$2:K1082,K1082)</f>
        <v>1</v>
      </c>
      <c r="M1082" s="15" t="str">
        <f t="shared" si="119"/>
        <v>PTO-0804|MAT|1</v>
      </c>
      <c r="N1082" s="47">
        <f>IFERROR(VLOOKUP(A1082,PARTIDAS!A:F,6,FALSE()),0)</f>
        <v>1</v>
      </c>
      <c r="O1082" s="247">
        <f t="shared" si="120"/>
        <v>1.4999999999999999E-2</v>
      </c>
      <c r="P1082" s="247">
        <f>+_xlfn.XLOOKUP(A1082,PPTO_GENERADOR!Q:Q,PPTO_GENERADOR!E:E,"-",0)</f>
        <v>200</v>
      </c>
      <c r="Q1082" s="247">
        <f t="shared" si="121"/>
        <v>3</v>
      </c>
      <c r="R1082" s="259">
        <f>+_xlfn.XLOOKUP(A1082,PPTO_GENERADOR!$Q:$Q,PPTO_GENERADOR!A:A,"-",0)</f>
        <v>8.0399999999999991</v>
      </c>
    </row>
    <row r="1083" spans="1:18" ht="14.25" customHeight="1" x14ac:dyDescent="0.35">
      <c r="A1083" s="38" t="s">
        <v>162</v>
      </c>
      <c r="B1083" s="38" t="s">
        <v>2774</v>
      </c>
      <c r="C1083" s="38" t="s">
        <v>2775</v>
      </c>
      <c r="D1083" s="38" t="s">
        <v>906</v>
      </c>
      <c r="E1083" s="44" t="str">
        <f>IFERROR(VLOOKUP(D1083,MATERIALES!A:B,2,FALSE()),"?")</f>
        <v>Bombeo</v>
      </c>
      <c r="F1083" s="44" t="str">
        <f>IFERROR(VLOOKUP(D1083,MATERIALES!A:C,3,FALSE()),"?")</f>
        <v>m3</v>
      </c>
      <c r="G1083" s="45">
        <v>0.16500000000000001</v>
      </c>
      <c r="H1083" s="46">
        <v>0</v>
      </c>
      <c r="I1083" s="47">
        <f>IFERROR(VLOOKUP(D1083,MATERIALES!A:D,4,FALSE()),0)</f>
        <v>5330</v>
      </c>
      <c r="J1083" s="42">
        <f>G1083*I1083*(1+H1083)</f>
        <v>879.45</v>
      </c>
      <c r="K1083" s="15" t="str">
        <f t="shared" si="118"/>
        <v>PTO-0804|MAT</v>
      </c>
      <c r="L1083" s="15">
        <f>COUNTIFS($K$2:K1083,K1083)</f>
        <v>2</v>
      </c>
      <c r="M1083" s="15" t="str">
        <f t="shared" si="119"/>
        <v>PTO-0804|MAT|2</v>
      </c>
      <c r="N1083" s="47">
        <f>IFERROR(VLOOKUP(A1083,PARTIDAS!A:F,6,FALSE()),0)</f>
        <v>1</v>
      </c>
      <c r="O1083" s="247">
        <f t="shared" si="120"/>
        <v>0.16500000000000001</v>
      </c>
      <c r="P1083" s="247">
        <f>+_xlfn.XLOOKUP(A1083,PPTO_GENERADOR!Q:Q,PPTO_GENERADOR!E:E,"-",0)</f>
        <v>200</v>
      </c>
      <c r="Q1083" s="247">
        <f t="shared" si="121"/>
        <v>33</v>
      </c>
      <c r="R1083" s="259">
        <f>+_xlfn.XLOOKUP(A1083,PPTO_GENERADOR!$Q:$Q,PPTO_GENERADOR!A:A,"-",0)</f>
        <v>8.0399999999999991</v>
      </c>
    </row>
    <row r="1084" spans="1:18" ht="14.25" customHeight="1" x14ac:dyDescent="0.35">
      <c r="A1084" s="38" t="s">
        <v>162</v>
      </c>
      <c r="B1084" s="38" t="s">
        <v>2774</v>
      </c>
      <c r="C1084" s="38" t="s">
        <v>2775</v>
      </c>
      <c r="D1084" s="38" t="s">
        <v>1209</v>
      </c>
      <c r="E1084" s="44" t="str">
        <f>IFERROR(VLOOKUP(D1084,MATERIALES!A:B,2,FALSE()),"?")</f>
        <v xml:space="preserve">Acarreo </v>
      </c>
      <c r="F1084" s="44" t="str">
        <f>IFERROR(VLOOKUP(D1084,MATERIALES!A:C,3,FALSE()),"?")</f>
        <v>gl</v>
      </c>
      <c r="G1084" s="45">
        <v>5.0000000000000001E-3</v>
      </c>
      <c r="H1084" s="46">
        <v>0</v>
      </c>
      <c r="I1084" s="47">
        <f>IFERROR(VLOOKUP(D1084,MATERIALES!A:D,4,FALSE()),0)</f>
        <v>533000</v>
      </c>
      <c r="J1084" s="42">
        <f>G1084*I1084*(1+H1084)</f>
        <v>2665</v>
      </c>
      <c r="K1084" s="15" t="str">
        <f t="shared" si="118"/>
        <v>PTO-0804|MAT</v>
      </c>
      <c r="L1084" s="15">
        <f>COUNTIFS($K$2:K1084,K1084)</f>
        <v>3</v>
      </c>
      <c r="M1084" s="15" t="str">
        <f t="shared" si="119"/>
        <v>PTO-0804|MAT|3</v>
      </c>
      <c r="N1084" s="47">
        <f>IFERROR(VLOOKUP(A1084,PARTIDAS!A:F,6,FALSE()),0)</f>
        <v>1</v>
      </c>
      <c r="O1084" s="247">
        <f t="shared" si="120"/>
        <v>5.0000000000000001E-3</v>
      </c>
      <c r="P1084" s="247">
        <f>+_xlfn.XLOOKUP(A1084,PPTO_GENERADOR!Q:Q,PPTO_GENERADOR!E:E,"-",0)</f>
        <v>200</v>
      </c>
      <c r="Q1084" s="247">
        <f t="shared" si="121"/>
        <v>1</v>
      </c>
      <c r="R1084" s="259">
        <f>+_xlfn.XLOOKUP(A1084,PPTO_GENERADOR!$Q:$Q,PPTO_GENERADOR!A:A,"-",0)</f>
        <v>8.0399999999999991</v>
      </c>
    </row>
    <row r="1085" spans="1:18" ht="14.25" customHeight="1" x14ac:dyDescent="0.35">
      <c r="A1085" s="38" t="s">
        <v>162</v>
      </c>
      <c r="B1085" s="38" t="s">
        <v>2774</v>
      </c>
      <c r="C1085" s="38" t="s">
        <v>2775</v>
      </c>
      <c r="D1085" s="38" t="s">
        <v>1217</v>
      </c>
      <c r="E1085" s="44" t="str">
        <f>IFERROR(VLOOKUP(D1085,MATERIALES!A:B,2,FALSE()),"?")</f>
        <v xml:space="preserve">RDC 350 </v>
      </c>
      <c r="F1085" s="44" t="str">
        <f>IFERROR(VLOOKUP(D1085,MATERIALES!A:C,3,FALSE()),"?")</f>
        <v>m3</v>
      </c>
      <c r="G1085" s="45">
        <v>0.16500000000000001</v>
      </c>
      <c r="H1085" s="46">
        <v>0</v>
      </c>
      <c r="I1085" s="47">
        <f>IFERROR(VLOOKUP(D1085,MATERIALES!A:D,4,FALSE()),0)</f>
        <v>125000</v>
      </c>
      <c r="J1085" s="42">
        <f>G1085*I1085*(1+H1085)</f>
        <v>20625</v>
      </c>
      <c r="K1085" s="15" t="str">
        <f t="shared" si="118"/>
        <v>PTO-0804|MAT</v>
      </c>
      <c r="L1085" s="15">
        <f>COUNTIFS($K$2:K1085,K1085)</f>
        <v>4</v>
      </c>
      <c r="M1085" s="15" t="str">
        <f t="shared" si="119"/>
        <v>PTO-0804|MAT|4</v>
      </c>
      <c r="N1085" s="47">
        <f>IFERROR(VLOOKUP(A1085,PARTIDAS!A:F,6,FALSE()),0)</f>
        <v>1</v>
      </c>
      <c r="O1085" s="247">
        <f t="shared" si="120"/>
        <v>0.16500000000000001</v>
      </c>
      <c r="P1085" s="247">
        <f>+_xlfn.XLOOKUP(A1085,PPTO_GENERADOR!Q:Q,PPTO_GENERADOR!E:E,"-",0)</f>
        <v>200</v>
      </c>
      <c r="Q1085" s="247">
        <f t="shared" si="121"/>
        <v>33</v>
      </c>
      <c r="R1085" s="259">
        <f>+_xlfn.XLOOKUP(A1085,PPTO_GENERADOR!$Q:$Q,PPTO_GENERADOR!A:A,"-",0)</f>
        <v>8.0399999999999991</v>
      </c>
    </row>
    <row r="1086" spans="1:18" ht="14.25" customHeight="1" x14ac:dyDescent="0.35">
      <c r="A1086" s="38" t="s">
        <v>162</v>
      </c>
      <c r="B1086" s="38" t="s">
        <v>2776</v>
      </c>
      <c r="C1086" s="38" t="s">
        <v>2777</v>
      </c>
      <c r="D1086" s="38" t="s">
        <v>1577</v>
      </c>
      <c r="E1086" s="44" t="str">
        <f>IFERROR(VLOOKUP(D1086,MANO_DE_OBRA!A:B,2,FALSE()),"?")</f>
        <v>AYUDANTE</v>
      </c>
      <c r="F1086" s="44" t="s">
        <v>2778</v>
      </c>
      <c r="G1086" s="45">
        <v>4.4999999999999998E-2</v>
      </c>
      <c r="H1086" s="46">
        <v>0</v>
      </c>
      <c r="I1086" s="47">
        <f>IFERROR(VLOOKUP(D1086,MANO_DE_OBRA!A:C,3,FALSE()),0)</f>
        <v>60860.580776572002</v>
      </c>
      <c r="J1086" s="42">
        <f>G1086*I1086</f>
        <v>2738.7261349457399</v>
      </c>
      <c r="K1086" s="15" t="str">
        <f t="shared" si="118"/>
        <v>PTO-0804|MO</v>
      </c>
      <c r="L1086" s="15">
        <f>COUNTIFS($K$2:K1086,K1086)</f>
        <v>1</v>
      </c>
      <c r="M1086" s="15" t="str">
        <f t="shared" si="119"/>
        <v>PTO-0804|MO|1</v>
      </c>
      <c r="N1086" s="47">
        <f>IFERROR(VLOOKUP(A1086,PARTIDAS!A:F,6,FALSE()),0)</f>
        <v>1</v>
      </c>
      <c r="O1086" s="247">
        <f t="shared" si="120"/>
        <v>4.4999999999999998E-2</v>
      </c>
      <c r="P1086" s="247">
        <f>+_xlfn.XLOOKUP(A1086,PPTO_GENERADOR!Q:Q,PPTO_GENERADOR!E:E,"-",0)</f>
        <v>200</v>
      </c>
      <c r="Q1086" s="247">
        <f t="shared" si="121"/>
        <v>9</v>
      </c>
      <c r="R1086" s="259">
        <f>+_xlfn.XLOOKUP(A1086,PPTO_GENERADOR!$Q:$Q,PPTO_GENERADOR!A:A,"-",0)</f>
        <v>8.0399999999999991</v>
      </c>
    </row>
    <row r="1087" spans="1:18" ht="14.25" customHeight="1" x14ac:dyDescent="0.35">
      <c r="A1087" s="38" t="s">
        <v>162</v>
      </c>
      <c r="B1087" s="38" t="s">
        <v>2776</v>
      </c>
      <c r="C1087" s="38" t="s">
        <v>2777</v>
      </c>
      <c r="D1087" s="237" t="s">
        <v>1568</v>
      </c>
      <c r="E1087" s="44" t="str">
        <f>IFERROR(VLOOKUP(D1087,MANO_DE_OBRA!A:B,2,FALSE()),"?")</f>
        <v>ESPECIALIZADO</v>
      </c>
      <c r="F1087" s="44" t="s">
        <v>2778</v>
      </c>
      <c r="G1087" s="45">
        <v>5.0000000000000001E-3</v>
      </c>
      <c r="H1087" s="46">
        <v>0</v>
      </c>
      <c r="I1087" s="47">
        <f>IFERROR(VLOOKUP(D1087,MANO_DE_OBRA!A:C,3,FALSE()),0)</f>
        <v>85927.097156571996</v>
      </c>
      <c r="J1087" s="42">
        <f>G1087*I1087</f>
        <v>429.63548578285997</v>
      </c>
      <c r="K1087" s="15" t="str">
        <f t="shared" si="118"/>
        <v>PTO-0804|MO</v>
      </c>
      <c r="L1087" s="15">
        <f>COUNTIFS($K$2:K1087,K1087)</f>
        <v>2</v>
      </c>
      <c r="M1087" s="15" t="str">
        <f t="shared" si="119"/>
        <v>PTO-0804|MO|2</v>
      </c>
      <c r="N1087" s="47">
        <f>IFERROR(VLOOKUP(A1087,PARTIDAS!A:F,6,FALSE()),0)</f>
        <v>1</v>
      </c>
      <c r="O1087" s="247">
        <f t="shared" si="120"/>
        <v>5.0000000000000001E-3</v>
      </c>
      <c r="P1087" s="247">
        <f>+_xlfn.XLOOKUP(A1087,PPTO_GENERADOR!Q:Q,PPTO_GENERADOR!E:E,"-",0)</f>
        <v>200</v>
      </c>
      <c r="Q1087" s="247">
        <f t="shared" si="121"/>
        <v>1</v>
      </c>
      <c r="R1087" s="259">
        <f>+_xlfn.XLOOKUP(A1087,PPTO_GENERADOR!$Q:$Q,PPTO_GENERADOR!A:A,"-",0)</f>
        <v>8.0399999999999991</v>
      </c>
    </row>
    <row r="1088" spans="1:18" ht="14.25" customHeight="1" x14ac:dyDescent="0.35">
      <c r="A1088" s="38" t="s">
        <v>162</v>
      </c>
      <c r="B1088" s="38" t="s">
        <v>2776</v>
      </c>
      <c r="C1088" s="38" t="s">
        <v>2777</v>
      </c>
      <c r="D1088" s="237" t="s">
        <v>1574</v>
      </c>
      <c r="E1088" s="44" t="str">
        <f>IFERROR(VLOOKUP(D1088,MANO_DE_OBRA!A:B,2,FALSE()),"?")</f>
        <v>MEDIO OFICIAL</v>
      </c>
      <c r="F1088" s="44" t="s">
        <v>2778</v>
      </c>
      <c r="G1088" s="45">
        <v>0.01</v>
      </c>
      <c r="H1088" s="46">
        <v>0</v>
      </c>
      <c r="I1088" s="47">
        <f>IFERROR(VLOOKUP(D1088,MANO_DE_OBRA!A:C,3,FALSE()),0)</f>
        <v>65493.071636572</v>
      </c>
      <c r="J1088" s="42">
        <f>G1088*I1088</f>
        <v>654.93071636572006</v>
      </c>
      <c r="K1088" s="15" t="str">
        <f t="shared" si="118"/>
        <v>PTO-0804|MO</v>
      </c>
      <c r="L1088" s="15">
        <f>COUNTIFS($K$2:K1088,K1088)</f>
        <v>3</v>
      </c>
      <c r="M1088" s="15" t="str">
        <f t="shared" si="119"/>
        <v>PTO-0804|MO|3</v>
      </c>
      <c r="N1088" s="47">
        <f>IFERROR(VLOOKUP(A1088,PARTIDAS!A:F,6,FALSE()),0)</f>
        <v>1</v>
      </c>
      <c r="O1088" s="247">
        <f t="shared" si="120"/>
        <v>0.01</v>
      </c>
      <c r="P1088" s="247">
        <f>+_xlfn.XLOOKUP(A1088,PPTO_GENERADOR!Q:Q,PPTO_GENERADOR!E:E,"-",0)</f>
        <v>200</v>
      </c>
      <c r="Q1088" s="247">
        <f t="shared" si="121"/>
        <v>2</v>
      </c>
      <c r="R1088" s="259">
        <f>+_xlfn.XLOOKUP(A1088,PPTO_GENERADOR!$Q:$Q,PPTO_GENERADOR!A:A,"-",0)</f>
        <v>8.0399999999999991</v>
      </c>
    </row>
    <row r="1089" spans="1:18" ht="14.25" customHeight="1" x14ac:dyDescent="0.35">
      <c r="A1089" s="38" t="s">
        <v>162</v>
      </c>
      <c r="B1089" s="38" t="s">
        <v>2776</v>
      </c>
      <c r="C1089" s="38" t="s">
        <v>2777</v>
      </c>
      <c r="D1089" s="237" t="s">
        <v>1571</v>
      </c>
      <c r="E1089" s="44" t="str">
        <f>IFERROR(VLOOKUP(D1089,MANO_DE_OBRA!A:B,2,FALSE()),"?")</f>
        <v>OFICIAL</v>
      </c>
      <c r="F1089" s="44" t="s">
        <v>2778</v>
      </c>
      <c r="G1089" s="45">
        <v>0.02</v>
      </c>
      <c r="H1089" s="46">
        <v>0</v>
      </c>
      <c r="I1089" s="47">
        <f>IFERROR(VLOOKUP(D1089,MANO_DE_OBRA!A:C,3,FALSE()),0)</f>
        <v>76955.079706571996</v>
      </c>
      <c r="J1089" s="42">
        <f>G1089*I1089</f>
        <v>1539.1015941314399</v>
      </c>
      <c r="K1089" s="15" t="str">
        <f t="shared" si="118"/>
        <v>PTO-0804|MO</v>
      </c>
      <c r="L1089" s="15">
        <f>COUNTIFS($K$2:K1089,K1089)</f>
        <v>4</v>
      </c>
      <c r="M1089" s="15" t="str">
        <f t="shared" si="119"/>
        <v>PTO-0804|MO|4</v>
      </c>
      <c r="N1089" s="47">
        <f>IFERROR(VLOOKUP(A1089,PARTIDAS!A:F,6,FALSE()),0)</f>
        <v>1</v>
      </c>
      <c r="O1089" s="247">
        <f t="shared" si="120"/>
        <v>0.02</v>
      </c>
      <c r="P1089" s="247">
        <f>+_xlfn.XLOOKUP(A1089,PPTO_GENERADOR!Q:Q,PPTO_GENERADOR!E:E,"-",0)</f>
        <v>200</v>
      </c>
      <c r="Q1089" s="247">
        <f t="shared" si="121"/>
        <v>4</v>
      </c>
      <c r="R1089" s="259">
        <f>+_xlfn.XLOOKUP(A1089,PPTO_GENERADOR!$Q:$Q,PPTO_GENERADOR!A:A,"-",0)</f>
        <v>8.0399999999999991</v>
      </c>
    </row>
    <row r="1090" spans="1:18" ht="14.25" customHeight="1" x14ac:dyDescent="0.35">
      <c r="A1090" s="38" t="s">
        <v>164</v>
      </c>
      <c r="B1090" s="38" t="s">
        <v>2773</v>
      </c>
      <c r="C1090" s="38"/>
      <c r="D1090" s="38" t="s">
        <v>1830</v>
      </c>
      <c r="E1090" s="44" t="str">
        <f>IFERROR(VLOOKUP(D1090,EQUIPOS!A:B,2,FALSE()),"?")</f>
        <v>Herramientas menores y consumibles - Contrapiso con piedra binder e: 4/5 cm - En locale</v>
      </c>
      <c r="F1090" s="44"/>
      <c r="G1090" s="45">
        <v>1</v>
      </c>
      <c r="H1090" s="46">
        <v>0</v>
      </c>
      <c r="I1090" s="47">
        <f>IFERROR(VLOOKUP(D1090,EQUIPOS!A:F,6,FALSE()),0)</f>
        <v>349.45779149966802</v>
      </c>
      <c r="J1090" s="42">
        <f>G1090*I1090</f>
        <v>349.45779149966802</v>
      </c>
      <c r="K1090" s="15" t="str">
        <f t="shared" ref="K1090:K1153" si="124">A1090&amp;"|"&amp;B1090</f>
        <v>PTO-0805|EQ</v>
      </c>
      <c r="L1090" s="15">
        <f>COUNTIFS($K$2:K1090,K1090)</f>
        <v>1</v>
      </c>
      <c r="M1090" s="15" t="str">
        <f t="shared" ref="M1090:M1153" si="125">K1090&amp;"|"&amp;L1090</f>
        <v>PTO-0805|EQ|1</v>
      </c>
      <c r="N1090" s="47">
        <f>IFERROR(VLOOKUP(A1090,PARTIDAS!A:F,6,FALSE()),0)</f>
        <v>1</v>
      </c>
      <c r="O1090" s="247">
        <f t="shared" si="120"/>
        <v>1</v>
      </c>
      <c r="P1090" s="247">
        <f>+_xlfn.XLOOKUP(A1090,PPTO_GENERADOR!Q:Q,PPTO_GENERADOR!E:E,"-",0)</f>
        <v>77</v>
      </c>
      <c r="Q1090" s="247">
        <f t="shared" si="121"/>
        <v>77</v>
      </c>
      <c r="R1090" s="259">
        <f>+_xlfn.XLOOKUP(A1090,PPTO_GENERADOR!$Q:$Q,PPTO_GENERADOR!A:A,"-",0)</f>
        <v>8.0500000000000007</v>
      </c>
    </row>
    <row r="1091" spans="1:18" ht="14.25" customHeight="1" x14ac:dyDescent="0.35">
      <c r="A1091" s="38" t="s">
        <v>164</v>
      </c>
      <c r="B1091" s="38" t="s">
        <v>2774</v>
      </c>
      <c r="C1091" s="38" t="s">
        <v>2779</v>
      </c>
      <c r="D1091" s="38" t="s">
        <v>1111</v>
      </c>
      <c r="E1091" s="44" t="str">
        <f>IFERROR(VLOOKUP(D1091,MATERIALES!A:B,2,FALSE()),"?")</f>
        <v>CEMENTO AVELLANEDA x 50 KG</v>
      </c>
      <c r="F1091" s="44" t="str">
        <f>IFERROR(VLOOKUP(D1091,MATERIALES!A:C,3,FALSE()),"?")</f>
        <v>bol</v>
      </c>
      <c r="G1091" s="45">
        <v>0.45454545454545497</v>
      </c>
      <c r="H1091" s="46">
        <v>0</v>
      </c>
      <c r="I1091" s="47">
        <f>IFERROR(VLOOKUP(D1091,MATERIALES!A:D,4,FALSE()),0)</f>
        <v>7809.48</v>
      </c>
      <c r="J1091" s="42">
        <f>G1091*I1091*(1+H1091)</f>
        <v>3549.7636363636393</v>
      </c>
      <c r="K1091" s="15" t="str">
        <f t="shared" si="124"/>
        <v>PTO-0805|MAT</v>
      </c>
      <c r="L1091" s="15">
        <f>COUNTIFS($K$2:K1091,K1091)</f>
        <v>1</v>
      </c>
      <c r="M1091" s="15" t="str">
        <f t="shared" si="125"/>
        <v>PTO-0805|MAT|1</v>
      </c>
      <c r="N1091" s="47">
        <f>IFERROR(VLOOKUP(A1091,PARTIDAS!A:F,6,FALSE()),0)</f>
        <v>1</v>
      </c>
      <c r="O1091" s="247">
        <f t="shared" ref="O1091:O1154" si="126">+IF(C1091="ALB",G1091/N1091,G1091)</f>
        <v>0.45454545454545497</v>
      </c>
      <c r="P1091" s="247">
        <f>+_xlfn.XLOOKUP(A1091,PPTO_GENERADOR!Q:Q,PPTO_GENERADOR!E:E,"-",0)</f>
        <v>77</v>
      </c>
      <c r="Q1091" s="247">
        <f t="shared" ref="Q1091:Q1154" si="127">IFERROR(P1091*O1091,0)</f>
        <v>35.000000000000036</v>
      </c>
      <c r="R1091" s="259">
        <f>+_xlfn.XLOOKUP(A1091,PPTO_GENERADOR!$Q:$Q,PPTO_GENERADOR!A:A,"-",0)</f>
        <v>8.0500000000000007</v>
      </c>
    </row>
    <row r="1092" spans="1:18" ht="14.25" customHeight="1" x14ac:dyDescent="0.35">
      <c r="A1092" s="38" t="s">
        <v>164</v>
      </c>
      <c r="B1092" s="38" t="s">
        <v>2774</v>
      </c>
      <c r="C1092" s="38" t="s">
        <v>2779</v>
      </c>
      <c r="D1092" s="38" t="s">
        <v>1219</v>
      </c>
      <c r="E1092" s="44" t="str">
        <f>IFERROR(VLOOKUP(D1092,MATERIALES!A:B,2,FALSE()),"?")</f>
        <v>BOLSON DE BINDER 6/12</v>
      </c>
      <c r="F1092" s="44" t="str">
        <f>IFERROR(VLOOKUP(D1092,MATERIALES!A:C,3,FALSE()),"?")</f>
        <v>gl</v>
      </c>
      <c r="G1092" s="45">
        <v>5.1948051948052E-2</v>
      </c>
      <c r="H1092" s="46">
        <v>0</v>
      </c>
      <c r="I1092" s="47">
        <f>IFERROR(VLOOKUP(D1092,MATERIALES!A:D,4,FALSE()),0)</f>
        <v>57771</v>
      </c>
      <c r="J1092" s="42">
        <f>G1092*I1092*(1+H1092)</f>
        <v>3001.0909090909122</v>
      </c>
      <c r="K1092" s="15" t="str">
        <f t="shared" si="124"/>
        <v>PTO-0805|MAT</v>
      </c>
      <c r="L1092" s="15">
        <f>COUNTIFS($K$2:K1092,K1092)</f>
        <v>2</v>
      </c>
      <c r="M1092" s="15" t="str">
        <f t="shared" si="125"/>
        <v>PTO-0805|MAT|2</v>
      </c>
      <c r="N1092" s="47">
        <f>IFERROR(VLOOKUP(A1092,PARTIDAS!A:F,6,FALSE()),0)</f>
        <v>1</v>
      </c>
      <c r="O1092" s="247">
        <f t="shared" si="126"/>
        <v>5.1948051948052E-2</v>
      </c>
      <c r="P1092" s="247">
        <f>+_xlfn.XLOOKUP(A1092,PPTO_GENERADOR!Q:Q,PPTO_GENERADOR!E:E,"-",0)</f>
        <v>77</v>
      </c>
      <c r="Q1092" s="247">
        <f t="shared" si="127"/>
        <v>4.0000000000000044</v>
      </c>
      <c r="R1092" s="259">
        <f>+_xlfn.XLOOKUP(A1092,PPTO_GENERADOR!$Q:$Q,PPTO_GENERADOR!A:A,"-",0)</f>
        <v>8.0500000000000007</v>
      </c>
    </row>
    <row r="1093" spans="1:18" ht="14.25" customHeight="1" x14ac:dyDescent="0.35">
      <c r="A1093" s="38" t="s">
        <v>164</v>
      </c>
      <c r="B1093" s="38" t="s">
        <v>2774</v>
      </c>
      <c r="C1093" s="38" t="s">
        <v>2779</v>
      </c>
      <c r="D1093" s="38" t="s">
        <v>1222</v>
      </c>
      <c r="E1093" s="44" t="str">
        <f>IFERROR(VLOOKUP(D1093,MATERIALES!A:B,2,FALSE()),"?")</f>
        <v>BOLSON DE ARENA</v>
      </c>
      <c r="F1093" s="44" t="str">
        <f>IFERROR(VLOOKUP(D1093,MATERIALES!A:C,3,FALSE()),"?")</f>
        <v>m3</v>
      </c>
      <c r="G1093" s="45">
        <v>5.1948051948052E-2</v>
      </c>
      <c r="H1093" s="46">
        <v>0</v>
      </c>
      <c r="I1093" s="47">
        <f>IFERROR(VLOOKUP(D1093,MATERIALES!A:D,4,FALSE()),0)</f>
        <v>32399.77</v>
      </c>
      <c r="J1093" s="42">
        <f>G1093*I1093*(1+H1093)</f>
        <v>1683.1049350649369</v>
      </c>
      <c r="K1093" s="15" t="str">
        <f t="shared" si="124"/>
        <v>PTO-0805|MAT</v>
      </c>
      <c r="L1093" s="15">
        <f>COUNTIFS($K$2:K1093,K1093)</f>
        <v>3</v>
      </c>
      <c r="M1093" s="15" t="str">
        <f t="shared" si="125"/>
        <v>PTO-0805|MAT|3</v>
      </c>
      <c r="N1093" s="47">
        <f>IFERROR(VLOOKUP(A1093,PARTIDAS!A:F,6,FALSE()),0)</f>
        <v>1</v>
      </c>
      <c r="O1093" s="247">
        <f t="shared" si="126"/>
        <v>5.1948051948052E-2</v>
      </c>
      <c r="P1093" s="247">
        <f>+_xlfn.XLOOKUP(A1093,PPTO_GENERADOR!Q:Q,PPTO_GENERADOR!E:E,"-",0)</f>
        <v>77</v>
      </c>
      <c r="Q1093" s="247">
        <f t="shared" si="127"/>
        <v>4.0000000000000044</v>
      </c>
      <c r="R1093" s="259">
        <f>+_xlfn.XLOOKUP(A1093,PPTO_GENERADOR!$Q:$Q,PPTO_GENERADOR!A:A,"-",0)</f>
        <v>8.0500000000000007</v>
      </c>
    </row>
    <row r="1094" spans="1:18" ht="14.25" customHeight="1" x14ac:dyDescent="0.35">
      <c r="A1094" s="38" t="s">
        <v>164</v>
      </c>
      <c r="B1094" s="38" t="s">
        <v>2776</v>
      </c>
      <c r="C1094" s="38" t="s">
        <v>2777</v>
      </c>
      <c r="D1094" s="38" t="s">
        <v>1577</v>
      </c>
      <c r="E1094" s="44" t="str">
        <f>IFERROR(VLOOKUP(D1094,MANO_DE_OBRA!A:B,2,FALSE()),"?")</f>
        <v>AYUDANTE</v>
      </c>
      <c r="F1094" s="44" t="s">
        <v>2778</v>
      </c>
      <c r="G1094" s="45">
        <v>0.18181818181818199</v>
      </c>
      <c r="H1094" s="46">
        <v>0</v>
      </c>
      <c r="I1094" s="47">
        <f>IFERROR(VLOOKUP(D1094,MANO_DE_OBRA!A:C,3,FALSE()),0)</f>
        <v>60860.580776572002</v>
      </c>
      <c r="J1094" s="42">
        <f>G1094*I1094</f>
        <v>11065.560141194919</v>
      </c>
      <c r="K1094" s="15" t="str">
        <f t="shared" si="124"/>
        <v>PTO-0805|MO</v>
      </c>
      <c r="L1094" s="15">
        <f>COUNTIFS($K$2:K1094,K1094)</f>
        <v>1</v>
      </c>
      <c r="M1094" s="15" t="str">
        <f t="shared" si="125"/>
        <v>PTO-0805|MO|1</v>
      </c>
      <c r="N1094" s="47">
        <f>IFERROR(VLOOKUP(A1094,PARTIDAS!A:F,6,FALSE()),0)</f>
        <v>1</v>
      </c>
      <c r="O1094" s="247">
        <f t="shared" si="126"/>
        <v>0.18181818181818199</v>
      </c>
      <c r="P1094" s="247">
        <f>+_xlfn.XLOOKUP(A1094,PPTO_GENERADOR!Q:Q,PPTO_GENERADOR!E:E,"-",0)</f>
        <v>77</v>
      </c>
      <c r="Q1094" s="247">
        <f t="shared" si="127"/>
        <v>14.000000000000012</v>
      </c>
      <c r="R1094" s="259">
        <f>+_xlfn.XLOOKUP(A1094,PPTO_GENERADOR!$Q:$Q,PPTO_GENERADOR!A:A,"-",0)</f>
        <v>8.0500000000000007</v>
      </c>
    </row>
    <row r="1095" spans="1:18" ht="14.25" customHeight="1" x14ac:dyDescent="0.35">
      <c r="A1095" s="38" t="s">
        <v>164</v>
      </c>
      <c r="B1095" s="38" t="s">
        <v>2776</v>
      </c>
      <c r="C1095" s="38" t="s">
        <v>2777</v>
      </c>
      <c r="D1095" s="237" t="s">
        <v>1571</v>
      </c>
      <c r="E1095" s="44" t="str">
        <f>IFERROR(VLOOKUP(D1095,MANO_DE_OBRA!A:B,2,FALSE()),"?")</f>
        <v>OFICIAL</v>
      </c>
      <c r="F1095" s="44" t="s">
        <v>2778</v>
      </c>
      <c r="G1095" s="45">
        <v>5.1948051948052E-2</v>
      </c>
      <c r="H1095" s="46">
        <v>0</v>
      </c>
      <c r="I1095" s="47">
        <f>IFERROR(VLOOKUP(D1095,MANO_DE_OBRA!A:C,3,FALSE()),0)</f>
        <v>76955.079706571996</v>
      </c>
      <c r="J1095" s="42">
        <f>G1095*I1095</f>
        <v>3997.6664782634844</v>
      </c>
      <c r="K1095" s="15" t="str">
        <f t="shared" si="124"/>
        <v>PTO-0805|MO</v>
      </c>
      <c r="L1095" s="15">
        <f>COUNTIFS($K$2:K1095,K1095)</f>
        <v>2</v>
      </c>
      <c r="M1095" s="15" t="str">
        <f t="shared" si="125"/>
        <v>PTO-0805|MO|2</v>
      </c>
      <c r="N1095" s="47">
        <f>IFERROR(VLOOKUP(A1095,PARTIDAS!A:F,6,FALSE()),0)</f>
        <v>1</v>
      </c>
      <c r="O1095" s="247">
        <f t="shared" si="126"/>
        <v>5.1948051948052E-2</v>
      </c>
      <c r="P1095" s="247">
        <f>+_xlfn.XLOOKUP(A1095,PPTO_GENERADOR!Q:Q,PPTO_GENERADOR!E:E,"-",0)</f>
        <v>77</v>
      </c>
      <c r="Q1095" s="247">
        <f t="shared" si="127"/>
        <v>4.0000000000000044</v>
      </c>
      <c r="R1095" s="259">
        <f>+_xlfn.XLOOKUP(A1095,PPTO_GENERADOR!$Q:$Q,PPTO_GENERADOR!A:A,"-",0)</f>
        <v>8.0500000000000007</v>
      </c>
    </row>
    <row r="1096" spans="1:18" ht="14.25" customHeight="1" x14ac:dyDescent="0.35">
      <c r="A1096" s="38" t="s">
        <v>166</v>
      </c>
      <c r="B1096" s="38" t="s">
        <v>2773</v>
      </c>
      <c r="C1096" s="38"/>
      <c r="D1096" s="38" t="s">
        <v>1833</v>
      </c>
      <c r="E1096" s="44" t="str">
        <f>IFERROR(VLOOKUP(D1096,EQUIPOS!A:B,2,FALSE()),"?")</f>
        <v>Herramientas menores y consumibles - Carpeta autonivelante e: 4/10 mm - En locales húme</v>
      </c>
      <c r="F1096" s="44"/>
      <c r="G1096" s="45">
        <v>1</v>
      </c>
      <c r="H1096" s="46">
        <v>0</v>
      </c>
      <c r="I1096" s="47">
        <f>IFERROR(VLOOKUP(D1096,EQUIPOS!A:F,6,FALSE()),0)</f>
        <v>218.25069175782201</v>
      </c>
      <c r="J1096" s="42">
        <f>G1096*I1096</f>
        <v>218.25069175782201</v>
      </c>
      <c r="K1096" s="15" t="str">
        <f t="shared" si="124"/>
        <v>PTO-0806|EQ</v>
      </c>
      <c r="L1096" s="15">
        <f>COUNTIFS($K$2:K1096,K1096)</f>
        <v>1</v>
      </c>
      <c r="M1096" s="15" t="str">
        <f t="shared" si="125"/>
        <v>PTO-0806|EQ|1</v>
      </c>
      <c r="N1096" s="47">
        <f>IFERROR(VLOOKUP(A1096,PARTIDAS!A:F,6,FALSE()),0)</f>
        <v>1</v>
      </c>
      <c r="O1096" s="247">
        <f t="shared" si="126"/>
        <v>1</v>
      </c>
      <c r="P1096" s="247">
        <f>+_xlfn.XLOOKUP(A1096,PPTO_GENERADOR!Q:Q,PPTO_GENERADOR!E:E,"-",0)</f>
        <v>77</v>
      </c>
      <c r="Q1096" s="247">
        <f t="shared" si="127"/>
        <v>77</v>
      </c>
      <c r="R1096" s="259">
        <f>+_xlfn.XLOOKUP(A1096,PPTO_GENERADOR!$Q:$Q,PPTO_GENERADOR!A:A,"-",0)</f>
        <v>8.06</v>
      </c>
    </row>
    <row r="1097" spans="1:18" ht="14.25" customHeight="1" x14ac:dyDescent="0.35">
      <c r="A1097" s="38" t="s">
        <v>166</v>
      </c>
      <c r="B1097" s="38" t="s">
        <v>2774</v>
      </c>
      <c r="C1097" s="38" t="s">
        <v>2779</v>
      </c>
      <c r="D1097" s="38" t="s">
        <v>1361</v>
      </c>
      <c r="E1097" s="44" t="str">
        <f>IFERROR(VLOOKUP(D1097,MATERIALES!A:B,2,FALSE()),"?")</f>
        <v>Consumibles</v>
      </c>
      <c r="F1097" s="44" t="str">
        <f>IFERROR(VLOOKUP(D1097,MATERIALES!A:C,3,FALSE()),"?")</f>
        <v>gl</v>
      </c>
      <c r="G1097" s="45">
        <v>671.89009338000005</v>
      </c>
      <c r="H1097" s="46">
        <v>0</v>
      </c>
      <c r="I1097" s="47">
        <f>IFERROR(VLOOKUP(D1097,MATERIALES!A:D,4,FALSE()),0)</f>
        <v>1</v>
      </c>
      <c r="J1097" s="42">
        <f>G1097*I1097*(1+H1097)</f>
        <v>671.89009338000005</v>
      </c>
      <c r="K1097" s="15" t="str">
        <f t="shared" si="124"/>
        <v>PTO-0806|MAT</v>
      </c>
      <c r="L1097" s="15">
        <f>COUNTIFS($K$2:K1097,K1097)</f>
        <v>1</v>
      </c>
      <c r="M1097" s="15" t="str">
        <f t="shared" si="125"/>
        <v>PTO-0806|MAT|1</v>
      </c>
      <c r="N1097" s="47">
        <f>IFERROR(VLOOKUP(A1097,PARTIDAS!A:F,6,FALSE()),0)</f>
        <v>1</v>
      </c>
      <c r="O1097" s="247">
        <f t="shared" si="126"/>
        <v>671.89009338000005</v>
      </c>
      <c r="P1097" s="247">
        <f>+_xlfn.XLOOKUP(A1097,PPTO_GENERADOR!Q:Q,PPTO_GENERADOR!E:E,"-",0)</f>
        <v>77</v>
      </c>
      <c r="Q1097" s="247">
        <f t="shared" si="127"/>
        <v>51735.537190260002</v>
      </c>
      <c r="R1097" s="259">
        <f>+_xlfn.XLOOKUP(A1097,PPTO_GENERADOR!$Q:$Q,PPTO_GENERADOR!A:A,"-",0)</f>
        <v>8.06</v>
      </c>
    </row>
    <row r="1098" spans="1:18" ht="14.25" customHeight="1" x14ac:dyDescent="0.35">
      <c r="A1098" s="38" t="s">
        <v>166</v>
      </c>
      <c r="B1098" s="38" t="s">
        <v>2774</v>
      </c>
      <c r="C1098" s="38" t="s">
        <v>2775</v>
      </c>
      <c r="D1098" s="38" t="s">
        <v>1224</v>
      </c>
      <c r="E1098" s="44" t="str">
        <f>IFERROR(VLOOKUP(D1098,MATERIALES!A:B,2,FALSE()),"?")</f>
        <v>Sika Floor 200 Level (25 kg) - 1,5 kg/m2/mm</v>
      </c>
      <c r="F1098" s="44" t="str">
        <f>IFERROR(VLOOKUP(D1098,MATERIALES!A:C,3,FALSE()),"?")</f>
        <v>bol</v>
      </c>
      <c r="G1098" s="45">
        <v>0.662337662337662</v>
      </c>
      <c r="H1098" s="46">
        <v>0</v>
      </c>
      <c r="I1098" s="47">
        <f>IFERROR(VLOOKUP(D1098,MATERIALES!A:D,4,FALSE()),0)</f>
        <v>4958.6776859504098</v>
      </c>
      <c r="J1098" s="42">
        <f>G1098*I1098*(1+H1098)</f>
        <v>3284.3189867983219</v>
      </c>
      <c r="K1098" s="15" t="str">
        <f t="shared" si="124"/>
        <v>PTO-0806|MAT</v>
      </c>
      <c r="L1098" s="15">
        <f>COUNTIFS($K$2:K1098,K1098)</f>
        <v>2</v>
      </c>
      <c r="M1098" s="15" t="str">
        <f t="shared" si="125"/>
        <v>PTO-0806|MAT|2</v>
      </c>
      <c r="N1098" s="47">
        <f>IFERROR(VLOOKUP(A1098,PARTIDAS!A:F,6,FALSE()),0)</f>
        <v>1</v>
      </c>
      <c r="O1098" s="247">
        <f t="shared" si="126"/>
        <v>0.662337662337662</v>
      </c>
      <c r="P1098" s="247">
        <f>+_xlfn.XLOOKUP(A1098,PPTO_GENERADOR!Q:Q,PPTO_GENERADOR!E:E,"-",0)</f>
        <v>77</v>
      </c>
      <c r="Q1098" s="247">
        <f t="shared" si="127"/>
        <v>50.999999999999972</v>
      </c>
      <c r="R1098" s="259">
        <f>+_xlfn.XLOOKUP(A1098,PPTO_GENERADOR!$Q:$Q,PPTO_GENERADOR!A:A,"-",0)</f>
        <v>8.06</v>
      </c>
    </row>
    <row r="1099" spans="1:18" ht="14.25" customHeight="1" x14ac:dyDescent="0.35">
      <c r="A1099" s="38" t="s">
        <v>166</v>
      </c>
      <c r="B1099" s="38" t="s">
        <v>2774</v>
      </c>
      <c r="C1099" s="38" t="s">
        <v>2775</v>
      </c>
      <c r="D1099" s="38" t="s">
        <v>1227</v>
      </c>
      <c r="E1099" s="44" t="str">
        <f>IFERROR(VLOOKUP(D1099,MATERIALES!A:B,2,FALSE()),"?")</f>
        <v>Sika latex x 5 kg - (200 gr/m2)</v>
      </c>
      <c r="F1099" s="44" t="str">
        <f>IFERROR(VLOOKUP(D1099,MATERIALES!A:C,3,FALSE()),"?")</f>
        <v>tac</v>
      </c>
      <c r="G1099" s="45">
        <v>5.1948051948052E-2</v>
      </c>
      <c r="H1099" s="46">
        <v>0</v>
      </c>
      <c r="I1099" s="47">
        <f>IFERROR(VLOOKUP(D1099,MATERIALES!A:D,4,FALSE()),0)</f>
        <v>66115.702479338797</v>
      </c>
      <c r="J1099" s="42">
        <f>G1099*I1099*(1+H1099)</f>
        <v>3434.5819469786425</v>
      </c>
      <c r="K1099" s="15" t="str">
        <f t="shared" si="124"/>
        <v>PTO-0806|MAT</v>
      </c>
      <c r="L1099" s="15">
        <f>COUNTIFS($K$2:K1099,K1099)</f>
        <v>3</v>
      </c>
      <c r="M1099" s="15" t="str">
        <f t="shared" si="125"/>
        <v>PTO-0806|MAT|3</v>
      </c>
      <c r="N1099" s="47">
        <f>IFERROR(VLOOKUP(A1099,PARTIDAS!A:F,6,FALSE()),0)</f>
        <v>1</v>
      </c>
      <c r="O1099" s="247">
        <f t="shared" si="126"/>
        <v>5.1948051948052E-2</v>
      </c>
      <c r="P1099" s="247">
        <f>+_xlfn.XLOOKUP(A1099,PPTO_GENERADOR!Q:Q,PPTO_GENERADOR!E:E,"-",0)</f>
        <v>77</v>
      </c>
      <c r="Q1099" s="247">
        <f t="shared" si="127"/>
        <v>4.0000000000000044</v>
      </c>
      <c r="R1099" s="259">
        <f>+_xlfn.XLOOKUP(A1099,PPTO_GENERADOR!$Q:$Q,PPTO_GENERADOR!A:A,"-",0)</f>
        <v>8.06</v>
      </c>
    </row>
    <row r="1100" spans="1:18" ht="14.25" customHeight="1" x14ac:dyDescent="0.35">
      <c r="A1100" s="38" t="s">
        <v>166</v>
      </c>
      <c r="B1100" s="38" t="s">
        <v>2776</v>
      </c>
      <c r="C1100" s="38" t="s">
        <v>2777</v>
      </c>
      <c r="D1100" s="38" t="s">
        <v>1577</v>
      </c>
      <c r="E1100" s="44" t="str">
        <f>IFERROR(VLOOKUP(D1100,MANO_DE_OBRA!A:B,2,FALSE()),"?")</f>
        <v>AYUDANTE</v>
      </c>
      <c r="F1100" s="44" t="s">
        <v>2778</v>
      </c>
      <c r="G1100" s="45">
        <v>5.1948051948052E-2</v>
      </c>
      <c r="H1100" s="46">
        <v>0</v>
      </c>
      <c r="I1100" s="47">
        <f>IFERROR(VLOOKUP(D1100,MANO_DE_OBRA!A:C,3,FALSE()),0)</f>
        <v>60860.580776572002</v>
      </c>
      <c r="J1100" s="42">
        <f>G1100*I1100</f>
        <v>3161.5886117699774</v>
      </c>
      <c r="K1100" s="15" t="str">
        <f t="shared" si="124"/>
        <v>PTO-0806|MO</v>
      </c>
      <c r="L1100" s="15">
        <f>COUNTIFS($K$2:K1100,K1100)</f>
        <v>1</v>
      </c>
      <c r="M1100" s="15" t="str">
        <f t="shared" si="125"/>
        <v>PTO-0806|MO|1</v>
      </c>
      <c r="N1100" s="47">
        <f>IFERROR(VLOOKUP(A1100,PARTIDAS!A:F,6,FALSE()),0)</f>
        <v>1</v>
      </c>
      <c r="O1100" s="247">
        <f t="shared" si="126"/>
        <v>5.1948051948052E-2</v>
      </c>
      <c r="P1100" s="247">
        <f>+_xlfn.XLOOKUP(A1100,PPTO_GENERADOR!Q:Q,PPTO_GENERADOR!E:E,"-",0)</f>
        <v>77</v>
      </c>
      <c r="Q1100" s="247">
        <f t="shared" si="127"/>
        <v>4.0000000000000044</v>
      </c>
      <c r="R1100" s="259">
        <f>+_xlfn.XLOOKUP(A1100,PPTO_GENERADOR!$Q:$Q,PPTO_GENERADOR!A:A,"-",0)</f>
        <v>8.06</v>
      </c>
    </row>
    <row r="1101" spans="1:18" ht="14.25" customHeight="1" x14ac:dyDescent="0.35">
      <c r="A1101" s="38" t="s">
        <v>166</v>
      </c>
      <c r="B1101" s="38" t="s">
        <v>2776</v>
      </c>
      <c r="C1101" s="38" t="s">
        <v>2777</v>
      </c>
      <c r="D1101" s="237" t="s">
        <v>1571</v>
      </c>
      <c r="E1101" s="44" t="str">
        <f>IFERROR(VLOOKUP(D1101,MANO_DE_OBRA!A:B,2,FALSE()),"?")</f>
        <v>OFICIAL</v>
      </c>
      <c r="F1101" s="44" t="s">
        <v>2778</v>
      </c>
      <c r="G1101" s="45">
        <v>5.1948051948052E-2</v>
      </c>
      <c r="H1101" s="46">
        <v>0</v>
      </c>
      <c r="I1101" s="47">
        <f>IFERROR(VLOOKUP(D1101,MANO_DE_OBRA!A:C,3,FALSE()),0)</f>
        <v>76955.079706571996</v>
      </c>
      <c r="J1101" s="42">
        <f>G1101*I1101</f>
        <v>3997.6664782634844</v>
      </c>
      <c r="K1101" s="15" t="str">
        <f t="shared" si="124"/>
        <v>PTO-0806|MO</v>
      </c>
      <c r="L1101" s="15">
        <f>COUNTIFS($K$2:K1101,K1101)</f>
        <v>2</v>
      </c>
      <c r="M1101" s="15" t="str">
        <f t="shared" si="125"/>
        <v>PTO-0806|MO|2</v>
      </c>
      <c r="N1101" s="47">
        <f>IFERROR(VLOOKUP(A1101,PARTIDAS!A:F,6,FALSE()),0)</f>
        <v>1</v>
      </c>
      <c r="O1101" s="247">
        <f t="shared" si="126"/>
        <v>5.1948051948052E-2</v>
      </c>
      <c r="P1101" s="247">
        <f>+_xlfn.XLOOKUP(A1101,PPTO_GENERADOR!Q:Q,PPTO_GENERADOR!E:E,"-",0)</f>
        <v>77</v>
      </c>
      <c r="Q1101" s="247">
        <f t="shared" si="127"/>
        <v>4.0000000000000044</v>
      </c>
      <c r="R1101" s="259">
        <f>+_xlfn.XLOOKUP(A1101,PPTO_GENERADOR!$Q:$Q,PPTO_GENERADOR!A:A,"-",0)</f>
        <v>8.06</v>
      </c>
    </row>
    <row r="1102" spans="1:18" ht="14.25" customHeight="1" x14ac:dyDescent="0.35">
      <c r="A1102" s="38" t="s">
        <v>2700</v>
      </c>
      <c r="B1102" s="38" t="s">
        <v>2773</v>
      </c>
      <c r="C1102" s="38"/>
      <c r="D1102" s="38" t="s">
        <v>1595</v>
      </c>
      <c r="E1102" s="44" t="str">
        <f>IFERROR(VLOOKUP(D1102,EQUIPOS!A:B,2,FALSE()),"?")</f>
        <v>EQUIPO DE ALBAÑILERIA, carpetas, ladrillo</v>
      </c>
      <c r="F1102" s="44"/>
      <c r="G1102" s="45">
        <v>1</v>
      </c>
      <c r="H1102" s="46">
        <v>0</v>
      </c>
      <c r="I1102" s="47">
        <f>IFERROR(VLOOKUP(D1102,EQUIPOS!A:F,6,FALSE()),0)</f>
        <v>2287.1357450968057</v>
      </c>
      <c r="J1102" s="42">
        <f>G1102*I1102</f>
        <v>2287.1357450968057</v>
      </c>
      <c r="K1102" s="15" t="str">
        <f t="shared" si="124"/>
        <v>PTO-0807|EQ</v>
      </c>
      <c r="L1102" s="15">
        <f>COUNTIFS($K$2:K1102,K1102)</f>
        <v>1</v>
      </c>
      <c r="M1102" s="15" t="str">
        <f t="shared" si="125"/>
        <v>PTO-0807|EQ|1</v>
      </c>
      <c r="N1102" s="47">
        <f>IFERROR(VLOOKUP(A1102,PARTIDAS!A:F,6,FALSE()),0)</f>
        <v>14.5</v>
      </c>
      <c r="O1102" s="247">
        <f t="shared" si="126"/>
        <v>1</v>
      </c>
      <c r="P1102" s="247" t="str">
        <f>+_xlfn.XLOOKUP(A1102,PPTO_GENERADOR!Q:Q,PPTO_GENERADOR!E:E,"-",0)</f>
        <v>-</v>
      </c>
      <c r="Q1102" s="247">
        <f t="shared" si="127"/>
        <v>0</v>
      </c>
      <c r="R1102" s="259" t="str">
        <f>+_xlfn.XLOOKUP(A1102,PPTO_GENERADOR!$Q:$Q,PPTO_GENERADOR!A:A,"-",0)</f>
        <v>-</v>
      </c>
    </row>
    <row r="1103" spans="1:18" ht="14.25" customHeight="1" x14ac:dyDescent="0.35">
      <c r="A1103" s="38" t="s">
        <v>2700</v>
      </c>
      <c r="B1103" s="38" t="s">
        <v>2773</v>
      </c>
      <c r="C1103" s="38"/>
      <c r="D1103" s="38" t="s">
        <v>1613</v>
      </c>
      <c r="E1103" s="44" t="str">
        <f>IFERROR(VLOOKUP(D1103,EQUIPOS!A:B,2,FALSE()),"?")</f>
        <v>Hormigonera De 150 Litros 1hp Con Rueda Maciza</v>
      </c>
      <c r="F1103" s="44"/>
      <c r="G1103" s="45">
        <v>1</v>
      </c>
      <c r="H1103" s="46">
        <v>0</v>
      </c>
      <c r="I1103" s="47">
        <f>IFERROR(VLOOKUP(D1103,EQUIPOS!A:F,6,FALSE()),0)</f>
        <v>957.25319614994726</v>
      </c>
      <c r="J1103" s="42">
        <f>G1103*I1103</f>
        <v>957.25319614994726</v>
      </c>
      <c r="K1103" s="15" t="str">
        <f t="shared" si="124"/>
        <v>PTO-0807|EQ</v>
      </c>
      <c r="L1103" s="15">
        <f>COUNTIFS($K$2:K1103,K1103)</f>
        <v>2</v>
      </c>
      <c r="M1103" s="15" t="str">
        <f t="shared" si="125"/>
        <v>PTO-0807|EQ|2</v>
      </c>
      <c r="N1103" s="47">
        <f>IFERROR(VLOOKUP(A1103,PARTIDAS!A:F,6,FALSE()),0)</f>
        <v>14.5</v>
      </c>
      <c r="O1103" s="247">
        <f t="shared" si="126"/>
        <v>1</v>
      </c>
      <c r="P1103" s="247" t="str">
        <f>+_xlfn.XLOOKUP(A1103,PPTO_GENERADOR!Q:Q,PPTO_GENERADOR!E:E,"-",0)</f>
        <v>-</v>
      </c>
      <c r="Q1103" s="247">
        <f t="shared" si="127"/>
        <v>0</v>
      </c>
      <c r="R1103" s="259" t="str">
        <f>+_xlfn.XLOOKUP(A1103,PPTO_GENERADOR!$Q:$Q,PPTO_GENERADOR!A:A,"-",0)</f>
        <v>-</v>
      </c>
    </row>
    <row r="1104" spans="1:18" ht="14.25" customHeight="1" x14ac:dyDescent="0.35">
      <c r="A1104" s="38" t="s">
        <v>2700</v>
      </c>
      <c r="B1104" s="38" t="s">
        <v>2774</v>
      </c>
      <c r="C1104" s="38" t="s">
        <v>2775</v>
      </c>
      <c r="D1104" s="38" t="s">
        <v>588</v>
      </c>
      <c r="E1104" s="44" t="str">
        <f>IFERROR(VLOOKUP(D1104,MATERIALES!A:B,2,FALSE()),"?")</f>
        <v>ARENA LAVADA</v>
      </c>
      <c r="F1104" s="44" t="str">
        <f>IFERROR(VLOOKUP(D1104,MATERIALES!A:C,3,FALSE()),"?")</f>
        <v>m3</v>
      </c>
      <c r="G1104" s="45">
        <v>0.03</v>
      </c>
      <c r="H1104" s="46">
        <v>0.1</v>
      </c>
      <c r="I1104" s="47">
        <f>IFERROR(VLOOKUP(D1104,MATERIALES!A:D,4,FALSE()),0)</f>
        <v>32399.77</v>
      </c>
      <c r="J1104" s="42">
        <f>G1104*I1104*(1+H1104)</f>
        <v>1069.1924100000001</v>
      </c>
      <c r="K1104" s="15" t="str">
        <f t="shared" si="124"/>
        <v>PTO-0807|MAT</v>
      </c>
      <c r="L1104" s="15">
        <f>COUNTIFS($K$2:K1104,K1104)</f>
        <v>1</v>
      </c>
      <c r="M1104" s="15" t="str">
        <f t="shared" si="125"/>
        <v>PTO-0807|MAT|1</v>
      </c>
      <c r="N1104" s="47">
        <f>IFERROR(VLOOKUP(A1104,PARTIDAS!A:F,6,FALSE()),0)</f>
        <v>14.5</v>
      </c>
      <c r="O1104" s="247">
        <f t="shared" si="126"/>
        <v>0.03</v>
      </c>
      <c r="P1104" s="247" t="str">
        <f>+_xlfn.XLOOKUP(A1104,PPTO_GENERADOR!Q:Q,PPTO_GENERADOR!E:E,"-",0)</f>
        <v>-</v>
      </c>
      <c r="Q1104" s="247">
        <f t="shared" si="127"/>
        <v>0</v>
      </c>
      <c r="R1104" s="259" t="str">
        <f>+_xlfn.XLOOKUP(A1104,PPTO_GENERADOR!$Q:$Q,PPTO_GENERADOR!A:A,"-",0)</f>
        <v>-</v>
      </c>
    </row>
    <row r="1105" spans="1:18" ht="14.25" customHeight="1" x14ac:dyDescent="0.35">
      <c r="A1105" s="38" t="s">
        <v>2700</v>
      </c>
      <c r="B1105" s="38" t="s">
        <v>2774</v>
      </c>
      <c r="C1105" s="38" t="s">
        <v>2775</v>
      </c>
      <c r="D1105" s="38" t="s">
        <v>599</v>
      </c>
      <c r="E1105" s="44" t="str">
        <f>IFERROR(VLOOKUP(D1105,MATERIALES!A:B,2,FALSE()),"?")</f>
        <v>Cemento Portland x 50kg</v>
      </c>
      <c r="F1105" s="44" t="str">
        <f>IFERROR(VLOOKUP(D1105,MATERIALES!A:C,3,FALSE()),"?")</f>
        <v>Bol</v>
      </c>
      <c r="G1105" s="45">
        <v>7.0000000000000007E-2</v>
      </c>
      <c r="H1105" s="46">
        <v>0.1</v>
      </c>
      <c r="I1105" s="47">
        <f>IFERROR(VLOOKUP(D1105,MATERIALES!A:D,4,FALSE()),0)</f>
        <v>7809.48</v>
      </c>
      <c r="J1105" s="42">
        <f>G1105*I1105*(1+H1105)</f>
        <v>601.32996000000003</v>
      </c>
      <c r="K1105" s="15" t="str">
        <f t="shared" si="124"/>
        <v>PTO-0807|MAT</v>
      </c>
      <c r="L1105" s="15">
        <f>COUNTIFS($K$2:K1105,K1105)</f>
        <v>2</v>
      </c>
      <c r="M1105" s="15" t="str">
        <f t="shared" si="125"/>
        <v>PTO-0807|MAT|2</v>
      </c>
      <c r="N1105" s="47">
        <f>IFERROR(VLOOKUP(A1105,PARTIDAS!A:F,6,FALSE()),0)</f>
        <v>14.5</v>
      </c>
      <c r="O1105" s="247">
        <f t="shared" si="126"/>
        <v>7.0000000000000007E-2</v>
      </c>
      <c r="P1105" s="247" t="str">
        <f>+_xlfn.XLOOKUP(A1105,PPTO_GENERADOR!Q:Q,PPTO_GENERADOR!E:E,"-",0)</f>
        <v>-</v>
      </c>
      <c r="Q1105" s="247">
        <f t="shared" si="127"/>
        <v>0</v>
      </c>
      <c r="R1105" s="259" t="str">
        <f>+_xlfn.XLOOKUP(A1105,PPTO_GENERADOR!$Q:$Q,PPTO_GENERADOR!A:A,"-",0)</f>
        <v>-</v>
      </c>
    </row>
    <row r="1106" spans="1:18" ht="14.25" customHeight="1" x14ac:dyDescent="0.35">
      <c r="A1106" s="38" t="s">
        <v>2700</v>
      </c>
      <c r="B1106" s="38" t="s">
        <v>2774</v>
      </c>
      <c r="C1106" s="38" t="s">
        <v>2775</v>
      </c>
      <c r="D1106" s="38" t="s">
        <v>604</v>
      </c>
      <c r="E1106" s="44" t="str">
        <f>IFERROR(VLOOKUP(D1106,MATERIALES!A:B,2,FALSE()),"?")</f>
        <v>Cal Comun x 25kg</v>
      </c>
      <c r="F1106" s="44" t="str">
        <f>IFERROR(VLOOKUP(D1106,MATERIALES!A:C,3,FALSE()),"?")</f>
        <v>bol</v>
      </c>
      <c r="G1106" s="45">
        <v>0.248</v>
      </c>
      <c r="H1106" s="46">
        <v>0.1</v>
      </c>
      <c r="I1106" s="47">
        <f>IFERROR(VLOOKUP(D1106,MATERIALES!A:D,4,FALSE()),0)</f>
        <v>3837.96</v>
      </c>
      <c r="J1106" s="42">
        <f>G1106*I1106*(1+H1106)</f>
        <v>1046.995488</v>
      </c>
      <c r="K1106" s="15" t="str">
        <f t="shared" si="124"/>
        <v>PTO-0807|MAT</v>
      </c>
      <c r="L1106" s="15">
        <f>COUNTIFS($K$2:K1106,K1106)</f>
        <v>3</v>
      </c>
      <c r="M1106" s="15" t="str">
        <f t="shared" si="125"/>
        <v>PTO-0807|MAT|3</v>
      </c>
      <c r="N1106" s="47">
        <f>IFERROR(VLOOKUP(A1106,PARTIDAS!A:F,6,FALSE()),0)</f>
        <v>14.5</v>
      </c>
      <c r="O1106" s="247">
        <f t="shared" si="126"/>
        <v>0.248</v>
      </c>
      <c r="P1106" s="247" t="str">
        <f>+_xlfn.XLOOKUP(A1106,PPTO_GENERADOR!Q:Q,PPTO_GENERADOR!E:E,"-",0)</f>
        <v>-</v>
      </c>
      <c r="Q1106" s="247">
        <f t="shared" si="127"/>
        <v>0</v>
      </c>
      <c r="R1106" s="259" t="str">
        <f>+_xlfn.XLOOKUP(A1106,PPTO_GENERADOR!$Q:$Q,PPTO_GENERADOR!A:A,"-",0)</f>
        <v>-</v>
      </c>
    </row>
    <row r="1107" spans="1:18" ht="14.25" customHeight="1" x14ac:dyDescent="0.35">
      <c r="A1107" s="38" t="s">
        <v>2700</v>
      </c>
      <c r="B1107" s="38" t="s">
        <v>2776</v>
      </c>
      <c r="C1107" s="38" t="s">
        <v>2777</v>
      </c>
      <c r="D1107" s="237" t="s">
        <v>1577</v>
      </c>
      <c r="E1107" s="44" t="str">
        <f>IFERROR(VLOOKUP(D1107,MANO_DE_OBRA!A:B,2,FALSE()),"?")</f>
        <v>AYUDANTE</v>
      </c>
      <c r="F1107" s="44" t="s">
        <v>2778</v>
      </c>
      <c r="G1107" s="45">
        <v>0.45</v>
      </c>
      <c r="H1107" s="46">
        <v>0</v>
      </c>
      <c r="I1107" s="47">
        <f>IFERROR(VLOOKUP(D1107,MANO_DE_OBRA!A:C,3,FALSE()),0)</f>
        <v>60860.580776572002</v>
      </c>
      <c r="J1107" s="42">
        <f>G1107*I1107</f>
        <v>27387.2613494574</v>
      </c>
      <c r="K1107" s="15" t="str">
        <f t="shared" si="124"/>
        <v>PTO-0807|MO</v>
      </c>
      <c r="L1107" s="15">
        <f>COUNTIFS($K$2:K1107,K1107)</f>
        <v>1</v>
      </c>
      <c r="M1107" s="15" t="str">
        <f t="shared" si="125"/>
        <v>PTO-0807|MO|1</v>
      </c>
      <c r="N1107" s="47">
        <f>IFERROR(VLOOKUP(A1107,PARTIDAS!A:F,6,FALSE()),0)</f>
        <v>14.5</v>
      </c>
      <c r="O1107" s="247">
        <f t="shared" si="126"/>
        <v>3.1034482758620689E-2</v>
      </c>
      <c r="P1107" s="247" t="str">
        <f>+_xlfn.XLOOKUP(A1107,PPTO_GENERADOR!Q:Q,PPTO_GENERADOR!E:E,"-",0)</f>
        <v>-</v>
      </c>
      <c r="Q1107" s="247">
        <f t="shared" si="127"/>
        <v>0</v>
      </c>
      <c r="R1107" s="259" t="str">
        <f>+_xlfn.XLOOKUP(A1107,PPTO_GENERADOR!$Q:$Q,PPTO_GENERADOR!A:A,"-",0)</f>
        <v>-</v>
      </c>
    </row>
    <row r="1108" spans="1:18" ht="14.25" customHeight="1" x14ac:dyDescent="0.35">
      <c r="A1108" s="38" t="s">
        <v>2700</v>
      </c>
      <c r="B1108" s="38" t="s">
        <v>2776</v>
      </c>
      <c r="C1108" s="38" t="s">
        <v>2777</v>
      </c>
      <c r="D1108" s="237" t="s">
        <v>1568</v>
      </c>
      <c r="E1108" s="44" t="str">
        <f>IFERROR(VLOOKUP(D1108,MANO_DE_OBRA!A:B,2,FALSE()),"?")</f>
        <v>ESPECIALIZADO</v>
      </c>
      <c r="F1108" s="44" t="s">
        <v>2778</v>
      </c>
      <c r="G1108" s="45">
        <v>1</v>
      </c>
      <c r="H1108" s="46">
        <v>0</v>
      </c>
      <c r="I1108" s="47">
        <f>IFERROR(VLOOKUP(D1108,MANO_DE_OBRA!A:C,3,FALSE()),0)</f>
        <v>85927.097156571996</v>
      </c>
      <c r="J1108" s="42">
        <f>G1108*I1108</f>
        <v>85927.097156571996</v>
      </c>
      <c r="K1108" s="15" t="str">
        <f t="shared" si="124"/>
        <v>PTO-0807|MO</v>
      </c>
      <c r="L1108" s="15">
        <f>COUNTIFS($K$2:K1108,K1108)</f>
        <v>2</v>
      </c>
      <c r="M1108" s="15" t="str">
        <f t="shared" si="125"/>
        <v>PTO-0807|MO|2</v>
      </c>
      <c r="N1108" s="47">
        <f>IFERROR(VLOOKUP(A1108,PARTIDAS!A:F,6,FALSE()),0)</f>
        <v>14.5</v>
      </c>
      <c r="O1108" s="247">
        <f t="shared" si="126"/>
        <v>6.8965517241379309E-2</v>
      </c>
      <c r="P1108" s="247" t="str">
        <f>+_xlfn.XLOOKUP(A1108,PPTO_GENERADOR!Q:Q,PPTO_GENERADOR!E:E,"-",0)</f>
        <v>-</v>
      </c>
      <c r="Q1108" s="247">
        <f t="shared" si="127"/>
        <v>0</v>
      </c>
      <c r="R1108" s="259" t="str">
        <f>+_xlfn.XLOOKUP(A1108,PPTO_GENERADOR!$Q:$Q,PPTO_GENERADOR!A:A,"-",0)</f>
        <v>-</v>
      </c>
    </row>
    <row r="1109" spans="1:18" ht="14.25" customHeight="1" x14ac:dyDescent="0.35">
      <c r="A1109" s="38" t="s">
        <v>2702</v>
      </c>
      <c r="B1109" s="38" t="s">
        <v>2773</v>
      </c>
      <c r="C1109" s="38"/>
      <c r="D1109" s="38" t="s">
        <v>1595</v>
      </c>
      <c r="E1109" s="44" t="str">
        <f>IFERROR(VLOOKUP(D1109,EQUIPOS!A:B,2,FALSE()),"?")</f>
        <v>EQUIPO DE ALBAÑILERIA, carpetas, ladrillo</v>
      </c>
      <c r="F1109" s="44"/>
      <c r="G1109" s="45">
        <v>1</v>
      </c>
      <c r="H1109" s="46">
        <v>0</v>
      </c>
      <c r="I1109" s="47">
        <f>IFERROR(VLOOKUP(D1109,EQUIPOS!A:F,6,FALSE()),0)</f>
        <v>2287.1357450968057</v>
      </c>
      <c r="J1109" s="42">
        <f>G1109*I1109</f>
        <v>2287.1357450968057</v>
      </c>
      <c r="K1109" s="15" t="str">
        <f t="shared" si="124"/>
        <v>PTO-0808|EQ</v>
      </c>
      <c r="L1109" s="15">
        <f>COUNTIFS($K$2:K1109,K1109)</f>
        <v>1</v>
      </c>
      <c r="M1109" s="15" t="str">
        <f t="shared" si="125"/>
        <v>PTO-0808|EQ|1</v>
      </c>
      <c r="N1109" s="47">
        <f>IFERROR(VLOOKUP(A1109,PARTIDAS!A:F,6,FALSE()),0)</f>
        <v>14.5</v>
      </c>
      <c r="O1109" s="247">
        <f t="shared" si="126"/>
        <v>1</v>
      </c>
      <c r="P1109" s="247" t="str">
        <f>+_xlfn.XLOOKUP(A1109,PPTO_GENERADOR!Q:Q,PPTO_GENERADOR!E:E,"-",0)</f>
        <v>-</v>
      </c>
      <c r="Q1109" s="247">
        <f t="shared" si="127"/>
        <v>0</v>
      </c>
      <c r="R1109" s="259" t="str">
        <f>+_xlfn.XLOOKUP(A1109,PPTO_GENERADOR!$Q:$Q,PPTO_GENERADOR!A:A,"-",0)</f>
        <v>-</v>
      </c>
    </row>
    <row r="1110" spans="1:18" ht="14.25" customHeight="1" x14ac:dyDescent="0.35">
      <c r="A1110" s="38" t="s">
        <v>2702</v>
      </c>
      <c r="B1110" s="38" t="s">
        <v>2773</v>
      </c>
      <c r="C1110" s="38"/>
      <c r="D1110" s="38" t="s">
        <v>1613</v>
      </c>
      <c r="E1110" s="44" t="str">
        <f>IFERROR(VLOOKUP(D1110,EQUIPOS!A:B,2,FALSE()),"?")</f>
        <v>Hormigonera De 150 Litros 1hp Con Rueda Maciza</v>
      </c>
      <c r="F1110" s="44"/>
      <c r="G1110" s="45">
        <v>1</v>
      </c>
      <c r="H1110" s="46">
        <v>0</v>
      </c>
      <c r="I1110" s="47">
        <f>IFERROR(VLOOKUP(D1110,EQUIPOS!A:F,6,FALSE()),0)</f>
        <v>957.25319614994726</v>
      </c>
      <c r="J1110" s="42">
        <f>G1110*I1110</f>
        <v>957.25319614994726</v>
      </c>
      <c r="K1110" s="15" t="str">
        <f t="shared" si="124"/>
        <v>PTO-0808|EQ</v>
      </c>
      <c r="L1110" s="15">
        <f>COUNTIFS($K$2:K1110,K1110)</f>
        <v>2</v>
      </c>
      <c r="M1110" s="15" t="str">
        <f t="shared" si="125"/>
        <v>PTO-0808|EQ|2</v>
      </c>
      <c r="N1110" s="47">
        <f>IFERROR(VLOOKUP(A1110,PARTIDAS!A:F,6,FALSE()),0)</f>
        <v>14.5</v>
      </c>
      <c r="O1110" s="247">
        <f t="shared" si="126"/>
        <v>1</v>
      </c>
      <c r="P1110" s="247" t="str">
        <f>+_xlfn.XLOOKUP(A1110,PPTO_GENERADOR!Q:Q,PPTO_GENERADOR!E:E,"-",0)</f>
        <v>-</v>
      </c>
      <c r="Q1110" s="247">
        <f t="shared" si="127"/>
        <v>0</v>
      </c>
      <c r="R1110" s="259" t="str">
        <f>+_xlfn.XLOOKUP(A1110,PPTO_GENERADOR!$Q:$Q,PPTO_GENERADOR!A:A,"-",0)</f>
        <v>-</v>
      </c>
    </row>
    <row r="1111" spans="1:18" ht="14.25" customHeight="1" x14ac:dyDescent="0.35">
      <c r="A1111" s="38" t="s">
        <v>2702</v>
      </c>
      <c r="B1111" s="38" t="s">
        <v>2774</v>
      </c>
      <c r="C1111" s="38" t="s">
        <v>2775</v>
      </c>
      <c r="D1111" s="38" t="s">
        <v>588</v>
      </c>
      <c r="E1111" s="44" t="str">
        <f>IFERROR(VLOOKUP(D1111,MATERIALES!A:B,2,FALSE()),"?")</f>
        <v>ARENA LAVADA</v>
      </c>
      <c r="F1111" s="44" t="str">
        <f>IFERROR(VLOOKUP(D1111,MATERIALES!A:C,3,FALSE()),"?")</f>
        <v>m3</v>
      </c>
      <c r="G1111" s="45">
        <v>0.03</v>
      </c>
      <c r="H1111" s="46">
        <v>0.1</v>
      </c>
      <c r="I1111" s="47">
        <f>IFERROR(VLOOKUP(D1111,MATERIALES!A:D,4,FALSE()),0)</f>
        <v>32399.77</v>
      </c>
      <c r="J1111" s="42">
        <f>G1111*I1111*(1+H1111)</f>
        <v>1069.1924100000001</v>
      </c>
      <c r="K1111" s="15" t="str">
        <f t="shared" si="124"/>
        <v>PTO-0808|MAT</v>
      </c>
      <c r="L1111" s="15">
        <f>COUNTIFS($K$2:K1111,K1111)</f>
        <v>1</v>
      </c>
      <c r="M1111" s="15" t="str">
        <f t="shared" si="125"/>
        <v>PTO-0808|MAT|1</v>
      </c>
      <c r="N1111" s="47">
        <f>IFERROR(VLOOKUP(A1111,PARTIDAS!A:F,6,FALSE()),0)</f>
        <v>14.5</v>
      </c>
      <c r="O1111" s="247">
        <f t="shared" si="126"/>
        <v>0.03</v>
      </c>
      <c r="P1111" s="247" t="str">
        <f>+_xlfn.XLOOKUP(A1111,PPTO_GENERADOR!Q:Q,PPTO_GENERADOR!E:E,"-",0)</f>
        <v>-</v>
      </c>
      <c r="Q1111" s="247">
        <f t="shared" si="127"/>
        <v>0</v>
      </c>
      <c r="R1111" s="259" t="str">
        <f>+_xlfn.XLOOKUP(A1111,PPTO_GENERADOR!$Q:$Q,PPTO_GENERADOR!A:A,"-",0)</f>
        <v>-</v>
      </c>
    </row>
    <row r="1112" spans="1:18" ht="14.25" customHeight="1" x14ac:dyDescent="0.35">
      <c r="A1112" s="38" t="s">
        <v>2702</v>
      </c>
      <c r="B1112" s="38" t="s">
        <v>2774</v>
      </c>
      <c r="C1112" s="38" t="s">
        <v>2775</v>
      </c>
      <c r="D1112" s="38" t="s">
        <v>599</v>
      </c>
      <c r="E1112" s="44" t="str">
        <f>IFERROR(VLOOKUP(D1112,MATERIALES!A:B,2,FALSE()),"?")</f>
        <v>Cemento Portland x 50kg</v>
      </c>
      <c r="F1112" s="44" t="str">
        <f>IFERROR(VLOOKUP(D1112,MATERIALES!A:C,3,FALSE()),"?")</f>
        <v>Bol</v>
      </c>
      <c r="G1112" s="45">
        <v>7.0000000000000007E-2</v>
      </c>
      <c r="H1112" s="46">
        <v>0.1</v>
      </c>
      <c r="I1112" s="47">
        <f>IFERROR(VLOOKUP(D1112,MATERIALES!A:D,4,FALSE()),0)</f>
        <v>7809.48</v>
      </c>
      <c r="J1112" s="42">
        <f>G1112*I1112*(1+H1112)</f>
        <v>601.32996000000003</v>
      </c>
      <c r="K1112" s="15" t="str">
        <f t="shared" si="124"/>
        <v>PTO-0808|MAT</v>
      </c>
      <c r="L1112" s="15">
        <f>COUNTIFS($K$2:K1112,K1112)</f>
        <v>2</v>
      </c>
      <c r="M1112" s="15" t="str">
        <f t="shared" si="125"/>
        <v>PTO-0808|MAT|2</v>
      </c>
      <c r="N1112" s="47">
        <f>IFERROR(VLOOKUP(A1112,PARTIDAS!A:F,6,FALSE()),0)</f>
        <v>14.5</v>
      </c>
      <c r="O1112" s="247">
        <f t="shared" si="126"/>
        <v>7.0000000000000007E-2</v>
      </c>
      <c r="P1112" s="247" t="str">
        <f>+_xlfn.XLOOKUP(A1112,PPTO_GENERADOR!Q:Q,PPTO_GENERADOR!E:E,"-",0)</f>
        <v>-</v>
      </c>
      <c r="Q1112" s="247">
        <f t="shared" si="127"/>
        <v>0</v>
      </c>
      <c r="R1112" s="259" t="str">
        <f>+_xlfn.XLOOKUP(A1112,PPTO_GENERADOR!$Q:$Q,PPTO_GENERADOR!A:A,"-",0)</f>
        <v>-</v>
      </c>
    </row>
    <row r="1113" spans="1:18" ht="14.25" customHeight="1" x14ac:dyDescent="0.35">
      <c r="A1113" s="38" t="s">
        <v>2702</v>
      </c>
      <c r="B1113" s="38" t="s">
        <v>2774</v>
      </c>
      <c r="C1113" s="38" t="s">
        <v>2775</v>
      </c>
      <c r="D1113" s="38" t="s">
        <v>604</v>
      </c>
      <c r="E1113" s="44" t="str">
        <f>IFERROR(VLOOKUP(D1113,MATERIALES!A:B,2,FALSE()),"?")</f>
        <v>Cal Comun x 25kg</v>
      </c>
      <c r="F1113" s="44" t="str">
        <f>IFERROR(VLOOKUP(D1113,MATERIALES!A:C,3,FALSE()),"?")</f>
        <v>bol</v>
      </c>
      <c r="G1113" s="45">
        <v>0.248</v>
      </c>
      <c r="H1113" s="46">
        <v>0.1</v>
      </c>
      <c r="I1113" s="47">
        <f>IFERROR(VLOOKUP(D1113,MATERIALES!A:D,4,FALSE()),0)</f>
        <v>3837.96</v>
      </c>
      <c r="J1113" s="42">
        <f>G1113*I1113*(1+H1113)</f>
        <v>1046.995488</v>
      </c>
      <c r="K1113" s="15" t="str">
        <f t="shared" si="124"/>
        <v>PTO-0808|MAT</v>
      </c>
      <c r="L1113" s="15">
        <f>COUNTIFS($K$2:K1113,K1113)</f>
        <v>3</v>
      </c>
      <c r="M1113" s="15" t="str">
        <f t="shared" si="125"/>
        <v>PTO-0808|MAT|3</v>
      </c>
      <c r="N1113" s="47">
        <f>IFERROR(VLOOKUP(A1113,PARTIDAS!A:F,6,FALSE()),0)</f>
        <v>14.5</v>
      </c>
      <c r="O1113" s="247">
        <f t="shared" si="126"/>
        <v>0.248</v>
      </c>
      <c r="P1113" s="247" t="str">
        <f>+_xlfn.XLOOKUP(A1113,PPTO_GENERADOR!Q:Q,PPTO_GENERADOR!E:E,"-",0)</f>
        <v>-</v>
      </c>
      <c r="Q1113" s="247">
        <f t="shared" si="127"/>
        <v>0</v>
      </c>
      <c r="R1113" s="259" t="str">
        <f>+_xlfn.XLOOKUP(A1113,PPTO_GENERADOR!$Q:$Q,PPTO_GENERADOR!A:A,"-",0)</f>
        <v>-</v>
      </c>
    </row>
    <row r="1114" spans="1:18" ht="14.25" customHeight="1" x14ac:dyDescent="0.35">
      <c r="A1114" s="38" t="s">
        <v>2702</v>
      </c>
      <c r="B1114" s="38" t="s">
        <v>2776</v>
      </c>
      <c r="C1114" s="38" t="s">
        <v>2777</v>
      </c>
      <c r="D1114" s="237" t="s">
        <v>1577</v>
      </c>
      <c r="E1114" s="44" t="str">
        <f>IFERROR(VLOOKUP(D1114,MANO_DE_OBRA!A:B,2,FALSE()),"?")</f>
        <v>AYUDANTE</v>
      </c>
      <c r="F1114" s="44" t="s">
        <v>2778</v>
      </c>
      <c r="G1114" s="45">
        <v>0.45</v>
      </c>
      <c r="H1114" s="46">
        <v>0</v>
      </c>
      <c r="I1114" s="47">
        <f>IFERROR(VLOOKUP(D1114,MANO_DE_OBRA!A:C,3,FALSE()),0)</f>
        <v>60860.580776572002</v>
      </c>
      <c r="J1114" s="42">
        <f>G1114*I1114</f>
        <v>27387.2613494574</v>
      </c>
      <c r="K1114" s="15" t="str">
        <f t="shared" si="124"/>
        <v>PTO-0808|MO</v>
      </c>
      <c r="L1114" s="15">
        <f>COUNTIFS($K$2:K1114,K1114)</f>
        <v>1</v>
      </c>
      <c r="M1114" s="15" t="str">
        <f t="shared" si="125"/>
        <v>PTO-0808|MO|1</v>
      </c>
      <c r="N1114" s="47">
        <f>IFERROR(VLOOKUP(A1114,PARTIDAS!A:F,6,FALSE()),0)</f>
        <v>14.5</v>
      </c>
      <c r="O1114" s="247">
        <f t="shared" si="126"/>
        <v>3.1034482758620689E-2</v>
      </c>
      <c r="P1114" s="247" t="str">
        <f>+_xlfn.XLOOKUP(A1114,PPTO_GENERADOR!Q:Q,PPTO_GENERADOR!E:E,"-",0)</f>
        <v>-</v>
      </c>
      <c r="Q1114" s="247">
        <f t="shared" si="127"/>
        <v>0</v>
      </c>
      <c r="R1114" s="259" t="str">
        <f>+_xlfn.XLOOKUP(A1114,PPTO_GENERADOR!$Q:$Q,PPTO_GENERADOR!A:A,"-",0)</f>
        <v>-</v>
      </c>
    </row>
    <row r="1115" spans="1:18" ht="14.25" customHeight="1" x14ac:dyDescent="0.35">
      <c r="A1115" s="38" t="s">
        <v>2702</v>
      </c>
      <c r="B1115" s="38" t="s">
        <v>2776</v>
      </c>
      <c r="C1115" s="38" t="s">
        <v>2777</v>
      </c>
      <c r="D1115" s="237" t="s">
        <v>1568</v>
      </c>
      <c r="E1115" s="44" t="str">
        <f>IFERROR(VLOOKUP(D1115,MANO_DE_OBRA!A:B,2,FALSE()),"?")</f>
        <v>ESPECIALIZADO</v>
      </c>
      <c r="F1115" s="44" t="s">
        <v>2778</v>
      </c>
      <c r="G1115" s="45">
        <v>1</v>
      </c>
      <c r="H1115" s="46">
        <v>0</v>
      </c>
      <c r="I1115" s="47">
        <f>IFERROR(VLOOKUP(D1115,MANO_DE_OBRA!A:C,3,FALSE()),0)</f>
        <v>85927.097156571996</v>
      </c>
      <c r="J1115" s="42">
        <f>G1115*I1115</f>
        <v>85927.097156571996</v>
      </c>
      <c r="K1115" s="15" t="str">
        <f t="shared" si="124"/>
        <v>PTO-0808|MO</v>
      </c>
      <c r="L1115" s="15">
        <f>COUNTIFS($K$2:K1115,K1115)</f>
        <v>2</v>
      </c>
      <c r="M1115" s="15" t="str">
        <f t="shared" si="125"/>
        <v>PTO-0808|MO|2</v>
      </c>
      <c r="N1115" s="47">
        <f>IFERROR(VLOOKUP(A1115,PARTIDAS!A:F,6,FALSE()),0)</f>
        <v>14.5</v>
      </c>
      <c r="O1115" s="247">
        <f t="shared" si="126"/>
        <v>6.8965517241379309E-2</v>
      </c>
      <c r="P1115" s="247" t="str">
        <f>+_xlfn.XLOOKUP(A1115,PPTO_GENERADOR!Q:Q,PPTO_GENERADOR!E:E,"-",0)</f>
        <v>-</v>
      </c>
      <c r="Q1115" s="247">
        <f t="shared" si="127"/>
        <v>0</v>
      </c>
      <c r="R1115" s="259" t="str">
        <f>+_xlfn.XLOOKUP(A1115,PPTO_GENERADOR!$Q:$Q,PPTO_GENERADOR!A:A,"-",0)</f>
        <v>-</v>
      </c>
    </row>
    <row r="1116" spans="1:18" ht="14.25" customHeight="1" x14ac:dyDescent="0.35">
      <c r="A1116" s="38" t="s">
        <v>172</v>
      </c>
      <c r="B1116" s="38" t="s">
        <v>2773</v>
      </c>
      <c r="C1116" s="38"/>
      <c r="D1116" s="38" t="s">
        <v>1836</v>
      </c>
      <c r="E1116" s="44" t="str">
        <f>IFERROR(VLOOKUP(D1116,EQUIPOS!A:B,2,FALSE()),"?")</f>
        <v>Herramientas menores y consumibles - Provisión y ejecución de cemento alisado arrodilla</v>
      </c>
      <c r="F1116" s="44"/>
      <c r="G1116" s="45">
        <v>1</v>
      </c>
      <c r="H1116" s="46">
        <v>0</v>
      </c>
      <c r="I1116" s="47">
        <f>IFERROR(VLOOKUP(D1116,EQUIPOS!A:F,6,FALSE()),0)</f>
        <v>23389.673803614602</v>
      </c>
      <c r="J1116" s="42">
        <f>G1116*I1116</f>
        <v>23389.673803614602</v>
      </c>
      <c r="K1116" s="15" t="str">
        <f t="shared" si="124"/>
        <v>PTO-0901|EQ</v>
      </c>
      <c r="L1116" s="15">
        <f>COUNTIFS($K$2:K1116,K1116)</f>
        <v>1</v>
      </c>
      <c r="M1116" s="15" t="str">
        <f t="shared" si="125"/>
        <v>PTO-0901|EQ|1</v>
      </c>
      <c r="N1116" s="47">
        <f>IFERROR(VLOOKUP(A1116,PARTIDAS!A:F,6,FALSE()),0)</f>
        <v>1</v>
      </c>
      <c r="O1116" s="247">
        <f t="shared" si="126"/>
        <v>1</v>
      </c>
      <c r="P1116" s="247">
        <f>+_xlfn.XLOOKUP(A1116,PPTO_GENERADOR!Q:Q,PPTO_GENERADOR!E:E,"-",0)</f>
        <v>1</v>
      </c>
      <c r="Q1116" s="247">
        <f t="shared" si="127"/>
        <v>1</v>
      </c>
      <c r="R1116" s="259">
        <f>+_xlfn.XLOOKUP(A1116,PPTO_GENERADOR!$Q:$Q,PPTO_GENERADOR!A:A,"-",0)</f>
        <v>9.01</v>
      </c>
    </row>
    <row r="1117" spans="1:18" ht="14.25" customHeight="1" x14ac:dyDescent="0.35">
      <c r="A1117" s="38" t="s">
        <v>172</v>
      </c>
      <c r="B1117" s="38" t="s">
        <v>2774</v>
      </c>
      <c r="C1117" s="38" t="s">
        <v>2779</v>
      </c>
      <c r="D1117" s="38" t="s">
        <v>1229</v>
      </c>
      <c r="E1117" s="44" t="str">
        <f>IFERROR(VLOOKUP(D1117,MATERIALES!A:B,2,FALSE()),"?")</f>
        <v>Carpeta cilindrada</v>
      </c>
      <c r="F1117" s="44" t="str">
        <f>IFERROR(VLOOKUP(D1117,MATERIALES!A:C,3,FALSE()),"?")</f>
        <v>m2</v>
      </c>
      <c r="G1117" s="45">
        <v>44.55</v>
      </c>
      <c r="H1117" s="46">
        <v>0</v>
      </c>
      <c r="I1117" s="47">
        <f>IFERROR(VLOOKUP(D1117,MATERIALES!A:D,4,FALSE()),0)</f>
        <v>4066.3295640000001</v>
      </c>
      <c r="J1117" s="42">
        <f>G1117*I1117*(1+H1117)</f>
        <v>181154.98207619999</v>
      </c>
      <c r="K1117" s="15" t="str">
        <f t="shared" si="124"/>
        <v>PTO-0901|MAT</v>
      </c>
      <c r="L1117" s="15">
        <f>COUNTIFS($K$2:K1117,K1117)</f>
        <v>1</v>
      </c>
      <c r="M1117" s="15" t="str">
        <f t="shared" si="125"/>
        <v>PTO-0901|MAT|1</v>
      </c>
      <c r="N1117" s="47">
        <f>IFERROR(VLOOKUP(A1117,PARTIDAS!A:F,6,FALSE()),0)</f>
        <v>1</v>
      </c>
      <c r="O1117" s="247">
        <f t="shared" si="126"/>
        <v>44.55</v>
      </c>
      <c r="P1117" s="247">
        <f>+_xlfn.XLOOKUP(A1117,PPTO_GENERADOR!Q:Q,PPTO_GENERADOR!E:E,"-",0)</f>
        <v>1</v>
      </c>
      <c r="Q1117" s="247">
        <f t="shared" si="127"/>
        <v>44.55</v>
      </c>
      <c r="R1117" s="259">
        <f>+_xlfn.XLOOKUP(A1117,PPTO_GENERADOR!$Q:$Q,PPTO_GENERADOR!A:A,"-",0)</f>
        <v>9.01</v>
      </c>
    </row>
    <row r="1118" spans="1:18" ht="14.25" customHeight="1" x14ac:dyDescent="0.35">
      <c r="A1118" s="38" t="s">
        <v>172</v>
      </c>
      <c r="B1118" s="38" t="s">
        <v>2776</v>
      </c>
      <c r="C1118" s="38" t="s">
        <v>2777</v>
      </c>
      <c r="D1118" s="38" t="s">
        <v>1577</v>
      </c>
      <c r="E1118" s="44" t="str">
        <f>IFERROR(VLOOKUP(D1118,MANO_DE_OBRA!A:B,2,FALSE()),"?")</f>
        <v>AYUDANTE</v>
      </c>
      <c r="F1118" s="44" t="s">
        <v>2778</v>
      </c>
      <c r="G1118" s="45">
        <v>10</v>
      </c>
      <c r="H1118" s="46">
        <v>0</v>
      </c>
      <c r="I1118" s="47">
        <f>IFERROR(VLOOKUP(D1118,MANO_DE_OBRA!A:C,3,FALSE()),0)</f>
        <v>60860.580776572002</v>
      </c>
      <c r="J1118" s="42">
        <f>G1118*I1118</f>
        <v>608605.80776572006</v>
      </c>
      <c r="K1118" s="15" t="str">
        <f t="shared" si="124"/>
        <v>PTO-0901|MO</v>
      </c>
      <c r="L1118" s="15">
        <f>COUNTIFS($K$2:K1118,K1118)</f>
        <v>1</v>
      </c>
      <c r="M1118" s="15" t="str">
        <f t="shared" si="125"/>
        <v>PTO-0901|MO|1</v>
      </c>
      <c r="N1118" s="47">
        <f>IFERROR(VLOOKUP(A1118,PARTIDAS!A:F,6,FALSE()),0)</f>
        <v>1</v>
      </c>
      <c r="O1118" s="247">
        <f t="shared" si="126"/>
        <v>10</v>
      </c>
      <c r="P1118" s="247">
        <f>+_xlfn.XLOOKUP(A1118,PPTO_GENERADOR!Q:Q,PPTO_GENERADOR!E:E,"-",0)</f>
        <v>1</v>
      </c>
      <c r="Q1118" s="247">
        <f t="shared" si="127"/>
        <v>10</v>
      </c>
      <c r="R1118" s="259">
        <f>+_xlfn.XLOOKUP(A1118,PPTO_GENERADOR!$Q:$Q,PPTO_GENERADOR!A:A,"-",0)</f>
        <v>9.01</v>
      </c>
    </row>
    <row r="1119" spans="1:18" ht="14.25" customHeight="1" x14ac:dyDescent="0.35">
      <c r="A1119" s="38" t="s">
        <v>172</v>
      </c>
      <c r="B1119" s="38" t="s">
        <v>2776</v>
      </c>
      <c r="C1119" s="38" t="s">
        <v>2777</v>
      </c>
      <c r="D1119" s="237" t="s">
        <v>1571</v>
      </c>
      <c r="E1119" s="44" t="str">
        <f>IFERROR(VLOOKUP(D1119,MANO_DE_OBRA!A:B,2,FALSE()),"?")</f>
        <v>OFICIAL</v>
      </c>
      <c r="F1119" s="44" t="s">
        <v>2778</v>
      </c>
      <c r="G1119" s="45">
        <v>10</v>
      </c>
      <c r="H1119" s="46">
        <v>0</v>
      </c>
      <c r="I1119" s="47">
        <f>IFERROR(VLOOKUP(D1119,MANO_DE_OBRA!A:C,3,FALSE()),0)</f>
        <v>76955.079706571996</v>
      </c>
      <c r="J1119" s="42">
        <f>G1119*I1119</f>
        <v>769550.79706571996</v>
      </c>
      <c r="K1119" s="15" t="str">
        <f t="shared" si="124"/>
        <v>PTO-0901|MO</v>
      </c>
      <c r="L1119" s="15">
        <f>COUNTIFS($K$2:K1119,K1119)</f>
        <v>2</v>
      </c>
      <c r="M1119" s="15" t="str">
        <f t="shared" si="125"/>
        <v>PTO-0901|MO|2</v>
      </c>
      <c r="N1119" s="47">
        <f>IFERROR(VLOOKUP(A1119,PARTIDAS!A:F,6,FALSE()),0)</f>
        <v>1</v>
      </c>
      <c r="O1119" s="247">
        <f t="shared" si="126"/>
        <v>10</v>
      </c>
      <c r="P1119" s="247">
        <f>+_xlfn.XLOOKUP(A1119,PPTO_GENERADOR!Q:Q,PPTO_GENERADOR!E:E,"-",0)</f>
        <v>1</v>
      </c>
      <c r="Q1119" s="247">
        <f t="shared" si="127"/>
        <v>10</v>
      </c>
      <c r="R1119" s="259">
        <f>+_xlfn.XLOOKUP(A1119,PPTO_GENERADOR!$Q:$Q,PPTO_GENERADOR!A:A,"-",0)</f>
        <v>9.01</v>
      </c>
    </row>
    <row r="1120" spans="1:18" ht="14.25" customHeight="1" x14ac:dyDescent="0.35">
      <c r="A1120" s="38" t="s">
        <v>174</v>
      </c>
      <c r="B1120" s="38" t="s">
        <v>2773</v>
      </c>
      <c r="C1120" s="38"/>
      <c r="D1120" s="38" t="s">
        <v>1839</v>
      </c>
      <c r="E1120" s="44" t="str">
        <f>IFERROR(VLOOKUP(D1120,EQUIPOS!A:B,2,FALSE()),"?")</f>
        <v>Herramientas menores y consumibles - Provisión nariz escalera, hierro angulo 5/8 x 1/8"</v>
      </c>
      <c r="F1120" s="44"/>
      <c r="G1120" s="45">
        <v>1</v>
      </c>
      <c r="H1120" s="46">
        <v>0</v>
      </c>
      <c r="I1120" s="47">
        <f>IFERROR(VLOOKUP(D1120,EQUIPOS!A:F,6,FALSE()),0)</f>
        <v>310.723693448277</v>
      </c>
      <c r="J1120" s="42">
        <f>G1120*I1120</f>
        <v>310.723693448277</v>
      </c>
      <c r="K1120" s="15" t="str">
        <f t="shared" si="124"/>
        <v>PTO-0902|EQ</v>
      </c>
      <c r="L1120" s="15">
        <f>COUNTIFS($K$2:K1120,K1120)</f>
        <v>1</v>
      </c>
      <c r="M1120" s="15" t="str">
        <f t="shared" si="125"/>
        <v>PTO-0902|EQ|1</v>
      </c>
      <c r="N1120" s="47">
        <f>IFERROR(VLOOKUP(A1120,PARTIDAS!A:F,6,FALSE()),0)</f>
        <v>1</v>
      </c>
      <c r="O1120" s="247">
        <f t="shared" si="126"/>
        <v>1</v>
      </c>
      <c r="P1120" s="247">
        <f>+_xlfn.XLOOKUP(A1120,PPTO_GENERADOR!Q:Q,PPTO_GENERADOR!E:E,"-",0)</f>
        <v>81</v>
      </c>
      <c r="Q1120" s="247">
        <f t="shared" si="127"/>
        <v>81</v>
      </c>
      <c r="R1120" s="259">
        <f>+_xlfn.XLOOKUP(A1120,PPTO_GENERADOR!$Q:$Q,PPTO_GENERADOR!A:A,"-",0)</f>
        <v>9.02</v>
      </c>
    </row>
    <row r="1121" spans="1:18" ht="14.25" customHeight="1" x14ac:dyDescent="0.35">
      <c r="A1121" s="38" t="s">
        <v>174</v>
      </c>
      <c r="B1121" s="38" t="s">
        <v>2774</v>
      </c>
      <c r="C1121" s="38" t="s">
        <v>2775</v>
      </c>
      <c r="D1121" s="38" t="s">
        <v>1232</v>
      </c>
      <c r="E1121" s="44" t="str">
        <f>IFERROR(VLOOKUP(D1121,MATERIALES!A:B,2,FALSE()),"?")</f>
        <v>PERFIL ANGULO ALAS IGUALES ESTRUCTURAL ACERO 6M X 5/8" X 1/8</v>
      </c>
      <c r="F1121" s="44" t="str">
        <f>IFERROR(VLOOKUP(D1121,MATERIALES!A:C,3,FALSE()),"?")</f>
        <v>u</v>
      </c>
      <c r="G1121" s="45">
        <v>0.209876543209877</v>
      </c>
      <c r="H1121" s="46">
        <v>0</v>
      </c>
      <c r="I1121" s="47">
        <f>IFERROR(VLOOKUP(D1121,MATERIALES!A:D,4,FALSE()),0)</f>
        <v>8951.7603305785105</v>
      </c>
      <c r="J1121" s="42">
        <f>G1121*I1121*(1+H1121)</f>
        <v>1878.7645138251237</v>
      </c>
      <c r="K1121" s="15" t="str">
        <f t="shared" si="124"/>
        <v>PTO-0902|MAT</v>
      </c>
      <c r="L1121" s="15">
        <f>COUNTIFS($K$2:K1121,K1121)</f>
        <v>1</v>
      </c>
      <c r="M1121" s="15" t="str">
        <f t="shared" si="125"/>
        <v>PTO-0902|MAT|1</v>
      </c>
      <c r="N1121" s="47">
        <f>IFERROR(VLOOKUP(A1121,PARTIDAS!A:F,6,FALSE()),0)</f>
        <v>1</v>
      </c>
      <c r="O1121" s="247">
        <f t="shared" si="126"/>
        <v>0.209876543209877</v>
      </c>
      <c r="P1121" s="247">
        <f>+_xlfn.XLOOKUP(A1121,PPTO_GENERADOR!Q:Q,PPTO_GENERADOR!E:E,"-",0)</f>
        <v>81</v>
      </c>
      <c r="Q1121" s="247">
        <f t="shared" si="127"/>
        <v>17.000000000000036</v>
      </c>
      <c r="R1121" s="259">
        <f>+_xlfn.XLOOKUP(A1121,PPTO_GENERADOR!$Q:$Q,PPTO_GENERADOR!A:A,"-",0)</f>
        <v>9.02</v>
      </c>
    </row>
    <row r="1122" spans="1:18" ht="14.25" customHeight="1" x14ac:dyDescent="0.35">
      <c r="A1122" s="38" t="s">
        <v>174</v>
      </c>
      <c r="B1122" s="38" t="s">
        <v>2774</v>
      </c>
      <c r="C1122" s="38" t="s">
        <v>2775</v>
      </c>
      <c r="D1122" s="38" t="s">
        <v>1235</v>
      </c>
      <c r="E1122" s="44" t="str">
        <f>IFERROR(VLOOKUP(D1122,MATERIALES!A:B,2,FALSE()),"?")</f>
        <v>Esmalte sintetico</v>
      </c>
      <c r="F1122" s="44" t="str">
        <f>IFERROR(VLOOKUP(D1122,MATERIALES!A:C,3,FALSE()),"?")</f>
        <v xml:space="preserve">lts </v>
      </c>
      <c r="G1122" s="45">
        <v>2.4691358024691398E-2</v>
      </c>
      <c r="H1122" s="46">
        <v>0</v>
      </c>
      <c r="I1122" s="47">
        <f>IFERROR(VLOOKUP(D1122,MATERIALES!A:D,4,FALSE()),0)</f>
        <v>12396.694214876001</v>
      </c>
      <c r="J1122" s="42">
        <f>G1122*I1122*(1+H1122)</f>
        <v>306.09121518212396</v>
      </c>
      <c r="K1122" s="15" t="str">
        <f t="shared" si="124"/>
        <v>PTO-0902|MAT</v>
      </c>
      <c r="L1122" s="15">
        <f>COUNTIFS($K$2:K1122,K1122)</f>
        <v>2</v>
      </c>
      <c r="M1122" s="15" t="str">
        <f t="shared" si="125"/>
        <v>PTO-0902|MAT|2</v>
      </c>
      <c r="N1122" s="47">
        <f>IFERROR(VLOOKUP(A1122,PARTIDAS!A:F,6,FALSE()),0)</f>
        <v>1</v>
      </c>
      <c r="O1122" s="247">
        <f t="shared" si="126"/>
        <v>2.4691358024691398E-2</v>
      </c>
      <c r="P1122" s="247">
        <f>+_xlfn.XLOOKUP(A1122,PPTO_GENERADOR!Q:Q,PPTO_GENERADOR!E:E,"-",0)</f>
        <v>81</v>
      </c>
      <c r="Q1122" s="247">
        <f t="shared" si="127"/>
        <v>2.0000000000000031</v>
      </c>
      <c r="R1122" s="259">
        <f>+_xlfn.XLOOKUP(A1122,PPTO_GENERADOR!$Q:$Q,PPTO_GENERADOR!A:A,"-",0)</f>
        <v>9.02</v>
      </c>
    </row>
    <row r="1123" spans="1:18" ht="14.25" customHeight="1" x14ac:dyDescent="0.35">
      <c r="A1123" s="38" t="s">
        <v>174</v>
      </c>
      <c r="B1123" s="38" t="s">
        <v>2774</v>
      </c>
      <c r="C1123" s="38" t="s">
        <v>2775</v>
      </c>
      <c r="D1123" s="38" t="s">
        <v>1238</v>
      </c>
      <c r="E1123" s="44" t="str">
        <f>IFERROR(VLOOKUP(D1123,MATERIALES!A:B,2,FALSE()),"?")</f>
        <v>Electrodos</v>
      </c>
      <c r="F1123" s="44" t="str">
        <f>IFERROR(VLOOKUP(D1123,MATERIALES!A:C,3,FALSE()),"?")</f>
        <v>kg</v>
      </c>
      <c r="G1123" s="45">
        <v>6.1728395061728399E-2</v>
      </c>
      <c r="H1123" s="46">
        <v>0</v>
      </c>
      <c r="I1123" s="47">
        <f>IFERROR(VLOOKUP(D1123,MATERIALES!A:D,4,FALSE()),0)</f>
        <v>6611.5702479338797</v>
      </c>
      <c r="J1123" s="42">
        <f>G1123*I1123*(1+H1123)</f>
        <v>408.12162024283208</v>
      </c>
      <c r="K1123" s="15" t="str">
        <f t="shared" si="124"/>
        <v>PTO-0902|MAT</v>
      </c>
      <c r="L1123" s="15">
        <f>COUNTIFS($K$2:K1123,K1123)</f>
        <v>3</v>
      </c>
      <c r="M1123" s="15" t="str">
        <f t="shared" si="125"/>
        <v>PTO-0902|MAT|3</v>
      </c>
      <c r="N1123" s="47">
        <f>IFERROR(VLOOKUP(A1123,PARTIDAS!A:F,6,FALSE()),0)</f>
        <v>1</v>
      </c>
      <c r="O1123" s="247">
        <f t="shared" si="126"/>
        <v>6.1728395061728399E-2</v>
      </c>
      <c r="P1123" s="247">
        <f>+_xlfn.XLOOKUP(A1123,PPTO_GENERADOR!Q:Q,PPTO_GENERADOR!E:E,"-",0)</f>
        <v>81</v>
      </c>
      <c r="Q1123" s="247">
        <f t="shared" si="127"/>
        <v>5</v>
      </c>
      <c r="R1123" s="259">
        <f>+_xlfn.XLOOKUP(A1123,PPTO_GENERADOR!$Q:$Q,PPTO_GENERADOR!A:A,"-",0)</f>
        <v>9.02</v>
      </c>
    </row>
    <row r="1124" spans="1:18" ht="14.25" customHeight="1" x14ac:dyDescent="0.35">
      <c r="A1124" s="38" t="s">
        <v>174</v>
      </c>
      <c r="B1124" s="38" t="s">
        <v>2776</v>
      </c>
      <c r="C1124" s="38" t="s">
        <v>2777</v>
      </c>
      <c r="D1124" s="38" t="s">
        <v>1577</v>
      </c>
      <c r="E1124" s="44" t="str">
        <f>IFERROR(VLOOKUP(D1124,MANO_DE_OBRA!A:B,2,FALSE()),"?")</f>
        <v>AYUDANTE</v>
      </c>
      <c r="F1124" s="44" t="s">
        <v>2778</v>
      </c>
      <c r="G1124" s="45">
        <v>0.12345679012345701</v>
      </c>
      <c r="H1124" s="46">
        <v>0</v>
      </c>
      <c r="I1124" s="47">
        <f>IFERROR(VLOOKUP(D1124,MANO_DE_OBRA!A:C,3,FALSE()),0)</f>
        <v>60860.580776572002</v>
      </c>
      <c r="J1124" s="42">
        <f>G1124*I1124</f>
        <v>7513.6519477249512</v>
      </c>
      <c r="K1124" s="15" t="str">
        <f t="shared" si="124"/>
        <v>PTO-0902|MO</v>
      </c>
      <c r="L1124" s="15">
        <f>COUNTIFS($K$2:K1124,K1124)</f>
        <v>1</v>
      </c>
      <c r="M1124" s="15" t="str">
        <f t="shared" si="125"/>
        <v>PTO-0902|MO|1</v>
      </c>
      <c r="N1124" s="47">
        <f>IFERROR(VLOOKUP(A1124,PARTIDAS!A:F,6,FALSE()),0)</f>
        <v>1</v>
      </c>
      <c r="O1124" s="247">
        <f t="shared" si="126"/>
        <v>0.12345679012345701</v>
      </c>
      <c r="P1124" s="247">
        <f>+_xlfn.XLOOKUP(A1124,PPTO_GENERADOR!Q:Q,PPTO_GENERADOR!E:E,"-",0)</f>
        <v>81</v>
      </c>
      <c r="Q1124" s="247">
        <f t="shared" si="127"/>
        <v>10.000000000000018</v>
      </c>
      <c r="R1124" s="259">
        <f>+_xlfn.XLOOKUP(A1124,PPTO_GENERADOR!$Q:$Q,PPTO_GENERADOR!A:A,"-",0)</f>
        <v>9.02</v>
      </c>
    </row>
    <row r="1125" spans="1:18" ht="14.25" customHeight="1" x14ac:dyDescent="0.35">
      <c r="A1125" s="38" t="s">
        <v>174</v>
      </c>
      <c r="B1125" s="38" t="s">
        <v>2776</v>
      </c>
      <c r="C1125" s="38" t="s">
        <v>2777</v>
      </c>
      <c r="D1125" s="237" t="s">
        <v>1568</v>
      </c>
      <c r="E1125" s="44" t="str">
        <f>IFERROR(VLOOKUP(D1125,MANO_DE_OBRA!A:B,2,FALSE()),"?")</f>
        <v>ESPECIALIZADO</v>
      </c>
      <c r="F1125" s="44" t="s">
        <v>2778</v>
      </c>
      <c r="G1125" s="45">
        <v>0.12345679012345701</v>
      </c>
      <c r="H1125" s="46">
        <v>0</v>
      </c>
      <c r="I1125" s="47">
        <f>IFERROR(VLOOKUP(D1125,MANO_DE_OBRA!A:C,3,FALSE()),0)</f>
        <v>85927.097156571996</v>
      </c>
      <c r="J1125" s="42">
        <f>G1125*I1125</f>
        <v>10608.283599576807</v>
      </c>
      <c r="K1125" s="15" t="str">
        <f t="shared" si="124"/>
        <v>PTO-0902|MO</v>
      </c>
      <c r="L1125" s="15">
        <f>COUNTIFS($K$2:K1125,K1125)</f>
        <v>2</v>
      </c>
      <c r="M1125" s="15" t="str">
        <f t="shared" si="125"/>
        <v>PTO-0902|MO|2</v>
      </c>
      <c r="N1125" s="47">
        <f>IFERROR(VLOOKUP(A1125,PARTIDAS!A:F,6,FALSE()),0)</f>
        <v>1</v>
      </c>
      <c r="O1125" s="247">
        <f t="shared" si="126"/>
        <v>0.12345679012345701</v>
      </c>
      <c r="P1125" s="247">
        <f>+_xlfn.XLOOKUP(A1125,PPTO_GENERADOR!Q:Q,PPTO_GENERADOR!E:E,"-",0)</f>
        <v>81</v>
      </c>
      <c r="Q1125" s="247">
        <f t="shared" si="127"/>
        <v>10.000000000000018</v>
      </c>
      <c r="R1125" s="259">
        <f>+_xlfn.XLOOKUP(A1125,PPTO_GENERADOR!$Q:$Q,PPTO_GENERADOR!A:A,"-",0)</f>
        <v>9.02</v>
      </c>
    </row>
    <row r="1126" spans="1:18" ht="14.25" customHeight="1" x14ac:dyDescent="0.35">
      <c r="A1126" s="38" t="s">
        <v>176</v>
      </c>
      <c r="B1126" s="38" t="s">
        <v>2773</v>
      </c>
      <c r="C1126" s="38"/>
      <c r="D1126" s="38" t="s">
        <v>1842</v>
      </c>
      <c r="E1126" s="44" t="str">
        <f>IFERROR(VLOOKUP(D1126,EQUIPOS!A:B,2,FALSE()),"?")</f>
        <v>Herramientas menores y consumibles - Ejecución de zócalo rampante de concreto h: 10 cm</v>
      </c>
      <c r="F1126" s="44"/>
      <c r="G1126" s="45">
        <v>1</v>
      </c>
      <c r="H1126" s="46">
        <v>0</v>
      </c>
      <c r="I1126" s="47">
        <f>IFERROR(VLOOKUP(D1126,EQUIPOS!A:F,6,FALSE()),0)</f>
        <v>114.200147046578</v>
      </c>
      <c r="J1126" s="42">
        <f>G1126*I1126</f>
        <v>114.200147046578</v>
      </c>
      <c r="K1126" s="15" t="str">
        <f t="shared" si="124"/>
        <v>PTO-0903|EQ</v>
      </c>
      <c r="L1126" s="15">
        <f>COUNTIFS($K$2:K1126,K1126)</f>
        <v>1</v>
      </c>
      <c r="M1126" s="15" t="str">
        <f t="shared" si="125"/>
        <v>PTO-0903|EQ|1</v>
      </c>
      <c r="N1126" s="47">
        <f>IFERROR(VLOOKUP(A1126,PARTIDAS!A:F,6,FALSE()),0)</f>
        <v>1</v>
      </c>
      <c r="O1126" s="247">
        <f t="shared" si="126"/>
        <v>1</v>
      </c>
      <c r="P1126" s="247">
        <f>+_xlfn.XLOOKUP(A1126,PPTO_GENERADOR!Q:Q,PPTO_GENERADOR!E:E,"-",0)</f>
        <v>46</v>
      </c>
      <c r="Q1126" s="247">
        <f t="shared" si="127"/>
        <v>46</v>
      </c>
      <c r="R1126" s="259">
        <f>+_xlfn.XLOOKUP(A1126,PPTO_GENERADOR!$Q:$Q,PPTO_GENERADOR!A:A,"-",0)</f>
        <v>9.0299999999999994</v>
      </c>
    </row>
    <row r="1127" spans="1:18" ht="14.25" customHeight="1" x14ac:dyDescent="0.35">
      <c r="A1127" s="38" t="s">
        <v>176</v>
      </c>
      <c r="B1127" s="38" t="s">
        <v>2774</v>
      </c>
      <c r="C1127" s="38" t="s">
        <v>2779</v>
      </c>
      <c r="D1127" s="38" t="s">
        <v>1229</v>
      </c>
      <c r="E1127" s="44" t="str">
        <f>IFERROR(VLOOKUP(D1127,MATERIALES!A:B,2,FALSE()),"?")</f>
        <v>Carpeta cilindrada</v>
      </c>
      <c r="F1127" s="44" t="str">
        <f>IFERROR(VLOOKUP(D1127,MATERIALES!A:C,3,FALSE()),"?")</f>
        <v>m2</v>
      </c>
      <c r="G1127" s="45">
        <v>0.15</v>
      </c>
      <c r="H1127" s="46">
        <v>0</v>
      </c>
      <c r="I1127" s="47">
        <f>IFERROR(VLOOKUP(D1127,MATERIALES!A:D,4,FALSE()),0)</f>
        <v>4066.3295640000001</v>
      </c>
      <c r="J1127" s="42">
        <f>G1127*I1127*(1+H1127)</f>
        <v>609.94943460000002</v>
      </c>
      <c r="K1127" s="15" t="str">
        <f t="shared" si="124"/>
        <v>PTO-0903|MAT</v>
      </c>
      <c r="L1127" s="15">
        <f>COUNTIFS($K$2:K1127,K1127)</f>
        <v>1</v>
      </c>
      <c r="M1127" s="15" t="str">
        <f t="shared" si="125"/>
        <v>PTO-0903|MAT|1</v>
      </c>
      <c r="N1127" s="47">
        <f>IFERROR(VLOOKUP(A1127,PARTIDAS!A:F,6,FALSE()),0)</f>
        <v>1</v>
      </c>
      <c r="O1127" s="247">
        <f t="shared" si="126"/>
        <v>0.15</v>
      </c>
      <c r="P1127" s="247">
        <f>+_xlfn.XLOOKUP(A1127,PPTO_GENERADOR!Q:Q,PPTO_GENERADOR!E:E,"-",0)</f>
        <v>46</v>
      </c>
      <c r="Q1127" s="247">
        <f t="shared" si="127"/>
        <v>6.8999999999999995</v>
      </c>
      <c r="R1127" s="259">
        <f>+_xlfn.XLOOKUP(A1127,PPTO_GENERADOR!$Q:$Q,PPTO_GENERADOR!A:A,"-",0)</f>
        <v>9.0299999999999994</v>
      </c>
    </row>
    <row r="1128" spans="1:18" ht="14.25" customHeight="1" x14ac:dyDescent="0.35">
      <c r="A1128" s="38" t="s">
        <v>176</v>
      </c>
      <c r="B1128" s="38" t="s">
        <v>2776</v>
      </c>
      <c r="C1128" s="38" t="s">
        <v>2777</v>
      </c>
      <c r="D1128" s="38" t="s">
        <v>1577</v>
      </c>
      <c r="E1128" s="44" t="str">
        <f>IFERROR(VLOOKUP(D1128,MANO_DE_OBRA!A:B,2,FALSE()),"?")</f>
        <v>AYUDANTE</v>
      </c>
      <c r="F1128" s="44" t="s">
        <v>2778</v>
      </c>
      <c r="G1128" s="45">
        <v>3.2608695652173898E-2</v>
      </c>
      <c r="H1128" s="46">
        <v>0</v>
      </c>
      <c r="I1128" s="47">
        <f>IFERROR(VLOOKUP(D1128,MANO_DE_OBRA!A:C,3,FALSE()),0)</f>
        <v>60860.580776572002</v>
      </c>
      <c r="J1128" s="42">
        <f>G1128*I1128</f>
        <v>1984.5841557577817</v>
      </c>
      <c r="K1128" s="15" t="str">
        <f t="shared" si="124"/>
        <v>PTO-0903|MO</v>
      </c>
      <c r="L1128" s="15">
        <f>COUNTIFS($K$2:K1128,K1128)</f>
        <v>1</v>
      </c>
      <c r="M1128" s="15" t="str">
        <f t="shared" si="125"/>
        <v>PTO-0903|MO|1</v>
      </c>
      <c r="N1128" s="47">
        <f>IFERROR(VLOOKUP(A1128,PARTIDAS!A:F,6,FALSE()),0)</f>
        <v>1</v>
      </c>
      <c r="O1128" s="247">
        <f t="shared" si="126"/>
        <v>3.2608695652173898E-2</v>
      </c>
      <c r="P1128" s="247">
        <f>+_xlfn.XLOOKUP(A1128,PPTO_GENERADOR!Q:Q,PPTO_GENERADOR!E:E,"-",0)</f>
        <v>46</v>
      </c>
      <c r="Q1128" s="247">
        <f t="shared" si="127"/>
        <v>1.4999999999999993</v>
      </c>
      <c r="R1128" s="259">
        <f>+_xlfn.XLOOKUP(A1128,PPTO_GENERADOR!$Q:$Q,PPTO_GENERADOR!A:A,"-",0)</f>
        <v>9.0299999999999994</v>
      </c>
    </row>
    <row r="1129" spans="1:18" ht="14.25" customHeight="1" x14ac:dyDescent="0.35">
      <c r="A1129" s="38" t="s">
        <v>176</v>
      </c>
      <c r="B1129" s="38" t="s">
        <v>2776</v>
      </c>
      <c r="C1129" s="38" t="s">
        <v>2777</v>
      </c>
      <c r="D1129" s="237" t="s">
        <v>1571</v>
      </c>
      <c r="E1129" s="44" t="str">
        <f>IFERROR(VLOOKUP(D1129,MANO_DE_OBRA!A:B,2,FALSE()),"?")</f>
        <v>OFICIAL</v>
      </c>
      <c r="F1129" s="44" t="s">
        <v>2778</v>
      </c>
      <c r="G1129" s="45">
        <v>6.5217391304347797E-2</v>
      </c>
      <c r="H1129" s="46">
        <v>0</v>
      </c>
      <c r="I1129" s="47">
        <f>IFERROR(VLOOKUP(D1129,MANO_DE_OBRA!A:C,3,FALSE()),0)</f>
        <v>76955.079706571996</v>
      </c>
      <c r="J1129" s="42">
        <f>G1129*I1129</f>
        <v>5018.8095460807799</v>
      </c>
      <c r="K1129" s="15" t="str">
        <f t="shared" si="124"/>
        <v>PTO-0903|MO</v>
      </c>
      <c r="L1129" s="15">
        <f>COUNTIFS($K$2:K1129,K1129)</f>
        <v>2</v>
      </c>
      <c r="M1129" s="15" t="str">
        <f t="shared" si="125"/>
        <v>PTO-0903|MO|2</v>
      </c>
      <c r="N1129" s="47">
        <f>IFERROR(VLOOKUP(A1129,PARTIDAS!A:F,6,FALSE()),0)</f>
        <v>1</v>
      </c>
      <c r="O1129" s="247">
        <f t="shared" si="126"/>
        <v>6.5217391304347797E-2</v>
      </c>
      <c r="P1129" s="247">
        <f>+_xlfn.XLOOKUP(A1129,PPTO_GENERADOR!Q:Q,PPTO_GENERADOR!E:E,"-",0)</f>
        <v>46</v>
      </c>
      <c r="Q1129" s="247">
        <f t="shared" si="127"/>
        <v>2.9999999999999987</v>
      </c>
      <c r="R1129" s="259">
        <f>+_xlfn.XLOOKUP(A1129,PPTO_GENERADOR!$Q:$Q,PPTO_GENERADOR!A:A,"-",0)</f>
        <v>9.0299999999999994</v>
      </c>
    </row>
    <row r="1130" spans="1:18" ht="14.25" customHeight="1" x14ac:dyDescent="0.35">
      <c r="A1130" s="38" t="s">
        <v>178</v>
      </c>
      <c r="B1130" s="38" t="s">
        <v>2773</v>
      </c>
      <c r="C1130" s="38"/>
      <c r="D1130" s="38" t="s">
        <v>1845</v>
      </c>
      <c r="E1130" s="44" t="str">
        <f>IFERROR(VLOOKUP(D1130,EQUIPOS!A:B,2,FALSE()),"?")</f>
        <v>Herramientas menores y consumibles - Montaje de conductos de ventilación de baños C27 -</v>
      </c>
      <c r="F1130" s="44"/>
      <c r="G1130" s="45">
        <v>1</v>
      </c>
      <c r="H1130" s="46">
        <v>0</v>
      </c>
      <c r="I1130" s="47">
        <f>IFERROR(VLOOKUP(D1130,EQUIPOS!A:F,6,FALSE()),0)</f>
        <v>20453.608131728699</v>
      </c>
      <c r="J1130" s="42">
        <f>G1130*I1130</f>
        <v>20453.608131728699</v>
      </c>
      <c r="K1130" s="15" t="str">
        <f t="shared" si="124"/>
        <v>PTO-1001|EQ</v>
      </c>
      <c r="L1130" s="15">
        <f>COUNTIFS($K$2:K1130,K1130)</f>
        <v>1</v>
      </c>
      <c r="M1130" s="15" t="str">
        <f t="shared" si="125"/>
        <v>PTO-1001|EQ|1</v>
      </c>
      <c r="N1130" s="47">
        <f>IFERROR(VLOOKUP(A1130,PARTIDAS!A:F,6,FALSE()),0)</f>
        <v>1</v>
      </c>
      <c r="O1130" s="247">
        <f t="shared" si="126"/>
        <v>1</v>
      </c>
      <c r="P1130" s="247">
        <f>+_xlfn.XLOOKUP(A1130,PPTO_GENERADOR!Q:Q,PPTO_GENERADOR!E:E,"-",0)</f>
        <v>1</v>
      </c>
      <c r="Q1130" s="247">
        <f t="shared" si="127"/>
        <v>1</v>
      </c>
      <c r="R1130" s="259">
        <f>+_xlfn.XLOOKUP(A1130,PPTO_GENERADOR!$Q:$Q,PPTO_GENERADOR!A:A,"-",0)</f>
        <v>10.01</v>
      </c>
    </row>
    <row r="1131" spans="1:18" ht="14.25" customHeight="1" x14ac:dyDescent="0.35">
      <c r="A1131" s="38" t="s">
        <v>178</v>
      </c>
      <c r="B1131" s="38" t="s">
        <v>2774</v>
      </c>
      <c r="C1131" s="38" t="s">
        <v>2775</v>
      </c>
      <c r="D1131" s="38" t="s">
        <v>1361</v>
      </c>
      <c r="E1131" s="44" t="str">
        <f>IFERROR(VLOOKUP(D1131,MATERIALES!A:B,2,FALSE()),"?")</f>
        <v>Consumibles</v>
      </c>
      <c r="F1131" s="44" t="str">
        <f>IFERROR(VLOOKUP(D1131,MATERIALES!A:C,3,FALSE()),"?")</f>
        <v>gl</v>
      </c>
      <c r="G1131" s="45">
        <v>200000</v>
      </c>
      <c r="H1131" s="46">
        <v>0</v>
      </c>
      <c r="I1131" s="47">
        <f>IFERROR(VLOOKUP(D1131,MATERIALES!A:D,4,FALSE()),0)</f>
        <v>1</v>
      </c>
      <c r="J1131" s="42">
        <f>G1131*I1131*(1+H1131)</f>
        <v>200000</v>
      </c>
      <c r="K1131" s="15" t="str">
        <f t="shared" si="124"/>
        <v>PTO-1001|MAT</v>
      </c>
      <c r="L1131" s="15">
        <f>COUNTIFS($K$2:K1131,K1131)</f>
        <v>1</v>
      </c>
      <c r="M1131" s="15" t="str">
        <f t="shared" si="125"/>
        <v>PTO-1001|MAT|1</v>
      </c>
      <c r="N1131" s="47">
        <f>IFERROR(VLOOKUP(A1131,PARTIDAS!A:F,6,FALSE()),0)</f>
        <v>1</v>
      </c>
      <c r="O1131" s="247">
        <f t="shared" si="126"/>
        <v>200000</v>
      </c>
      <c r="P1131" s="247">
        <f>+_xlfn.XLOOKUP(A1131,PPTO_GENERADOR!Q:Q,PPTO_GENERADOR!E:E,"-",0)</f>
        <v>1</v>
      </c>
      <c r="Q1131" s="247">
        <f t="shared" si="127"/>
        <v>200000</v>
      </c>
      <c r="R1131" s="259">
        <f>+_xlfn.XLOOKUP(A1131,PPTO_GENERADOR!$Q:$Q,PPTO_GENERADOR!A:A,"-",0)</f>
        <v>10.01</v>
      </c>
    </row>
    <row r="1132" spans="1:18" ht="14.25" customHeight="1" x14ac:dyDescent="0.35">
      <c r="A1132" s="38" t="s">
        <v>178</v>
      </c>
      <c r="B1132" s="38" t="s">
        <v>2776</v>
      </c>
      <c r="C1132" s="38" t="s">
        <v>2777</v>
      </c>
      <c r="D1132" s="38" t="s">
        <v>1577</v>
      </c>
      <c r="E1132" s="44" t="str">
        <f>IFERROR(VLOOKUP(D1132,MANO_DE_OBRA!A:B,2,FALSE()),"?")</f>
        <v>AYUDANTE</v>
      </c>
      <c r="F1132" s="44" t="s">
        <v>2778</v>
      </c>
      <c r="G1132" s="45">
        <v>5</v>
      </c>
      <c r="H1132" s="46">
        <v>0</v>
      </c>
      <c r="I1132" s="47">
        <f>IFERROR(VLOOKUP(D1132,MANO_DE_OBRA!A:C,3,FALSE()),0)</f>
        <v>60860.580776572002</v>
      </c>
      <c r="J1132" s="42">
        <f>G1132*I1132</f>
        <v>304302.90388286003</v>
      </c>
      <c r="K1132" s="15" t="str">
        <f t="shared" si="124"/>
        <v>PTO-1001|MO</v>
      </c>
      <c r="L1132" s="15">
        <f>COUNTIFS($K$2:K1132,K1132)</f>
        <v>1</v>
      </c>
      <c r="M1132" s="15" t="str">
        <f t="shared" si="125"/>
        <v>PTO-1001|MO|1</v>
      </c>
      <c r="N1132" s="47">
        <f>IFERROR(VLOOKUP(A1132,PARTIDAS!A:F,6,FALSE()),0)</f>
        <v>1</v>
      </c>
      <c r="O1132" s="247">
        <f t="shared" si="126"/>
        <v>5</v>
      </c>
      <c r="P1132" s="247">
        <f>+_xlfn.XLOOKUP(A1132,PPTO_GENERADOR!Q:Q,PPTO_GENERADOR!E:E,"-",0)</f>
        <v>1</v>
      </c>
      <c r="Q1132" s="247">
        <f t="shared" si="127"/>
        <v>5</v>
      </c>
      <c r="R1132" s="259">
        <f>+_xlfn.XLOOKUP(A1132,PPTO_GENERADOR!$Q:$Q,PPTO_GENERADOR!A:A,"-",0)</f>
        <v>10.01</v>
      </c>
    </row>
    <row r="1133" spans="1:18" ht="14.25" customHeight="1" x14ac:dyDescent="0.35">
      <c r="A1133" s="38" t="s">
        <v>178</v>
      </c>
      <c r="B1133" s="38" t="s">
        <v>2776</v>
      </c>
      <c r="C1133" s="38" t="s">
        <v>2777</v>
      </c>
      <c r="D1133" s="237" t="s">
        <v>1568</v>
      </c>
      <c r="E1133" s="44" t="str">
        <f>IFERROR(VLOOKUP(D1133,MANO_DE_OBRA!A:B,2,FALSE()),"?")</f>
        <v>ESPECIALIZADO</v>
      </c>
      <c r="F1133" s="44" t="s">
        <v>2778</v>
      </c>
      <c r="G1133" s="45">
        <v>10</v>
      </c>
      <c r="H1133" s="46">
        <v>0</v>
      </c>
      <c r="I1133" s="47">
        <f>IFERROR(VLOOKUP(D1133,MANO_DE_OBRA!A:C,3,FALSE()),0)</f>
        <v>85927.097156571996</v>
      </c>
      <c r="J1133" s="42">
        <f>G1133*I1133</f>
        <v>859270.97156571993</v>
      </c>
      <c r="K1133" s="15" t="str">
        <f t="shared" si="124"/>
        <v>PTO-1001|MO</v>
      </c>
      <c r="L1133" s="15">
        <f>COUNTIFS($K$2:K1133,K1133)</f>
        <v>2</v>
      </c>
      <c r="M1133" s="15" t="str">
        <f t="shared" si="125"/>
        <v>PTO-1001|MO|2</v>
      </c>
      <c r="N1133" s="47">
        <f>IFERROR(VLOOKUP(A1133,PARTIDAS!A:F,6,FALSE()),0)</f>
        <v>1</v>
      </c>
      <c r="O1133" s="247">
        <f t="shared" si="126"/>
        <v>10</v>
      </c>
      <c r="P1133" s="247">
        <f>+_xlfn.XLOOKUP(A1133,PPTO_GENERADOR!Q:Q,PPTO_GENERADOR!E:E,"-",0)</f>
        <v>1</v>
      </c>
      <c r="Q1133" s="247">
        <f t="shared" si="127"/>
        <v>10</v>
      </c>
      <c r="R1133" s="259">
        <f>+_xlfn.XLOOKUP(A1133,PPTO_GENERADOR!$Q:$Q,PPTO_GENERADOR!A:A,"-",0)</f>
        <v>10.01</v>
      </c>
    </row>
    <row r="1134" spans="1:18" ht="14.25" customHeight="1" x14ac:dyDescent="0.35">
      <c r="A1134" s="38" t="s">
        <v>180</v>
      </c>
      <c r="B1134" s="38" t="s">
        <v>2773</v>
      </c>
      <c r="C1134" s="38"/>
      <c r="D1134" s="38" t="s">
        <v>1848</v>
      </c>
      <c r="E1134" s="44" t="str">
        <f>IFERROR(VLOOKUP(D1134,EQUIPOS!A:B,2,FALSE()),"?")</f>
        <v>Herramientas menores y consumibles - Montaje de conductos de ventilación de parrillas C</v>
      </c>
      <c r="F1134" s="44"/>
      <c r="G1134" s="45">
        <v>1</v>
      </c>
      <c r="H1134" s="46">
        <v>0</v>
      </c>
      <c r="I1134" s="47">
        <f>IFERROR(VLOOKUP(D1134,EQUIPOS!A:F,6,FALSE()),0)</f>
        <v>13472.1648790372</v>
      </c>
      <c r="J1134" s="42">
        <f>G1134*I1134</f>
        <v>13472.1648790372</v>
      </c>
      <c r="K1134" s="15" t="str">
        <f t="shared" si="124"/>
        <v>PTO-1002|EQ</v>
      </c>
      <c r="L1134" s="15">
        <f>COUNTIFS($K$2:K1134,K1134)</f>
        <v>1</v>
      </c>
      <c r="M1134" s="15" t="str">
        <f t="shared" si="125"/>
        <v>PTO-1002|EQ|1</v>
      </c>
      <c r="N1134" s="47">
        <f>IFERROR(VLOOKUP(A1134,PARTIDAS!A:F,6,FALSE()),0)</f>
        <v>1</v>
      </c>
      <c r="O1134" s="247">
        <f t="shared" si="126"/>
        <v>1</v>
      </c>
      <c r="P1134" s="247">
        <f>+_xlfn.XLOOKUP(A1134,PPTO_GENERADOR!Q:Q,PPTO_GENERADOR!E:E,"-",0)</f>
        <v>1</v>
      </c>
      <c r="Q1134" s="247">
        <f t="shared" si="127"/>
        <v>1</v>
      </c>
      <c r="R1134" s="259">
        <f>+_xlfn.XLOOKUP(A1134,PPTO_GENERADOR!$Q:$Q,PPTO_GENERADOR!A:A,"-",0)</f>
        <v>10.02</v>
      </c>
    </row>
    <row r="1135" spans="1:18" ht="14.25" customHeight="1" x14ac:dyDescent="0.35">
      <c r="A1135" s="38" t="s">
        <v>180</v>
      </c>
      <c r="B1135" s="38" t="s">
        <v>2774</v>
      </c>
      <c r="C1135" s="38" t="s">
        <v>2775</v>
      </c>
      <c r="D1135" s="38" t="s">
        <v>1361</v>
      </c>
      <c r="E1135" s="44" t="str">
        <f>IFERROR(VLOOKUP(D1135,MATERIALES!A:B,2,FALSE()),"?")</f>
        <v>Consumibles</v>
      </c>
      <c r="F1135" s="44" t="str">
        <f>IFERROR(VLOOKUP(D1135,MATERIALES!A:C,3,FALSE()),"?")</f>
        <v>gl</v>
      </c>
      <c r="G1135" s="45">
        <v>200000</v>
      </c>
      <c r="H1135" s="46">
        <v>0</v>
      </c>
      <c r="I1135" s="47">
        <f>IFERROR(VLOOKUP(D1135,MATERIALES!A:D,4,FALSE()),0)</f>
        <v>1</v>
      </c>
      <c r="J1135" s="42">
        <f>G1135*I1135*(1+H1135)</f>
        <v>200000</v>
      </c>
      <c r="K1135" s="15" t="str">
        <f t="shared" si="124"/>
        <v>PTO-1002|MAT</v>
      </c>
      <c r="L1135" s="15">
        <f>COUNTIFS($K$2:K1135,K1135)</f>
        <v>1</v>
      </c>
      <c r="M1135" s="15" t="str">
        <f t="shared" si="125"/>
        <v>PTO-1002|MAT|1</v>
      </c>
      <c r="N1135" s="47">
        <f>IFERROR(VLOOKUP(A1135,PARTIDAS!A:F,6,FALSE()),0)</f>
        <v>1</v>
      </c>
      <c r="O1135" s="247">
        <f t="shared" si="126"/>
        <v>200000</v>
      </c>
      <c r="P1135" s="247">
        <f>+_xlfn.XLOOKUP(A1135,PPTO_GENERADOR!Q:Q,PPTO_GENERADOR!E:E,"-",0)</f>
        <v>1</v>
      </c>
      <c r="Q1135" s="247">
        <f t="shared" si="127"/>
        <v>200000</v>
      </c>
      <c r="R1135" s="259">
        <f>+_xlfn.XLOOKUP(A1135,PPTO_GENERADOR!$Q:$Q,PPTO_GENERADOR!A:A,"-",0)</f>
        <v>10.02</v>
      </c>
    </row>
    <row r="1136" spans="1:18" ht="14.25" customHeight="1" x14ac:dyDescent="0.35">
      <c r="A1136" s="38" t="s">
        <v>180</v>
      </c>
      <c r="B1136" s="38" t="s">
        <v>2776</v>
      </c>
      <c r="C1136" s="38" t="s">
        <v>2777</v>
      </c>
      <c r="D1136" s="38" t="s">
        <v>1577</v>
      </c>
      <c r="E1136" s="44" t="str">
        <f>IFERROR(VLOOKUP(D1136,MANO_DE_OBRA!A:B,2,FALSE()),"?")</f>
        <v>AYUDANTE</v>
      </c>
      <c r="F1136" s="44" t="s">
        <v>2778</v>
      </c>
      <c r="G1136" s="45">
        <v>3</v>
      </c>
      <c r="H1136" s="46">
        <v>0</v>
      </c>
      <c r="I1136" s="47">
        <f>IFERROR(VLOOKUP(D1136,MANO_DE_OBRA!A:C,3,FALSE()),0)</f>
        <v>60860.580776572002</v>
      </c>
      <c r="J1136" s="42">
        <f>G1136*I1136</f>
        <v>182581.74232971601</v>
      </c>
      <c r="K1136" s="15" t="str">
        <f t="shared" si="124"/>
        <v>PTO-1002|MO</v>
      </c>
      <c r="L1136" s="15">
        <f>COUNTIFS($K$2:K1136,K1136)</f>
        <v>1</v>
      </c>
      <c r="M1136" s="15" t="str">
        <f t="shared" si="125"/>
        <v>PTO-1002|MO|1</v>
      </c>
      <c r="N1136" s="47">
        <f>IFERROR(VLOOKUP(A1136,PARTIDAS!A:F,6,FALSE()),0)</f>
        <v>1</v>
      </c>
      <c r="O1136" s="247">
        <f t="shared" si="126"/>
        <v>3</v>
      </c>
      <c r="P1136" s="247">
        <f>+_xlfn.XLOOKUP(A1136,PPTO_GENERADOR!Q:Q,PPTO_GENERADOR!E:E,"-",0)</f>
        <v>1</v>
      </c>
      <c r="Q1136" s="247">
        <f t="shared" si="127"/>
        <v>3</v>
      </c>
      <c r="R1136" s="259">
        <f>+_xlfn.XLOOKUP(A1136,PPTO_GENERADOR!$Q:$Q,PPTO_GENERADOR!A:A,"-",0)</f>
        <v>10.02</v>
      </c>
    </row>
    <row r="1137" spans="1:18" ht="14.25" customHeight="1" x14ac:dyDescent="0.35">
      <c r="A1137" s="38" t="s">
        <v>180</v>
      </c>
      <c r="B1137" s="38" t="s">
        <v>2776</v>
      </c>
      <c r="C1137" s="38" t="s">
        <v>2777</v>
      </c>
      <c r="D1137" s="237" t="s">
        <v>1568</v>
      </c>
      <c r="E1137" s="44" t="str">
        <f>IFERROR(VLOOKUP(D1137,MANO_DE_OBRA!A:B,2,FALSE()),"?")</f>
        <v>ESPECIALIZADO</v>
      </c>
      <c r="F1137" s="44" t="s">
        <v>2778</v>
      </c>
      <c r="G1137" s="45">
        <v>6</v>
      </c>
      <c r="H1137" s="46">
        <v>0</v>
      </c>
      <c r="I1137" s="47">
        <f>IFERROR(VLOOKUP(D1137,MANO_DE_OBRA!A:C,3,FALSE()),0)</f>
        <v>85927.097156571996</v>
      </c>
      <c r="J1137" s="42">
        <f>G1137*I1137</f>
        <v>515562.582939432</v>
      </c>
      <c r="K1137" s="15" t="str">
        <f t="shared" si="124"/>
        <v>PTO-1002|MO</v>
      </c>
      <c r="L1137" s="15">
        <f>COUNTIFS($K$2:K1137,K1137)</f>
        <v>2</v>
      </c>
      <c r="M1137" s="15" t="str">
        <f t="shared" si="125"/>
        <v>PTO-1002|MO|2</v>
      </c>
      <c r="N1137" s="47">
        <f>IFERROR(VLOOKUP(A1137,PARTIDAS!A:F,6,FALSE()),0)</f>
        <v>1</v>
      </c>
      <c r="O1137" s="247">
        <f t="shared" si="126"/>
        <v>6</v>
      </c>
      <c r="P1137" s="247">
        <f>+_xlfn.XLOOKUP(A1137,PPTO_GENERADOR!Q:Q,PPTO_GENERADOR!E:E,"-",0)</f>
        <v>1</v>
      </c>
      <c r="Q1137" s="247">
        <f t="shared" si="127"/>
        <v>6</v>
      </c>
      <c r="R1137" s="259">
        <f>+_xlfn.XLOOKUP(A1137,PPTO_GENERADOR!$Q:$Q,PPTO_GENERADOR!A:A,"-",0)</f>
        <v>10.02</v>
      </c>
    </row>
    <row r="1138" spans="1:18" ht="14.25" customHeight="1" x14ac:dyDescent="0.35">
      <c r="A1138" s="38" t="s">
        <v>182</v>
      </c>
      <c r="B1138" s="38" t="s">
        <v>2773</v>
      </c>
      <c r="C1138" s="38"/>
      <c r="D1138" s="38" t="s">
        <v>1851</v>
      </c>
      <c r="E1138" s="44" t="str">
        <f>IFERROR(VLOOKUP(D1138,EQUIPOS!A:B,2,FALSE()),"?")</f>
        <v>Herramientas menores y consumibles - Montaje de campanas de parrillas C22 - Provisión a</v>
      </c>
      <c r="F1138" s="44"/>
      <c r="G1138" s="45">
        <v>1</v>
      </c>
      <c r="H1138" s="46">
        <v>0</v>
      </c>
      <c r="I1138" s="47">
        <f>IFERROR(VLOOKUP(D1138,EQUIPOS!A:F,6,FALSE()),0)</f>
        <v>5986.08243951861</v>
      </c>
      <c r="J1138" s="42">
        <f>G1138*I1138</f>
        <v>5986.08243951861</v>
      </c>
      <c r="K1138" s="15" t="str">
        <f t="shared" si="124"/>
        <v>PTO-1003|EQ</v>
      </c>
      <c r="L1138" s="15">
        <f>COUNTIFS($K$2:K1138,K1138)</f>
        <v>1</v>
      </c>
      <c r="M1138" s="15" t="str">
        <f t="shared" si="125"/>
        <v>PTO-1003|EQ|1</v>
      </c>
      <c r="N1138" s="47">
        <f>IFERROR(VLOOKUP(A1138,PARTIDAS!A:F,6,FALSE()),0)</f>
        <v>1</v>
      </c>
      <c r="O1138" s="247">
        <f t="shared" si="126"/>
        <v>1</v>
      </c>
      <c r="P1138" s="247">
        <f>+_xlfn.XLOOKUP(A1138,PPTO_GENERADOR!Q:Q,PPTO_GENERADOR!E:E,"-",0)</f>
        <v>1</v>
      </c>
      <c r="Q1138" s="247">
        <f t="shared" si="127"/>
        <v>1</v>
      </c>
      <c r="R1138" s="259">
        <f>+_xlfn.XLOOKUP(A1138,PPTO_GENERADOR!$Q:$Q,PPTO_GENERADOR!A:A,"-",0)</f>
        <v>10.029999999999999</v>
      </c>
    </row>
    <row r="1139" spans="1:18" ht="14.25" customHeight="1" x14ac:dyDescent="0.35">
      <c r="A1139" s="38" t="s">
        <v>182</v>
      </c>
      <c r="B1139" s="38" t="s">
        <v>2774</v>
      </c>
      <c r="C1139" s="38" t="s">
        <v>2775</v>
      </c>
      <c r="D1139" s="38" t="s">
        <v>1361</v>
      </c>
      <c r="E1139" s="44" t="str">
        <f>IFERROR(VLOOKUP(D1139,MATERIALES!A:B,2,FALSE()),"?")</f>
        <v>Consumibles</v>
      </c>
      <c r="F1139" s="44" t="str">
        <f>IFERROR(VLOOKUP(D1139,MATERIALES!A:C,3,FALSE()),"?")</f>
        <v>gl</v>
      </c>
      <c r="G1139" s="45">
        <v>50000</v>
      </c>
      <c r="H1139" s="46">
        <v>0</v>
      </c>
      <c r="I1139" s="47">
        <f>IFERROR(VLOOKUP(D1139,MATERIALES!A:D,4,FALSE()),0)</f>
        <v>1</v>
      </c>
      <c r="J1139" s="42">
        <f>G1139*I1139*(1+H1139)</f>
        <v>50000</v>
      </c>
      <c r="K1139" s="15" t="str">
        <f t="shared" si="124"/>
        <v>PTO-1003|MAT</v>
      </c>
      <c r="L1139" s="15">
        <f>COUNTIFS($K$2:K1139,K1139)</f>
        <v>1</v>
      </c>
      <c r="M1139" s="15" t="str">
        <f t="shared" si="125"/>
        <v>PTO-1003|MAT|1</v>
      </c>
      <c r="N1139" s="47">
        <f>IFERROR(VLOOKUP(A1139,PARTIDAS!A:F,6,FALSE()),0)</f>
        <v>1</v>
      </c>
      <c r="O1139" s="247">
        <f t="shared" si="126"/>
        <v>50000</v>
      </c>
      <c r="P1139" s="247">
        <f>+_xlfn.XLOOKUP(A1139,PPTO_GENERADOR!Q:Q,PPTO_GENERADOR!E:E,"-",0)</f>
        <v>1</v>
      </c>
      <c r="Q1139" s="247">
        <f t="shared" si="127"/>
        <v>50000</v>
      </c>
      <c r="R1139" s="259">
        <f>+_xlfn.XLOOKUP(A1139,PPTO_GENERADOR!$Q:$Q,PPTO_GENERADOR!A:A,"-",0)</f>
        <v>10.029999999999999</v>
      </c>
    </row>
    <row r="1140" spans="1:18" ht="14.25" customHeight="1" x14ac:dyDescent="0.35">
      <c r="A1140" s="38" t="s">
        <v>182</v>
      </c>
      <c r="B1140" s="38" t="s">
        <v>2776</v>
      </c>
      <c r="C1140" s="38" t="s">
        <v>2777</v>
      </c>
      <c r="D1140" s="38" t="s">
        <v>1577</v>
      </c>
      <c r="E1140" s="44" t="str">
        <f>IFERROR(VLOOKUP(D1140,MANO_DE_OBRA!A:B,2,FALSE()),"?")</f>
        <v>AYUDANTE</v>
      </c>
      <c r="F1140" s="44" t="s">
        <v>2778</v>
      </c>
      <c r="G1140" s="45">
        <v>1.5</v>
      </c>
      <c r="H1140" s="46">
        <v>0</v>
      </c>
      <c r="I1140" s="47">
        <f>IFERROR(VLOOKUP(D1140,MANO_DE_OBRA!A:C,3,FALSE()),0)</f>
        <v>60860.580776572002</v>
      </c>
      <c r="J1140" s="42">
        <f>G1140*I1140</f>
        <v>91290.871164858007</v>
      </c>
      <c r="K1140" s="15" t="str">
        <f t="shared" si="124"/>
        <v>PTO-1003|MO</v>
      </c>
      <c r="L1140" s="15">
        <f>COUNTIFS($K$2:K1140,K1140)</f>
        <v>1</v>
      </c>
      <c r="M1140" s="15" t="str">
        <f t="shared" si="125"/>
        <v>PTO-1003|MO|1</v>
      </c>
      <c r="N1140" s="47">
        <f>IFERROR(VLOOKUP(A1140,PARTIDAS!A:F,6,FALSE()),0)</f>
        <v>1</v>
      </c>
      <c r="O1140" s="247">
        <f t="shared" si="126"/>
        <v>1.5</v>
      </c>
      <c r="P1140" s="247">
        <f>+_xlfn.XLOOKUP(A1140,PPTO_GENERADOR!Q:Q,PPTO_GENERADOR!E:E,"-",0)</f>
        <v>1</v>
      </c>
      <c r="Q1140" s="247">
        <f t="shared" si="127"/>
        <v>1.5</v>
      </c>
      <c r="R1140" s="259">
        <f>+_xlfn.XLOOKUP(A1140,PPTO_GENERADOR!$Q:$Q,PPTO_GENERADOR!A:A,"-",0)</f>
        <v>10.029999999999999</v>
      </c>
    </row>
    <row r="1141" spans="1:18" ht="14.25" customHeight="1" x14ac:dyDescent="0.35">
      <c r="A1141" s="38" t="s">
        <v>182</v>
      </c>
      <c r="B1141" s="38" t="s">
        <v>2776</v>
      </c>
      <c r="C1141" s="38" t="s">
        <v>2777</v>
      </c>
      <c r="D1141" s="237" t="s">
        <v>1568</v>
      </c>
      <c r="E1141" s="44" t="str">
        <f>IFERROR(VLOOKUP(D1141,MANO_DE_OBRA!A:B,2,FALSE()),"?")</f>
        <v>ESPECIALIZADO</v>
      </c>
      <c r="F1141" s="44" t="s">
        <v>2778</v>
      </c>
      <c r="G1141" s="45">
        <v>3</v>
      </c>
      <c r="H1141" s="46">
        <v>0</v>
      </c>
      <c r="I1141" s="47">
        <f>IFERROR(VLOOKUP(D1141,MANO_DE_OBRA!A:C,3,FALSE()),0)</f>
        <v>85927.097156571996</v>
      </c>
      <c r="J1141" s="42">
        <f>G1141*I1141</f>
        <v>257781.291469716</v>
      </c>
      <c r="K1141" s="15" t="str">
        <f t="shared" si="124"/>
        <v>PTO-1003|MO</v>
      </c>
      <c r="L1141" s="15">
        <f>COUNTIFS($K$2:K1141,K1141)</f>
        <v>2</v>
      </c>
      <c r="M1141" s="15" t="str">
        <f t="shared" si="125"/>
        <v>PTO-1003|MO|2</v>
      </c>
      <c r="N1141" s="47">
        <f>IFERROR(VLOOKUP(A1141,PARTIDAS!A:F,6,FALSE()),0)</f>
        <v>1</v>
      </c>
      <c r="O1141" s="247">
        <f t="shared" si="126"/>
        <v>3</v>
      </c>
      <c r="P1141" s="247">
        <f>+_xlfn.XLOOKUP(A1141,PPTO_GENERADOR!Q:Q,PPTO_GENERADOR!E:E,"-",0)</f>
        <v>1</v>
      </c>
      <c r="Q1141" s="247">
        <f t="shared" si="127"/>
        <v>3</v>
      </c>
      <c r="R1141" s="259">
        <f>+_xlfn.XLOOKUP(A1141,PPTO_GENERADOR!$Q:$Q,PPTO_GENERADOR!A:A,"-",0)</f>
        <v>10.029999999999999</v>
      </c>
    </row>
    <row r="1142" spans="1:18" ht="14.25" customHeight="1" x14ac:dyDescent="0.35">
      <c r="A1142" s="38" t="s">
        <v>184</v>
      </c>
      <c r="B1142" s="38" t="s">
        <v>2773</v>
      </c>
      <c r="C1142" s="38"/>
      <c r="D1142" s="38" t="s">
        <v>1854</v>
      </c>
      <c r="E1142" s="44" t="str">
        <f>IFERROR(VLOOKUP(D1142,EQUIPOS!A:B,2,FALSE()),"?")</f>
        <v>Herramientas menores y consumibles - Montaje de sombreretes en chapa prepintada C25 - P</v>
      </c>
      <c r="F1142" s="44"/>
      <c r="G1142" s="45">
        <v>1</v>
      </c>
      <c r="H1142" s="46">
        <v>0</v>
      </c>
      <c r="I1142" s="47">
        <f>IFERROR(VLOOKUP(D1142,EQUIPOS!A:F,6,FALSE()),0)</f>
        <v>649.07216263457406</v>
      </c>
      <c r="J1142" s="42">
        <f>G1142*I1142</f>
        <v>649.07216263457406</v>
      </c>
      <c r="K1142" s="15" t="str">
        <f t="shared" si="124"/>
        <v>PTO-1004|EQ</v>
      </c>
      <c r="L1142" s="15">
        <f>COUNTIFS($K$2:K1142,K1142)</f>
        <v>1</v>
      </c>
      <c r="M1142" s="15" t="str">
        <f t="shared" si="125"/>
        <v>PTO-1004|EQ|1</v>
      </c>
      <c r="N1142" s="47">
        <f>IFERROR(VLOOKUP(A1142,PARTIDAS!A:F,6,FALSE()),0)</f>
        <v>1</v>
      </c>
      <c r="O1142" s="247">
        <f t="shared" si="126"/>
        <v>1</v>
      </c>
      <c r="P1142" s="247">
        <f>+_xlfn.XLOOKUP(A1142,PPTO_GENERADOR!Q:Q,PPTO_GENERADOR!E:E,"-",0)</f>
        <v>10</v>
      </c>
      <c r="Q1142" s="247">
        <f t="shared" si="127"/>
        <v>10</v>
      </c>
      <c r="R1142" s="259">
        <f>+_xlfn.XLOOKUP(A1142,PPTO_GENERADOR!$Q:$Q,PPTO_GENERADOR!A:A,"-",0)</f>
        <v>10.039999999999999</v>
      </c>
    </row>
    <row r="1143" spans="1:18" ht="14.25" customHeight="1" x14ac:dyDescent="0.35">
      <c r="A1143" s="38" t="s">
        <v>184</v>
      </c>
      <c r="B1143" s="38" t="s">
        <v>2774</v>
      </c>
      <c r="C1143" s="38" t="s">
        <v>2775</v>
      </c>
      <c r="D1143" s="38" t="s">
        <v>1361</v>
      </c>
      <c r="E1143" s="44" t="str">
        <f>IFERROR(VLOOKUP(D1143,MATERIALES!A:B,2,FALSE()),"?")</f>
        <v>Consumibles</v>
      </c>
      <c r="F1143" s="44" t="str">
        <f>IFERROR(VLOOKUP(D1143,MATERIALES!A:C,3,FALSE()),"?")</f>
        <v>gl</v>
      </c>
      <c r="G1143" s="45">
        <v>20000</v>
      </c>
      <c r="H1143" s="46">
        <v>0</v>
      </c>
      <c r="I1143" s="47">
        <f>IFERROR(VLOOKUP(D1143,MATERIALES!A:D,4,FALSE()),0)</f>
        <v>1</v>
      </c>
      <c r="J1143" s="42">
        <f>G1143*I1143*(1+H1143)</f>
        <v>20000</v>
      </c>
      <c r="K1143" s="15" t="str">
        <f t="shared" si="124"/>
        <v>PTO-1004|MAT</v>
      </c>
      <c r="L1143" s="15">
        <f>COUNTIFS($K$2:K1143,K1143)</f>
        <v>1</v>
      </c>
      <c r="M1143" s="15" t="str">
        <f t="shared" si="125"/>
        <v>PTO-1004|MAT|1</v>
      </c>
      <c r="N1143" s="47">
        <f>IFERROR(VLOOKUP(A1143,PARTIDAS!A:F,6,FALSE()),0)</f>
        <v>1</v>
      </c>
      <c r="O1143" s="247">
        <f t="shared" si="126"/>
        <v>20000</v>
      </c>
      <c r="P1143" s="247">
        <f>+_xlfn.XLOOKUP(A1143,PPTO_GENERADOR!Q:Q,PPTO_GENERADOR!E:E,"-",0)</f>
        <v>10</v>
      </c>
      <c r="Q1143" s="247">
        <f t="shared" si="127"/>
        <v>200000</v>
      </c>
      <c r="R1143" s="259">
        <f>+_xlfn.XLOOKUP(A1143,PPTO_GENERADOR!$Q:$Q,PPTO_GENERADOR!A:A,"-",0)</f>
        <v>10.039999999999999</v>
      </c>
    </row>
    <row r="1144" spans="1:18" ht="14.25" customHeight="1" x14ac:dyDescent="0.35">
      <c r="A1144" s="38" t="s">
        <v>184</v>
      </c>
      <c r="B1144" s="38" t="s">
        <v>2776</v>
      </c>
      <c r="C1144" s="38" t="s">
        <v>2777</v>
      </c>
      <c r="D1144" s="38" t="s">
        <v>1577</v>
      </c>
      <c r="E1144" s="44" t="str">
        <f>IFERROR(VLOOKUP(D1144,MANO_DE_OBRA!A:B,2,FALSE()),"?")</f>
        <v>AYUDANTE</v>
      </c>
      <c r="F1144" s="44" t="s">
        <v>2778</v>
      </c>
      <c r="G1144" s="45">
        <v>0.1</v>
      </c>
      <c r="H1144" s="46">
        <v>0</v>
      </c>
      <c r="I1144" s="47">
        <f>IFERROR(VLOOKUP(D1144,MANO_DE_OBRA!A:C,3,FALSE()),0)</f>
        <v>60860.580776572002</v>
      </c>
      <c r="J1144" s="42">
        <f>G1144*I1144</f>
        <v>6086.0580776572006</v>
      </c>
      <c r="K1144" s="15" t="str">
        <f t="shared" si="124"/>
        <v>PTO-1004|MO</v>
      </c>
      <c r="L1144" s="15">
        <f>COUNTIFS($K$2:K1144,K1144)</f>
        <v>1</v>
      </c>
      <c r="M1144" s="15" t="str">
        <f t="shared" si="125"/>
        <v>PTO-1004|MO|1</v>
      </c>
      <c r="N1144" s="47">
        <f>IFERROR(VLOOKUP(A1144,PARTIDAS!A:F,6,FALSE()),0)</f>
        <v>1</v>
      </c>
      <c r="O1144" s="247">
        <f t="shared" si="126"/>
        <v>0.1</v>
      </c>
      <c r="P1144" s="247">
        <f>+_xlfn.XLOOKUP(A1144,PPTO_GENERADOR!Q:Q,PPTO_GENERADOR!E:E,"-",0)</f>
        <v>10</v>
      </c>
      <c r="Q1144" s="247">
        <f t="shared" si="127"/>
        <v>1</v>
      </c>
      <c r="R1144" s="259">
        <f>+_xlfn.XLOOKUP(A1144,PPTO_GENERADOR!$Q:$Q,PPTO_GENERADOR!A:A,"-",0)</f>
        <v>10.039999999999999</v>
      </c>
    </row>
    <row r="1145" spans="1:18" ht="14.25" customHeight="1" x14ac:dyDescent="0.35">
      <c r="A1145" s="38" t="s">
        <v>184</v>
      </c>
      <c r="B1145" s="38" t="s">
        <v>2776</v>
      </c>
      <c r="C1145" s="38" t="s">
        <v>2777</v>
      </c>
      <c r="D1145" s="237" t="s">
        <v>1568</v>
      </c>
      <c r="E1145" s="44" t="str">
        <f>IFERROR(VLOOKUP(D1145,MANO_DE_OBRA!A:B,2,FALSE()),"?")</f>
        <v>ESPECIALIZADO</v>
      </c>
      <c r="F1145" s="44" t="s">
        <v>2778</v>
      </c>
      <c r="G1145" s="45">
        <v>0.2</v>
      </c>
      <c r="H1145" s="46">
        <v>0</v>
      </c>
      <c r="I1145" s="47">
        <f>IFERROR(VLOOKUP(D1145,MANO_DE_OBRA!A:C,3,FALSE()),0)</f>
        <v>85927.097156571996</v>
      </c>
      <c r="J1145" s="42">
        <f>G1145*I1145</f>
        <v>17185.4194313144</v>
      </c>
      <c r="K1145" s="15" t="str">
        <f t="shared" si="124"/>
        <v>PTO-1004|MO</v>
      </c>
      <c r="L1145" s="15">
        <f>COUNTIFS($K$2:K1145,K1145)</f>
        <v>2</v>
      </c>
      <c r="M1145" s="15" t="str">
        <f t="shared" si="125"/>
        <v>PTO-1004|MO|2</v>
      </c>
      <c r="N1145" s="47">
        <f>IFERROR(VLOOKUP(A1145,PARTIDAS!A:F,6,FALSE()),0)</f>
        <v>1</v>
      </c>
      <c r="O1145" s="247">
        <f t="shared" si="126"/>
        <v>0.2</v>
      </c>
      <c r="P1145" s="247">
        <f>+_xlfn.XLOOKUP(A1145,PPTO_GENERADOR!Q:Q,PPTO_GENERADOR!E:E,"-",0)</f>
        <v>10</v>
      </c>
      <c r="Q1145" s="247">
        <f t="shared" si="127"/>
        <v>2</v>
      </c>
      <c r="R1145" s="259">
        <f>+_xlfn.XLOOKUP(A1145,PPTO_GENERADOR!$Q:$Q,PPTO_GENERADOR!A:A,"-",0)</f>
        <v>10.039999999999999</v>
      </c>
    </row>
    <row r="1146" spans="1:18" ht="14.25" customHeight="1" x14ac:dyDescent="0.35">
      <c r="A1146" s="38" t="s">
        <v>188</v>
      </c>
      <c r="B1146" s="38" t="s">
        <v>2773</v>
      </c>
      <c r="C1146" s="38"/>
      <c r="D1146" s="38" t="s">
        <v>1595</v>
      </c>
      <c r="E1146" s="44" t="str">
        <f>IFERROR(VLOOKUP(D1146,EQUIPOS!A:B,2,FALSE()),"?")</f>
        <v>EQUIPO DE ALBAÑILERIA, carpetas, ladrillo</v>
      </c>
      <c r="F1146" s="44"/>
      <c r="G1146" s="45">
        <v>1</v>
      </c>
      <c r="H1146" s="46">
        <v>0</v>
      </c>
      <c r="I1146" s="47">
        <f>IFERROR(VLOOKUP(D1146,EQUIPOS!A:F,6,FALSE()),0)</f>
        <v>2287.1357450968057</v>
      </c>
      <c r="J1146" s="42">
        <f>G1146*I1146</f>
        <v>2287.1357450968057</v>
      </c>
      <c r="K1146" s="15" t="str">
        <f t="shared" si="124"/>
        <v>PTO-1102|EQ</v>
      </c>
      <c r="L1146" s="15">
        <f>COUNTIFS($K$2:K1146,K1146)</f>
        <v>1</v>
      </c>
      <c r="M1146" s="15" t="str">
        <f t="shared" si="125"/>
        <v>PTO-1102|EQ|1</v>
      </c>
      <c r="N1146" s="47">
        <f>IFERROR(VLOOKUP(A1146,PARTIDAS!A:F,6,FALSE()),0)</f>
        <v>11.5</v>
      </c>
      <c r="O1146" s="247">
        <f t="shared" si="126"/>
        <v>1</v>
      </c>
      <c r="P1146" s="247">
        <f>+_xlfn.XLOOKUP(A1146,PPTO_GENERADOR!Q:Q,PPTO_GENERADOR!E:E,"-",0)</f>
        <v>39</v>
      </c>
      <c r="Q1146" s="247">
        <f t="shared" si="127"/>
        <v>39</v>
      </c>
      <c r="R1146" s="259">
        <f>+_xlfn.XLOOKUP(A1146,PPTO_GENERADOR!$Q:$Q,PPTO_GENERADOR!A:A,"-",0)</f>
        <v>11.02</v>
      </c>
    </row>
    <row r="1147" spans="1:18" ht="14.25" customHeight="1" x14ac:dyDescent="0.35">
      <c r="A1147" s="38" t="s">
        <v>188</v>
      </c>
      <c r="B1147" s="38" t="s">
        <v>2773</v>
      </c>
      <c r="C1147" s="38"/>
      <c r="D1147" s="38" t="s">
        <v>1613</v>
      </c>
      <c r="E1147" s="44" t="str">
        <f>IFERROR(VLOOKUP(D1147,EQUIPOS!A:B,2,FALSE()),"?")</f>
        <v>Hormigonera De 150 Litros 1hp Con Rueda Maciza</v>
      </c>
      <c r="F1147" s="44"/>
      <c r="G1147" s="45">
        <v>1</v>
      </c>
      <c r="H1147" s="46">
        <v>0</v>
      </c>
      <c r="I1147" s="47">
        <f>IFERROR(VLOOKUP(D1147,EQUIPOS!A:F,6,FALSE()),0)</f>
        <v>957.25319614994726</v>
      </c>
      <c r="J1147" s="42">
        <f>G1147*I1147</f>
        <v>957.25319614994726</v>
      </c>
      <c r="K1147" s="15" t="str">
        <f t="shared" si="124"/>
        <v>PTO-1102|EQ</v>
      </c>
      <c r="L1147" s="15">
        <f>COUNTIFS($K$2:K1147,K1147)</f>
        <v>2</v>
      </c>
      <c r="M1147" s="15" t="str">
        <f t="shared" si="125"/>
        <v>PTO-1102|EQ|2</v>
      </c>
      <c r="N1147" s="47">
        <f>IFERROR(VLOOKUP(A1147,PARTIDAS!A:F,6,FALSE()),0)</f>
        <v>11.5</v>
      </c>
      <c r="O1147" s="247">
        <f t="shared" si="126"/>
        <v>1</v>
      </c>
      <c r="P1147" s="247">
        <f>+_xlfn.XLOOKUP(A1147,PPTO_GENERADOR!Q:Q,PPTO_GENERADOR!E:E,"-",0)</f>
        <v>39</v>
      </c>
      <c r="Q1147" s="247">
        <f t="shared" si="127"/>
        <v>39</v>
      </c>
      <c r="R1147" s="259">
        <f>+_xlfn.XLOOKUP(A1147,PPTO_GENERADOR!$Q:$Q,PPTO_GENERADOR!A:A,"-",0)</f>
        <v>11.02</v>
      </c>
    </row>
    <row r="1148" spans="1:18" ht="14.25" customHeight="1" x14ac:dyDescent="0.35">
      <c r="A1148" s="38" t="s">
        <v>188</v>
      </c>
      <c r="B1148" s="38" t="s">
        <v>2774</v>
      </c>
      <c r="C1148" s="38" t="s">
        <v>2775</v>
      </c>
      <c r="D1148" s="38" t="s">
        <v>588</v>
      </c>
      <c r="E1148" s="44" t="str">
        <f>IFERROR(VLOOKUP(D1148,MATERIALES!A:B,2,FALSE()),"?")</f>
        <v>ARENA LAVADA</v>
      </c>
      <c r="F1148" s="44" t="str">
        <f>IFERROR(VLOOKUP(D1148,MATERIALES!A:C,3,FALSE()),"?")</f>
        <v>m3</v>
      </c>
      <c r="G1148" s="45">
        <v>3.5999999999999997E-2</v>
      </c>
      <c r="H1148" s="46">
        <v>0.1</v>
      </c>
      <c r="I1148" s="47">
        <f>IFERROR(VLOOKUP(D1148,MATERIALES!A:D,4,FALSE()),0)</f>
        <v>32399.77</v>
      </c>
      <c r="J1148" s="42">
        <f>G1148*I1148*(1+H1148)</f>
        <v>1283.030892</v>
      </c>
      <c r="K1148" s="15" t="str">
        <f t="shared" si="124"/>
        <v>PTO-1102|MAT</v>
      </c>
      <c r="L1148" s="15">
        <f>COUNTIFS($K$2:K1148,K1148)</f>
        <v>1</v>
      </c>
      <c r="M1148" s="15" t="str">
        <f t="shared" si="125"/>
        <v>PTO-1102|MAT|1</v>
      </c>
      <c r="N1148" s="47">
        <f>IFERROR(VLOOKUP(A1148,PARTIDAS!A:F,6,FALSE()),0)</f>
        <v>11.5</v>
      </c>
      <c r="O1148" s="247">
        <f t="shared" si="126"/>
        <v>3.5999999999999997E-2</v>
      </c>
      <c r="P1148" s="247">
        <f>+_xlfn.XLOOKUP(A1148,PPTO_GENERADOR!Q:Q,PPTO_GENERADOR!E:E,"-",0)</f>
        <v>39</v>
      </c>
      <c r="Q1148" s="247">
        <f t="shared" si="127"/>
        <v>1.4039999999999999</v>
      </c>
      <c r="R1148" s="259">
        <f>+_xlfn.XLOOKUP(A1148,PPTO_GENERADOR!$Q:$Q,PPTO_GENERADOR!A:A,"-",0)</f>
        <v>11.02</v>
      </c>
    </row>
    <row r="1149" spans="1:18" ht="14.25" customHeight="1" x14ac:dyDescent="0.35">
      <c r="A1149" s="38" t="s">
        <v>188</v>
      </c>
      <c r="B1149" s="38" t="s">
        <v>2774</v>
      </c>
      <c r="C1149" s="38" t="s">
        <v>2775</v>
      </c>
      <c r="D1149" s="38" t="s">
        <v>599</v>
      </c>
      <c r="E1149" s="44" t="str">
        <f>IFERROR(VLOOKUP(D1149,MATERIALES!A:B,2,FALSE()),"?")</f>
        <v>Cemento Portland x 50kg</v>
      </c>
      <c r="F1149" s="44" t="str">
        <f>IFERROR(VLOOKUP(D1149,MATERIALES!A:C,3,FALSE()),"?")</f>
        <v>Bol</v>
      </c>
      <c r="G1149" s="45">
        <v>0.32400000000000001</v>
      </c>
      <c r="H1149" s="46">
        <v>0.1</v>
      </c>
      <c r="I1149" s="47">
        <f>IFERROR(VLOOKUP(D1149,MATERIALES!A:D,4,FALSE()),0)</f>
        <v>7809.48</v>
      </c>
      <c r="J1149" s="42">
        <f>G1149*I1149*(1+H1149)</f>
        <v>2783.2986719999999</v>
      </c>
      <c r="K1149" s="15" t="str">
        <f t="shared" si="124"/>
        <v>PTO-1102|MAT</v>
      </c>
      <c r="L1149" s="15">
        <f>COUNTIFS($K$2:K1149,K1149)</f>
        <v>2</v>
      </c>
      <c r="M1149" s="15" t="str">
        <f t="shared" si="125"/>
        <v>PTO-1102|MAT|2</v>
      </c>
      <c r="N1149" s="47">
        <f>IFERROR(VLOOKUP(A1149,PARTIDAS!A:F,6,FALSE()),0)</f>
        <v>11.5</v>
      </c>
      <c r="O1149" s="247">
        <f t="shared" si="126"/>
        <v>0.32400000000000001</v>
      </c>
      <c r="P1149" s="247">
        <f>+_xlfn.XLOOKUP(A1149,PPTO_GENERADOR!Q:Q,PPTO_GENERADOR!E:E,"-",0)</f>
        <v>39</v>
      </c>
      <c r="Q1149" s="247">
        <f t="shared" si="127"/>
        <v>12.636000000000001</v>
      </c>
      <c r="R1149" s="259">
        <f>+_xlfn.XLOOKUP(A1149,PPTO_GENERADOR!$Q:$Q,PPTO_GENERADOR!A:A,"-",0)</f>
        <v>11.02</v>
      </c>
    </row>
    <row r="1150" spans="1:18" ht="14.25" customHeight="1" x14ac:dyDescent="0.35">
      <c r="A1150" s="38" t="s">
        <v>188</v>
      </c>
      <c r="B1150" s="38" t="s">
        <v>2776</v>
      </c>
      <c r="C1150" s="38" t="s">
        <v>2777</v>
      </c>
      <c r="D1150" s="237" t="s">
        <v>1577</v>
      </c>
      <c r="E1150" s="44" t="str">
        <f>IFERROR(VLOOKUP(D1150,MANO_DE_OBRA!A:B,2,FALSE()),"?")</f>
        <v>AYUDANTE</v>
      </c>
      <c r="F1150" s="44" t="s">
        <v>2778</v>
      </c>
      <c r="G1150" s="45">
        <v>0.5</v>
      </c>
      <c r="H1150" s="46">
        <v>0</v>
      </c>
      <c r="I1150" s="47">
        <f>IFERROR(VLOOKUP(D1150,MANO_DE_OBRA!A:C,3,FALSE()),0)</f>
        <v>60860.580776572002</v>
      </c>
      <c r="J1150" s="42">
        <f>G1150*I1150</f>
        <v>30430.290388286001</v>
      </c>
      <c r="K1150" s="15" t="str">
        <f t="shared" si="124"/>
        <v>PTO-1102|MO</v>
      </c>
      <c r="L1150" s="15">
        <f>COUNTIFS($K$2:K1150,K1150)</f>
        <v>1</v>
      </c>
      <c r="M1150" s="15" t="str">
        <f t="shared" si="125"/>
        <v>PTO-1102|MO|1</v>
      </c>
      <c r="N1150" s="47">
        <f>IFERROR(VLOOKUP(A1150,PARTIDAS!A:F,6,FALSE()),0)</f>
        <v>11.5</v>
      </c>
      <c r="O1150" s="247">
        <f t="shared" si="126"/>
        <v>4.3478260869565216E-2</v>
      </c>
      <c r="P1150" s="247">
        <f>+_xlfn.XLOOKUP(A1150,PPTO_GENERADOR!Q:Q,PPTO_GENERADOR!E:E,"-",0)</f>
        <v>39</v>
      </c>
      <c r="Q1150" s="247">
        <f t="shared" si="127"/>
        <v>1.6956521739130435</v>
      </c>
      <c r="R1150" s="259">
        <f>+_xlfn.XLOOKUP(A1150,PPTO_GENERADOR!$Q:$Q,PPTO_GENERADOR!A:A,"-",0)</f>
        <v>11.02</v>
      </c>
    </row>
    <row r="1151" spans="1:18" ht="14.25" customHeight="1" x14ac:dyDescent="0.35">
      <c r="A1151" s="38" t="s">
        <v>188</v>
      </c>
      <c r="B1151" s="38" t="s">
        <v>2776</v>
      </c>
      <c r="C1151" s="38" t="s">
        <v>2777</v>
      </c>
      <c r="D1151" s="237" t="s">
        <v>1568</v>
      </c>
      <c r="E1151" s="44" t="str">
        <f>IFERROR(VLOOKUP(D1151,MANO_DE_OBRA!A:B,2,FALSE()),"?")</f>
        <v>ESPECIALIZADO</v>
      </c>
      <c r="F1151" s="44" t="s">
        <v>2778</v>
      </c>
      <c r="G1151" s="45">
        <v>1</v>
      </c>
      <c r="H1151" s="46">
        <v>0</v>
      </c>
      <c r="I1151" s="47">
        <f>IFERROR(VLOOKUP(D1151,MANO_DE_OBRA!A:C,3,FALSE()),0)</f>
        <v>85927.097156571996</v>
      </c>
      <c r="J1151" s="42">
        <f>G1151*I1151</f>
        <v>85927.097156571996</v>
      </c>
      <c r="K1151" s="15" t="str">
        <f t="shared" si="124"/>
        <v>PTO-1102|MO</v>
      </c>
      <c r="L1151" s="15">
        <f>COUNTIFS($K$2:K1151,K1151)</f>
        <v>2</v>
      </c>
      <c r="M1151" s="15" t="str">
        <f t="shared" si="125"/>
        <v>PTO-1102|MO|2</v>
      </c>
      <c r="N1151" s="47">
        <f>IFERROR(VLOOKUP(A1151,PARTIDAS!A:F,6,FALSE()),0)</f>
        <v>11.5</v>
      </c>
      <c r="O1151" s="247">
        <f t="shared" si="126"/>
        <v>8.6956521739130432E-2</v>
      </c>
      <c r="P1151" s="247">
        <f>+_xlfn.XLOOKUP(A1151,PPTO_GENERADOR!Q:Q,PPTO_GENERADOR!E:E,"-",0)</f>
        <v>39</v>
      </c>
      <c r="Q1151" s="247">
        <f t="shared" si="127"/>
        <v>3.3913043478260869</v>
      </c>
      <c r="R1151" s="259">
        <f>+_xlfn.XLOOKUP(A1151,PPTO_GENERADOR!$Q:$Q,PPTO_GENERADOR!A:A,"-",0)</f>
        <v>11.02</v>
      </c>
    </row>
    <row r="1152" spans="1:18" ht="14.25" customHeight="1" x14ac:dyDescent="0.35">
      <c r="A1152" s="38" t="s">
        <v>2705</v>
      </c>
      <c r="B1152" s="38" t="s">
        <v>2773</v>
      </c>
      <c r="C1152" s="38"/>
      <c r="D1152" s="38" t="s">
        <v>1619</v>
      </c>
      <c r="E1152" s="44" t="str">
        <f>IFERROR(VLOOKUP(D1152,EQUIPOS!A:B,2,FALSE()),"?")</f>
        <v>CORTADORA CERAMICA PROFESIONAL 1200MM (PORCELANATO HASTA 16MM)</v>
      </c>
      <c r="F1152" s="44"/>
      <c r="G1152" s="45">
        <v>1</v>
      </c>
      <c r="H1152" s="46">
        <v>0</v>
      </c>
      <c r="I1152" s="47">
        <f>IFERROR(VLOOKUP(D1152,EQUIPOS!A:F,6,FALSE()),0)</f>
        <v>298.42384358082836</v>
      </c>
      <c r="J1152" s="42">
        <f>G1152*I1152</f>
        <v>298.42384358082836</v>
      </c>
      <c r="K1152" s="15" t="str">
        <f t="shared" si="124"/>
        <v>PTO-1103|EQ</v>
      </c>
      <c r="L1152" s="15">
        <f>COUNTIFS($K$2:K1152,K1152)</f>
        <v>1</v>
      </c>
      <c r="M1152" s="15" t="str">
        <f t="shared" si="125"/>
        <v>PTO-1103|EQ|1</v>
      </c>
      <c r="N1152" s="47">
        <f>IFERROR(VLOOKUP(A1152,PARTIDAS!A:F,6,FALSE()),0)</f>
        <v>13</v>
      </c>
      <c r="O1152" s="247">
        <f t="shared" si="126"/>
        <v>1</v>
      </c>
      <c r="P1152" s="247" t="str">
        <f>+_xlfn.XLOOKUP(A1152,PPTO_GENERADOR!Q:Q,PPTO_GENERADOR!E:E,"-",0)</f>
        <v>-</v>
      </c>
      <c r="Q1152" s="247">
        <f t="shared" si="127"/>
        <v>0</v>
      </c>
      <c r="R1152" s="259" t="str">
        <f>+_xlfn.XLOOKUP(A1152,PPTO_GENERADOR!$Q:$Q,PPTO_GENERADOR!A:A,"-",0)</f>
        <v>-</v>
      </c>
    </row>
    <row r="1153" spans="1:18" ht="14.25" customHeight="1" x14ac:dyDescent="0.35">
      <c r="A1153" s="38" t="s">
        <v>2705</v>
      </c>
      <c r="B1153" s="38" t="s">
        <v>2773</v>
      </c>
      <c r="C1153" s="38"/>
      <c r="D1153" s="38" t="s">
        <v>1598</v>
      </c>
      <c r="E1153" s="44" t="str">
        <f>IFERROR(VLOOKUP(D1153,EQUIPOS!A:B,2,FALSE()),"?")</f>
        <v>EQUIPO PARA COLOCACION DE CERAMICA</v>
      </c>
      <c r="F1153" s="44"/>
      <c r="G1153" s="45">
        <v>1</v>
      </c>
      <c r="H1153" s="46">
        <v>0</v>
      </c>
      <c r="I1153" s="47">
        <f>IFERROR(VLOOKUP(D1153,EQUIPOS!A:F,6,FALSE()),0)</f>
        <v>2637.1418444899073</v>
      </c>
      <c r="J1153" s="42">
        <f>G1153*I1153</f>
        <v>2637.1418444899073</v>
      </c>
      <c r="K1153" s="15" t="str">
        <f t="shared" si="124"/>
        <v>PTO-1103|EQ</v>
      </c>
      <c r="L1153" s="15">
        <f>COUNTIFS($K$2:K1153,K1153)</f>
        <v>2</v>
      </c>
      <c r="M1153" s="15" t="str">
        <f t="shared" si="125"/>
        <v>PTO-1103|EQ|2</v>
      </c>
      <c r="N1153" s="47">
        <f>IFERROR(VLOOKUP(A1153,PARTIDAS!A:F,6,FALSE()),0)</f>
        <v>13</v>
      </c>
      <c r="O1153" s="247">
        <f t="shared" si="126"/>
        <v>1</v>
      </c>
      <c r="P1153" s="247" t="str">
        <f>+_xlfn.XLOOKUP(A1153,PPTO_GENERADOR!Q:Q,PPTO_GENERADOR!E:E,"-",0)</f>
        <v>-</v>
      </c>
      <c r="Q1153" s="247">
        <f t="shared" si="127"/>
        <v>0</v>
      </c>
      <c r="R1153" s="259" t="str">
        <f>+_xlfn.XLOOKUP(A1153,PPTO_GENERADOR!$Q:$Q,PPTO_GENERADOR!A:A,"-",0)</f>
        <v>-</v>
      </c>
    </row>
    <row r="1154" spans="1:18" ht="14.25" customHeight="1" x14ac:dyDescent="0.35">
      <c r="A1154" s="38" t="s">
        <v>2705</v>
      </c>
      <c r="B1154" s="38" t="s">
        <v>2774</v>
      </c>
      <c r="C1154" s="38" t="s">
        <v>2775</v>
      </c>
      <c r="D1154" s="38" t="s">
        <v>604</v>
      </c>
      <c r="E1154" s="44" t="str">
        <f>IFERROR(VLOOKUP(D1154,MATERIALES!A:B,2,FALSE()),"?")</f>
        <v>Cal Comun x 25kg</v>
      </c>
      <c r="F1154" s="44" t="str">
        <f>IFERROR(VLOOKUP(D1154,MATERIALES!A:C,3,FALSE()),"?")</f>
        <v>bol</v>
      </c>
      <c r="G1154" s="45">
        <v>0.4</v>
      </c>
      <c r="H1154" s="46">
        <v>0.2</v>
      </c>
      <c r="I1154" s="47">
        <f>IFERROR(VLOOKUP(D1154,MATERIALES!A:D,4,FALSE()),0)</f>
        <v>3837.96</v>
      </c>
      <c r="J1154" s="42">
        <f>G1154*I1154*(1+H1154)</f>
        <v>1842.2208000000001</v>
      </c>
      <c r="K1154" s="15" t="str">
        <f t="shared" ref="K1154:K1217" si="128">A1154&amp;"|"&amp;B1154</f>
        <v>PTO-1103|MAT</v>
      </c>
      <c r="L1154" s="15">
        <f>COUNTIFS($K$2:K1154,K1154)</f>
        <v>1</v>
      </c>
      <c r="M1154" s="15" t="str">
        <f t="shared" ref="M1154:M1217" si="129">K1154&amp;"|"&amp;L1154</f>
        <v>PTO-1103|MAT|1</v>
      </c>
      <c r="N1154" s="47">
        <f>IFERROR(VLOOKUP(A1154,PARTIDAS!A:F,6,FALSE()),0)</f>
        <v>13</v>
      </c>
      <c r="O1154" s="247">
        <f t="shared" si="126"/>
        <v>0.4</v>
      </c>
      <c r="P1154" s="247" t="str">
        <f>+_xlfn.XLOOKUP(A1154,PPTO_GENERADOR!Q:Q,PPTO_GENERADOR!E:E,"-",0)</f>
        <v>-</v>
      </c>
      <c r="Q1154" s="247">
        <f t="shared" si="127"/>
        <v>0</v>
      </c>
      <c r="R1154" s="259" t="str">
        <f>+_xlfn.XLOOKUP(A1154,PPTO_GENERADOR!$Q:$Q,PPTO_GENERADOR!A:A,"-",0)</f>
        <v>-</v>
      </c>
    </row>
    <row r="1155" spans="1:18" ht="14.25" customHeight="1" x14ac:dyDescent="0.35">
      <c r="A1155" s="38" t="s">
        <v>2705</v>
      </c>
      <c r="B1155" s="38" t="s">
        <v>2774</v>
      </c>
      <c r="C1155" s="38" t="s">
        <v>2775</v>
      </c>
      <c r="D1155" s="38" t="s">
        <v>855</v>
      </c>
      <c r="E1155" s="44" t="str">
        <f>IFERROR(VLOOKUP(D1155,MATERIALES!A:B,2,FALSE()),"?")</f>
        <v>Trapo</v>
      </c>
      <c r="F1155" s="44" t="str">
        <f>IFERROR(VLOOKUP(D1155,MATERIALES!A:C,3,FALSE()),"?")</f>
        <v>u</v>
      </c>
      <c r="G1155" s="45">
        <v>0.01</v>
      </c>
      <c r="H1155" s="46">
        <v>0.03</v>
      </c>
      <c r="I1155" s="47">
        <f>IFERROR(VLOOKUP(D1155,MATERIALES!A:D,4,FALSE()),0)</f>
        <v>735.06</v>
      </c>
      <c r="J1155" s="42">
        <f>G1155*I1155*(1+H1155)</f>
        <v>7.5711180000000002</v>
      </c>
      <c r="K1155" s="15" t="str">
        <f t="shared" si="128"/>
        <v>PTO-1103|MAT</v>
      </c>
      <c r="L1155" s="15">
        <f>COUNTIFS($K$2:K1155,K1155)</f>
        <v>2</v>
      </c>
      <c r="M1155" s="15" t="str">
        <f t="shared" si="129"/>
        <v>PTO-1103|MAT|2</v>
      </c>
      <c r="N1155" s="47">
        <f>IFERROR(VLOOKUP(A1155,PARTIDAS!A:F,6,FALSE()),0)</f>
        <v>13</v>
      </c>
      <c r="O1155" s="247">
        <f t="shared" ref="O1155:O1218" si="130">+IF(C1155="ALB",G1155/N1155,G1155)</f>
        <v>0.01</v>
      </c>
      <c r="P1155" s="247" t="str">
        <f>+_xlfn.XLOOKUP(A1155,PPTO_GENERADOR!Q:Q,PPTO_GENERADOR!E:E,"-",0)</f>
        <v>-</v>
      </c>
      <c r="Q1155" s="247">
        <f t="shared" ref="Q1155:Q1218" si="131">IFERROR(P1155*O1155,0)</f>
        <v>0</v>
      </c>
      <c r="R1155" s="259" t="str">
        <f>+_xlfn.XLOOKUP(A1155,PPTO_GENERADOR!$Q:$Q,PPTO_GENERADOR!A:A,"-",0)</f>
        <v>-</v>
      </c>
    </row>
    <row r="1156" spans="1:18" ht="14.25" customHeight="1" x14ac:dyDescent="0.35">
      <c r="A1156" s="38" t="s">
        <v>2705</v>
      </c>
      <c r="B1156" s="38" t="s">
        <v>2774</v>
      </c>
      <c r="C1156" s="38" t="s">
        <v>2775</v>
      </c>
      <c r="D1156" s="38" t="s">
        <v>976</v>
      </c>
      <c r="E1156" s="44" t="str">
        <f>IFERROR(VLOOKUP(D1156,MATERIALES!A:B,2,FALSE()),"?")</f>
        <v>Disco Diamantado Aliafor Turbo Fino TRF</v>
      </c>
      <c r="F1156" s="44" t="str">
        <f>IFERROR(VLOOKUP(D1156,MATERIALES!A:C,3,FALSE()),"?")</f>
        <v>u</v>
      </c>
      <c r="G1156" s="45">
        <v>4.0000000000000001E-3</v>
      </c>
      <c r="H1156" s="46">
        <v>0.05</v>
      </c>
      <c r="I1156" s="47">
        <f>IFERROR(VLOOKUP(D1156,MATERIALES!A:D,4,FALSE()),0)</f>
        <v>20237</v>
      </c>
      <c r="J1156" s="42">
        <f>G1156*I1156*(1+H1156)</f>
        <v>84.995400000000018</v>
      </c>
      <c r="K1156" s="15" t="str">
        <f t="shared" si="128"/>
        <v>PTO-1103|MAT</v>
      </c>
      <c r="L1156" s="15">
        <f>COUNTIFS($K$2:K1156,K1156)</f>
        <v>3</v>
      </c>
      <c r="M1156" s="15" t="str">
        <f t="shared" si="129"/>
        <v>PTO-1103|MAT|3</v>
      </c>
      <c r="N1156" s="47">
        <f>IFERROR(VLOOKUP(A1156,PARTIDAS!A:F,6,FALSE()),0)</f>
        <v>13</v>
      </c>
      <c r="O1156" s="247">
        <f t="shared" si="130"/>
        <v>4.0000000000000001E-3</v>
      </c>
      <c r="P1156" s="247" t="str">
        <f>+_xlfn.XLOOKUP(A1156,PPTO_GENERADOR!Q:Q,PPTO_GENERADOR!E:E,"-",0)</f>
        <v>-</v>
      </c>
      <c r="Q1156" s="247">
        <f t="shared" si="131"/>
        <v>0</v>
      </c>
      <c r="R1156" s="259" t="str">
        <f>+_xlfn.XLOOKUP(A1156,PPTO_GENERADOR!$Q:$Q,PPTO_GENERADOR!A:A,"-",0)</f>
        <v>-</v>
      </c>
    </row>
    <row r="1157" spans="1:18" ht="14.25" customHeight="1" x14ac:dyDescent="0.35">
      <c r="A1157" s="38" t="s">
        <v>2705</v>
      </c>
      <c r="B1157" s="38" t="s">
        <v>2774</v>
      </c>
      <c r="C1157" s="38" t="s">
        <v>2775</v>
      </c>
      <c r="D1157" s="38" t="s">
        <v>979</v>
      </c>
      <c r="E1157" s="44" t="str">
        <f>IFERROR(VLOOKUP(D1157,MATERIALES!A:B,2,FALSE()),"?")</f>
        <v>Arco y cuña niveladores porcelanatos x 150 un</v>
      </c>
      <c r="F1157" s="44" t="str">
        <f>IFERROR(VLOOKUP(D1157,MATERIALES!A:C,3,FALSE()),"?")</f>
        <v>b</v>
      </c>
      <c r="G1157" s="45">
        <v>0.04</v>
      </c>
      <c r="H1157" s="46">
        <v>0.05</v>
      </c>
      <c r="I1157" s="47">
        <f>IFERROR(VLOOKUP(D1157,MATERIALES!A:D,4,FALSE()),0)</f>
        <v>44669.4214876033</v>
      </c>
      <c r="J1157" s="42">
        <f>G1157*I1157*(1+H1157)</f>
        <v>1876.1157024793388</v>
      </c>
      <c r="K1157" s="15" t="str">
        <f t="shared" si="128"/>
        <v>PTO-1103|MAT</v>
      </c>
      <c r="L1157" s="15">
        <f>COUNTIFS($K$2:K1157,K1157)</f>
        <v>4</v>
      </c>
      <c r="M1157" s="15" t="str">
        <f t="shared" si="129"/>
        <v>PTO-1103|MAT|4</v>
      </c>
      <c r="N1157" s="47">
        <f>IFERROR(VLOOKUP(A1157,PARTIDAS!A:F,6,FALSE()),0)</f>
        <v>13</v>
      </c>
      <c r="O1157" s="247">
        <f t="shared" si="130"/>
        <v>0.04</v>
      </c>
      <c r="P1157" s="247" t="str">
        <f>+_xlfn.XLOOKUP(A1157,PPTO_GENERADOR!Q:Q,PPTO_GENERADOR!E:E,"-",0)</f>
        <v>-</v>
      </c>
      <c r="Q1157" s="247">
        <f t="shared" si="131"/>
        <v>0</v>
      </c>
      <c r="R1157" s="259" t="str">
        <f>+_xlfn.XLOOKUP(A1157,PPTO_GENERADOR!$Q:$Q,PPTO_GENERADOR!A:A,"-",0)</f>
        <v>-</v>
      </c>
    </row>
    <row r="1158" spans="1:18" ht="14.25" customHeight="1" x14ac:dyDescent="0.35">
      <c r="A1158" s="38" t="s">
        <v>2705</v>
      </c>
      <c r="B1158" s="38" t="s">
        <v>2776</v>
      </c>
      <c r="C1158" s="38" t="s">
        <v>2777</v>
      </c>
      <c r="D1158" s="237" t="s">
        <v>1568</v>
      </c>
      <c r="E1158" s="44" t="str">
        <f>IFERROR(VLOOKUP(D1158,MANO_DE_OBRA!A:B,2,FALSE()),"?")</f>
        <v>ESPECIALIZADO</v>
      </c>
      <c r="F1158" s="44" t="s">
        <v>2778</v>
      </c>
      <c r="G1158" s="45">
        <v>1</v>
      </c>
      <c r="H1158" s="46">
        <v>0</v>
      </c>
      <c r="I1158" s="47">
        <f>IFERROR(VLOOKUP(D1158,MANO_DE_OBRA!A:C,3,FALSE()),0)</f>
        <v>85927.097156571996</v>
      </c>
      <c r="J1158" s="42">
        <f>G1158*I1158</f>
        <v>85927.097156571996</v>
      </c>
      <c r="K1158" s="15" t="str">
        <f t="shared" si="128"/>
        <v>PTO-1103|MO</v>
      </c>
      <c r="L1158" s="15">
        <f>COUNTIFS($K$2:K1158,K1158)</f>
        <v>1</v>
      </c>
      <c r="M1158" s="15" t="str">
        <f t="shared" si="129"/>
        <v>PTO-1103|MO|1</v>
      </c>
      <c r="N1158" s="47">
        <f>IFERROR(VLOOKUP(A1158,PARTIDAS!A:F,6,FALSE()),0)</f>
        <v>13</v>
      </c>
      <c r="O1158" s="247">
        <f t="shared" si="130"/>
        <v>7.6923076923076927E-2</v>
      </c>
      <c r="P1158" s="247" t="str">
        <f>+_xlfn.XLOOKUP(A1158,PPTO_GENERADOR!Q:Q,PPTO_GENERADOR!E:E,"-",0)</f>
        <v>-</v>
      </c>
      <c r="Q1158" s="247">
        <f t="shared" si="131"/>
        <v>0</v>
      </c>
      <c r="R1158" s="259" t="str">
        <f>+_xlfn.XLOOKUP(A1158,PPTO_GENERADOR!$Q:$Q,PPTO_GENERADOR!A:A,"-",0)</f>
        <v>-</v>
      </c>
    </row>
    <row r="1159" spans="1:18" ht="14.25" customHeight="1" x14ac:dyDescent="0.35">
      <c r="A1159" s="38" t="s">
        <v>2705</v>
      </c>
      <c r="B1159" s="38" t="s">
        <v>2776</v>
      </c>
      <c r="C1159" s="38" t="s">
        <v>2777</v>
      </c>
      <c r="D1159" s="237" t="s">
        <v>1571</v>
      </c>
      <c r="E1159" s="44" t="str">
        <f>IFERROR(VLOOKUP(D1159,MANO_DE_OBRA!A:B,2,FALSE()),"?")</f>
        <v>OFICIAL</v>
      </c>
      <c r="F1159" s="44" t="s">
        <v>2778</v>
      </c>
      <c r="G1159" s="45">
        <v>1</v>
      </c>
      <c r="H1159" s="46">
        <v>0</v>
      </c>
      <c r="I1159" s="47">
        <f>IFERROR(VLOOKUP(D1159,MANO_DE_OBRA!A:C,3,FALSE()),0)</f>
        <v>76955.079706571996</v>
      </c>
      <c r="J1159" s="42">
        <f>G1159*I1159</f>
        <v>76955.079706571996</v>
      </c>
      <c r="K1159" s="15" t="str">
        <f t="shared" si="128"/>
        <v>PTO-1103|MO</v>
      </c>
      <c r="L1159" s="15">
        <f>COUNTIFS($K$2:K1159,K1159)</f>
        <v>2</v>
      </c>
      <c r="M1159" s="15" t="str">
        <f t="shared" si="129"/>
        <v>PTO-1103|MO|2</v>
      </c>
      <c r="N1159" s="47">
        <f>IFERROR(VLOOKUP(A1159,PARTIDAS!A:F,6,FALSE()),0)</f>
        <v>13</v>
      </c>
      <c r="O1159" s="247">
        <f t="shared" si="130"/>
        <v>7.6923076923076927E-2</v>
      </c>
      <c r="P1159" s="247" t="str">
        <f>+_xlfn.XLOOKUP(A1159,PPTO_GENERADOR!Q:Q,PPTO_GENERADOR!E:E,"-",0)</f>
        <v>-</v>
      </c>
      <c r="Q1159" s="247">
        <f t="shared" si="131"/>
        <v>0</v>
      </c>
      <c r="R1159" s="259" t="str">
        <f>+_xlfn.XLOOKUP(A1159,PPTO_GENERADOR!$Q:$Q,PPTO_GENERADOR!A:A,"-",0)</f>
        <v>-</v>
      </c>
    </row>
    <row r="1160" spans="1:18" ht="14.25" customHeight="1" x14ac:dyDescent="0.35">
      <c r="A1160" s="38" t="s">
        <v>192</v>
      </c>
      <c r="B1160" s="38" t="s">
        <v>2773</v>
      </c>
      <c r="C1160" s="38"/>
      <c r="D1160" s="38" t="s">
        <v>1857</v>
      </c>
      <c r="E1160" s="44" t="str">
        <f>IFERROR(VLOOKUP(D1160,EQUIPOS!A:B,2,FALSE()),"?")</f>
        <v>Herramientas menores y consumibles - Colocación de pavimento intertrabado de H°, incluy</v>
      </c>
      <c r="F1160" s="44"/>
      <c r="G1160" s="45">
        <v>1</v>
      </c>
      <c r="H1160" s="46">
        <v>0</v>
      </c>
      <c r="I1160" s="47">
        <f>IFERROR(VLOOKUP(D1160,EQUIPOS!A:F,6,FALSE()),0)</f>
        <v>212.50168340278501</v>
      </c>
      <c r="J1160" s="42">
        <f>G1160*I1160</f>
        <v>212.50168340278501</v>
      </c>
      <c r="K1160" s="15" t="str">
        <f t="shared" si="128"/>
        <v>PTO-1104|EQ</v>
      </c>
      <c r="L1160" s="15">
        <f>COUNTIFS($K$2:K1160,K1160)</f>
        <v>1</v>
      </c>
      <c r="M1160" s="15" t="str">
        <f t="shared" si="129"/>
        <v>PTO-1104|EQ|1</v>
      </c>
      <c r="N1160" s="47">
        <f>IFERROR(VLOOKUP(A1160,PARTIDAS!A:F,6,FALSE()),0)</f>
        <v>1</v>
      </c>
      <c r="O1160" s="247">
        <f t="shared" si="130"/>
        <v>1</v>
      </c>
      <c r="P1160" s="247">
        <f>+_xlfn.XLOOKUP(A1160,PPTO_GENERADOR!Q:Q,PPTO_GENERADOR!E:E,"-",0)</f>
        <v>174</v>
      </c>
      <c r="Q1160" s="247">
        <f t="shared" si="131"/>
        <v>174</v>
      </c>
      <c r="R1160" s="259">
        <f>+_xlfn.XLOOKUP(A1160,PPTO_GENERADOR!$Q:$Q,PPTO_GENERADOR!A:A,"-",0)</f>
        <v>11.04</v>
      </c>
    </row>
    <row r="1161" spans="1:18" ht="14.25" customHeight="1" x14ac:dyDescent="0.35">
      <c r="A1161" s="38" t="s">
        <v>192</v>
      </c>
      <c r="B1161" s="38" t="s">
        <v>2774</v>
      </c>
      <c r="C1161" s="38" t="s">
        <v>2779</v>
      </c>
      <c r="D1161" s="38" t="s">
        <v>1222</v>
      </c>
      <c r="E1161" s="44" t="str">
        <f>IFERROR(VLOOKUP(D1161,MATERIALES!A:B,2,FALSE()),"?")</f>
        <v>BOLSON DE ARENA</v>
      </c>
      <c r="F1161" s="44" t="str">
        <f>IFERROR(VLOOKUP(D1161,MATERIALES!A:C,3,FALSE()),"?")</f>
        <v>m3</v>
      </c>
      <c r="G1161" s="45">
        <v>4.0229885057471299E-2</v>
      </c>
      <c r="H1161" s="46">
        <v>0</v>
      </c>
      <c r="I1161" s="47">
        <f>IFERROR(VLOOKUP(D1161,MATERIALES!A:D,4,FALSE()),0)</f>
        <v>32399.77</v>
      </c>
      <c r="J1161" s="42">
        <f>G1161*I1161*(1+H1161)</f>
        <v>1303.4390229885068</v>
      </c>
      <c r="K1161" s="15" t="str">
        <f t="shared" si="128"/>
        <v>PTO-1104|MAT</v>
      </c>
      <c r="L1161" s="15">
        <f>COUNTIFS($K$2:K1161,K1161)</f>
        <v>1</v>
      </c>
      <c r="M1161" s="15" t="str">
        <f t="shared" si="129"/>
        <v>PTO-1104|MAT|1</v>
      </c>
      <c r="N1161" s="47">
        <f>IFERROR(VLOOKUP(A1161,PARTIDAS!A:F,6,FALSE()),0)</f>
        <v>1</v>
      </c>
      <c r="O1161" s="247">
        <f t="shared" si="130"/>
        <v>4.0229885057471299E-2</v>
      </c>
      <c r="P1161" s="247">
        <f>+_xlfn.XLOOKUP(A1161,PPTO_GENERADOR!Q:Q,PPTO_GENERADOR!E:E,"-",0)</f>
        <v>174</v>
      </c>
      <c r="Q1161" s="247">
        <f t="shared" si="131"/>
        <v>7.0000000000000062</v>
      </c>
      <c r="R1161" s="259">
        <f>+_xlfn.XLOOKUP(A1161,PPTO_GENERADOR!$Q:$Q,PPTO_GENERADOR!A:A,"-",0)</f>
        <v>11.04</v>
      </c>
    </row>
    <row r="1162" spans="1:18" ht="14.25" customHeight="1" x14ac:dyDescent="0.35">
      <c r="A1162" s="38" t="s">
        <v>192</v>
      </c>
      <c r="B1162" s="38" t="s">
        <v>2776</v>
      </c>
      <c r="C1162" s="38" t="s">
        <v>2777</v>
      </c>
      <c r="D1162" s="38" t="s">
        <v>1577</v>
      </c>
      <c r="E1162" s="44" t="str">
        <f>IFERROR(VLOOKUP(D1162,MANO_DE_OBRA!A:B,2,FALSE()),"?")</f>
        <v>AYUDANTE</v>
      </c>
      <c r="F1162" s="44" t="s">
        <v>2778</v>
      </c>
      <c r="G1162" s="45">
        <v>8.9080459770114903E-2</v>
      </c>
      <c r="H1162" s="46">
        <v>0</v>
      </c>
      <c r="I1162" s="47">
        <f>IFERROR(VLOOKUP(D1162,MANO_DE_OBRA!A:C,3,FALSE()),0)</f>
        <v>60860.580776572002</v>
      </c>
      <c r="J1162" s="42">
        <f t="shared" ref="J1162:J1167" si="132">G1162*I1162</f>
        <v>5421.488517453251</v>
      </c>
      <c r="K1162" s="15" t="str">
        <f t="shared" si="128"/>
        <v>PTO-1104|MO</v>
      </c>
      <c r="L1162" s="15">
        <f>COUNTIFS($K$2:K1162,K1162)</f>
        <v>1</v>
      </c>
      <c r="M1162" s="15" t="str">
        <f t="shared" si="129"/>
        <v>PTO-1104|MO|1</v>
      </c>
      <c r="N1162" s="47">
        <f>IFERROR(VLOOKUP(A1162,PARTIDAS!A:F,6,FALSE()),0)</f>
        <v>1</v>
      </c>
      <c r="O1162" s="247">
        <f t="shared" si="130"/>
        <v>8.9080459770114903E-2</v>
      </c>
      <c r="P1162" s="247">
        <f>+_xlfn.XLOOKUP(A1162,PPTO_GENERADOR!Q:Q,PPTO_GENERADOR!E:E,"-",0)</f>
        <v>174</v>
      </c>
      <c r="Q1162" s="247">
        <f t="shared" si="131"/>
        <v>15.499999999999993</v>
      </c>
      <c r="R1162" s="259">
        <f>+_xlfn.XLOOKUP(A1162,PPTO_GENERADOR!$Q:$Q,PPTO_GENERADOR!A:A,"-",0)</f>
        <v>11.04</v>
      </c>
    </row>
    <row r="1163" spans="1:18" ht="14.25" customHeight="1" x14ac:dyDescent="0.35">
      <c r="A1163" s="38" t="s">
        <v>192</v>
      </c>
      <c r="B1163" s="38" t="s">
        <v>2776</v>
      </c>
      <c r="C1163" s="38" t="s">
        <v>2777</v>
      </c>
      <c r="D1163" s="237" t="s">
        <v>1568</v>
      </c>
      <c r="E1163" s="44" t="str">
        <f>IFERROR(VLOOKUP(D1163,MANO_DE_OBRA!A:B,2,FALSE()),"?")</f>
        <v>ESPECIALIZADO</v>
      </c>
      <c r="F1163" s="44" t="s">
        <v>2778</v>
      </c>
      <c r="G1163" s="45">
        <v>4.5977011494252901E-2</v>
      </c>
      <c r="H1163" s="46">
        <v>0</v>
      </c>
      <c r="I1163" s="47">
        <f>IFERROR(VLOOKUP(D1163,MANO_DE_OBRA!A:C,3,FALSE()),0)</f>
        <v>85927.097156571996</v>
      </c>
      <c r="J1163" s="42">
        <f t="shared" si="132"/>
        <v>3950.6711336354965</v>
      </c>
      <c r="K1163" s="15" t="str">
        <f t="shared" si="128"/>
        <v>PTO-1104|MO</v>
      </c>
      <c r="L1163" s="15">
        <f>COUNTIFS($K$2:K1163,K1163)</f>
        <v>2</v>
      </c>
      <c r="M1163" s="15" t="str">
        <f t="shared" si="129"/>
        <v>PTO-1104|MO|2</v>
      </c>
      <c r="N1163" s="47">
        <f>IFERROR(VLOOKUP(A1163,PARTIDAS!A:F,6,FALSE()),0)</f>
        <v>1</v>
      </c>
      <c r="O1163" s="247">
        <f t="shared" si="130"/>
        <v>4.5977011494252901E-2</v>
      </c>
      <c r="P1163" s="247">
        <f>+_xlfn.XLOOKUP(A1163,PPTO_GENERADOR!Q:Q,PPTO_GENERADOR!E:E,"-",0)</f>
        <v>174</v>
      </c>
      <c r="Q1163" s="247">
        <f t="shared" si="131"/>
        <v>8.0000000000000053</v>
      </c>
      <c r="R1163" s="259">
        <f>+_xlfn.XLOOKUP(A1163,PPTO_GENERADOR!$Q:$Q,PPTO_GENERADOR!A:A,"-",0)</f>
        <v>11.04</v>
      </c>
    </row>
    <row r="1164" spans="1:18" ht="14.25" customHeight="1" x14ac:dyDescent="0.35">
      <c r="A1164" s="38" t="s">
        <v>192</v>
      </c>
      <c r="B1164" s="38" t="s">
        <v>2776</v>
      </c>
      <c r="C1164" s="38" t="s">
        <v>2777</v>
      </c>
      <c r="D1164" s="237" t="s">
        <v>1574</v>
      </c>
      <c r="E1164" s="44" t="str">
        <f>IFERROR(VLOOKUP(D1164,MANO_DE_OBRA!A:B,2,FALSE()),"?")</f>
        <v>MEDIO OFICIAL</v>
      </c>
      <c r="F1164" s="44" t="s">
        <v>2778</v>
      </c>
      <c r="G1164" s="45">
        <v>2.8735632183908101E-2</v>
      </c>
      <c r="H1164" s="46">
        <v>0</v>
      </c>
      <c r="I1164" s="47">
        <f>IFERROR(VLOOKUP(D1164,MANO_DE_OBRA!A:C,3,FALSE()),0)</f>
        <v>65493.071636572</v>
      </c>
      <c r="J1164" s="42">
        <f t="shared" si="132"/>
        <v>1881.9848171428771</v>
      </c>
      <c r="K1164" s="15" t="str">
        <f t="shared" si="128"/>
        <v>PTO-1104|MO</v>
      </c>
      <c r="L1164" s="15">
        <f>COUNTIFS($K$2:K1164,K1164)</f>
        <v>3</v>
      </c>
      <c r="M1164" s="15" t="str">
        <f t="shared" si="129"/>
        <v>PTO-1104|MO|3</v>
      </c>
      <c r="N1164" s="47">
        <f>IFERROR(VLOOKUP(A1164,PARTIDAS!A:F,6,FALSE()),0)</f>
        <v>1</v>
      </c>
      <c r="O1164" s="247">
        <f t="shared" si="130"/>
        <v>2.8735632183908101E-2</v>
      </c>
      <c r="P1164" s="247">
        <f>+_xlfn.XLOOKUP(A1164,PPTO_GENERADOR!Q:Q,PPTO_GENERADOR!E:E,"-",0)</f>
        <v>174</v>
      </c>
      <c r="Q1164" s="247">
        <f t="shared" si="131"/>
        <v>5.0000000000000098</v>
      </c>
      <c r="R1164" s="259">
        <f>+_xlfn.XLOOKUP(A1164,PPTO_GENERADOR!$Q:$Q,PPTO_GENERADOR!A:A,"-",0)</f>
        <v>11.04</v>
      </c>
    </row>
    <row r="1165" spans="1:18" ht="14.25" customHeight="1" x14ac:dyDescent="0.35">
      <c r="A1165" s="38" t="s">
        <v>192</v>
      </c>
      <c r="B1165" s="38" t="s">
        <v>2776</v>
      </c>
      <c r="C1165" s="38" t="s">
        <v>2775</v>
      </c>
      <c r="D1165" s="38" t="s">
        <v>2437</v>
      </c>
      <c r="E1165" s="44" t="str">
        <f>IFERROR(VLOOKUP(D1165,SUBCONTRATOS_PRY!A:B,2,FALSE()),"?")</f>
        <v>Alquiler vibropison</v>
      </c>
      <c r="F1165" s="44" t="s">
        <v>2778</v>
      </c>
      <c r="G1165" s="45">
        <v>5.74712643678161E-3</v>
      </c>
      <c r="H1165" s="46">
        <v>0</v>
      </c>
      <c r="I1165" s="47">
        <f>IFERROR(VLOOKUP(D1165,SUBCONTRATOS_PRY!A:D,4,FALSE()),0)</f>
        <v>250000</v>
      </c>
      <c r="J1165" s="42">
        <f t="shared" si="132"/>
        <v>1436.7816091954026</v>
      </c>
      <c r="K1165" s="15" t="str">
        <f t="shared" si="128"/>
        <v>PTO-1104|MO</v>
      </c>
      <c r="L1165" s="15">
        <f>COUNTIFS($K$2:K1165,K1165)</f>
        <v>4</v>
      </c>
      <c r="M1165" s="15" t="str">
        <f t="shared" si="129"/>
        <v>PTO-1104|MO|4</v>
      </c>
      <c r="N1165" s="47">
        <f>IFERROR(VLOOKUP(A1165,PARTIDAS!A:F,6,FALSE()),0)</f>
        <v>1</v>
      </c>
      <c r="O1165" s="247">
        <f t="shared" si="130"/>
        <v>5.74712643678161E-3</v>
      </c>
      <c r="P1165" s="247">
        <f>+_xlfn.XLOOKUP(A1165,PPTO_GENERADOR!Q:Q,PPTO_GENERADOR!E:E,"-",0)</f>
        <v>174</v>
      </c>
      <c r="Q1165" s="247">
        <f t="shared" si="131"/>
        <v>1.0000000000000002</v>
      </c>
      <c r="R1165" s="259">
        <f>+_xlfn.XLOOKUP(A1165,PPTO_GENERADOR!$Q:$Q,PPTO_GENERADOR!A:A,"-",0)</f>
        <v>11.04</v>
      </c>
    </row>
    <row r="1166" spans="1:18" ht="14.25" customHeight="1" x14ac:dyDescent="0.35">
      <c r="A1166" s="38" t="s">
        <v>192</v>
      </c>
      <c r="B1166" s="38" t="s">
        <v>2776</v>
      </c>
      <c r="C1166" s="38" t="s">
        <v>2775</v>
      </c>
      <c r="D1166" s="38" t="s">
        <v>2289</v>
      </c>
      <c r="E1166" s="44" t="str">
        <f>IFERROR(VLOOKUP(D1166,SUBCONTRATOS_PRY!A:B,2,FALSE()),"?")</f>
        <v>Combustible</v>
      </c>
      <c r="F1166" s="44" t="s">
        <v>2778</v>
      </c>
      <c r="G1166" s="45">
        <v>0.114942528735632</v>
      </c>
      <c r="H1166" s="46">
        <v>0</v>
      </c>
      <c r="I1166" s="47">
        <f>IFERROR(VLOOKUP(D1166,SUBCONTRATOS_PRY!A:D,4,FALSE()),0)</f>
        <v>1500</v>
      </c>
      <c r="J1166" s="42">
        <f t="shared" si="132"/>
        <v>172.413793103448</v>
      </c>
      <c r="K1166" s="15" t="str">
        <f t="shared" si="128"/>
        <v>PTO-1104|MO</v>
      </c>
      <c r="L1166" s="15">
        <f>COUNTIFS($K$2:K1166,K1166)</f>
        <v>5</v>
      </c>
      <c r="M1166" s="15" t="str">
        <f t="shared" si="129"/>
        <v>PTO-1104|MO|5</v>
      </c>
      <c r="N1166" s="47">
        <f>IFERROR(VLOOKUP(A1166,PARTIDAS!A:F,6,FALSE()),0)</f>
        <v>1</v>
      </c>
      <c r="O1166" s="247">
        <f t="shared" si="130"/>
        <v>0.114942528735632</v>
      </c>
      <c r="P1166" s="247">
        <f>+_xlfn.XLOOKUP(A1166,PPTO_GENERADOR!Q:Q,PPTO_GENERADOR!E:E,"-",0)</f>
        <v>174</v>
      </c>
      <c r="Q1166" s="247">
        <f t="shared" si="131"/>
        <v>19.999999999999968</v>
      </c>
      <c r="R1166" s="259">
        <f>+_xlfn.XLOOKUP(A1166,PPTO_GENERADOR!$Q:$Q,PPTO_GENERADOR!A:A,"-",0)</f>
        <v>11.04</v>
      </c>
    </row>
    <row r="1167" spans="1:18" ht="14.25" customHeight="1" x14ac:dyDescent="0.35">
      <c r="A1167" s="38" t="s">
        <v>2707</v>
      </c>
      <c r="B1167" s="38" t="s">
        <v>2773</v>
      </c>
      <c r="C1167" s="38"/>
      <c r="D1167" s="38" t="s">
        <v>1741</v>
      </c>
      <c r="E1167" s="44" t="str">
        <f>IFERROR(VLOOKUP(D1167,EQUIPOS!A:B,2,FALSE()),"?")</f>
        <v>Herramientas y consumibles Colocación de garden block, incluye provisión y co</v>
      </c>
      <c r="F1167" s="44"/>
      <c r="G1167" s="45">
        <v>1</v>
      </c>
      <c r="H1167" s="46">
        <v>0</v>
      </c>
      <c r="I1167" s="47">
        <f>IFERROR(VLOOKUP(D1167,EQUIPOS!A:F,6,FALSE()),0)</f>
        <v>212.50168340278501</v>
      </c>
      <c r="J1167" s="42">
        <f t="shared" si="132"/>
        <v>212.50168340278501</v>
      </c>
      <c r="K1167" s="15" t="str">
        <f t="shared" si="128"/>
        <v>PTO-1105|EQ</v>
      </c>
      <c r="L1167" s="15">
        <f>COUNTIFS($K$2:K1167,K1167)</f>
        <v>1</v>
      </c>
      <c r="M1167" s="15" t="str">
        <f t="shared" si="129"/>
        <v>PTO-1105|EQ|1</v>
      </c>
      <c r="N1167" s="47">
        <f>IFERROR(VLOOKUP(A1167,PARTIDAS!A:F,6,FALSE()),0)</f>
        <v>1</v>
      </c>
      <c r="O1167" s="247">
        <f t="shared" si="130"/>
        <v>1</v>
      </c>
      <c r="P1167" s="247" t="str">
        <f>+_xlfn.XLOOKUP(A1167,PPTO_GENERADOR!Q:Q,PPTO_GENERADOR!E:E,"-",0)</f>
        <v>-</v>
      </c>
      <c r="Q1167" s="247">
        <f t="shared" si="131"/>
        <v>0</v>
      </c>
      <c r="R1167" s="259" t="str">
        <f>+_xlfn.XLOOKUP(A1167,PPTO_GENERADOR!$Q:$Q,PPTO_GENERADOR!A:A,"-",0)</f>
        <v>-</v>
      </c>
    </row>
    <row r="1168" spans="1:18" ht="14.25" customHeight="1" x14ac:dyDescent="0.35">
      <c r="A1168" s="38" t="s">
        <v>2707</v>
      </c>
      <c r="B1168" s="38" t="s">
        <v>2774</v>
      </c>
      <c r="C1168" s="38" t="s">
        <v>2779</v>
      </c>
      <c r="D1168" s="38" t="s">
        <v>1222</v>
      </c>
      <c r="E1168" s="44" t="str">
        <f>IFERROR(VLOOKUP(D1168,MATERIALES!A:B,2,FALSE()),"?")</f>
        <v>BOLSON DE ARENA</v>
      </c>
      <c r="F1168" s="44" t="str">
        <f>IFERROR(VLOOKUP(D1168,MATERIALES!A:C,3,FALSE()),"?")</f>
        <v>m3</v>
      </c>
      <c r="G1168" s="45">
        <v>4.0229885057471299E-2</v>
      </c>
      <c r="H1168" s="46">
        <v>0</v>
      </c>
      <c r="I1168" s="47">
        <f>IFERROR(VLOOKUP(D1168,MATERIALES!A:D,4,FALSE()),0)</f>
        <v>32399.77</v>
      </c>
      <c r="J1168" s="42">
        <f>G1168*I1168*(1+H1168)</f>
        <v>1303.4390229885068</v>
      </c>
      <c r="K1168" s="15" t="str">
        <f t="shared" si="128"/>
        <v>PTO-1105|MAT</v>
      </c>
      <c r="L1168" s="15">
        <f>COUNTIFS($K$2:K1168,K1168)</f>
        <v>1</v>
      </c>
      <c r="M1168" s="15" t="str">
        <f t="shared" si="129"/>
        <v>PTO-1105|MAT|1</v>
      </c>
      <c r="N1168" s="47">
        <f>IFERROR(VLOOKUP(A1168,PARTIDAS!A:F,6,FALSE()),0)</f>
        <v>1</v>
      </c>
      <c r="O1168" s="247">
        <f t="shared" si="130"/>
        <v>4.0229885057471299E-2</v>
      </c>
      <c r="P1168" s="247" t="str">
        <f>+_xlfn.XLOOKUP(A1168,PPTO_GENERADOR!Q:Q,PPTO_GENERADOR!E:E,"-",0)</f>
        <v>-</v>
      </c>
      <c r="Q1168" s="247">
        <f t="shared" si="131"/>
        <v>0</v>
      </c>
      <c r="R1168" s="259" t="str">
        <f>+_xlfn.XLOOKUP(A1168,PPTO_GENERADOR!$Q:$Q,PPTO_GENERADOR!A:A,"-",0)</f>
        <v>-</v>
      </c>
    </row>
    <row r="1169" spans="1:18" ht="14.25" customHeight="1" x14ac:dyDescent="0.35">
      <c r="A1169" s="38" t="s">
        <v>2707</v>
      </c>
      <c r="B1169" s="38" t="s">
        <v>2776</v>
      </c>
      <c r="C1169" s="38" t="s">
        <v>2777</v>
      </c>
      <c r="D1169" s="38" t="s">
        <v>1577</v>
      </c>
      <c r="E1169" s="44" t="str">
        <f>IFERROR(VLOOKUP(D1169,MANO_DE_OBRA!A:B,2,FALSE()),"?")</f>
        <v>AYUDANTE</v>
      </c>
      <c r="F1169" s="44" t="s">
        <v>2778</v>
      </c>
      <c r="G1169" s="45">
        <v>8.9080459770114903E-2</v>
      </c>
      <c r="H1169" s="46">
        <v>0</v>
      </c>
      <c r="I1169" s="47">
        <f>IFERROR(VLOOKUP(D1169,MANO_DE_OBRA!A:C,3,FALSE()),0)</f>
        <v>60860.580776572002</v>
      </c>
      <c r="J1169" s="42">
        <f t="shared" ref="J1169:J1174" si="133">G1169*I1169</f>
        <v>5421.488517453251</v>
      </c>
      <c r="K1169" s="15" t="str">
        <f t="shared" si="128"/>
        <v>PTO-1105|MO</v>
      </c>
      <c r="L1169" s="15">
        <f>COUNTIFS($K$2:K1169,K1169)</f>
        <v>1</v>
      </c>
      <c r="M1169" s="15" t="str">
        <f t="shared" si="129"/>
        <v>PTO-1105|MO|1</v>
      </c>
      <c r="N1169" s="47">
        <f>IFERROR(VLOOKUP(A1169,PARTIDAS!A:F,6,FALSE()),0)</f>
        <v>1</v>
      </c>
      <c r="O1169" s="247">
        <f t="shared" si="130"/>
        <v>8.9080459770114903E-2</v>
      </c>
      <c r="P1169" s="247" t="str">
        <f>+_xlfn.XLOOKUP(A1169,PPTO_GENERADOR!Q:Q,PPTO_GENERADOR!E:E,"-",0)</f>
        <v>-</v>
      </c>
      <c r="Q1169" s="247">
        <f t="shared" si="131"/>
        <v>0</v>
      </c>
      <c r="R1169" s="259" t="str">
        <f>+_xlfn.XLOOKUP(A1169,PPTO_GENERADOR!$Q:$Q,PPTO_GENERADOR!A:A,"-",0)</f>
        <v>-</v>
      </c>
    </row>
    <row r="1170" spans="1:18" ht="14.25" customHeight="1" x14ac:dyDescent="0.35">
      <c r="A1170" s="38" t="s">
        <v>2707</v>
      </c>
      <c r="B1170" s="38" t="s">
        <v>2776</v>
      </c>
      <c r="C1170" s="38" t="s">
        <v>2777</v>
      </c>
      <c r="D1170" s="237" t="s">
        <v>1568</v>
      </c>
      <c r="E1170" s="44" t="str">
        <f>IFERROR(VLOOKUP(D1170,MANO_DE_OBRA!A:B,2,FALSE()),"?")</f>
        <v>ESPECIALIZADO</v>
      </c>
      <c r="F1170" s="44" t="s">
        <v>2778</v>
      </c>
      <c r="G1170" s="45">
        <v>4.5977011494252901E-2</v>
      </c>
      <c r="H1170" s="46">
        <v>0</v>
      </c>
      <c r="I1170" s="47">
        <f>IFERROR(VLOOKUP(D1170,MANO_DE_OBRA!A:C,3,FALSE()),0)</f>
        <v>85927.097156571996</v>
      </c>
      <c r="J1170" s="42">
        <f t="shared" si="133"/>
        <v>3950.6711336354965</v>
      </c>
      <c r="K1170" s="15" t="str">
        <f t="shared" si="128"/>
        <v>PTO-1105|MO</v>
      </c>
      <c r="L1170" s="15">
        <f>COUNTIFS($K$2:K1170,K1170)</f>
        <v>2</v>
      </c>
      <c r="M1170" s="15" t="str">
        <f t="shared" si="129"/>
        <v>PTO-1105|MO|2</v>
      </c>
      <c r="N1170" s="47">
        <f>IFERROR(VLOOKUP(A1170,PARTIDAS!A:F,6,FALSE()),0)</f>
        <v>1</v>
      </c>
      <c r="O1170" s="247">
        <f t="shared" si="130"/>
        <v>4.5977011494252901E-2</v>
      </c>
      <c r="P1170" s="247" t="str">
        <f>+_xlfn.XLOOKUP(A1170,PPTO_GENERADOR!Q:Q,PPTO_GENERADOR!E:E,"-",0)</f>
        <v>-</v>
      </c>
      <c r="Q1170" s="247">
        <f t="shared" si="131"/>
        <v>0</v>
      </c>
      <c r="R1170" s="259" t="str">
        <f>+_xlfn.XLOOKUP(A1170,PPTO_GENERADOR!$Q:$Q,PPTO_GENERADOR!A:A,"-",0)</f>
        <v>-</v>
      </c>
    </row>
    <row r="1171" spans="1:18" ht="14.25" customHeight="1" x14ac:dyDescent="0.35">
      <c r="A1171" s="38" t="s">
        <v>2707</v>
      </c>
      <c r="B1171" s="38" t="s">
        <v>2776</v>
      </c>
      <c r="C1171" s="38" t="s">
        <v>2777</v>
      </c>
      <c r="D1171" s="237" t="s">
        <v>1574</v>
      </c>
      <c r="E1171" s="44" t="str">
        <f>IFERROR(VLOOKUP(D1171,MANO_DE_OBRA!A:B,2,FALSE()),"?")</f>
        <v>MEDIO OFICIAL</v>
      </c>
      <c r="F1171" s="44" t="s">
        <v>2778</v>
      </c>
      <c r="G1171" s="45">
        <v>2.8735632183908101E-2</v>
      </c>
      <c r="H1171" s="46">
        <v>0</v>
      </c>
      <c r="I1171" s="47">
        <f>IFERROR(VLOOKUP(D1171,MANO_DE_OBRA!A:C,3,FALSE()),0)</f>
        <v>65493.071636572</v>
      </c>
      <c r="J1171" s="42">
        <f t="shared" si="133"/>
        <v>1881.9848171428771</v>
      </c>
      <c r="K1171" s="15" t="str">
        <f t="shared" si="128"/>
        <v>PTO-1105|MO</v>
      </c>
      <c r="L1171" s="15">
        <f>COUNTIFS($K$2:K1171,K1171)</f>
        <v>3</v>
      </c>
      <c r="M1171" s="15" t="str">
        <f t="shared" si="129"/>
        <v>PTO-1105|MO|3</v>
      </c>
      <c r="N1171" s="47">
        <f>IFERROR(VLOOKUP(A1171,PARTIDAS!A:F,6,FALSE()),0)</f>
        <v>1</v>
      </c>
      <c r="O1171" s="247">
        <f t="shared" si="130"/>
        <v>2.8735632183908101E-2</v>
      </c>
      <c r="P1171" s="247" t="str">
        <f>+_xlfn.XLOOKUP(A1171,PPTO_GENERADOR!Q:Q,PPTO_GENERADOR!E:E,"-",0)</f>
        <v>-</v>
      </c>
      <c r="Q1171" s="247">
        <f t="shared" si="131"/>
        <v>0</v>
      </c>
      <c r="R1171" s="259" t="str">
        <f>+_xlfn.XLOOKUP(A1171,PPTO_GENERADOR!$Q:$Q,PPTO_GENERADOR!A:A,"-",0)</f>
        <v>-</v>
      </c>
    </row>
    <row r="1172" spans="1:18" ht="14.25" customHeight="1" x14ac:dyDescent="0.35">
      <c r="A1172" s="38" t="s">
        <v>2707</v>
      </c>
      <c r="B1172" s="38" t="s">
        <v>2776</v>
      </c>
      <c r="C1172" s="38" t="s">
        <v>2775</v>
      </c>
      <c r="D1172" s="38" t="s">
        <v>2437</v>
      </c>
      <c r="E1172" s="44" t="str">
        <f>IFERROR(VLOOKUP(D1172,SUBCONTRATOS_PRY!A:B,2,FALSE()),"?")</f>
        <v>Alquiler vibropison</v>
      </c>
      <c r="F1172" s="44" t="s">
        <v>2778</v>
      </c>
      <c r="G1172" s="45">
        <v>5.74712643678161E-3</v>
      </c>
      <c r="H1172" s="46">
        <v>0</v>
      </c>
      <c r="I1172" s="47">
        <f>IFERROR(VLOOKUP(D1172,SUBCONTRATOS_PRY!A:D,4,FALSE()),0)</f>
        <v>250000</v>
      </c>
      <c r="J1172" s="42">
        <f t="shared" si="133"/>
        <v>1436.7816091954026</v>
      </c>
      <c r="K1172" s="15" t="str">
        <f t="shared" si="128"/>
        <v>PTO-1105|MO</v>
      </c>
      <c r="L1172" s="15">
        <f>COUNTIFS($K$2:K1172,K1172)</f>
        <v>4</v>
      </c>
      <c r="M1172" s="15" t="str">
        <f t="shared" si="129"/>
        <v>PTO-1105|MO|4</v>
      </c>
      <c r="N1172" s="47">
        <f>IFERROR(VLOOKUP(A1172,PARTIDAS!A:F,6,FALSE()),0)</f>
        <v>1</v>
      </c>
      <c r="O1172" s="247">
        <f t="shared" si="130"/>
        <v>5.74712643678161E-3</v>
      </c>
      <c r="P1172" s="247" t="str">
        <f>+_xlfn.XLOOKUP(A1172,PPTO_GENERADOR!Q:Q,PPTO_GENERADOR!E:E,"-",0)</f>
        <v>-</v>
      </c>
      <c r="Q1172" s="247">
        <f t="shared" si="131"/>
        <v>0</v>
      </c>
      <c r="R1172" s="259" t="str">
        <f>+_xlfn.XLOOKUP(A1172,PPTO_GENERADOR!$Q:$Q,PPTO_GENERADOR!A:A,"-",0)</f>
        <v>-</v>
      </c>
    </row>
    <row r="1173" spans="1:18" ht="14.25" customHeight="1" x14ac:dyDescent="0.35">
      <c r="A1173" s="38" t="s">
        <v>2707</v>
      </c>
      <c r="B1173" s="38" t="s">
        <v>2776</v>
      </c>
      <c r="C1173" s="38" t="s">
        <v>2775</v>
      </c>
      <c r="D1173" s="38" t="s">
        <v>2289</v>
      </c>
      <c r="E1173" s="44" t="str">
        <f>IFERROR(VLOOKUP(D1173,SUBCONTRATOS_PRY!A:B,2,FALSE()),"?")</f>
        <v>Combustible</v>
      </c>
      <c r="F1173" s="44" t="s">
        <v>2778</v>
      </c>
      <c r="G1173" s="45">
        <v>0.114942528735632</v>
      </c>
      <c r="H1173" s="46">
        <v>0</v>
      </c>
      <c r="I1173" s="47">
        <f>IFERROR(VLOOKUP(D1173,SUBCONTRATOS_PRY!A:D,4,FALSE()),0)</f>
        <v>1500</v>
      </c>
      <c r="J1173" s="42">
        <f t="shared" si="133"/>
        <v>172.413793103448</v>
      </c>
      <c r="K1173" s="15" t="str">
        <f t="shared" si="128"/>
        <v>PTO-1105|MO</v>
      </c>
      <c r="L1173" s="15">
        <f>COUNTIFS($K$2:K1173,K1173)</f>
        <v>5</v>
      </c>
      <c r="M1173" s="15" t="str">
        <f t="shared" si="129"/>
        <v>PTO-1105|MO|5</v>
      </c>
      <c r="N1173" s="47">
        <f>IFERROR(VLOOKUP(A1173,PARTIDAS!A:F,6,FALSE()),0)</f>
        <v>1</v>
      </c>
      <c r="O1173" s="247">
        <f t="shared" si="130"/>
        <v>0.114942528735632</v>
      </c>
      <c r="P1173" s="247" t="str">
        <f>+_xlfn.XLOOKUP(A1173,PPTO_GENERADOR!Q:Q,PPTO_GENERADOR!E:E,"-",0)</f>
        <v>-</v>
      </c>
      <c r="Q1173" s="247">
        <f t="shared" si="131"/>
        <v>0</v>
      </c>
      <c r="R1173" s="259" t="str">
        <f>+_xlfn.XLOOKUP(A1173,PPTO_GENERADOR!$Q:$Q,PPTO_GENERADOR!A:A,"-",0)</f>
        <v>-</v>
      </c>
    </row>
    <row r="1174" spans="1:18" ht="14.25" customHeight="1" x14ac:dyDescent="0.35">
      <c r="A1174" s="38" t="s">
        <v>195</v>
      </c>
      <c r="B1174" s="38" t="s">
        <v>2773</v>
      </c>
      <c r="C1174" s="38"/>
      <c r="D1174" s="38" t="s">
        <v>1860</v>
      </c>
      <c r="E1174" s="44" t="str">
        <f>IFERROR(VLOOKUP(D1174,EQUIPOS!A:B,2,FALSE()),"?")</f>
        <v>Herramientas menores y consumibles - Provisión y colocación de relleno de piedra binder</v>
      </c>
      <c r="F1174" s="44"/>
      <c r="G1174" s="45">
        <v>1</v>
      </c>
      <c r="H1174" s="46">
        <v>0</v>
      </c>
      <c r="I1174" s="47">
        <f>IFERROR(VLOOKUP(D1174,EQUIPOS!A:F,6,FALSE()),0)</f>
        <v>155.708708956072</v>
      </c>
      <c r="J1174" s="42">
        <f t="shared" si="133"/>
        <v>155.708708956072</v>
      </c>
      <c r="K1174" s="15" t="str">
        <f t="shared" si="128"/>
        <v>PTO-1106|EQ</v>
      </c>
      <c r="L1174" s="15">
        <f>COUNTIFS($K$2:K1174,K1174)</f>
        <v>1</v>
      </c>
      <c r="M1174" s="15" t="str">
        <f t="shared" si="129"/>
        <v>PTO-1106|EQ|1</v>
      </c>
      <c r="N1174" s="47">
        <f>IFERROR(VLOOKUP(A1174,PARTIDAS!A:F,6,FALSE()),0)</f>
        <v>1</v>
      </c>
      <c r="O1174" s="247">
        <f t="shared" si="130"/>
        <v>1</v>
      </c>
      <c r="P1174" s="247">
        <f>+_xlfn.XLOOKUP(A1174,PPTO_GENERADOR!Q:Q,PPTO_GENERADOR!E:E,"-",0)</f>
        <v>8</v>
      </c>
      <c r="Q1174" s="247">
        <f t="shared" si="131"/>
        <v>8</v>
      </c>
      <c r="R1174" s="259">
        <f>+_xlfn.XLOOKUP(A1174,PPTO_GENERADOR!$Q:$Q,PPTO_GENERADOR!A:A,"-",0)</f>
        <v>11.06</v>
      </c>
    </row>
    <row r="1175" spans="1:18" ht="14.25" customHeight="1" x14ac:dyDescent="0.35">
      <c r="A1175" s="38" t="s">
        <v>195</v>
      </c>
      <c r="B1175" s="38" t="s">
        <v>2774</v>
      </c>
      <c r="C1175" s="38" t="s">
        <v>2779</v>
      </c>
      <c r="D1175" s="38" t="s">
        <v>1219</v>
      </c>
      <c r="E1175" s="44" t="str">
        <f>IFERROR(VLOOKUP(D1175,MATERIALES!A:B,2,FALSE()),"?")</f>
        <v>BOLSON DE BINDER 6/12</v>
      </c>
      <c r="F1175" s="44" t="str">
        <f>IFERROR(VLOOKUP(D1175,MATERIALES!A:C,3,FALSE()),"?")</f>
        <v>gl</v>
      </c>
      <c r="G1175" s="45">
        <v>4.8000000000000001E-2</v>
      </c>
      <c r="H1175" s="46">
        <v>0</v>
      </c>
      <c r="I1175" s="47">
        <f>IFERROR(VLOOKUP(D1175,MATERIALES!A:D,4,FALSE()),0)</f>
        <v>57771</v>
      </c>
      <c r="J1175" s="42">
        <f>G1175*I1175*(1+H1175)</f>
        <v>2773.0080000000003</v>
      </c>
      <c r="K1175" s="15" t="str">
        <f t="shared" si="128"/>
        <v>PTO-1106|MAT</v>
      </c>
      <c r="L1175" s="15">
        <f>COUNTIFS($K$2:K1175,K1175)</f>
        <v>1</v>
      </c>
      <c r="M1175" s="15" t="str">
        <f t="shared" si="129"/>
        <v>PTO-1106|MAT|1</v>
      </c>
      <c r="N1175" s="47">
        <f>IFERROR(VLOOKUP(A1175,PARTIDAS!A:F,6,FALSE()),0)</f>
        <v>1</v>
      </c>
      <c r="O1175" s="247">
        <f t="shared" si="130"/>
        <v>4.8000000000000001E-2</v>
      </c>
      <c r="P1175" s="247">
        <f>+_xlfn.XLOOKUP(A1175,PPTO_GENERADOR!Q:Q,PPTO_GENERADOR!E:E,"-",0)</f>
        <v>8</v>
      </c>
      <c r="Q1175" s="247">
        <f t="shared" si="131"/>
        <v>0.38400000000000001</v>
      </c>
      <c r="R1175" s="259">
        <f>+_xlfn.XLOOKUP(A1175,PPTO_GENERADOR!$Q:$Q,PPTO_GENERADOR!A:A,"-",0)</f>
        <v>11.06</v>
      </c>
    </row>
    <row r="1176" spans="1:18" ht="14.25" customHeight="1" x14ac:dyDescent="0.35">
      <c r="A1176" s="38" t="s">
        <v>195</v>
      </c>
      <c r="B1176" s="38" t="s">
        <v>2776</v>
      </c>
      <c r="C1176" s="38" t="s">
        <v>2777</v>
      </c>
      <c r="D1176" s="38" t="s">
        <v>1577</v>
      </c>
      <c r="E1176" s="44" t="str">
        <f>IFERROR(VLOOKUP(D1176,MANO_DE_OBRA!A:B,2,FALSE()),"?")</f>
        <v>AYUDANTE</v>
      </c>
      <c r="F1176" s="44" t="s">
        <v>2778</v>
      </c>
      <c r="G1176" s="45">
        <v>0.125</v>
      </c>
      <c r="H1176" s="46">
        <v>0</v>
      </c>
      <c r="I1176" s="47">
        <f>IFERROR(VLOOKUP(D1176,MANO_DE_OBRA!A:C,3,FALSE()),0)</f>
        <v>60860.580776572002</v>
      </c>
      <c r="J1176" s="42">
        <f>G1176*I1176</f>
        <v>7607.5725970715002</v>
      </c>
      <c r="K1176" s="15" t="str">
        <f t="shared" si="128"/>
        <v>PTO-1106|MO</v>
      </c>
      <c r="L1176" s="15">
        <f>COUNTIFS($K$2:K1176,K1176)</f>
        <v>1</v>
      </c>
      <c r="M1176" s="15" t="str">
        <f t="shared" si="129"/>
        <v>PTO-1106|MO|1</v>
      </c>
      <c r="N1176" s="47">
        <f>IFERROR(VLOOKUP(A1176,PARTIDAS!A:F,6,FALSE()),0)</f>
        <v>1</v>
      </c>
      <c r="O1176" s="247">
        <f t="shared" si="130"/>
        <v>0.125</v>
      </c>
      <c r="P1176" s="247">
        <f>+_xlfn.XLOOKUP(A1176,PPTO_GENERADOR!Q:Q,PPTO_GENERADOR!E:E,"-",0)</f>
        <v>8</v>
      </c>
      <c r="Q1176" s="247">
        <f t="shared" si="131"/>
        <v>1</v>
      </c>
      <c r="R1176" s="259">
        <f>+_xlfn.XLOOKUP(A1176,PPTO_GENERADOR!$Q:$Q,PPTO_GENERADOR!A:A,"-",0)</f>
        <v>11.06</v>
      </c>
    </row>
    <row r="1177" spans="1:18" ht="14.25" customHeight="1" x14ac:dyDescent="0.35">
      <c r="A1177" s="38" t="s">
        <v>197</v>
      </c>
      <c r="B1177" s="38" t="s">
        <v>2773</v>
      </c>
      <c r="C1177" s="38"/>
      <c r="D1177" s="38" t="s">
        <v>1863</v>
      </c>
      <c r="E1177" s="44" t="str">
        <f>IFERROR(VLOOKUP(D1177,EQUIPOS!A:B,2,FALSE()),"?")</f>
        <v xml:space="preserve">Herramientas menores y consumibles - Colocación de baldoson granítico vereda 40 x 40 - </v>
      </c>
      <c r="F1177" s="44"/>
      <c r="G1177" s="45">
        <v>1</v>
      </c>
      <c r="H1177" s="46">
        <v>0</v>
      </c>
      <c r="I1177" s="47">
        <f>IFERROR(VLOOKUP(D1177,EQUIPOS!A:F,6,FALSE()),0)</f>
        <v>295.286480531927</v>
      </c>
      <c r="J1177" s="42">
        <f>G1177*I1177</f>
        <v>295.286480531927</v>
      </c>
      <c r="K1177" s="15" t="str">
        <f t="shared" si="128"/>
        <v>PTO-1107|EQ</v>
      </c>
      <c r="L1177" s="15">
        <f>COUNTIFS($K$2:K1177,K1177)</f>
        <v>1</v>
      </c>
      <c r="M1177" s="15" t="str">
        <f t="shared" si="129"/>
        <v>PTO-1107|EQ|1</v>
      </c>
      <c r="N1177" s="47">
        <f>IFERROR(VLOOKUP(A1177,PARTIDAS!A:F,6,FALSE()),0)</f>
        <v>1</v>
      </c>
      <c r="O1177" s="247">
        <f t="shared" si="130"/>
        <v>1</v>
      </c>
      <c r="P1177" s="247">
        <f>+_xlfn.XLOOKUP(A1177,PPTO_GENERADOR!Q:Q,PPTO_GENERADOR!E:E,"-",0)</f>
        <v>46</v>
      </c>
      <c r="Q1177" s="247">
        <f t="shared" si="131"/>
        <v>46</v>
      </c>
      <c r="R1177" s="259">
        <f>+_xlfn.XLOOKUP(A1177,PPTO_GENERADOR!$Q:$Q,PPTO_GENERADOR!A:A,"-",0)</f>
        <v>11.07</v>
      </c>
    </row>
    <row r="1178" spans="1:18" ht="14.25" customHeight="1" x14ac:dyDescent="0.35">
      <c r="A1178" s="38" t="s">
        <v>197</v>
      </c>
      <c r="B1178" s="38" t="s">
        <v>2774</v>
      </c>
      <c r="C1178" s="38" t="s">
        <v>2779</v>
      </c>
      <c r="D1178" s="38" t="s">
        <v>1361</v>
      </c>
      <c r="E1178" s="44" t="str">
        <f>IFERROR(VLOOKUP(D1178,MATERIALES!A:B,2,FALSE()),"?")</f>
        <v>Consumibles</v>
      </c>
      <c r="F1178" s="44" t="str">
        <f>IFERROR(VLOOKUP(D1178,MATERIALES!A:C,3,FALSE()),"?")</f>
        <v>gl</v>
      </c>
      <c r="G1178" s="45">
        <v>1283.632482</v>
      </c>
      <c r="H1178" s="46">
        <v>0</v>
      </c>
      <c r="I1178" s="47">
        <f>IFERROR(VLOOKUP(D1178,MATERIALES!A:D,4,FALSE()),0)</f>
        <v>1</v>
      </c>
      <c r="J1178" s="42">
        <f>G1178*I1178*(1+H1178)</f>
        <v>1283.632482</v>
      </c>
      <c r="K1178" s="15" t="str">
        <f t="shared" si="128"/>
        <v>PTO-1107|MAT</v>
      </c>
      <c r="L1178" s="15">
        <f>COUNTIFS($K$2:K1178,K1178)</f>
        <v>1</v>
      </c>
      <c r="M1178" s="15" t="str">
        <f t="shared" si="129"/>
        <v>PTO-1107|MAT|1</v>
      </c>
      <c r="N1178" s="47">
        <f>IFERROR(VLOOKUP(A1178,PARTIDAS!A:F,6,FALSE()),0)</f>
        <v>1</v>
      </c>
      <c r="O1178" s="247">
        <f t="shared" si="130"/>
        <v>1283.632482</v>
      </c>
      <c r="P1178" s="247">
        <f>+_xlfn.XLOOKUP(A1178,PPTO_GENERADOR!Q:Q,PPTO_GENERADOR!E:E,"-",0)</f>
        <v>46</v>
      </c>
      <c r="Q1178" s="247">
        <f t="shared" si="131"/>
        <v>59047.094171999997</v>
      </c>
      <c r="R1178" s="259">
        <f>+_xlfn.XLOOKUP(A1178,PPTO_GENERADOR!$Q:$Q,PPTO_GENERADOR!A:A,"-",0)</f>
        <v>11.07</v>
      </c>
    </row>
    <row r="1179" spans="1:18" ht="14.25" customHeight="1" x14ac:dyDescent="0.35">
      <c r="A1179" s="38" t="s">
        <v>197</v>
      </c>
      <c r="B1179" s="38" t="s">
        <v>2774</v>
      </c>
      <c r="C1179" s="38" t="s">
        <v>2779</v>
      </c>
      <c r="D1179" s="38" t="s">
        <v>1111</v>
      </c>
      <c r="E1179" s="44" t="str">
        <f>IFERROR(VLOOKUP(D1179,MATERIALES!A:B,2,FALSE()),"?")</f>
        <v>CEMENTO AVELLANEDA x 50 KG</v>
      </c>
      <c r="F1179" s="44" t="str">
        <f>IFERROR(VLOOKUP(D1179,MATERIALES!A:C,3,FALSE()),"?")</f>
        <v>bol</v>
      </c>
      <c r="G1179" s="45">
        <v>8.6956521739130405E-2</v>
      </c>
      <c r="H1179" s="46">
        <v>0</v>
      </c>
      <c r="I1179" s="47">
        <f>IFERROR(VLOOKUP(D1179,MATERIALES!A:D,4,FALSE()),0)</f>
        <v>7809.48</v>
      </c>
      <c r="J1179" s="42">
        <f>G1179*I1179*(1+H1179)</f>
        <v>679.08521739130413</v>
      </c>
      <c r="K1179" s="15" t="str">
        <f t="shared" si="128"/>
        <v>PTO-1107|MAT</v>
      </c>
      <c r="L1179" s="15">
        <f>COUNTIFS($K$2:K1179,K1179)</f>
        <v>2</v>
      </c>
      <c r="M1179" s="15" t="str">
        <f t="shared" si="129"/>
        <v>PTO-1107|MAT|2</v>
      </c>
      <c r="N1179" s="47">
        <f>IFERROR(VLOOKUP(A1179,PARTIDAS!A:F,6,FALSE()),0)</f>
        <v>1</v>
      </c>
      <c r="O1179" s="247">
        <f t="shared" si="130"/>
        <v>8.6956521739130405E-2</v>
      </c>
      <c r="P1179" s="247">
        <f>+_xlfn.XLOOKUP(A1179,PPTO_GENERADOR!Q:Q,PPTO_GENERADOR!E:E,"-",0)</f>
        <v>46</v>
      </c>
      <c r="Q1179" s="247">
        <f t="shared" si="131"/>
        <v>3.9999999999999987</v>
      </c>
      <c r="R1179" s="259">
        <f>+_xlfn.XLOOKUP(A1179,PPTO_GENERADOR!$Q:$Q,PPTO_GENERADOR!A:A,"-",0)</f>
        <v>11.07</v>
      </c>
    </row>
    <row r="1180" spans="1:18" ht="14.25" customHeight="1" x14ac:dyDescent="0.35">
      <c r="A1180" s="38" t="s">
        <v>197</v>
      </c>
      <c r="B1180" s="38" t="s">
        <v>2774</v>
      </c>
      <c r="C1180" s="38" t="s">
        <v>2779</v>
      </c>
      <c r="D1180" s="38" t="s">
        <v>1222</v>
      </c>
      <c r="E1180" s="44" t="str">
        <f>IFERROR(VLOOKUP(D1180,MATERIALES!A:B,2,FALSE()),"?")</f>
        <v>BOLSON DE ARENA</v>
      </c>
      <c r="F1180" s="44" t="str">
        <f>IFERROR(VLOOKUP(D1180,MATERIALES!A:C,3,FALSE()),"?")</f>
        <v>m3</v>
      </c>
      <c r="G1180" s="45">
        <v>3.3000000000000002E-2</v>
      </c>
      <c r="H1180" s="46">
        <v>0</v>
      </c>
      <c r="I1180" s="47">
        <f>IFERROR(VLOOKUP(D1180,MATERIALES!A:D,4,FALSE()),0)</f>
        <v>32399.77</v>
      </c>
      <c r="J1180" s="42">
        <f>G1180*I1180*(1+H1180)</f>
        <v>1069.1924100000001</v>
      </c>
      <c r="K1180" s="15" t="str">
        <f t="shared" si="128"/>
        <v>PTO-1107|MAT</v>
      </c>
      <c r="L1180" s="15">
        <f>COUNTIFS($K$2:K1180,K1180)</f>
        <v>3</v>
      </c>
      <c r="M1180" s="15" t="str">
        <f t="shared" si="129"/>
        <v>PTO-1107|MAT|3</v>
      </c>
      <c r="N1180" s="47">
        <f>IFERROR(VLOOKUP(A1180,PARTIDAS!A:F,6,FALSE()),0)</f>
        <v>1</v>
      </c>
      <c r="O1180" s="247">
        <f t="shared" si="130"/>
        <v>3.3000000000000002E-2</v>
      </c>
      <c r="P1180" s="247">
        <f>+_xlfn.XLOOKUP(A1180,PPTO_GENERADOR!Q:Q,PPTO_GENERADOR!E:E,"-",0)</f>
        <v>46</v>
      </c>
      <c r="Q1180" s="247">
        <f t="shared" si="131"/>
        <v>1.518</v>
      </c>
      <c r="R1180" s="259">
        <f>+_xlfn.XLOOKUP(A1180,PPTO_GENERADOR!$Q:$Q,PPTO_GENERADOR!A:A,"-",0)</f>
        <v>11.07</v>
      </c>
    </row>
    <row r="1181" spans="1:18" ht="14.25" customHeight="1" x14ac:dyDescent="0.35">
      <c r="A1181" s="38" t="s">
        <v>197</v>
      </c>
      <c r="B1181" s="38" t="s">
        <v>2774</v>
      </c>
      <c r="C1181" s="38" t="s">
        <v>2779</v>
      </c>
      <c r="D1181" s="38" t="s">
        <v>1242</v>
      </c>
      <c r="E1181" s="44" t="str">
        <f>IFERROR(VLOOKUP(D1181,MATERIALES!A:B,2,FALSE()),"?")</f>
        <v>CAL MILAGRO x 25 KG</v>
      </c>
      <c r="F1181" s="44" t="str">
        <f>IFERROR(VLOOKUP(D1181,MATERIALES!A:C,3,FALSE()),"?")</f>
        <v>bol</v>
      </c>
      <c r="G1181" s="45">
        <v>0.26086956521739102</v>
      </c>
      <c r="H1181" s="46">
        <v>0</v>
      </c>
      <c r="I1181" s="47">
        <f>IFERROR(VLOOKUP(D1181,MATERIALES!A:D,4,FALSE()),0)</f>
        <v>10936.8</v>
      </c>
      <c r="J1181" s="42">
        <f>G1181*I1181*(1+H1181)</f>
        <v>2853.0782608695617</v>
      </c>
      <c r="K1181" s="15" t="str">
        <f t="shared" si="128"/>
        <v>PTO-1107|MAT</v>
      </c>
      <c r="L1181" s="15">
        <f>COUNTIFS($K$2:K1181,K1181)</f>
        <v>4</v>
      </c>
      <c r="M1181" s="15" t="str">
        <f t="shared" si="129"/>
        <v>PTO-1107|MAT|4</v>
      </c>
      <c r="N1181" s="47">
        <f>IFERROR(VLOOKUP(A1181,PARTIDAS!A:F,6,FALSE()),0)</f>
        <v>1</v>
      </c>
      <c r="O1181" s="247">
        <f t="shared" si="130"/>
        <v>0.26086956521739102</v>
      </c>
      <c r="P1181" s="247">
        <f>+_xlfn.XLOOKUP(A1181,PPTO_GENERADOR!Q:Q,PPTO_GENERADOR!E:E,"-",0)</f>
        <v>46</v>
      </c>
      <c r="Q1181" s="247">
        <f t="shared" si="131"/>
        <v>11.999999999999988</v>
      </c>
      <c r="R1181" s="259">
        <f>+_xlfn.XLOOKUP(A1181,PPTO_GENERADOR!$Q:$Q,PPTO_GENERADOR!A:A,"-",0)</f>
        <v>11.07</v>
      </c>
    </row>
    <row r="1182" spans="1:18" ht="14.25" customHeight="1" x14ac:dyDescent="0.35">
      <c r="A1182" s="38" t="s">
        <v>197</v>
      </c>
      <c r="B1182" s="38" t="s">
        <v>2774</v>
      </c>
      <c r="C1182" s="38" t="s">
        <v>2779</v>
      </c>
      <c r="D1182" s="38" t="s">
        <v>1245</v>
      </c>
      <c r="E1182" s="44" t="str">
        <f>IFERROR(VLOOKUP(D1182,MATERIALES!A:B,2,FALSE()),"?")</f>
        <v>PASTINA PRESTIGE NIEVE X 2KG</v>
      </c>
      <c r="F1182" s="44" t="str">
        <f>IFERROR(VLOOKUP(D1182,MATERIALES!A:C,3,FALSE()),"?")</f>
        <v>bol</v>
      </c>
      <c r="G1182" s="45">
        <v>0.282608695652174</v>
      </c>
      <c r="H1182" s="46">
        <v>0</v>
      </c>
      <c r="I1182" s="47">
        <f>IFERROR(VLOOKUP(D1182,MATERIALES!A:D,4,FALSE()),0)</f>
        <v>6428.7</v>
      </c>
      <c r="J1182" s="42">
        <f>G1182*I1182*(1+H1182)</f>
        <v>1816.8065217391309</v>
      </c>
      <c r="K1182" s="15" t="str">
        <f t="shared" si="128"/>
        <v>PTO-1107|MAT</v>
      </c>
      <c r="L1182" s="15">
        <f>COUNTIFS($K$2:K1182,K1182)</f>
        <v>5</v>
      </c>
      <c r="M1182" s="15" t="str">
        <f t="shared" si="129"/>
        <v>PTO-1107|MAT|5</v>
      </c>
      <c r="N1182" s="47">
        <f>IFERROR(VLOOKUP(A1182,PARTIDAS!A:F,6,FALSE()),0)</f>
        <v>1</v>
      </c>
      <c r="O1182" s="247">
        <f t="shared" si="130"/>
        <v>0.282608695652174</v>
      </c>
      <c r="P1182" s="247">
        <f>+_xlfn.XLOOKUP(A1182,PPTO_GENERADOR!Q:Q,PPTO_GENERADOR!E:E,"-",0)</f>
        <v>46</v>
      </c>
      <c r="Q1182" s="247">
        <f t="shared" si="131"/>
        <v>13.000000000000004</v>
      </c>
      <c r="R1182" s="259">
        <f>+_xlfn.XLOOKUP(A1182,PPTO_GENERADOR!$Q:$Q,PPTO_GENERADOR!A:A,"-",0)</f>
        <v>11.07</v>
      </c>
    </row>
    <row r="1183" spans="1:18" ht="14.25" customHeight="1" x14ac:dyDescent="0.35">
      <c r="A1183" s="38" t="s">
        <v>197</v>
      </c>
      <c r="B1183" s="38" t="s">
        <v>2776</v>
      </c>
      <c r="C1183" s="38" t="s">
        <v>2777</v>
      </c>
      <c r="D1183" s="38" t="s">
        <v>1577</v>
      </c>
      <c r="E1183" s="44" t="str">
        <f>IFERROR(VLOOKUP(D1183,MANO_DE_OBRA!A:B,2,FALSE()),"?")</f>
        <v>AYUDANTE</v>
      </c>
      <c r="F1183" s="44" t="s">
        <v>2778</v>
      </c>
      <c r="G1183" s="45">
        <v>8.6956521739130405E-2</v>
      </c>
      <c r="H1183" s="46">
        <v>0</v>
      </c>
      <c r="I1183" s="47">
        <f>IFERROR(VLOOKUP(D1183,MANO_DE_OBRA!A:C,3,FALSE()),0)</f>
        <v>60860.580776572002</v>
      </c>
      <c r="J1183" s="42">
        <f>G1183*I1183</f>
        <v>5292.2244153540851</v>
      </c>
      <c r="K1183" s="15" t="str">
        <f t="shared" si="128"/>
        <v>PTO-1107|MO</v>
      </c>
      <c r="L1183" s="15">
        <f>COUNTIFS($K$2:K1183,K1183)</f>
        <v>1</v>
      </c>
      <c r="M1183" s="15" t="str">
        <f t="shared" si="129"/>
        <v>PTO-1107|MO|1</v>
      </c>
      <c r="N1183" s="47">
        <f>IFERROR(VLOOKUP(A1183,PARTIDAS!A:F,6,FALSE()),0)</f>
        <v>1</v>
      </c>
      <c r="O1183" s="247">
        <f t="shared" si="130"/>
        <v>8.6956521739130405E-2</v>
      </c>
      <c r="P1183" s="247">
        <f>+_xlfn.XLOOKUP(A1183,PPTO_GENERADOR!Q:Q,PPTO_GENERADOR!E:E,"-",0)</f>
        <v>46</v>
      </c>
      <c r="Q1183" s="247">
        <f t="shared" si="131"/>
        <v>3.9999999999999987</v>
      </c>
      <c r="R1183" s="259">
        <f>+_xlfn.XLOOKUP(A1183,PPTO_GENERADOR!$Q:$Q,PPTO_GENERADOR!A:A,"-",0)</f>
        <v>11.07</v>
      </c>
    </row>
    <row r="1184" spans="1:18" ht="14.25" customHeight="1" x14ac:dyDescent="0.35">
      <c r="A1184" s="38" t="s">
        <v>197</v>
      </c>
      <c r="B1184" s="38" t="s">
        <v>2776</v>
      </c>
      <c r="C1184" s="38" t="s">
        <v>2777</v>
      </c>
      <c r="D1184" s="237" t="s">
        <v>1571</v>
      </c>
      <c r="E1184" s="44" t="str">
        <f>IFERROR(VLOOKUP(D1184,MANO_DE_OBRA!A:B,2,FALSE()),"?")</f>
        <v>OFICIAL</v>
      </c>
      <c r="F1184" s="44" t="s">
        <v>2778</v>
      </c>
      <c r="G1184" s="45">
        <v>8.6956521739130405E-2</v>
      </c>
      <c r="H1184" s="46">
        <v>0</v>
      </c>
      <c r="I1184" s="47">
        <f>IFERROR(VLOOKUP(D1184,MANO_DE_OBRA!A:C,3,FALSE()),0)</f>
        <v>76955.079706571996</v>
      </c>
      <c r="J1184" s="42">
        <f>G1184*I1184</f>
        <v>6691.7460614410411</v>
      </c>
      <c r="K1184" s="15" t="str">
        <f t="shared" si="128"/>
        <v>PTO-1107|MO</v>
      </c>
      <c r="L1184" s="15">
        <f>COUNTIFS($K$2:K1184,K1184)</f>
        <v>2</v>
      </c>
      <c r="M1184" s="15" t="str">
        <f t="shared" si="129"/>
        <v>PTO-1107|MO|2</v>
      </c>
      <c r="N1184" s="47">
        <f>IFERROR(VLOOKUP(A1184,PARTIDAS!A:F,6,FALSE()),0)</f>
        <v>1</v>
      </c>
      <c r="O1184" s="247">
        <f t="shared" si="130"/>
        <v>8.6956521739130405E-2</v>
      </c>
      <c r="P1184" s="247">
        <f>+_xlfn.XLOOKUP(A1184,PPTO_GENERADOR!Q:Q,PPTO_GENERADOR!E:E,"-",0)</f>
        <v>46</v>
      </c>
      <c r="Q1184" s="247">
        <f t="shared" si="131"/>
        <v>3.9999999999999987</v>
      </c>
      <c r="R1184" s="259">
        <f>+_xlfn.XLOOKUP(A1184,PPTO_GENERADOR!$Q:$Q,PPTO_GENERADOR!A:A,"-",0)</f>
        <v>11.07</v>
      </c>
    </row>
    <row r="1185" spans="1:18" ht="14.25" customHeight="1" x14ac:dyDescent="0.35">
      <c r="A1185" s="38" t="s">
        <v>2708</v>
      </c>
      <c r="B1185" s="38" t="s">
        <v>2773</v>
      </c>
      <c r="C1185" s="38"/>
      <c r="D1185" s="38" t="s">
        <v>1619</v>
      </c>
      <c r="E1185" s="44" t="str">
        <f>IFERROR(VLOOKUP(D1185,EQUIPOS!A:B,2,FALSE()),"?")</f>
        <v>CORTADORA CERAMICA PROFESIONAL 1200MM (PORCELANATO HASTA 16MM)</v>
      </c>
      <c r="F1185" s="44"/>
      <c r="G1185" s="45">
        <v>1</v>
      </c>
      <c r="H1185" s="46">
        <v>0</v>
      </c>
      <c r="I1185" s="47">
        <f>IFERROR(VLOOKUP(D1185,EQUIPOS!A:F,6,FALSE()),0)</f>
        <v>298.42384358082836</v>
      </c>
      <c r="J1185" s="42">
        <f>G1185*I1185</f>
        <v>298.42384358082836</v>
      </c>
      <c r="K1185" s="15" t="str">
        <f t="shared" si="128"/>
        <v>PTO-1108|EQ</v>
      </c>
      <c r="L1185" s="15">
        <f>COUNTIFS($K$2:K1185,K1185)</f>
        <v>1</v>
      </c>
      <c r="M1185" s="15" t="str">
        <f t="shared" si="129"/>
        <v>PTO-1108|EQ|1</v>
      </c>
      <c r="N1185" s="47">
        <f>IFERROR(VLOOKUP(A1185,PARTIDAS!A:F,6,FALSE()),0)</f>
        <v>13</v>
      </c>
      <c r="O1185" s="247">
        <f t="shared" si="130"/>
        <v>1</v>
      </c>
      <c r="P1185" s="247" t="str">
        <f>+_xlfn.XLOOKUP(A1185,PPTO_GENERADOR!Q:Q,PPTO_GENERADOR!E:E,"-",0)</f>
        <v>-</v>
      </c>
      <c r="Q1185" s="247">
        <f t="shared" si="131"/>
        <v>0</v>
      </c>
      <c r="R1185" s="259" t="str">
        <f>+_xlfn.XLOOKUP(A1185,PPTO_GENERADOR!$Q:$Q,PPTO_GENERADOR!A:A,"-",0)</f>
        <v>-</v>
      </c>
    </row>
    <row r="1186" spans="1:18" ht="14.25" customHeight="1" x14ac:dyDescent="0.35">
      <c r="A1186" s="38" t="s">
        <v>2708</v>
      </c>
      <c r="B1186" s="38" t="s">
        <v>2773</v>
      </c>
      <c r="C1186" s="38"/>
      <c r="D1186" s="38" t="s">
        <v>1598</v>
      </c>
      <c r="E1186" s="44" t="str">
        <f>IFERROR(VLOOKUP(D1186,EQUIPOS!A:B,2,FALSE()),"?")</f>
        <v>EQUIPO PARA COLOCACION DE CERAMICA</v>
      </c>
      <c r="F1186" s="44"/>
      <c r="G1186" s="45">
        <v>1</v>
      </c>
      <c r="H1186" s="46">
        <v>0</v>
      </c>
      <c r="I1186" s="47">
        <f>IFERROR(VLOOKUP(D1186,EQUIPOS!A:F,6,FALSE()),0)</f>
        <v>2637.1418444899073</v>
      </c>
      <c r="J1186" s="42">
        <f>G1186*I1186</f>
        <v>2637.1418444899073</v>
      </c>
      <c r="K1186" s="15" t="str">
        <f t="shared" si="128"/>
        <v>PTO-1108|EQ</v>
      </c>
      <c r="L1186" s="15">
        <f>COUNTIFS($K$2:K1186,K1186)</f>
        <v>2</v>
      </c>
      <c r="M1186" s="15" t="str">
        <f t="shared" si="129"/>
        <v>PTO-1108|EQ|2</v>
      </c>
      <c r="N1186" s="47">
        <f>IFERROR(VLOOKUP(A1186,PARTIDAS!A:F,6,FALSE()),0)</f>
        <v>13</v>
      </c>
      <c r="O1186" s="247">
        <f t="shared" si="130"/>
        <v>1</v>
      </c>
      <c r="P1186" s="247" t="str">
        <f>+_xlfn.XLOOKUP(A1186,PPTO_GENERADOR!Q:Q,PPTO_GENERADOR!E:E,"-",0)</f>
        <v>-</v>
      </c>
      <c r="Q1186" s="247">
        <f t="shared" si="131"/>
        <v>0</v>
      </c>
      <c r="R1186" s="259" t="str">
        <f>+_xlfn.XLOOKUP(A1186,PPTO_GENERADOR!$Q:$Q,PPTO_GENERADOR!A:A,"-",0)</f>
        <v>-</v>
      </c>
    </row>
    <row r="1187" spans="1:18" ht="14.25" customHeight="1" x14ac:dyDescent="0.35">
      <c r="A1187" s="38" t="s">
        <v>2708</v>
      </c>
      <c r="B1187" s="38" t="s">
        <v>2774</v>
      </c>
      <c r="C1187" s="38" t="s">
        <v>2775</v>
      </c>
      <c r="D1187" s="38" t="s">
        <v>604</v>
      </c>
      <c r="E1187" s="44" t="str">
        <f>IFERROR(VLOOKUP(D1187,MATERIALES!A:B,2,FALSE()),"?")</f>
        <v>Cal Comun x 25kg</v>
      </c>
      <c r="F1187" s="44" t="str">
        <f>IFERROR(VLOOKUP(D1187,MATERIALES!A:C,3,FALSE()),"?")</f>
        <v>bol</v>
      </c>
      <c r="G1187" s="45">
        <v>0.4</v>
      </c>
      <c r="H1187" s="46">
        <v>0.2</v>
      </c>
      <c r="I1187" s="47">
        <f>IFERROR(VLOOKUP(D1187,MATERIALES!A:D,4,FALSE()),0)</f>
        <v>3837.96</v>
      </c>
      <c r="J1187" s="42">
        <f>G1187*I1187*(1+H1187)</f>
        <v>1842.2208000000001</v>
      </c>
      <c r="K1187" s="15" t="str">
        <f t="shared" si="128"/>
        <v>PTO-1108|MAT</v>
      </c>
      <c r="L1187" s="15">
        <f>COUNTIFS($K$2:K1187,K1187)</f>
        <v>1</v>
      </c>
      <c r="M1187" s="15" t="str">
        <f t="shared" si="129"/>
        <v>PTO-1108|MAT|1</v>
      </c>
      <c r="N1187" s="47">
        <f>IFERROR(VLOOKUP(A1187,PARTIDAS!A:F,6,FALSE()),0)</f>
        <v>13</v>
      </c>
      <c r="O1187" s="247">
        <f t="shared" si="130"/>
        <v>0.4</v>
      </c>
      <c r="P1187" s="247" t="str">
        <f>+_xlfn.XLOOKUP(A1187,PPTO_GENERADOR!Q:Q,PPTO_GENERADOR!E:E,"-",0)</f>
        <v>-</v>
      </c>
      <c r="Q1187" s="247">
        <f t="shared" si="131"/>
        <v>0</v>
      </c>
      <c r="R1187" s="259" t="str">
        <f>+_xlfn.XLOOKUP(A1187,PPTO_GENERADOR!$Q:$Q,PPTO_GENERADOR!A:A,"-",0)</f>
        <v>-</v>
      </c>
    </row>
    <row r="1188" spans="1:18" ht="14.25" customHeight="1" x14ac:dyDescent="0.35">
      <c r="A1188" s="38" t="s">
        <v>2708</v>
      </c>
      <c r="B1188" s="38" t="s">
        <v>2774</v>
      </c>
      <c r="C1188" s="38" t="s">
        <v>2775</v>
      </c>
      <c r="D1188" s="38" t="s">
        <v>855</v>
      </c>
      <c r="E1188" s="44" t="str">
        <f>IFERROR(VLOOKUP(D1188,MATERIALES!A:B,2,FALSE()),"?")</f>
        <v>Trapo</v>
      </c>
      <c r="F1188" s="44" t="str">
        <f>IFERROR(VLOOKUP(D1188,MATERIALES!A:C,3,FALSE()),"?")</f>
        <v>u</v>
      </c>
      <c r="G1188" s="45">
        <v>0.01</v>
      </c>
      <c r="H1188" s="46">
        <v>0.03</v>
      </c>
      <c r="I1188" s="47">
        <f>IFERROR(VLOOKUP(D1188,MATERIALES!A:D,4,FALSE()),0)</f>
        <v>735.06</v>
      </c>
      <c r="J1188" s="42">
        <f>G1188*I1188*(1+H1188)</f>
        <v>7.5711180000000002</v>
      </c>
      <c r="K1188" s="15" t="str">
        <f t="shared" si="128"/>
        <v>PTO-1108|MAT</v>
      </c>
      <c r="L1188" s="15">
        <f>COUNTIFS($K$2:K1188,K1188)</f>
        <v>2</v>
      </c>
      <c r="M1188" s="15" t="str">
        <f t="shared" si="129"/>
        <v>PTO-1108|MAT|2</v>
      </c>
      <c r="N1188" s="47">
        <f>IFERROR(VLOOKUP(A1188,PARTIDAS!A:F,6,FALSE()),0)</f>
        <v>13</v>
      </c>
      <c r="O1188" s="247">
        <f t="shared" si="130"/>
        <v>0.01</v>
      </c>
      <c r="P1188" s="247" t="str">
        <f>+_xlfn.XLOOKUP(A1188,PPTO_GENERADOR!Q:Q,PPTO_GENERADOR!E:E,"-",0)</f>
        <v>-</v>
      </c>
      <c r="Q1188" s="247">
        <f t="shared" si="131"/>
        <v>0</v>
      </c>
      <c r="R1188" s="259" t="str">
        <f>+_xlfn.XLOOKUP(A1188,PPTO_GENERADOR!$Q:$Q,PPTO_GENERADOR!A:A,"-",0)</f>
        <v>-</v>
      </c>
    </row>
    <row r="1189" spans="1:18" ht="14.25" customHeight="1" x14ac:dyDescent="0.35">
      <c r="A1189" s="38" t="s">
        <v>2708</v>
      </c>
      <c r="B1189" s="38" t="s">
        <v>2774</v>
      </c>
      <c r="C1189" s="38" t="s">
        <v>2775</v>
      </c>
      <c r="D1189" s="38" t="s">
        <v>976</v>
      </c>
      <c r="E1189" s="44" t="str">
        <f>IFERROR(VLOOKUP(D1189,MATERIALES!A:B,2,FALSE()),"?")</f>
        <v>Disco Diamantado Aliafor Turbo Fino TRF</v>
      </c>
      <c r="F1189" s="44" t="str">
        <f>IFERROR(VLOOKUP(D1189,MATERIALES!A:C,3,FALSE()),"?")</f>
        <v>u</v>
      </c>
      <c r="G1189" s="45">
        <v>4.0000000000000001E-3</v>
      </c>
      <c r="H1189" s="46">
        <v>0.05</v>
      </c>
      <c r="I1189" s="47">
        <f>IFERROR(VLOOKUP(D1189,MATERIALES!A:D,4,FALSE()),0)</f>
        <v>20237</v>
      </c>
      <c r="J1189" s="42">
        <f>G1189*I1189*(1+H1189)</f>
        <v>84.995400000000018</v>
      </c>
      <c r="K1189" s="15" t="str">
        <f t="shared" si="128"/>
        <v>PTO-1108|MAT</v>
      </c>
      <c r="L1189" s="15">
        <f>COUNTIFS($K$2:K1189,K1189)</f>
        <v>3</v>
      </c>
      <c r="M1189" s="15" t="str">
        <f t="shared" si="129"/>
        <v>PTO-1108|MAT|3</v>
      </c>
      <c r="N1189" s="47">
        <f>IFERROR(VLOOKUP(A1189,PARTIDAS!A:F,6,FALSE()),0)</f>
        <v>13</v>
      </c>
      <c r="O1189" s="247">
        <f t="shared" si="130"/>
        <v>4.0000000000000001E-3</v>
      </c>
      <c r="P1189" s="247" t="str">
        <f>+_xlfn.XLOOKUP(A1189,PPTO_GENERADOR!Q:Q,PPTO_GENERADOR!E:E,"-",0)</f>
        <v>-</v>
      </c>
      <c r="Q1189" s="247">
        <f t="shared" si="131"/>
        <v>0</v>
      </c>
      <c r="R1189" s="259" t="str">
        <f>+_xlfn.XLOOKUP(A1189,PPTO_GENERADOR!$Q:$Q,PPTO_GENERADOR!A:A,"-",0)</f>
        <v>-</v>
      </c>
    </row>
    <row r="1190" spans="1:18" ht="14.25" customHeight="1" x14ac:dyDescent="0.35">
      <c r="A1190" s="38" t="s">
        <v>2708</v>
      </c>
      <c r="B1190" s="38" t="s">
        <v>2774</v>
      </c>
      <c r="C1190" s="38" t="s">
        <v>2775</v>
      </c>
      <c r="D1190" s="38" t="s">
        <v>979</v>
      </c>
      <c r="E1190" s="44" t="str">
        <f>IFERROR(VLOOKUP(D1190,MATERIALES!A:B,2,FALSE()),"?")</f>
        <v>Arco y cuña niveladores porcelanatos x 150 un</v>
      </c>
      <c r="F1190" s="44" t="str">
        <f>IFERROR(VLOOKUP(D1190,MATERIALES!A:C,3,FALSE()),"?")</f>
        <v>b</v>
      </c>
      <c r="G1190" s="45">
        <v>0.04</v>
      </c>
      <c r="H1190" s="46">
        <v>0.05</v>
      </c>
      <c r="I1190" s="47">
        <f>IFERROR(VLOOKUP(D1190,MATERIALES!A:D,4,FALSE()),0)</f>
        <v>44669.4214876033</v>
      </c>
      <c r="J1190" s="42">
        <f>G1190*I1190*(1+H1190)</f>
        <v>1876.1157024793388</v>
      </c>
      <c r="K1190" s="15" t="str">
        <f t="shared" si="128"/>
        <v>PTO-1108|MAT</v>
      </c>
      <c r="L1190" s="15">
        <f>COUNTIFS($K$2:K1190,K1190)</f>
        <v>4</v>
      </c>
      <c r="M1190" s="15" t="str">
        <f t="shared" si="129"/>
        <v>PTO-1108|MAT|4</v>
      </c>
      <c r="N1190" s="47">
        <f>IFERROR(VLOOKUP(A1190,PARTIDAS!A:F,6,FALSE()),0)</f>
        <v>13</v>
      </c>
      <c r="O1190" s="247">
        <f t="shared" si="130"/>
        <v>0.04</v>
      </c>
      <c r="P1190" s="247" t="str">
        <f>+_xlfn.XLOOKUP(A1190,PPTO_GENERADOR!Q:Q,PPTO_GENERADOR!E:E,"-",0)</f>
        <v>-</v>
      </c>
      <c r="Q1190" s="247">
        <f t="shared" si="131"/>
        <v>0</v>
      </c>
      <c r="R1190" s="259" t="str">
        <f>+_xlfn.XLOOKUP(A1190,PPTO_GENERADOR!$Q:$Q,PPTO_GENERADOR!A:A,"-",0)</f>
        <v>-</v>
      </c>
    </row>
    <row r="1191" spans="1:18" ht="14.25" customHeight="1" x14ac:dyDescent="0.35">
      <c r="A1191" s="38" t="s">
        <v>2708</v>
      </c>
      <c r="B1191" s="38" t="s">
        <v>2776</v>
      </c>
      <c r="C1191" s="38" t="s">
        <v>2777</v>
      </c>
      <c r="D1191" s="237" t="s">
        <v>1568</v>
      </c>
      <c r="E1191" s="44" t="str">
        <f>IFERROR(VLOOKUP(D1191,MANO_DE_OBRA!A:B,2,FALSE()),"?")</f>
        <v>ESPECIALIZADO</v>
      </c>
      <c r="F1191" s="44" t="s">
        <v>2778</v>
      </c>
      <c r="G1191" s="45">
        <v>1</v>
      </c>
      <c r="H1191" s="46">
        <v>0</v>
      </c>
      <c r="I1191" s="47">
        <f>IFERROR(VLOOKUP(D1191,MANO_DE_OBRA!A:C,3,FALSE()),0)</f>
        <v>85927.097156571996</v>
      </c>
      <c r="J1191" s="42">
        <f>G1191*I1191</f>
        <v>85927.097156571996</v>
      </c>
      <c r="K1191" s="15" t="str">
        <f t="shared" si="128"/>
        <v>PTO-1108|MO</v>
      </c>
      <c r="L1191" s="15">
        <f>COUNTIFS($K$2:K1191,K1191)</f>
        <v>1</v>
      </c>
      <c r="M1191" s="15" t="str">
        <f t="shared" si="129"/>
        <v>PTO-1108|MO|1</v>
      </c>
      <c r="N1191" s="47">
        <f>IFERROR(VLOOKUP(A1191,PARTIDAS!A:F,6,FALSE()),0)</f>
        <v>13</v>
      </c>
      <c r="O1191" s="247">
        <f t="shared" si="130"/>
        <v>7.6923076923076927E-2</v>
      </c>
      <c r="P1191" s="247" t="str">
        <f>+_xlfn.XLOOKUP(A1191,PPTO_GENERADOR!Q:Q,PPTO_GENERADOR!E:E,"-",0)</f>
        <v>-</v>
      </c>
      <c r="Q1191" s="247">
        <f t="shared" si="131"/>
        <v>0</v>
      </c>
      <c r="R1191" s="259" t="str">
        <f>+_xlfn.XLOOKUP(A1191,PPTO_GENERADOR!$Q:$Q,PPTO_GENERADOR!A:A,"-",0)</f>
        <v>-</v>
      </c>
    </row>
    <row r="1192" spans="1:18" ht="14.25" customHeight="1" x14ac:dyDescent="0.35">
      <c r="A1192" s="38" t="s">
        <v>2708</v>
      </c>
      <c r="B1192" s="38" t="s">
        <v>2776</v>
      </c>
      <c r="C1192" s="38" t="s">
        <v>2777</v>
      </c>
      <c r="D1192" s="237" t="s">
        <v>1571</v>
      </c>
      <c r="E1192" s="44" t="str">
        <f>IFERROR(VLOOKUP(D1192,MANO_DE_OBRA!A:B,2,FALSE()),"?")</f>
        <v>OFICIAL</v>
      </c>
      <c r="F1192" s="44" t="s">
        <v>2778</v>
      </c>
      <c r="G1192" s="45">
        <v>1</v>
      </c>
      <c r="H1192" s="46">
        <v>0</v>
      </c>
      <c r="I1192" s="47">
        <f>IFERROR(VLOOKUP(D1192,MANO_DE_OBRA!A:C,3,FALSE()),0)</f>
        <v>76955.079706571996</v>
      </c>
      <c r="J1192" s="42">
        <f>G1192*I1192</f>
        <v>76955.079706571996</v>
      </c>
      <c r="K1192" s="15" t="str">
        <f t="shared" si="128"/>
        <v>PTO-1108|MO</v>
      </c>
      <c r="L1192" s="15">
        <f>COUNTIFS($K$2:K1192,K1192)</f>
        <v>2</v>
      </c>
      <c r="M1192" s="15" t="str">
        <f t="shared" si="129"/>
        <v>PTO-1108|MO|2</v>
      </c>
      <c r="N1192" s="47">
        <f>IFERROR(VLOOKUP(A1192,PARTIDAS!A:F,6,FALSE()),0)</f>
        <v>13</v>
      </c>
      <c r="O1192" s="247">
        <f t="shared" si="130"/>
        <v>7.6923076923076927E-2</v>
      </c>
      <c r="P1192" s="247" t="str">
        <f>+_xlfn.XLOOKUP(A1192,PPTO_GENERADOR!Q:Q,PPTO_GENERADOR!E:E,"-",0)</f>
        <v>-</v>
      </c>
      <c r="Q1192" s="247">
        <f t="shared" si="131"/>
        <v>0</v>
      </c>
      <c r="R1192" s="259" t="str">
        <f>+_xlfn.XLOOKUP(A1192,PPTO_GENERADOR!$Q:$Q,PPTO_GENERADOR!A:A,"-",0)</f>
        <v>-</v>
      </c>
    </row>
    <row r="1193" spans="1:18" ht="14.25" customHeight="1" x14ac:dyDescent="0.35">
      <c r="A1193" s="38" t="s">
        <v>2709</v>
      </c>
      <c r="B1193" s="38" t="s">
        <v>2773</v>
      </c>
      <c r="C1193" s="38"/>
      <c r="D1193" s="38" t="s">
        <v>1619</v>
      </c>
      <c r="E1193" s="44" t="str">
        <f>IFERROR(VLOOKUP(D1193,EQUIPOS!A:B,2,FALSE()),"?")</f>
        <v>CORTADORA CERAMICA PROFESIONAL 1200MM (PORCELANATO HASTA 16MM)</v>
      </c>
      <c r="F1193" s="44"/>
      <c r="G1193" s="45">
        <v>1</v>
      </c>
      <c r="H1193" s="46">
        <v>0</v>
      </c>
      <c r="I1193" s="47">
        <f>IFERROR(VLOOKUP(D1193,EQUIPOS!A:F,6,FALSE()),0)</f>
        <v>298.42384358082836</v>
      </c>
      <c r="J1193" s="42">
        <f>G1193*I1193</f>
        <v>298.42384358082836</v>
      </c>
      <c r="K1193" s="15" t="str">
        <f t="shared" si="128"/>
        <v>PTO-1109|EQ</v>
      </c>
      <c r="L1193" s="15">
        <f>COUNTIFS($K$2:K1193,K1193)</f>
        <v>1</v>
      </c>
      <c r="M1193" s="15" t="str">
        <f t="shared" si="129"/>
        <v>PTO-1109|EQ|1</v>
      </c>
      <c r="N1193" s="47">
        <f>IFERROR(VLOOKUP(A1193,PARTIDAS!A:F,6,FALSE()),0)</f>
        <v>10</v>
      </c>
      <c r="O1193" s="247">
        <f t="shared" si="130"/>
        <v>1</v>
      </c>
      <c r="P1193" s="247" t="str">
        <f>+_xlfn.XLOOKUP(A1193,PPTO_GENERADOR!Q:Q,PPTO_GENERADOR!E:E,"-",0)</f>
        <v>-</v>
      </c>
      <c r="Q1193" s="247">
        <f t="shared" si="131"/>
        <v>0</v>
      </c>
      <c r="R1193" s="259" t="str">
        <f>+_xlfn.XLOOKUP(A1193,PPTO_GENERADOR!$Q:$Q,PPTO_GENERADOR!A:A,"-",0)</f>
        <v>-</v>
      </c>
    </row>
    <row r="1194" spans="1:18" ht="14.25" customHeight="1" x14ac:dyDescent="0.35">
      <c r="A1194" s="38" t="s">
        <v>2709</v>
      </c>
      <c r="B1194" s="38" t="s">
        <v>2773</v>
      </c>
      <c r="C1194" s="38"/>
      <c r="D1194" s="38" t="s">
        <v>1598</v>
      </c>
      <c r="E1194" s="44" t="str">
        <f>IFERROR(VLOOKUP(D1194,EQUIPOS!A:B,2,FALSE()),"?")</f>
        <v>EQUIPO PARA COLOCACION DE CERAMICA</v>
      </c>
      <c r="F1194" s="44"/>
      <c r="G1194" s="45">
        <v>1</v>
      </c>
      <c r="H1194" s="46">
        <v>0</v>
      </c>
      <c r="I1194" s="47">
        <f>IFERROR(VLOOKUP(D1194,EQUIPOS!A:F,6,FALSE()),0)</f>
        <v>2637.1418444899073</v>
      </c>
      <c r="J1194" s="42">
        <f>G1194*I1194</f>
        <v>2637.1418444899073</v>
      </c>
      <c r="K1194" s="15" t="str">
        <f t="shared" si="128"/>
        <v>PTO-1109|EQ</v>
      </c>
      <c r="L1194" s="15">
        <f>COUNTIFS($K$2:K1194,K1194)</f>
        <v>2</v>
      </c>
      <c r="M1194" s="15" t="str">
        <f t="shared" si="129"/>
        <v>PTO-1109|EQ|2</v>
      </c>
      <c r="N1194" s="47">
        <f>IFERROR(VLOOKUP(A1194,PARTIDAS!A:F,6,FALSE()),0)</f>
        <v>10</v>
      </c>
      <c r="O1194" s="247">
        <f t="shared" si="130"/>
        <v>1</v>
      </c>
      <c r="P1194" s="247" t="str">
        <f>+_xlfn.XLOOKUP(A1194,PPTO_GENERADOR!Q:Q,PPTO_GENERADOR!E:E,"-",0)</f>
        <v>-</v>
      </c>
      <c r="Q1194" s="247">
        <f t="shared" si="131"/>
        <v>0</v>
      </c>
      <c r="R1194" s="259" t="str">
        <f>+_xlfn.XLOOKUP(A1194,PPTO_GENERADOR!$Q:$Q,PPTO_GENERADOR!A:A,"-",0)</f>
        <v>-</v>
      </c>
    </row>
    <row r="1195" spans="1:18" ht="14.25" customHeight="1" x14ac:dyDescent="0.35">
      <c r="A1195" s="38" t="s">
        <v>2709</v>
      </c>
      <c r="B1195" s="38" t="s">
        <v>2774</v>
      </c>
      <c r="C1195" s="38" t="s">
        <v>2775</v>
      </c>
      <c r="D1195" s="38" t="s">
        <v>604</v>
      </c>
      <c r="E1195" s="44" t="str">
        <f>IFERROR(VLOOKUP(D1195,MATERIALES!A:B,2,FALSE()),"?")</f>
        <v>Cal Comun x 25kg</v>
      </c>
      <c r="F1195" s="44" t="str">
        <f>IFERROR(VLOOKUP(D1195,MATERIALES!A:C,3,FALSE()),"?")</f>
        <v>bol</v>
      </c>
      <c r="G1195" s="45">
        <v>0.4</v>
      </c>
      <c r="H1195" s="46">
        <v>0.2</v>
      </c>
      <c r="I1195" s="47">
        <f>IFERROR(VLOOKUP(D1195,MATERIALES!A:D,4,FALSE()),0)</f>
        <v>3837.96</v>
      </c>
      <c r="J1195" s="42">
        <f>G1195*I1195*(1+H1195)</f>
        <v>1842.2208000000001</v>
      </c>
      <c r="K1195" s="15" t="str">
        <f t="shared" si="128"/>
        <v>PTO-1109|MAT</v>
      </c>
      <c r="L1195" s="15">
        <f>COUNTIFS($K$2:K1195,K1195)</f>
        <v>1</v>
      </c>
      <c r="M1195" s="15" t="str">
        <f t="shared" si="129"/>
        <v>PTO-1109|MAT|1</v>
      </c>
      <c r="N1195" s="47">
        <f>IFERROR(VLOOKUP(A1195,PARTIDAS!A:F,6,FALSE()),0)</f>
        <v>10</v>
      </c>
      <c r="O1195" s="247">
        <f t="shared" si="130"/>
        <v>0.4</v>
      </c>
      <c r="P1195" s="247" t="str">
        <f>+_xlfn.XLOOKUP(A1195,PPTO_GENERADOR!Q:Q,PPTO_GENERADOR!E:E,"-",0)</f>
        <v>-</v>
      </c>
      <c r="Q1195" s="247">
        <f t="shared" si="131"/>
        <v>0</v>
      </c>
      <c r="R1195" s="259" t="str">
        <f>+_xlfn.XLOOKUP(A1195,PPTO_GENERADOR!$Q:$Q,PPTO_GENERADOR!A:A,"-",0)</f>
        <v>-</v>
      </c>
    </row>
    <row r="1196" spans="1:18" ht="14.25" customHeight="1" x14ac:dyDescent="0.35">
      <c r="A1196" s="38" t="s">
        <v>2709</v>
      </c>
      <c r="B1196" s="38" t="s">
        <v>2774</v>
      </c>
      <c r="C1196" s="38" t="s">
        <v>2775</v>
      </c>
      <c r="D1196" s="38" t="s">
        <v>855</v>
      </c>
      <c r="E1196" s="44" t="str">
        <f>IFERROR(VLOOKUP(D1196,MATERIALES!A:B,2,FALSE()),"?")</f>
        <v>Trapo</v>
      </c>
      <c r="F1196" s="44" t="str">
        <f>IFERROR(VLOOKUP(D1196,MATERIALES!A:C,3,FALSE()),"?")</f>
        <v>u</v>
      </c>
      <c r="G1196" s="45">
        <v>0.01</v>
      </c>
      <c r="H1196" s="46">
        <v>0.03</v>
      </c>
      <c r="I1196" s="47">
        <f>IFERROR(VLOOKUP(D1196,MATERIALES!A:D,4,FALSE()),0)</f>
        <v>735.06</v>
      </c>
      <c r="J1196" s="42">
        <f>G1196*I1196*(1+H1196)</f>
        <v>7.5711180000000002</v>
      </c>
      <c r="K1196" s="15" t="str">
        <f t="shared" si="128"/>
        <v>PTO-1109|MAT</v>
      </c>
      <c r="L1196" s="15">
        <f>COUNTIFS($K$2:K1196,K1196)</f>
        <v>2</v>
      </c>
      <c r="M1196" s="15" t="str">
        <f t="shared" si="129"/>
        <v>PTO-1109|MAT|2</v>
      </c>
      <c r="N1196" s="47">
        <f>IFERROR(VLOOKUP(A1196,PARTIDAS!A:F,6,FALSE()),0)</f>
        <v>10</v>
      </c>
      <c r="O1196" s="247">
        <f t="shared" si="130"/>
        <v>0.01</v>
      </c>
      <c r="P1196" s="247" t="str">
        <f>+_xlfn.XLOOKUP(A1196,PPTO_GENERADOR!Q:Q,PPTO_GENERADOR!E:E,"-",0)</f>
        <v>-</v>
      </c>
      <c r="Q1196" s="247">
        <f t="shared" si="131"/>
        <v>0</v>
      </c>
      <c r="R1196" s="259" t="str">
        <f>+_xlfn.XLOOKUP(A1196,PPTO_GENERADOR!$Q:$Q,PPTO_GENERADOR!A:A,"-",0)</f>
        <v>-</v>
      </c>
    </row>
    <row r="1197" spans="1:18" ht="14.25" customHeight="1" x14ac:dyDescent="0.35">
      <c r="A1197" s="38" t="s">
        <v>2709</v>
      </c>
      <c r="B1197" s="38" t="s">
        <v>2774</v>
      </c>
      <c r="C1197" s="38" t="s">
        <v>2775</v>
      </c>
      <c r="D1197" s="38" t="s">
        <v>976</v>
      </c>
      <c r="E1197" s="44" t="str">
        <f>IFERROR(VLOOKUP(D1197,MATERIALES!A:B,2,FALSE()),"?")</f>
        <v>Disco Diamantado Aliafor Turbo Fino TRF</v>
      </c>
      <c r="F1197" s="44" t="str">
        <f>IFERROR(VLOOKUP(D1197,MATERIALES!A:C,3,FALSE()),"?")</f>
        <v>u</v>
      </c>
      <c r="G1197" s="45">
        <v>4.0000000000000001E-3</v>
      </c>
      <c r="H1197" s="46">
        <v>0.05</v>
      </c>
      <c r="I1197" s="47">
        <f>IFERROR(VLOOKUP(D1197,MATERIALES!A:D,4,FALSE()),0)</f>
        <v>20237</v>
      </c>
      <c r="J1197" s="42">
        <f>G1197*I1197*(1+H1197)</f>
        <v>84.995400000000018</v>
      </c>
      <c r="K1197" s="15" t="str">
        <f t="shared" si="128"/>
        <v>PTO-1109|MAT</v>
      </c>
      <c r="L1197" s="15">
        <f>COUNTIFS($K$2:K1197,K1197)</f>
        <v>3</v>
      </c>
      <c r="M1197" s="15" t="str">
        <f t="shared" si="129"/>
        <v>PTO-1109|MAT|3</v>
      </c>
      <c r="N1197" s="47">
        <f>IFERROR(VLOOKUP(A1197,PARTIDAS!A:F,6,FALSE()),0)</f>
        <v>10</v>
      </c>
      <c r="O1197" s="247">
        <f t="shared" si="130"/>
        <v>4.0000000000000001E-3</v>
      </c>
      <c r="P1197" s="247" t="str">
        <f>+_xlfn.XLOOKUP(A1197,PPTO_GENERADOR!Q:Q,PPTO_GENERADOR!E:E,"-",0)</f>
        <v>-</v>
      </c>
      <c r="Q1197" s="247">
        <f t="shared" si="131"/>
        <v>0</v>
      </c>
      <c r="R1197" s="259" t="str">
        <f>+_xlfn.XLOOKUP(A1197,PPTO_GENERADOR!$Q:$Q,PPTO_GENERADOR!A:A,"-",0)</f>
        <v>-</v>
      </c>
    </row>
    <row r="1198" spans="1:18" ht="14.25" customHeight="1" x14ac:dyDescent="0.35">
      <c r="A1198" s="38" t="s">
        <v>2709</v>
      </c>
      <c r="B1198" s="38" t="s">
        <v>2774</v>
      </c>
      <c r="C1198" s="38" t="s">
        <v>2775</v>
      </c>
      <c r="D1198" s="38" t="s">
        <v>979</v>
      </c>
      <c r="E1198" s="44" t="str">
        <f>IFERROR(VLOOKUP(D1198,MATERIALES!A:B,2,FALSE()),"?")</f>
        <v>Arco y cuña niveladores porcelanatos x 150 un</v>
      </c>
      <c r="F1198" s="44" t="str">
        <f>IFERROR(VLOOKUP(D1198,MATERIALES!A:C,3,FALSE()),"?")</f>
        <v>b</v>
      </c>
      <c r="G1198" s="45">
        <v>0.04</v>
      </c>
      <c r="H1198" s="46">
        <v>0.05</v>
      </c>
      <c r="I1198" s="47">
        <f>IFERROR(VLOOKUP(D1198,MATERIALES!A:D,4,FALSE()),0)</f>
        <v>44669.4214876033</v>
      </c>
      <c r="J1198" s="42">
        <f>G1198*I1198*(1+H1198)</f>
        <v>1876.1157024793388</v>
      </c>
      <c r="K1198" s="15" t="str">
        <f t="shared" si="128"/>
        <v>PTO-1109|MAT</v>
      </c>
      <c r="L1198" s="15">
        <f>COUNTIFS($K$2:K1198,K1198)</f>
        <v>4</v>
      </c>
      <c r="M1198" s="15" t="str">
        <f t="shared" si="129"/>
        <v>PTO-1109|MAT|4</v>
      </c>
      <c r="N1198" s="47">
        <f>IFERROR(VLOOKUP(A1198,PARTIDAS!A:F,6,FALSE()),0)</f>
        <v>10</v>
      </c>
      <c r="O1198" s="247">
        <f t="shared" si="130"/>
        <v>0.04</v>
      </c>
      <c r="P1198" s="247" t="str">
        <f>+_xlfn.XLOOKUP(A1198,PPTO_GENERADOR!Q:Q,PPTO_GENERADOR!E:E,"-",0)</f>
        <v>-</v>
      </c>
      <c r="Q1198" s="247">
        <f t="shared" si="131"/>
        <v>0</v>
      </c>
      <c r="R1198" s="259" t="str">
        <f>+_xlfn.XLOOKUP(A1198,PPTO_GENERADOR!$Q:$Q,PPTO_GENERADOR!A:A,"-",0)</f>
        <v>-</v>
      </c>
    </row>
    <row r="1199" spans="1:18" ht="14.25" customHeight="1" x14ac:dyDescent="0.35">
      <c r="A1199" s="38" t="s">
        <v>2709</v>
      </c>
      <c r="B1199" s="38" t="s">
        <v>2776</v>
      </c>
      <c r="C1199" s="38" t="s">
        <v>2777</v>
      </c>
      <c r="D1199" s="237" t="s">
        <v>1568</v>
      </c>
      <c r="E1199" s="44" t="str">
        <f>IFERROR(VLOOKUP(D1199,MANO_DE_OBRA!A:B,2,FALSE()),"?")</f>
        <v>ESPECIALIZADO</v>
      </c>
      <c r="F1199" s="44" t="s">
        <v>2778</v>
      </c>
      <c r="G1199" s="45">
        <v>1</v>
      </c>
      <c r="H1199" s="46">
        <v>0</v>
      </c>
      <c r="I1199" s="47">
        <f>IFERROR(VLOOKUP(D1199,MANO_DE_OBRA!A:C,3,FALSE()),0)</f>
        <v>85927.097156571996</v>
      </c>
      <c r="J1199" s="42">
        <f>G1199*I1199</f>
        <v>85927.097156571996</v>
      </c>
      <c r="K1199" s="15" t="str">
        <f t="shared" si="128"/>
        <v>PTO-1109|MO</v>
      </c>
      <c r="L1199" s="15">
        <f>COUNTIFS($K$2:K1199,K1199)</f>
        <v>1</v>
      </c>
      <c r="M1199" s="15" t="str">
        <f t="shared" si="129"/>
        <v>PTO-1109|MO|1</v>
      </c>
      <c r="N1199" s="47">
        <f>IFERROR(VLOOKUP(A1199,PARTIDAS!A:F,6,FALSE()),0)</f>
        <v>10</v>
      </c>
      <c r="O1199" s="247">
        <f t="shared" si="130"/>
        <v>0.1</v>
      </c>
      <c r="P1199" s="247" t="str">
        <f>+_xlfn.XLOOKUP(A1199,PPTO_GENERADOR!Q:Q,PPTO_GENERADOR!E:E,"-",0)</f>
        <v>-</v>
      </c>
      <c r="Q1199" s="247">
        <f t="shared" si="131"/>
        <v>0</v>
      </c>
      <c r="R1199" s="259" t="str">
        <f>+_xlfn.XLOOKUP(A1199,PPTO_GENERADOR!$Q:$Q,PPTO_GENERADOR!A:A,"-",0)</f>
        <v>-</v>
      </c>
    </row>
    <row r="1200" spans="1:18" ht="14.25" customHeight="1" x14ac:dyDescent="0.35">
      <c r="A1200" s="38" t="s">
        <v>2709</v>
      </c>
      <c r="B1200" s="38" t="s">
        <v>2776</v>
      </c>
      <c r="C1200" s="38" t="s">
        <v>2777</v>
      </c>
      <c r="D1200" s="237" t="s">
        <v>1571</v>
      </c>
      <c r="E1200" s="44" t="str">
        <f>IFERROR(VLOOKUP(D1200,MANO_DE_OBRA!A:B,2,FALSE()),"?")</f>
        <v>OFICIAL</v>
      </c>
      <c r="F1200" s="44" t="s">
        <v>2778</v>
      </c>
      <c r="G1200" s="45">
        <v>1</v>
      </c>
      <c r="H1200" s="46">
        <v>0</v>
      </c>
      <c r="I1200" s="47">
        <f>IFERROR(VLOOKUP(D1200,MANO_DE_OBRA!A:C,3,FALSE()),0)</f>
        <v>76955.079706571996</v>
      </c>
      <c r="J1200" s="42">
        <f>G1200*I1200</f>
        <v>76955.079706571996</v>
      </c>
      <c r="K1200" s="15" t="str">
        <f t="shared" si="128"/>
        <v>PTO-1109|MO</v>
      </c>
      <c r="L1200" s="15">
        <f>COUNTIFS($K$2:K1200,K1200)</f>
        <v>2</v>
      </c>
      <c r="M1200" s="15" t="str">
        <f t="shared" si="129"/>
        <v>PTO-1109|MO|2</v>
      </c>
      <c r="N1200" s="47">
        <f>IFERROR(VLOOKUP(A1200,PARTIDAS!A:F,6,FALSE()),0)</f>
        <v>10</v>
      </c>
      <c r="O1200" s="247">
        <f t="shared" si="130"/>
        <v>0.1</v>
      </c>
      <c r="P1200" s="247" t="str">
        <f>+_xlfn.XLOOKUP(A1200,PPTO_GENERADOR!Q:Q,PPTO_GENERADOR!E:E,"-",0)</f>
        <v>-</v>
      </c>
      <c r="Q1200" s="247">
        <f t="shared" si="131"/>
        <v>0</v>
      </c>
      <c r="R1200" s="259" t="str">
        <f>+_xlfn.XLOOKUP(A1200,PPTO_GENERADOR!$Q:$Q,PPTO_GENERADOR!A:A,"-",0)</f>
        <v>-</v>
      </c>
    </row>
    <row r="1201" spans="1:18" ht="14.25" customHeight="1" x14ac:dyDescent="0.35">
      <c r="A1201" s="38" t="s">
        <v>2711</v>
      </c>
      <c r="B1201" s="38" t="s">
        <v>2773</v>
      </c>
      <c r="C1201" s="38"/>
      <c r="D1201" s="38" t="s">
        <v>1619</v>
      </c>
      <c r="E1201" s="44" t="str">
        <f>IFERROR(VLOOKUP(D1201,EQUIPOS!A:B,2,FALSE()),"?")</f>
        <v>CORTADORA CERAMICA PROFESIONAL 1200MM (PORCELANATO HASTA 16MM)</v>
      </c>
      <c r="F1201" s="44"/>
      <c r="G1201" s="45">
        <v>1</v>
      </c>
      <c r="H1201" s="46">
        <v>0</v>
      </c>
      <c r="I1201" s="47">
        <f>IFERROR(VLOOKUP(D1201,EQUIPOS!A:F,6,FALSE()),0)</f>
        <v>298.42384358082836</v>
      </c>
      <c r="J1201" s="42">
        <f>G1201*I1201</f>
        <v>298.42384358082836</v>
      </c>
      <c r="K1201" s="15" t="str">
        <f t="shared" si="128"/>
        <v>PTO-1110|EQ</v>
      </c>
      <c r="L1201" s="15">
        <f>COUNTIFS($K$2:K1201,K1201)</f>
        <v>1</v>
      </c>
      <c r="M1201" s="15" t="str">
        <f t="shared" si="129"/>
        <v>PTO-1110|EQ|1</v>
      </c>
      <c r="N1201" s="47">
        <f>IFERROR(VLOOKUP(A1201,PARTIDAS!A:F,6,FALSE()),0)</f>
        <v>13</v>
      </c>
      <c r="O1201" s="247">
        <f t="shared" si="130"/>
        <v>1</v>
      </c>
      <c r="P1201" s="247" t="str">
        <f>+_xlfn.XLOOKUP(A1201,PPTO_GENERADOR!Q:Q,PPTO_GENERADOR!E:E,"-",0)</f>
        <v>-</v>
      </c>
      <c r="Q1201" s="247">
        <f t="shared" si="131"/>
        <v>0</v>
      </c>
      <c r="R1201" s="259" t="str">
        <f>+_xlfn.XLOOKUP(A1201,PPTO_GENERADOR!$Q:$Q,PPTO_GENERADOR!A:A,"-",0)</f>
        <v>-</v>
      </c>
    </row>
    <row r="1202" spans="1:18" ht="14.25" customHeight="1" x14ac:dyDescent="0.35">
      <c r="A1202" s="38" t="s">
        <v>2711</v>
      </c>
      <c r="B1202" s="38" t="s">
        <v>2773</v>
      </c>
      <c r="C1202" s="38"/>
      <c r="D1202" s="38" t="s">
        <v>1598</v>
      </c>
      <c r="E1202" s="44" t="str">
        <f>IFERROR(VLOOKUP(D1202,EQUIPOS!A:B,2,FALSE()),"?")</f>
        <v>EQUIPO PARA COLOCACION DE CERAMICA</v>
      </c>
      <c r="F1202" s="44"/>
      <c r="G1202" s="45">
        <v>1</v>
      </c>
      <c r="H1202" s="46">
        <v>0</v>
      </c>
      <c r="I1202" s="47">
        <f>IFERROR(VLOOKUP(D1202,EQUIPOS!A:F,6,FALSE()),0)</f>
        <v>2637.1418444899073</v>
      </c>
      <c r="J1202" s="42">
        <f>G1202*I1202</f>
        <v>2637.1418444899073</v>
      </c>
      <c r="K1202" s="15" t="str">
        <f t="shared" si="128"/>
        <v>PTO-1110|EQ</v>
      </c>
      <c r="L1202" s="15">
        <f>COUNTIFS($K$2:K1202,K1202)</f>
        <v>2</v>
      </c>
      <c r="M1202" s="15" t="str">
        <f t="shared" si="129"/>
        <v>PTO-1110|EQ|2</v>
      </c>
      <c r="N1202" s="47">
        <f>IFERROR(VLOOKUP(A1202,PARTIDAS!A:F,6,FALSE()),0)</f>
        <v>13</v>
      </c>
      <c r="O1202" s="247">
        <f t="shared" si="130"/>
        <v>1</v>
      </c>
      <c r="P1202" s="247" t="str">
        <f>+_xlfn.XLOOKUP(A1202,PPTO_GENERADOR!Q:Q,PPTO_GENERADOR!E:E,"-",0)</f>
        <v>-</v>
      </c>
      <c r="Q1202" s="247">
        <f t="shared" si="131"/>
        <v>0</v>
      </c>
      <c r="R1202" s="259" t="str">
        <f>+_xlfn.XLOOKUP(A1202,PPTO_GENERADOR!$Q:$Q,PPTO_GENERADOR!A:A,"-",0)</f>
        <v>-</v>
      </c>
    </row>
    <row r="1203" spans="1:18" ht="14.25" customHeight="1" x14ac:dyDescent="0.35">
      <c r="A1203" s="38" t="s">
        <v>2711</v>
      </c>
      <c r="B1203" s="38" t="s">
        <v>2774</v>
      </c>
      <c r="C1203" s="38" t="s">
        <v>2775</v>
      </c>
      <c r="D1203" s="38" t="s">
        <v>604</v>
      </c>
      <c r="E1203" s="44" t="str">
        <f>IFERROR(VLOOKUP(D1203,MATERIALES!A:B,2,FALSE()),"?")</f>
        <v>Cal Comun x 25kg</v>
      </c>
      <c r="F1203" s="44" t="str">
        <f>IFERROR(VLOOKUP(D1203,MATERIALES!A:C,3,FALSE()),"?")</f>
        <v>bol</v>
      </c>
      <c r="G1203" s="45">
        <v>0.4</v>
      </c>
      <c r="H1203" s="46">
        <v>0.2</v>
      </c>
      <c r="I1203" s="47">
        <f>IFERROR(VLOOKUP(D1203,MATERIALES!A:D,4,FALSE()),0)</f>
        <v>3837.96</v>
      </c>
      <c r="J1203" s="42">
        <f>G1203*I1203*(1+H1203)</f>
        <v>1842.2208000000001</v>
      </c>
      <c r="K1203" s="15" t="str">
        <f t="shared" si="128"/>
        <v>PTO-1110|MAT</v>
      </c>
      <c r="L1203" s="15">
        <f>COUNTIFS($K$2:K1203,K1203)</f>
        <v>1</v>
      </c>
      <c r="M1203" s="15" t="str">
        <f t="shared" si="129"/>
        <v>PTO-1110|MAT|1</v>
      </c>
      <c r="N1203" s="47">
        <f>IFERROR(VLOOKUP(A1203,PARTIDAS!A:F,6,FALSE()),0)</f>
        <v>13</v>
      </c>
      <c r="O1203" s="247">
        <f t="shared" si="130"/>
        <v>0.4</v>
      </c>
      <c r="P1203" s="247" t="str">
        <f>+_xlfn.XLOOKUP(A1203,PPTO_GENERADOR!Q:Q,PPTO_GENERADOR!E:E,"-",0)</f>
        <v>-</v>
      </c>
      <c r="Q1203" s="247">
        <f t="shared" si="131"/>
        <v>0</v>
      </c>
      <c r="R1203" s="259" t="str">
        <f>+_xlfn.XLOOKUP(A1203,PPTO_GENERADOR!$Q:$Q,PPTO_GENERADOR!A:A,"-",0)</f>
        <v>-</v>
      </c>
    </row>
    <row r="1204" spans="1:18" ht="14.25" customHeight="1" x14ac:dyDescent="0.35">
      <c r="A1204" s="38" t="s">
        <v>2711</v>
      </c>
      <c r="B1204" s="38" t="s">
        <v>2774</v>
      </c>
      <c r="C1204" s="38" t="s">
        <v>2775</v>
      </c>
      <c r="D1204" s="38" t="s">
        <v>855</v>
      </c>
      <c r="E1204" s="44" t="str">
        <f>IFERROR(VLOOKUP(D1204,MATERIALES!A:B,2,FALSE()),"?")</f>
        <v>Trapo</v>
      </c>
      <c r="F1204" s="44" t="str">
        <f>IFERROR(VLOOKUP(D1204,MATERIALES!A:C,3,FALSE()),"?")</f>
        <v>u</v>
      </c>
      <c r="G1204" s="45">
        <v>0.01</v>
      </c>
      <c r="H1204" s="46">
        <v>0.03</v>
      </c>
      <c r="I1204" s="47">
        <f>IFERROR(VLOOKUP(D1204,MATERIALES!A:D,4,FALSE()),0)</f>
        <v>735.06</v>
      </c>
      <c r="J1204" s="42">
        <f>G1204*I1204*(1+H1204)</f>
        <v>7.5711180000000002</v>
      </c>
      <c r="K1204" s="15" t="str">
        <f t="shared" si="128"/>
        <v>PTO-1110|MAT</v>
      </c>
      <c r="L1204" s="15">
        <f>COUNTIFS($K$2:K1204,K1204)</f>
        <v>2</v>
      </c>
      <c r="M1204" s="15" t="str">
        <f t="shared" si="129"/>
        <v>PTO-1110|MAT|2</v>
      </c>
      <c r="N1204" s="47">
        <f>IFERROR(VLOOKUP(A1204,PARTIDAS!A:F,6,FALSE()),0)</f>
        <v>13</v>
      </c>
      <c r="O1204" s="247">
        <f t="shared" si="130"/>
        <v>0.01</v>
      </c>
      <c r="P1204" s="247" t="str">
        <f>+_xlfn.XLOOKUP(A1204,PPTO_GENERADOR!Q:Q,PPTO_GENERADOR!E:E,"-",0)</f>
        <v>-</v>
      </c>
      <c r="Q1204" s="247">
        <f t="shared" si="131"/>
        <v>0</v>
      </c>
      <c r="R1204" s="259" t="str">
        <f>+_xlfn.XLOOKUP(A1204,PPTO_GENERADOR!$Q:$Q,PPTO_GENERADOR!A:A,"-",0)</f>
        <v>-</v>
      </c>
    </row>
    <row r="1205" spans="1:18" ht="14.25" customHeight="1" x14ac:dyDescent="0.35">
      <c r="A1205" s="38" t="s">
        <v>2711</v>
      </c>
      <c r="B1205" s="38" t="s">
        <v>2774</v>
      </c>
      <c r="C1205" s="38" t="s">
        <v>2775</v>
      </c>
      <c r="D1205" s="38" t="s">
        <v>976</v>
      </c>
      <c r="E1205" s="44" t="str">
        <f>IFERROR(VLOOKUP(D1205,MATERIALES!A:B,2,FALSE()),"?")</f>
        <v>Disco Diamantado Aliafor Turbo Fino TRF</v>
      </c>
      <c r="F1205" s="44" t="str">
        <f>IFERROR(VLOOKUP(D1205,MATERIALES!A:C,3,FALSE()),"?")</f>
        <v>u</v>
      </c>
      <c r="G1205" s="45">
        <v>4.0000000000000001E-3</v>
      </c>
      <c r="H1205" s="46">
        <v>0.05</v>
      </c>
      <c r="I1205" s="47">
        <f>IFERROR(VLOOKUP(D1205,MATERIALES!A:D,4,FALSE()),0)</f>
        <v>20237</v>
      </c>
      <c r="J1205" s="42">
        <f>G1205*I1205*(1+H1205)</f>
        <v>84.995400000000018</v>
      </c>
      <c r="K1205" s="15" t="str">
        <f t="shared" si="128"/>
        <v>PTO-1110|MAT</v>
      </c>
      <c r="L1205" s="15">
        <f>COUNTIFS($K$2:K1205,K1205)</f>
        <v>3</v>
      </c>
      <c r="M1205" s="15" t="str">
        <f t="shared" si="129"/>
        <v>PTO-1110|MAT|3</v>
      </c>
      <c r="N1205" s="47">
        <f>IFERROR(VLOOKUP(A1205,PARTIDAS!A:F,6,FALSE()),0)</f>
        <v>13</v>
      </c>
      <c r="O1205" s="247">
        <f t="shared" si="130"/>
        <v>4.0000000000000001E-3</v>
      </c>
      <c r="P1205" s="247" t="str">
        <f>+_xlfn.XLOOKUP(A1205,PPTO_GENERADOR!Q:Q,PPTO_GENERADOR!E:E,"-",0)</f>
        <v>-</v>
      </c>
      <c r="Q1205" s="247">
        <f t="shared" si="131"/>
        <v>0</v>
      </c>
      <c r="R1205" s="259" t="str">
        <f>+_xlfn.XLOOKUP(A1205,PPTO_GENERADOR!$Q:$Q,PPTO_GENERADOR!A:A,"-",0)</f>
        <v>-</v>
      </c>
    </row>
    <row r="1206" spans="1:18" ht="14.25" customHeight="1" x14ac:dyDescent="0.35">
      <c r="A1206" s="38" t="s">
        <v>2711</v>
      </c>
      <c r="B1206" s="38" t="s">
        <v>2774</v>
      </c>
      <c r="C1206" s="38" t="s">
        <v>2775</v>
      </c>
      <c r="D1206" s="38" t="s">
        <v>979</v>
      </c>
      <c r="E1206" s="44" t="str">
        <f>IFERROR(VLOOKUP(D1206,MATERIALES!A:B,2,FALSE()),"?")</f>
        <v>Arco y cuña niveladores porcelanatos x 150 un</v>
      </c>
      <c r="F1206" s="44" t="str">
        <f>IFERROR(VLOOKUP(D1206,MATERIALES!A:C,3,FALSE()),"?")</f>
        <v>b</v>
      </c>
      <c r="G1206" s="45">
        <v>0.04</v>
      </c>
      <c r="H1206" s="46">
        <v>0.05</v>
      </c>
      <c r="I1206" s="47">
        <f>IFERROR(VLOOKUP(D1206,MATERIALES!A:D,4,FALSE()),0)</f>
        <v>44669.4214876033</v>
      </c>
      <c r="J1206" s="42">
        <f>G1206*I1206*(1+H1206)</f>
        <v>1876.1157024793388</v>
      </c>
      <c r="K1206" s="15" t="str">
        <f t="shared" si="128"/>
        <v>PTO-1110|MAT</v>
      </c>
      <c r="L1206" s="15">
        <f>COUNTIFS($K$2:K1206,K1206)</f>
        <v>4</v>
      </c>
      <c r="M1206" s="15" t="str">
        <f t="shared" si="129"/>
        <v>PTO-1110|MAT|4</v>
      </c>
      <c r="N1206" s="47">
        <f>IFERROR(VLOOKUP(A1206,PARTIDAS!A:F,6,FALSE()),0)</f>
        <v>13</v>
      </c>
      <c r="O1206" s="247">
        <f t="shared" si="130"/>
        <v>0.04</v>
      </c>
      <c r="P1206" s="247" t="str">
        <f>+_xlfn.XLOOKUP(A1206,PPTO_GENERADOR!Q:Q,PPTO_GENERADOR!E:E,"-",0)</f>
        <v>-</v>
      </c>
      <c r="Q1206" s="247">
        <f t="shared" si="131"/>
        <v>0</v>
      </c>
      <c r="R1206" s="259" t="str">
        <f>+_xlfn.XLOOKUP(A1206,PPTO_GENERADOR!$Q:$Q,PPTO_GENERADOR!A:A,"-",0)</f>
        <v>-</v>
      </c>
    </row>
    <row r="1207" spans="1:18" ht="14.25" customHeight="1" x14ac:dyDescent="0.35">
      <c r="A1207" s="38" t="s">
        <v>2711</v>
      </c>
      <c r="B1207" s="38" t="s">
        <v>2776</v>
      </c>
      <c r="C1207" s="38" t="s">
        <v>2777</v>
      </c>
      <c r="D1207" s="237" t="s">
        <v>1568</v>
      </c>
      <c r="E1207" s="44" t="str">
        <f>IFERROR(VLOOKUP(D1207,MANO_DE_OBRA!A:B,2,FALSE()),"?")</f>
        <v>ESPECIALIZADO</v>
      </c>
      <c r="F1207" s="44" t="s">
        <v>2778</v>
      </c>
      <c r="G1207" s="45">
        <v>1</v>
      </c>
      <c r="H1207" s="46">
        <v>0</v>
      </c>
      <c r="I1207" s="47">
        <f>IFERROR(VLOOKUP(D1207,MANO_DE_OBRA!A:C,3,FALSE()),0)</f>
        <v>85927.097156571996</v>
      </c>
      <c r="J1207" s="42">
        <f>G1207*I1207</f>
        <v>85927.097156571996</v>
      </c>
      <c r="K1207" s="15" t="str">
        <f t="shared" si="128"/>
        <v>PTO-1110|MO</v>
      </c>
      <c r="L1207" s="15">
        <f>COUNTIFS($K$2:K1207,K1207)</f>
        <v>1</v>
      </c>
      <c r="M1207" s="15" t="str">
        <f t="shared" si="129"/>
        <v>PTO-1110|MO|1</v>
      </c>
      <c r="N1207" s="47">
        <f>IFERROR(VLOOKUP(A1207,PARTIDAS!A:F,6,FALSE()),0)</f>
        <v>13</v>
      </c>
      <c r="O1207" s="247">
        <f t="shared" si="130"/>
        <v>7.6923076923076927E-2</v>
      </c>
      <c r="P1207" s="247" t="str">
        <f>+_xlfn.XLOOKUP(A1207,PPTO_GENERADOR!Q:Q,PPTO_GENERADOR!E:E,"-",0)</f>
        <v>-</v>
      </c>
      <c r="Q1207" s="247">
        <f t="shared" si="131"/>
        <v>0</v>
      </c>
      <c r="R1207" s="259" t="str">
        <f>+_xlfn.XLOOKUP(A1207,PPTO_GENERADOR!$Q:$Q,PPTO_GENERADOR!A:A,"-",0)</f>
        <v>-</v>
      </c>
    </row>
    <row r="1208" spans="1:18" ht="14.25" customHeight="1" x14ac:dyDescent="0.35">
      <c r="A1208" s="38" t="s">
        <v>2711</v>
      </c>
      <c r="B1208" s="38" t="s">
        <v>2776</v>
      </c>
      <c r="C1208" s="38" t="s">
        <v>2777</v>
      </c>
      <c r="D1208" s="237" t="s">
        <v>1571</v>
      </c>
      <c r="E1208" s="44" t="str">
        <f>IFERROR(VLOOKUP(D1208,MANO_DE_OBRA!A:B,2,FALSE()),"?")</f>
        <v>OFICIAL</v>
      </c>
      <c r="F1208" s="44" t="s">
        <v>2778</v>
      </c>
      <c r="G1208" s="45">
        <v>1</v>
      </c>
      <c r="H1208" s="46">
        <v>0</v>
      </c>
      <c r="I1208" s="47">
        <f>IFERROR(VLOOKUP(D1208,MANO_DE_OBRA!A:C,3,FALSE()),0)</f>
        <v>76955.079706571996</v>
      </c>
      <c r="J1208" s="42">
        <f>G1208*I1208</f>
        <v>76955.079706571996</v>
      </c>
      <c r="K1208" s="15" t="str">
        <f t="shared" si="128"/>
        <v>PTO-1110|MO</v>
      </c>
      <c r="L1208" s="15">
        <f>COUNTIFS($K$2:K1208,K1208)</f>
        <v>2</v>
      </c>
      <c r="M1208" s="15" t="str">
        <f t="shared" si="129"/>
        <v>PTO-1110|MO|2</v>
      </c>
      <c r="N1208" s="47">
        <f>IFERROR(VLOOKUP(A1208,PARTIDAS!A:F,6,FALSE()),0)</f>
        <v>13</v>
      </c>
      <c r="O1208" s="247">
        <f t="shared" si="130"/>
        <v>7.6923076923076927E-2</v>
      </c>
      <c r="P1208" s="247" t="str">
        <f>+_xlfn.XLOOKUP(A1208,PPTO_GENERADOR!Q:Q,PPTO_GENERADOR!E:E,"-",0)</f>
        <v>-</v>
      </c>
      <c r="Q1208" s="247">
        <f t="shared" si="131"/>
        <v>0</v>
      </c>
      <c r="R1208" s="259" t="str">
        <f>+_xlfn.XLOOKUP(A1208,PPTO_GENERADOR!$Q:$Q,PPTO_GENERADOR!A:A,"-",0)</f>
        <v>-</v>
      </c>
    </row>
    <row r="1209" spans="1:18" ht="14.25" customHeight="1" x14ac:dyDescent="0.35">
      <c r="A1209" s="38" t="s">
        <v>2712</v>
      </c>
      <c r="B1209" s="38" t="s">
        <v>2773</v>
      </c>
      <c r="C1209" s="38"/>
      <c r="D1209" s="38" t="s">
        <v>1619</v>
      </c>
      <c r="E1209" s="44" t="str">
        <f>IFERROR(VLOOKUP(D1209,EQUIPOS!A:B,2,FALSE()),"?")</f>
        <v>CORTADORA CERAMICA PROFESIONAL 1200MM (PORCELANATO HASTA 16MM)</v>
      </c>
      <c r="F1209" s="44"/>
      <c r="G1209" s="45">
        <v>1</v>
      </c>
      <c r="H1209" s="46">
        <v>0</v>
      </c>
      <c r="I1209" s="47">
        <f>IFERROR(VLOOKUP(D1209,EQUIPOS!A:F,6,FALSE()),0)</f>
        <v>298.42384358082836</v>
      </c>
      <c r="J1209" s="42">
        <f>G1209*I1209</f>
        <v>298.42384358082836</v>
      </c>
      <c r="K1209" s="15" t="str">
        <f t="shared" si="128"/>
        <v>PTO-1111|EQ</v>
      </c>
      <c r="L1209" s="15">
        <f>COUNTIFS($K$2:K1209,K1209)</f>
        <v>1</v>
      </c>
      <c r="M1209" s="15" t="str">
        <f t="shared" si="129"/>
        <v>PTO-1111|EQ|1</v>
      </c>
      <c r="N1209" s="47">
        <f>IFERROR(VLOOKUP(A1209,PARTIDAS!A:F,6,FALSE()),0)</f>
        <v>13</v>
      </c>
      <c r="O1209" s="247">
        <f t="shared" si="130"/>
        <v>1</v>
      </c>
      <c r="P1209" s="247" t="str">
        <f>+_xlfn.XLOOKUP(A1209,PPTO_GENERADOR!Q:Q,PPTO_GENERADOR!E:E,"-",0)</f>
        <v>-</v>
      </c>
      <c r="Q1209" s="247">
        <f t="shared" si="131"/>
        <v>0</v>
      </c>
      <c r="R1209" s="259" t="str">
        <f>+_xlfn.XLOOKUP(A1209,PPTO_GENERADOR!$Q:$Q,PPTO_GENERADOR!A:A,"-",0)</f>
        <v>-</v>
      </c>
    </row>
    <row r="1210" spans="1:18" ht="14.25" customHeight="1" x14ac:dyDescent="0.35">
      <c r="A1210" s="38" t="s">
        <v>2712</v>
      </c>
      <c r="B1210" s="38" t="s">
        <v>2773</v>
      </c>
      <c r="C1210" s="38"/>
      <c r="D1210" s="38" t="s">
        <v>1598</v>
      </c>
      <c r="E1210" s="44" t="str">
        <f>IFERROR(VLOOKUP(D1210,EQUIPOS!A:B,2,FALSE()),"?")</f>
        <v>EQUIPO PARA COLOCACION DE CERAMICA</v>
      </c>
      <c r="F1210" s="44"/>
      <c r="G1210" s="45">
        <v>1</v>
      </c>
      <c r="H1210" s="46">
        <v>0</v>
      </c>
      <c r="I1210" s="47">
        <f>IFERROR(VLOOKUP(D1210,EQUIPOS!A:F,6,FALSE()),0)</f>
        <v>2637.1418444899073</v>
      </c>
      <c r="J1210" s="42">
        <f>G1210*I1210</f>
        <v>2637.1418444899073</v>
      </c>
      <c r="K1210" s="15" t="str">
        <f t="shared" si="128"/>
        <v>PTO-1111|EQ</v>
      </c>
      <c r="L1210" s="15">
        <f>COUNTIFS($K$2:K1210,K1210)</f>
        <v>2</v>
      </c>
      <c r="M1210" s="15" t="str">
        <f t="shared" si="129"/>
        <v>PTO-1111|EQ|2</v>
      </c>
      <c r="N1210" s="47">
        <f>IFERROR(VLOOKUP(A1210,PARTIDAS!A:F,6,FALSE()),0)</f>
        <v>13</v>
      </c>
      <c r="O1210" s="247">
        <f t="shared" si="130"/>
        <v>1</v>
      </c>
      <c r="P1210" s="247" t="str">
        <f>+_xlfn.XLOOKUP(A1210,PPTO_GENERADOR!Q:Q,PPTO_GENERADOR!E:E,"-",0)</f>
        <v>-</v>
      </c>
      <c r="Q1210" s="247">
        <f t="shared" si="131"/>
        <v>0</v>
      </c>
      <c r="R1210" s="259" t="str">
        <f>+_xlfn.XLOOKUP(A1210,PPTO_GENERADOR!$Q:$Q,PPTO_GENERADOR!A:A,"-",0)</f>
        <v>-</v>
      </c>
    </row>
    <row r="1211" spans="1:18" ht="14.25" customHeight="1" x14ac:dyDescent="0.35">
      <c r="A1211" s="38" t="s">
        <v>2712</v>
      </c>
      <c r="B1211" s="38" t="s">
        <v>2774</v>
      </c>
      <c r="C1211" s="38" t="s">
        <v>2775</v>
      </c>
      <c r="D1211" s="38" t="s">
        <v>604</v>
      </c>
      <c r="E1211" s="44" t="str">
        <f>IFERROR(VLOOKUP(D1211,MATERIALES!A:B,2,FALSE()),"?")</f>
        <v>Cal Comun x 25kg</v>
      </c>
      <c r="F1211" s="44" t="str">
        <f>IFERROR(VLOOKUP(D1211,MATERIALES!A:C,3,FALSE()),"?")</f>
        <v>bol</v>
      </c>
      <c r="G1211" s="45">
        <v>0.4</v>
      </c>
      <c r="H1211" s="46">
        <v>0.2</v>
      </c>
      <c r="I1211" s="47">
        <f>IFERROR(VLOOKUP(D1211,MATERIALES!A:D,4,FALSE()),0)</f>
        <v>3837.96</v>
      </c>
      <c r="J1211" s="42">
        <f>G1211*I1211*(1+H1211)</f>
        <v>1842.2208000000001</v>
      </c>
      <c r="K1211" s="15" t="str">
        <f t="shared" si="128"/>
        <v>PTO-1111|MAT</v>
      </c>
      <c r="L1211" s="15">
        <f>COUNTIFS($K$2:K1211,K1211)</f>
        <v>1</v>
      </c>
      <c r="M1211" s="15" t="str">
        <f t="shared" si="129"/>
        <v>PTO-1111|MAT|1</v>
      </c>
      <c r="N1211" s="47">
        <f>IFERROR(VLOOKUP(A1211,PARTIDAS!A:F,6,FALSE()),0)</f>
        <v>13</v>
      </c>
      <c r="O1211" s="247">
        <f t="shared" si="130"/>
        <v>0.4</v>
      </c>
      <c r="P1211" s="247" t="str">
        <f>+_xlfn.XLOOKUP(A1211,PPTO_GENERADOR!Q:Q,PPTO_GENERADOR!E:E,"-",0)</f>
        <v>-</v>
      </c>
      <c r="Q1211" s="247">
        <f t="shared" si="131"/>
        <v>0</v>
      </c>
      <c r="R1211" s="259" t="str">
        <f>+_xlfn.XLOOKUP(A1211,PPTO_GENERADOR!$Q:$Q,PPTO_GENERADOR!A:A,"-",0)</f>
        <v>-</v>
      </c>
    </row>
    <row r="1212" spans="1:18" ht="14.25" customHeight="1" x14ac:dyDescent="0.35">
      <c r="A1212" s="38" t="s">
        <v>2712</v>
      </c>
      <c r="B1212" s="38" t="s">
        <v>2774</v>
      </c>
      <c r="C1212" s="38" t="s">
        <v>2775</v>
      </c>
      <c r="D1212" s="38" t="s">
        <v>855</v>
      </c>
      <c r="E1212" s="44" t="str">
        <f>IFERROR(VLOOKUP(D1212,MATERIALES!A:B,2,FALSE()),"?")</f>
        <v>Trapo</v>
      </c>
      <c r="F1212" s="44" t="str">
        <f>IFERROR(VLOOKUP(D1212,MATERIALES!A:C,3,FALSE()),"?")</f>
        <v>u</v>
      </c>
      <c r="G1212" s="45">
        <v>0.01</v>
      </c>
      <c r="H1212" s="46">
        <v>0.03</v>
      </c>
      <c r="I1212" s="47">
        <f>IFERROR(VLOOKUP(D1212,MATERIALES!A:D,4,FALSE()),0)</f>
        <v>735.06</v>
      </c>
      <c r="J1212" s="42">
        <f>G1212*I1212*(1+H1212)</f>
        <v>7.5711180000000002</v>
      </c>
      <c r="K1212" s="15" t="str">
        <f t="shared" si="128"/>
        <v>PTO-1111|MAT</v>
      </c>
      <c r="L1212" s="15">
        <f>COUNTIFS($K$2:K1212,K1212)</f>
        <v>2</v>
      </c>
      <c r="M1212" s="15" t="str">
        <f t="shared" si="129"/>
        <v>PTO-1111|MAT|2</v>
      </c>
      <c r="N1212" s="47">
        <f>IFERROR(VLOOKUP(A1212,PARTIDAS!A:F,6,FALSE()),0)</f>
        <v>13</v>
      </c>
      <c r="O1212" s="247">
        <f t="shared" si="130"/>
        <v>0.01</v>
      </c>
      <c r="P1212" s="247" t="str">
        <f>+_xlfn.XLOOKUP(A1212,PPTO_GENERADOR!Q:Q,PPTO_GENERADOR!E:E,"-",0)</f>
        <v>-</v>
      </c>
      <c r="Q1212" s="247">
        <f t="shared" si="131"/>
        <v>0</v>
      </c>
      <c r="R1212" s="259" t="str">
        <f>+_xlfn.XLOOKUP(A1212,PPTO_GENERADOR!$Q:$Q,PPTO_GENERADOR!A:A,"-",0)</f>
        <v>-</v>
      </c>
    </row>
    <row r="1213" spans="1:18" ht="14.25" customHeight="1" x14ac:dyDescent="0.35">
      <c r="A1213" s="38" t="s">
        <v>2712</v>
      </c>
      <c r="B1213" s="38" t="s">
        <v>2774</v>
      </c>
      <c r="C1213" s="38" t="s">
        <v>2775</v>
      </c>
      <c r="D1213" s="38" t="s">
        <v>976</v>
      </c>
      <c r="E1213" s="44" t="str">
        <f>IFERROR(VLOOKUP(D1213,MATERIALES!A:B,2,FALSE()),"?")</f>
        <v>Disco Diamantado Aliafor Turbo Fino TRF</v>
      </c>
      <c r="F1213" s="44" t="str">
        <f>IFERROR(VLOOKUP(D1213,MATERIALES!A:C,3,FALSE()),"?")</f>
        <v>u</v>
      </c>
      <c r="G1213" s="45">
        <v>4.0000000000000001E-3</v>
      </c>
      <c r="H1213" s="46">
        <v>0.05</v>
      </c>
      <c r="I1213" s="47">
        <f>IFERROR(VLOOKUP(D1213,MATERIALES!A:D,4,FALSE()),0)</f>
        <v>20237</v>
      </c>
      <c r="J1213" s="42">
        <f>G1213*I1213*(1+H1213)</f>
        <v>84.995400000000018</v>
      </c>
      <c r="K1213" s="15" t="str">
        <f t="shared" si="128"/>
        <v>PTO-1111|MAT</v>
      </c>
      <c r="L1213" s="15">
        <f>COUNTIFS($K$2:K1213,K1213)</f>
        <v>3</v>
      </c>
      <c r="M1213" s="15" t="str">
        <f t="shared" si="129"/>
        <v>PTO-1111|MAT|3</v>
      </c>
      <c r="N1213" s="47">
        <f>IFERROR(VLOOKUP(A1213,PARTIDAS!A:F,6,FALSE()),0)</f>
        <v>13</v>
      </c>
      <c r="O1213" s="247">
        <f t="shared" si="130"/>
        <v>4.0000000000000001E-3</v>
      </c>
      <c r="P1213" s="247" t="str">
        <f>+_xlfn.XLOOKUP(A1213,PPTO_GENERADOR!Q:Q,PPTO_GENERADOR!E:E,"-",0)</f>
        <v>-</v>
      </c>
      <c r="Q1213" s="247">
        <f t="shared" si="131"/>
        <v>0</v>
      </c>
      <c r="R1213" s="259" t="str">
        <f>+_xlfn.XLOOKUP(A1213,PPTO_GENERADOR!$Q:$Q,PPTO_GENERADOR!A:A,"-",0)</f>
        <v>-</v>
      </c>
    </row>
    <row r="1214" spans="1:18" ht="14.25" customHeight="1" x14ac:dyDescent="0.35">
      <c r="A1214" s="38" t="s">
        <v>2712</v>
      </c>
      <c r="B1214" s="38" t="s">
        <v>2774</v>
      </c>
      <c r="C1214" s="38" t="s">
        <v>2775</v>
      </c>
      <c r="D1214" s="38" t="s">
        <v>979</v>
      </c>
      <c r="E1214" s="44" t="str">
        <f>IFERROR(VLOOKUP(D1214,MATERIALES!A:B,2,FALSE()),"?")</f>
        <v>Arco y cuña niveladores porcelanatos x 150 un</v>
      </c>
      <c r="F1214" s="44" t="str">
        <f>IFERROR(VLOOKUP(D1214,MATERIALES!A:C,3,FALSE()),"?")</f>
        <v>b</v>
      </c>
      <c r="G1214" s="45">
        <v>0.04</v>
      </c>
      <c r="H1214" s="46">
        <v>0.05</v>
      </c>
      <c r="I1214" s="47">
        <f>IFERROR(VLOOKUP(D1214,MATERIALES!A:D,4,FALSE()),0)</f>
        <v>44669.4214876033</v>
      </c>
      <c r="J1214" s="42">
        <f>G1214*I1214*(1+H1214)</f>
        <v>1876.1157024793388</v>
      </c>
      <c r="K1214" s="15" t="str">
        <f t="shared" si="128"/>
        <v>PTO-1111|MAT</v>
      </c>
      <c r="L1214" s="15">
        <f>COUNTIFS($K$2:K1214,K1214)</f>
        <v>4</v>
      </c>
      <c r="M1214" s="15" t="str">
        <f t="shared" si="129"/>
        <v>PTO-1111|MAT|4</v>
      </c>
      <c r="N1214" s="47">
        <f>IFERROR(VLOOKUP(A1214,PARTIDAS!A:F,6,FALSE()),0)</f>
        <v>13</v>
      </c>
      <c r="O1214" s="247">
        <f t="shared" si="130"/>
        <v>0.04</v>
      </c>
      <c r="P1214" s="247" t="str">
        <f>+_xlfn.XLOOKUP(A1214,PPTO_GENERADOR!Q:Q,PPTO_GENERADOR!E:E,"-",0)</f>
        <v>-</v>
      </c>
      <c r="Q1214" s="247">
        <f t="shared" si="131"/>
        <v>0</v>
      </c>
      <c r="R1214" s="259" t="str">
        <f>+_xlfn.XLOOKUP(A1214,PPTO_GENERADOR!$Q:$Q,PPTO_GENERADOR!A:A,"-",0)</f>
        <v>-</v>
      </c>
    </row>
    <row r="1215" spans="1:18" ht="14.25" customHeight="1" x14ac:dyDescent="0.35">
      <c r="A1215" s="38" t="s">
        <v>2712</v>
      </c>
      <c r="B1215" s="38" t="s">
        <v>2776</v>
      </c>
      <c r="C1215" s="38" t="s">
        <v>2777</v>
      </c>
      <c r="D1215" s="237" t="s">
        <v>1568</v>
      </c>
      <c r="E1215" s="44" t="str">
        <f>IFERROR(VLOOKUP(D1215,MANO_DE_OBRA!A:B,2,FALSE()),"?")</f>
        <v>ESPECIALIZADO</v>
      </c>
      <c r="F1215" s="44" t="s">
        <v>2778</v>
      </c>
      <c r="G1215" s="45">
        <v>1</v>
      </c>
      <c r="H1215" s="46">
        <v>0</v>
      </c>
      <c r="I1215" s="47">
        <f>IFERROR(VLOOKUP(D1215,MANO_DE_OBRA!A:C,3,FALSE()),0)</f>
        <v>85927.097156571996</v>
      </c>
      <c r="J1215" s="42">
        <f>G1215*I1215</f>
        <v>85927.097156571996</v>
      </c>
      <c r="K1215" s="15" t="str">
        <f t="shared" si="128"/>
        <v>PTO-1111|MO</v>
      </c>
      <c r="L1215" s="15">
        <f>COUNTIFS($K$2:K1215,K1215)</f>
        <v>1</v>
      </c>
      <c r="M1215" s="15" t="str">
        <f t="shared" si="129"/>
        <v>PTO-1111|MO|1</v>
      </c>
      <c r="N1215" s="47">
        <f>IFERROR(VLOOKUP(A1215,PARTIDAS!A:F,6,FALSE()),0)</f>
        <v>13</v>
      </c>
      <c r="O1215" s="247">
        <f t="shared" si="130"/>
        <v>7.6923076923076927E-2</v>
      </c>
      <c r="P1215" s="247" t="str">
        <f>+_xlfn.XLOOKUP(A1215,PPTO_GENERADOR!Q:Q,PPTO_GENERADOR!E:E,"-",0)</f>
        <v>-</v>
      </c>
      <c r="Q1215" s="247">
        <f t="shared" si="131"/>
        <v>0</v>
      </c>
      <c r="R1215" s="259" t="str">
        <f>+_xlfn.XLOOKUP(A1215,PPTO_GENERADOR!$Q:$Q,PPTO_GENERADOR!A:A,"-",0)</f>
        <v>-</v>
      </c>
    </row>
    <row r="1216" spans="1:18" ht="14.25" customHeight="1" x14ac:dyDescent="0.35">
      <c r="A1216" s="38" t="s">
        <v>2712</v>
      </c>
      <c r="B1216" s="38" t="s">
        <v>2776</v>
      </c>
      <c r="C1216" s="38" t="s">
        <v>2777</v>
      </c>
      <c r="D1216" s="237" t="s">
        <v>1571</v>
      </c>
      <c r="E1216" s="44" t="str">
        <f>IFERROR(VLOOKUP(D1216,MANO_DE_OBRA!A:B,2,FALSE()),"?")</f>
        <v>OFICIAL</v>
      </c>
      <c r="F1216" s="44" t="s">
        <v>2778</v>
      </c>
      <c r="G1216" s="45">
        <v>1</v>
      </c>
      <c r="H1216" s="46">
        <v>0</v>
      </c>
      <c r="I1216" s="47">
        <f>IFERROR(VLOOKUP(D1216,MANO_DE_OBRA!A:C,3,FALSE()),0)</f>
        <v>76955.079706571996</v>
      </c>
      <c r="J1216" s="42">
        <f>G1216*I1216</f>
        <v>76955.079706571996</v>
      </c>
      <c r="K1216" s="15" t="str">
        <f t="shared" si="128"/>
        <v>PTO-1111|MO</v>
      </c>
      <c r="L1216" s="15">
        <f>COUNTIFS($K$2:K1216,K1216)</f>
        <v>2</v>
      </c>
      <c r="M1216" s="15" t="str">
        <f t="shared" si="129"/>
        <v>PTO-1111|MO|2</v>
      </c>
      <c r="N1216" s="47">
        <f>IFERROR(VLOOKUP(A1216,PARTIDAS!A:F,6,FALSE()),0)</f>
        <v>13</v>
      </c>
      <c r="O1216" s="247">
        <f t="shared" si="130"/>
        <v>7.6923076923076927E-2</v>
      </c>
      <c r="P1216" s="247" t="str">
        <f>+_xlfn.XLOOKUP(A1216,PPTO_GENERADOR!Q:Q,PPTO_GENERADOR!E:E,"-",0)</f>
        <v>-</v>
      </c>
      <c r="Q1216" s="247">
        <f t="shared" si="131"/>
        <v>0</v>
      </c>
      <c r="R1216" s="259" t="str">
        <f>+_xlfn.XLOOKUP(A1216,PPTO_GENERADOR!$Q:$Q,PPTO_GENERADOR!A:A,"-",0)</f>
        <v>-</v>
      </c>
    </row>
    <row r="1217" spans="1:18" ht="14.25" customHeight="1" x14ac:dyDescent="0.35">
      <c r="A1217" s="38" t="s">
        <v>204</v>
      </c>
      <c r="B1217" s="38" t="s">
        <v>2773</v>
      </c>
      <c r="C1217" s="38"/>
      <c r="D1217" s="38" t="s">
        <v>1592</v>
      </c>
      <c r="E1217" s="44" t="str">
        <f>IFERROR(VLOOKUP(D1217,EQUIPOS!A:B,2,FALSE()),"?")</f>
        <v>ANDAMIO TUBULAR DE UNO A TRES CUERPOS</v>
      </c>
      <c r="F1217" s="44"/>
      <c r="G1217" s="45">
        <v>0.5</v>
      </c>
      <c r="H1217" s="46">
        <v>0</v>
      </c>
      <c r="I1217" s="47">
        <f>IFERROR(VLOOKUP(D1217,EQUIPOS!A:F,6,FALSE()),0)</f>
        <v>571.1794909807611</v>
      </c>
      <c r="J1217" s="42">
        <f>G1217*I1217</f>
        <v>285.58974549038055</v>
      </c>
      <c r="K1217" s="15" t="str">
        <f t="shared" si="128"/>
        <v>PTO-1201|EQ</v>
      </c>
      <c r="L1217" s="15">
        <f>COUNTIFS($K$2:K1217,K1217)</f>
        <v>1</v>
      </c>
      <c r="M1217" s="15" t="str">
        <f t="shared" si="129"/>
        <v>PTO-1201|EQ|1</v>
      </c>
      <c r="N1217" s="47">
        <f>IFERROR(VLOOKUP(A1217,PARTIDAS!A:F,6,FALSE()),0)</f>
        <v>28</v>
      </c>
      <c r="O1217" s="247">
        <f t="shared" si="130"/>
        <v>0.5</v>
      </c>
      <c r="P1217" s="247">
        <f>+_xlfn.XLOOKUP(A1217,PPTO_GENERADOR!Q:Q,PPTO_GENERADOR!E:E,"-",0)</f>
        <v>19</v>
      </c>
      <c r="Q1217" s="247">
        <f t="shared" si="131"/>
        <v>9.5</v>
      </c>
      <c r="R1217" s="259">
        <f>+_xlfn.XLOOKUP(A1217,PPTO_GENERADOR!$Q:$Q,PPTO_GENERADOR!A:A,"-",0)</f>
        <v>12.01</v>
      </c>
    </row>
    <row r="1218" spans="1:18" ht="14.25" customHeight="1" x14ac:dyDescent="0.35">
      <c r="A1218" s="38" t="s">
        <v>204</v>
      </c>
      <c r="B1218" s="38" t="s">
        <v>2773</v>
      </c>
      <c r="C1218" s="38"/>
      <c r="D1218" s="38" t="s">
        <v>1595</v>
      </c>
      <c r="E1218" s="44" t="str">
        <f>IFERROR(VLOOKUP(D1218,EQUIPOS!A:B,2,FALSE()),"?")</f>
        <v>EQUIPO DE ALBAÑILERIA, carpetas, ladrillo</v>
      </c>
      <c r="F1218" s="44"/>
      <c r="G1218" s="45">
        <v>1</v>
      </c>
      <c r="H1218" s="46">
        <v>0</v>
      </c>
      <c r="I1218" s="47">
        <f>IFERROR(VLOOKUP(D1218,EQUIPOS!A:F,6,FALSE()),0)</f>
        <v>2287.1357450968057</v>
      </c>
      <c r="J1218" s="42">
        <f>G1218*I1218</f>
        <v>2287.1357450968057</v>
      </c>
      <c r="K1218" s="15" t="str">
        <f t="shared" ref="K1218:K1281" si="134">A1218&amp;"|"&amp;B1218</f>
        <v>PTO-1201|EQ</v>
      </c>
      <c r="L1218" s="15">
        <f>COUNTIFS($K$2:K1218,K1218)</f>
        <v>2</v>
      </c>
      <c r="M1218" s="15" t="str">
        <f t="shared" ref="M1218:M1281" si="135">K1218&amp;"|"&amp;L1218</f>
        <v>PTO-1201|EQ|2</v>
      </c>
      <c r="N1218" s="47">
        <f>IFERROR(VLOOKUP(A1218,PARTIDAS!A:F,6,FALSE()),0)</f>
        <v>28</v>
      </c>
      <c r="O1218" s="247">
        <f t="shared" si="130"/>
        <v>1</v>
      </c>
      <c r="P1218" s="247">
        <f>+_xlfn.XLOOKUP(A1218,PPTO_GENERADOR!Q:Q,PPTO_GENERADOR!E:E,"-",0)</f>
        <v>19</v>
      </c>
      <c r="Q1218" s="247">
        <f t="shared" si="131"/>
        <v>19</v>
      </c>
      <c r="R1218" s="259">
        <f>+_xlfn.XLOOKUP(A1218,PPTO_GENERADOR!$Q:$Q,PPTO_GENERADOR!A:A,"-",0)</f>
        <v>12.01</v>
      </c>
    </row>
    <row r="1219" spans="1:18" ht="14.25" customHeight="1" x14ac:dyDescent="0.35">
      <c r="A1219" s="38" t="s">
        <v>204</v>
      </c>
      <c r="B1219" s="38" t="s">
        <v>2773</v>
      </c>
      <c r="C1219" s="38"/>
      <c r="D1219" s="38" t="s">
        <v>1613</v>
      </c>
      <c r="E1219" s="44" t="str">
        <f>IFERROR(VLOOKUP(D1219,EQUIPOS!A:B,2,FALSE()),"?")</f>
        <v>Hormigonera De 150 Litros 1hp Con Rueda Maciza</v>
      </c>
      <c r="F1219" s="44"/>
      <c r="G1219" s="45">
        <v>1</v>
      </c>
      <c r="H1219" s="46">
        <v>0</v>
      </c>
      <c r="I1219" s="47">
        <f>IFERROR(VLOOKUP(D1219,EQUIPOS!A:F,6,FALSE()),0)</f>
        <v>957.25319614994726</v>
      </c>
      <c r="J1219" s="42">
        <f>G1219*I1219</f>
        <v>957.25319614994726</v>
      </c>
      <c r="K1219" s="15" t="str">
        <f t="shared" si="134"/>
        <v>PTO-1201|EQ</v>
      </c>
      <c r="L1219" s="15">
        <f>COUNTIFS($K$2:K1219,K1219)</f>
        <v>3</v>
      </c>
      <c r="M1219" s="15" t="str">
        <f t="shared" si="135"/>
        <v>PTO-1201|EQ|3</v>
      </c>
      <c r="N1219" s="47">
        <f>IFERROR(VLOOKUP(A1219,PARTIDAS!A:F,6,FALSE()),0)</f>
        <v>28</v>
      </c>
      <c r="O1219" s="247">
        <f t="shared" ref="O1219:O1282" si="136">+IF(C1219="ALB",G1219/N1219,G1219)</f>
        <v>1</v>
      </c>
      <c r="P1219" s="247">
        <f>+_xlfn.XLOOKUP(A1219,PPTO_GENERADOR!Q:Q,PPTO_GENERADOR!E:E,"-",0)</f>
        <v>19</v>
      </c>
      <c r="Q1219" s="247">
        <f t="shared" ref="Q1219:Q1282" si="137">IFERROR(P1219*O1219,0)</f>
        <v>19</v>
      </c>
      <c r="R1219" s="259">
        <f>+_xlfn.XLOOKUP(A1219,PPTO_GENERADOR!$Q:$Q,PPTO_GENERADOR!A:A,"-",0)</f>
        <v>12.01</v>
      </c>
    </row>
    <row r="1220" spans="1:18" ht="14.25" customHeight="1" x14ac:dyDescent="0.35">
      <c r="A1220" s="38" t="s">
        <v>204</v>
      </c>
      <c r="B1220" s="38" t="s">
        <v>2774</v>
      </c>
      <c r="C1220" s="38" t="s">
        <v>2775</v>
      </c>
      <c r="D1220" s="38" t="s">
        <v>588</v>
      </c>
      <c r="E1220" s="44" t="str">
        <f>IFERROR(VLOOKUP(D1220,MATERIALES!A:B,2,FALSE()),"?")</f>
        <v>ARENA LAVADA</v>
      </c>
      <c r="F1220" s="44" t="str">
        <f>IFERROR(VLOOKUP(D1220,MATERIALES!A:C,3,FALSE()),"?")</f>
        <v>m3</v>
      </c>
      <c r="G1220" s="45">
        <v>6.0000000000000001E-3</v>
      </c>
      <c r="H1220" s="46">
        <v>0.1</v>
      </c>
      <c r="I1220" s="47">
        <f>IFERROR(VLOOKUP(D1220,MATERIALES!A:D,4,FALSE()),0)</f>
        <v>32399.77</v>
      </c>
      <c r="J1220" s="42">
        <f>G1220*I1220*(1+H1220)</f>
        <v>213.838482</v>
      </c>
      <c r="K1220" s="15" t="str">
        <f t="shared" si="134"/>
        <v>PTO-1201|MAT</v>
      </c>
      <c r="L1220" s="15">
        <f>COUNTIFS($K$2:K1220,K1220)</f>
        <v>1</v>
      </c>
      <c r="M1220" s="15" t="str">
        <f t="shared" si="135"/>
        <v>PTO-1201|MAT|1</v>
      </c>
      <c r="N1220" s="47">
        <f>IFERROR(VLOOKUP(A1220,PARTIDAS!A:F,6,FALSE()),0)</f>
        <v>28</v>
      </c>
      <c r="O1220" s="247">
        <f t="shared" si="136"/>
        <v>6.0000000000000001E-3</v>
      </c>
      <c r="P1220" s="247">
        <f>+_xlfn.XLOOKUP(A1220,PPTO_GENERADOR!Q:Q,PPTO_GENERADOR!E:E,"-",0)</f>
        <v>19</v>
      </c>
      <c r="Q1220" s="247">
        <f t="shared" si="137"/>
        <v>0.114</v>
      </c>
      <c r="R1220" s="259">
        <f>+_xlfn.XLOOKUP(A1220,PPTO_GENERADOR!$Q:$Q,PPTO_GENERADOR!A:A,"-",0)</f>
        <v>12.01</v>
      </c>
    </row>
    <row r="1221" spans="1:18" ht="14.25" customHeight="1" x14ac:dyDescent="0.35">
      <c r="A1221" s="38" t="s">
        <v>204</v>
      </c>
      <c r="B1221" s="38" t="s">
        <v>2774</v>
      </c>
      <c r="C1221" s="38" t="s">
        <v>2775</v>
      </c>
      <c r="D1221" s="38" t="s">
        <v>599</v>
      </c>
      <c r="E1221" s="44" t="str">
        <f>IFERROR(VLOOKUP(D1221,MATERIALES!A:B,2,FALSE()),"?")</f>
        <v>Cemento Portland x 50kg</v>
      </c>
      <c r="F1221" s="44" t="str">
        <f>IFERROR(VLOOKUP(D1221,MATERIALES!A:C,3,FALSE()),"?")</f>
        <v>Bol</v>
      </c>
      <c r="G1221" s="45">
        <v>5.3999999999999999E-2</v>
      </c>
      <c r="H1221" s="46">
        <v>0.1</v>
      </c>
      <c r="I1221" s="47">
        <f>IFERROR(VLOOKUP(D1221,MATERIALES!A:D,4,FALSE()),0)</f>
        <v>7809.48</v>
      </c>
      <c r="J1221" s="42">
        <f>G1221*I1221*(1+H1221)</f>
        <v>463.88311199999998</v>
      </c>
      <c r="K1221" s="15" t="str">
        <f t="shared" si="134"/>
        <v>PTO-1201|MAT</v>
      </c>
      <c r="L1221" s="15">
        <f>COUNTIFS($K$2:K1221,K1221)</f>
        <v>2</v>
      </c>
      <c r="M1221" s="15" t="str">
        <f t="shared" si="135"/>
        <v>PTO-1201|MAT|2</v>
      </c>
      <c r="N1221" s="47">
        <f>IFERROR(VLOOKUP(A1221,PARTIDAS!A:F,6,FALSE()),0)</f>
        <v>28</v>
      </c>
      <c r="O1221" s="247">
        <f t="shared" si="136"/>
        <v>5.3999999999999999E-2</v>
      </c>
      <c r="P1221" s="247">
        <f>+_xlfn.XLOOKUP(A1221,PPTO_GENERADOR!Q:Q,PPTO_GENERADOR!E:E,"-",0)</f>
        <v>19</v>
      </c>
      <c r="Q1221" s="247">
        <f t="shared" si="137"/>
        <v>1.026</v>
      </c>
      <c r="R1221" s="259">
        <f>+_xlfn.XLOOKUP(A1221,PPTO_GENERADOR!$Q:$Q,PPTO_GENERADOR!A:A,"-",0)</f>
        <v>12.01</v>
      </c>
    </row>
    <row r="1222" spans="1:18" ht="14.25" customHeight="1" x14ac:dyDescent="0.35">
      <c r="A1222" s="38" t="s">
        <v>204</v>
      </c>
      <c r="B1222" s="38" t="s">
        <v>2774</v>
      </c>
      <c r="C1222" s="38" t="s">
        <v>2775</v>
      </c>
      <c r="D1222" s="38" t="s">
        <v>660</v>
      </c>
      <c r="E1222" s="44" t="str">
        <f>IFERROR(VLOOKUP(D1222,MATERIALES!A:B,2,FALSE()),"?")</f>
        <v>Aditivo Hidrofugo en pasta - Ceresita x 1kg</v>
      </c>
      <c r="F1222" s="44" t="str">
        <f>IFERROR(VLOOKUP(D1222,MATERIALES!A:C,3,FALSE()),"?")</f>
        <v>kg</v>
      </c>
      <c r="G1222" s="45">
        <v>0.1</v>
      </c>
      <c r="H1222" s="46">
        <v>0.05</v>
      </c>
      <c r="I1222" s="47">
        <f>IFERROR(VLOOKUP(D1222,MATERIALES!A:D,4,FALSE()),0)</f>
        <v>1256.1279999999999</v>
      </c>
      <c r="J1222" s="42">
        <f>G1222*I1222*(1+H1222)</f>
        <v>131.89344</v>
      </c>
      <c r="K1222" s="15" t="str">
        <f t="shared" si="134"/>
        <v>PTO-1201|MAT</v>
      </c>
      <c r="L1222" s="15">
        <f>COUNTIFS($K$2:K1222,K1222)</f>
        <v>3</v>
      </c>
      <c r="M1222" s="15" t="str">
        <f t="shared" si="135"/>
        <v>PTO-1201|MAT|3</v>
      </c>
      <c r="N1222" s="47">
        <f>IFERROR(VLOOKUP(A1222,PARTIDAS!A:F,6,FALSE()),0)</f>
        <v>28</v>
      </c>
      <c r="O1222" s="247">
        <f t="shared" si="136"/>
        <v>0.1</v>
      </c>
      <c r="P1222" s="247">
        <f>+_xlfn.XLOOKUP(A1222,PPTO_GENERADOR!Q:Q,PPTO_GENERADOR!E:E,"-",0)</f>
        <v>19</v>
      </c>
      <c r="Q1222" s="247">
        <f t="shared" si="137"/>
        <v>1.9000000000000001</v>
      </c>
      <c r="R1222" s="259">
        <f>+_xlfn.XLOOKUP(A1222,PPTO_GENERADOR!$Q:$Q,PPTO_GENERADOR!A:A,"-",0)</f>
        <v>12.01</v>
      </c>
    </row>
    <row r="1223" spans="1:18" ht="14.25" customHeight="1" x14ac:dyDescent="0.35">
      <c r="A1223" s="38" t="s">
        <v>204</v>
      </c>
      <c r="B1223" s="38" t="s">
        <v>2776</v>
      </c>
      <c r="C1223" s="38" t="s">
        <v>2777</v>
      </c>
      <c r="D1223" s="237" t="s">
        <v>1577</v>
      </c>
      <c r="E1223" s="44" t="str">
        <f>IFERROR(VLOOKUP(D1223,MANO_DE_OBRA!A:B,2,FALSE()),"?")</f>
        <v>AYUDANTE</v>
      </c>
      <c r="F1223" s="44" t="s">
        <v>2778</v>
      </c>
      <c r="G1223" s="45">
        <v>0.4</v>
      </c>
      <c r="H1223" s="46">
        <v>0</v>
      </c>
      <c r="I1223" s="47">
        <f>IFERROR(VLOOKUP(D1223,MANO_DE_OBRA!A:C,3,FALSE()),0)</f>
        <v>60860.580776572002</v>
      </c>
      <c r="J1223" s="42">
        <f>G1223*I1223</f>
        <v>24344.232310628802</v>
      </c>
      <c r="K1223" s="15" t="str">
        <f t="shared" si="134"/>
        <v>PTO-1201|MO</v>
      </c>
      <c r="L1223" s="15">
        <f>COUNTIFS($K$2:K1223,K1223)</f>
        <v>1</v>
      </c>
      <c r="M1223" s="15" t="str">
        <f t="shared" si="135"/>
        <v>PTO-1201|MO|1</v>
      </c>
      <c r="N1223" s="47">
        <f>IFERROR(VLOOKUP(A1223,PARTIDAS!A:F,6,FALSE()),0)</f>
        <v>28</v>
      </c>
      <c r="O1223" s="247">
        <f t="shared" si="136"/>
        <v>1.4285714285714287E-2</v>
      </c>
      <c r="P1223" s="247">
        <f>+_xlfn.XLOOKUP(A1223,PPTO_GENERADOR!Q:Q,PPTO_GENERADOR!E:E,"-",0)</f>
        <v>19</v>
      </c>
      <c r="Q1223" s="247">
        <f t="shared" si="137"/>
        <v>0.27142857142857146</v>
      </c>
      <c r="R1223" s="259">
        <f>+_xlfn.XLOOKUP(A1223,PPTO_GENERADOR!$Q:$Q,PPTO_GENERADOR!A:A,"-",0)</f>
        <v>12.01</v>
      </c>
    </row>
    <row r="1224" spans="1:18" ht="14.25" customHeight="1" x14ac:dyDescent="0.35">
      <c r="A1224" s="38" t="s">
        <v>204</v>
      </c>
      <c r="B1224" s="38" t="s">
        <v>2776</v>
      </c>
      <c r="C1224" s="38" t="s">
        <v>2777</v>
      </c>
      <c r="D1224" s="237" t="s">
        <v>1568</v>
      </c>
      <c r="E1224" s="44" t="str">
        <f>IFERROR(VLOOKUP(D1224,MANO_DE_OBRA!A:B,2,FALSE()),"?")</f>
        <v>ESPECIALIZADO</v>
      </c>
      <c r="F1224" s="44" t="s">
        <v>2778</v>
      </c>
      <c r="G1224" s="45">
        <v>1</v>
      </c>
      <c r="H1224" s="46">
        <v>0</v>
      </c>
      <c r="I1224" s="47">
        <f>IFERROR(VLOOKUP(D1224,MANO_DE_OBRA!A:C,3,FALSE()),0)</f>
        <v>85927.097156571996</v>
      </c>
      <c r="J1224" s="42">
        <f>G1224*I1224</f>
        <v>85927.097156571996</v>
      </c>
      <c r="K1224" s="15" t="str">
        <f t="shared" si="134"/>
        <v>PTO-1201|MO</v>
      </c>
      <c r="L1224" s="15">
        <f>COUNTIFS($K$2:K1224,K1224)</f>
        <v>2</v>
      </c>
      <c r="M1224" s="15" t="str">
        <f t="shared" si="135"/>
        <v>PTO-1201|MO|2</v>
      </c>
      <c r="N1224" s="47">
        <f>IFERROR(VLOOKUP(A1224,PARTIDAS!A:F,6,FALSE()),0)</f>
        <v>28</v>
      </c>
      <c r="O1224" s="247">
        <f t="shared" si="136"/>
        <v>3.5714285714285712E-2</v>
      </c>
      <c r="P1224" s="247">
        <f>+_xlfn.XLOOKUP(A1224,PPTO_GENERADOR!Q:Q,PPTO_GENERADOR!E:E,"-",0)</f>
        <v>19</v>
      </c>
      <c r="Q1224" s="247">
        <f t="shared" si="137"/>
        <v>0.67857142857142849</v>
      </c>
      <c r="R1224" s="259">
        <f>+_xlfn.XLOOKUP(A1224,PPTO_GENERADOR!$Q:$Q,PPTO_GENERADOR!A:A,"-",0)</f>
        <v>12.01</v>
      </c>
    </row>
    <row r="1225" spans="1:18" ht="14.25" customHeight="1" x14ac:dyDescent="0.35">
      <c r="A1225" s="38" t="s">
        <v>206</v>
      </c>
      <c r="B1225" s="38" t="s">
        <v>2773</v>
      </c>
      <c r="C1225" s="38"/>
      <c r="D1225" s="38" t="s">
        <v>1866</v>
      </c>
      <c r="E1225" s="44" t="str">
        <f>IFERROR(VLOOKUP(D1225,EQUIPOS!A:B,2,FALSE()),"?")</f>
        <v>Herramientas menores y consumibles - Provisión y colocación de zócalo de MDF prepintado</v>
      </c>
      <c r="F1225" s="44"/>
      <c r="G1225" s="45">
        <v>1</v>
      </c>
      <c r="H1225" s="46">
        <v>0</v>
      </c>
      <c r="I1225" s="47">
        <f>IFERROR(VLOOKUP(D1225,EQUIPOS!A:F,6,FALSE()),0)</f>
        <v>100.443260520069</v>
      </c>
      <c r="J1225" s="42">
        <f>G1225*I1225</f>
        <v>100.443260520069</v>
      </c>
      <c r="K1225" s="15" t="str">
        <f t="shared" si="134"/>
        <v>PTO-1202|EQ</v>
      </c>
      <c r="L1225" s="15">
        <f>COUNTIFS($K$2:K1225,K1225)</f>
        <v>1</v>
      </c>
      <c r="M1225" s="15" t="str">
        <f t="shared" si="135"/>
        <v>PTO-1202|EQ|1</v>
      </c>
      <c r="N1225" s="47">
        <f>IFERROR(VLOOKUP(A1225,PARTIDAS!A:F,6,FALSE()),0)</f>
        <v>1</v>
      </c>
      <c r="O1225" s="247">
        <f t="shared" si="136"/>
        <v>1</v>
      </c>
      <c r="P1225" s="247">
        <f>+_xlfn.XLOOKUP(A1225,PPTO_GENERADOR!Q:Q,PPTO_GENERADOR!E:E,"-",0)</f>
        <v>626</v>
      </c>
      <c r="Q1225" s="247">
        <f t="shared" si="137"/>
        <v>626</v>
      </c>
      <c r="R1225" s="259">
        <f>+_xlfn.XLOOKUP(A1225,PPTO_GENERADOR!$Q:$Q,PPTO_GENERADOR!A:A,"-",0)</f>
        <v>12.02</v>
      </c>
    </row>
    <row r="1226" spans="1:18" ht="14.25" customHeight="1" x14ac:dyDescent="0.35">
      <c r="A1226" s="38" t="s">
        <v>206</v>
      </c>
      <c r="B1226" s="38" t="s">
        <v>2774</v>
      </c>
      <c r="C1226" s="38" t="s">
        <v>2775</v>
      </c>
      <c r="D1226" s="38" t="s">
        <v>1190</v>
      </c>
      <c r="E1226" s="44" t="str">
        <f>IFERROR(VLOOKUP(D1226,MATERIALES!A:B,2,FALSE()),"?")</f>
        <v xml:space="preserve">Sellador / Silicona (rinde 5 mts) </v>
      </c>
      <c r="F1226" s="44" t="str">
        <f>IFERROR(VLOOKUP(D1226,MATERIALES!A:C,3,FALSE()),"?")</f>
        <v>u</v>
      </c>
      <c r="G1226" s="45">
        <v>0.2</v>
      </c>
      <c r="H1226" s="46">
        <v>0</v>
      </c>
      <c r="I1226" s="47">
        <f>IFERROR(VLOOKUP(D1226,MATERIALES!A:D,4,FALSE()),0)</f>
        <v>25454.5454545455</v>
      </c>
      <c r="J1226" s="42">
        <f>G1226*I1226*(1+H1226)</f>
        <v>5090.9090909091001</v>
      </c>
      <c r="K1226" s="15" t="str">
        <f t="shared" si="134"/>
        <v>PTO-1202|MAT</v>
      </c>
      <c r="L1226" s="15">
        <f>COUNTIFS($K$2:K1226,K1226)</f>
        <v>1</v>
      </c>
      <c r="M1226" s="15" t="str">
        <f t="shared" si="135"/>
        <v>PTO-1202|MAT|1</v>
      </c>
      <c r="N1226" s="47">
        <f>IFERROR(VLOOKUP(A1226,PARTIDAS!A:F,6,FALSE()),0)</f>
        <v>1</v>
      </c>
      <c r="O1226" s="247">
        <f t="shared" si="136"/>
        <v>0.2</v>
      </c>
      <c r="P1226" s="247">
        <f>+_xlfn.XLOOKUP(A1226,PPTO_GENERADOR!Q:Q,PPTO_GENERADOR!E:E,"-",0)</f>
        <v>626</v>
      </c>
      <c r="Q1226" s="247">
        <f t="shared" si="137"/>
        <v>125.2</v>
      </c>
      <c r="R1226" s="259">
        <f>+_xlfn.XLOOKUP(A1226,PPTO_GENERADOR!$Q:$Q,PPTO_GENERADOR!A:A,"-",0)</f>
        <v>12.02</v>
      </c>
    </row>
    <row r="1227" spans="1:18" ht="14.25" customHeight="1" x14ac:dyDescent="0.35">
      <c r="A1227" s="38" t="s">
        <v>206</v>
      </c>
      <c r="B1227" s="38" t="s">
        <v>2774</v>
      </c>
      <c r="C1227" s="38" t="s">
        <v>2775</v>
      </c>
      <c r="D1227" s="38" t="s">
        <v>1247</v>
      </c>
      <c r="E1227" s="44" t="str">
        <f>IFERROR(VLOOKUP(D1227,MATERIALES!A:B,2,FALSE()),"?")</f>
        <v>Zocalo 5,6cm Madera Mdf Redondeado Prepintado Blanco Pz-56l</v>
      </c>
      <c r="F1227" s="44" t="str">
        <f>IFERROR(VLOOKUP(D1227,MATERIALES!A:C,3,FALSE()),"?")</f>
        <v>ml</v>
      </c>
      <c r="G1227" s="45">
        <v>1</v>
      </c>
      <c r="H1227" s="46">
        <v>0</v>
      </c>
      <c r="I1227" s="47">
        <f>IFERROR(VLOOKUP(D1227,MATERIALES!A:D,4,FALSE()),0)</f>
        <v>2000</v>
      </c>
      <c r="J1227" s="42">
        <f>G1227*I1227*(1+H1227)</f>
        <v>2000</v>
      </c>
      <c r="K1227" s="15" t="str">
        <f t="shared" si="134"/>
        <v>PTO-1202|MAT</v>
      </c>
      <c r="L1227" s="15">
        <f>COUNTIFS($K$2:K1227,K1227)</f>
        <v>2</v>
      </c>
      <c r="M1227" s="15" t="str">
        <f t="shared" si="135"/>
        <v>PTO-1202|MAT|2</v>
      </c>
      <c r="N1227" s="47">
        <f>IFERROR(VLOOKUP(A1227,PARTIDAS!A:F,6,FALSE()),0)</f>
        <v>1</v>
      </c>
      <c r="O1227" s="247">
        <f t="shared" si="136"/>
        <v>1</v>
      </c>
      <c r="P1227" s="247">
        <f>+_xlfn.XLOOKUP(A1227,PPTO_GENERADOR!Q:Q,PPTO_GENERADOR!E:E,"-",0)</f>
        <v>626</v>
      </c>
      <c r="Q1227" s="247">
        <f t="shared" si="137"/>
        <v>626</v>
      </c>
      <c r="R1227" s="259">
        <f>+_xlfn.XLOOKUP(A1227,PPTO_GENERADOR!$Q:$Q,PPTO_GENERADOR!A:A,"-",0)</f>
        <v>12.02</v>
      </c>
    </row>
    <row r="1228" spans="1:18" ht="14.25" customHeight="1" x14ac:dyDescent="0.35">
      <c r="A1228" s="38" t="s">
        <v>206</v>
      </c>
      <c r="B1228" s="38" t="s">
        <v>2776</v>
      </c>
      <c r="C1228" s="38" t="s">
        <v>2777</v>
      </c>
      <c r="D1228" s="237" t="s">
        <v>1571</v>
      </c>
      <c r="E1228" s="44" t="str">
        <f>IFERROR(VLOOKUP(D1228,MANO_DE_OBRA!A:B,2,FALSE()),"?")</f>
        <v>OFICIAL</v>
      </c>
      <c r="F1228" s="44" t="s">
        <v>2778</v>
      </c>
      <c r="G1228" s="45">
        <v>4.1533546325878599E-2</v>
      </c>
      <c r="H1228" s="46">
        <v>0</v>
      </c>
      <c r="I1228" s="47">
        <f>IFERROR(VLOOKUP(D1228,MANO_DE_OBRA!A:C,3,FALSE()),0)</f>
        <v>76955.079706571996</v>
      </c>
      <c r="J1228" s="42">
        <f>G1228*I1228</f>
        <v>3196.217368004588</v>
      </c>
      <c r="K1228" s="15" t="str">
        <f t="shared" si="134"/>
        <v>PTO-1202|MO</v>
      </c>
      <c r="L1228" s="15">
        <f>COUNTIFS($K$2:K1228,K1228)</f>
        <v>1</v>
      </c>
      <c r="M1228" s="15" t="str">
        <f t="shared" si="135"/>
        <v>PTO-1202|MO|1</v>
      </c>
      <c r="N1228" s="47">
        <f>IFERROR(VLOOKUP(A1228,PARTIDAS!A:F,6,FALSE()),0)</f>
        <v>1</v>
      </c>
      <c r="O1228" s="247">
        <f t="shared" si="136"/>
        <v>4.1533546325878599E-2</v>
      </c>
      <c r="P1228" s="247">
        <f>+_xlfn.XLOOKUP(A1228,PPTO_GENERADOR!Q:Q,PPTO_GENERADOR!E:E,"-",0)</f>
        <v>626</v>
      </c>
      <c r="Q1228" s="247">
        <f t="shared" si="137"/>
        <v>26.000000000000004</v>
      </c>
      <c r="R1228" s="259">
        <f>+_xlfn.XLOOKUP(A1228,PPTO_GENERADOR!$Q:$Q,PPTO_GENERADOR!A:A,"-",0)</f>
        <v>12.02</v>
      </c>
    </row>
    <row r="1229" spans="1:18" ht="14.25" customHeight="1" x14ac:dyDescent="0.35">
      <c r="A1229" s="38" t="s">
        <v>2713</v>
      </c>
      <c r="B1229" s="38" t="s">
        <v>2773</v>
      </c>
      <c r="C1229" s="38"/>
      <c r="D1229" s="38" t="s">
        <v>1619</v>
      </c>
      <c r="E1229" s="44" t="str">
        <f>IFERROR(VLOOKUP(D1229,EQUIPOS!A:B,2,FALSE()),"?")</f>
        <v>CORTADORA CERAMICA PROFESIONAL 1200MM (PORCELANATO HASTA 16MM)</v>
      </c>
      <c r="F1229" s="44"/>
      <c r="G1229" s="45">
        <v>1</v>
      </c>
      <c r="H1229" s="46">
        <v>0</v>
      </c>
      <c r="I1229" s="47">
        <f>IFERROR(VLOOKUP(D1229,EQUIPOS!A:F,6,FALSE()),0)</f>
        <v>298.42384358082836</v>
      </c>
      <c r="J1229" s="42">
        <f>G1229*I1229</f>
        <v>298.42384358082836</v>
      </c>
      <c r="K1229" s="15" t="str">
        <f t="shared" si="134"/>
        <v>PTO-1203|EQ</v>
      </c>
      <c r="L1229" s="15">
        <f>COUNTIFS($K$2:K1229,K1229)</f>
        <v>1</v>
      </c>
      <c r="M1229" s="15" t="str">
        <f t="shared" si="135"/>
        <v>PTO-1203|EQ|1</v>
      </c>
      <c r="N1229" s="47">
        <f>IFERROR(VLOOKUP(A1229,PARTIDAS!A:F,6,FALSE()),0)</f>
        <v>30</v>
      </c>
      <c r="O1229" s="247">
        <f t="shared" si="136"/>
        <v>1</v>
      </c>
      <c r="P1229" s="247" t="str">
        <f>+_xlfn.XLOOKUP(A1229,PPTO_GENERADOR!Q:Q,PPTO_GENERADOR!E:E,"-",0)</f>
        <v>-</v>
      </c>
      <c r="Q1229" s="247">
        <f t="shared" si="137"/>
        <v>0</v>
      </c>
      <c r="R1229" s="259" t="str">
        <f>+_xlfn.XLOOKUP(A1229,PPTO_GENERADOR!$Q:$Q,PPTO_GENERADOR!A:A,"-",0)</f>
        <v>-</v>
      </c>
    </row>
    <row r="1230" spans="1:18" ht="14.25" customHeight="1" x14ac:dyDescent="0.35">
      <c r="A1230" s="38" t="s">
        <v>2713</v>
      </c>
      <c r="B1230" s="38" t="s">
        <v>2773</v>
      </c>
      <c r="C1230" s="38"/>
      <c r="D1230" s="38" t="s">
        <v>1598</v>
      </c>
      <c r="E1230" s="44" t="str">
        <f>IFERROR(VLOOKUP(D1230,EQUIPOS!A:B,2,FALSE()),"?")</f>
        <v>EQUIPO PARA COLOCACION DE CERAMICA</v>
      </c>
      <c r="F1230" s="44"/>
      <c r="G1230" s="45">
        <v>1</v>
      </c>
      <c r="H1230" s="46">
        <v>0</v>
      </c>
      <c r="I1230" s="47">
        <f>IFERROR(VLOOKUP(D1230,EQUIPOS!A:F,6,FALSE()),0)</f>
        <v>2637.1418444899073</v>
      </c>
      <c r="J1230" s="42">
        <f>G1230*I1230</f>
        <v>2637.1418444899073</v>
      </c>
      <c r="K1230" s="15" t="str">
        <f t="shared" si="134"/>
        <v>PTO-1203|EQ</v>
      </c>
      <c r="L1230" s="15">
        <f>COUNTIFS($K$2:K1230,K1230)</f>
        <v>2</v>
      </c>
      <c r="M1230" s="15" t="str">
        <f t="shared" si="135"/>
        <v>PTO-1203|EQ|2</v>
      </c>
      <c r="N1230" s="47">
        <f>IFERROR(VLOOKUP(A1230,PARTIDAS!A:F,6,FALSE()),0)</f>
        <v>30</v>
      </c>
      <c r="O1230" s="247">
        <f t="shared" si="136"/>
        <v>1</v>
      </c>
      <c r="P1230" s="247" t="str">
        <f>+_xlfn.XLOOKUP(A1230,PPTO_GENERADOR!Q:Q,PPTO_GENERADOR!E:E,"-",0)</f>
        <v>-</v>
      </c>
      <c r="Q1230" s="247">
        <f t="shared" si="137"/>
        <v>0</v>
      </c>
      <c r="R1230" s="259" t="str">
        <f>+_xlfn.XLOOKUP(A1230,PPTO_GENERADOR!$Q:$Q,PPTO_GENERADOR!A:A,"-",0)</f>
        <v>-</v>
      </c>
    </row>
    <row r="1231" spans="1:18" ht="14.25" customHeight="1" x14ac:dyDescent="0.35">
      <c r="A1231" s="38" t="s">
        <v>2713</v>
      </c>
      <c r="B1231" s="38" t="s">
        <v>2774</v>
      </c>
      <c r="C1231" s="38" t="s">
        <v>2775</v>
      </c>
      <c r="D1231" s="38" t="s">
        <v>604</v>
      </c>
      <c r="E1231" s="44" t="str">
        <f>IFERROR(VLOOKUP(D1231,MATERIALES!A:B,2,FALSE()),"?")</f>
        <v>Cal Comun x 25kg</v>
      </c>
      <c r="F1231" s="44" t="str">
        <f>IFERROR(VLOOKUP(D1231,MATERIALES!A:C,3,FALSE()),"?")</f>
        <v>bol</v>
      </c>
      <c r="G1231" s="45">
        <v>0.08</v>
      </c>
      <c r="H1231" s="46">
        <v>0.2</v>
      </c>
      <c r="I1231" s="47">
        <f>IFERROR(VLOOKUP(D1231,MATERIALES!A:D,4,FALSE()),0)</f>
        <v>3837.96</v>
      </c>
      <c r="J1231" s="42">
        <f>G1231*I1231*(1+H1231)</f>
        <v>368.44416000000001</v>
      </c>
      <c r="K1231" s="15" t="str">
        <f t="shared" si="134"/>
        <v>PTO-1203|MAT</v>
      </c>
      <c r="L1231" s="15">
        <f>COUNTIFS($K$2:K1231,K1231)</f>
        <v>1</v>
      </c>
      <c r="M1231" s="15" t="str">
        <f t="shared" si="135"/>
        <v>PTO-1203|MAT|1</v>
      </c>
      <c r="N1231" s="47">
        <f>IFERROR(VLOOKUP(A1231,PARTIDAS!A:F,6,FALSE()),0)</f>
        <v>30</v>
      </c>
      <c r="O1231" s="247">
        <f t="shared" si="136"/>
        <v>0.08</v>
      </c>
      <c r="P1231" s="247" t="str">
        <f>+_xlfn.XLOOKUP(A1231,PPTO_GENERADOR!Q:Q,PPTO_GENERADOR!E:E,"-",0)</f>
        <v>-</v>
      </c>
      <c r="Q1231" s="247">
        <f t="shared" si="137"/>
        <v>0</v>
      </c>
      <c r="R1231" s="259" t="str">
        <f>+_xlfn.XLOOKUP(A1231,PPTO_GENERADOR!$Q:$Q,PPTO_GENERADOR!A:A,"-",0)</f>
        <v>-</v>
      </c>
    </row>
    <row r="1232" spans="1:18" ht="14.25" customHeight="1" x14ac:dyDescent="0.35">
      <c r="A1232" s="38" t="s">
        <v>2713</v>
      </c>
      <c r="B1232" s="38" t="s">
        <v>2774</v>
      </c>
      <c r="C1232" s="38" t="s">
        <v>2775</v>
      </c>
      <c r="D1232" s="38" t="s">
        <v>855</v>
      </c>
      <c r="E1232" s="44" t="str">
        <f>IFERROR(VLOOKUP(D1232,MATERIALES!A:B,2,FALSE()),"?")</f>
        <v>Trapo</v>
      </c>
      <c r="F1232" s="44" t="str">
        <f>IFERROR(VLOOKUP(D1232,MATERIALES!A:C,3,FALSE()),"?")</f>
        <v>u</v>
      </c>
      <c r="G1232" s="45">
        <v>0.01</v>
      </c>
      <c r="H1232" s="46">
        <v>0.03</v>
      </c>
      <c r="I1232" s="47">
        <f>IFERROR(VLOOKUP(D1232,MATERIALES!A:D,4,FALSE()),0)</f>
        <v>735.06</v>
      </c>
      <c r="J1232" s="42">
        <f>G1232*I1232*(1+H1232)</f>
        <v>7.5711180000000002</v>
      </c>
      <c r="K1232" s="15" t="str">
        <f t="shared" si="134"/>
        <v>PTO-1203|MAT</v>
      </c>
      <c r="L1232" s="15">
        <f>COUNTIFS($K$2:K1232,K1232)</f>
        <v>2</v>
      </c>
      <c r="M1232" s="15" t="str">
        <f t="shared" si="135"/>
        <v>PTO-1203|MAT|2</v>
      </c>
      <c r="N1232" s="47">
        <f>IFERROR(VLOOKUP(A1232,PARTIDAS!A:F,6,FALSE()),0)</f>
        <v>30</v>
      </c>
      <c r="O1232" s="247">
        <f t="shared" si="136"/>
        <v>0.01</v>
      </c>
      <c r="P1232" s="247" t="str">
        <f>+_xlfn.XLOOKUP(A1232,PPTO_GENERADOR!Q:Q,PPTO_GENERADOR!E:E,"-",0)</f>
        <v>-</v>
      </c>
      <c r="Q1232" s="247">
        <f t="shared" si="137"/>
        <v>0</v>
      </c>
      <c r="R1232" s="259" t="str">
        <f>+_xlfn.XLOOKUP(A1232,PPTO_GENERADOR!$Q:$Q,PPTO_GENERADOR!A:A,"-",0)</f>
        <v>-</v>
      </c>
    </row>
    <row r="1233" spans="1:18" ht="14.25" customHeight="1" x14ac:dyDescent="0.35">
      <c r="A1233" s="38" t="s">
        <v>2713</v>
      </c>
      <c r="B1233" s="38" t="s">
        <v>2774</v>
      </c>
      <c r="C1233" s="38" t="s">
        <v>2775</v>
      </c>
      <c r="D1233" s="38" t="s">
        <v>976</v>
      </c>
      <c r="E1233" s="44" t="str">
        <f>IFERROR(VLOOKUP(D1233,MATERIALES!A:B,2,FALSE()),"?")</f>
        <v>Disco Diamantado Aliafor Turbo Fino TRF</v>
      </c>
      <c r="F1233" s="44" t="str">
        <f>IFERROR(VLOOKUP(D1233,MATERIALES!A:C,3,FALSE()),"?")</f>
        <v>u</v>
      </c>
      <c r="G1233" s="45">
        <v>1E-3</v>
      </c>
      <c r="H1233" s="46">
        <v>0.05</v>
      </c>
      <c r="I1233" s="47">
        <f>IFERROR(VLOOKUP(D1233,MATERIALES!A:D,4,FALSE()),0)</f>
        <v>20237</v>
      </c>
      <c r="J1233" s="42">
        <f>G1233*I1233*(1+H1233)</f>
        <v>21.248850000000004</v>
      </c>
      <c r="K1233" s="15" t="str">
        <f t="shared" si="134"/>
        <v>PTO-1203|MAT</v>
      </c>
      <c r="L1233" s="15">
        <f>COUNTIFS($K$2:K1233,K1233)</f>
        <v>3</v>
      </c>
      <c r="M1233" s="15" t="str">
        <f t="shared" si="135"/>
        <v>PTO-1203|MAT|3</v>
      </c>
      <c r="N1233" s="47">
        <f>IFERROR(VLOOKUP(A1233,PARTIDAS!A:F,6,FALSE()),0)</f>
        <v>30</v>
      </c>
      <c r="O1233" s="247">
        <f t="shared" si="136"/>
        <v>1E-3</v>
      </c>
      <c r="P1233" s="247" t="str">
        <f>+_xlfn.XLOOKUP(A1233,PPTO_GENERADOR!Q:Q,PPTO_GENERADOR!E:E,"-",0)</f>
        <v>-</v>
      </c>
      <c r="Q1233" s="247">
        <f t="shared" si="137"/>
        <v>0</v>
      </c>
      <c r="R1233" s="259" t="str">
        <f>+_xlfn.XLOOKUP(A1233,PPTO_GENERADOR!$Q:$Q,PPTO_GENERADOR!A:A,"-",0)</f>
        <v>-</v>
      </c>
    </row>
    <row r="1234" spans="1:18" ht="14.25" customHeight="1" x14ac:dyDescent="0.35">
      <c r="A1234" s="38" t="s">
        <v>2713</v>
      </c>
      <c r="B1234" s="38" t="s">
        <v>2776</v>
      </c>
      <c r="C1234" s="38" t="s">
        <v>2777</v>
      </c>
      <c r="D1234" s="237" t="s">
        <v>1568</v>
      </c>
      <c r="E1234" s="44" t="str">
        <f>IFERROR(VLOOKUP(D1234,MANO_DE_OBRA!A:B,2,FALSE()),"?")</f>
        <v>ESPECIALIZADO</v>
      </c>
      <c r="F1234" s="44" t="s">
        <v>2778</v>
      </c>
      <c r="G1234" s="45">
        <v>1</v>
      </c>
      <c r="H1234" s="46">
        <v>0</v>
      </c>
      <c r="I1234" s="47">
        <f>IFERROR(VLOOKUP(D1234,MANO_DE_OBRA!A:C,3,FALSE()),0)</f>
        <v>85927.097156571996</v>
      </c>
      <c r="J1234" s="42">
        <f>G1234*I1234</f>
        <v>85927.097156571996</v>
      </c>
      <c r="K1234" s="15" t="str">
        <f t="shared" si="134"/>
        <v>PTO-1203|MO</v>
      </c>
      <c r="L1234" s="15">
        <f>COUNTIFS($K$2:K1234,K1234)</f>
        <v>1</v>
      </c>
      <c r="M1234" s="15" t="str">
        <f t="shared" si="135"/>
        <v>PTO-1203|MO|1</v>
      </c>
      <c r="N1234" s="47">
        <f>IFERROR(VLOOKUP(A1234,PARTIDAS!A:F,6,FALSE()),0)</f>
        <v>30</v>
      </c>
      <c r="O1234" s="247">
        <f t="shared" si="136"/>
        <v>3.3333333333333333E-2</v>
      </c>
      <c r="P1234" s="247" t="str">
        <f>+_xlfn.XLOOKUP(A1234,PPTO_GENERADOR!Q:Q,PPTO_GENERADOR!E:E,"-",0)</f>
        <v>-</v>
      </c>
      <c r="Q1234" s="247">
        <f t="shared" si="137"/>
        <v>0</v>
      </c>
      <c r="R1234" s="259" t="str">
        <f>+_xlfn.XLOOKUP(A1234,PPTO_GENERADOR!$Q:$Q,PPTO_GENERADOR!A:A,"-",0)</f>
        <v>-</v>
      </c>
    </row>
    <row r="1235" spans="1:18" ht="14.25" customHeight="1" x14ac:dyDescent="0.35">
      <c r="A1235" s="38" t="s">
        <v>2713</v>
      </c>
      <c r="B1235" s="38" t="s">
        <v>2776</v>
      </c>
      <c r="C1235" s="38" t="s">
        <v>2777</v>
      </c>
      <c r="D1235" s="237" t="s">
        <v>1571</v>
      </c>
      <c r="E1235" s="44" t="str">
        <f>IFERROR(VLOOKUP(D1235,MANO_DE_OBRA!A:B,2,FALSE()),"?")</f>
        <v>OFICIAL</v>
      </c>
      <c r="F1235" s="44" t="s">
        <v>2778</v>
      </c>
      <c r="G1235" s="45">
        <v>1</v>
      </c>
      <c r="H1235" s="46">
        <v>0</v>
      </c>
      <c r="I1235" s="47">
        <f>IFERROR(VLOOKUP(D1235,MANO_DE_OBRA!A:C,3,FALSE()),0)</f>
        <v>76955.079706571996</v>
      </c>
      <c r="J1235" s="42">
        <f>G1235*I1235</f>
        <v>76955.079706571996</v>
      </c>
      <c r="K1235" s="15" t="str">
        <f t="shared" si="134"/>
        <v>PTO-1203|MO</v>
      </c>
      <c r="L1235" s="15">
        <f>COUNTIFS($K$2:K1235,K1235)</f>
        <v>2</v>
      </c>
      <c r="M1235" s="15" t="str">
        <f t="shared" si="135"/>
        <v>PTO-1203|MO|2</v>
      </c>
      <c r="N1235" s="47">
        <f>IFERROR(VLOOKUP(A1235,PARTIDAS!A:F,6,FALSE()),0)</f>
        <v>30</v>
      </c>
      <c r="O1235" s="247">
        <f t="shared" si="136"/>
        <v>3.3333333333333333E-2</v>
      </c>
      <c r="P1235" s="247" t="str">
        <f>+_xlfn.XLOOKUP(A1235,PPTO_GENERADOR!Q:Q,PPTO_GENERADOR!E:E,"-",0)</f>
        <v>-</v>
      </c>
      <c r="Q1235" s="247">
        <f t="shared" si="137"/>
        <v>0</v>
      </c>
      <c r="R1235" s="259" t="str">
        <f>+_xlfn.XLOOKUP(A1235,PPTO_GENERADOR!$Q:$Q,PPTO_GENERADOR!A:A,"-",0)</f>
        <v>-</v>
      </c>
    </row>
    <row r="1236" spans="1:18" ht="14.25" customHeight="1" x14ac:dyDescent="0.35">
      <c r="A1236" s="38" t="s">
        <v>2715</v>
      </c>
      <c r="B1236" s="38" t="s">
        <v>2773</v>
      </c>
      <c r="C1236" s="38"/>
      <c r="D1236" s="38" t="s">
        <v>1619</v>
      </c>
      <c r="E1236" s="44" t="str">
        <f>IFERROR(VLOOKUP(D1236,EQUIPOS!A:B,2,FALSE()),"?")</f>
        <v>CORTADORA CERAMICA PROFESIONAL 1200MM (PORCELANATO HASTA 16MM)</v>
      </c>
      <c r="F1236" s="44"/>
      <c r="G1236" s="45">
        <v>1</v>
      </c>
      <c r="H1236" s="46">
        <v>0</v>
      </c>
      <c r="I1236" s="47">
        <f>IFERROR(VLOOKUP(D1236,EQUIPOS!A:F,6,FALSE()),0)</f>
        <v>298.42384358082836</v>
      </c>
      <c r="J1236" s="42">
        <f>G1236*I1236</f>
        <v>298.42384358082836</v>
      </c>
      <c r="K1236" s="15" t="str">
        <f t="shared" si="134"/>
        <v>PTO-1301|EQ</v>
      </c>
      <c r="L1236" s="15">
        <f>COUNTIFS($K$2:K1236,K1236)</f>
        <v>1</v>
      </c>
      <c r="M1236" s="15" t="str">
        <f t="shared" si="135"/>
        <v>PTO-1301|EQ|1</v>
      </c>
      <c r="N1236" s="47">
        <f>IFERROR(VLOOKUP(A1236,PARTIDAS!A:F,6,FALSE()),0)</f>
        <v>10</v>
      </c>
      <c r="O1236" s="247">
        <f t="shared" si="136"/>
        <v>1</v>
      </c>
      <c r="P1236" s="247" t="str">
        <f>+_xlfn.XLOOKUP(A1236,PPTO_GENERADOR!Q:Q,PPTO_GENERADOR!E:E,"-",0)</f>
        <v>-</v>
      </c>
      <c r="Q1236" s="247">
        <f t="shared" si="137"/>
        <v>0</v>
      </c>
      <c r="R1236" s="259" t="str">
        <f>+_xlfn.XLOOKUP(A1236,PPTO_GENERADOR!$Q:$Q,PPTO_GENERADOR!A:A,"-",0)</f>
        <v>-</v>
      </c>
    </row>
    <row r="1237" spans="1:18" ht="14.25" customHeight="1" x14ac:dyDescent="0.35">
      <c r="A1237" s="38" t="s">
        <v>2715</v>
      </c>
      <c r="B1237" s="38" t="s">
        <v>2773</v>
      </c>
      <c r="C1237" s="38"/>
      <c r="D1237" s="38" t="s">
        <v>1598</v>
      </c>
      <c r="E1237" s="44" t="str">
        <f>IFERROR(VLOOKUP(D1237,EQUIPOS!A:B,2,FALSE()),"?")</f>
        <v>EQUIPO PARA COLOCACION DE CERAMICA</v>
      </c>
      <c r="F1237" s="44"/>
      <c r="G1237" s="45">
        <v>1</v>
      </c>
      <c r="H1237" s="46">
        <v>0</v>
      </c>
      <c r="I1237" s="47">
        <f>IFERROR(VLOOKUP(D1237,EQUIPOS!A:F,6,FALSE()),0)</f>
        <v>2637.1418444899073</v>
      </c>
      <c r="J1237" s="42">
        <f>G1237*I1237</f>
        <v>2637.1418444899073</v>
      </c>
      <c r="K1237" s="15" t="str">
        <f t="shared" si="134"/>
        <v>PTO-1301|EQ</v>
      </c>
      <c r="L1237" s="15">
        <f>COUNTIFS($K$2:K1237,K1237)</f>
        <v>2</v>
      </c>
      <c r="M1237" s="15" t="str">
        <f t="shared" si="135"/>
        <v>PTO-1301|EQ|2</v>
      </c>
      <c r="N1237" s="47">
        <f>IFERROR(VLOOKUP(A1237,PARTIDAS!A:F,6,FALSE()),0)</f>
        <v>10</v>
      </c>
      <c r="O1237" s="247">
        <f t="shared" si="136"/>
        <v>1</v>
      </c>
      <c r="P1237" s="247" t="str">
        <f>+_xlfn.XLOOKUP(A1237,PPTO_GENERADOR!Q:Q,PPTO_GENERADOR!E:E,"-",0)</f>
        <v>-</v>
      </c>
      <c r="Q1237" s="247">
        <f t="shared" si="137"/>
        <v>0</v>
      </c>
      <c r="R1237" s="259" t="str">
        <f>+_xlfn.XLOOKUP(A1237,PPTO_GENERADOR!$Q:$Q,PPTO_GENERADOR!A:A,"-",0)</f>
        <v>-</v>
      </c>
    </row>
    <row r="1238" spans="1:18" ht="14.25" customHeight="1" x14ac:dyDescent="0.35">
      <c r="A1238" s="38" t="s">
        <v>2715</v>
      </c>
      <c r="B1238" s="38" t="s">
        <v>2774</v>
      </c>
      <c r="C1238" s="38" t="s">
        <v>2775</v>
      </c>
      <c r="D1238" s="38" t="s">
        <v>604</v>
      </c>
      <c r="E1238" s="44" t="str">
        <f>IFERROR(VLOOKUP(D1238,MATERIALES!A:B,2,FALSE()),"?")</f>
        <v>Cal Comun x 25kg</v>
      </c>
      <c r="F1238" s="44" t="str">
        <f>IFERROR(VLOOKUP(D1238,MATERIALES!A:C,3,FALSE()),"?")</f>
        <v>bol</v>
      </c>
      <c r="G1238" s="45">
        <v>0.4</v>
      </c>
      <c r="H1238" s="46">
        <v>0.2</v>
      </c>
      <c r="I1238" s="47">
        <f>IFERROR(VLOOKUP(D1238,MATERIALES!A:D,4,FALSE()),0)</f>
        <v>3837.96</v>
      </c>
      <c r="J1238" s="42">
        <f>G1238*I1238*(1+H1238)</f>
        <v>1842.2208000000001</v>
      </c>
      <c r="K1238" s="15" t="str">
        <f t="shared" si="134"/>
        <v>PTO-1301|MAT</v>
      </c>
      <c r="L1238" s="15">
        <f>COUNTIFS($K$2:K1238,K1238)</f>
        <v>1</v>
      </c>
      <c r="M1238" s="15" t="str">
        <f t="shared" si="135"/>
        <v>PTO-1301|MAT|1</v>
      </c>
      <c r="N1238" s="47">
        <f>IFERROR(VLOOKUP(A1238,PARTIDAS!A:F,6,FALSE()),0)</f>
        <v>10</v>
      </c>
      <c r="O1238" s="247">
        <f t="shared" si="136"/>
        <v>0.4</v>
      </c>
      <c r="P1238" s="247" t="str">
        <f>+_xlfn.XLOOKUP(A1238,PPTO_GENERADOR!Q:Q,PPTO_GENERADOR!E:E,"-",0)</f>
        <v>-</v>
      </c>
      <c r="Q1238" s="247">
        <f t="shared" si="137"/>
        <v>0</v>
      </c>
      <c r="R1238" s="259" t="str">
        <f>+_xlfn.XLOOKUP(A1238,PPTO_GENERADOR!$Q:$Q,PPTO_GENERADOR!A:A,"-",0)</f>
        <v>-</v>
      </c>
    </row>
    <row r="1239" spans="1:18" ht="14.25" customHeight="1" x14ac:dyDescent="0.35">
      <c r="A1239" s="38" t="s">
        <v>2715</v>
      </c>
      <c r="B1239" s="38" t="s">
        <v>2774</v>
      </c>
      <c r="C1239" s="38" t="s">
        <v>2775</v>
      </c>
      <c r="D1239" s="38" t="s">
        <v>855</v>
      </c>
      <c r="E1239" s="44" t="str">
        <f>IFERROR(VLOOKUP(D1239,MATERIALES!A:B,2,FALSE()),"?")</f>
        <v>Trapo</v>
      </c>
      <c r="F1239" s="44" t="str">
        <f>IFERROR(VLOOKUP(D1239,MATERIALES!A:C,3,FALSE()),"?")</f>
        <v>u</v>
      </c>
      <c r="G1239" s="45">
        <v>0.01</v>
      </c>
      <c r="H1239" s="46">
        <v>0.03</v>
      </c>
      <c r="I1239" s="47">
        <f>IFERROR(VLOOKUP(D1239,MATERIALES!A:D,4,FALSE()),0)</f>
        <v>735.06</v>
      </c>
      <c r="J1239" s="42">
        <f>G1239*I1239*(1+H1239)</f>
        <v>7.5711180000000002</v>
      </c>
      <c r="K1239" s="15" t="str">
        <f t="shared" si="134"/>
        <v>PTO-1301|MAT</v>
      </c>
      <c r="L1239" s="15">
        <f>COUNTIFS($K$2:K1239,K1239)</f>
        <v>2</v>
      </c>
      <c r="M1239" s="15" t="str">
        <f t="shared" si="135"/>
        <v>PTO-1301|MAT|2</v>
      </c>
      <c r="N1239" s="47">
        <f>IFERROR(VLOOKUP(A1239,PARTIDAS!A:F,6,FALSE()),0)</f>
        <v>10</v>
      </c>
      <c r="O1239" s="247">
        <f t="shared" si="136"/>
        <v>0.01</v>
      </c>
      <c r="P1239" s="247" t="str">
        <f>+_xlfn.XLOOKUP(A1239,PPTO_GENERADOR!Q:Q,PPTO_GENERADOR!E:E,"-",0)</f>
        <v>-</v>
      </c>
      <c r="Q1239" s="247">
        <f t="shared" si="137"/>
        <v>0</v>
      </c>
      <c r="R1239" s="259" t="str">
        <f>+_xlfn.XLOOKUP(A1239,PPTO_GENERADOR!$Q:$Q,PPTO_GENERADOR!A:A,"-",0)</f>
        <v>-</v>
      </c>
    </row>
    <row r="1240" spans="1:18" ht="14.25" customHeight="1" x14ac:dyDescent="0.35">
      <c r="A1240" s="38" t="s">
        <v>2715</v>
      </c>
      <c r="B1240" s="38" t="s">
        <v>2774</v>
      </c>
      <c r="C1240" s="38" t="s">
        <v>2775</v>
      </c>
      <c r="D1240" s="38" t="s">
        <v>976</v>
      </c>
      <c r="E1240" s="44" t="str">
        <f>IFERROR(VLOOKUP(D1240,MATERIALES!A:B,2,FALSE()),"?")</f>
        <v>Disco Diamantado Aliafor Turbo Fino TRF</v>
      </c>
      <c r="F1240" s="44" t="str">
        <f>IFERROR(VLOOKUP(D1240,MATERIALES!A:C,3,FALSE()),"?")</f>
        <v>u</v>
      </c>
      <c r="G1240" s="45">
        <v>4.0000000000000001E-3</v>
      </c>
      <c r="H1240" s="46">
        <v>0.05</v>
      </c>
      <c r="I1240" s="47">
        <f>IFERROR(VLOOKUP(D1240,MATERIALES!A:D,4,FALSE()),0)</f>
        <v>20237</v>
      </c>
      <c r="J1240" s="42">
        <f>G1240*I1240*(1+H1240)</f>
        <v>84.995400000000018</v>
      </c>
      <c r="K1240" s="15" t="str">
        <f t="shared" si="134"/>
        <v>PTO-1301|MAT</v>
      </c>
      <c r="L1240" s="15">
        <f>COUNTIFS($K$2:K1240,K1240)</f>
        <v>3</v>
      </c>
      <c r="M1240" s="15" t="str">
        <f t="shared" si="135"/>
        <v>PTO-1301|MAT|3</v>
      </c>
      <c r="N1240" s="47">
        <f>IFERROR(VLOOKUP(A1240,PARTIDAS!A:F,6,FALSE()),0)</f>
        <v>10</v>
      </c>
      <c r="O1240" s="247">
        <f t="shared" si="136"/>
        <v>4.0000000000000001E-3</v>
      </c>
      <c r="P1240" s="247" t="str">
        <f>+_xlfn.XLOOKUP(A1240,PPTO_GENERADOR!Q:Q,PPTO_GENERADOR!E:E,"-",0)</f>
        <v>-</v>
      </c>
      <c r="Q1240" s="247">
        <f t="shared" si="137"/>
        <v>0</v>
      </c>
      <c r="R1240" s="259" t="str">
        <f>+_xlfn.XLOOKUP(A1240,PPTO_GENERADOR!$Q:$Q,PPTO_GENERADOR!A:A,"-",0)</f>
        <v>-</v>
      </c>
    </row>
    <row r="1241" spans="1:18" ht="14.25" customHeight="1" x14ac:dyDescent="0.35">
      <c r="A1241" s="38" t="s">
        <v>2715</v>
      </c>
      <c r="B1241" s="38" t="s">
        <v>2774</v>
      </c>
      <c r="C1241" s="38" t="s">
        <v>2775</v>
      </c>
      <c r="D1241" s="38" t="s">
        <v>979</v>
      </c>
      <c r="E1241" s="44" t="str">
        <f>IFERROR(VLOOKUP(D1241,MATERIALES!A:B,2,FALSE()),"?")</f>
        <v>Arco y cuña niveladores porcelanatos x 150 un</v>
      </c>
      <c r="F1241" s="44" t="str">
        <f>IFERROR(VLOOKUP(D1241,MATERIALES!A:C,3,FALSE()),"?")</f>
        <v>b</v>
      </c>
      <c r="G1241" s="45">
        <v>0.04</v>
      </c>
      <c r="H1241" s="46">
        <v>0.05</v>
      </c>
      <c r="I1241" s="47">
        <f>IFERROR(VLOOKUP(D1241,MATERIALES!A:D,4,FALSE()),0)</f>
        <v>44669.4214876033</v>
      </c>
      <c r="J1241" s="42">
        <f>G1241*I1241*(1+H1241)</f>
        <v>1876.1157024793388</v>
      </c>
      <c r="K1241" s="15" t="str">
        <f t="shared" si="134"/>
        <v>PTO-1301|MAT</v>
      </c>
      <c r="L1241" s="15">
        <f>COUNTIFS($K$2:K1241,K1241)</f>
        <v>4</v>
      </c>
      <c r="M1241" s="15" t="str">
        <f t="shared" si="135"/>
        <v>PTO-1301|MAT|4</v>
      </c>
      <c r="N1241" s="47">
        <f>IFERROR(VLOOKUP(A1241,PARTIDAS!A:F,6,FALSE()),0)</f>
        <v>10</v>
      </c>
      <c r="O1241" s="247">
        <f t="shared" si="136"/>
        <v>0.04</v>
      </c>
      <c r="P1241" s="247" t="str">
        <f>+_xlfn.XLOOKUP(A1241,PPTO_GENERADOR!Q:Q,PPTO_GENERADOR!E:E,"-",0)</f>
        <v>-</v>
      </c>
      <c r="Q1241" s="247">
        <f t="shared" si="137"/>
        <v>0</v>
      </c>
      <c r="R1241" s="259" t="str">
        <f>+_xlfn.XLOOKUP(A1241,PPTO_GENERADOR!$Q:$Q,PPTO_GENERADOR!A:A,"-",0)</f>
        <v>-</v>
      </c>
    </row>
    <row r="1242" spans="1:18" ht="14.25" customHeight="1" x14ac:dyDescent="0.35">
      <c r="A1242" s="38" t="s">
        <v>2715</v>
      </c>
      <c r="B1242" s="38" t="s">
        <v>2776</v>
      </c>
      <c r="C1242" s="38" t="s">
        <v>2777</v>
      </c>
      <c r="D1242" s="237" t="s">
        <v>1568</v>
      </c>
      <c r="E1242" s="44" t="str">
        <f>IFERROR(VLOOKUP(D1242,MANO_DE_OBRA!A:B,2,FALSE()),"?")</f>
        <v>ESPECIALIZADO</v>
      </c>
      <c r="F1242" s="44" t="s">
        <v>2778</v>
      </c>
      <c r="G1242" s="45">
        <v>1</v>
      </c>
      <c r="H1242" s="46">
        <v>0</v>
      </c>
      <c r="I1242" s="47">
        <f>IFERROR(VLOOKUP(D1242,MANO_DE_OBRA!A:C,3,FALSE()),0)</f>
        <v>85927.097156571996</v>
      </c>
      <c r="J1242" s="42">
        <f>G1242*I1242</f>
        <v>85927.097156571996</v>
      </c>
      <c r="K1242" s="15" t="str">
        <f t="shared" si="134"/>
        <v>PTO-1301|MO</v>
      </c>
      <c r="L1242" s="15">
        <f>COUNTIFS($K$2:K1242,K1242)</f>
        <v>1</v>
      </c>
      <c r="M1242" s="15" t="str">
        <f t="shared" si="135"/>
        <v>PTO-1301|MO|1</v>
      </c>
      <c r="N1242" s="47">
        <f>IFERROR(VLOOKUP(A1242,PARTIDAS!A:F,6,FALSE()),0)</f>
        <v>10</v>
      </c>
      <c r="O1242" s="247">
        <f t="shared" si="136"/>
        <v>0.1</v>
      </c>
      <c r="P1242" s="247" t="str">
        <f>+_xlfn.XLOOKUP(A1242,PPTO_GENERADOR!Q:Q,PPTO_GENERADOR!E:E,"-",0)</f>
        <v>-</v>
      </c>
      <c r="Q1242" s="247">
        <f t="shared" si="137"/>
        <v>0</v>
      </c>
      <c r="R1242" s="259" t="str">
        <f>+_xlfn.XLOOKUP(A1242,PPTO_GENERADOR!$Q:$Q,PPTO_GENERADOR!A:A,"-",0)</f>
        <v>-</v>
      </c>
    </row>
    <row r="1243" spans="1:18" ht="14.25" customHeight="1" x14ac:dyDescent="0.35">
      <c r="A1243" s="38" t="s">
        <v>2715</v>
      </c>
      <c r="B1243" s="38" t="s">
        <v>2776</v>
      </c>
      <c r="C1243" s="38" t="s">
        <v>2777</v>
      </c>
      <c r="D1243" s="237" t="s">
        <v>1571</v>
      </c>
      <c r="E1243" s="44" t="str">
        <f>IFERROR(VLOOKUP(D1243,MANO_DE_OBRA!A:B,2,FALSE()),"?")</f>
        <v>OFICIAL</v>
      </c>
      <c r="F1243" s="44" t="s">
        <v>2778</v>
      </c>
      <c r="G1243" s="45">
        <v>1</v>
      </c>
      <c r="H1243" s="46">
        <v>0</v>
      </c>
      <c r="I1243" s="47">
        <f>IFERROR(VLOOKUP(D1243,MANO_DE_OBRA!A:C,3,FALSE()),0)</f>
        <v>76955.079706571996</v>
      </c>
      <c r="J1243" s="42">
        <f>G1243*I1243</f>
        <v>76955.079706571996</v>
      </c>
      <c r="K1243" s="15" t="str">
        <f t="shared" si="134"/>
        <v>PTO-1301|MO</v>
      </c>
      <c r="L1243" s="15">
        <f>COUNTIFS($K$2:K1243,K1243)</f>
        <v>2</v>
      </c>
      <c r="M1243" s="15" t="str">
        <f t="shared" si="135"/>
        <v>PTO-1301|MO|2</v>
      </c>
      <c r="N1243" s="47">
        <f>IFERROR(VLOOKUP(A1243,PARTIDAS!A:F,6,FALSE()),0)</f>
        <v>10</v>
      </c>
      <c r="O1243" s="247">
        <f t="shared" si="136"/>
        <v>0.1</v>
      </c>
      <c r="P1243" s="247" t="str">
        <f>+_xlfn.XLOOKUP(A1243,PPTO_GENERADOR!Q:Q,PPTO_GENERADOR!E:E,"-",0)</f>
        <v>-</v>
      </c>
      <c r="Q1243" s="247">
        <f t="shared" si="137"/>
        <v>0</v>
      </c>
      <c r="R1243" s="259" t="str">
        <f>+_xlfn.XLOOKUP(A1243,PPTO_GENERADOR!$Q:$Q,PPTO_GENERADOR!A:A,"-",0)</f>
        <v>-</v>
      </c>
    </row>
    <row r="1244" spans="1:18" ht="14.25" customHeight="1" x14ac:dyDescent="0.35">
      <c r="A1244" s="38" t="s">
        <v>2716</v>
      </c>
      <c r="B1244" s="38" t="s">
        <v>2773</v>
      </c>
      <c r="C1244" s="38"/>
      <c r="D1244" s="38" t="s">
        <v>1619</v>
      </c>
      <c r="E1244" s="44" t="str">
        <f>IFERROR(VLOOKUP(D1244,EQUIPOS!A:B,2,FALSE()),"?")</f>
        <v>CORTADORA CERAMICA PROFESIONAL 1200MM (PORCELANATO HASTA 16MM)</v>
      </c>
      <c r="F1244" s="44"/>
      <c r="G1244" s="45">
        <v>1</v>
      </c>
      <c r="H1244" s="46">
        <v>0</v>
      </c>
      <c r="I1244" s="47">
        <f>IFERROR(VLOOKUP(D1244,EQUIPOS!A:F,6,FALSE()),0)</f>
        <v>298.42384358082836</v>
      </c>
      <c r="J1244" s="42">
        <f>G1244*I1244</f>
        <v>298.42384358082836</v>
      </c>
      <c r="K1244" s="15" t="str">
        <f t="shared" si="134"/>
        <v>PTO-1302|EQ</v>
      </c>
      <c r="L1244" s="15">
        <f>COUNTIFS($K$2:K1244,K1244)</f>
        <v>1</v>
      </c>
      <c r="M1244" s="15" t="str">
        <f t="shared" si="135"/>
        <v>PTO-1302|EQ|1</v>
      </c>
      <c r="N1244" s="47">
        <f>IFERROR(VLOOKUP(A1244,PARTIDAS!A:F,6,FALSE()),0)</f>
        <v>10</v>
      </c>
      <c r="O1244" s="247">
        <f t="shared" si="136"/>
        <v>1</v>
      </c>
      <c r="P1244" s="247" t="str">
        <f>+_xlfn.XLOOKUP(A1244,PPTO_GENERADOR!Q:Q,PPTO_GENERADOR!E:E,"-",0)</f>
        <v>-</v>
      </c>
      <c r="Q1244" s="247">
        <f t="shared" si="137"/>
        <v>0</v>
      </c>
      <c r="R1244" s="259" t="str">
        <f>+_xlfn.XLOOKUP(A1244,PPTO_GENERADOR!$Q:$Q,PPTO_GENERADOR!A:A,"-",0)</f>
        <v>-</v>
      </c>
    </row>
    <row r="1245" spans="1:18" ht="14.25" customHeight="1" x14ac:dyDescent="0.35">
      <c r="A1245" s="38" t="s">
        <v>2716</v>
      </c>
      <c r="B1245" s="38" t="s">
        <v>2773</v>
      </c>
      <c r="C1245" s="38"/>
      <c r="D1245" s="38" t="s">
        <v>1598</v>
      </c>
      <c r="E1245" s="44" t="str">
        <f>IFERROR(VLOOKUP(D1245,EQUIPOS!A:B,2,FALSE()),"?")</f>
        <v>EQUIPO PARA COLOCACION DE CERAMICA</v>
      </c>
      <c r="F1245" s="44"/>
      <c r="G1245" s="45">
        <v>1</v>
      </c>
      <c r="H1245" s="46">
        <v>0</v>
      </c>
      <c r="I1245" s="47">
        <f>IFERROR(VLOOKUP(D1245,EQUIPOS!A:F,6,FALSE()),0)</f>
        <v>2637.1418444899073</v>
      </c>
      <c r="J1245" s="42">
        <f>G1245*I1245</f>
        <v>2637.1418444899073</v>
      </c>
      <c r="K1245" s="15" t="str">
        <f t="shared" si="134"/>
        <v>PTO-1302|EQ</v>
      </c>
      <c r="L1245" s="15">
        <f>COUNTIFS($K$2:K1245,K1245)</f>
        <v>2</v>
      </c>
      <c r="M1245" s="15" t="str">
        <f t="shared" si="135"/>
        <v>PTO-1302|EQ|2</v>
      </c>
      <c r="N1245" s="47">
        <f>IFERROR(VLOOKUP(A1245,PARTIDAS!A:F,6,FALSE()),0)</f>
        <v>10</v>
      </c>
      <c r="O1245" s="247">
        <f t="shared" si="136"/>
        <v>1</v>
      </c>
      <c r="P1245" s="247" t="str">
        <f>+_xlfn.XLOOKUP(A1245,PPTO_GENERADOR!Q:Q,PPTO_GENERADOR!E:E,"-",0)</f>
        <v>-</v>
      </c>
      <c r="Q1245" s="247">
        <f t="shared" si="137"/>
        <v>0</v>
      </c>
      <c r="R1245" s="259" t="str">
        <f>+_xlfn.XLOOKUP(A1245,PPTO_GENERADOR!$Q:$Q,PPTO_GENERADOR!A:A,"-",0)</f>
        <v>-</v>
      </c>
    </row>
    <row r="1246" spans="1:18" ht="14.25" customHeight="1" x14ac:dyDescent="0.35">
      <c r="A1246" s="38" t="s">
        <v>2716</v>
      </c>
      <c r="B1246" s="38" t="s">
        <v>2774</v>
      </c>
      <c r="C1246" s="38" t="s">
        <v>2775</v>
      </c>
      <c r="D1246" s="38" t="s">
        <v>604</v>
      </c>
      <c r="E1246" s="44" t="str">
        <f>IFERROR(VLOOKUP(D1246,MATERIALES!A:B,2,FALSE()),"?")</f>
        <v>Cal Comun x 25kg</v>
      </c>
      <c r="F1246" s="44" t="str">
        <f>IFERROR(VLOOKUP(D1246,MATERIALES!A:C,3,FALSE()),"?")</f>
        <v>bol</v>
      </c>
      <c r="G1246" s="45">
        <v>0.4</v>
      </c>
      <c r="H1246" s="46">
        <v>0.2</v>
      </c>
      <c r="I1246" s="47">
        <f>IFERROR(VLOOKUP(D1246,MATERIALES!A:D,4,FALSE()),0)</f>
        <v>3837.96</v>
      </c>
      <c r="J1246" s="42">
        <f>G1246*I1246*(1+H1246)</f>
        <v>1842.2208000000001</v>
      </c>
      <c r="K1246" s="15" t="str">
        <f t="shared" si="134"/>
        <v>PTO-1302|MAT</v>
      </c>
      <c r="L1246" s="15">
        <f>COUNTIFS($K$2:K1246,K1246)</f>
        <v>1</v>
      </c>
      <c r="M1246" s="15" t="str">
        <f t="shared" si="135"/>
        <v>PTO-1302|MAT|1</v>
      </c>
      <c r="N1246" s="47">
        <f>IFERROR(VLOOKUP(A1246,PARTIDAS!A:F,6,FALSE()),0)</f>
        <v>10</v>
      </c>
      <c r="O1246" s="247">
        <f t="shared" si="136"/>
        <v>0.4</v>
      </c>
      <c r="P1246" s="247" t="str">
        <f>+_xlfn.XLOOKUP(A1246,PPTO_GENERADOR!Q:Q,PPTO_GENERADOR!E:E,"-",0)</f>
        <v>-</v>
      </c>
      <c r="Q1246" s="247">
        <f t="shared" si="137"/>
        <v>0</v>
      </c>
      <c r="R1246" s="259" t="str">
        <f>+_xlfn.XLOOKUP(A1246,PPTO_GENERADOR!$Q:$Q,PPTO_GENERADOR!A:A,"-",0)</f>
        <v>-</v>
      </c>
    </row>
    <row r="1247" spans="1:18" ht="14.25" customHeight="1" x14ac:dyDescent="0.35">
      <c r="A1247" s="38" t="s">
        <v>2716</v>
      </c>
      <c r="B1247" s="38" t="s">
        <v>2774</v>
      </c>
      <c r="C1247" s="38" t="s">
        <v>2775</v>
      </c>
      <c r="D1247" s="38" t="s">
        <v>855</v>
      </c>
      <c r="E1247" s="44" t="str">
        <f>IFERROR(VLOOKUP(D1247,MATERIALES!A:B,2,FALSE()),"?")</f>
        <v>Trapo</v>
      </c>
      <c r="F1247" s="44" t="str">
        <f>IFERROR(VLOOKUP(D1247,MATERIALES!A:C,3,FALSE()),"?")</f>
        <v>u</v>
      </c>
      <c r="G1247" s="45">
        <v>0.01</v>
      </c>
      <c r="H1247" s="46">
        <v>0.03</v>
      </c>
      <c r="I1247" s="47">
        <f>IFERROR(VLOOKUP(D1247,MATERIALES!A:D,4,FALSE()),0)</f>
        <v>735.06</v>
      </c>
      <c r="J1247" s="42">
        <f>G1247*I1247*(1+H1247)</f>
        <v>7.5711180000000002</v>
      </c>
      <c r="K1247" s="15" t="str">
        <f t="shared" si="134"/>
        <v>PTO-1302|MAT</v>
      </c>
      <c r="L1247" s="15">
        <f>COUNTIFS($K$2:K1247,K1247)</f>
        <v>2</v>
      </c>
      <c r="M1247" s="15" t="str">
        <f t="shared" si="135"/>
        <v>PTO-1302|MAT|2</v>
      </c>
      <c r="N1247" s="47">
        <f>IFERROR(VLOOKUP(A1247,PARTIDAS!A:F,6,FALSE()),0)</f>
        <v>10</v>
      </c>
      <c r="O1247" s="247">
        <f t="shared" si="136"/>
        <v>0.01</v>
      </c>
      <c r="P1247" s="247" t="str">
        <f>+_xlfn.XLOOKUP(A1247,PPTO_GENERADOR!Q:Q,PPTO_GENERADOR!E:E,"-",0)</f>
        <v>-</v>
      </c>
      <c r="Q1247" s="247">
        <f t="shared" si="137"/>
        <v>0</v>
      </c>
      <c r="R1247" s="259" t="str">
        <f>+_xlfn.XLOOKUP(A1247,PPTO_GENERADOR!$Q:$Q,PPTO_GENERADOR!A:A,"-",0)</f>
        <v>-</v>
      </c>
    </row>
    <row r="1248" spans="1:18" ht="14.25" customHeight="1" x14ac:dyDescent="0.35">
      <c r="A1248" s="38" t="s">
        <v>2716</v>
      </c>
      <c r="B1248" s="38" t="s">
        <v>2774</v>
      </c>
      <c r="C1248" s="38" t="s">
        <v>2775</v>
      </c>
      <c r="D1248" s="38" t="s">
        <v>976</v>
      </c>
      <c r="E1248" s="44" t="str">
        <f>IFERROR(VLOOKUP(D1248,MATERIALES!A:B,2,FALSE()),"?")</f>
        <v>Disco Diamantado Aliafor Turbo Fino TRF</v>
      </c>
      <c r="F1248" s="44" t="str">
        <f>IFERROR(VLOOKUP(D1248,MATERIALES!A:C,3,FALSE()),"?")</f>
        <v>u</v>
      </c>
      <c r="G1248" s="45">
        <v>4.0000000000000001E-3</v>
      </c>
      <c r="H1248" s="46">
        <v>0.05</v>
      </c>
      <c r="I1248" s="47">
        <f>IFERROR(VLOOKUP(D1248,MATERIALES!A:D,4,FALSE()),0)</f>
        <v>20237</v>
      </c>
      <c r="J1248" s="42">
        <f>G1248*I1248*(1+H1248)</f>
        <v>84.995400000000018</v>
      </c>
      <c r="K1248" s="15" t="str">
        <f t="shared" si="134"/>
        <v>PTO-1302|MAT</v>
      </c>
      <c r="L1248" s="15">
        <f>COUNTIFS($K$2:K1248,K1248)</f>
        <v>3</v>
      </c>
      <c r="M1248" s="15" t="str">
        <f t="shared" si="135"/>
        <v>PTO-1302|MAT|3</v>
      </c>
      <c r="N1248" s="47">
        <f>IFERROR(VLOOKUP(A1248,PARTIDAS!A:F,6,FALSE()),0)</f>
        <v>10</v>
      </c>
      <c r="O1248" s="247">
        <f t="shared" si="136"/>
        <v>4.0000000000000001E-3</v>
      </c>
      <c r="P1248" s="247" t="str">
        <f>+_xlfn.XLOOKUP(A1248,PPTO_GENERADOR!Q:Q,PPTO_GENERADOR!E:E,"-",0)</f>
        <v>-</v>
      </c>
      <c r="Q1248" s="247">
        <f t="shared" si="137"/>
        <v>0</v>
      </c>
      <c r="R1248" s="259" t="str">
        <f>+_xlfn.XLOOKUP(A1248,PPTO_GENERADOR!$Q:$Q,PPTO_GENERADOR!A:A,"-",0)</f>
        <v>-</v>
      </c>
    </row>
    <row r="1249" spans="1:18" ht="14.25" customHeight="1" x14ac:dyDescent="0.35">
      <c r="A1249" s="38" t="s">
        <v>2716</v>
      </c>
      <c r="B1249" s="38" t="s">
        <v>2774</v>
      </c>
      <c r="C1249" s="38" t="s">
        <v>2775</v>
      </c>
      <c r="D1249" s="38" t="s">
        <v>979</v>
      </c>
      <c r="E1249" s="44" t="str">
        <f>IFERROR(VLOOKUP(D1249,MATERIALES!A:B,2,FALSE()),"?")</f>
        <v>Arco y cuña niveladores porcelanatos x 150 un</v>
      </c>
      <c r="F1249" s="44" t="str">
        <f>IFERROR(VLOOKUP(D1249,MATERIALES!A:C,3,FALSE()),"?")</f>
        <v>b</v>
      </c>
      <c r="G1249" s="45">
        <v>0.04</v>
      </c>
      <c r="H1249" s="46">
        <v>0.05</v>
      </c>
      <c r="I1249" s="47">
        <f>IFERROR(VLOOKUP(D1249,MATERIALES!A:D,4,FALSE()),0)</f>
        <v>44669.4214876033</v>
      </c>
      <c r="J1249" s="42">
        <f>G1249*I1249*(1+H1249)</f>
        <v>1876.1157024793388</v>
      </c>
      <c r="K1249" s="15" t="str">
        <f t="shared" si="134"/>
        <v>PTO-1302|MAT</v>
      </c>
      <c r="L1249" s="15">
        <f>COUNTIFS($K$2:K1249,K1249)</f>
        <v>4</v>
      </c>
      <c r="M1249" s="15" t="str">
        <f t="shared" si="135"/>
        <v>PTO-1302|MAT|4</v>
      </c>
      <c r="N1249" s="47">
        <f>IFERROR(VLOOKUP(A1249,PARTIDAS!A:F,6,FALSE()),0)</f>
        <v>10</v>
      </c>
      <c r="O1249" s="247">
        <f t="shared" si="136"/>
        <v>0.04</v>
      </c>
      <c r="P1249" s="247" t="str">
        <f>+_xlfn.XLOOKUP(A1249,PPTO_GENERADOR!Q:Q,PPTO_GENERADOR!E:E,"-",0)</f>
        <v>-</v>
      </c>
      <c r="Q1249" s="247">
        <f t="shared" si="137"/>
        <v>0</v>
      </c>
      <c r="R1249" s="259" t="str">
        <f>+_xlfn.XLOOKUP(A1249,PPTO_GENERADOR!$Q:$Q,PPTO_GENERADOR!A:A,"-",0)</f>
        <v>-</v>
      </c>
    </row>
    <row r="1250" spans="1:18" ht="14.25" customHeight="1" x14ac:dyDescent="0.35">
      <c r="A1250" s="38" t="s">
        <v>2716</v>
      </c>
      <c r="B1250" s="38" t="s">
        <v>2776</v>
      </c>
      <c r="C1250" s="38" t="s">
        <v>2777</v>
      </c>
      <c r="D1250" s="237" t="s">
        <v>1568</v>
      </c>
      <c r="E1250" s="44" t="str">
        <f>IFERROR(VLOOKUP(D1250,MANO_DE_OBRA!A:B,2,FALSE()),"?")</f>
        <v>ESPECIALIZADO</v>
      </c>
      <c r="F1250" s="44" t="s">
        <v>2778</v>
      </c>
      <c r="G1250" s="45">
        <v>1</v>
      </c>
      <c r="H1250" s="46">
        <v>0</v>
      </c>
      <c r="I1250" s="47">
        <f>IFERROR(VLOOKUP(D1250,MANO_DE_OBRA!A:C,3,FALSE()),0)</f>
        <v>85927.097156571996</v>
      </c>
      <c r="J1250" s="42">
        <f>G1250*I1250</f>
        <v>85927.097156571996</v>
      </c>
      <c r="K1250" s="15" t="str">
        <f t="shared" si="134"/>
        <v>PTO-1302|MO</v>
      </c>
      <c r="L1250" s="15">
        <f>COUNTIFS($K$2:K1250,K1250)</f>
        <v>1</v>
      </c>
      <c r="M1250" s="15" t="str">
        <f t="shared" si="135"/>
        <v>PTO-1302|MO|1</v>
      </c>
      <c r="N1250" s="47">
        <f>IFERROR(VLOOKUP(A1250,PARTIDAS!A:F,6,FALSE()),0)</f>
        <v>10</v>
      </c>
      <c r="O1250" s="247">
        <f t="shared" si="136"/>
        <v>0.1</v>
      </c>
      <c r="P1250" s="247" t="str">
        <f>+_xlfn.XLOOKUP(A1250,PPTO_GENERADOR!Q:Q,PPTO_GENERADOR!E:E,"-",0)</f>
        <v>-</v>
      </c>
      <c r="Q1250" s="247">
        <f t="shared" si="137"/>
        <v>0</v>
      </c>
      <c r="R1250" s="259" t="str">
        <f>+_xlfn.XLOOKUP(A1250,PPTO_GENERADOR!$Q:$Q,PPTO_GENERADOR!A:A,"-",0)</f>
        <v>-</v>
      </c>
    </row>
    <row r="1251" spans="1:18" ht="14.25" customHeight="1" x14ac:dyDescent="0.35">
      <c r="A1251" s="38" t="s">
        <v>2716</v>
      </c>
      <c r="B1251" s="38" t="s">
        <v>2776</v>
      </c>
      <c r="C1251" s="38" t="s">
        <v>2777</v>
      </c>
      <c r="D1251" s="237" t="s">
        <v>1571</v>
      </c>
      <c r="E1251" s="44" t="str">
        <f>IFERROR(VLOOKUP(D1251,MANO_DE_OBRA!A:B,2,FALSE()),"?")</f>
        <v>OFICIAL</v>
      </c>
      <c r="F1251" s="44" t="s">
        <v>2778</v>
      </c>
      <c r="G1251" s="45">
        <v>1</v>
      </c>
      <c r="H1251" s="46">
        <v>0</v>
      </c>
      <c r="I1251" s="47">
        <f>IFERROR(VLOOKUP(D1251,MANO_DE_OBRA!A:C,3,FALSE()),0)</f>
        <v>76955.079706571996</v>
      </c>
      <c r="J1251" s="42">
        <f>G1251*I1251</f>
        <v>76955.079706571996</v>
      </c>
      <c r="K1251" s="15" t="str">
        <f t="shared" si="134"/>
        <v>PTO-1302|MO</v>
      </c>
      <c r="L1251" s="15">
        <f>COUNTIFS($K$2:K1251,K1251)</f>
        <v>2</v>
      </c>
      <c r="M1251" s="15" t="str">
        <f t="shared" si="135"/>
        <v>PTO-1302|MO|2</v>
      </c>
      <c r="N1251" s="47">
        <f>IFERROR(VLOOKUP(A1251,PARTIDAS!A:F,6,FALSE()),0)</f>
        <v>10</v>
      </c>
      <c r="O1251" s="247">
        <f t="shared" si="136"/>
        <v>0.1</v>
      </c>
      <c r="P1251" s="247" t="str">
        <f>+_xlfn.XLOOKUP(A1251,PPTO_GENERADOR!Q:Q,PPTO_GENERADOR!E:E,"-",0)</f>
        <v>-</v>
      </c>
      <c r="Q1251" s="247">
        <f t="shared" si="137"/>
        <v>0</v>
      </c>
      <c r="R1251" s="259" t="str">
        <f>+_xlfn.XLOOKUP(A1251,PPTO_GENERADOR!$Q:$Q,PPTO_GENERADOR!A:A,"-",0)</f>
        <v>-</v>
      </c>
    </row>
    <row r="1252" spans="1:18" ht="14.25" customHeight="1" x14ac:dyDescent="0.35">
      <c r="A1252" s="38" t="s">
        <v>213</v>
      </c>
      <c r="B1252" s="38" t="s">
        <v>2773</v>
      </c>
      <c r="C1252" s="38"/>
      <c r="D1252" s="38" t="s">
        <v>1869</v>
      </c>
      <c r="E1252" s="44" t="str">
        <f>IFERROR(VLOOKUP(D1252,EQUIPOS!A:B,2,FALSE()),"?")</f>
        <v>Herramientas menores y consumibles - Colocación de listones refractarios en parrillas -</v>
      </c>
      <c r="F1252" s="44"/>
      <c r="G1252" s="45">
        <v>1</v>
      </c>
      <c r="H1252" s="46">
        <v>0</v>
      </c>
      <c r="I1252" s="47">
        <f>IFERROR(VLOOKUP(D1252,EQUIPOS!A:F,6,FALSE()),0)</f>
        <v>1030.8586054268601</v>
      </c>
      <c r="J1252" s="42">
        <f>G1252*I1252</f>
        <v>1030.8586054268601</v>
      </c>
      <c r="K1252" s="15" t="str">
        <f t="shared" si="134"/>
        <v>PTO-1303|EQ</v>
      </c>
      <c r="L1252" s="15">
        <f>COUNTIFS($K$2:K1252,K1252)</f>
        <v>1</v>
      </c>
      <c r="M1252" s="15" t="str">
        <f t="shared" si="135"/>
        <v>PTO-1303|EQ|1</v>
      </c>
      <c r="N1252" s="47">
        <f>IFERROR(VLOOKUP(A1252,PARTIDAS!A:F,6,FALSE()),0)</f>
        <v>1</v>
      </c>
      <c r="O1252" s="247">
        <f t="shared" si="136"/>
        <v>1</v>
      </c>
      <c r="P1252" s="247">
        <f>+_xlfn.XLOOKUP(A1252,PPTO_GENERADOR!Q:Q,PPTO_GENERADOR!E:E,"-",0)</f>
        <v>20</v>
      </c>
      <c r="Q1252" s="247">
        <f t="shared" si="137"/>
        <v>20</v>
      </c>
      <c r="R1252" s="259">
        <f>+_xlfn.XLOOKUP(A1252,PPTO_GENERADOR!$Q:$Q,PPTO_GENERADOR!A:A,"-",0)</f>
        <v>13.03</v>
      </c>
    </row>
    <row r="1253" spans="1:18" ht="14.25" customHeight="1" x14ac:dyDescent="0.35">
      <c r="A1253" s="38" t="s">
        <v>213</v>
      </c>
      <c r="B1253" s="38" t="s">
        <v>2774</v>
      </c>
      <c r="C1253" s="38" t="s">
        <v>2779</v>
      </c>
      <c r="D1253" s="38" t="s">
        <v>1250</v>
      </c>
      <c r="E1253" s="44" t="str">
        <f>IFERROR(VLOOKUP(D1253,MATERIALES!A:B,2,FALSE()),"?")</f>
        <v>WEBER REFRACTARIO X 10KG (rend. 0,5 m2)</v>
      </c>
      <c r="F1253" s="44" t="str">
        <f>IFERROR(VLOOKUP(D1253,MATERIALES!A:C,3,FALSE()),"?")</f>
        <v>bol</v>
      </c>
      <c r="G1253" s="45">
        <v>2</v>
      </c>
      <c r="H1253" s="46">
        <v>0</v>
      </c>
      <c r="I1253" s="47">
        <f>IFERROR(VLOOKUP(D1253,MATERIALES!A:D,4,FALSE()),0)</f>
        <v>16594.68</v>
      </c>
      <c r="J1253" s="42">
        <f>G1253*I1253*(1+H1253)</f>
        <v>33189.360000000001</v>
      </c>
      <c r="K1253" s="15" t="str">
        <f t="shared" si="134"/>
        <v>PTO-1303|MAT</v>
      </c>
      <c r="L1253" s="15">
        <f>COUNTIFS($K$2:K1253,K1253)</f>
        <v>1</v>
      </c>
      <c r="M1253" s="15" t="str">
        <f t="shared" si="135"/>
        <v>PTO-1303|MAT|1</v>
      </c>
      <c r="N1253" s="47">
        <f>IFERROR(VLOOKUP(A1253,PARTIDAS!A:F,6,FALSE()),0)</f>
        <v>1</v>
      </c>
      <c r="O1253" s="247">
        <f t="shared" si="136"/>
        <v>2</v>
      </c>
      <c r="P1253" s="247">
        <f>+_xlfn.XLOOKUP(A1253,PPTO_GENERADOR!Q:Q,PPTO_GENERADOR!E:E,"-",0)</f>
        <v>20</v>
      </c>
      <c r="Q1253" s="247">
        <f t="shared" si="137"/>
        <v>40</v>
      </c>
      <c r="R1253" s="259">
        <f>+_xlfn.XLOOKUP(A1253,PPTO_GENERADOR!$Q:$Q,PPTO_GENERADOR!A:A,"-",0)</f>
        <v>13.03</v>
      </c>
    </row>
    <row r="1254" spans="1:18" ht="14.25" customHeight="1" x14ac:dyDescent="0.35">
      <c r="A1254" s="38" t="s">
        <v>213</v>
      </c>
      <c r="B1254" s="38" t="s">
        <v>2774</v>
      </c>
      <c r="C1254" s="38" t="s">
        <v>2775</v>
      </c>
      <c r="D1254" s="38" t="s">
        <v>1361</v>
      </c>
      <c r="E1254" s="44" t="str">
        <f>IFERROR(VLOOKUP(D1254,MATERIALES!A:B,2,FALSE()),"?")</f>
        <v>Consumibles</v>
      </c>
      <c r="F1254" s="44" t="str">
        <f>IFERROR(VLOOKUP(D1254,MATERIALES!A:C,3,FALSE()),"?")</f>
        <v>gl</v>
      </c>
      <c r="G1254" s="45">
        <v>3318.9360000000001</v>
      </c>
      <c r="H1254" s="46">
        <v>0</v>
      </c>
      <c r="I1254" s="47">
        <f>IFERROR(VLOOKUP(D1254,MATERIALES!A:D,4,FALSE()),0)</f>
        <v>1</v>
      </c>
      <c r="J1254" s="42">
        <f>G1254*I1254*(1+H1254)</f>
        <v>3318.9360000000001</v>
      </c>
      <c r="K1254" s="15" t="str">
        <f t="shared" si="134"/>
        <v>PTO-1303|MAT</v>
      </c>
      <c r="L1254" s="15">
        <f>COUNTIFS($K$2:K1254,K1254)</f>
        <v>2</v>
      </c>
      <c r="M1254" s="15" t="str">
        <f t="shared" si="135"/>
        <v>PTO-1303|MAT|2</v>
      </c>
      <c r="N1254" s="47">
        <f>IFERROR(VLOOKUP(A1254,PARTIDAS!A:F,6,FALSE()),0)</f>
        <v>1</v>
      </c>
      <c r="O1254" s="247">
        <f t="shared" si="136"/>
        <v>3318.9360000000001</v>
      </c>
      <c r="P1254" s="247">
        <f>+_xlfn.XLOOKUP(A1254,PPTO_GENERADOR!Q:Q,PPTO_GENERADOR!E:E,"-",0)</f>
        <v>20</v>
      </c>
      <c r="Q1254" s="247">
        <f t="shared" si="137"/>
        <v>66378.720000000001</v>
      </c>
      <c r="R1254" s="259">
        <f>+_xlfn.XLOOKUP(A1254,PPTO_GENERADOR!$Q:$Q,PPTO_GENERADOR!A:A,"-",0)</f>
        <v>13.03</v>
      </c>
    </row>
    <row r="1255" spans="1:18" ht="14.25" customHeight="1" x14ac:dyDescent="0.35">
      <c r="A1255" s="38" t="s">
        <v>213</v>
      </c>
      <c r="B1255" s="38" t="s">
        <v>2776</v>
      </c>
      <c r="C1255" s="38" t="s">
        <v>2777</v>
      </c>
      <c r="D1255" s="38" t="s">
        <v>1577</v>
      </c>
      <c r="E1255" s="44" t="str">
        <f>IFERROR(VLOOKUP(D1255,MANO_DE_OBRA!A:B,2,FALSE()),"?")</f>
        <v>AYUDANTE</v>
      </c>
      <c r="F1255" s="44" t="s">
        <v>2778</v>
      </c>
      <c r="G1255" s="45">
        <v>0.15</v>
      </c>
      <c r="H1255" s="46">
        <v>0</v>
      </c>
      <c r="I1255" s="47">
        <f>IFERROR(VLOOKUP(D1255,MANO_DE_OBRA!A:C,3,FALSE()),0)</f>
        <v>60860.580776572002</v>
      </c>
      <c r="J1255" s="42">
        <f>G1255*I1255</f>
        <v>9129.0871164857999</v>
      </c>
      <c r="K1255" s="15" t="str">
        <f t="shared" si="134"/>
        <v>PTO-1303|MO</v>
      </c>
      <c r="L1255" s="15">
        <f>COUNTIFS($K$2:K1255,K1255)</f>
        <v>1</v>
      </c>
      <c r="M1255" s="15" t="str">
        <f t="shared" si="135"/>
        <v>PTO-1303|MO|1</v>
      </c>
      <c r="N1255" s="47">
        <f>IFERROR(VLOOKUP(A1255,PARTIDAS!A:F,6,FALSE()),0)</f>
        <v>1</v>
      </c>
      <c r="O1255" s="247">
        <f t="shared" si="136"/>
        <v>0.15</v>
      </c>
      <c r="P1255" s="247">
        <f>+_xlfn.XLOOKUP(A1255,PPTO_GENERADOR!Q:Q,PPTO_GENERADOR!E:E,"-",0)</f>
        <v>20</v>
      </c>
      <c r="Q1255" s="247">
        <f t="shared" si="137"/>
        <v>3</v>
      </c>
      <c r="R1255" s="259">
        <f>+_xlfn.XLOOKUP(A1255,PPTO_GENERADOR!$Q:$Q,PPTO_GENERADOR!A:A,"-",0)</f>
        <v>13.03</v>
      </c>
    </row>
    <row r="1256" spans="1:18" ht="14.25" customHeight="1" x14ac:dyDescent="0.35">
      <c r="A1256" s="38" t="s">
        <v>213</v>
      </c>
      <c r="B1256" s="38" t="s">
        <v>2776</v>
      </c>
      <c r="C1256" s="38" t="s">
        <v>2777</v>
      </c>
      <c r="D1256" s="237" t="s">
        <v>1571</v>
      </c>
      <c r="E1256" s="44" t="str">
        <f>IFERROR(VLOOKUP(D1256,MANO_DE_OBRA!A:B,2,FALSE()),"?")</f>
        <v>OFICIAL</v>
      </c>
      <c r="F1256" s="44" t="s">
        <v>2778</v>
      </c>
      <c r="G1256" s="45">
        <v>0.3</v>
      </c>
      <c r="H1256" s="46">
        <v>0</v>
      </c>
      <c r="I1256" s="47">
        <f>IFERROR(VLOOKUP(D1256,MANO_DE_OBRA!A:C,3,FALSE()),0)</f>
        <v>76955.079706571996</v>
      </c>
      <c r="J1256" s="42">
        <f>G1256*I1256</f>
        <v>23086.523911971599</v>
      </c>
      <c r="K1256" s="15" t="str">
        <f t="shared" si="134"/>
        <v>PTO-1303|MO</v>
      </c>
      <c r="L1256" s="15">
        <f>COUNTIFS($K$2:K1256,K1256)</f>
        <v>2</v>
      </c>
      <c r="M1256" s="15" t="str">
        <f t="shared" si="135"/>
        <v>PTO-1303|MO|2</v>
      </c>
      <c r="N1256" s="47">
        <f>IFERROR(VLOOKUP(A1256,PARTIDAS!A:F,6,FALSE()),0)</f>
        <v>1</v>
      </c>
      <c r="O1256" s="247">
        <f t="shared" si="136"/>
        <v>0.3</v>
      </c>
      <c r="P1256" s="247">
        <f>+_xlfn.XLOOKUP(A1256,PPTO_GENERADOR!Q:Q,PPTO_GENERADOR!E:E,"-",0)</f>
        <v>20</v>
      </c>
      <c r="Q1256" s="247">
        <f t="shared" si="137"/>
        <v>6</v>
      </c>
      <c r="R1256" s="259">
        <f>+_xlfn.XLOOKUP(A1256,PPTO_GENERADOR!$Q:$Q,PPTO_GENERADOR!A:A,"-",0)</f>
        <v>13.03</v>
      </c>
    </row>
    <row r="1257" spans="1:18" ht="14.25" customHeight="1" x14ac:dyDescent="0.35">
      <c r="A1257" s="38" t="s">
        <v>217</v>
      </c>
      <c r="B1257" s="38" t="s">
        <v>2773</v>
      </c>
      <c r="C1257" s="38"/>
      <c r="D1257" s="38" t="s">
        <v>1872</v>
      </c>
      <c r="E1257" s="44" t="str">
        <f>IFERROR(VLOOKUP(D1257,EQUIPOS!A:B,2,FALSE()),"?")</f>
        <v>Herramientas menores y consumibles - Aplicado de yeso</v>
      </c>
      <c r="F1257" s="44"/>
      <c r="G1257" s="45">
        <v>1</v>
      </c>
      <c r="H1257" s="46">
        <v>0</v>
      </c>
      <c r="I1257" s="47">
        <f>IFERROR(VLOOKUP(D1257,EQUIPOS!A:F,6,FALSE()),0)</f>
        <v>261.95176772476799</v>
      </c>
      <c r="J1257" s="42">
        <f>G1257*I1257</f>
        <v>261.95176772476799</v>
      </c>
      <c r="K1257" s="15" t="str">
        <f t="shared" si="134"/>
        <v>PTO-1401|EQ</v>
      </c>
      <c r="L1257" s="15">
        <f>COUNTIFS($K$2:K1257,K1257)</f>
        <v>1</v>
      </c>
      <c r="M1257" s="15" t="str">
        <f t="shared" si="135"/>
        <v>PTO-1401|EQ|1</v>
      </c>
      <c r="N1257" s="47">
        <f>IFERROR(VLOOKUP(A1257,PARTIDAS!A:F,6,FALSE()),0)</f>
        <v>1</v>
      </c>
      <c r="O1257" s="247">
        <f t="shared" si="136"/>
        <v>1</v>
      </c>
      <c r="P1257" s="247">
        <f>+_xlfn.XLOOKUP(A1257,PPTO_GENERADOR!Q:Q,PPTO_GENERADOR!E:E,"-",0)</f>
        <v>460</v>
      </c>
      <c r="Q1257" s="247">
        <f t="shared" si="137"/>
        <v>460</v>
      </c>
      <c r="R1257" s="259">
        <f>+_xlfn.XLOOKUP(A1257,PPTO_GENERADOR!$Q:$Q,PPTO_GENERADOR!A:A,"-",0)</f>
        <v>14.01</v>
      </c>
    </row>
    <row r="1258" spans="1:18" ht="14.25" customHeight="1" x14ac:dyDescent="0.35">
      <c r="A1258" s="38" t="s">
        <v>217</v>
      </c>
      <c r="B1258" s="38" t="s">
        <v>2774</v>
      </c>
      <c r="C1258" s="38" t="s">
        <v>2779</v>
      </c>
      <c r="D1258" s="38" t="s">
        <v>1192</v>
      </c>
      <c r="E1258" s="44" t="str">
        <f>IFERROR(VLOOKUP(D1258,MATERIALES!A:B,2,FALSE()),"?")</f>
        <v>Yeso Knauf MP 40/75 Proyectable x 25 kg - (17 kg/m2)</v>
      </c>
      <c r="F1258" s="44" t="str">
        <f>IFERROR(VLOOKUP(D1258,MATERIALES!A:C,3,FALSE()),"?")</f>
        <v>bol</v>
      </c>
      <c r="G1258" s="45">
        <v>0.71521739130434803</v>
      </c>
      <c r="H1258" s="46">
        <v>0</v>
      </c>
      <c r="I1258" s="47">
        <f>IFERROR(VLOOKUP(D1258,MATERIALES!A:D,4,FALSE()),0)</f>
        <v>6965.28</v>
      </c>
      <c r="J1258" s="42">
        <f>G1258*I1258*(1+H1258)</f>
        <v>4981.6893913043486</v>
      </c>
      <c r="K1258" s="15" t="str">
        <f t="shared" si="134"/>
        <v>PTO-1401|MAT</v>
      </c>
      <c r="L1258" s="15">
        <f>COUNTIFS($K$2:K1258,K1258)</f>
        <v>1</v>
      </c>
      <c r="M1258" s="15" t="str">
        <f t="shared" si="135"/>
        <v>PTO-1401|MAT|1</v>
      </c>
      <c r="N1258" s="47">
        <f>IFERROR(VLOOKUP(A1258,PARTIDAS!A:F,6,FALSE()),0)</f>
        <v>1</v>
      </c>
      <c r="O1258" s="247">
        <f t="shared" si="136"/>
        <v>0.71521739130434803</v>
      </c>
      <c r="P1258" s="247">
        <f>+_xlfn.XLOOKUP(A1258,PPTO_GENERADOR!Q:Q,PPTO_GENERADOR!E:E,"-",0)</f>
        <v>460</v>
      </c>
      <c r="Q1258" s="247">
        <f t="shared" si="137"/>
        <v>329.00000000000011</v>
      </c>
      <c r="R1258" s="259">
        <f>+_xlfn.XLOOKUP(A1258,PPTO_GENERADOR!$Q:$Q,PPTO_GENERADOR!A:A,"-",0)</f>
        <v>14.01</v>
      </c>
    </row>
    <row r="1259" spans="1:18" ht="14.25" customHeight="1" x14ac:dyDescent="0.35">
      <c r="A1259" s="38" t="s">
        <v>217</v>
      </c>
      <c r="B1259" s="38" t="s">
        <v>2774</v>
      </c>
      <c r="C1259" s="38" t="s">
        <v>2779</v>
      </c>
      <c r="D1259" s="38" t="s">
        <v>1253</v>
      </c>
      <c r="E1259" s="44" t="str">
        <f>IFERROR(VLOOKUP(D1259,MATERIALES!A:B,2,FALSE()),"?")</f>
        <v>PA-MAX PUENTE DE ADHERENCIA 20LT (150 m2/tac) - Contemplo el 100% de los m2</v>
      </c>
      <c r="F1259" s="44" t="str">
        <f>IFERROR(VLOOKUP(D1259,MATERIALES!A:C,3,FALSE()),"?")</f>
        <v>tac</v>
      </c>
      <c r="G1259" s="45">
        <v>6.5217391304347797E-3</v>
      </c>
      <c r="H1259" s="46">
        <v>0</v>
      </c>
      <c r="I1259" s="47">
        <f>IFERROR(VLOOKUP(D1259,MATERIALES!A:D,4,FALSE()),0)</f>
        <v>127350</v>
      </c>
      <c r="J1259" s="42">
        <f>G1259*I1259*(1+H1259)</f>
        <v>830.54347826086916</v>
      </c>
      <c r="K1259" s="15" t="str">
        <f t="shared" si="134"/>
        <v>PTO-1401|MAT</v>
      </c>
      <c r="L1259" s="15">
        <f>COUNTIFS($K$2:K1259,K1259)</f>
        <v>2</v>
      </c>
      <c r="M1259" s="15" t="str">
        <f t="shared" si="135"/>
        <v>PTO-1401|MAT|2</v>
      </c>
      <c r="N1259" s="47">
        <f>IFERROR(VLOOKUP(A1259,PARTIDAS!A:F,6,FALSE()),0)</f>
        <v>1</v>
      </c>
      <c r="O1259" s="247">
        <f t="shared" si="136"/>
        <v>6.5217391304347797E-3</v>
      </c>
      <c r="P1259" s="247">
        <f>+_xlfn.XLOOKUP(A1259,PPTO_GENERADOR!Q:Q,PPTO_GENERADOR!E:E,"-",0)</f>
        <v>460</v>
      </c>
      <c r="Q1259" s="247">
        <f t="shared" si="137"/>
        <v>2.9999999999999987</v>
      </c>
      <c r="R1259" s="259">
        <f>+_xlfn.XLOOKUP(A1259,PPTO_GENERADOR!$Q:$Q,PPTO_GENERADOR!A:A,"-",0)</f>
        <v>14.01</v>
      </c>
    </row>
    <row r="1260" spans="1:18" ht="14.25" customHeight="1" x14ac:dyDescent="0.35">
      <c r="A1260" s="38" t="s">
        <v>217</v>
      </c>
      <c r="B1260" s="38" t="s">
        <v>2776</v>
      </c>
      <c r="C1260" s="38" t="s">
        <v>2775</v>
      </c>
      <c r="D1260" s="38" t="s">
        <v>2282</v>
      </c>
      <c r="E1260" s="44" t="str">
        <f>IFERROR(VLOOKUP(D1260,SUBCONTRATOS_PRY!A:B,2,FALSE()),"?")</f>
        <v>M.Obra</v>
      </c>
      <c r="F1260" s="44" t="s">
        <v>2778</v>
      </c>
      <c r="G1260" s="45">
        <v>1</v>
      </c>
      <c r="H1260" s="46">
        <v>0</v>
      </c>
      <c r="I1260" s="47">
        <f>IFERROR(VLOOKUP(D1260,SUBCONTRATOS_PRY!A:D,4,FALSE()),0)</f>
        <v>11651.218312086001</v>
      </c>
      <c r="J1260" s="42">
        <f>G1260*I1260</f>
        <v>11651.218312086001</v>
      </c>
      <c r="K1260" s="15" t="str">
        <f t="shared" si="134"/>
        <v>PTO-1401|MO</v>
      </c>
      <c r="L1260" s="15">
        <f>COUNTIFS($K$2:K1260,K1260)</f>
        <v>1</v>
      </c>
      <c r="M1260" s="15" t="str">
        <f t="shared" si="135"/>
        <v>PTO-1401|MO|1</v>
      </c>
      <c r="N1260" s="47">
        <f>IFERROR(VLOOKUP(A1260,PARTIDAS!A:F,6,FALSE()),0)</f>
        <v>1</v>
      </c>
      <c r="O1260" s="247">
        <f t="shared" si="136"/>
        <v>1</v>
      </c>
      <c r="P1260" s="247">
        <f>+_xlfn.XLOOKUP(A1260,PPTO_GENERADOR!Q:Q,PPTO_GENERADOR!E:E,"-",0)</f>
        <v>460</v>
      </c>
      <c r="Q1260" s="247">
        <f t="shared" si="137"/>
        <v>460</v>
      </c>
      <c r="R1260" s="259">
        <f>+_xlfn.XLOOKUP(A1260,PPTO_GENERADOR!$Q:$Q,PPTO_GENERADOR!A:A,"-",0)</f>
        <v>14.01</v>
      </c>
    </row>
    <row r="1261" spans="1:18" ht="14.25" customHeight="1" x14ac:dyDescent="0.35">
      <c r="A1261" s="38" t="s">
        <v>219</v>
      </c>
      <c r="B1261" s="38" t="s">
        <v>2776</v>
      </c>
      <c r="C1261" s="38" t="s">
        <v>2775</v>
      </c>
      <c r="D1261" s="38" t="s">
        <v>2294</v>
      </c>
      <c r="E1261" s="44" t="str">
        <f>IFERROR(VLOOKUP(D1261,SUBCONTRATOS_PRY!A:B,2,FALSE()),"?")</f>
        <v>MO Buña en yeso aplicado [SUBCONTRATOS]</v>
      </c>
      <c r="F1261" s="44" t="s">
        <v>2778</v>
      </c>
      <c r="G1261" s="45">
        <v>1</v>
      </c>
      <c r="H1261" s="46">
        <v>0</v>
      </c>
      <c r="I1261" s="47">
        <f>IFERROR(VLOOKUP(D1261,SUBCONTRATOS_PRY!A:D,4,FALSE()),0)</f>
        <v>12499.4731571067</v>
      </c>
      <c r="J1261" s="42">
        <f>G1261*I1261</f>
        <v>12499.4731571067</v>
      </c>
      <c r="K1261" s="15" t="str">
        <f t="shared" si="134"/>
        <v>PTO-1402|MO</v>
      </c>
      <c r="L1261" s="15">
        <f>COUNTIFS($K$2:K1261,K1261)</f>
        <v>1</v>
      </c>
      <c r="M1261" s="15" t="str">
        <f t="shared" si="135"/>
        <v>PTO-1402|MO|1</v>
      </c>
      <c r="N1261" s="47">
        <f>IFERROR(VLOOKUP(A1261,PARTIDAS!A:F,6,FALSE()),0)</f>
        <v>1</v>
      </c>
      <c r="O1261" s="247">
        <f t="shared" si="136"/>
        <v>1</v>
      </c>
      <c r="P1261" s="247">
        <f>+_xlfn.XLOOKUP(A1261,PPTO_GENERADOR!Q:Q,PPTO_GENERADOR!E:E,"-",0)</f>
        <v>434</v>
      </c>
      <c r="Q1261" s="247">
        <f t="shared" si="137"/>
        <v>434</v>
      </c>
      <c r="R1261" s="259">
        <f>+_xlfn.XLOOKUP(A1261,PPTO_GENERADOR!$Q:$Q,PPTO_GENERADOR!A:A,"-",0)</f>
        <v>14.02</v>
      </c>
    </row>
    <row r="1262" spans="1:18" ht="14.25" customHeight="1" x14ac:dyDescent="0.35">
      <c r="A1262" s="38" t="s">
        <v>221</v>
      </c>
      <c r="B1262" s="38" t="s">
        <v>2773</v>
      </c>
      <c r="C1262" s="38"/>
      <c r="D1262" s="38" t="s">
        <v>1622</v>
      </c>
      <c r="E1262" s="44" t="str">
        <f>IFERROR(VLOOKUP(D1262,EQUIPOS!A:B,2,FALSE()),"?")</f>
        <v>ESCALERA GLOSS ALUMINIO ARTICULADA 4 X 4 ESCALONES HASTA 150KG</v>
      </c>
      <c r="F1262" s="44"/>
      <c r="G1262" s="45">
        <v>1</v>
      </c>
      <c r="H1262" s="46">
        <v>0</v>
      </c>
      <c r="I1262" s="47">
        <f>IFERROR(VLOOKUP(D1262,EQUIPOS!A:F,6,FALSE()),0)</f>
        <v>140.19809259430903</v>
      </c>
      <c r="J1262" s="42">
        <f>G1262*I1262</f>
        <v>140.19809259430903</v>
      </c>
      <c r="K1262" s="15" t="str">
        <f t="shared" si="134"/>
        <v>PTO-1403|EQ</v>
      </c>
      <c r="L1262" s="15">
        <f>COUNTIFS($K$2:K1262,K1262)</f>
        <v>1</v>
      </c>
      <c r="M1262" s="15" t="str">
        <f t="shared" si="135"/>
        <v>PTO-1403|EQ|1</v>
      </c>
      <c r="N1262" s="47">
        <f>IFERROR(VLOOKUP(A1262,PARTIDAS!A:F,6,FALSE()),0)</f>
        <v>9.5</v>
      </c>
      <c r="O1262" s="247">
        <f t="shared" si="136"/>
        <v>1</v>
      </c>
      <c r="P1262" s="247">
        <f>+_xlfn.XLOOKUP(A1262,PPTO_GENERADOR!Q:Q,PPTO_GENERADOR!E:E,"-",0)</f>
        <v>115</v>
      </c>
      <c r="Q1262" s="247">
        <f t="shared" si="137"/>
        <v>115</v>
      </c>
      <c r="R1262" s="259">
        <f>+_xlfn.XLOOKUP(A1262,PPTO_GENERADOR!$Q:$Q,PPTO_GENERADOR!A:A,"-",0)</f>
        <v>14.03</v>
      </c>
    </row>
    <row r="1263" spans="1:18" ht="14.25" customHeight="1" x14ac:dyDescent="0.35">
      <c r="A1263" s="38" t="s">
        <v>221</v>
      </c>
      <c r="B1263" s="38" t="s">
        <v>2773</v>
      </c>
      <c r="C1263" s="38"/>
      <c r="D1263" s="38" t="s">
        <v>1744</v>
      </c>
      <c r="E1263" s="44" t="str">
        <f>IFERROR(VLOOKUP(D1263,EQUIPOS!A:B,2,FALSE()),"?")</f>
        <v>EQUIPO DE CONSTRUCCION EN SECO</v>
      </c>
      <c r="F1263" s="44"/>
      <c r="G1263" s="45">
        <v>1</v>
      </c>
      <c r="H1263" s="46">
        <v>0</v>
      </c>
      <c r="I1263" s="47">
        <f>IFERROR(VLOOKUP(D1263,EQUIPOS!A:F,6,FALSE()),0)</f>
        <v>2365.2381485799501</v>
      </c>
      <c r="J1263" s="42">
        <f>G1263*I1263</f>
        <v>2365.2381485799501</v>
      </c>
      <c r="K1263" s="15" t="str">
        <f t="shared" si="134"/>
        <v>PTO-1403|EQ</v>
      </c>
      <c r="L1263" s="15">
        <f>COUNTIFS($K$2:K1263,K1263)</f>
        <v>2</v>
      </c>
      <c r="M1263" s="15" t="str">
        <f t="shared" si="135"/>
        <v>PTO-1403|EQ|2</v>
      </c>
      <c r="N1263" s="47">
        <f>IFERROR(VLOOKUP(A1263,PARTIDAS!A:F,6,FALSE()),0)</f>
        <v>9.5</v>
      </c>
      <c r="O1263" s="247">
        <f t="shared" si="136"/>
        <v>1</v>
      </c>
      <c r="P1263" s="247">
        <f>+_xlfn.XLOOKUP(A1263,PPTO_GENERADOR!Q:Q,PPTO_GENERADOR!E:E,"-",0)</f>
        <v>115</v>
      </c>
      <c r="Q1263" s="247">
        <f t="shared" si="137"/>
        <v>115</v>
      </c>
      <c r="R1263" s="259">
        <f>+_xlfn.XLOOKUP(A1263,PPTO_GENERADOR!$Q:$Q,PPTO_GENERADOR!A:A,"-",0)</f>
        <v>14.03</v>
      </c>
    </row>
    <row r="1264" spans="1:18" ht="14.25" customHeight="1" x14ac:dyDescent="0.35">
      <c r="A1264" s="38" t="s">
        <v>221</v>
      </c>
      <c r="B1264" s="38" t="s">
        <v>2774</v>
      </c>
      <c r="C1264" s="38" t="s">
        <v>2775</v>
      </c>
      <c r="D1264" s="38" t="s">
        <v>745</v>
      </c>
      <c r="E1264" s="44" t="str">
        <f>IFERROR(VLOOKUP(D1264,MATERIALES!A:B,2,FALSE()),"?")</f>
        <v>Solera 35mm x 2.60m</v>
      </c>
      <c r="F1264" s="44" t="str">
        <f>IFERROR(VLOOKUP(D1264,MATERIALES!A:C,3,FALSE()),"?")</f>
        <v>u</v>
      </c>
      <c r="G1264" s="45">
        <v>0.507692307692308</v>
      </c>
      <c r="H1264" s="46">
        <v>0.1</v>
      </c>
      <c r="I1264" s="47">
        <f>IFERROR(VLOOKUP(D1264,MATERIALES!A:D,4,FALSE()),0)</f>
        <v>2147.85</v>
      </c>
      <c r="J1264" s="42">
        <f t="shared" ref="J1264:J1271" si="138">G1264*I1264*(1+H1264)</f>
        <v>1199.4916153846161</v>
      </c>
      <c r="K1264" s="15" t="str">
        <f t="shared" si="134"/>
        <v>PTO-1403|MAT</v>
      </c>
      <c r="L1264" s="15">
        <f>COUNTIFS($K$2:K1264,K1264)</f>
        <v>1</v>
      </c>
      <c r="M1264" s="15" t="str">
        <f t="shared" si="135"/>
        <v>PTO-1403|MAT|1</v>
      </c>
      <c r="N1264" s="47">
        <f>IFERROR(VLOOKUP(A1264,PARTIDAS!A:F,6,FALSE()),0)</f>
        <v>9.5</v>
      </c>
      <c r="O1264" s="247">
        <f t="shared" si="136"/>
        <v>0.507692307692308</v>
      </c>
      <c r="P1264" s="247">
        <f>+_xlfn.XLOOKUP(A1264,PPTO_GENERADOR!Q:Q,PPTO_GENERADOR!E:E,"-",0)</f>
        <v>115</v>
      </c>
      <c r="Q1264" s="247">
        <f t="shared" si="137"/>
        <v>58.384615384615422</v>
      </c>
      <c r="R1264" s="259">
        <f>+_xlfn.XLOOKUP(A1264,PPTO_GENERADOR!$Q:$Q,PPTO_GENERADOR!A:A,"-",0)</f>
        <v>14.03</v>
      </c>
    </row>
    <row r="1265" spans="1:18" ht="14.25" customHeight="1" x14ac:dyDescent="0.35">
      <c r="A1265" s="38" t="s">
        <v>221</v>
      </c>
      <c r="B1265" s="38" t="s">
        <v>2774</v>
      </c>
      <c r="C1265" s="38" t="s">
        <v>2775</v>
      </c>
      <c r="D1265" s="38" t="s">
        <v>747</v>
      </c>
      <c r="E1265" s="44" t="str">
        <f>IFERROR(VLOOKUP(D1265,MATERIALES!A:B,2,FALSE()),"?")</f>
        <v>Montante 34mm x 2.60m</v>
      </c>
      <c r="F1265" s="44" t="str">
        <f>IFERROR(VLOOKUP(D1265,MATERIALES!A:C,3,FALSE()),"?")</f>
        <v>u</v>
      </c>
      <c r="G1265" s="45">
        <v>1.2307692307692299</v>
      </c>
      <c r="H1265" s="46">
        <v>0.1</v>
      </c>
      <c r="I1265" s="47">
        <f>IFERROR(VLOOKUP(D1265,MATERIALES!A:D,4,FALSE()),0)</f>
        <v>2468.66</v>
      </c>
      <c r="J1265" s="42">
        <f t="shared" si="138"/>
        <v>3342.1858461538441</v>
      </c>
      <c r="K1265" s="15" t="str">
        <f t="shared" si="134"/>
        <v>PTO-1403|MAT</v>
      </c>
      <c r="L1265" s="15">
        <f>COUNTIFS($K$2:K1265,K1265)</f>
        <v>2</v>
      </c>
      <c r="M1265" s="15" t="str">
        <f t="shared" si="135"/>
        <v>PTO-1403|MAT|2</v>
      </c>
      <c r="N1265" s="47">
        <f>IFERROR(VLOOKUP(A1265,PARTIDAS!A:F,6,FALSE()),0)</f>
        <v>9.5</v>
      </c>
      <c r="O1265" s="247">
        <f t="shared" si="136"/>
        <v>1.2307692307692299</v>
      </c>
      <c r="P1265" s="247">
        <f>+_xlfn.XLOOKUP(A1265,PPTO_GENERADOR!Q:Q,PPTO_GENERADOR!E:E,"-",0)</f>
        <v>115</v>
      </c>
      <c r="Q1265" s="247">
        <f t="shared" si="137"/>
        <v>141.53846153846143</v>
      </c>
      <c r="R1265" s="259">
        <f>+_xlfn.XLOOKUP(A1265,PPTO_GENERADOR!$Q:$Q,PPTO_GENERADOR!A:A,"-",0)</f>
        <v>14.03</v>
      </c>
    </row>
    <row r="1266" spans="1:18" ht="14.25" customHeight="1" x14ac:dyDescent="0.35">
      <c r="A1266" s="38" t="s">
        <v>221</v>
      </c>
      <c r="B1266" s="38" t="s">
        <v>2774</v>
      </c>
      <c r="C1266" s="38" t="s">
        <v>2775</v>
      </c>
      <c r="D1266" s="38" t="s">
        <v>763</v>
      </c>
      <c r="E1266" s="44" t="str">
        <f>IFERROR(VLOOKUP(D1266,MATERIALES!A:B,2,FALSE()),"?")</f>
        <v>Masilla x 32kg</v>
      </c>
      <c r="F1266" s="44" t="str">
        <f>IFERROR(VLOOKUP(D1266,MATERIALES!A:C,3,FALSE()),"?")</f>
        <v>u</v>
      </c>
      <c r="G1266" s="45">
        <v>2.8125000000000001E-2</v>
      </c>
      <c r="H1266" s="46">
        <v>0.05</v>
      </c>
      <c r="I1266" s="47">
        <f>IFERROR(VLOOKUP(D1266,MATERIALES!A:D,4,FALSE()),0)</f>
        <v>26872.02</v>
      </c>
      <c r="J1266" s="42">
        <f t="shared" si="138"/>
        <v>793.564340625</v>
      </c>
      <c r="K1266" s="15" t="str">
        <f t="shared" si="134"/>
        <v>PTO-1403|MAT</v>
      </c>
      <c r="L1266" s="15">
        <f>COUNTIFS($K$2:K1266,K1266)</f>
        <v>3</v>
      </c>
      <c r="M1266" s="15" t="str">
        <f t="shared" si="135"/>
        <v>PTO-1403|MAT|3</v>
      </c>
      <c r="N1266" s="47">
        <f>IFERROR(VLOOKUP(A1266,PARTIDAS!A:F,6,FALSE()),0)</f>
        <v>9.5</v>
      </c>
      <c r="O1266" s="247">
        <f t="shared" si="136"/>
        <v>2.8125000000000001E-2</v>
      </c>
      <c r="P1266" s="247">
        <f>+_xlfn.XLOOKUP(A1266,PPTO_GENERADOR!Q:Q,PPTO_GENERADOR!E:E,"-",0)</f>
        <v>115</v>
      </c>
      <c r="Q1266" s="247">
        <f t="shared" si="137"/>
        <v>3.234375</v>
      </c>
      <c r="R1266" s="259">
        <f>+_xlfn.XLOOKUP(A1266,PPTO_GENERADOR!$Q:$Q,PPTO_GENERADOR!A:A,"-",0)</f>
        <v>14.03</v>
      </c>
    </row>
    <row r="1267" spans="1:18" ht="14.25" customHeight="1" x14ac:dyDescent="0.35">
      <c r="A1267" s="38" t="s">
        <v>221</v>
      </c>
      <c r="B1267" s="38" t="s">
        <v>2774</v>
      </c>
      <c r="C1267" s="38" t="s">
        <v>2775</v>
      </c>
      <c r="D1267" s="38" t="s">
        <v>749</v>
      </c>
      <c r="E1267" s="44" t="str">
        <f>IFERROR(VLOOKUP(D1267,MATERIALES!A:B,2,FALSE()),"?")</f>
        <v>Tornillo T1 - Aguja</v>
      </c>
      <c r="F1267" s="44" t="str">
        <f>IFERROR(VLOOKUP(D1267,MATERIALES!A:C,3,FALSE()),"?")</f>
        <v>u</v>
      </c>
      <c r="G1267" s="45">
        <v>16</v>
      </c>
      <c r="H1267" s="46">
        <v>0.05</v>
      </c>
      <c r="I1267" s="47">
        <f>IFERROR(VLOOKUP(D1267,MATERIALES!A:D,4,FALSE()),0)</f>
        <v>32.707173553719002</v>
      </c>
      <c r="J1267" s="42">
        <f t="shared" si="138"/>
        <v>549.48051570247924</v>
      </c>
      <c r="K1267" s="15" t="str">
        <f t="shared" si="134"/>
        <v>PTO-1403|MAT</v>
      </c>
      <c r="L1267" s="15">
        <f>COUNTIFS($K$2:K1267,K1267)</f>
        <v>4</v>
      </c>
      <c r="M1267" s="15" t="str">
        <f t="shared" si="135"/>
        <v>PTO-1403|MAT|4</v>
      </c>
      <c r="N1267" s="47">
        <f>IFERROR(VLOOKUP(A1267,PARTIDAS!A:F,6,FALSE()),0)</f>
        <v>9.5</v>
      </c>
      <c r="O1267" s="247">
        <f t="shared" si="136"/>
        <v>16</v>
      </c>
      <c r="P1267" s="247">
        <f>+_xlfn.XLOOKUP(A1267,PPTO_GENERADOR!Q:Q,PPTO_GENERADOR!E:E,"-",0)</f>
        <v>115</v>
      </c>
      <c r="Q1267" s="247">
        <f t="shared" si="137"/>
        <v>1840</v>
      </c>
      <c r="R1267" s="259">
        <f>+_xlfn.XLOOKUP(A1267,PPTO_GENERADOR!$Q:$Q,PPTO_GENERADOR!A:A,"-",0)</f>
        <v>14.03</v>
      </c>
    </row>
    <row r="1268" spans="1:18" ht="14.25" customHeight="1" x14ac:dyDescent="0.35">
      <c r="A1268" s="38" t="s">
        <v>221</v>
      </c>
      <c r="B1268" s="38" t="s">
        <v>2774</v>
      </c>
      <c r="C1268" s="38" t="s">
        <v>2775</v>
      </c>
      <c r="D1268" s="38" t="s">
        <v>752</v>
      </c>
      <c r="E1268" s="44" t="str">
        <f>IFERROR(VLOOKUP(D1268,MATERIALES!A:B,2,FALSE()),"?")</f>
        <v>Tornillo T2 - Aguja</v>
      </c>
      <c r="F1268" s="44" t="str">
        <f>IFERROR(VLOOKUP(D1268,MATERIALES!A:C,3,FALSE()),"?")</f>
        <v>u</v>
      </c>
      <c r="G1268" s="45">
        <v>18</v>
      </c>
      <c r="H1268" s="46">
        <v>0.05</v>
      </c>
      <c r="I1268" s="47">
        <f>IFERROR(VLOOKUP(D1268,MATERIALES!A:D,4,FALSE()),0)</f>
        <v>17.1963177226814</v>
      </c>
      <c r="J1268" s="42">
        <f t="shared" si="138"/>
        <v>325.01040495867846</v>
      </c>
      <c r="K1268" s="15" t="str">
        <f t="shared" si="134"/>
        <v>PTO-1403|MAT</v>
      </c>
      <c r="L1268" s="15">
        <f>COUNTIFS($K$2:K1268,K1268)</f>
        <v>5</v>
      </c>
      <c r="M1268" s="15" t="str">
        <f t="shared" si="135"/>
        <v>PTO-1403|MAT|5</v>
      </c>
      <c r="N1268" s="47">
        <f>IFERROR(VLOOKUP(A1268,PARTIDAS!A:F,6,FALSE()),0)</f>
        <v>9.5</v>
      </c>
      <c r="O1268" s="247">
        <f t="shared" si="136"/>
        <v>18</v>
      </c>
      <c r="P1268" s="247">
        <f>+_xlfn.XLOOKUP(A1268,PPTO_GENERADOR!Q:Q,PPTO_GENERADOR!E:E,"-",0)</f>
        <v>115</v>
      </c>
      <c r="Q1268" s="247">
        <f t="shared" si="137"/>
        <v>2070</v>
      </c>
      <c r="R1268" s="259">
        <f>+_xlfn.XLOOKUP(A1268,PPTO_GENERADOR!$Q:$Q,PPTO_GENERADOR!A:A,"-",0)</f>
        <v>14.03</v>
      </c>
    </row>
    <row r="1269" spans="1:18" ht="14.25" customHeight="1" x14ac:dyDescent="0.35">
      <c r="A1269" s="38" t="s">
        <v>221</v>
      </c>
      <c r="B1269" s="38" t="s">
        <v>2774</v>
      </c>
      <c r="C1269" s="38" t="s">
        <v>2775</v>
      </c>
      <c r="D1269" s="38" t="s">
        <v>756</v>
      </c>
      <c r="E1269" s="44" t="str">
        <f>IFERROR(VLOOKUP(D1269,MATERIALES!A:B,2,FALSE()),"?")</f>
        <v>Fijacion completa del 8</v>
      </c>
      <c r="F1269" s="44" t="str">
        <f>IFERROR(VLOOKUP(D1269,MATERIALES!A:C,3,FALSE()),"?")</f>
        <v>u</v>
      </c>
      <c r="G1269" s="45">
        <v>6</v>
      </c>
      <c r="H1269" s="46">
        <v>0.05</v>
      </c>
      <c r="I1269" s="47">
        <f>IFERROR(VLOOKUP(D1269,MATERIALES!A:D,4,FALSE()),0)</f>
        <v>65.919008264462803</v>
      </c>
      <c r="J1269" s="42">
        <f t="shared" si="138"/>
        <v>415.28975206611568</v>
      </c>
      <c r="K1269" s="15" t="str">
        <f t="shared" si="134"/>
        <v>PTO-1403|MAT</v>
      </c>
      <c r="L1269" s="15">
        <f>COUNTIFS($K$2:K1269,K1269)</f>
        <v>6</v>
      </c>
      <c r="M1269" s="15" t="str">
        <f t="shared" si="135"/>
        <v>PTO-1403|MAT|6</v>
      </c>
      <c r="N1269" s="47">
        <f>IFERROR(VLOOKUP(A1269,PARTIDAS!A:F,6,FALSE()),0)</f>
        <v>9.5</v>
      </c>
      <c r="O1269" s="247">
        <f t="shared" si="136"/>
        <v>6</v>
      </c>
      <c r="P1269" s="247">
        <f>+_xlfn.XLOOKUP(A1269,PPTO_GENERADOR!Q:Q,PPTO_GENERADOR!E:E,"-",0)</f>
        <v>115</v>
      </c>
      <c r="Q1269" s="247">
        <f t="shared" si="137"/>
        <v>690</v>
      </c>
      <c r="R1269" s="259">
        <f>+_xlfn.XLOOKUP(A1269,PPTO_GENERADOR!$Q:$Q,PPTO_GENERADOR!A:A,"-",0)</f>
        <v>14.03</v>
      </c>
    </row>
    <row r="1270" spans="1:18" ht="14.25" customHeight="1" x14ac:dyDescent="0.35">
      <c r="A1270" s="38" t="s">
        <v>221</v>
      </c>
      <c r="B1270" s="38" t="s">
        <v>2774</v>
      </c>
      <c r="C1270" s="38" t="s">
        <v>2775</v>
      </c>
      <c r="D1270" s="38" t="s">
        <v>758</v>
      </c>
      <c r="E1270" s="44" t="str">
        <f>IFERROR(VLOOKUP(D1270,MATERIALES!A:B,2,FALSE()),"?")</f>
        <v>Cinta Entramada - 90m</v>
      </c>
      <c r="F1270" s="44" t="str">
        <f>IFERROR(VLOOKUP(D1270,MATERIALES!A:C,3,FALSE()),"?")</f>
        <v>u</v>
      </c>
      <c r="G1270" s="45">
        <v>1.8333333333333299E-2</v>
      </c>
      <c r="H1270" s="46">
        <v>0.05</v>
      </c>
      <c r="I1270" s="47">
        <f>IFERROR(VLOOKUP(D1270,MATERIALES!A:D,4,FALSE()),0)</f>
        <v>4042.71</v>
      </c>
      <c r="J1270" s="42">
        <f t="shared" si="138"/>
        <v>77.82216749999985</v>
      </c>
      <c r="K1270" s="15" t="str">
        <f t="shared" si="134"/>
        <v>PTO-1403|MAT</v>
      </c>
      <c r="L1270" s="15">
        <f>COUNTIFS($K$2:K1270,K1270)</f>
        <v>7</v>
      </c>
      <c r="M1270" s="15" t="str">
        <f t="shared" si="135"/>
        <v>PTO-1403|MAT|7</v>
      </c>
      <c r="N1270" s="47">
        <f>IFERROR(VLOOKUP(A1270,PARTIDAS!A:F,6,FALSE()),0)</f>
        <v>9.5</v>
      </c>
      <c r="O1270" s="247">
        <f t="shared" si="136"/>
        <v>1.8333333333333299E-2</v>
      </c>
      <c r="P1270" s="247">
        <f>+_xlfn.XLOOKUP(A1270,PPTO_GENERADOR!Q:Q,PPTO_GENERADOR!E:E,"-",0)</f>
        <v>115</v>
      </c>
      <c r="Q1270" s="247">
        <f t="shared" si="137"/>
        <v>2.1083333333333294</v>
      </c>
      <c r="R1270" s="259">
        <f>+_xlfn.XLOOKUP(A1270,PPTO_GENERADOR!$Q:$Q,PPTO_GENERADOR!A:A,"-",0)</f>
        <v>14.03</v>
      </c>
    </row>
    <row r="1271" spans="1:18" ht="14.25" customHeight="1" x14ac:dyDescent="0.35">
      <c r="A1271" s="38" t="s">
        <v>221</v>
      </c>
      <c r="B1271" s="38" t="s">
        <v>2774</v>
      </c>
      <c r="C1271" s="38" t="s">
        <v>2775</v>
      </c>
      <c r="D1271" s="38" t="s">
        <v>765</v>
      </c>
      <c r="E1271" s="44" t="str">
        <f>IFERROR(VLOOKUP(D1271,MATERIALES!A:B,2,FALSE()),"?")</f>
        <v>Placa Roca de Yeso 1220 x 2440 - 12.5mm - STD</v>
      </c>
      <c r="F1271" s="44" t="str">
        <f>IFERROR(VLOOKUP(D1271,MATERIALES!A:C,3,FALSE()),"?")</f>
        <v>u</v>
      </c>
      <c r="G1271" s="45">
        <v>0.36</v>
      </c>
      <c r="H1271" s="46">
        <v>0.1</v>
      </c>
      <c r="I1271" s="47">
        <f>IFERROR(VLOOKUP(D1271,MATERIALES!A:D,4,FALSE()),0)</f>
        <v>10022.959999999999</v>
      </c>
      <c r="J1271" s="42">
        <f t="shared" si="138"/>
        <v>3969.0921600000001</v>
      </c>
      <c r="K1271" s="15" t="str">
        <f t="shared" si="134"/>
        <v>PTO-1403|MAT</v>
      </c>
      <c r="L1271" s="15">
        <f>COUNTIFS($K$2:K1271,K1271)</f>
        <v>8</v>
      </c>
      <c r="M1271" s="15" t="str">
        <f t="shared" si="135"/>
        <v>PTO-1403|MAT|8</v>
      </c>
      <c r="N1271" s="47">
        <f>IFERROR(VLOOKUP(A1271,PARTIDAS!A:F,6,FALSE()),0)</f>
        <v>9.5</v>
      </c>
      <c r="O1271" s="247">
        <f t="shared" si="136"/>
        <v>0.36</v>
      </c>
      <c r="P1271" s="247">
        <f>+_xlfn.XLOOKUP(A1271,PPTO_GENERADOR!Q:Q,PPTO_GENERADOR!E:E,"-",0)</f>
        <v>115</v>
      </c>
      <c r="Q1271" s="247">
        <f t="shared" si="137"/>
        <v>41.4</v>
      </c>
      <c r="R1271" s="259">
        <f>+_xlfn.XLOOKUP(A1271,PPTO_GENERADOR!$Q:$Q,PPTO_GENERADOR!A:A,"-",0)</f>
        <v>14.03</v>
      </c>
    </row>
    <row r="1272" spans="1:18" ht="14.25" customHeight="1" x14ac:dyDescent="0.35">
      <c r="A1272" s="38" t="s">
        <v>221</v>
      </c>
      <c r="B1272" s="38" t="s">
        <v>2776</v>
      </c>
      <c r="C1272" s="38" t="s">
        <v>2777</v>
      </c>
      <c r="D1272" s="237" t="s">
        <v>1574</v>
      </c>
      <c r="E1272" s="44" t="str">
        <f>IFERROR(VLOOKUP(D1272,MANO_DE_OBRA!A:B,2,FALSE()),"?")</f>
        <v>MEDIO OFICIAL</v>
      </c>
      <c r="F1272" s="44" t="s">
        <v>2778</v>
      </c>
      <c r="G1272" s="45">
        <v>1</v>
      </c>
      <c r="H1272" s="46">
        <v>0</v>
      </c>
      <c r="I1272" s="47">
        <f>IFERROR(VLOOKUP(D1272,MANO_DE_OBRA!A:C,3,FALSE()),0)</f>
        <v>65493.071636572</v>
      </c>
      <c r="J1272" s="42">
        <f>G1272*I1272</f>
        <v>65493.071636572</v>
      </c>
      <c r="K1272" s="15" t="str">
        <f t="shared" si="134"/>
        <v>PTO-1403|MO</v>
      </c>
      <c r="L1272" s="15">
        <f>COUNTIFS($K$2:K1272,K1272)</f>
        <v>1</v>
      </c>
      <c r="M1272" s="15" t="str">
        <f t="shared" si="135"/>
        <v>PTO-1403|MO|1</v>
      </c>
      <c r="N1272" s="47">
        <f>IFERROR(VLOOKUP(A1272,PARTIDAS!A:F,6,FALSE()),0)</f>
        <v>9.5</v>
      </c>
      <c r="O1272" s="247">
        <f t="shared" si="136"/>
        <v>0.10526315789473684</v>
      </c>
      <c r="P1272" s="247">
        <f>+_xlfn.XLOOKUP(A1272,PPTO_GENERADOR!Q:Q,PPTO_GENERADOR!E:E,"-",0)</f>
        <v>115</v>
      </c>
      <c r="Q1272" s="247">
        <f t="shared" si="137"/>
        <v>12.105263157894736</v>
      </c>
      <c r="R1272" s="259">
        <f>+_xlfn.XLOOKUP(A1272,PPTO_GENERADOR!$Q:$Q,PPTO_GENERADOR!A:A,"-",0)</f>
        <v>14.03</v>
      </c>
    </row>
    <row r="1273" spans="1:18" ht="14.25" customHeight="1" x14ac:dyDescent="0.35">
      <c r="A1273" s="38" t="s">
        <v>221</v>
      </c>
      <c r="B1273" s="38" t="s">
        <v>2776</v>
      </c>
      <c r="C1273" s="38" t="s">
        <v>2777</v>
      </c>
      <c r="D1273" s="237" t="s">
        <v>1568</v>
      </c>
      <c r="E1273" s="44" t="str">
        <f>IFERROR(VLOOKUP(D1273,MANO_DE_OBRA!A:B,2,FALSE()),"?")</f>
        <v>ESPECIALIZADO</v>
      </c>
      <c r="F1273" s="44" t="s">
        <v>2778</v>
      </c>
      <c r="G1273" s="45">
        <v>1</v>
      </c>
      <c r="H1273" s="46">
        <v>0</v>
      </c>
      <c r="I1273" s="47">
        <f>IFERROR(VLOOKUP(D1273,MANO_DE_OBRA!A:C,3,FALSE()),0)</f>
        <v>85927.097156571996</v>
      </c>
      <c r="J1273" s="42">
        <f>G1273*I1273</f>
        <v>85927.097156571996</v>
      </c>
      <c r="K1273" s="15" t="str">
        <f t="shared" si="134"/>
        <v>PTO-1403|MO</v>
      </c>
      <c r="L1273" s="15">
        <f>COUNTIFS($K$2:K1273,K1273)</f>
        <v>2</v>
      </c>
      <c r="M1273" s="15" t="str">
        <f t="shared" si="135"/>
        <v>PTO-1403|MO|2</v>
      </c>
      <c r="N1273" s="47">
        <f>IFERROR(VLOOKUP(A1273,PARTIDAS!A:F,6,FALSE()),0)</f>
        <v>9.5</v>
      </c>
      <c r="O1273" s="247">
        <f t="shared" si="136"/>
        <v>0.10526315789473684</v>
      </c>
      <c r="P1273" s="247">
        <f>+_xlfn.XLOOKUP(A1273,PPTO_GENERADOR!Q:Q,PPTO_GENERADOR!E:E,"-",0)</f>
        <v>115</v>
      </c>
      <c r="Q1273" s="247">
        <f t="shared" si="137"/>
        <v>12.105263157894736</v>
      </c>
      <c r="R1273" s="259">
        <f>+_xlfn.XLOOKUP(A1273,PPTO_GENERADOR!$Q:$Q,PPTO_GENERADOR!A:A,"-",0)</f>
        <v>14.03</v>
      </c>
    </row>
    <row r="1274" spans="1:18" ht="14.25" customHeight="1" x14ac:dyDescent="0.35">
      <c r="A1274" s="38" t="s">
        <v>223</v>
      </c>
      <c r="B1274" s="38" t="s">
        <v>2773</v>
      </c>
      <c r="C1274" s="38"/>
      <c r="D1274" s="38" t="s">
        <v>1622</v>
      </c>
      <c r="E1274" s="44" t="str">
        <f>IFERROR(VLOOKUP(D1274,EQUIPOS!A:B,2,FALSE()),"?")</f>
        <v>ESCALERA GLOSS ALUMINIO ARTICULADA 4 X 4 ESCALONES HASTA 150KG</v>
      </c>
      <c r="F1274" s="44"/>
      <c r="G1274" s="45">
        <v>1</v>
      </c>
      <c r="H1274" s="46">
        <v>0</v>
      </c>
      <c r="I1274" s="47">
        <f>IFERROR(VLOOKUP(D1274,EQUIPOS!A:F,6,FALSE()),0)</f>
        <v>140.19809259430903</v>
      </c>
      <c r="J1274" s="42">
        <f>G1274*I1274</f>
        <v>140.19809259430903</v>
      </c>
      <c r="K1274" s="15" t="str">
        <f t="shared" si="134"/>
        <v>PTO-1404|EQ</v>
      </c>
      <c r="L1274" s="15">
        <f>COUNTIFS($K$2:K1274,K1274)</f>
        <v>1</v>
      </c>
      <c r="M1274" s="15" t="str">
        <f t="shared" si="135"/>
        <v>PTO-1404|EQ|1</v>
      </c>
      <c r="N1274" s="47">
        <f>IFERROR(VLOOKUP(A1274,PARTIDAS!A:F,6,FALSE()),0)</f>
        <v>9.5</v>
      </c>
      <c r="O1274" s="247">
        <f t="shared" si="136"/>
        <v>1</v>
      </c>
      <c r="P1274" s="247">
        <f>+_xlfn.XLOOKUP(A1274,PPTO_GENERADOR!Q:Q,PPTO_GENERADOR!E:E,"-",0)</f>
        <v>89</v>
      </c>
      <c r="Q1274" s="247">
        <f t="shared" si="137"/>
        <v>89</v>
      </c>
      <c r="R1274" s="259">
        <f>+_xlfn.XLOOKUP(A1274,PPTO_GENERADOR!$Q:$Q,PPTO_GENERADOR!A:A,"-",0)</f>
        <v>14.04</v>
      </c>
    </row>
    <row r="1275" spans="1:18" ht="14.25" customHeight="1" x14ac:dyDescent="0.35">
      <c r="A1275" s="38" t="s">
        <v>223</v>
      </c>
      <c r="B1275" s="38" t="s">
        <v>2773</v>
      </c>
      <c r="C1275" s="38"/>
      <c r="D1275" s="38" t="s">
        <v>1744</v>
      </c>
      <c r="E1275" s="44" t="str">
        <f>IFERROR(VLOOKUP(D1275,EQUIPOS!A:B,2,FALSE()),"?")</f>
        <v>EQUIPO DE CONSTRUCCION EN SECO</v>
      </c>
      <c r="F1275" s="44"/>
      <c r="G1275" s="45">
        <v>1</v>
      </c>
      <c r="H1275" s="46">
        <v>0</v>
      </c>
      <c r="I1275" s="47">
        <f>IFERROR(VLOOKUP(D1275,EQUIPOS!A:F,6,FALSE()),0)</f>
        <v>2365.2381485799501</v>
      </c>
      <c r="J1275" s="42">
        <f>G1275*I1275</f>
        <v>2365.2381485799501</v>
      </c>
      <c r="K1275" s="15" t="str">
        <f t="shared" si="134"/>
        <v>PTO-1404|EQ</v>
      </c>
      <c r="L1275" s="15">
        <f>COUNTIFS($K$2:K1275,K1275)</f>
        <v>2</v>
      </c>
      <c r="M1275" s="15" t="str">
        <f t="shared" si="135"/>
        <v>PTO-1404|EQ|2</v>
      </c>
      <c r="N1275" s="47">
        <f>IFERROR(VLOOKUP(A1275,PARTIDAS!A:F,6,FALSE()),0)</f>
        <v>9.5</v>
      </c>
      <c r="O1275" s="247">
        <f t="shared" si="136"/>
        <v>1</v>
      </c>
      <c r="P1275" s="247">
        <f>+_xlfn.XLOOKUP(A1275,PPTO_GENERADOR!Q:Q,PPTO_GENERADOR!E:E,"-",0)</f>
        <v>89</v>
      </c>
      <c r="Q1275" s="247">
        <f t="shared" si="137"/>
        <v>89</v>
      </c>
      <c r="R1275" s="259">
        <f>+_xlfn.XLOOKUP(A1275,PPTO_GENERADOR!$Q:$Q,PPTO_GENERADOR!A:A,"-",0)</f>
        <v>14.04</v>
      </c>
    </row>
    <row r="1276" spans="1:18" ht="14.25" customHeight="1" x14ac:dyDescent="0.35">
      <c r="A1276" s="38" t="s">
        <v>223</v>
      </c>
      <c r="B1276" s="38" t="s">
        <v>2774</v>
      </c>
      <c r="C1276" s="38" t="s">
        <v>2775</v>
      </c>
      <c r="D1276" s="38" t="s">
        <v>740</v>
      </c>
      <c r="E1276" s="44" t="str">
        <f>IFERROR(VLOOKUP(D1276,MATERIALES!A:B,2,FALSE()),"?")</f>
        <v>Solera 70mm x 2.60m</v>
      </c>
      <c r="F1276" s="44" t="str">
        <f>IFERROR(VLOOKUP(D1276,MATERIALES!A:C,3,FALSE()),"?")</f>
        <v>u</v>
      </c>
      <c r="G1276" s="45">
        <v>0.507692307692308</v>
      </c>
      <c r="H1276" s="46">
        <v>0.1</v>
      </c>
      <c r="I1276" s="47">
        <f>IFERROR(VLOOKUP(D1276,MATERIALES!A:D,4,FALSE()),0)</f>
        <v>2932.93</v>
      </c>
      <c r="J1276" s="42">
        <f t="shared" ref="J1276:J1283" si="139">G1276*I1276*(1+H1276)</f>
        <v>1637.9286000000009</v>
      </c>
      <c r="K1276" s="15" t="str">
        <f t="shared" si="134"/>
        <v>PTO-1404|MAT</v>
      </c>
      <c r="L1276" s="15">
        <f>COUNTIFS($K$2:K1276,K1276)</f>
        <v>1</v>
      </c>
      <c r="M1276" s="15" t="str">
        <f t="shared" si="135"/>
        <v>PTO-1404|MAT|1</v>
      </c>
      <c r="N1276" s="47">
        <f>IFERROR(VLOOKUP(A1276,PARTIDAS!A:F,6,FALSE()),0)</f>
        <v>9.5</v>
      </c>
      <c r="O1276" s="247">
        <f t="shared" si="136"/>
        <v>0.507692307692308</v>
      </c>
      <c r="P1276" s="247">
        <f>+_xlfn.XLOOKUP(A1276,PPTO_GENERADOR!Q:Q,PPTO_GENERADOR!E:E,"-",0)</f>
        <v>89</v>
      </c>
      <c r="Q1276" s="247">
        <f t="shared" si="137"/>
        <v>45.184615384615412</v>
      </c>
      <c r="R1276" s="259">
        <f>+_xlfn.XLOOKUP(A1276,PPTO_GENERADOR!$Q:$Q,PPTO_GENERADOR!A:A,"-",0)</f>
        <v>14.04</v>
      </c>
    </row>
    <row r="1277" spans="1:18" ht="14.25" customHeight="1" x14ac:dyDescent="0.35">
      <c r="A1277" s="38" t="s">
        <v>223</v>
      </c>
      <c r="B1277" s="38" t="s">
        <v>2774</v>
      </c>
      <c r="C1277" s="38" t="s">
        <v>2775</v>
      </c>
      <c r="D1277" s="38" t="s">
        <v>743</v>
      </c>
      <c r="E1277" s="44" t="str">
        <f>IFERROR(VLOOKUP(D1277,MATERIALES!A:B,2,FALSE()),"?")</f>
        <v>Montante 69mm x 2.60m</v>
      </c>
      <c r="F1277" s="44" t="str">
        <f>IFERROR(VLOOKUP(D1277,MATERIALES!A:C,3,FALSE()),"?")</f>
        <v>u</v>
      </c>
      <c r="G1277" s="45">
        <v>1.2307692307692299</v>
      </c>
      <c r="H1277" s="46">
        <v>0.1</v>
      </c>
      <c r="I1277" s="47">
        <f>IFERROR(VLOOKUP(D1277,MATERIALES!A:D,4,FALSE()),0)</f>
        <v>3295.47</v>
      </c>
      <c r="J1277" s="42">
        <f t="shared" si="139"/>
        <v>4461.5593846153815</v>
      </c>
      <c r="K1277" s="15" t="str">
        <f t="shared" si="134"/>
        <v>PTO-1404|MAT</v>
      </c>
      <c r="L1277" s="15">
        <f>COUNTIFS($K$2:K1277,K1277)</f>
        <v>2</v>
      </c>
      <c r="M1277" s="15" t="str">
        <f t="shared" si="135"/>
        <v>PTO-1404|MAT|2</v>
      </c>
      <c r="N1277" s="47">
        <f>IFERROR(VLOOKUP(A1277,PARTIDAS!A:F,6,FALSE()),0)</f>
        <v>9.5</v>
      </c>
      <c r="O1277" s="247">
        <f t="shared" si="136"/>
        <v>1.2307692307692299</v>
      </c>
      <c r="P1277" s="247">
        <f>+_xlfn.XLOOKUP(A1277,PPTO_GENERADOR!Q:Q,PPTO_GENERADOR!E:E,"-",0)</f>
        <v>89</v>
      </c>
      <c r="Q1277" s="247">
        <f t="shared" si="137"/>
        <v>109.53846153846146</v>
      </c>
      <c r="R1277" s="259">
        <f>+_xlfn.XLOOKUP(A1277,PPTO_GENERADOR!$Q:$Q,PPTO_GENERADOR!A:A,"-",0)</f>
        <v>14.04</v>
      </c>
    </row>
    <row r="1278" spans="1:18" ht="14.25" customHeight="1" x14ac:dyDescent="0.35">
      <c r="A1278" s="38" t="s">
        <v>223</v>
      </c>
      <c r="B1278" s="38" t="s">
        <v>2774</v>
      </c>
      <c r="C1278" s="38" t="s">
        <v>2775</v>
      </c>
      <c r="D1278" s="38" t="s">
        <v>763</v>
      </c>
      <c r="E1278" s="44" t="str">
        <f>IFERROR(VLOOKUP(D1278,MATERIALES!A:B,2,FALSE()),"?")</f>
        <v>Masilla x 32kg</v>
      </c>
      <c r="F1278" s="44" t="str">
        <f>IFERROR(VLOOKUP(D1278,MATERIALES!A:C,3,FALSE()),"?")</f>
        <v>u</v>
      </c>
      <c r="G1278" s="45">
        <v>2.8125000000000001E-2</v>
      </c>
      <c r="H1278" s="46">
        <v>0.05</v>
      </c>
      <c r="I1278" s="47">
        <f>IFERROR(VLOOKUP(D1278,MATERIALES!A:D,4,FALSE()),0)</f>
        <v>26872.02</v>
      </c>
      <c r="J1278" s="42">
        <f t="shared" si="139"/>
        <v>793.564340625</v>
      </c>
      <c r="K1278" s="15" t="str">
        <f t="shared" si="134"/>
        <v>PTO-1404|MAT</v>
      </c>
      <c r="L1278" s="15">
        <f>COUNTIFS($K$2:K1278,K1278)</f>
        <v>3</v>
      </c>
      <c r="M1278" s="15" t="str">
        <f t="shared" si="135"/>
        <v>PTO-1404|MAT|3</v>
      </c>
      <c r="N1278" s="47">
        <f>IFERROR(VLOOKUP(A1278,PARTIDAS!A:F,6,FALSE()),0)</f>
        <v>9.5</v>
      </c>
      <c r="O1278" s="247">
        <f t="shared" si="136"/>
        <v>2.8125000000000001E-2</v>
      </c>
      <c r="P1278" s="247">
        <f>+_xlfn.XLOOKUP(A1278,PPTO_GENERADOR!Q:Q,PPTO_GENERADOR!E:E,"-",0)</f>
        <v>89</v>
      </c>
      <c r="Q1278" s="247">
        <f t="shared" si="137"/>
        <v>2.5031250000000003</v>
      </c>
      <c r="R1278" s="259">
        <f>+_xlfn.XLOOKUP(A1278,PPTO_GENERADOR!$Q:$Q,PPTO_GENERADOR!A:A,"-",0)</f>
        <v>14.04</v>
      </c>
    </row>
    <row r="1279" spans="1:18" ht="14.25" customHeight="1" x14ac:dyDescent="0.35">
      <c r="A1279" s="38" t="s">
        <v>223</v>
      </c>
      <c r="B1279" s="38" t="s">
        <v>2774</v>
      </c>
      <c r="C1279" s="38" t="s">
        <v>2775</v>
      </c>
      <c r="D1279" s="38" t="s">
        <v>749</v>
      </c>
      <c r="E1279" s="44" t="str">
        <f>IFERROR(VLOOKUP(D1279,MATERIALES!A:B,2,FALSE()),"?")</f>
        <v>Tornillo T1 - Aguja</v>
      </c>
      <c r="F1279" s="44" t="str">
        <f>IFERROR(VLOOKUP(D1279,MATERIALES!A:C,3,FALSE()),"?")</f>
        <v>u</v>
      </c>
      <c r="G1279" s="45">
        <v>16</v>
      </c>
      <c r="H1279" s="46">
        <v>0.05</v>
      </c>
      <c r="I1279" s="47">
        <f>IFERROR(VLOOKUP(D1279,MATERIALES!A:D,4,FALSE()),0)</f>
        <v>32.707173553719002</v>
      </c>
      <c r="J1279" s="42">
        <f t="shared" si="139"/>
        <v>549.48051570247924</v>
      </c>
      <c r="K1279" s="15" t="str">
        <f t="shared" si="134"/>
        <v>PTO-1404|MAT</v>
      </c>
      <c r="L1279" s="15">
        <f>COUNTIFS($K$2:K1279,K1279)</f>
        <v>4</v>
      </c>
      <c r="M1279" s="15" t="str">
        <f t="shared" si="135"/>
        <v>PTO-1404|MAT|4</v>
      </c>
      <c r="N1279" s="47">
        <f>IFERROR(VLOOKUP(A1279,PARTIDAS!A:F,6,FALSE()),0)</f>
        <v>9.5</v>
      </c>
      <c r="O1279" s="247">
        <f t="shared" si="136"/>
        <v>16</v>
      </c>
      <c r="P1279" s="247">
        <f>+_xlfn.XLOOKUP(A1279,PPTO_GENERADOR!Q:Q,PPTO_GENERADOR!E:E,"-",0)</f>
        <v>89</v>
      </c>
      <c r="Q1279" s="247">
        <f t="shared" si="137"/>
        <v>1424</v>
      </c>
      <c r="R1279" s="259">
        <f>+_xlfn.XLOOKUP(A1279,PPTO_GENERADOR!$Q:$Q,PPTO_GENERADOR!A:A,"-",0)</f>
        <v>14.04</v>
      </c>
    </row>
    <row r="1280" spans="1:18" ht="14.25" customHeight="1" x14ac:dyDescent="0.35">
      <c r="A1280" s="38" t="s">
        <v>223</v>
      </c>
      <c r="B1280" s="38" t="s">
        <v>2774</v>
      </c>
      <c r="C1280" s="38" t="s">
        <v>2775</v>
      </c>
      <c r="D1280" s="38" t="s">
        <v>752</v>
      </c>
      <c r="E1280" s="44" t="str">
        <f>IFERROR(VLOOKUP(D1280,MATERIALES!A:B,2,FALSE()),"?")</f>
        <v>Tornillo T2 - Aguja</v>
      </c>
      <c r="F1280" s="44" t="str">
        <f>IFERROR(VLOOKUP(D1280,MATERIALES!A:C,3,FALSE()),"?")</f>
        <v>u</v>
      </c>
      <c r="G1280" s="45">
        <v>18</v>
      </c>
      <c r="H1280" s="46">
        <v>0.05</v>
      </c>
      <c r="I1280" s="47">
        <f>IFERROR(VLOOKUP(D1280,MATERIALES!A:D,4,FALSE()),0)</f>
        <v>17.1963177226814</v>
      </c>
      <c r="J1280" s="42">
        <f t="shared" si="139"/>
        <v>325.01040495867846</v>
      </c>
      <c r="K1280" s="15" t="str">
        <f t="shared" si="134"/>
        <v>PTO-1404|MAT</v>
      </c>
      <c r="L1280" s="15">
        <f>COUNTIFS($K$2:K1280,K1280)</f>
        <v>5</v>
      </c>
      <c r="M1280" s="15" t="str">
        <f t="shared" si="135"/>
        <v>PTO-1404|MAT|5</v>
      </c>
      <c r="N1280" s="47">
        <f>IFERROR(VLOOKUP(A1280,PARTIDAS!A:F,6,FALSE()),0)</f>
        <v>9.5</v>
      </c>
      <c r="O1280" s="247">
        <f t="shared" si="136"/>
        <v>18</v>
      </c>
      <c r="P1280" s="247">
        <f>+_xlfn.XLOOKUP(A1280,PPTO_GENERADOR!Q:Q,PPTO_GENERADOR!E:E,"-",0)</f>
        <v>89</v>
      </c>
      <c r="Q1280" s="247">
        <f t="shared" si="137"/>
        <v>1602</v>
      </c>
      <c r="R1280" s="259">
        <f>+_xlfn.XLOOKUP(A1280,PPTO_GENERADOR!$Q:$Q,PPTO_GENERADOR!A:A,"-",0)</f>
        <v>14.04</v>
      </c>
    </row>
    <row r="1281" spans="1:18" ht="14.25" customHeight="1" x14ac:dyDescent="0.35">
      <c r="A1281" s="38" t="s">
        <v>223</v>
      </c>
      <c r="B1281" s="38" t="s">
        <v>2774</v>
      </c>
      <c r="C1281" s="38" t="s">
        <v>2775</v>
      </c>
      <c r="D1281" s="38" t="s">
        <v>756</v>
      </c>
      <c r="E1281" s="44" t="str">
        <f>IFERROR(VLOOKUP(D1281,MATERIALES!A:B,2,FALSE()),"?")</f>
        <v>Fijacion completa del 8</v>
      </c>
      <c r="F1281" s="44" t="str">
        <f>IFERROR(VLOOKUP(D1281,MATERIALES!A:C,3,FALSE()),"?")</f>
        <v>u</v>
      </c>
      <c r="G1281" s="45">
        <v>6</v>
      </c>
      <c r="H1281" s="46">
        <v>0.05</v>
      </c>
      <c r="I1281" s="47">
        <f>IFERROR(VLOOKUP(D1281,MATERIALES!A:D,4,FALSE()),0)</f>
        <v>65.919008264462803</v>
      </c>
      <c r="J1281" s="42">
        <f t="shared" si="139"/>
        <v>415.28975206611568</v>
      </c>
      <c r="K1281" s="15" t="str">
        <f t="shared" si="134"/>
        <v>PTO-1404|MAT</v>
      </c>
      <c r="L1281" s="15">
        <f>COUNTIFS($K$2:K1281,K1281)</f>
        <v>6</v>
      </c>
      <c r="M1281" s="15" t="str">
        <f t="shared" si="135"/>
        <v>PTO-1404|MAT|6</v>
      </c>
      <c r="N1281" s="47">
        <f>IFERROR(VLOOKUP(A1281,PARTIDAS!A:F,6,FALSE()),0)</f>
        <v>9.5</v>
      </c>
      <c r="O1281" s="247">
        <f t="shared" si="136"/>
        <v>6</v>
      </c>
      <c r="P1281" s="247">
        <f>+_xlfn.XLOOKUP(A1281,PPTO_GENERADOR!Q:Q,PPTO_GENERADOR!E:E,"-",0)</f>
        <v>89</v>
      </c>
      <c r="Q1281" s="247">
        <f t="shared" si="137"/>
        <v>534</v>
      </c>
      <c r="R1281" s="259">
        <f>+_xlfn.XLOOKUP(A1281,PPTO_GENERADOR!$Q:$Q,PPTO_GENERADOR!A:A,"-",0)</f>
        <v>14.04</v>
      </c>
    </row>
    <row r="1282" spans="1:18" ht="14.25" customHeight="1" x14ac:dyDescent="0.35">
      <c r="A1282" s="38" t="s">
        <v>223</v>
      </c>
      <c r="B1282" s="38" t="s">
        <v>2774</v>
      </c>
      <c r="C1282" s="38" t="s">
        <v>2775</v>
      </c>
      <c r="D1282" s="38" t="s">
        <v>758</v>
      </c>
      <c r="E1282" s="44" t="str">
        <f>IFERROR(VLOOKUP(D1282,MATERIALES!A:B,2,FALSE()),"?")</f>
        <v>Cinta Entramada - 90m</v>
      </c>
      <c r="F1282" s="44" t="str">
        <f>IFERROR(VLOOKUP(D1282,MATERIALES!A:C,3,FALSE()),"?")</f>
        <v>u</v>
      </c>
      <c r="G1282" s="45">
        <v>1.8333333333333299E-2</v>
      </c>
      <c r="H1282" s="46">
        <v>0.05</v>
      </c>
      <c r="I1282" s="47">
        <f>IFERROR(VLOOKUP(D1282,MATERIALES!A:D,4,FALSE()),0)</f>
        <v>4042.71</v>
      </c>
      <c r="J1282" s="42">
        <f t="shared" si="139"/>
        <v>77.82216749999985</v>
      </c>
      <c r="K1282" s="15" t="str">
        <f t="shared" ref="K1282:K1345" si="140">A1282&amp;"|"&amp;B1282</f>
        <v>PTO-1404|MAT</v>
      </c>
      <c r="L1282" s="15">
        <f>COUNTIFS($K$2:K1282,K1282)</f>
        <v>7</v>
      </c>
      <c r="M1282" s="15" t="str">
        <f t="shared" ref="M1282:M1345" si="141">K1282&amp;"|"&amp;L1282</f>
        <v>PTO-1404|MAT|7</v>
      </c>
      <c r="N1282" s="47">
        <f>IFERROR(VLOOKUP(A1282,PARTIDAS!A:F,6,FALSE()),0)</f>
        <v>9.5</v>
      </c>
      <c r="O1282" s="247">
        <f t="shared" si="136"/>
        <v>1.8333333333333299E-2</v>
      </c>
      <c r="P1282" s="247">
        <f>+_xlfn.XLOOKUP(A1282,PPTO_GENERADOR!Q:Q,PPTO_GENERADOR!E:E,"-",0)</f>
        <v>89</v>
      </c>
      <c r="Q1282" s="247">
        <f t="shared" si="137"/>
        <v>1.6316666666666635</v>
      </c>
      <c r="R1282" s="259">
        <f>+_xlfn.XLOOKUP(A1282,PPTO_GENERADOR!$Q:$Q,PPTO_GENERADOR!A:A,"-",0)</f>
        <v>14.04</v>
      </c>
    </row>
    <row r="1283" spans="1:18" ht="14.25" customHeight="1" x14ac:dyDescent="0.35">
      <c r="A1283" s="38" t="s">
        <v>223</v>
      </c>
      <c r="B1283" s="38" t="s">
        <v>2774</v>
      </c>
      <c r="C1283" s="38" t="s">
        <v>2775</v>
      </c>
      <c r="D1283" s="38" t="s">
        <v>767</v>
      </c>
      <c r="E1283" s="44" t="str">
        <f>IFERROR(VLOOKUP(D1283,MATERIALES!A:B,2,FALSE()),"?")</f>
        <v>Placa Roca de Yeso 1220 x 2440 - 12.5mm - RH</v>
      </c>
      <c r="F1283" s="44" t="str">
        <f>IFERROR(VLOOKUP(D1283,MATERIALES!A:C,3,FALSE()),"?")</f>
        <v>u</v>
      </c>
      <c r="G1283" s="45">
        <v>0.36</v>
      </c>
      <c r="H1283" s="46">
        <v>0.1</v>
      </c>
      <c r="I1283" s="47">
        <f>IFERROR(VLOOKUP(D1283,MATERIALES!A:D,4,FALSE()),0)</f>
        <v>16160.1</v>
      </c>
      <c r="J1283" s="42">
        <f t="shared" si="139"/>
        <v>6399.3995999999997</v>
      </c>
      <c r="K1283" s="15" t="str">
        <f t="shared" si="140"/>
        <v>PTO-1404|MAT</v>
      </c>
      <c r="L1283" s="15">
        <f>COUNTIFS($K$2:K1283,K1283)</f>
        <v>8</v>
      </c>
      <c r="M1283" s="15" t="str">
        <f t="shared" si="141"/>
        <v>PTO-1404|MAT|8</v>
      </c>
      <c r="N1283" s="47">
        <f>IFERROR(VLOOKUP(A1283,PARTIDAS!A:F,6,FALSE()),0)</f>
        <v>9.5</v>
      </c>
      <c r="O1283" s="247">
        <f t="shared" ref="O1283:O1346" si="142">+IF(C1283="ALB",G1283/N1283,G1283)</f>
        <v>0.36</v>
      </c>
      <c r="P1283" s="247">
        <f>+_xlfn.XLOOKUP(A1283,PPTO_GENERADOR!Q:Q,PPTO_GENERADOR!E:E,"-",0)</f>
        <v>89</v>
      </c>
      <c r="Q1283" s="247">
        <f t="shared" ref="Q1283:Q1346" si="143">IFERROR(P1283*O1283,0)</f>
        <v>32.04</v>
      </c>
      <c r="R1283" s="259">
        <f>+_xlfn.XLOOKUP(A1283,PPTO_GENERADOR!$Q:$Q,PPTO_GENERADOR!A:A,"-",0)</f>
        <v>14.04</v>
      </c>
    </row>
    <row r="1284" spans="1:18" ht="14.25" customHeight="1" x14ac:dyDescent="0.35">
      <c r="A1284" s="38" t="s">
        <v>223</v>
      </c>
      <c r="B1284" s="38" t="s">
        <v>2776</v>
      </c>
      <c r="C1284" s="38" t="s">
        <v>2777</v>
      </c>
      <c r="D1284" s="237" t="s">
        <v>1574</v>
      </c>
      <c r="E1284" s="44" t="str">
        <f>IFERROR(VLOOKUP(D1284,MANO_DE_OBRA!A:B,2,FALSE()),"?")</f>
        <v>MEDIO OFICIAL</v>
      </c>
      <c r="F1284" s="44" t="s">
        <v>2778</v>
      </c>
      <c r="G1284" s="45">
        <v>1</v>
      </c>
      <c r="H1284" s="46">
        <v>0</v>
      </c>
      <c r="I1284" s="47">
        <f>IFERROR(VLOOKUP(D1284,MANO_DE_OBRA!A:C,3,FALSE()),0)</f>
        <v>65493.071636572</v>
      </c>
      <c r="J1284" s="42">
        <f>G1284*I1284</f>
        <v>65493.071636572</v>
      </c>
      <c r="K1284" s="15" t="str">
        <f t="shared" si="140"/>
        <v>PTO-1404|MO</v>
      </c>
      <c r="L1284" s="15">
        <f>COUNTIFS($K$2:K1284,K1284)</f>
        <v>1</v>
      </c>
      <c r="M1284" s="15" t="str">
        <f t="shared" si="141"/>
        <v>PTO-1404|MO|1</v>
      </c>
      <c r="N1284" s="47">
        <f>IFERROR(VLOOKUP(A1284,PARTIDAS!A:F,6,FALSE()),0)</f>
        <v>9.5</v>
      </c>
      <c r="O1284" s="247">
        <f t="shared" si="142"/>
        <v>0.10526315789473684</v>
      </c>
      <c r="P1284" s="247">
        <f>+_xlfn.XLOOKUP(A1284,PPTO_GENERADOR!Q:Q,PPTO_GENERADOR!E:E,"-",0)</f>
        <v>89</v>
      </c>
      <c r="Q1284" s="247">
        <f t="shared" si="143"/>
        <v>9.3684210526315788</v>
      </c>
      <c r="R1284" s="259">
        <f>+_xlfn.XLOOKUP(A1284,PPTO_GENERADOR!$Q:$Q,PPTO_GENERADOR!A:A,"-",0)</f>
        <v>14.04</v>
      </c>
    </row>
    <row r="1285" spans="1:18" ht="14.25" customHeight="1" x14ac:dyDescent="0.35">
      <c r="A1285" s="38" t="s">
        <v>223</v>
      </c>
      <c r="B1285" s="38" t="s">
        <v>2776</v>
      </c>
      <c r="C1285" s="38" t="s">
        <v>2777</v>
      </c>
      <c r="D1285" s="237" t="s">
        <v>1568</v>
      </c>
      <c r="E1285" s="44" t="str">
        <f>IFERROR(VLOOKUP(D1285,MANO_DE_OBRA!A:B,2,FALSE()),"?")</f>
        <v>ESPECIALIZADO</v>
      </c>
      <c r="F1285" s="44" t="s">
        <v>2778</v>
      </c>
      <c r="G1285" s="45">
        <v>1</v>
      </c>
      <c r="H1285" s="46">
        <v>0</v>
      </c>
      <c r="I1285" s="47">
        <f>IFERROR(VLOOKUP(D1285,MANO_DE_OBRA!A:C,3,FALSE()),0)</f>
        <v>85927.097156571996</v>
      </c>
      <c r="J1285" s="42">
        <f>G1285*I1285</f>
        <v>85927.097156571996</v>
      </c>
      <c r="K1285" s="15" t="str">
        <f t="shared" si="140"/>
        <v>PTO-1404|MO</v>
      </c>
      <c r="L1285" s="15">
        <f>COUNTIFS($K$2:K1285,K1285)</f>
        <v>2</v>
      </c>
      <c r="M1285" s="15" t="str">
        <f t="shared" si="141"/>
        <v>PTO-1404|MO|2</v>
      </c>
      <c r="N1285" s="47">
        <f>IFERROR(VLOOKUP(A1285,PARTIDAS!A:F,6,FALSE()),0)</f>
        <v>9.5</v>
      </c>
      <c r="O1285" s="247">
        <f t="shared" si="142"/>
        <v>0.10526315789473684</v>
      </c>
      <c r="P1285" s="247">
        <f>+_xlfn.XLOOKUP(A1285,PPTO_GENERADOR!Q:Q,PPTO_GENERADOR!E:E,"-",0)</f>
        <v>89</v>
      </c>
      <c r="Q1285" s="247">
        <f t="shared" si="143"/>
        <v>9.3684210526315788</v>
      </c>
      <c r="R1285" s="259">
        <f>+_xlfn.XLOOKUP(A1285,PPTO_GENERADOR!$Q:$Q,PPTO_GENERADOR!A:A,"-",0)</f>
        <v>14.04</v>
      </c>
    </row>
    <row r="1286" spans="1:18" ht="14.25" customHeight="1" x14ac:dyDescent="0.35">
      <c r="A1286" s="38" t="s">
        <v>225</v>
      </c>
      <c r="B1286" s="38" t="s">
        <v>2773</v>
      </c>
      <c r="C1286" s="38"/>
      <c r="D1286" s="38" t="s">
        <v>1622</v>
      </c>
      <c r="E1286" s="44" t="str">
        <f>IFERROR(VLOOKUP(D1286,EQUIPOS!A:B,2,FALSE()),"?")</f>
        <v>ESCALERA GLOSS ALUMINIO ARTICULADA 4 X 4 ESCALONES HASTA 150KG</v>
      </c>
      <c r="F1286" s="44"/>
      <c r="G1286" s="45">
        <v>1</v>
      </c>
      <c r="H1286" s="46">
        <v>0</v>
      </c>
      <c r="I1286" s="47">
        <f>IFERROR(VLOOKUP(D1286,EQUIPOS!A:F,6,FALSE()),0)</f>
        <v>140.19809259430903</v>
      </c>
      <c r="J1286" s="42">
        <f>G1286*I1286</f>
        <v>140.19809259430903</v>
      </c>
      <c r="K1286" s="15" t="str">
        <f t="shared" si="140"/>
        <v>PTO-1405|EQ</v>
      </c>
      <c r="L1286" s="15">
        <f>COUNTIFS($K$2:K1286,K1286)</f>
        <v>1</v>
      </c>
      <c r="M1286" s="15" t="str">
        <f t="shared" si="141"/>
        <v>PTO-1405|EQ|1</v>
      </c>
      <c r="N1286" s="47">
        <f>IFERROR(VLOOKUP(A1286,PARTIDAS!A:F,6,FALSE()),0)</f>
        <v>15</v>
      </c>
      <c r="O1286" s="247">
        <f t="shared" si="142"/>
        <v>1</v>
      </c>
      <c r="P1286" s="247">
        <f>+_xlfn.XLOOKUP(A1286,PPTO_GENERADOR!Q:Q,PPTO_GENERADOR!E:E,"-",0)</f>
        <v>530</v>
      </c>
      <c r="Q1286" s="247">
        <f t="shared" si="143"/>
        <v>530</v>
      </c>
      <c r="R1286" s="259">
        <f>+_xlfn.XLOOKUP(A1286,PPTO_GENERADOR!$Q:$Q,PPTO_GENERADOR!A:A,"-",0)</f>
        <v>14.05</v>
      </c>
    </row>
    <row r="1287" spans="1:18" ht="14.25" customHeight="1" x14ac:dyDescent="0.35">
      <c r="A1287" s="38" t="s">
        <v>225</v>
      </c>
      <c r="B1287" s="38" t="s">
        <v>2773</v>
      </c>
      <c r="C1287" s="38"/>
      <c r="D1287" s="38" t="s">
        <v>1744</v>
      </c>
      <c r="E1287" s="44" t="str">
        <f>IFERROR(VLOOKUP(D1287,EQUIPOS!A:B,2,FALSE()),"?")</f>
        <v>EQUIPO DE CONSTRUCCION EN SECO</v>
      </c>
      <c r="F1287" s="44"/>
      <c r="G1287" s="45">
        <v>1</v>
      </c>
      <c r="H1287" s="46">
        <v>0</v>
      </c>
      <c r="I1287" s="47">
        <f>IFERROR(VLOOKUP(D1287,EQUIPOS!A:F,6,FALSE()),0)</f>
        <v>2365.2381485799501</v>
      </c>
      <c r="J1287" s="42">
        <f>G1287*I1287</f>
        <v>2365.2381485799501</v>
      </c>
      <c r="K1287" s="15" t="str">
        <f t="shared" si="140"/>
        <v>PTO-1405|EQ</v>
      </c>
      <c r="L1287" s="15">
        <f>COUNTIFS($K$2:K1287,K1287)</f>
        <v>2</v>
      </c>
      <c r="M1287" s="15" t="str">
        <f t="shared" si="141"/>
        <v>PTO-1405|EQ|2</v>
      </c>
      <c r="N1287" s="47">
        <f>IFERROR(VLOOKUP(A1287,PARTIDAS!A:F,6,FALSE()),0)</f>
        <v>15</v>
      </c>
      <c r="O1287" s="247">
        <f t="shared" si="142"/>
        <v>1</v>
      </c>
      <c r="P1287" s="247">
        <f>+_xlfn.XLOOKUP(A1287,PPTO_GENERADOR!Q:Q,PPTO_GENERADOR!E:E,"-",0)</f>
        <v>530</v>
      </c>
      <c r="Q1287" s="247">
        <f t="shared" si="143"/>
        <v>530</v>
      </c>
      <c r="R1287" s="259">
        <f>+_xlfn.XLOOKUP(A1287,PPTO_GENERADOR!$Q:$Q,PPTO_GENERADOR!A:A,"-",0)</f>
        <v>14.05</v>
      </c>
    </row>
    <row r="1288" spans="1:18" ht="14.25" customHeight="1" x14ac:dyDescent="0.35">
      <c r="A1288" s="38" t="s">
        <v>225</v>
      </c>
      <c r="B1288" s="38" t="s">
        <v>2774</v>
      </c>
      <c r="C1288" s="38" t="s">
        <v>2775</v>
      </c>
      <c r="D1288" s="38" t="s">
        <v>752</v>
      </c>
      <c r="E1288" s="44" t="str">
        <f>IFERROR(VLOOKUP(D1288,MATERIALES!A:B,2,FALSE()),"?")</f>
        <v>Tornillo T2 - Aguja</v>
      </c>
      <c r="F1288" s="44" t="str">
        <f>IFERROR(VLOOKUP(D1288,MATERIALES!A:C,3,FALSE()),"?")</f>
        <v>u</v>
      </c>
      <c r="G1288" s="45">
        <v>3</v>
      </c>
      <c r="H1288" s="46">
        <v>0.05</v>
      </c>
      <c r="I1288" s="47">
        <f>IFERROR(VLOOKUP(D1288,MATERIALES!A:D,4,FALSE()),0)</f>
        <v>17.1963177226814</v>
      </c>
      <c r="J1288" s="42">
        <f>G1288*I1288*(1+H1288)</f>
        <v>54.168400826446408</v>
      </c>
      <c r="K1288" s="15" t="str">
        <f t="shared" si="140"/>
        <v>PTO-1405|MAT</v>
      </c>
      <c r="L1288" s="15">
        <f>COUNTIFS($K$2:K1288,K1288)</f>
        <v>1</v>
      </c>
      <c r="M1288" s="15" t="str">
        <f t="shared" si="141"/>
        <v>PTO-1405|MAT|1</v>
      </c>
      <c r="N1288" s="47">
        <f>IFERROR(VLOOKUP(A1288,PARTIDAS!A:F,6,FALSE()),0)</f>
        <v>15</v>
      </c>
      <c r="O1288" s="247">
        <f t="shared" si="142"/>
        <v>3</v>
      </c>
      <c r="P1288" s="247">
        <f>+_xlfn.XLOOKUP(A1288,PPTO_GENERADOR!Q:Q,PPTO_GENERADOR!E:E,"-",0)</f>
        <v>530</v>
      </c>
      <c r="Q1288" s="247">
        <f t="shared" si="143"/>
        <v>1590</v>
      </c>
      <c r="R1288" s="259">
        <f>+_xlfn.XLOOKUP(A1288,PPTO_GENERADOR!$Q:$Q,PPTO_GENERADOR!A:A,"-",0)</f>
        <v>14.05</v>
      </c>
    </row>
    <row r="1289" spans="1:18" ht="14.25" customHeight="1" x14ac:dyDescent="0.35">
      <c r="A1289" s="38" t="s">
        <v>225</v>
      </c>
      <c r="B1289" s="38" t="s">
        <v>2774</v>
      </c>
      <c r="C1289" s="38" t="s">
        <v>2775</v>
      </c>
      <c r="D1289" s="38" t="s">
        <v>773</v>
      </c>
      <c r="E1289" s="44" t="str">
        <f>IFERROR(VLOOKUP(D1289,MATERIALES!A:B,2,FALSE()),"?")</f>
        <v>Buña Z x 2.60m</v>
      </c>
      <c r="F1289" s="44" t="str">
        <f>IFERROR(VLOOKUP(D1289,MATERIALES!A:C,3,FALSE()),"?")</f>
        <v>u</v>
      </c>
      <c r="G1289" s="45">
        <v>0.39</v>
      </c>
      <c r="H1289" s="46">
        <v>0.1</v>
      </c>
      <c r="I1289" s="47">
        <f>IFERROR(VLOOKUP(D1289,MATERIALES!A:D,4,FALSE()),0)</f>
        <v>2351.29</v>
      </c>
      <c r="J1289" s="42">
        <f>G1289*I1289*(1+H1289)</f>
        <v>1008.7034100000001</v>
      </c>
      <c r="K1289" s="15" t="str">
        <f t="shared" si="140"/>
        <v>PTO-1405|MAT</v>
      </c>
      <c r="L1289" s="15">
        <f>COUNTIFS($K$2:K1289,K1289)</f>
        <v>2</v>
      </c>
      <c r="M1289" s="15" t="str">
        <f t="shared" si="141"/>
        <v>PTO-1405|MAT|2</v>
      </c>
      <c r="N1289" s="47">
        <f>IFERROR(VLOOKUP(A1289,PARTIDAS!A:F,6,FALSE()),0)</f>
        <v>15</v>
      </c>
      <c r="O1289" s="247">
        <f t="shared" si="142"/>
        <v>0.39</v>
      </c>
      <c r="P1289" s="247">
        <f>+_xlfn.XLOOKUP(A1289,PPTO_GENERADOR!Q:Q,PPTO_GENERADOR!E:E,"-",0)</f>
        <v>530</v>
      </c>
      <c r="Q1289" s="247">
        <f t="shared" si="143"/>
        <v>206.70000000000002</v>
      </c>
      <c r="R1289" s="259">
        <f>+_xlfn.XLOOKUP(A1289,PPTO_GENERADOR!$Q:$Q,PPTO_GENERADOR!A:A,"-",0)</f>
        <v>14.05</v>
      </c>
    </row>
    <row r="1290" spans="1:18" ht="14.25" customHeight="1" x14ac:dyDescent="0.35">
      <c r="A1290" s="38" t="s">
        <v>225</v>
      </c>
      <c r="B1290" s="38" t="s">
        <v>2776</v>
      </c>
      <c r="C1290" s="38" t="s">
        <v>2777</v>
      </c>
      <c r="D1290" s="237" t="s">
        <v>1568</v>
      </c>
      <c r="E1290" s="44" t="str">
        <f>IFERROR(VLOOKUP(D1290,MANO_DE_OBRA!A:B,2,FALSE()),"?")</f>
        <v>ESPECIALIZADO</v>
      </c>
      <c r="F1290" s="44" t="s">
        <v>2778</v>
      </c>
      <c r="G1290" s="45">
        <v>1</v>
      </c>
      <c r="H1290" s="46">
        <v>0</v>
      </c>
      <c r="I1290" s="47">
        <f>IFERROR(VLOOKUP(D1290,MANO_DE_OBRA!A:C,3,FALSE()),0)</f>
        <v>85927.097156571996</v>
      </c>
      <c r="J1290" s="42">
        <f>G1290*I1290</f>
        <v>85927.097156571996</v>
      </c>
      <c r="K1290" s="15" t="str">
        <f t="shared" si="140"/>
        <v>PTO-1405|MO</v>
      </c>
      <c r="L1290" s="15">
        <f>COUNTIFS($K$2:K1290,K1290)</f>
        <v>1</v>
      </c>
      <c r="M1290" s="15" t="str">
        <f t="shared" si="141"/>
        <v>PTO-1405|MO|1</v>
      </c>
      <c r="N1290" s="47">
        <f>IFERROR(VLOOKUP(A1290,PARTIDAS!A:F,6,FALSE()),0)</f>
        <v>15</v>
      </c>
      <c r="O1290" s="247">
        <f t="shared" si="142"/>
        <v>6.6666666666666666E-2</v>
      </c>
      <c r="P1290" s="247">
        <f>+_xlfn.XLOOKUP(A1290,PPTO_GENERADOR!Q:Q,PPTO_GENERADOR!E:E,"-",0)</f>
        <v>530</v>
      </c>
      <c r="Q1290" s="247">
        <f t="shared" si="143"/>
        <v>35.333333333333336</v>
      </c>
      <c r="R1290" s="259">
        <f>+_xlfn.XLOOKUP(A1290,PPTO_GENERADOR!$Q:$Q,PPTO_GENERADOR!A:A,"-",0)</f>
        <v>14.05</v>
      </c>
    </row>
    <row r="1291" spans="1:18" ht="14.25" customHeight="1" x14ac:dyDescent="0.35">
      <c r="A1291" s="38" t="s">
        <v>2721</v>
      </c>
      <c r="B1291" s="38" t="s">
        <v>2773</v>
      </c>
      <c r="C1291" s="38"/>
      <c r="D1291" s="38" t="s">
        <v>1878</v>
      </c>
      <c r="E1291" s="44" t="str">
        <f>IFERROR(VLOOKUP(D1291,EQUIPOS!A:B,2,FALSE()),"?")</f>
        <v xml:space="preserve">Herramientas menores y consumibles - Cantonera / Cajón </v>
      </c>
      <c r="F1291" s="44"/>
      <c r="G1291" s="45">
        <v>1</v>
      </c>
      <c r="H1291" s="46">
        <v>0</v>
      </c>
      <c r="I1291" s="47">
        <f>IFERROR(VLOOKUP(D1291,EQUIPOS!A:F,6,FALSE()),0)</f>
        <v>167.02908274495101</v>
      </c>
      <c r="J1291" s="42">
        <f>G1291*I1291</f>
        <v>167.02908274495101</v>
      </c>
      <c r="K1291" s="15" t="str">
        <f t="shared" si="140"/>
        <v>PTO-1406|EQ</v>
      </c>
      <c r="L1291" s="15">
        <f>COUNTIFS($K$2:K1291,K1291)</f>
        <v>1</v>
      </c>
      <c r="M1291" s="15" t="str">
        <f t="shared" si="141"/>
        <v>PTO-1406|EQ|1</v>
      </c>
      <c r="N1291" s="47">
        <f>IFERROR(VLOOKUP(A1291,PARTIDAS!A:F,6,FALSE()),0)</f>
        <v>15</v>
      </c>
      <c r="O1291" s="247">
        <f t="shared" si="142"/>
        <v>1</v>
      </c>
      <c r="P1291" s="247" t="str">
        <f>+_xlfn.XLOOKUP(A1291,PPTO_GENERADOR!Q:Q,PPTO_GENERADOR!E:E,"-",0)</f>
        <v>-</v>
      </c>
      <c r="Q1291" s="247">
        <f t="shared" si="143"/>
        <v>0</v>
      </c>
      <c r="R1291" s="259" t="str">
        <f>+_xlfn.XLOOKUP(A1291,PPTO_GENERADOR!$Q:$Q,PPTO_GENERADOR!A:A,"-",0)</f>
        <v>-</v>
      </c>
    </row>
    <row r="1292" spans="1:18" ht="14.25" customHeight="1" x14ac:dyDescent="0.35">
      <c r="A1292" s="38" t="s">
        <v>228</v>
      </c>
      <c r="B1292" s="38" t="s">
        <v>2773</v>
      </c>
      <c r="C1292" s="38"/>
      <c r="D1292" s="38" t="s">
        <v>1881</v>
      </c>
      <c r="E1292" s="44" t="str">
        <f>IFERROR(VLOOKUP(D1292,EQUIPOS!A:B,2,FALSE()),"?")</f>
        <v>Herramientas menores y consumibles - Hormigon visto, maquillaje</v>
      </c>
      <c r="F1292" s="44"/>
      <c r="G1292" s="45">
        <v>1</v>
      </c>
      <c r="H1292" s="46">
        <v>0</v>
      </c>
      <c r="I1292" s="47">
        <f>IFERROR(VLOOKUP(D1292,EQUIPOS!A:F,6,FALSE()),0)</f>
        <v>59.159286192318298</v>
      </c>
      <c r="J1292" s="42">
        <f>G1292*I1292</f>
        <v>59.159286192318298</v>
      </c>
      <c r="K1292" s="15" t="str">
        <f t="shared" si="140"/>
        <v>PTO-1407|EQ</v>
      </c>
      <c r="L1292" s="15">
        <f>COUNTIFS($K$2:K1292,K1292)</f>
        <v>1</v>
      </c>
      <c r="M1292" s="15" t="str">
        <f t="shared" si="141"/>
        <v>PTO-1407|EQ|1</v>
      </c>
      <c r="N1292" s="47">
        <f>IFERROR(VLOOKUP(A1292,PARTIDAS!A:F,6,FALSE()),0)</f>
        <v>1</v>
      </c>
      <c r="O1292" s="247">
        <f t="shared" si="142"/>
        <v>1</v>
      </c>
      <c r="P1292" s="247">
        <f>+_xlfn.XLOOKUP(A1292,PPTO_GENERADOR!Q:Q,PPTO_GENERADOR!E:E,"-",0)</f>
        <v>469</v>
      </c>
      <c r="Q1292" s="247">
        <f t="shared" si="143"/>
        <v>469</v>
      </c>
      <c r="R1292" s="259">
        <f>+_xlfn.XLOOKUP(A1292,PPTO_GENERADOR!$Q:$Q,PPTO_GENERADOR!A:A,"-",0)</f>
        <v>14.07</v>
      </c>
    </row>
    <row r="1293" spans="1:18" ht="14.25" customHeight="1" x14ac:dyDescent="0.35">
      <c r="A1293" s="38" t="s">
        <v>228</v>
      </c>
      <c r="B1293" s="38" t="s">
        <v>2774</v>
      </c>
      <c r="C1293" s="38" t="s">
        <v>2779</v>
      </c>
      <c r="D1293" s="38" t="s">
        <v>1045</v>
      </c>
      <c r="E1293" s="44" t="str">
        <f>IFERROR(VLOOKUP(D1293,MATERIALES!A:B,2,FALSE()),"?")</f>
        <v xml:space="preserve">Materiales varios </v>
      </c>
      <c r="F1293" s="44" t="str">
        <f>IFERROR(VLOOKUP(D1293,MATERIALES!A:C,3,FALSE()),"?")</f>
        <v>gl</v>
      </c>
      <c r="G1293" s="45">
        <v>533.04904051172696</v>
      </c>
      <c r="H1293" s="46">
        <v>0</v>
      </c>
      <c r="I1293" s="47">
        <f>IFERROR(VLOOKUP(D1293,MATERIALES!A:D,4,FALSE()),0)</f>
        <v>1</v>
      </c>
      <c r="J1293" s="42">
        <f>G1293*I1293*(1+H1293)</f>
        <v>533.04904051172696</v>
      </c>
      <c r="K1293" s="15" t="str">
        <f t="shared" si="140"/>
        <v>PTO-1407|MAT</v>
      </c>
      <c r="L1293" s="15">
        <f>COUNTIFS($K$2:K1293,K1293)</f>
        <v>1</v>
      </c>
      <c r="M1293" s="15" t="str">
        <f t="shared" si="141"/>
        <v>PTO-1407|MAT|1</v>
      </c>
      <c r="N1293" s="47">
        <f>IFERROR(VLOOKUP(A1293,PARTIDAS!A:F,6,FALSE()),0)</f>
        <v>1</v>
      </c>
      <c r="O1293" s="247">
        <f t="shared" si="142"/>
        <v>533.04904051172696</v>
      </c>
      <c r="P1293" s="247">
        <f>+_xlfn.XLOOKUP(A1293,PPTO_GENERADOR!Q:Q,PPTO_GENERADOR!E:E,"-",0)</f>
        <v>469</v>
      </c>
      <c r="Q1293" s="247">
        <f t="shared" si="143"/>
        <v>249999.99999999994</v>
      </c>
      <c r="R1293" s="259">
        <f>+_xlfn.XLOOKUP(A1293,PPTO_GENERADOR!$Q:$Q,PPTO_GENERADOR!A:A,"-",0)</f>
        <v>14.07</v>
      </c>
    </row>
    <row r="1294" spans="1:18" ht="14.25" customHeight="1" x14ac:dyDescent="0.35">
      <c r="A1294" s="38" t="s">
        <v>228</v>
      </c>
      <c r="B1294" s="38" t="s">
        <v>2774</v>
      </c>
      <c r="C1294" s="38" t="s">
        <v>2775</v>
      </c>
      <c r="D1294" s="38" t="s">
        <v>1045</v>
      </c>
      <c r="E1294" s="44" t="str">
        <f>IFERROR(VLOOKUP(D1294,MATERIALES!A:B,2,FALSE()),"?")</f>
        <v xml:space="preserve">Materiales varios </v>
      </c>
      <c r="F1294" s="44" t="str">
        <f>IFERROR(VLOOKUP(D1294,MATERIALES!A:C,3,FALSE()),"?")</f>
        <v>gl</v>
      </c>
      <c r="G1294" s="45">
        <v>533.04904051172696</v>
      </c>
      <c r="H1294" s="46">
        <v>0</v>
      </c>
      <c r="I1294" s="47">
        <f>IFERROR(VLOOKUP(D1294,MATERIALES!A:D,4,FALSE()),0)</f>
        <v>1</v>
      </c>
      <c r="J1294" s="42">
        <f>G1294*I1294*(1+H1294)</f>
        <v>533.04904051172696</v>
      </c>
      <c r="K1294" s="15" t="str">
        <f t="shared" si="140"/>
        <v>PTO-1407|MAT</v>
      </c>
      <c r="L1294" s="15">
        <f>COUNTIFS($K$2:K1294,K1294)</f>
        <v>2</v>
      </c>
      <c r="M1294" s="15" t="str">
        <f t="shared" si="141"/>
        <v>PTO-1407|MAT|2</v>
      </c>
      <c r="N1294" s="47">
        <f>IFERROR(VLOOKUP(A1294,PARTIDAS!A:F,6,FALSE()),0)</f>
        <v>1</v>
      </c>
      <c r="O1294" s="247">
        <f t="shared" si="142"/>
        <v>533.04904051172696</v>
      </c>
      <c r="P1294" s="247">
        <f>+_xlfn.XLOOKUP(A1294,PPTO_GENERADOR!Q:Q,PPTO_GENERADOR!E:E,"-",0)</f>
        <v>469</v>
      </c>
      <c r="Q1294" s="247">
        <f t="shared" si="143"/>
        <v>249999.99999999994</v>
      </c>
      <c r="R1294" s="259">
        <f>+_xlfn.XLOOKUP(A1294,PPTO_GENERADOR!$Q:$Q,PPTO_GENERADOR!A:A,"-",0)</f>
        <v>14.07</v>
      </c>
    </row>
    <row r="1295" spans="1:18" ht="14.25" customHeight="1" x14ac:dyDescent="0.35">
      <c r="A1295" s="38" t="s">
        <v>228</v>
      </c>
      <c r="B1295" s="38" t="s">
        <v>2776</v>
      </c>
      <c r="C1295" s="38" t="s">
        <v>2777</v>
      </c>
      <c r="D1295" s="38" t="s">
        <v>1577</v>
      </c>
      <c r="E1295" s="44" t="str">
        <f>IFERROR(VLOOKUP(D1295,MANO_DE_OBRA!A:B,2,FALSE()),"?")</f>
        <v>AYUDANTE</v>
      </c>
      <c r="F1295" s="44" t="s">
        <v>2778</v>
      </c>
      <c r="G1295" s="45">
        <v>2.7718550106609799E-2</v>
      </c>
      <c r="H1295" s="46">
        <v>0</v>
      </c>
      <c r="I1295" s="47">
        <f>IFERROR(VLOOKUP(D1295,MANO_DE_OBRA!A:C,3,FALSE()),0)</f>
        <v>60860.580776572002</v>
      </c>
      <c r="J1295" s="42">
        <f>G1295*I1295</f>
        <v>1686.9670577727841</v>
      </c>
      <c r="K1295" s="15" t="str">
        <f t="shared" si="140"/>
        <v>PTO-1407|MO</v>
      </c>
      <c r="L1295" s="15">
        <f>COUNTIFS($K$2:K1295,K1295)</f>
        <v>1</v>
      </c>
      <c r="M1295" s="15" t="str">
        <f t="shared" si="141"/>
        <v>PTO-1407|MO|1</v>
      </c>
      <c r="N1295" s="47">
        <f>IFERROR(VLOOKUP(A1295,PARTIDAS!A:F,6,FALSE()),0)</f>
        <v>1</v>
      </c>
      <c r="O1295" s="247">
        <f t="shared" si="142"/>
        <v>2.7718550106609799E-2</v>
      </c>
      <c r="P1295" s="247">
        <f>+_xlfn.XLOOKUP(A1295,PPTO_GENERADOR!Q:Q,PPTO_GENERADOR!E:E,"-",0)</f>
        <v>469</v>
      </c>
      <c r="Q1295" s="247">
        <f t="shared" si="143"/>
        <v>12.999999999999996</v>
      </c>
      <c r="R1295" s="259">
        <f>+_xlfn.XLOOKUP(A1295,PPTO_GENERADOR!$Q:$Q,PPTO_GENERADOR!A:A,"-",0)</f>
        <v>14.07</v>
      </c>
    </row>
    <row r="1296" spans="1:18" ht="14.25" customHeight="1" x14ac:dyDescent="0.35">
      <c r="A1296" s="38" t="s">
        <v>228</v>
      </c>
      <c r="B1296" s="38" t="s">
        <v>2776</v>
      </c>
      <c r="C1296" s="38" t="s">
        <v>2777</v>
      </c>
      <c r="D1296" s="237" t="s">
        <v>1568</v>
      </c>
      <c r="E1296" s="44" t="str">
        <f>IFERROR(VLOOKUP(D1296,MANO_DE_OBRA!A:B,2,FALSE()),"?")</f>
        <v>ESPECIALIZADO</v>
      </c>
      <c r="F1296" s="44" t="s">
        <v>2778</v>
      </c>
      <c r="G1296" s="45">
        <v>1.3859275053304899E-2</v>
      </c>
      <c r="H1296" s="46">
        <v>0</v>
      </c>
      <c r="I1296" s="47">
        <f>IFERROR(VLOOKUP(D1296,MANO_DE_OBRA!A:C,3,FALSE()),0)</f>
        <v>85927.097156571996</v>
      </c>
      <c r="J1296" s="42">
        <f>G1296*I1296</f>
        <v>1190.8872740249847</v>
      </c>
      <c r="K1296" s="15" t="str">
        <f t="shared" si="140"/>
        <v>PTO-1407|MO</v>
      </c>
      <c r="L1296" s="15">
        <f>COUNTIFS($K$2:K1296,K1296)</f>
        <v>2</v>
      </c>
      <c r="M1296" s="15" t="str">
        <f t="shared" si="141"/>
        <v>PTO-1407|MO|2</v>
      </c>
      <c r="N1296" s="47">
        <f>IFERROR(VLOOKUP(A1296,PARTIDAS!A:F,6,FALSE()),0)</f>
        <v>1</v>
      </c>
      <c r="O1296" s="247">
        <f t="shared" si="142"/>
        <v>1.3859275053304899E-2</v>
      </c>
      <c r="P1296" s="247">
        <f>+_xlfn.XLOOKUP(A1296,PPTO_GENERADOR!Q:Q,PPTO_GENERADOR!E:E,"-",0)</f>
        <v>469</v>
      </c>
      <c r="Q1296" s="247">
        <f t="shared" si="143"/>
        <v>6.4999999999999982</v>
      </c>
      <c r="R1296" s="259">
        <f>+_xlfn.XLOOKUP(A1296,PPTO_GENERADOR!$Q:$Q,PPTO_GENERADOR!A:A,"-",0)</f>
        <v>14.07</v>
      </c>
    </row>
    <row r="1297" spans="1:18" ht="14.25" customHeight="1" x14ac:dyDescent="0.35">
      <c r="A1297" s="38" t="s">
        <v>2723</v>
      </c>
      <c r="B1297" s="38" t="s">
        <v>2773</v>
      </c>
      <c r="C1297" s="38"/>
      <c r="D1297" s="38" t="s">
        <v>1747</v>
      </c>
      <c r="E1297" s="44" t="str">
        <f>IFERROR(VLOOKUP(D1297,EQUIPOS!A:B,2,FALSE()),"?")</f>
        <v>[EQ] Latex exterior mate en paredes, color bco., sin enduido, a mas de 3 m de altura - Medianeras</v>
      </c>
      <c r="F1297" s="44"/>
      <c r="G1297" s="45">
        <v>1</v>
      </c>
      <c r="H1297" s="46">
        <v>0</v>
      </c>
      <c r="I1297" s="47">
        <f>IFERROR(VLOOKUP(D1297,EQUIPOS!A:F,6,FALSE()),0)</f>
        <v>234.442307493812</v>
      </c>
      <c r="J1297" s="42">
        <f>G1297*I1297</f>
        <v>234.442307493812</v>
      </c>
      <c r="K1297" s="15" t="str">
        <f t="shared" si="140"/>
        <v>PTO-1501|EQ</v>
      </c>
      <c r="L1297" s="15">
        <f>COUNTIFS($K$2:K1297,K1297)</f>
        <v>1</v>
      </c>
      <c r="M1297" s="15" t="str">
        <f t="shared" si="141"/>
        <v>PTO-1501|EQ|1</v>
      </c>
      <c r="N1297" s="47">
        <f>IFERROR(VLOOKUP(A1297,PARTIDAS!A:F,6,FALSE()),0)</f>
        <v>1</v>
      </c>
      <c r="O1297" s="247">
        <f t="shared" si="142"/>
        <v>1</v>
      </c>
      <c r="P1297" s="247" t="str">
        <f>+_xlfn.XLOOKUP(A1297,PPTO_GENERADOR!Q:Q,PPTO_GENERADOR!E:E,"-",0)</f>
        <v>-</v>
      </c>
      <c r="Q1297" s="247">
        <f t="shared" si="143"/>
        <v>0</v>
      </c>
      <c r="R1297" s="259" t="str">
        <f>+_xlfn.XLOOKUP(A1297,PPTO_GENERADOR!$Q:$Q,PPTO_GENERADOR!A:A,"-",0)</f>
        <v>-</v>
      </c>
    </row>
    <row r="1298" spans="1:18" ht="14.25" customHeight="1" x14ac:dyDescent="0.35">
      <c r="A1298" s="38" t="s">
        <v>2723</v>
      </c>
      <c r="B1298" s="38" t="s">
        <v>2774</v>
      </c>
      <c r="C1298" s="38" t="s">
        <v>2775</v>
      </c>
      <c r="D1298" s="38" t="s">
        <v>1256</v>
      </c>
      <c r="E1298" s="44" t="str">
        <f>IFERROR(VLOOKUP(D1298,MATERIALES!A:B,2,FALSE()),"?")</f>
        <v>[Materiales] Latex exterior mate en paredes, color bco., sin enduido, a mas de 3 m de altura - Medianeras</v>
      </c>
      <c r="F1298" s="44" t="str">
        <f>IFERROR(VLOOKUP(D1298,MATERIALES!A:C,3,FALSE()),"?")</f>
        <v>m2</v>
      </c>
      <c r="G1298" s="45">
        <v>1</v>
      </c>
      <c r="H1298" s="46">
        <v>0</v>
      </c>
      <c r="I1298" s="47">
        <f>IFERROR(VLOOKUP(D1298,MATERIALES!A:D,4,FALSE()),0)</f>
        <v>1824.926273</v>
      </c>
      <c r="J1298" s="42">
        <f>G1298*I1298*(1+H1298)</f>
        <v>1824.926273</v>
      </c>
      <c r="K1298" s="15" t="str">
        <f t="shared" si="140"/>
        <v>PTO-1501|MAT</v>
      </c>
      <c r="L1298" s="15">
        <f>COUNTIFS($K$2:K1298,K1298)</f>
        <v>1</v>
      </c>
      <c r="M1298" s="15" t="str">
        <f t="shared" si="141"/>
        <v>PTO-1501|MAT|1</v>
      </c>
      <c r="N1298" s="47">
        <f>IFERROR(VLOOKUP(A1298,PARTIDAS!A:F,6,FALSE()),0)</f>
        <v>1</v>
      </c>
      <c r="O1298" s="247">
        <f t="shared" si="142"/>
        <v>1</v>
      </c>
      <c r="P1298" s="247" t="str">
        <f>+_xlfn.XLOOKUP(A1298,PPTO_GENERADOR!Q:Q,PPTO_GENERADOR!E:E,"-",0)</f>
        <v>-</v>
      </c>
      <c r="Q1298" s="247">
        <f t="shared" si="143"/>
        <v>0</v>
      </c>
      <c r="R1298" s="259" t="str">
        <f>+_xlfn.XLOOKUP(A1298,PPTO_GENERADOR!$Q:$Q,PPTO_GENERADOR!A:A,"-",0)</f>
        <v>-</v>
      </c>
    </row>
    <row r="1299" spans="1:18" ht="14.25" customHeight="1" x14ac:dyDescent="0.35">
      <c r="A1299" s="38" t="s">
        <v>2723</v>
      </c>
      <c r="B1299" s="38" t="s">
        <v>2776</v>
      </c>
      <c r="C1299" s="38" t="s">
        <v>2775</v>
      </c>
      <c r="D1299" s="38" t="s">
        <v>2296</v>
      </c>
      <c r="E1299" s="44" t="str">
        <f>IFERROR(VLOOKUP(D1299,SUBCONTRATOS_PRY!A:B,2,FALSE()),"?")</f>
        <v>[MO] Latex exterior mate en paredes, color bco., sin enduido, a mas de 3 m de altura - Medianeras</v>
      </c>
      <c r="F1299" s="44" t="s">
        <v>2778</v>
      </c>
      <c r="G1299" s="45">
        <v>1</v>
      </c>
      <c r="H1299" s="46">
        <v>0</v>
      </c>
      <c r="I1299" s="47">
        <f>IFERROR(VLOOKUP(D1299,SUBCONTRATOS_PRY!A:D,4,FALSE()),0)</f>
        <v>14504.129532884899</v>
      </c>
      <c r="J1299" s="42">
        <f>G1299*I1299</f>
        <v>14504.129532884899</v>
      </c>
      <c r="K1299" s="15" t="str">
        <f t="shared" si="140"/>
        <v>PTO-1501|MO</v>
      </c>
      <c r="L1299" s="15">
        <f>COUNTIFS($K$2:K1299,K1299)</f>
        <v>1</v>
      </c>
      <c r="M1299" s="15" t="str">
        <f t="shared" si="141"/>
        <v>PTO-1501|MO|1</v>
      </c>
      <c r="N1299" s="47">
        <f>IFERROR(VLOOKUP(A1299,PARTIDAS!A:F,6,FALSE()),0)</f>
        <v>1</v>
      </c>
      <c r="O1299" s="247">
        <f t="shared" si="142"/>
        <v>1</v>
      </c>
      <c r="P1299" s="247" t="str">
        <f>+_xlfn.XLOOKUP(A1299,PPTO_GENERADOR!Q:Q,PPTO_GENERADOR!E:E,"-",0)</f>
        <v>-</v>
      </c>
      <c r="Q1299" s="247">
        <f t="shared" si="143"/>
        <v>0</v>
      </c>
      <c r="R1299" s="259" t="str">
        <f>+_xlfn.XLOOKUP(A1299,PPTO_GENERADOR!$Q:$Q,PPTO_GENERADOR!A:A,"-",0)</f>
        <v>-</v>
      </c>
    </row>
    <row r="1300" spans="1:18" ht="14.25" customHeight="1" x14ac:dyDescent="0.35">
      <c r="A1300" s="38" t="s">
        <v>2725</v>
      </c>
      <c r="B1300" s="38" t="s">
        <v>2773</v>
      </c>
      <c r="C1300" s="38"/>
      <c r="D1300" s="38" t="s">
        <v>1604</v>
      </c>
      <c r="E1300" s="44" t="str">
        <f>IFERROR(VLOOKUP(D1300,EQUIPOS!A:B,2,FALSE()),"?")</f>
        <v>EQUIPO PARA PINTAR</v>
      </c>
      <c r="F1300" s="44"/>
      <c r="G1300" s="45">
        <v>1</v>
      </c>
      <c r="H1300" s="46">
        <v>0</v>
      </c>
      <c r="I1300" s="47">
        <f>IFERROR(VLOOKUP(D1300,EQUIPOS!A:F,6,FALSE()),0)</f>
        <v>1723.6259595547085</v>
      </c>
      <c r="J1300" s="42">
        <f>G1300*I1300</f>
        <v>1723.6259595547085</v>
      </c>
      <c r="K1300" s="15" t="str">
        <f t="shared" si="140"/>
        <v>PTO-1502|EQ</v>
      </c>
      <c r="L1300" s="15">
        <f>COUNTIFS($K$2:K1300,K1300)</f>
        <v>1</v>
      </c>
      <c r="M1300" s="15" t="str">
        <f t="shared" si="141"/>
        <v>PTO-1502|EQ|1</v>
      </c>
      <c r="N1300" s="47">
        <f>IFERROR(VLOOKUP(A1300,PARTIDAS!A:F,6,FALSE()),0)</f>
        <v>20</v>
      </c>
      <c r="O1300" s="247">
        <f t="shared" si="142"/>
        <v>1</v>
      </c>
      <c r="P1300" s="247" t="str">
        <f>+_xlfn.XLOOKUP(A1300,PPTO_GENERADOR!Q:Q,PPTO_GENERADOR!E:E,"-",0)</f>
        <v>-</v>
      </c>
      <c r="Q1300" s="247">
        <f t="shared" si="143"/>
        <v>0</v>
      </c>
      <c r="R1300" s="259" t="str">
        <f>+_xlfn.XLOOKUP(A1300,PPTO_GENERADOR!$Q:$Q,PPTO_GENERADOR!A:A,"-",0)</f>
        <v>-</v>
      </c>
    </row>
    <row r="1301" spans="1:18" ht="14.25" customHeight="1" x14ac:dyDescent="0.35">
      <c r="A1301" s="38" t="s">
        <v>2725</v>
      </c>
      <c r="B1301" s="38" t="s">
        <v>2773</v>
      </c>
      <c r="C1301" s="38"/>
      <c r="D1301" s="38" t="s">
        <v>1749</v>
      </c>
      <c r="E1301" s="44" t="str">
        <f>IFERROR(VLOOKUP(D1301,EQUIPOS!A:B,2,FALSE()),"?")</f>
        <v>ESCALERA MADERA PINTOR 8 ESCALONES</v>
      </c>
      <c r="F1301" s="44"/>
      <c r="G1301" s="45">
        <v>1</v>
      </c>
      <c r="H1301" s="46">
        <v>0</v>
      </c>
      <c r="I1301" s="47">
        <f>IFERROR(VLOOKUP(D1301,EQUIPOS!A:F,6,FALSE()),0)</f>
        <v>200.25307946474501</v>
      </c>
      <c r="J1301" s="42">
        <f>G1301*I1301</f>
        <v>200.25307946474501</v>
      </c>
      <c r="K1301" s="15" t="str">
        <f t="shared" si="140"/>
        <v>PTO-1502|EQ</v>
      </c>
      <c r="L1301" s="15">
        <f>COUNTIFS($K$2:K1301,K1301)</f>
        <v>2</v>
      </c>
      <c r="M1301" s="15" t="str">
        <f t="shared" si="141"/>
        <v>PTO-1502|EQ|2</v>
      </c>
      <c r="N1301" s="47">
        <f>IFERROR(VLOOKUP(A1301,PARTIDAS!A:F,6,FALSE()),0)</f>
        <v>20</v>
      </c>
      <c r="O1301" s="247">
        <f t="shared" si="142"/>
        <v>1</v>
      </c>
      <c r="P1301" s="247" t="str">
        <f>+_xlfn.XLOOKUP(A1301,PPTO_GENERADOR!Q:Q,PPTO_GENERADOR!E:E,"-",0)</f>
        <v>-</v>
      </c>
      <c r="Q1301" s="247">
        <f t="shared" si="143"/>
        <v>0</v>
      </c>
      <c r="R1301" s="259" t="str">
        <f>+_xlfn.XLOOKUP(A1301,PPTO_GENERADOR!$Q:$Q,PPTO_GENERADOR!A:A,"-",0)</f>
        <v>-</v>
      </c>
    </row>
    <row r="1302" spans="1:18" ht="14.25" customHeight="1" x14ac:dyDescent="0.35">
      <c r="A1302" s="38" t="s">
        <v>2725</v>
      </c>
      <c r="B1302" s="38" t="s">
        <v>2774</v>
      </c>
      <c r="C1302" s="38" t="s">
        <v>2775</v>
      </c>
      <c r="D1302" s="38" t="s">
        <v>842</v>
      </c>
      <c r="E1302" s="44" t="str">
        <f>IFERROR(VLOOKUP(D1302,MATERIALES!A:B,2,FALSE()),"?")</f>
        <v>Fijador al agua x 20 lts</v>
      </c>
      <c r="F1302" s="44" t="str">
        <f>IFERROR(VLOOKUP(D1302,MATERIALES!A:C,3,FALSE()),"?")</f>
        <v>b</v>
      </c>
      <c r="G1302" s="45">
        <v>4.0000000000000001E-3</v>
      </c>
      <c r="H1302" s="46">
        <v>0.05</v>
      </c>
      <c r="I1302" s="47">
        <f>IFERROR(VLOOKUP(D1302,MATERIALES!A:D,4,FALSE()),0)</f>
        <v>30467.49</v>
      </c>
      <c r="J1302" s="42">
        <f t="shared" ref="J1302:J1311" si="144">G1302*I1302*(1+H1302)</f>
        <v>127.96345800000002</v>
      </c>
      <c r="K1302" s="15" t="str">
        <f t="shared" si="140"/>
        <v>PTO-1502|MAT</v>
      </c>
      <c r="L1302" s="15">
        <f>COUNTIFS($K$2:K1302,K1302)</f>
        <v>1</v>
      </c>
      <c r="M1302" s="15" t="str">
        <f t="shared" si="141"/>
        <v>PTO-1502|MAT|1</v>
      </c>
      <c r="N1302" s="47">
        <f>IFERROR(VLOOKUP(A1302,PARTIDAS!A:F,6,FALSE()),0)</f>
        <v>20</v>
      </c>
      <c r="O1302" s="247">
        <f t="shared" si="142"/>
        <v>4.0000000000000001E-3</v>
      </c>
      <c r="P1302" s="247" t="str">
        <f>+_xlfn.XLOOKUP(A1302,PPTO_GENERADOR!Q:Q,PPTO_GENERADOR!E:E,"-",0)</f>
        <v>-</v>
      </c>
      <c r="Q1302" s="247">
        <f t="shared" si="143"/>
        <v>0</v>
      </c>
      <c r="R1302" s="259" t="str">
        <f>+_xlfn.XLOOKUP(A1302,PPTO_GENERADOR!$Q:$Q,PPTO_GENERADOR!A:A,"-",0)</f>
        <v>-</v>
      </c>
    </row>
    <row r="1303" spans="1:18" ht="14.25" customHeight="1" x14ac:dyDescent="0.35">
      <c r="A1303" s="38" t="s">
        <v>2725</v>
      </c>
      <c r="B1303" s="38" t="s">
        <v>2774</v>
      </c>
      <c r="C1303" s="38" t="s">
        <v>2775</v>
      </c>
      <c r="D1303" s="38" t="s">
        <v>848</v>
      </c>
      <c r="E1303" s="44" t="str">
        <f>IFERROR(VLOOKUP(D1303,MATERIALES!A:B,2,FALSE()),"?")</f>
        <v>Lija 180 al agua x 10u</v>
      </c>
      <c r="F1303" s="44" t="str">
        <f>IFERROR(VLOOKUP(D1303,MATERIALES!A:C,3,FALSE()),"?")</f>
        <v>u</v>
      </c>
      <c r="G1303" s="45">
        <v>1.4999999999999999E-2</v>
      </c>
      <c r="H1303" s="46">
        <v>0.05</v>
      </c>
      <c r="I1303" s="47">
        <f>IFERROR(VLOOKUP(D1303,MATERIALES!A:D,4,FALSE()),0)</f>
        <v>5661.4</v>
      </c>
      <c r="J1303" s="42">
        <f t="shared" si="144"/>
        <v>89.167049999999989</v>
      </c>
      <c r="K1303" s="15" t="str">
        <f t="shared" si="140"/>
        <v>PTO-1502|MAT</v>
      </c>
      <c r="L1303" s="15">
        <f>COUNTIFS($K$2:K1303,K1303)</f>
        <v>2</v>
      </c>
      <c r="M1303" s="15" t="str">
        <f t="shared" si="141"/>
        <v>PTO-1502|MAT|2</v>
      </c>
      <c r="N1303" s="47">
        <f>IFERROR(VLOOKUP(A1303,PARTIDAS!A:F,6,FALSE()),0)</f>
        <v>20</v>
      </c>
      <c r="O1303" s="247">
        <f t="shared" si="142"/>
        <v>1.4999999999999999E-2</v>
      </c>
      <c r="P1303" s="247" t="str">
        <f>+_xlfn.XLOOKUP(A1303,PPTO_GENERADOR!Q:Q,PPTO_GENERADOR!E:E,"-",0)</f>
        <v>-</v>
      </c>
      <c r="Q1303" s="247">
        <f t="shared" si="143"/>
        <v>0</v>
      </c>
      <c r="R1303" s="259" t="str">
        <f>+_xlfn.XLOOKUP(A1303,PPTO_GENERADOR!$Q:$Q,PPTO_GENERADOR!A:A,"-",0)</f>
        <v>-</v>
      </c>
    </row>
    <row r="1304" spans="1:18" ht="14.25" customHeight="1" x14ac:dyDescent="0.35">
      <c r="A1304" s="38" t="s">
        <v>2725</v>
      </c>
      <c r="B1304" s="38" t="s">
        <v>2774</v>
      </c>
      <c r="C1304" s="38" t="s">
        <v>2775</v>
      </c>
      <c r="D1304" s="38" t="s">
        <v>851</v>
      </c>
      <c r="E1304" s="44" t="str">
        <f>IFERROR(VLOOKUP(D1304,MATERIALES!A:B,2,FALSE()),"?")</f>
        <v>Cinta de Papel 36 mm x 40m</v>
      </c>
      <c r="F1304" s="44" t="str">
        <f>IFERROR(VLOOKUP(D1304,MATERIALES!A:C,3,FALSE()),"?")</f>
        <v>u</v>
      </c>
      <c r="G1304" s="45">
        <v>0.05</v>
      </c>
      <c r="H1304" s="46">
        <v>0.1</v>
      </c>
      <c r="I1304" s="47">
        <f>IFERROR(VLOOKUP(D1304,MATERIALES!A:D,4,FALSE()),0)</f>
        <v>3293.01</v>
      </c>
      <c r="J1304" s="42">
        <f t="shared" si="144"/>
        <v>181.11555000000004</v>
      </c>
      <c r="K1304" s="15" t="str">
        <f t="shared" si="140"/>
        <v>PTO-1502|MAT</v>
      </c>
      <c r="L1304" s="15">
        <f>COUNTIFS($K$2:K1304,K1304)</f>
        <v>3</v>
      </c>
      <c r="M1304" s="15" t="str">
        <f t="shared" si="141"/>
        <v>PTO-1502|MAT|3</v>
      </c>
      <c r="N1304" s="47">
        <f>IFERROR(VLOOKUP(A1304,PARTIDAS!A:F,6,FALSE()),0)</f>
        <v>20</v>
      </c>
      <c r="O1304" s="247">
        <f t="shared" si="142"/>
        <v>0.05</v>
      </c>
      <c r="P1304" s="247" t="str">
        <f>+_xlfn.XLOOKUP(A1304,PPTO_GENERADOR!Q:Q,PPTO_GENERADOR!E:E,"-",0)</f>
        <v>-</v>
      </c>
      <c r="Q1304" s="247">
        <f t="shared" si="143"/>
        <v>0</v>
      </c>
      <c r="R1304" s="259" t="str">
        <f>+_xlfn.XLOOKUP(A1304,PPTO_GENERADOR!$Q:$Q,PPTO_GENERADOR!A:A,"-",0)</f>
        <v>-</v>
      </c>
    </row>
    <row r="1305" spans="1:18" ht="14.25" customHeight="1" x14ac:dyDescent="0.35">
      <c r="A1305" s="38" t="s">
        <v>2725</v>
      </c>
      <c r="B1305" s="38" t="s">
        <v>2774</v>
      </c>
      <c r="C1305" s="38" t="s">
        <v>2775</v>
      </c>
      <c r="D1305" s="38" t="s">
        <v>855</v>
      </c>
      <c r="E1305" s="44" t="str">
        <f>IFERROR(VLOOKUP(D1305,MATERIALES!A:B,2,FALSE()),"?")</f>
        <v>Trapo</v>
      </c>
      <c r="F1305" s="44" t="str">
        <f>IFERROR(VLOOKUP(D1305,MATERIALES!A:C,3,FALSE()),"?")</f>
        <v>u</v>
      </c>
      <c r="G1305" s="45">
        <v>0.03</v>
      </c>
      <c r="H1305" s="46">
        <v>0.05</v>
      </c>
      <c r="I1305" s="47">
        <f>IFERROR(VLOOKUP(D1305,MATERIALES!A:D,4,FALSE()),0)</f>
        <v>735.06</v>
      </c>
      <c r="J1305" s="42">
        <f t="shared" si="144"/>
        <v>23.154389999999996</v>
      </c>
      <c r="K1305" s="15" t="str">
        <f t="shared" si="140"/>
        <v>PTO-1502|MAT</v>
      </c>
      <c r="L1305" s="15">
        <f>COUNTIFS($K$2:K1305,K1305)</f>
        <v>4</v>
      </c>
      <c r="M1305" s="15" t="str">
        <f t="shared" si="141"/>
        <v>PTO-1502|MAT|4</v>
      </c>
      <c r="N1305" s="47">
        <f>IFERROR(VLOOKUP(A1305,PARTIDAS!A:F,6,FALSE()),0)</f>
        <v>20</v>
      </c>
      <c r="O1305" s="247">
        <f t="shared" si="142"/>
        <v>0.03</v>
      </c>
      <c r="P1305" s="247" t="str">
        <f>+_xlfn.XLOOKUP(A1305,PPTO_GENERADOR!Q:Q,PPTO_GENERADOR!E:E,"-",0)</f>
        <v>-</v>
      </c>
      <c r="Q1305" s="247">
        <f t="shared" si="143"/>
        <v>0</v>
      </c>
      <c r="R1305" s="259" t="str">
        <f>+_xlfn.XLOOKUP(A1305,PPTO_GENERADOR!$Q:$Q,PPTO_GENERADOR!A:A,"-",0)</f>
        <v>-</v>
      </c>
    </row>
    <row r="1306" spans="1:18" ht="14.25" customHeight="1" x14ac:dyDescent="0.35">
      <c r="A1306" s="38" t="s">
        <v>2725</v>
      </c>
      <c r="B1306" s="38" t="s">
        <v>2774</v>
      </c>
      <c r="C1306" s="38" t="s">
        <v>2775</v>
      </c>
      <c r="D1306" s="38" t="s">
        <v>861</v>
      </c>
      <c r="E1306" s="44" t="str">
        <f>IFERROR(VLOOKUP(D1306,MATERIALES!A:B,2,FALSE()),"?")</f>
        <v>Rodillo de lana pelo corto antigota N°22 - El Galgo</v>
      </c>
      <c r="F1306" s="44" t="str">
        <f>IFERROR(VLOOKUP(D1306,MATERIALES!A:C,3,FALSE()),"?")</f>
        <v>u</v>
      </c>
      <c r="G1306" s="45">
        <v>5.0000000000000001E-3</v>
      </c>
      <c r="H1306" s="46">
        <v>0.05</v>
      </c>
      <c r="I1306" s="47">
        <f>IFERROR(VLOOKUP(D1306,MATERIALES!A:D,4,FALSE()),0)</f>
        <v>6678.36</v>
      </c>
      <c r="J1306" s="42">
        <f t="shared" si="144"/>
        <v>35.061389999999996</v>
      </c>
      <c r="K1306" s="15" t="str">
        <f t="shared" si="140"/>
        <v>PTO-1502|MAT</v>
      </c>
      <c r="L1306" s="15">
        <f>COUNTIFS($K$2:K1306,K1306)</f>
        <v>5</v>
      </c>
      <c r="M1306" s="15" t="str">
        <f t="shared" si="141"/>
        <v>PTO-1502|MAT|5</v>
      </c>
      <c r="N1306" s="47">
        <f>IFERROR(VLOOKUP(A1306,PARTIDAS!A:F,6,FALSE()),0)</f>
        <v>20</v>
      </c>
      <c r="O1306" s="247">
        <f t="shared" si="142"/>
        <v>5.0000000000000001E-3</v>
      </c>
      <c r="P1306" s="247" t="str">
        <f>+_xlfn.XLOOKUP(A1306,PPTO_GENERADOR!Q:Q,PPTO_GENERADOR!E:E,"-",0)</f>
        <v>-</v>
      </c>
      <c r="Q1306" s="247">
        <f t="shared" si="143"/>
        <v>0</v>
      </c>
      <c r="R1306" s="259" t="str">
        <f>+_xlfn.XLOOKUP(A1306,PPTO_GENERADOR!$Q:$Q,PPTO_GENERADOR!A:A,"-",0)</f>
        <v>-</v>
      </c>
    </row>
    <row r="1307" spans="1:18" ht="14.25" customHeight="1" x14ac:dyDescent="0.35">
      <c r="A1307" s="38" t="s">
        <v>2725</v>
      </c>
      <c r="B1307" s="38" t="s">
        <v>2774</v>
      </c>
      <c r="C1307" s="38" t="s">
        <v>2775</v>
      </c>
      <c r="D1307" s="38" t="s">
        <v>865</v>
      </c>
      <c r="E1307" s="44" t="str">
        <f>IFERROR(VLOOKUP(D1307,MATERIALES!A:B,2,FALSE()),"?")</f>
        <v>Pincel N° 20 - El Galgo</v>
      </c>
      <c r="F1307" s="44" t="str">
        <f>IFERROR(VLOOKUP(D1307,MATERIALES!A:C,3,FALSE()),"?")</f>
        <v>u</v>
      </c>
      <c r="G1307" s="45">
        <v>5.0000000000000001E-3</v>
      </c>
      <c r="H1307" s="46">
        <v>0.05</v>
      </c>
      <c r="I1307" s="47">
        <f>IFERROR(VLOOKUP(D1307,MATERIALES!A:D,4,FALSE()),0)</f>
        <v>5282.24</v>
      </c>
      <c r="J1307" s="42">
        <f t="shared" si="144"/>
        <v>27.731760000000001</v>
      </c>
      <c r="K1307" s="15" t="str">
        <f t="shared" si="140"/>
        <v>PTO-1502|MAT</v>
      </c>
      <c r="L1307" s="15">
        <f>COUNTIFS($K$2:K1307,K1307)</f>
        <v>6</v>
      </c>
      <c r="M1307" s="15" t="str">
        <f t="shared" si="141"/>
        <v>PTO-1502|MAT|6</v>
      </c>
      <c r="N1307" s="47">
        <f>IFERROR(VLOOKUP(A1307,PARTIDAS!A:F,6,FALSE()),0)</f>
        <v>20</v>
      </c>
      <c r="O1307" s="247">
        <f t="shared" si="142"/>
        <v>5.0000000000000001E-3</v>
      </c>
      <c r="P1307" s="247" t="str">
        <f>+_xlfn.XLOOKUP(A1307,PPTO_GENERADOR!Q:Q,PPTO_GENERADOR!E:E,"-",0)</f>
        <v>-</v>
      </c>
      <c r="Q1307" s="247">
        <f t="shared" si="143"/>
        <v>0</v>
      </c>
      <c r="R1307" s="259" t="str">
        <f>+_xlfn.XLOOKUP(A1307,PPTO_GENERADOR!$Q:$Q,PPTO_GENERADOR!A:A,"-",0)</f>
        <v>-</v>
      </c>
    </row>
    <row r="1308" spans="1:18" ht="14.25" customHeight="1" x14ac:dyDescent="0.35">
      <c r="A1308" s="38" t="s">
        <v>2725</v>
      </c>
      <c r="B1308" s="38" t="s">
        <v>2774</v>
      </c>
      <c r="C1308" s="38" t="s">
        <v>2775</v>
      </c>
      <c r="D1308" s="38" t="s">
        <v>868</v>
      </c>
      <c r="E1308" s="44" t="str">
        <f>IFERROR(VLOOKUP(D1308,MATERIALES!A:B,2,FALSE()),"?")</f>
        <v>Rollo de cartón corrugado 0,90 x 25 mts</v>
      </c>
      <c r="F1308" s="44" t="str">
        <f>IFERROR(VLOOKUP(D1308,MATERIALES!A:C,3,FALSE()),"?")</f>
        <v>u</v>
      </c>
      <c r="G1308" s="45">
        <v>0.01</v>
      </c>
      <c r="H1308" s="46">
        <v>0.05</v>
      </c>
      <c r="I1308" s="47">
        <f>IFERROR(VLOOKUP(D1308,MATERIALES!A:D,4,FALSE()),0)</f>
        <v>7427.6</v>
      </c>
      <c r="J1308" s="42">
        <f t="shared" si="144"/>
        <v>77.989800000000017</v>
      </c>
      <c r="K1308" s="15" t="str">
        <f t="shared" si="140"/>
        <v>PTO-1502|MAT</v>
      </c>
      <c r="L1308" s="15">
        <f>COUNTIFS($K$2:K1308,K1308)</f>
        <v>7</v>
      </c>
      <c r="M1308" s="15" t="str">
        <f t="shared" si="141"/>
        <v>PTO-1502|MAT|7</v>
      </c>
      <c r="N1308" s="47">
        <f>IFERROR(VLOOKUP(A1308,PARTIDAS!A:F,6,FALSE()),0)</f>
        <v>20</v>
      </c>
      <c r="O1308" s="247">
        <f t="shared" si="142"/>
        <v>0.01</v>
      </c>
      <c r="P1308" s="247" t="str">
        <f>+_xlfn.XLOOKUP(A1308,PPTO_GENERADOR!Q:Q,PPTO_GENERADOR!E:E,"-",0)</f>
        <v>-</v>
      </c>
      <c r="Q1308" s="247">
        <f t="shared" si="143"/>
        <v>0</v>
      </c>
      <c r="R1308" s="259" t="str">
        <f>+_xlfn.XLOOKUP(A1308,PPTO_GENERADOR!$Q:$Q,PPTO_GENERADOR!A:A,"-",0)</f>
        <v>-</v>
      </c>
    </row>
    <row r="1309" spans="1:18" ht="14.25" customHeight="1" x14ac:dyDescent="0.35">
      <c r="A1309" s="38" t="s">
        <v>2725</v>
      </c>
      <c r="B1309" s="38" t="s">
        <v>2774</v>
      </c>
      <c r="C1309" s="38" t="s">
        <v>2775</v>
      </c>
      <c r="D1309" s="38" t="s">
        <v>795</v>
      </c>
      <c r="E1309" s="44" t="str">
        <f>IFERROR(VLOOKUP(D1309,MATERIALES!A:B,2,FALSE()),"?")</f>
        <v>Latex Loxon Interior Sherwin Williams Mate Bco x 20lts</v>
      </c>
      <c r="F1309" s="44" t="str">
        <f>IFERROR(VLOOKUP(D1309,MATERIALES!A:C,3,FALSE()),"?")</f>
        <v>B</v>
      </c>
      <c r="G1309" s="45">
        <v>1.2500000000000001E-2</v>
      </c>
      <c r="H1309" s="46">
        <v>0.1</v>
      </c>
      <c r="I1309" s="47">
        <f>IFERROR(VLOOKUP(D1309,MATERIALES!A:D,4,FALSE()),0)</f>
        <v>120622.23</v>
      </c>
      <c r="J1309" s="42">
        <f t="shared" si="144"/>
        <v>1658.5556625000002</v>
      </c>
      <c r="K1309" s="15" t="str">
        <f t="shared" si="140"/>
        <v>PTO-1502|MAT</v>
      </c>
      <c r="L1309" s="15">
        <f>COUNTIFS($K$2:K1309,K1309)</f>
        <v>8</v>
      </c>
      <c r="M1309" s="15" t="str">
        <f t="shared" si="141"/>
        <v>PTO-1502|MAT|8</v>
      </c>
      <c r="N1309" s="47">
        <f>IFERROR(VLOOKUP(A1309,PARTIDAS!A:F,6,FALSE()),0)</f>
        <v>20</v>
      </c>
      <c r="O1309" s="247">
        <f t="shared" si="142"/>
        <v>1.2500000000000001E-2</v>
      </c>
      <c r="P1309" s="247" t="str">
        <f>+_xlfn.XLOOKUP(A1309,PPTO_GENERADOR!Q:Q,PPTO_GENERADOR!E:E,"-",0)</f>
        <v>-</v>
      </c>
      <c r="Q1309" s="247">
        <f t="shared" si="143"/>
        <v>0</v>
      </c>
      <c r="R1309" s="259" t="str">
        <f>+_xlfn.XLOOKUP(A1309,PPTO_GENERADOR!$Q:$Q,PPTO_GENERADOR!A:A,"-",0)</f>
        <v>-</v>
      </c>
    </row>
    <row r="1310" spans="1:18" ht="14.25" customHeight="1" x14ac:dyDescent="0.35">
      <c r="A1310" s="38" t="s">
        <v>2725</v>
      </c>
      <c r="B1310" s="38" t="s">
        <v>2774</v>
      </c>
      <c r="C1310" s="38" t="s">
        <v>2775</v>
      </c>
      <c r="D1310" s="38" t="s">
        <v>815</v>
      </c>
      <c r="E1310" s="44" t="str">
        <f>IFERROR(VLOOKUP(D1310,MATERIALES!A:B,2,FALSE()),"?")</f>
        <v>Enduido Interior x 20lts</v>
      </c>
      <c r="F1310" s="44" t="str">
        <f>IFERROR(VLOOKUP(D1310,MATERIALES!A:C,3,FALSE()),"?")</f>
        <v>B</v>
      </c>
      <c r="G1310" s="45">
        <v>2E-3</v>
      </c>
      <c r="H1310" s="46">
        <v>0.1</v>
      </c>
      <c r="I1310" s="47">
        <f>IFERROR(VLOOKUP(D1310,MATERIALES!A:D,4,FALSE()),0)</f>
        <v>18735.77</v>
      </c>
      <c r="J1310" s="42">
        <f t="shared" si="144"/>
        <v>41.218694000000006</v>
      </c>
      <c r="K1310" s="15" t="str">
        <f t="shared" si="140"/>
        <v>PTO-1502|MAT</v>
      </c>
      <c r="L1310" s="15">
        <f>COUNTIFS($K$2:K1310,K1310)</f>
        <v>9</v>
      </c>
      <c r="M1310" s="15" t="str">
        <f t="shared" si="141"/>
        <v>PTO-1502|MAT|9</v>
      </c>
      <c r="N1310" s="47">
        <f>IFERROR(VLOOKUP(A1310,PARTIDAS!A:F,6,FALSE()),0)</f>
        <v>20</v>
      </c>
      <c r="O1310" s="247">
        <f t="shared" si="142"/>
        <v>2E-3</v>
      </c>
      <c r="P1310" s="247" t="str">
        <f>+_xlfn.XLOOKUP(A1310,PPTO_GENERADOR!Q:Q,PPTO_GENERADOR!E:E,"-",0)</f>
        <v>-</v>
      </c>
      <c r="Q1310" s="247">
        <f t="shared" si="143"/>
        <v>0</v>
      </c>
      <c r="R1310" s="259" t="str">
        <f>+_xlfn.XLOOKUP(A1310,PPTO_GENERADOR!$Q:$Q,PPTO_GENERADOR!A:A,"-",0)</f>
        <v>-</v>
      </c>
    </row>
    <row r="1311" spans="1:18" ht="14.25" customHeight="1" x14ac:dyDescent="0.35">
      <c r="A1311" s="38" t="s">
        <v>2725</v>
      </c>
      <c r="B1311" s="38" t="s">
        <v>2774</v>
      </c>
      <c r="C1311" s="38" t="s">
        <v>2775</v>
      </c>
      <c r="D1311" s="38" t="s">
        <v>666</v>
      </c>
      <c r="E1311" s="44" t="str">
        <f>IFERROR(VLOOKUP(D1311,MATERIALES!A:B,2,FALSE()),"?")</f>
        <v>Yeso Tuyango x 30kg</v>
      </c>
      <c r="F1311" s="44" t="str">
        <f>IFERROR(VLOOKUP(D1311,MATERIALES!A:C,3,FALSE()),"?")</f>
        <v>b</v>
      </c>
      <c r="G1311" s="45">
        <v>1E-3</v>
      </c>
      <c r="H1311" s="46">
        <v>0.05</v>
      </c>
      <c r="I1311" s="47">
        <f>IFERROR(VLOOKUP(D1311,MATERIALES!A:D,4,FALSE()),0)</f>
        <v>9639</v>
      </c>
      <c r="J1311" s="42">
        <f t="shared" si="144"/>
        <v>10.120950000000001</v>
      </c>
      <c r="K1311" s="15" t="str">
        <f t="shared" si="140"/>
        <v>PTO-1502|MAT</v>
      </c>
      <c r="L1311" s="15">
        <f>COUNTIFS($K$2:K1311,K1311)</f>
        <v>10</v>
      </c>
      <c r="M1311" s="15" t="str">
        <f t="shared" si="141"/>
        <v>PTO-1502|MAT|10</v>
      </c>
      <c r="N1311" s="47">
        <f>IFERROR(VLOOKUP(A1311,PARTIDAS!A:F,6,FALSE()),0)</f>
        <v>20</v>
      </c>
      <c r="O1311" s="247">
        <f t="shared" si="142"/>
        <v>1E-3</v>
      </c>
      <c r="P1311" s="247" t="str">
        <f>+_xlfn.XLOOKUP(A1311,PPTO_GENERADOR!Q:Q,PPTO_GENERADOR!E:E,"-",0)</f>
        <v>-</v>
      </c>
      <c r="Q1311" s="247">
        <f t="shared" si="143"/>
        <v>0</v>
      </c>
      <c r="R1311" s="259" t="str">
        <f>+_xlfn.XLOOKUP(A1311,PPTO_GENERADOR!$Q:$Q,PPTO_GENERADOR!A:A,"-",0)</f>
        <v>-</v>
      </c>
    </row>
    <row r="1312" spans="1:18" ht="14.25" customHeight="1" x14ac:dyDescent="0.35">
      <c r="A1312" s="38" t="s">
        <v>2725</v>
      </c>
      <c r="B1312" s="38" t="s">
        <v>2776</v>
      </c>
      <c r="C1312" s="38" t="s">
        <v>2777</v>
      </c>
      <c r="D1312" s="237" t="s">
        <v>1568</v>
      </c>
      <c r="E1312" s="44" t="str">
        <f>IFERROR(VLOOKUP(D1312,MANO_DE_OBRA!A:B,2,FALSE()),"?")</f>
        <v>ESPECIALIZADO</v>
      </c>
      <c r="F1312" s="44" t="s">
        <v>2778</v>
      </c>
      <c r="G1312" s="45">
        <v>1</v>
      </c>
      <c r="H1312" s="46">
        <v>0</v>
      </c>
      <c r="I1312" s="47">
        <f>IFERROR(VLOOKUP(D1312,MANO_DE_OBRA!A:C,3,FALSE()),0)</f>
        <v>85927.097156571996</v>
      </c>
      <c r="J1312" s="42">
        <f>G1312*I1312</f>
        <v>85927.097156571996</v>
      </c>
      <c r="K1312" s="15" t="str">
        <f t="shared" si="140"/>
        <v>PTO-1502|MO</v>
      </c>
      <c r="L1312" s="15">
        <f>COUNTIFS($K$2:K1312,K1312)</f>
        <v>1</v>
      </c>
      <c r="M1312" s="15" t="str">
        <f t="shared" si="141"/>
        <v>PTO-1502|MO|1</v>
      </c>
      <c r="N1312" s="47">
        <f>IFERROR(VLOOKUP(A1312,PARTIDAS!A:F,6,FALSE()),0)</f>
        <v>20</v>
      </c>
      <c r="O1312" s="247">
        <f t="shared" si="142"/>
        <v>0.05</v>
      </c>
      <c r="P1312" s="247" t="str">
        <f>+_xlfn.XLOOKUP(A1312,PPTO_GENERADOR!Q:Q,PPTO_GENERADOR!E:E,"-",0)</f>
        <v>-</v>
      </c>
      <c r="Q1312" s="247">
        <f t="shared" si="143"/>
        <v>0</v>
      </c>
      <c r="R1312" s="259" t="str">
        <f>+_xlfn.XLOOKUP(A1312,PPTO_GENERADOR!$Q:$Q,PPTO_GENERADOR!A:A,"-",0)</f>
        <v>-</v>
      </c>
    </row>
    <row r="1313" spans="1:18" ht="14.25" customHeight="1" x14ac:dyDescent="0.35">
      <c r="A1313" s="38" t="s">
        <v>236</v>
      </c>
      <c r="B1313" s="38" t="s">
        <v>2773</v>
      </c>
      <c r="C1313" s="38"/>
      <c r="D1313" s="38" t="s">
        <v>1604</v>
      </c>
      <c r="E1313" s="44" t="str">
        <f>IFERROR(VLOOKUP(D1313,EQUIPOS!A:B,2,FALSE()),"?")</f>
        <v>EQUIPO PARA PINTAR</v>
      </c>
      <c r="F1313" s="44"/>
      <c r="G1313" s="45">
        <v>2</v>
      </c>
      <c r="H1313" s="46">
        <v>0</v>
      </c>
      <c r="I1313" s="47">
        <f>IFERROR(VLOOKUP(D1313,EQUIPOS!A:F,6,FALSE()),0)</f>
        <v>1723.6259595547085</v>
      </c>
      <c r="J1313" s="42">
        <f>G1313*I1313</f>
        <v>3447.251919109417</v>
      </c>
      <c r="K1313" s="15" t="str">
        <f t="shared" si="140"/>
        <v>PTO-1503|EQ</v>
      </c>
      <c r="L1313" s="15">
        <f>COUNTIFS($K$2:K1313,K1313)</f>
        <v>1</v>
      </c>
      <c r="M1313" s="15" t="str">
        <f t="shared" si="141"/>
        <v>PTO-1503|EQ|1</v>
      </c>
      <c r="N1313" s="47">
        <f>IFERROR(VLOOKUP(A1313,PARTIDAS!A:F,6,FALSE()),0)</f>
        <v>22</v>
      </c>
      <c r="O1313" s="247">
        <f t="shared" si="142"/>
        <v>2</v>
      </c>
      <c r="P1313" s="247">
        <f>+_xlfn.XLOOKUP(A1313,PPTO_GENERADOR!Q:Q,PPTO_GENERADOR!E:E,"-",0)</f>
        <v>462</v>
      </c>
      <c r="Q1313" s="247">
        <f t="shared" si="143"/>
        <v>924</v>
      </c>
      <c r="R1313" s="259">
        <f>+_xlfn.XLOOKUP(A1313,PPTO_GENERADOR!$Q:$Q,PPTO_GENERADOR!A:A,"-",0)</f>
        <v>15.03</v>
      </c>
    </row>
    <row r="1314" spans="1:18" ht="14.25" customHeight="1" x14ac:dyDescent="0.35">
      <c r="A1314" s="38" t="s">
        <v>236</v>
      </c>
      <c r="B1314" s="38" t="s">
        <v>2773</v>
      </c>
      <c r="C1314" s="38"/>
      <c r="D1314" s="38" t="s">
        <v>1749</v>
      </c>
      <c r="E1314" s="44" t="str">
        <f>IFERROR(VLOOKUP(D1314,EQUIPOS!A:B,2,FALSE()),"?")</f>
        <v>ESCALERA MADERA PINTOR 8 ESCALONES</v>
      </c>
      <c r="F1314" s="44"/>
      <c r="G1314" s="45">
        <v>2</v>
      </c>
      <c r="H1314" s="46">
        <v>0</v>
      </c>
      <c r="I1314" s="47">
        <f>IFERROR(VLOOKUP(D1314,EQUIPOS!A:F,6,FALSE()),0)</f>
        <v>200.25307946474501</v>
      </c>
      <c r="J1314" s="42">
        <f>G1314*I1314</f>
        <v>400.50615892949003</v>
      </c>
      <c r="K1314" s="15" t="str">
        <f t="shared" si="140"/>
        <v>PTO-1503|EQ</v>
      </c>
      <c r="L1314" s="15">
        <f>COUNTIFS($K$2:K1314,K1314)</f>
        <v>2</v>
      </c>
      <c r="M1314" s="15" t="str">
        <f t="shared" si="141"/>
        <v>PTO-1503|EQ|2</v>
      </c>
      <c r="N1314" s="47">
        <f>IFERROR(VLOOKUP(A1314,PARTIDAS!A:F,6,FALSE()),0)</f>
        <v>22</v>
      </c>
      <c r="O1314" s="247">
        <f t="shared" si="142"/>
        <v>2</v>
      </c>
      <c r="P1314" s="247">
        <f>+_xlfn.XLOOKUP(A1314,PPTO_GENERADOR!Q:Q,PPTO_GENERADOR!E:E,"-",0)</f>
        <v>462</v>
      </c>
      <c r="Q1314" s="247">
        <f t="shared" si="143"/>
        <v>924</v>
      </c>
      <c r="R1314" s="259">
        <f>+_xlfn.XLOOKUP(A1314,PPTO_GENERADOR!$Q:$Q,PPTO_GENERADOR!A:A,"-",0)</f>
        <v>15.03</v>
      </c>
    </row>
    <row r="1315" spans="1:18" ht="14.25" customHeight="1" x14ac:dyDescent="0.35">
      <c r="A1315" s="38" t="s">
        <v>236</v>
      </c>
      <c r="B1315" s="38" t="s">
        <v>2774</v>
      </c>
      <c r="C1315" s="38" t="s">
        <v>2775</v>
      </c>
      <c r="D1315" s="38" t="s">
        <v>842</v>
      </c>
      <c r="E1315" s="44" t="str">
        <f>IFERROR(VLOOKUP(D1315,MATERIALES!A:B,2,FALSE()),"?")</f>
        <v>Fijador al agua x 20 lts</v>
      </c>
      <c r="F1315" s="44" t="str">
        <f>IFERROR(VLOOKUP(D1315,MATERIALES!A:C,3,FALSE()),"?")</f>
        <v>b</v>
      </c>
      <c r="G1315" s="45">
        <v>4.0000000000000001E-3</v>
      </c>
      <c r="H1315" s="46">
        <v>0.05</v>
      </c>
      <c r="I1315" s="47">
        <f>IFERROR(VLOOKUP(D1315,MATERIALES!A:D,4,FALSE()),0)</f>
        <v>30467.49</v>
      </c>
      <c r="J1315" s="42">
        <f t="shared" ref="J1315:J1324" si="145">G1315*I1315*(1+H1315)</f>
        <v>127.96345800000002</v>
      </c>
      <c r="K1315" s="15" t="str">
        <f t="shared" si="140"/>
        <v>PTO-1503|MAT</v>
      </c>
      <c r="L1315" s="15">
        <f>COUNTIFS($K$2:K1315,K1315)</f>
        <v>1</v>
      </c>
      <c r="M1315" s="15" t="str">
        <f t="shared" si="141"/>
        <v>PTO-1503|MAT|1</v>
      </c>
      <c r="N1315" s="47">
        <f>IFERROR(VLOOKUP(A1315,PARTIDAS!A:F,6,FALSE()),0)</f>
        <v>22</v>
      </c>
      <c r="O1315" s="247">
        <f t="shared" si="142"/>
        <v>4.0000000000000001E-3</v>
      </c>
      <c r="P1315" s="247">
        <f>+_xlfn.XLOOKUP(A1315,PPTO_GENERADOR!Q:Q,PPTO_GENERADOR!E:E,"-",0)</f>
        <v>462</v>
      </c>
      <c r="Q1315" s="247">
        <f t="shared" si="143"/>
        <v>1.8480000000000001</v>
      </c>
      <c r="R1315" s="259">
        <f>+_xlfn.XLOOKUP(A1315,PPTO_GENERADOR!$Q:$Q,PPTO_GENERADOR!A:A,"-",0)</f>
        <v>15.03</v>
      </c>
    </row>
    <row r="1316" spans="1:18" ht="14.25" customHeight="1" x14ac:dyDescent="0.35">
      <c r="A1316" s="38" t="s">
        <v>236</v>
      </c>
      <c r="B1316" s="38" t="s">
        <v>2774</v>
      </c>
      <c r="C1316" s="38" t="s">
        <v>2775</v>
      </c>
      <c r="D1316" s="38" t="s">
        <v>848</v>
      </c>
      <c r="E1316" s="44" t="str">
        <f>IFERROR(VLOOKUP(D1316,MATERIALES!A:B,2,FALSE()),"?")</f>
        <v>Lija 180 al agua x 10u</v>
      </c>
      <c r="F1316" s="44" t="str">
        <f>IFERROR(VLOOKUP(D1316,MATERIALES!A:C,3,FALSE()),"?")</f>
        <v>u</v>
      </c>
      <c r="G1316" s="45">
        <v>2.5000000000000001E-2</v>
      </c>
      <c r="H1316" s="46">
        <v>0.05</v>
      </c>
      <c r="I1316" s="47">
        <f>IFERROR(VLOOKUP(D1316,MATERIALES!A:D,4,FALSE()),0)</f>
        <v>5661.4</v>
      </c>
      <c r="J1316" s="42">
        <f t="shared" si="145"/>
        <v>148.61175</v>
      </c>
      <c r="K1316" s="15" t="str">
        <f t="shared" si="140"/>
        <v>PTO-1503|MAT</v>
      </c>
      <c r="L1316" s="15">
        <f>COUNTIFS($K$2:K1316,K1316)</f>
        <v>2</v>
      </c>
      <c r="M1316" s="15" t="str">
        <f t="shared" si="141"/>
        <v>PTO-1503|MAT|2</v>
      </c>
      <c r="N1316" s="47">
        <f>IFERROR(VLOOKUP(A1316,PARTIDAS!A:F,6,FALSE()),0)</f>
        <v>22</v>
      </c>
      <c r="O1316" s="247">
        <f t="shared" si="142"/>
        <v>2.5000000000000001E-2</v>
      </c>
      <c r="P1316" s="247">
        <f>+_xlfn.XLOOKUP(A1316,PPTO_GENERADOR!Q:Q,PPTO_GENERADOR!E:E,"-",0)</f>
        <v>462</v>
      </c>
      <c r="Q1316" s="247">
        <f t="shared" si="143"/>
        <v>11.55</v>
      </c>
      <c r="R1316" s="259">
        <f>+_xlfn.XLOOKUP(A1316,PPTO_GENERADOR!$Q:$Q,PPTO_GENERADOR!A:A,"-",0)</f>
        <v>15.03</v>
      </c>
    </row>
    <row r="1317" spans="1:18" ht="14.25" customHeight="1" x14ac:dyDescent="0.35">
      <c r="A1317" s="38" t="s">
        <v>236</v>
      </c>
      <c r="B1317" s="38" t="s">
        <v>2774</v>
      </c>
      <c r="C1317" s="38" t="s">
        <v>2775</v>
      </c>
      <c r="D1317" s="38" t="s">
        <v>851</v>
      </c>
      <c r="E1317" s="44" t="str">
        <f>IFERROR(VLOOKUP(D1317,MATERIALES!A:B,2,FALSE()),"?")</f>
        <v>Cinta de Papel 36 mm x 40m</v>
      </c>
      <c r="F1317" s="44" t="str">
        <f>IFERROR(VLOOKUP(D1317,MATERIALES!A:C,3,FALSE()),"?")</f>
        <v>u</v>
      </c>
      <c r="G1317" s="45">
        <v>0.05</v>
      </c>
      <c r="H1317" s="46">
        <v>0.1</v>
      </c>
      <c r="I1317" s="47">
        <f>IFERROR(VLOOKUP(D1317,MATERIALES!A:D,4,FALSE()),0)</f>
        <v>3293.01</v>
      </c>
      <c r="J1317" s="42">
        <f t="shared" si="145"/>
        <v>181.11555000000004</v>
      </c>
      <c r="K1317" s="15" t="str">
        <f t="shared" si="140"/>
        <v>PTO-1503|MAT</v>
      </c>
      <c r="L1317" s="15">
        <f>COUNTIFS($K$2:K1317,K1317)</f>
        <v>3</v>
      </c>
      <c r="M1317" s="15" t="str">
        <f t="shared" si="141"/>
        <v>PTO-1503|MAT|3</v>
      </c>
      <c r="N1317" s="47">
        <f>IFERROR(VLOOKUP(A1317,PARTIDAS!A:F,6,FALSE()),0)</f>
        <v>22</v>
      </c>
      <c r="O1317" s="247">
        <f t="shared" si="142"/>
        <v>0.05</v>
      </c>
      <c r="P1317" s="247">
        <f>+_xlfn.XLOOKUP(A1317,PPTO_GENERADOR!Q:Q,PPTO_GENERADOR!E:E,"-",0)</f>
        <v>462</v>
      </c>
      <c r="Q1317" s="247">
        <f t="shared" si="143"/>
        <v>23.1</v>
      </c>
      <c r="R1317" s="259">
        <f>+_xlfn.XLOOKUP(A1317,PPTO_GENERADOR!$Q:$Q,PPTO_GENERADOR!A:A,"-",0)</f>
        <v>15.03</v>
      </c>
    </row>
    <row r="1318" spans="1:18" ht="14.25" customHeight="1" x14ac:dyDescent="0.35">
      <c r="A1318" s="38" t="s">
        <v>236</v>
      </c>
      <c r="B1318" s="38" t="s">
        <v>2774</v>
      </c>
      <c r="C1318" s="38" t="s">
        <v>2775</v>
      </c>
      <c r="D1318" s="38" t="s">
        <v>855</v>
      </c>
      <c r="E1318" s="44" t="str">
        <f>IFERROR(VLOOKUP(D1318,MATERIALES!A:B,2,FALSE()),"?")</f>
        <v>Trapo</v>
      </c>
      <c r="F1318" s="44" t="str">
        <f>IFERROR(VLOOKUP(D1318,MATERIALES!A:C,3,FALSE()),"?")</f>
        <v>u</v>
      </c>
      <c r="G1318" s="45">
        <v>0.03</v>
      </c>
      <c r="H1318" s="46">
        <v>0.05</v>
      </c>
      <c r="I1318" s="47">
        <f>IFERROR(VLOOKUP(D1318,MATERIALES!A:D,4,FALSE()),0)</f>
        <v>735.06</v>
      </c>
      <c r="J1318" s="42">
        <f t="shared" si="145"/>
        <v>23.154389999999996</v>
      </c>
      <c r="K1318" s="15" t="str">
        <f t="shared" si="140"/>
        <v>PTO-1503|MAT</v>
      </c>
      <c r="L1318" s="15">
        <f>COUNTIFS($K$2:K1318,K1318)</f>
        <v>4</v>
      </c>
      <c r="M1318" s="15" t="str">
        <f t="shared" si="141"/>
        <v>PTO-1503|MAT|4</v>
      </c>
      <c r="N1318" s="47">
        <f>IFERROR(VLOOKUP(A1318,PARTIDAS!A:F,6,FALSE()),0)</f>
        <v>22</v>
      </c>
      <c r="O1318" s="247">
        <f t="shared" si="142"/>
        <v>0.03</v>
      </c>
      <c r="P1318" s="247">
        <f>+_xlfn.XLOOKUP(A1318,PPTO_GENERADOR!Q:Q,PPTO_GENERADOR!E:E,"-",0)</f>
        <v>462</v>
      </c>
      <c r="Q1318" s="247">
        <f t="shared" si="143"/>
        <v>13.86</v>
      </c>
      <c r="R1318" s="259">
        <f>+_xlfn.XLOOKUP(A1318,PPTO_GENERADOR!$Q:$Q,PPTO_GENERADOR!A:A,"-",0)</f>
        <v>15.03</v>
      </c>
    </row>
    <row r="1319" spans="1:18" ht="14.25" customHeight="1" x14ac:dyDescent="0.35">
      <c r="A1319" s="38" t="s">
        <v>236</v>
      </c>
      <c r="B1319" s="38" t="s">
        <v>2774</v>
      </c>
      <c r="C1319" s="38" t="s">
        <v>2775</v>
      </c>
      <c r="D1319" s="38" t="s">
        <v>861</v>
      </c>
      <c r="E1319" s="44" t="str">
        <f>IFERROR(VLOOKUP(D1319,MATERIALES!A:B,2,FALSE()),"?")</f>
        <v>Rodillo de lana pelo corto antigota N°22 - El Galgo</v>
      </c>
      <c r="F1319" s="44" t="str">
        <f>IFERROR(VLOOKUP(D1319,MATERIALES!A:C,3,FALSE()),"?")</f>
        <v>u</v>
      </c>
      <c r="G1319" s="45">
        <v>5.0000000000000001E-3</v>
      </c>
      <c r="H1319" s="46">
        <v>0.05</v>
      </c>
      <c r="I1319" s="47">
        <f>IFERROR(VLOOKUP(D1319,MATERIALES!A:D,4,FALSE()),0)</f>
        <v>6678.36</v>
      </c>
      <c r="J1319" s="42">
        <f t="shared" si="145"/>
        <v>35.061389999999996</v>
      </c>
      <c r="K1319" s="15" t="str">
        <f t="shared" si="140"/>
        <v>PTO-1503|MAT</v>
      </c>
      <c r="L1319" s="15">
        <f>COUNTIFS($K$2:K1319,K1319)</f>
        <v>5</v>
      </c>
      <c r="M1319" s="15" t="str">
        <f t="shared" si="141"/>
        <v>PTO-1503|MAT|5</v>
      </c>
      <c r="N1319" s="47">
        <f>IFERROR(VLOOKUP(A1319,PARTIDAS!A:F,6,FALSE()),0)</f>
        <v>22</v>
      </c>
      <c r="O1319" s="247">
        <f t="shared" si="142"/>
        <v>5.0000000000000001E-3</v>
      </c>
      <c r="P1319" s="247">
        <f>+_xlfn.XLOOKUP(A1319,PPTO_GENERADOR!Q:Q,PPTO_GENERADOR!E:E,"-",0)</f>
        <v>462</v>
      </c>
      <c r="Q1319" s="247">
        <f t="shared" si="143"/>
        <v>2.31</v>
      </c>
      <c r="R1319" s="259">
        <f>+_xlfn.XLOOKUP(A1319,PPTO_GENERADOR!$Q:$Q,PPTO_GENERADOR!A:A,"-",0)</f>
        <v>15.03</v>
      </c>
    </row>
    <row r="1320" spans="1:18" ht="14.25" customHeight="1" x14ac:dyDescent="0.35">
      <c r="A1320" s="38" t="s">
        <v>236</v>
      </c>
      <c r="B1320" s="38" t="s">
        <v>2774</v>
      </c>
      <c r="C1320" s="38" t="s">
        <v>2775</v>
      </c>
      <c r="D1320" s="38" t="s">
        <v>865</v>
      </c>
      <c r="E1320" s="44" t="str">
        <f>IFERROR(VLOOKUP(D1320,MATERIALES!A:B,2,FALSE()),"?")</f>
        <v>Pincel N° 20 - El Galgo</v>
      </c>
      <c r="F1320" s="44" t="str">
        <f>IFERROR(VLOOKUP(D1320,MATERIALES!A:C,3,FALSE()),"?")</f>
        <v>u</v>
      </c>
      <c r="G1320" s="45">
        <v>5.0000000000000001E-3</v>
      </c>
      <c r="H1320" s="46">
        <v>0.05</v>
      </c>
      <c r="I1320" s="47">
        <f>IFERROR(VLOOKUP(D1320,MATERIALES!A:D,4,FALSE()),0)</f>
        <v>5282.24</v>
      </c>
      <c r="J1320" s="42">
        <f t="shared" si="145"/>
        <v>27.731760000000001</v>
      </c>
      <c r="K1320" s="15" t="str">
        <f t="shared" si="140"/>
        <v>PTO-1503|MAT</v>
      </c>
      <c r="L1320" s="15">
        <f>COUNTIFS($K$2:K1320,K1320)</f>
        <v>6</v>
      </c>
      <c r="M1320" s="15" t="str">
        <f t="shared" si="141"/>
        <v>PTO-1503|MAT|6</v>
      </c>
      <c r="N1320" s="47">
        <f>IFERROR(VLOOKUP(A1320,PARTIDAS!A:F,6,FALSE()),0)</f>
        <v>22</v>
      </c>
      <c r="O1320" s="247">
        <f t="shared" si="142"/>
        <v>5.0000000000000001E-3</v>
      </c>
      <c r="P1320" s="247">
        <f>+_xlfn.XLOOKUP(A1320,PPTO_GENERADOR!Q:Q,PPTO_GENERADOR!E:E,"-",0)</f>
        <v>462</v>
      </c>
      <c r="Q1320" s="247">
        <f t="shared" si="143"/>
        <v>2.31</v>
      </c>
      <c r="R1320" s="259">
        <f>+_xlfn.XLOOKUP(A1320,PPTO_GENERADOR!$Q:$Q,PPTO_GENERADOR!A:A,"-",0)</f>
        <v>15.03</v>
      </c>
    </row>
    <row r="1321" spans="1:18" ht="14.25" customHeight="1" x14ac:dyDescent="0.35">
      <c r="A1321" s="38" t="s">
        <v>236</v>
      </c>
      <c r="B1321" s="38" t="s">
        <v>2774</v>
      </c>
      <c r="C1321" s="38" t="s">
        <v>2775</v>
      </c>
      <c r="D1321" s="38" t="s">
        <v>868</v>
      </c>
      <c r="E1321" s="44" t="str">
        <f>IFERROR(VLOOKUP(D1321,MATERIALES!A:B,2,FALSE()),"?")</f>
        <v>Rollo de cartón corrugado 0,90 x 25 mts</v>
      </c>
      <c r="F1321" s="44" t="str">
        <f>IFERROR(VLOOKUP(D1321,MATERIALES!A:C,3,FALSE()),"?")</f>
        <v>u</v>
      </c>
      <c r="G1321" s="45">
        <v>0.01</v>
      </c>
      <c r="H1321" s="46">
        <v>0.05</v>
      </c>
      <c r="I1321" s="47">
        <f>IFERROR(VLOOKUP(D1321,MATERIALES!A:D,4,FALSE()),0)</f>
        <v>7427.6</v>
      </c>
      <c r="J1321" s="42">
        <f t="shared" si="145"/>
        <v>77.989800000000017</v>
      </c>
      <c r="K1321" s="15" t="str">
        <f t="shared" si="140"/>
        <v>PTO-1503|MAT</v>
      </c>
      <c r="L1321" s="15">
        <f>COUNTIFS($K$2:K1321,K1321)</f>
        <v>7</v>
      </c>
      <c r="M1321" s="15" t="str">
        <f t="shared" si="141"/>
        <v>PTO-1503|MAT|7</v>
      </c>
      <c r="N1321" s="47">
        <f>IFERROR(VLOOKUP(A1321,PARTIDAS!A:F,6,FALSE()),0)</f>
        <v>22</v>
      </c>
      <c r="O1321" s="247">
        <f t="shared" si="142"/>
        <v>0.01</v>
      </c>
      <c r="P1321" s="247">
        <f>+_xlfn.XLOOKUP(A1321,PPTO_GENERADOR!Q:Q,PPTO_GENERADOR!E:E,"-",0)</f>
        <v>462</v>
      </c>
      <c r="Q1321" s="247">
        <f t="shared" si="143"/>
        <v>4.62</v>
      </c>
      <c r="R1321" s="259">
        <f>+_xlfn.XLOOKUP(A1321,PPTO_GENERADOR!$Q:$Q,PPTO_GENERADOR!A:A,"-",0)</f>
        <v>15.03</v>
      </c>
    </row>
    <row r="1322" spans="1:18" ht="14.25" customHeight="1" x14ac:dyDescent="0.35">
      <c r="A1322" s="38" t="s">
        <v>236</v>
      </c>
      <c r="B1322" s="38" t="s">
        <v>2774</v>
      </c>
      <c r="C1322" s="38" t="s">
        <v>2775</v>
      </c>
      <c r="D1322" s="38" t="s">
        <v>795</v>
      </c>
      <c r="E1322" s="44" t="str">
        <f>IFERROR(VLOOKUP(D1322,MATERIALES!A:B,2,FALSE()),"?")</f>
        <v>Latex Loxon Interior Sherwin Williams Mate Bco x 20lts</v>
      </c>
      <c r="F1322" s="44" t="str">
        <f>IFERROR(VLOOKUP(D1322,MATERIALES!A:C,3,FALSE()),"?")</f>
        <v>B</v>
      </c>
      <c r="G1322" s="45">
        <v>1.2500000000000001E-2</v>
      </c>
      <c r="H1322" s="46">
        <v>0.1</v>
      </c>
      <c r="I1322" s="47">
        <f>IFERROR(VLOOKUP(D1322,MATERIALES!A:D,4,FALSE()),0)</f>
        <v>120622.23</v>
      </c>
      <c r="J1322" s="42">
        <f t="shared" si="145"/>
        <v>1658.5556625000002</v>
      </c>
      <c r="K1322" s="15" t="str">
        <f t="shared" si="140"/>
        <v>PTO-1503|MAT</v>
      </c>
      <c r="L1322" s="15">
        <f>COUNTIFS($K$2:K1322,K1322)</f>
        <v>8</v>
      </c>
      <c r="M1322" s="15" t="str">
        <f t="shared" si="141"/>
        <v>PTO-1503|MAT|8</v>
      </c>
      <c r="N1322" s="47">
        <f>IFERROR(VLOOKUP(A1322,PARTIDAS!A:F,6,FALSE()),0)</f>
        <v>22</v>
      </c>
      <c r="O1322" s="247">
        <f t="shared" si="142"/>
        <v>1.2500000000000001E-2</v>
      </c>
      <c r="P1322" s="247">
        <f>+_xlfn.XLOOKUP(A1322,PPTO_GENERADOR!Q:Q,PPTO_GENERADOR!E:E,"-",0)</f>
        <v>462</v>
      </c>
      <c r="Q1322" s="247">
        <f t="shared" si="143"/>
        <v>5.7750000000000004</v>
      </c>
      <c r="R1322" s="259">
        <f>+_xlfn.XLOOKUP(A1322,PPTO_GENERADOR!$Q:$Q,PPTO_GENERADOR!A:A,"-",0)</f>
        <v>15.03</v>
      </c>
    </row>
    <row r="1323" spans="1:18" ht="14.25" customHeight="1" x14ac:dyDescent="0.35">
      <c r="A1323" s="38" t="s">
        <v>236</v>
      </c>
      <c r="B1323" s="38" t="s">
        <v>2774</v>
      </c>
      <c r="C1323" s="38" t="s">
        <v>2775</v>
      </c>
      <c r="D1323" s="38" t="s">
        <v>815</v>
      </c>
      <c r="E1323" s="44" t="str">
        <f>IFERROR(VLOOKUP(D1323,MATERIALES!A:B,2,FALSE()),"?")</f>
        <v>Enduido Interior x 20lts</v>
      </c>
      <c r="F1323" s="44" t="str">
        <f>IFERROR(VLOOKUP(D1323,MATERIALES!A:C,3,FALSE()),"?")</f>
        <v>B</v>
      </c>
      <c r="G1323" s="45">
        <v>0.03</v>
      </c>
      <c r="H1323" s="46">
        <v>0.1</v>
      </c>
      <c r="I1323" s="47">
        <f>IFERROR(VLOOKUP(D1323,MATERIALES!A:D,4,FALSE()),0)</f>
        <v>18735.77</v>
      </c>
      <c r="J1323" s="42">
        <f t="shared" si="145"/>
        <v>618.28040999999996</v>
      </c>
      <c r="K1323" s="15" t="str">
        <f t="shared" si="140"/>
        <v>PTO-1503|MAT</v>
      </c>
      <c r="L1323" s="15">
        <f>COUNTIFS($K$2:K1323,K1323)</f>
        <v>9</v>
      </c>
      <c r="M1323" s="15" t="str">
        <f t="shared" si="141"/>
        <v>PTO-1503|MAT|9</v>
      </c>
      <c r="N1323" s="47">
        <f>IFERROR(VLOOKUP(A1323,PARTIDAS!A:F,6,FALSE()),0)</f>
        <v>22</v>
      </c>
      <c r="O1323" s="247">
        <f t="shared" si="142"/>
        <v>0.03</v>
      </c>
      <c r="P1323" s="247">
        <f>+_xlfn.XLOOKUP(A1323,PPTO_GENERADOR!Q:Q,PPTO_GENERADOR!E:E,"-",0)</f>
        <v>462</v>
      </c>
      <c r="Q1323" s="247">
        <f t="shared" si="143"/>
        <v>13.86</v>
      </c>
      <c r="R1323" s="259">
        <f>+_xlfn.XLOOKUP(A1323,PPTO_GENERADOR!$Q:$Q,PPTO_GENERADOR!A:A,"-",0)</f>
        <v>15.03</v>
      </c>
    </row>
    <row r="1324" spans="1:18" ht="14.25" customHeight="1" x14ac:dyDescent="0.35">
      <c r="A1324" s="38" t="s">
        <v>236</v>
      </c>
      <c r="B1324" s="38" t="s">
        <v>2774</v>
      </c>
      <c r="C1324" s="38" t="s">
        <v>2775</v>
      </c>
      <c r="D1324" s="38" t="s">
        <v>666</v>
      </c>
      <c r="E1324" s="44" t="str">
        <f>IFERROR(VLOOKUP(D1324,MATERIALES!A:B,2,FALSE()),"?")</f>
        <v>Yeso Tuyango x 30kg</v>
      </c>
      <c r="F1324" s="44" t="str">
        <f>IFERROR(VLOOKUP(D1324,MATERIALES!A:C,3,FALSE()),"?")</f>
        <v>b</v>
      </c>
      <c r="G1324" s="45">
        <v>2.5000000000000001E-3</v>
      </c>
      <c r="H1324" s="46">
        <v>0.05</v>
      </c>
      <c r="I1324" s="47">
        <f>IFERROR(VLOOKUP(D1324,MATERIALES!A:D,4,FALSE()),0)</f>
        <v>9639</v>
      </c>
      <c r="J1324" s="42">
        <f t="shared" si="145"/>
        <v>25.302375000000001</v>
      </c>
      <c r="K1324" s="15" t="str">
        <f t="shared" si="140"/>
        <v>PTO-1503|MAT</v>
      </c>
      <c r="L1324" s="15">
        <f>COUNTIFS($K$2:K1324,K1324)</f>
        <v>10</v>
      </c>
      <c r="M1324" s="15" t="str">
        <f t="shared" si="141"/>
        <v>PTO-1503|MAT|10</v>
      </c>
      <c r="N1324" s="47">
        <f>IFERROR(VLOOKUP(A1324,PARTIDAS!A:F,6,FALSE()),0)</f>
        <v>22</v>
      </c>
      <c r="O1324" s="247">
        <f t="shared" si="142"/>
        <v>2.5000000000000001E-3</v>
      </c>
      <c r="P1324" s="247">
        <f>+_xlfn.XLOOKUP(A1324,PPTO_GENERADOR!Q:Q,PPTO_GENERADOR!E:E,"-",0)</f>
        <v>462</v>
      </c>
      <c r="Q1324" s="247">
        <f t="shared" si="143"/>
        <v>1.155</v>
      </c>
      <c r="R1324" s="259">
        <f>+_xlfn.XLOOKUP(A1324,PPTO_GENERADOR!$Q:$Q,PPTO_GENERADOR!A:A,"-",0)</f>
        <v>15.03</v>
      </c>
    </row>
    <row r="1325" spans="1:18" ht="14.25" customHeight="1" x14ac:dyDescent="0.35">
      <c r="A1325" s="38" t="s">
        <v>236</v>
      </c>
      <c r="B1325" s="38" t="s">
        <v>2776</v>
      </c>
      <c r="C1325" s="38" t="s">
        <v>2777</v>
      </c>
      <c r="D1325" s="237" t="s">
        <v>1574</v>
      </c>
      <c r="E1325" s="44" t="str">
        <f>IFERROR(VLOOKUP(D1325,MANO_DE_OBRA!A:B,2,FALSE()),"?")</f>
        <v>MEDIO OFICIAL</v>
      </c>
      <c r="F1325" s="44" t="s">
        <v>2778</v>
      </c>
      <c r="G1325" s="45">
        <v>1.25</v>
      </c>
      <c r="H1325" s="46">
        <v>0</v>
      </c>
      <c r="I1325" s="47">
        <f>IFERROR(VLOOKUP(D1325,MANO_DE_OBRA!A:C,3,FALSE()),0)</f>
        <v>65493.071636572</v>
      </c>
      <c r="J1325" s="42">
        <f>G1325*I1325</f>
        <v>81866.339545715004</v>
      </c>
      <c r="K1325" s="15" t="str">
        <f t="shared" si="140"/>
        <v>PTO-1503|MO</v>
      </c>
      <c r="L1325" s="15">
        <f>COUNTIFS($K$2:K1325,K1325)</f>
        <v>1</v>
      </c>
      <c r="M1325" s="15" t="str">
        <f t="shared" si="141"/>
        <v>PTO-1503|MO|1</v>
      </c>
      <c r="N1325" s="47">
        <f>IFERROR(VLOOKUP(A1325,PARTIDAS!A:F,6,FALSE()),0)</f>
        <v>22</v>
      </c>
      <c r="O1325" s="247">
        <f t="shared" si="142"/>
        <v>5.6818181818181816E-2</v>
      </c>
      <c r="P1325" s="247">
        <f>+_xlfn.XLOOKUP(A1325,PPTO_GENERADOR!Q:Q,PPTO_GENERADOR!E:E,"-",0)</f>
        <v>462</v>
      </c>
      <c r="Q1325" s="247">
        <f t="shared" si="143"/>
        <v>26.25</v>
      </c>
      <c r="R1325" s="259">
        <f>+_xlfn.XLOOKUP(A1325,PPTO_GENERADOR!$Q:$Q,PPTO_GENERADOR!A:A,"-",0)</f>
        <v>15.03</v>
      </c>
    </row>
    <row r="1326" spans="1:18" ht="14.25" customHeight="1" x14ac:dyDescent="0.35">
      <c r="A1326" s="38" t="s">
        <v>236</v>
      </c>
      <c r="B1326" s="38" t="s">
        <v>2776</v>
      </c>
      <c r="C1326" s="38" t="s">
        <v>2777</v>
      </c>
      <c r="D1326" s="237" t="s">
        <v>1568</v>
      </c>
      <c r="E1326" s="44" t="str">
        <f>IFERROR(VLOOKUP(D1326,MANO_DE_OBRA!A:B,2,FALSE()),"?")</f>
        <v>ESPECIALIZADO</v>
      </c>
      <c r="F1326" s="44" t="s">
        <v>2778</v>
      </c>
      <c r="G1326" s="45">
        <v>1</v>
      </c>
      <c r="H1326" s="46">
        <v>0</v>
      </c>
      <c r="I1326" s="47">
        <f>IFERROR(VLOOKUP(D1326,MANO_DE_OBRA!A:C,3,FALSE()),0)</f>
        <v>85927.097156571996</v>
      </c>
      <c r="J1326" s="42">
        <f>G1326*I1326</f>
        <v>85927.097156571996</v>
      </c>
      <c r="K1326" s="15" t="str">
        <f t="shared" si="140"/>
        <v>PTO-1503|MO</v>
      </c>
      <c r="L1326" s="15">
        <f>COUNTIFS($K$2:K1326,K1326)</f>
        <v>2</v>
      </c>
      <c r="M1326" s="15" t="str">
        <f t="shared" si="141"/>
        <v>PTO-1503|MO|2</v>
      </c>
      <c r="N1326" s="47">
        <f>IFERROR(VLOOKUP(A1326,PARTIDAS!A:F,6,FALSE()),0)</f>
        <v>22</v>
      </c>
      <c r="O1326" s="247">
        <f t="shared" si="142"/>
        <v>4.5454545454545456E-2</v>
      </c>
      <c r="P1326" s="247">
        <f>+_xlfn.XLOOKUP(A1326,PPTO_GENERADOR!Q:Q,PPTO_GENERADOR!E:E,"-",0)</f>
        <v>462</v>
      </c>
      <c r="Q1326" s="247">
        <f t="shared" si="143"/>
        <v>21</v>
      </c>
      <c r="R1326" s="259">
        <f>+_xlfn.XLOOKUP(A1326,PPTO_GENERADOR!$Q:$Q,PPTO_GENERADOR!A:A,"-",0)</f>
        <v>15.03</v>
      </c>
    </row>
    <row r="1327" spans="1:18" ht="14.25" customHeight="1" x14ac:dyDescent="0.35">
      <c r="A1327" s="38" t="s">
        <v>238</v>
      </c>
      <c r="B1327" s="38" t="s">
        <v>2773</v>
      </c>
      <c r="C1327" s="38"/>
      <c r="D1327" s="38" t="s">
        <v>1604</v>
      </c>
      <c r="E1327" s="44" t="str">
        <f>IFERROR(VLOOKUP(D1327,EQUIPOS!A:B,2,FALSE()),"?")</f>
        <v>EQUIPO PARA PINTAR</v>
      </c>
      <c r="F1327" s="44"/>
      <c r="G1327" s="45">
        <v>1</v>
      </c>
      <c r="H1327" s="46">
        <v>0</v>
      </c>
      <c r="I1327" s="47">
        <f>IFERROR(VLOOKUP(D1327,EQUIPOS!A:F,6,FALSE()),0)</f>
        <v>1723.6259595547085</v>
      </c>
      <c r="J1327" s="42">
        <f>G1327*I1327</f>
        <v>1723.6259595547085</v>
      </c>
      <c r="K1327" s="15" t="str">
        <f t="shared" si="140"/>
        <v>PTO-1504|EQ</v>
      </c>
      <c r="L1327" s="15">
        <f>COUNTIFS($K$2:K1327,K1327)</f>
        <v>1</v>
      </c>
      <c r="M1327" s="15" t="str">
        <f t="shared" si="141"/>
        <v>PTO-1504|EQ|1</v>
      </c>
      <c r="N1327" s="47">
        <f>IFERROR(VLOOKUP(A1327,PARTIDAS!A:F,6,FALSE()),0)</f>
        <v>25</v>
      </c>
      <c r="O1327" s="247">
        <f t="shared" si="142"/>
        <v>1</v>
      </c>
      <c r="P1327" s="247">
        <f>+_xlfn.XLOOKUP(A1327,PPTO_GENERADOR!Q:Q,PPTO_GENERADOR!E:E,"-",0)</f>
        <v>144</v>
      </c>
      <c r="Q1327" s="247">
        <f t="shared" si="143"/>
        <v>144</v>
      </c>
      <c r="R1327" s="259">
        <f>+_xlfn.XLOOKUP(A1327,PPTO_GENERADOR!$Q:$Q,PPTO_GENERADOR!A:A,"-",0)</f>
        <v>15.04</v>
      </c>
    </row>
    <row r="1328" spans="1:18" ht="14.25" customHeight="1" x14ac:dyDescent="0.35">
      <c r="A1328" s="38" t="s">
        <v>238</v>
      </c>
      <c r="B1328" s="38" t="s">
        <v>2773</v>
      </c>
      <c r="C1328" s="38"/>
      <c r="D1328" s="38" t="s">
        <v>1749</v>
      </c>
      <c r="E1328" s="44" t="str">
        <f>IFERROR(VLOOKUP(D1328,EQUIPOS!A:B,2,FALSE()),"?")</f>
        <v>ESCALERA MADERA PINTOR 8 ESCALONES</v>
      </c>
      <c r="F1328" s="44"/>
      <c r="G1328" s="45">
        <v>1</v>
      </c>
      <c r="H1328" s="46">
        <v>0</v>
      </c>
      <c r="I1328" s="47">
        <f>IFERROR(VLOOKUP(D1328,EQUIPOS!A:F,6,FALSE()),0)</f>
        <v>200.25307946474501</v>
      </c>
      <c r="J1328" s="42">
        <f>G1328*I1328</f>
        <v>200.25307946474501</v>
      </c>
      <c r="K1328" s="15" t="str">
        <f t="shared" si="140"/>
        <v>PTO-1504|EQ</v>
      </c>
      <c r="L1328" s="15">
        <f>COUNTIFS($K$2:K1328,K1328)</f>
        <v>2</v>
      </c>
      <c r="M1328" s="15" t="str">
        <f t="shared" si="141"/>
        <v>PTO-1504|EQ|2</v>
      </c>
      <c r="N1328" s="47">
        <f>IFERROR(VLOOKUP(A1328,PARTIDAS!A:F,6,FALSE()),0)</f>
        <v>25</v>
      </c>
      <c r="O1328" s="247">
        <f t="shared" si="142"/>
        <v>1</v>
      </c>
      <c r="P1328" s="247">
        <f>+_xlfn.XLOOKUP(A1328,PPTO_GENERADOR!Q:Q,PPTO_GENERADOR!E:E,"-",0)</f>
        <v>144</v>
      </c>
      <c r="Q1328" s="247">
        <f t="shared" si="143"/>
        <v>144</v>
      </c>
      <c r="R1328" s="259">
        <f>+_xlfn.XLOOKUP(A1328,PPTO_GENERADOR!$Q:$Q,PPTO_GENERADOR!A:A,"-",0)</f>
        <v>15.04</v>
      </c>
    </row>
    <row r="1329" spans="1:18" ht="14.25" customHeight="1" x14ac:dyDescent="0.35">
      <c r="A1329" s="38" t="s">
        <v>238</v>
      </c>
      <c r="B1329" s="38" t="s">
        <v>2774</v>
      </c>
      <c r="C1329" s="38" t="s">
        <v>2775</v>
      </c>
      <c r="D1329" s="38" t="s">
        <v>842</v>
      </c>
      <c r="E1329" s="44" t="str">
        <f>IFERROR(VLOOKUP(D1329,MATERIALES!A:B,2,FALSE()),"?")</f>
        <v>Fijador al agua x 20 lts</v>
      </c>
      <c r="F1329" s="44" t="str">
        <f>IFERROR(VLOOKUP(D1329,MATERIALES!A:C,3,FALSE()),"?")</f>
        <v>b</v>
      </c>
      <c r="G1329" s="45">
        <v>4.0000000000000001E-3</v>
      </c>
      <c r="H1329" s="46">
        <v>0.05</v>
      </c>
      <c r="I1329" s="47">
        <f>IFERROR(VLOOKUP(D1329,MATERIALES!A:D,4,FALSE()),0)</f>
        <v>30467.49</v>
      </c>
      <c r="J1329" s="42">
        <f t="shared" ref="J1329:J1336" si="146">G1329*I1329*(1+H1329)</f>
        <v>127.96345800000002</v>
      </c>
      <c r="K1329" s="15" t="str">
        <f t="shared" si="140"/>
        <v>PTO-1504|MAT</v>
      </c>
      <c r="L1329" s="15">
        <f>COUNTIFS($K$2:K1329,K1329)</f>
        <v>1</v>
      </c>
      <c r="M1329" s="15" t="str">
        <f t="shared" si="141"/>
        <v>PTO-1504|MAT|1</v>
      </c>
      <c r="N1329" s="47">
        <f>IFERROR(VLOOKUP(A1329,PARTIDAS!A:F,6,FALSE()),0)</f>
        <v>25</v>
      </c>
      <c r="O1329" s="247">
        <f t="shared" si="142"/>
        <v>4.0000000000000001E-3</v>
      </c>
      <c r="P1329" s="247">
        <f>+_xlfn.XLOOKUP(A1329,PPTO_GENERADOR!Q:Q,PPTO_GENERADOR!E:E,"-",0)</f>
        <v>144</v>
      </c>
      <c r="Q1329" s="247">
        <f t="shared" si="143"/>
        <v>0.57600000000000007</v>
      </c>
      <c r="R1329" s="259">
        <f>+_xlfn.XLOOKUP(A1329,PPTO_GENERADOR!$Q:$Q,PPTO_GENERADOR!A:A,"-",0)</f>
        <v>15.04</v>
      </c>
    </row>
    <row r="1330" spans="1:18" ht="14.25" customHeight="1" x14ac:dyDescent="0.35">
      <c r="A1330" s="38" t="s">
        <v>238</v>
      </c>
      <c r="B1330" s="38" t="s">
        <v>2774</v>
      </c>
      <c r="C1330" s="38" t="s">
        <v>2775</v>
      </c>
      <c r="D1330" s="38" t="s">
        <v>851</v>
      </c>
      <c r="E1330" s="44" t="str">
        <f>IFERROR(VLOOKUP(D1330,MATERIALES!A:B,2,FALSE()),"?")</f>
        <v>Cinta de Papel 36 mm x 40m</v>
      </c>
      <c r="F1330" s="44" t="str">
        <f>IFERROR(VLOOKUP(D1330,MATERIALES!A:C,3,FALSE()),"?")</f>
        <v>u</v>
      </c>
      <c r="G1330" s="45">
        <v>0.05</v>
      </c>
      <c r="H1330" s="46">
        <v>0.1</v>
      </c>
      <c r="I1330" s="47">
        <f>IFERROR(VLOOKUP(D1330,MATERIALES!A:D,4,FALSE()),0)</f>
        <v>3293.01</v>
      </c>
      <c r="J1330" s="42">
        <f t="shared" si="146"/>
        <v>181.11555000000004</v>
      </c>
      <c r="K1330" s="15" t="str">
        <f t="shared" si="140"/>
        <v>PTO-1504|MAT</v>
      </c>
      <c r="L1330" s="15">
        <f>COUNTIFS($K$2:K1330,K1330)</f>
        <v>2</v>
      </c>
      <c r="M1330" s="15" t="str">
        <f t="shared" si="141"/>
        <v>PTO-1504|MAT|2</v>
      </c>
      <c r="N1330" s="47">
        <f>IFERROR(VLOOKUP(A1330,PARTIDAS!A:F,6,FALSE()),0)</f>
        <v>25</v>
      </c>
      <c r="O1330" s="247">
        <f t="shared" si="142"/>
        <v>0.05</v>
      </c>
      <c r="P1330" s="247">
        <f>+_xlfn.XLOOKUP(A1330,PPTO_GENERADOR!Q:Q,PPTO_GENERADOR!E:E,"-",0)</f>
        <v>144</v>
      </c>
      <c r="Q1330" s="247">
        <f t="shared" si="143"/>
        <v>7.2</v>
      </c>
      <c r="R1330" s="259">
        <f>+_xlfn.XLOOKUP(A1330,PPTO_GENERADOR!$Q:$Q,PPTO_GENERADOR!A:A,"-",0)</f>
        <v>15.04</v>
      </c>
    </row>
    <row r="1331" spans="1:18" ht="14.25" customHeight="1" x14ac:dyDescent="0.35">
      <c r="A1331" s="38" t="s">
        <v>238</v>
      </c>
      <c r="B1331" s="38" t="s">
        <v>2774</v>
      </c>
      <c r="C1331" s="38" t="s">
        <v>2775</v>
      </c>
      <c r="D1331" s="38" t="s">
        <v>855</v>
      </c>
      <c r="E1331" s="44" t="str">
        <f>IFERROR(VLOOKUP(D1331,MATERIALES!A:B,2,FALSE()),"?")</f>
        <v>Trapo</v>
      </c>
      <c r="F1331" s="44" t="str">
        <f>IFERROR(VLOOKUP(D1331,MATERIALES!A:C,3,FALSE()),"?")</f>
        <v>u</v>
      </c>
      <c r="G1331" s="45">
        <v>0.03</v>
      </c>
      <c r="H1331" s="46">
        <v>0.05</v>
      </c>
      <c r="I1331" s="47">
        <f>IFERROR(VLOOKUP(D1331,MATERIALES!A:D,4,FALSE()),0)</f>
        <v>735.06</v>
      </c>
      <c r="J1331" s="42">
        <f t="shared" si="146"/>
        <v>23.154389999999996</v>
      </c>
      <c r="K1331" s="15" t="str">
        <f t="shared" si="140"/>
        <v>PTO-1504|MAT</v>
      </c>
      <c r="L1331" s="15">
        <f>COUNTIFS($K$2:K1331,K1331)</f>
        <v>3</v>
      </c>
      <c r="M1331" s="15" t="str">
        <f t="shared" si="141"/>
        <v>PTO-1504|MAT|3</v>
      </c>
      <c r="N1331" s="47">
        <f>IFERROR(VLOOKUP(A1331,PARTIDAS!A:F,6,FALSE()),0)</f>
        <v>25</v>
      </c>
      <c r="O1331" s="247">
        <f t="shared" si="142"/>
        <v>0.03</v>
      </c>
      <c r="P1331" s="247">
        <f>+_xlfn.XLOOKUP(A1331,PPTO_GENERADOR!Q:Q,PPTO_GENERADOR!E:E,"-",0)</f>
        <v>144</v>
      </c>
      <c r="Q1331" s="247">
        <f t="shared" si="143"/>
        <v>4.32</v>
      </c>
      <c r="R1331" s="259">
        <f>+_xlfn.XLOOKUP(A1331,PPTO_GENERADOR!$Q:$Q,PPTO_GENERADOR!A:A,"-",0)</f>
        <v>15.04</v>
      </c>
    </row>
    <row r="1332" spans="1:18" ht="14.25" customHeight="1" x14ac:dyDescent="0.35">
      <c r="A1332" s="38" t="s">
        <v>238</v>
      </c>
      <c r="B1332" s="38" t="s">
        <v>2774</v>
      </c>
      <c r="C1332" s="38" t="s">
        <v>2775</v>
      </c>
      <c r="D1332" s="38" t="s">
        <v>861</v>
      </c>
      <c r="E1332" s="44" t="str">
        <f>IFERROR(VLOOKUP(D1332,MATERIALES!A:B,2,FALSE()),"?")</f>
        <v>Rodillo de lana pelo corto antigota N°22 - El Galgo</v>
      </c>
      <c r="F1332" s="44" t="str">
        <f>IFERROR(VLOOKUP(D1332,MATERIALES!A:C,3,FALSE()),"?")</f>
        <v>u</v>
      </c>
      <c r="G1332" s="45">
        <v>5.0000000000000001E-3</v>
      </c>
      <c r="H1332" s="46">
        <v>0.05</v>
      </c>
      <c r="I1332" s="47">
        <f>IFERROR(VLOOKUP(D1332,MATERIALES!A:D,4,FALSE()),0)</f>
        <v>6678.36</v>
      </c>
      <c r="J1332" s="42">
        <f t="shared" si="146"/>
        <v>35.061389999999996</v>
      </c>
      <c r="K1332" s="15" t="str">
        <f t="shared" si="140"/>
        <v>PTO-1504|MAT</v>
      </c>
      <c r="L1332" s="15">
        <f>COUNTIFS($K$2:K1332,K1332)</f>
        <v>4</v>
      </c>
      <c r="M1332" s="15" t="str">
        <f t="shared" si="141"/>
        <v>PTO-1504|MAT|4</v>
      </c>
      <c r="N1332" s="47">
        <f>IFERROR(VLOOKUP(A1332,PARTIDAS!A:F,6,FALSE()),0)</f>
        <v>25</v>
      </c>
      <c r="O1332" s="247">
        <f t="shared" si="142"/>
        <v>5.0000000000000001E-3</v>
      </c>
      <c r="P1332" s="247">
        <f>+_xlfn.XLOOKUP(A1332,PPTO_GENERADOR!Q:Q,PPTO_GENERADOR!E:E,"-",0)</f>
        <v>144</v>
      </c>
      <c r="Q1332" s="247">
        <f t="shared" si="143"/>
        <v>0.72</v>
      </c>
      <c r="R1332" s="259">
        <f>+_xlfn.XLOOKUP(A1332,PPTO_GENERADOR!$Q:$Q,PPTO_GENERADOR!A:A,"-",0)</f>
        <v>15.04</v>
      </c>
    </row>
    <row r="1333" spans="1:18" ht="14.25" customHeight="1" x14ac:dyDescent="0.35">
      <c r="A1333" s="38" t="s">
        <v>238</v>
      </c>
      <c r="B1333" s="38" t="s">
        <v>2774</v>
      </c>
      <c r="C1333" s="38" t="s">
        <v>2775</v>
      </c>
      <c r="D1333" s="38" t="s">
        <v>865</v>
      </c>
      <c r="E1333" s="44" t="str">
        <f>IFERROR(VLOOKUP(D1333,MATERIALES!A:B,2,FALSE()),"?")</f>
        <v>Pincel N° 20 - El Galgo</v>
      </c>
      <c r="F1333" s="44" t="str">
        <f>IFERROR(VLOOKUP(D1333,MATERIALES!A:C,3,FALSE()),"?")</f>
        <v>u</v>
      </c>
      <c r="G1333" s="45">
        <v>5.0000000000000001E-3</v>
      </c>
      <c r="H1333" s="46">
        <v>0.05</v>
      </c>
      <c r="I1333" s="47">
        <f>IFERROR(VLOOKUP(D1333,MATERIALES!A:D,4,FALSE()),0)</f>
        <v>5282.24</v>
      </c>
      <c r="J1333" s="42">
        <f t="shared" si="146"/>
        <v>27.731760000000001</v>
      </c>
      <c r="K1333" s="15" t="str">
        <f t="shared" si="140"/>
        <v>PTO-1504|MAT</v>
      </c>
      <c r="L1333" s="15">
        <f>COUNTIFS($K$2:K1333,K1333)</f>
        <v>5</v>
      </c>
      <c r="M1333" s="15" t="str">
        <f t="shared" si="141"/>
        <v>PTO-1504|MAT|5</v>
      </c>
      <c r="N1333" s="47">
        <f>IFERROR(VLOOKUP(A1333,PARTIDAS!A:F,6,FALSE()),0)</f>
        <v>25</v>
      </c>
      <c r="O1333" s="247">
        <f t="shared" si="142"/>
        <v>5.0000000000000001E-3</v>
      </c>
      <c r="P1333" s="247">
        <f>+_xlfn.XLOOKUP(A1333,PPTO_GENERADOR!Q:Q,PPTO_GENERADOR!E:E,"-",0)</f>
        <v>144</v>
      </c>
      <c r="Q1333" s="247">
        <f t="shared" si="143"/>
        <v>0.72</v>
      </c>
      <c r="R1333" s="259">
        <f>+_xlfn.XLOOKUP(A1333,PPTO_GENERADOR!$Q:$Q,PPTO_GENERADOR!A:A,"-",0)</f>
        <v>15.04</v>
      </c>
    </row>
    <row r="1334" spans="1:18" ht="14.25" customHeight="1" x14ac:dyDescent="0.35">
      <c r="A1334" s="38" t="s">
        <v>238</v>
      </c>
      <c r="B1334" s="38" t="s">
        <v>2774</v>
      </c>
      <c r="C1334" s="38" t="s">
        <v>2775</v>
      </c>
      <c r="D1334" s="38" t="s">
        <v>868</v>
      </c>
      <c r="E1334" s="44" t="str">
        <f>IFERROR(VLOOKUP(D1334,MATERIALES!A:B,2,FALSE()),"?")</f>
        <v>Rollo de cartón corrugado 0,90 x 25 mts</v>
      </c>
      <c r="F1334" s="44" t="str">
        <f>IFERROR(VLOOKUP(D1334,MATERIALES!A:C,3,FALSE()),"?")</f>
        <v>u</v>
      </c>
      <c r="G1334" s="45">
        <v>0.01</v>
      </c>
      <c r="H1334" s="46">
        <v>0.05</v>
      </c>
      <c r="I1334" s="47">
        <f>IFERROR(VLOOKUP(D1334,MATERIALES!A:D,4,FALSE()),0)</f>
        <v>7427.6</v>
      </c>
      <c r="J1334" s="42">
        <f t="shared" si="146"/>
        <v>77.989800000000017</v>
      </c>
      <c r="K1334" s="15" t="str">
        <f t="shared" si="140"/>
        <v>PTO-1504|MAT</v>
      </c>
      <c r="L1334" s="15">
        <f>COUNTIFS($K$2:K1334,K1334)</f>
        <v>6</v>
      </c>
      <c r="M1334" s="15" t="str">
        <f t="shared" si="141"/>
        <v>PTO-1504|MAT|6</v>
      </c>
      <c r="N1334" s="47">
        <f>IFERROR(VLOOKUP(A1334,PARTIDAS!A:F,6,FALSE()),0)</f>
        <v>25</v>
      </c>
      <c r="O1334" s="247">
        <f t="shared" si="142"/>
        <v>0.01</v>
      </c>
      <c r="P1334" s="247">
        <f>+_xlfn.XLOOKUP(A1334,PPTO_GENERADOR!Q:Q,PPTO_GENERADOR!E:E,"-",0)</f>
        <v>144</v>
      </c>
      <c r="Q1334" s="247">
        <f t="shared" si="143"/>
        <v>1.44</v>
      </c>
      <c r="R1334" s="259">
        <f>+_xlfn.XLOOKUP(A1334,PPTO_GENERADOR!$Q:$Q,PPTO_GENERADOR!A:A,"-",0)</f>
        <v>15.04</v>
      </c>
    </row>
    <row r="1335" spans="1:18" ht="14.25" customHeight="1" x14ac:dyDescent="0.35">
      <c r="A1335" s="38" t="s">
        <v>238</v>
      </c>
      <c r="B1335" s="38" t="s">
        <v>2774</v>
      </c>
      <c r="C1335" s="38" t="s">
        <v>2775</v>
      </c>
      <c r="D1335" s="38" t="s">
        <v>795</v>
      </c>
      <c r="E1335" s="44" t="str">
        <f>IFERROR(VLOOKUP(D1335,MATERIALES!A:B,2,FALSE()),"?")</f>
        <v>Latex Loxon Interior Sherwin Williams Mate Bco x 20lts</v>
      </c>
      <c r="F1335" s="44" t="str">
        <f>IFERROR(VLOOKUP(D1335,MATERIALES!A:C,3,FALSE()),"?")</f>
        <v>B</v>
      </c>
      <c r="G1335" s="45">
        <v>1.2500000000000001E-2</v>
      </c>
      <c r="H1335" s="46">
        <v>0.1</v>
      </c>
      <c r="I1335" s="47">
        <f>IFERROR(VLOOKUP(D1335,MATERIALES!A:D,4,FALSE()),0)</f>
        <v>120622.23</v>
      </c>
      <c r="J1335" s="42">
        <f t="shared" si="146"/>
        <v>1658.5556625000002</v>
      </c>
      <c r="K1335" s="15" t="str">
        <f t="shared" si="140"/>
        <v>PTO-1504|MAT</v>
      </c>
      <c r="L1335" s="15">
        <f>COUNTIFS($K$2:K1335,K1335)</f>
        <v>7</v>
      </c>
      <c r="M1335" s="15" t="str">
        <f t="shared" si="141"/>
        <v>PTO-1504|MAT|7</v>
      </c>
      <c r="N1335" s="47">
        <f>IFERROR(VLOOKUP(A1335,PARTIDAS!A:F,6,FALSE()),0)</f>
        <v>25</v>
      </c>
      <c r="O1335" s="247">
        <f t="shared" si="142"/>
        <v>1.2500000000000001E-2</v>
      </c>
      <c r="P1335" s="247">
        <f>+_xlfn.XLOOKUP(A1335,PPTO_GENERADOR!Q:Q,PPTO_GENERADOR!E:E,"-",0)</f>
        <v>144</v>
      </c>
      <c r="Q1335" s="247">
        <f t="shared" si="143"/>
        <v>1.8</v>
      </c>
      <c r="R1335" s="259">
        <f>+_xlfn.XLOOKUP(A1335,PPTO_GENERADOR!$Q:$Q,PPTO_GENERADOR!A:A,"-",0)</f>
        <v>15.04</v>
      </c>
    </row>
    <row r="1336" spans="1:18" ht="14.25" customHeight="1" x14ac:dyDescent="0.35">
      <c r="A1336" s="38" t="s">
        <v>238</v>
      </c>
      <c r="B1336" s="38" t="s">
        <v>2774</v>
      </c>
      <c r="C1336" s="38" t="s">
        <v>2775</v>
      </c>
      <c r="D1336" s="38" t="s">
        <v>666</v>
      </c>
      <c r="E1336" s="44" t="str">
        <f>IFERROR(VLOOKUP(D1336,MATERIALES!A:B,2,FALSE()),"?")</f>
        <v>Yeso Tuyango x 30kg</v>
      </c>
      <c r="F1336" s="44" t="str">
        <f>IFERROR(VLOOKUP(D1336,MATERIALES!A:C,3,FALSE()),"?")</f>
        <v>b</v>
      </c>
      <c r="G1336" s="45">
        <v>1E-3</v>
      </c>
      <c r="H1336" s="46">
        <v>0.05</v>
      </c>
      <c r="I1336" s="47">
        <f>IFERROR(VLOOKUP(D1336,MATERIALES!A:D,4,FALSE()),0)</f>
        <v>9639</v>
      </c>
      <c r="J1336" s="42">
        <f t="shared" si="146"/>
        <v>10.120950000000001</v>
      </c>
      <c r="K1336" s="15" t="str">
        <f t="shared" si="140"/>
        <v>PTO-1504|MAT</v>
      </c>
      <c r="L1336" s="15">
        <f>COUNTIFS($K$2:K1336,K1336)</f>
        <v>8</v>
      </c>
      <c r="M1336" s="15" t="str">
        <f t="shared" si="141"/>
        <v>PTO-1504|MAT|8</v>
      </c>
      <c r="N1336" s="47">
        <f>IFERROR(VLOOKUP(A1336,PARTIDAS!A:F,6,FALSE()),0)</f>
        <v>25</v>
      </c>
      <c r="O1336" s="247">
        <f t="shared" si="142"/>
        <v>1E-3</v>
      </c>
      <c r="P1336" s="247">
        <f>+_xlfn.XLOOKUP(A1336,PPTO_GENERADOR!Q:Q,PPTO_GENERADOR!E:E,"-",0)</f>
        <v>144</v>
      </c>
      <c r="Q1336" s="247">
        <f t="shared" si="143"/>
        <v>0.14400000000000002</v>
      </c>
      <c r="R1336" s="259">
        <f>+_xlfn.XLOOKUP(A1336,PPTO_GENERADOR!$Q:$Q,PPTO_GENERADOR!A:A,"-",0)</f>
        <v>15.04</v>
      </c>
    </row>
    <row r="1337" spans="1:18" ht="14.25" customHeight="1" x14ac:dyDescent="0.35">
      <c r="A1337" s="38" t="s">
        <v>238</v>
      </c>
      <c r="B1337" s="38" t="s">
        <v>2776</v>
      </c>
      <c r="C1337" s="38" t="s">
        <v>2777</v>
      </c>
      <c r="D1337" s="237" t="s">
        <v>1568</v>
      </c>
      <c r="E1337" s="44" t="str">
        <f>IFERROR(VLOOKUP(D1337,MANO_DE_OBRA!A:B,2,FALSE()),"?")</f>
        <v>ESPECIALIZADO</v>
      </c>
      <c r="F1337" s="44" t="s">
        <v>2778</v>
      </c>
      <c r="G1337" s="45">
        <v>1</v>
      </c>
      <c r="H1337" s="46">
        <v>0</v>
      </c>
      <c r="I1337" s="47">
        <f>IFERROR(VLOOKUP(D1337,MANO_DE_OBRA!A:C,3,FALSE()),0)</f>
        <v>85927.097156571996</v>
      </c>
      <c r="J1337" s="42">
        <f>G1337*I1337</f>
        <v>85927.097156571996</v>
      </c>
      <c r="K1337" s="15" t="str">
        <f t="shared" si="140"/>
        <v>PTO-1504|MO</v>
      </c>
      <c r="L1337" s="15">
        <f>COUNTIFS($K$2:K1337,K1337)</f>
        <v>1</v>
      </c>
      <c r="M1337" s="15" t="str">
        <f t="shared" si="141"/>
        <v>PTO-1504|MO|1</v>
      </c>
      <c r="N1337" s="47">
        <f>IFERROR(VLOOKUP(A1337,PARTIDAS!A:F,6,FALSE()),0)</f>
        <v>25</v>
      </c>
      <c r="O1337" s="247">
        <f t="shared" si="142"/>
        <v>0.04</v>
      </c>
      <c r="P1337" s="247">
        <f>+_xlfn.XLOOKUP(A1337,PPTO_GENERADOR!Q:Q,PPTO_GENERADOR!E:E,"-",0)</f>
        <v>144</v>
      </c>
      <c r="Q1337" s="247">
        <f t="shared" si="143"/>
        <v>5.76</v>
      </c>
      <c r="R1337" s="259">
        <f>+_xlfn.XLOOKUP(A1337,PPTO_GENERADOR!$Q:$Q,PPTO_GENERADOR!A:A,"-",0)</f>
        <v>15.04</v>
      </c>
    </row>
    <row r="1338" spans="1:18" ht="14.25" customHeight="1" x14ac:dyDescent="0.35">
      <c r="A1338" s="38" t="s">
        <v>2729</v>
      </c>
      <c r="B1338" s="38" t="s">
        <v>2773</v>
      </c>
      <c r="C1338" s="38"/>
      <c r="D1338" s="38" t="s">
        <v>1604</v>
      </c>
      <c r="E1338" s="44" t="str">
        <f>IFERROR(VLOOKUP(D1338,EQUIPOS!A:B,2,FALSE()),"?")</f>
        <v>EQUIPO PARA PINTAR</v>
      </c>
      <c r="F1338" s="44"/>
      <c r="G1338" s="45">
        <v>1</v>
      </c>
      <c r="H1338" s="46">
        <v>0</v>
      </c>
      <c r="I1338" s="47">
        <f>IFERROR(VLOOKUP(D1338,EQUIPOS!A:F,6,FALSE()),0)</f>
        <v>1723.6259595547085</v>
      </c>
      <c r="J1338" s="42">
        <f>G1338*I1338</f>
        <v>1723.6259595547085</v>
      </c>
      <c r="K1338" s="15" t="str">
        <f t="shared" si="140"/>
        <v>PTO-1505|EQ</v>
      </c>
      <c r="L1338" s="15">
        <f>COUNTIFS($K$2:K1338,K1338)</f>
        <v>1</v>
      </c>
      <c r="M1338" s="15" t="str">
        <f t="shared" si="141"/>
        <v>PTO-1505|EQ|1</v>
      </c>
      <c r="N1338" s="47">
        <f>IFERROR(VLOOKUP(A1338,PARTIDAS!A:F,6,FALSE()),0)</f>
        <v>20</v>
      </c>
      <c r="O1338" s="247">
        <f t="shared" si="142"/>
        <v>1</v>
      </c>
      <c r="P1338" s="247" t="str">
        <f>+_xlfn.XLOOKUP(A1338,PPTO_GENERADOR!Q:Q,PPTO_GENERADOR!E:E,"-",0)</f>
        <v>-</v>
      </c>
      <c r="Q1338" s="247">
        <f t="shared" si="143"/>
        <v>0</v>
      </c>
      <c r="R1338" s="259" t="str">
        <f>+_xlfn.XLOOKUP(A1338,PPTO_GENERADOR!$Q:$Q,PPTO_GENERADOR!A:A,"-",0)</f>
        <v>-</v>
      </c>
    </row>
    <row r="1339" spans="1:18" ht="14.25" customHeight="1" x14ac:dyDescent="0.35">
      <c r="A1339" s="38" t="s">
        <v>2729</v>
      </c>
      <c r="B1339" s="38" t="s">
        <v>2773</v>
      </c>
      <c r="C1339" s="38"/>
      <c r="D1339" s="38" t="s">
        <v>1749</v>
      </c>
      <c r="E1339" s="44" t="str">
        <f>IFERROR(VLOOKUP(D1339,EQUIPOS!A:B,2,FALSE()),"?")</f>
        <v>ESCALERA MADERA PINTOR 8 ESCALONES</v>
      </c>
      <c r="F1339" s="44"/>
      <c r="G1339" s="45">
        <v>1</v>
      </c>
      <c r="H1339" s="46">
        <v>0</v>
      </c>
      <c r="I1339" s="47">
        <f>IFERROR(VLOOKUP(D1339,EQUIPOS!A:F,6,FALSE()),0)</f>
        <v>200.25307946474501</v>
      </c>
      <c r="J1339" s="42">
        <f>G1339*I1339</f>
        <v>200.25307946474501</v>
      </c>
      <c r="K1339" s="15" t="str">
        <f t="shared" si="140"/>
        <v>PTO-1505|EQ</v>
      </c>
      <c r="L1339" s="15">
        <f>COUNTIFS($K$2:K1339,K1339)</f>
        <v>2</v>
      </c>
      <c r="M1339" s="15" t="str">
        <f t="shared" si="141"/>
        <v>PTO-1505|EQ|2</v>
      </c>
      <c r="N1339" s="47">
        <f>IFERROR(VLOOKUP(A1339,PARTIDAS!A:F,6,FALSE()),0)</f>
        <v>20</v>
      </c>
      <c r="O1339" s="247">
        <f t="shared" si="142"/>
        <v>1</v>
      </c>
      <c r="P1339" s="247" t="str">
        <f>+_xlfn.XLOOKUP(A1339,PPTO_GENERADOR!Q:Q,PPTO_GENERADOR!E:E,"-",0)</f>
        <v>-</v>
      </c>
      <c r="Q1339" s="247">
        <f t="shared" si="143"/>
        <v>0</v>
      </c>
      <c r="R1339" s="259" t="str">
        <f>+_xlfn.XLOOKUP(A1339,PPTO_GENERADOR!$Q:$Q,PPTO_GENERADOR!A:A,"-",0)</f>
        <v>-</v>
      </c>
    </row>
    <row r="1340" spans="1:18" ht="14.25" customHeight="1" x14ac:dyDescent="0.35">
      <c r="A1340" s="38" t="s">
        <v>2729</v>
      </c>
      <c r="B1340" s="38" t="s">
        <v>2774</v>
      </c>
      <c r="C1340" s="38" t="s">
        <v>2775</v>
      </c>
      <c r="D1340" s="38" t="s">
        <v>842</v>
      </c>
      <c r="E1340" s="44" t="str">
        <f>IFERROR(VLOOKUP(D1340,MATERIALES!A:B,2,FALSE()),"?")</f>
        <v>Fijador al agua x 20 lts</v>
      </c>
      <c r="F1340" s="44" t="str">
        <f>IFERROR(VLOOKUP(D1340,MATERIALES!A:C,3,FALSE()),"?")</f>
        <v>b</v>
      </c>
      <c r="G1340" s="45">
        <v>4.0000000000000001E-3</v>
      </c>
      <c r="H1340" s="46">
        <v>0.05</v>
      </c>
      <c r="I1340" s="47">
        <f>IFERROR(VLOOKUP(D1340,MATERIALES!A:D,4,FALSE()),0)</f>
        <v>30467.49</v>
      </c>
      <c r="J1340" s="42">
        <f t="shared" ref="J1340:J1349" si="147">G1340*I1340*(1+H1340)</f>
        <v>127.96345800000002</v>
      </c>
      <c r="K1340" s="15" t="str">
        <f t="shared" si="140"/>
        <v>PTO-1505|MAT</v>
      </c>
      <c r="L1340" s="15">
        <f>COUNTIFS($K$2:K1340,K1340)</f>
        <v>1</v>
      </c>
      <c r="M1340" s="15" t="str">
        <f t="shared" si="141"/>
        <v>PTO-1505|MAT|1</v>
      </c>
      <c r="N1340" s="47">
        <f>IFERROR(VLOOKUP(A1340,PARTIDAS!A:F,6,FALSE()),0)</f>
        <v>20</v>
      </c>
      <c r="O1340" s="247">
        <f t="shared" si="142"/>
        <v>4.0000000000000001E-3</v>
      </c>
      <c r="P1340" s="247" t="str">
        <f>+_xlfn.XLOOKUP(A1340,PPTO_GENERADOR!Q:Q,PPTO_GENERADOR!E:E,"-",0)</f>
        <v>-</v>
      </c>
      <c r="Q1340" s="247">
        <f t="shared" si="143"/>
        <v>0</v>
      </c>
      <c r="R1340" s="259" t="str">
        <f>+_xlfn.XLOOKUP(A1340,PPTO_GENERADOR!$Q:$Q,PPTO_GENERADOR!A:A,"-",0)</f>
        <v>-</v>
      </c>
    </row>
    <row r="1341" spans="1:18" ht="14.25" customHeight="1" x14ac:dyDescent="0.35">
      <c r="A1341" s="38" t="s">
        <v>2729</v>
      </c>
      <c r="B1341" s="38" t="s">
        <v>2774</v>
      </c>
      <c r="C1341" s="38" t="s">
        <v>2775</v>
      </c>
      <c r="D1341" s="38" t="s">
        <v>848</v>
      </c>
      <c r="E1341" s="44" t="str">
        <f>IFERROR(VLOOKUP(D1341,MATERIALES!A:B,2,FALSE()),"?")</f>
        <v>Lija 180 al agua x 10u</v>
      </c>
      <c r="F1341" s="44" t="str">
        <f>IFERROR(VLOOKUP(D1341,MATERIALES!A:C,3,FALSE()),"?")</f>
        <v>u</v>
      </c>
      <c r="G1341" s="45">
        <v>1.4999999999999999E-2</v>
      </c>
      <c r="H1341" s="46">
        <v>0.05</v>
      </c>
      <c r="I1341" s="47">
        <f>IFERROR(VLOOKUP(D1341,MATERIALES!A:D,4,FALSE()),0)</f>
        <v>5661.4</v>
      </c>
      <c r="J1341" s="42">
        <f t="shared" si="147"/>
        <v>89.167049999999989</v>
      </c>
      <c r="K1341" s="15" t="str">
        <f t="shared" si="140"/>
        <v>PTO-1505|MAT</v>
      </c>
      <c r="L1341" s="15">
        <f>COUNTIFS($K$2:K1341,K1341)</f>
        <v>2</v>
      </c>
      <c r="M1341" s="15" t="str">
        <f t="shared" si="141"/>
        <v>PTO-1505|MAT|2</v>
      </c>
      <c r="N1341" s="47">
        <f>IFERROR(VLOOKUP(A1341,PARTIDAS!A:F,6,FALSE()),0)</f>
        <v>20</v>
      </c>
      <c r="O1341" s="247">
        <f t="shared" si="142"/>
        <v>1.4999999999999999E-2</v>
      </c>
      <c r="P1341" s="247" t="str">
        <f>+_xlfn.XLOOKUP(A1341,PPTO_GENERADOR!Q:Q,PPTO_GENERADOR!E:E,"-",0)</f>
        <v>-</v>
      </c>
      <c r="Q1341" s="247">
        <f t="shared" si="143"/>
        <v>0</v>
      </c>
      <c r="R1341" s="259" t="str">
        <f>+_xlfn.XLOOKUP(A1341,PPTO_GENERADOR!$Q:$Q,PPTO_GENERADOR!A:A,"-",0)</f>
        <v>-</v>
      </c>
    </row>
    <row r="1342" spans="1:18" ht="14.25" customHeight="1" x14ac:dyDescent="0.35">
      <c r="A1342" s="38" t="s">
        <v>2729</v>
      </c>
      <c r="B1342" s="38" t="s">
        <v>2774</v>
      </c>
      <c r="C1342" s="38" t="s">
        <v>2775</v>
      </c>
      <c r="D1342" s="38" t="s">
        <v>851</v>
      </c>
      <c r="E1342" s="44" t="str">
        <f>IFERROR(VLOOKUP(D1342,MATERIALES!A:B,2,FALSE()),"?")</f>
        <v>Cinta de Papel 36 mm x 40m</v>
      </c>
      <c r="F1342" s="44" t="str">
        <f>IFERROR(VLOOKUP(D1342,MATERIALES!A:C,3,FALSE()),"?")</f>
        <v>u</v>
      </c>
      <c r="G1342" s="45">
        <v>0.05</v>
      </c>
      <c r="H1342" s="46">
        <v>0.1</v>
      </c>
      <c r="I1342" s="47">
        <f>IFERROR(VLOOKUP(D1342,MATERIALES!A:D,4,FALSE()),0)</f>
        <v>3293.01</v>
      </c>
      <c r="J1342" s="42">
        <f t="shared" si="147"/>
        <v>181.11555000000004</v>
      </c>
      <c r="K1342" s="15" t="str">
        <f t="shared" si="140"/>
        <v>PTO-1505|MAT</v>
      </c>
      <c r="L1342" s="15">
        <f>COUNTIFS($K$2:K1342,K1342)</f>
        <v>3</v>
      </c>
      <c r="M1342" s="15" t="str">
        <f t="shared" si="141"/>
        <v>PTO-1505|MAT|3</v>
      </c>
      <c r="N1342" s="47">
        <f>IFERROR(VLOOKUP(A1342,PARTIDAS!A:F,6,FALSE()),0)</f>
        <v>20</v>
      </c>
      <c r="O1342" s="247">
        <f t="shared" si="142"/>
        <v>0.05</v>
      </c>
      <c r="P1342" s="247" t="str">
        <f>+_xlfn.XLOOKUP(A1342,PPTO_GENERADOR!Q:Q,PPTO_GENERADOR!E:E,"-",0)</f>
        <v>-</v>
      </c>
      <c r="Q1342" s="247">
        <f t="shared" si="143"/>
        <v>0</v>
      </c>
      <c r="R1342" s="259" t="str">
        <f>+_xlfn.XLOOKUP(A1342,PPTO_GENERADOR!$Q:$Q,PPTO_GENERADOR!A:A,"-",0)</f>
        <v>-</v>
      </c>
    </row>
    <row r="1343" spans="1:18" ht="14.25" customHeight="1" x14ac:dyDescent="0.35">
      <c r="A1343" s="38" t="s">
        <v>2729</v>
      </c>
      <c r="B1343" s="38" t="s">
        <v>2774</v>
      </c>
      <c r="C1343" s="38" t="s">
        <v>2775</v>
      </c>
      <c r="D1343" s="38" t="s">
        <v>855</v>
      </c>
      <c r="E1343" s="44" t="str">
        <f>IFERROR(VLOOKUP(D1343,MATERIALES!A:B,2,FALSE()),"?")</f>
        <v>Trapo</v>
      </c>
      <c r="F1343" s="44" t="str">
        <f>IFERROR(VLOOKUP(D1343,MATERIALES!A:C,3,FALSE()),"?")</f>
        <v>u</v>
      </c>
      <c r="G1343" s="45">
        <v>0.03</v>
      </c>
      <c r="H1343" s="46">
        <v>0.05</v>
      </c>
      <c r="I1343" s="47">
        <f>IFERROR(VLOOKUP(D1343,MATERIALES!A:D,4,FALSE()),0)</f>
        <v>735.06</v>
      </c>
      <c r="J1343" s="42">
        <f t="shared" si="147"/>
        <v>23.154389999999996</v>
      </c>
      <c r="K1343" s="15" t="str">
        <f t="shared" si="140"/>
        <v>PTO-1505|MAT</v>
      </c>
      <c r="L1343" s="15">
        <f>COUNTIFS($K$2:K1343,K1343)</f>
        <v>4</v>
      </c>
      <c r="M1343" s="15" t="str">
        <f t="shared" si="141"/>
        <v>PTO-1505|MAT|4</v>
      </c>
      <c r="N1343" s="47">
        <f>IFERROR(VLOOKUP(A1343,PARTIDAS!A:F,6,FALSE()),0)</f>
        <v>20</v>
      </c>
      <c r="O1343" s="247">
        <f t="shared" si="142"/>
        <v>0.03</v>
      </c>
      <c r="P1343" s="247" t="str">
        <f>+_xlfn.XLOOKUP(A1343,PPTO_GENERADOR!Q:Q,PPTO_GENERADOR!E:E,"-",0)</f>
        <v>-</v>
      </c>
      <c r="Q1343" s="247">
        <f t="shared" si="143"/>
        <v>0</v>
      </c>
      <c r="R1343" s="259" t="str">
        <f>+_xlfn.XLOOKUP(A1343,PPTO_GENERADOR!$Q:$Q,PPTO_GENERADOR!A:A,"-",0)</f>
        <v>-</v>
      </c>
    </row>
    <row r="1344" spans="1:18" ht="14.25" customHeight="1" x14ac:dyDescent="0.35">
      <c r="A1344" s="38" t="s">
        <v>2729</v>
      </c>
      <c r="B1344" s="38" t="s">
        <v>2774</v>
      </c>
      <c r="C1344" s="38" t="s">
        <v>2775</v>
      </c>
      <c r="D1344" s="38" t="s">
        <v>861</v>
      </c>
      <c r="E1344" s="44" t="str">
        <f>IFERROR(VLOOKUP(D1344,MATERIALES!A:B,2,FALSE()),"?")</f>
        <v>Rodillo de lana pelo corto antigota N°22 - El Galgo</v>
      </c>
      <c r="F1344" s="44" t="str">
        <f>IFERROR(VLOOKUP(D1344,MATERIALES!A:C,3,FALSE()),"?")</f>
        <v>u</v>
      </c>
      <c r="G1344" s="45">
        <v>5.0000000000000001E-3</v>
      </c>
      <c r="H1344" s="46">
        <v>0.05</v>
      </c>
      <c r="I1344" s="47">
        <f>IFERROR(VLOOKUP(D1344,MATERIALES!A:D,4,FALSE()),0)</f>
        <v>6678.36</v>
      </c>
      <c r="J1344" s="42">
        <f t="shared" si="147"/>
        <v>35.061389999999996</v>
      </c>
      <c r="K1344" s="15" t="str">
        <f t="shared" si="140"/>
        <v>PTO-1505|MAT</v>
      </c>
      <c r="L1344" s="15">
        <f>COUNTIFS($K$2:K1344,K1344)</f>
        <v>5</v>
      </c>
      <c r="M1344" s="15" t="str">
        <f t="shared" si="141"/>
        <v>PTO-1505|MAT|5</v>
      </c>
      <c r="N1344" s="47">
        <f>IFERROR(VLOOKUP(A1344,PARTIDAS!A:F,6,FALSE()),0)</f>
        <v>20</v>
      </c>
      <c r="O1344" s="247">
        <f t="shared" si="142"/>
        <v>5.0000000000000001E-3</v>
      </c>
      <c r="P1344" s="247" t="str">
        <f>+_xlfn.XLOOKUP(A1344,PPTO_GENERADOR!Q:Q,PPTO_GENERADOR!E:E,"-",0)</f>
        <v>-</v>
      </c>
      <c r="Q1344" s="247">
        <f t="shared" si="143"/>
        <v>0</v>
      </c>
      <c r="R1344" s="259" t="str">
        <f>+_xlfn.XLOOKUP(A1344,PPTO_GENERADOR!$Q:$Q,PPTO_GENERADOR!A:A,"-",0)</f>
        <v>-</v>
      </c>
    </row>
    <row r="1345" spans="1:18" ht="14.25" customHeight="1" x14ac:dyDescent="0.35">
      <c r="A1345" s="38" t="s">
        <v>2729</v>
      </c>
      <c r="B1345" s="38" t="s">
        <v>2774</v>
      </c>
      <c r="C1345" s="38" t="s">
        <v>2775</v>
      </c>
      <c r="D1345" s="38" t="s">
        <v>865</v>
      </c>
      <c r="E1345" s="44" t="str">
        <f>IFERROR(VLOOKUP(D1345,MATERIALES!A:B,2,FALSE()),"?")</f>
        <v>Pincel N° 20 - El Galgo</v>
      </c>
      <c r="F1345" s="44" t="str">
        <f>IFERROR(VLOOKUP(D1345,MATERIALES!A:C,3,FALSE()),"?")</f>
        <v>u</v>
      </c>
      <c r="G1345" s="45">
        <v>5.0000000000000001E-3</v>
      </c>
      <c r="H1345" s="46">
        <v>0.05</v>
      </c>
      <c r="I1345" s="47">
        <f>IFERROR(VLOOKUP(D1345,MATERIALES!A:D,4,FALSE()),0)</f>
        <v>5282.24</v>
      </c>
      <c r="J1345" s="42">
        <f t="shared" si="147"/>
        <v>27.731760000000001</v>
      </c>
      <c r="K1345" s="15" t="str">
        <f t="shared" si="140"/>
        <v>PTO-1505|MAT</v>
      </c>
      <c r="L1345" s="15">
        <f>COUNTIFS($K$2:K1345,K1345)</f>
        <v>6</v>
      </c>
      <c r="M1345" s="15" t="str">
        <f t="shared" si="141"/>
        <v>PTO-1505|MAT|6</v>
      </c>
      <c r="N1345" s="47">
        <f>IFERROR(VLOOKUP(A1345,PARTIDAS!A:F,6,FALSE()),0)</f>
        <v>20</v>
      </c>
      <c r="O1345" s="247">
        <f t="shared" si="142"/>
        <v>5.0000000000000001E-3</v>
      </c>
      <c r="P1345" s="247" t="str">
        <f>+_xlfn.XLOOKUP(A1345,PPTO_GENERADOR!Q:Q,PPTO_GENERADOR!E:E,"-",0)</f>
        <v>-</v>
      </c>
      <c r="Q1345" s="247">
        <f t="shared" si="143"/>
        <v>0</v>
      </c>
      <c r="R1345" s="259" t="str">
        <f>+_xlfn.XLOOKUP(A1345,PPTO_GENERADOR!$Q:$Q,PPTO_GENERADOR!A:A,"-",0)</f>
        <v>-</v>
      </c>
    </row>
    <row r="1346" spans="1:18" ht="14.25" customHeight="1" x14ac:dyDescent="0.35">
      <c r="A1346" s="38" t="s">
        <v>2729</v>
      </c>
      <c r="B1346" s="38" t="s">
        <v>2774</v>
      </c>
      <c r="C1346" s="38" t="s">
        <v>2775</v>
      </c>
      <c r="D1346" s="38" t="s">
        <v>868</v>
      </c>
      <c r="E1346" s="44" t="str">
        <f>IFERROR(VLOOKUP(D1346,MATERIALES!A:B,2,FALSE()),"?")</f>
        <v>Rollo de cartón corrugado 0,90 x 25 mts</v>
      </c>
      <c r="F1346" s="44" t="str">
        <f>IFERROR(VLOOKUP(D1346,MATERIALES!A:C,3,FALSE()),"?")</f>
        <v>u</v>
      </c>
      <c r="G1346" s="45">
        <v>0.01</v>
      </c>
      <c r="H1346" s="46">
        <v>0.05</v>
      </c>
      <c r="I1346" s="47">
        <f>IFERROR(VLOOKUP(D1346,MATERIALES!A:D,4,FALSE()),0)</f>
        <v>7427.6</v>
      </c>
      <c r="J1346" s="42">
        <f t="shared" si="147"/>
        <v>77.989800000000017</v>
      </c>
      <c r="K1346" s="15" t="str">
        <f t="shared" ref="K1346:K1409" si="148">A1346&amp;"|"&amp;B1346</f>
        <v>PTO-1505|MAT</v>
      </c>
      <c r="L1346" s="15">
        <f>COUNTIFS($K$2:K1346,K1346)</f>
        <v>7</v>
      </c>
      <c r="M1346" s="15" t="str">
        <f t="shared" ref="M1346:M1409" si="149">K1346&amp;"|"&amp;L1346</f>
        <v>PTO-1505|MAT|7</v>
      </c>
      <c r="N1346" s="47">
        <f>IFERROR(VLOOKUP(A1346,PARTIDAS!A:F,6,FALSE()),0)</f>
        <v>20</v>
      </c>
      <c r="O1346" s="247">
        <f t="shared" si="142"/>
        <v>0.01</v>
      </c>
      <c r="P1346" s="247" t="str">
        <f>+_xlfn.XLOOKUP(A1346,PPTO_GENERADOR!Q:Q,PPTO_GENERADOR!E:E,"-",0)</f>
        <v>-</v>
      </c>
      <c r="Q1346" s="247">
        <f t="shared" si="143"/>
        <v>0</v>
      </c>
      <c r="R1346" s="259" t="str">
        <f>+_xlfn.XLOOKUP(A1346,PPTO_GENERADOR!$Q:$Q,PPTO_GENERADOR!A:A,"-",0)</f>
        <v>-</v>
      </c>
    </row>
    <row r="1347" spans="1:18" ht="14.25" customHeight="1" x14ac:dyDescent="0.35">
      <c r="A1347" s="38" t="s">
        <v>2729</v>
      </c>
      <c r="B1347" s="38" t="s">
        <v>2774</v>
      </c>
      <c r="C1347" s="38" t="s">
        <v>2775</v>
      </c>
      <c r="D1347" s="38" t="s">
        <v>795</v>
      </c>
      <c r="E1347" s="44" t="str">
        <f>IFERROR(VLOOKUP(D1347,MATERIALES!A:B,2,FALSE()),"?")</f>
        <v>Latex Loxon Interior Sherwin Williams Mate Bco x 20lts</v>
      </c>
      <c r="F1347" s="44" t="str">
        <f>IFERROR(VLOOKUP(D1347,MATERIALES!A:C,3,FALSE()),"?")</f>
        <v>B</v>
      </c>
      <c r="G1347" s="45">
        <v>1.2500000000000001E-2</v>
      </c>
      <c r="H1347" s="46">
        <v>0.1</v>
      </c>
      <c r="I1347" s="47">
        <f>IFERROR(VLOOKUP(D1347,MATERIALES!A:D,4,FALSE()),0)</f>
        <v>120622.23</v>
      </c>
      <c r="J1347" s="42">
        <f t="shared" si="147"/>
        <v>1658.5556625000002</v>
      </c>
      <c r="K1347" s="15" t="str">
        <f t="shared" si="148"/>
        <v>PTO-1505|MAT</v>
      </c>
      <c r="L1347" s="15">
        <f>COUNTIFS($K$2:K1347,K1347)</f>
        <v>8</v>
      </c>
      <c r="M1347" s="15" t="str">
        <f t="shared" si="149"/>
        <v>PTO-1505|MAT|8</v>
      </c>
      <c r="N1347" s="47">
        <f>IFERROR(VLOOKUP(A1347,PARTIDAS!A:F,6,FALSE()),0)</f>
        <v>20</v>
      </c>
      <c r="O1347" s="247">
        <f t="shared" ref="O1347:O1410" si="150">+IF(C1347="ALB",G1347/N1347,G1347)</f>
        <v>1.2500000000000001E-2</v>
      </c>
      <c r="P1347" s="247" t="str">
        <f>+_xlfn.XLOOKUP(A1347,PPTO_GENERADOR!Q:Q,PPTO_GENERADOR!E:E,"-",0)</f>
        <v>-</v>
      </c>
      <c r="Q1347" s="247">
        <f t="shared" ref="Q1347:Q1410" si="151">IFERROR(P1347*O1347,0)</f>
        <v>0</v>
      </c>
      <c r="R1347" s="259" t="str">
        <f>+_xlfn.XLOOKUP(A1347,PPTO_GENERADOR!$Q:$Q,PPTO_GENERADOR!A:A,"-",0)</f>
        <v>-</v>
      </c>
    </row>
    <row r="1348" spans="1:18" ht="14.25" customHeight="1" x14ac:dyDescent="0.35">
      <c r="A1348" s="38" t="s">
        <v>2729</v>
      </c>
      <c r="B1348" s="38" t="s">
        <v>2774</v>
      </c>
      <c r="C1348" s="38" t="s">
        <v>2775</v>
      </c>
      <c r="D1348" s="38" t="s">
        <v>815</v>
      </c>
      <c r="E1348" s="44" t="str">
        <f>IFERROR(VLOOKUP(D1348,MATERIALES!A:B,2,FALSE()),"?")</f>
        <v>Enduido Interior x 20lts</v>
      </c>
      <c r="F1348" s="44" t="str">
        <f>IFERROR(VLOOKUP(D1348,MATERIALES!A:C,3,FALSE()),"?")</f>
        <v>B</v>
      </c>
      <c r="G1348" s="45">
        <v>2E-3</v>
      </c>
      <c r="H1348" s="46">
        <v>0.1</v>
      </c>
      <c r="I1348" s="47">
        <f>IFERROR(VLOOKUP(D1348,MATERIALES!A:D,4,FALSE()),0)</f>
        <v>18735.77</v>
      </c>
      <c r="J1348" s="42">
        <f t="shared" si="147"/>
        <v>41.218694000000006</v>
      </c>
      <c r="K1348" s="15" t="str">
        <f t="shared" si="148"/>
        <v>PTO-1505|MAT</v>
      </c>
      <c r="L1348" s="15">
        <f>COUNTIFS($K$2:K1348,K1348)</f>
        <v>9</v>
      </c>
      <c r="M1348" s="15" t="str">
        <f t="shared" si="149"/>
        <v>PTO-1505|MAT|9</v>
      </c>
      <c r="N1348" s="47">
        <f>IFERROR(VLOOKUP(A1348,PARTIDAS!A:F,6,FALSE()),0)</f>
        <v>20</v>
      </c>
      <c r="O1348" s="247">
        <f t="shared" si="150"/>
        <v>2E-3</v>
      </c>
      <c r="P1348" s="247" t="str">
        <f>+_xlfn.XLOOKUP(A1348,PPTO_GENERADOR!Q:Q,PPTO_GENERADOR!E:E,"-",0)</f>
        <v>-</v>
      </c>
      <c r="Q1348" s="247">
        <f t="shared" si="151"/>
        <v>0</v>
      </c>
      <c r="R1348" s="259" t="str">
        <f>+_xlfn.XLOOKUP(A1348,PPTO_GENERADOR!$Q:$Q,PPTO_GENERADOR!A:A,"-",0)</f>
        <v>-</v>
      </c>
    </row>
    <row r="1349" spans="1:18" ht="14.25" customHeight="1" x14ac:dyDescent="0.35">
      <c r="A1349" s="38" t="s">
        <v>2729</v>
      </c>
      <c r="B1349" s="38" t="s">
        <v>2774</v>
      </c>
      <c r="C1349" s="38" t="s">
        <v>2775</v>
      </c>
      <c r="D1349" s="38" t="s">
        <v>666</v>
      </c>
      <c r="E1349" s="44" t="str">
        <f>IFERROR(VLOOKUP(D1349,MATERIALES!A:B,2,FALSE()),"?")</f>
        <v>Yeso Tuyango x 30kg</v>
      </c>
      <c r="F1349" s="44" t="str">
        <f>IFERROR(VLOOKUP(D1349,MATERIALES!A:C,3,FALSE()),"?")</f>
        <v>b</v>
      </c>
      <c r="G1349" s="45">
        <v>1E-3</v>
      </c>
      <c r="H1349" s="46">
        <v>0.05</v>
      </c>
      <c r="I1349" s="47">
        <f>IFERROR(VLOOKUP(D1349,MATERIALES!A:D,4,FALSE()),0)</f>
        <v>9639</v>
      </c>
      <c r="J1349" s="42">
        <f t="shared" si="147"/>
        <v>10.120950000000001</v>
      </c>
      <c r="K1349" s="15" t="str">
        <f t="shared" si="148"/>
        <v>PTO-1505|MAT</v>
      </c>
      <c r="L1349" s="15">
        <f>COUNTIFS($K$2:K1349,K1349)</f>
        <v>10</v>
      </c>
      <c r="M1349" s="15" t="str">
        <f t="shared" si="149"/>
        <v>PTO-1505|MAT|10</v>
      </c>
      <c r="N1349" s="47">
        <f>IFERROR(VLOOKUP(A1349,PARTIDAS!A:F,6,FALSE()),0)</f>
        <v>20</v>
      </c>
      <c r="O1349" s="247">
        <f t="shared" si="150"/>
        <v>1E-3</v>
      </c>
      <c r="P1349" s="247" t="str">
        <f>+_xlfn.XLOOKUP(A1349,PPTO_GENERADOR!Q:Q,PPTO_GENERADOR!E:E,"-",0)</f>
        <v>-</v>
      </c>
      <c r="Q1349" s="247">
        <f t="shared" si="151"/>
        <v>0</v>
      </c>
      <c r="R1349" s="259" t="str">
        <f>+_xlfn.XLOOKUP(A1349,PPTO_GENERADOR!$Q:$Q,PPTO_GENERADOR!A:A,"-",0)</f>
        <v>-</v>
      </c>
    </row>
    <row r="1350" spans="1:18" ht="14.25" customHeight="1" x14ac:dyDescent="0.35">
      <c r="A1350" s="38" t="s">
        <v>2729</v>
      </c>
      <c r="B1350" s="38" t="s">
        <v>2776</v>
      </c>
      <c r="C1350" s="38" t="s">
        <v>2777</v>
      </c>
      <c r="D1350" s="237" t="s">
        <v>1568</v>
      </c>
      <c r="E1350" s="44" t="str">
        <f>IFERROR(VLOOKUP(D1350,MANO_DE_OBRA!A:B,2,FALSE()),"?")</f>
        <v>ESPECIALIZADO</v>
      </c>
      <c r="F1350" s="44" t="s">
        <v>2778</v>
      </c>
      <c r="G1350" s="45">
        <v>1</v>
      </c>
      <c r="H1350" s="46">
        <v>0</v>
      </c>
      <c r="I1350" s="47">
        <f>IFERROR(VLOOKUP(D1350,MANO_DE_OBRA!A:C,3,FALSE()),0)</f>
        <v>85927.097156571996</v>
      </c>
      <c r="J1350" s="42">
        <f>G1350*I1350</f>
        <v>85927.097156571996</v>
      </c>
      <c r="K1350" s="15" t="str">
        <f t="shared" si="148"/>
        <v>PTO-1505|MO</v>
      </c>
      <c r="L1350" s="15">
        <f>COUNTIFS($K$2:K1350,K1350)</f>
        <v>1</v>
      </c>
      <c r="M1350" s="15" t="str">
        <f t="shared" si="149"/>
        <v>PTO-1505|MO|1</v>
      </c>
      <c r="N1350" s="47">
        <f>IFERROR(VLOOKUP(A1350,PARTIDAS!A:F,6,FALSE()),0)</f>
        <v>20</v>
      </c>
      <c r="O1350" s="247">
        <f t="shared" si="150"/>
        <v>0.05</v>
      </c>
      <c r="P1350" s="247" t="str">
        <f>+_xlfn.XLOOKUP(A1350,PPTO_GENERADOR!Q:Q,PPTO_GENERADOR!E:E,"-",0)</f>
        <v>-</v>
      </c>
      <c r="Q1350" s="247">
        <f t="shared" si="151"/>
        <v>0</v>
      </c>
      <c r="R1350" s="259" t="str">
        <f>+_xlfn.XLOOKUP(A1350,PPTO_GENERADOR!$Q:$Q,PPTO_GENERADOR!A:A,"-",0)</f>
        <v>-</v>
      </c>
    </row>
    <row r="1351" spans="1:18" ht="14.25" customHeight="1" x14ac:dyDescent="0.35">
      <c r="A1351" s="38" t="s">
        <v>241</v>
      </c>
      <c r="B1351" s="38" t="s">
        <v>2773</v>
      </c>
      <c r="C1351" s="38"/>
      <c r="D1351" s="38" t="s">
        <v>1592</v>
      </c>
      <c r="E1351" s="44" t="str">
        <f>IFERROR(VLOOKUP(D1351,EQUIPOS!A:B,2,FALSE()),"?")</f>
        <v>ANDAMIO TUBULAR DE UNO A TRES CUERPOS</v>
      </c>
      <c r="F1351" s="44"/>
      <c r="G1351" s="45">
        <v>1</v>
      </c>
      <c r="H1351" s="46">
        <v>0</v>
      </c>
      <c r="I1351" s="47">
        <f>IFERROR(VLOOKUP(D1351,EQUIPOS!A:F,6,FALSE()),0)</f>
        <v>571.1794909807611</v>
      </c>
      <c r="J1351" s="42">
        <f>G1351*I1351</f>
        <v>571.1794909807611</v>
      </c>
      <c r="K1351" s="15" t="str">
        <f t="shared" si="148"/>
        <v>PTO-1506|EQ</v>
      </c>
      <c r="L1351" s="15">
        <f>COUNTIFS($K$2:K1351,K1351)</f>
        <v>1</v>
      </c>
      <c r="M1351" s="15" t="str">
        <f t="shared" si="149"/>
        <v>PTO-1506|EQ|1</v>
      </c>
      <c r="N1351" s="47">
        <f>IFERROR(VLOOKUP(A1351,PARTIDAS!A:F,6,FALSE()),0)</f>
        <v>17.5</v>
      </c>
      <c r="O1351" s="247">
        <f t="shared" si="150"/>
        <v>1</v>
      </c>
      <c r="P1351" s="247">
        <f>+_xlfn.XLOOKUP(A1351,PPTO_GENERADOR!Q:Q,PPTO_GENERADOR!E:E,"-",0)</f>
        <v>204</v>
      </c>
      <c r="Q1351" s="247">
        <f t="shared" si="151"/>
        <v>204</v>
      </c>
      <c r="R1351" s="259">
        <f>+_xlfn.XLOOKUP(A1351,PPTO_GENERADOR!$Q:$Q,PPTO_GENERADOR!A:A,"-",0)</f>
        <v>15.06</v>
      </c>
    </row>
    <row r="1352" spans="1:18" ht="14.25" customHeight="1" x14ac:dyDescent="0.35">
      <c r="A1352" s="38" t="s">
        <v>241</v>
      </c>
      <c r="B1352" s="38" t="s">
        <v>2773</v>
      </c>
      <c r="C1352" s="38"/>
      <c r="D1352" s="38" t="s">
        <v>1604</v>
      </c>
      <c r="E1352" s="44" t="str">
        <f>IFERROR(VLOOKUP(D1352,EQUIPOS!A:B,2,FALSE()),"?")</f>
        <v>EQUIPO PARA PINTAR</v>
      </c>
      <c r="F1352" s="44"/>
      <c r="G1352" s="45">
        <v>2</v>
      </c>
      <c r="H1352" s="46">
        <v>0</v>
      </c>
      <c r="I1352" s="47">
        <f>IFERROR(VLOOKUP(D1352,EQUIPOS!A:F,6,FALSE()),0)</f>
        <v>1723.6259595547085</v>
      </c>
      <c r="J1352" s="42">
        <f>G1352*I1352</f>
        <v>3447.251919109417</v>
      </c>
      <c r="K1352" s="15" t="str">
        <f t="shared" si="148"/>
        <v>PTO-1506|EQ</v>
      </c>
      <c r="L1352" s="15">
        <f>COUNTIFS($K$2:K1352,K1352)</f>
        <v>2</v>
      </c>
      <c r="M1352" s="15" t="str">
        <f t="shared" si="149"/>
        <v>PTO-1506|EQ|2</v>
      </c>
      <c r="N1352" s="47">
        <f>IFERROR(VLOOKUP(A1352,PARTIDAS!A:F,6,FALSE()),0)</f>
        <v>17.5</v>
      </c>
      <c r="O1352" s="247">
        <f t="shared" si="150"/>
        <v>2</v>
      </c>
      <c r="P1352" s="247">
        <f>+_xlfn.XLOOKUP(A1352,PPTO_GENERADOR!Q:Q,PPTO_GENERADOR!E:E,"-",0)</f>
        <v>204</v>
      </c>
      <c r="Q1352" s="247">
        <f t="shared" si="151"/>
        <v>408</v>
      </c>
      <c r="R1352" s="259">
        <f>+_xlfn.XLOOKUP(A1352,PPTO_GENERADOR!$Q:$Q,PPTO_GENERADOR!A:A,"-",0)</f>
        <v>15.06</v>
      </c>
    </row>
    <row r="1353" spans="1:18" ht="14.25" customHeight="1" x14ac:dyDescent="0.35">
      <c r="A1353" s="38" t="s">
        <v>241</v>
      </c>
      <c r="B1353" s="38" t="s">
        <v>2773</v>
      </c>
      <c r="C1353" s="38"/>
      <c r="D1353" s="38" t="s">
        <v>1749</v>
      </c>
      <c r="E1353" s="44" t="str">
        <f>IFERROR(VLOOKUP(D1353,EQUIPOS!A:B,2,FALSE()),"?")</f>
        <v>ESCALERA MADERA PINTOR 8 ESCALONES</v>
      </c>
      <c r="F1353" s="44"/>
      <c r="G1353" s="45">
        <v>1</v>
      </c>
      <c r="H1353" s="46">
        <v>0</v>
      </c>
      <c r="I1353" s="47">
        <f>IFERROR(VLOOKUP(D1353,EQUIPOS!A:F,6,FALSE()),0)</f>
        <v>200.25307946474501</v>
      </c>
      <c r="J1353" s="42">
        <f>G1353*I1353</f>
        <v>200.25307946474501</v>
      </c>
      <c r="K1353" s="15" t="str">
        <f t="shared" si="148"/>
        <v>PTO-1506|EQ</v>
      </c>
      <c r="L1353" s="15">
        <f>COUNTIFS($K$2:K1353,K1353)</f>
        <v>3</v>
      </c>
      <c r="M1353" s="15" t="str">
        <f t="shared" si="149"/>
        <v>PTO-1506|EQ|3</v>
      </c>
      <c r="N1353" s="47">
        <f>IFERROR(VLOOKUP(A1353,PARTIDAS!A:F,6,FALSE()),0)</f>
        <v>17.5</v>
      </c>
      <c r="O1353" s="247">
        <f t="shared" si="150"/>
        <v>1</v>
      </c>
      <c r="P1353" s="247">
        <f>+_xlfn.XLOOKUP(A1353,PPTO_GENERADOR!Q:Q,PPTO_GENERADOR!E:E,"-",0)</f>
        <v>204</v>
      </c>
      <c r="Q1353" s="247">
        <f t="shared" si="151"/>
        <v>204</v>
      </c>
      <c r="R1353" s="259">
        <f>+_xlfn.XLOOKUP(A1353,PPTO_GENERADOR!$Q:$Q,PPTO_GENERADOR!A:A,"-",0)</f>
        <v>15.06</v>
      </c>
    </row>
    <row r="1354" spans="1:18" ht="14.25" customHeight="1" x14ac:dyDescent="0.35">
      <c r="A1354" s="38" t="s">
        <v>241</v>
      </c>
      <c r="B1354" s="38" t="s">
        <v>2774</v>
      </c>
      <c r="C1354" s="38" t="s">
        <v>2775</v>
      </c>
      <c r="D1354" s="38" t="s">
        <v>842</v>
      </c>
      <c r="E1354" s="44" t="str">
        <f>IFERROR(VLOOKUP(D1354,MATERIALES!A:B,2,FALSE()),"?")</f>
        <v>Fijador al agua x 20 lts</v>
      </c>
      <c r="F1354" s="44" t="str">
        <f>IFERROR(VLOOKUP(D1354,MATERIALES!A:C,3,FALSE()),"?")</f>
        <v>b</v>
      </c>
      <c r="G1354" s="45">
        <v>4.0000000000000001E-3</v>
      </c>
      <c r="H1354" s="46">
        <v>0.05</v>
      </c>
      <c r="I1354" s="47">
        <f>IFERROR(VLOOKUP(D1354,MATERIALES!A:D,4,FALSE()),0)</f>
        <v>30467.49</v>
      </c>
      <c r="J1354" s="42">
        <f t="shared" ref="J1354:J1363" si="152">G1354*I1354*(1+H1354)</f>
        <v>127.96345800000002</v>
      </c>
      <c r="K1354" s="15" t="str">
        <f t="shared" si="148"/>
        <v>PTO-1506|MAT</v>
      </c>
      <c r="L1354" s="15">
        <f>COUNTIFS($K$2:K1354,K1354)</f>
        <v>1</v>
      </c>
      <c r="M1354" s="15" t="str">
        <f t="shared" si="149"/>
        <v>PTO-1506|MAT|1</v>
      </c>
      <c r="N1354" s="47">
        <f>IFERROR(VLOOKUP(A1354,PARTIDAS!A:F,6,FALSE()),0)</f>
        <v>17.5</v>
      </c>
      <c r="O1354" s="247">
        <f t="shared" si="150"/>
        <v>4.0000000000000001E-3</v>
      </c>
      <c r="P1354" s="247">
        <f>+_xlfn.XLOOKUP(A1354,PPTO_GENERADOR!Q:Q,PPTO_GENERADOR!E:E,"-",0)</f>
        <v>204</v>
      </c>
      <c r="Q1354" s="247">
        <f t="shared" si="151"/>
        <v>0.81600000000000006</v>
      </c>
      <c r="R1354" s="259">
        <f>+_xlfn.XLOOKUP(A1354,PPTO_GENERADOR!$Q:$Q,PPTO_GENERADOR!A:A,"-",0)</f>
        <v>15.06</v>
      </c>
    </row>
    <row r="1355" spans="1:18" ht="14.25" customHeight="1" x14ac:dyDescent="0.35">
      <c r="A1355" s="38" t="s">
        <v>241</v>
      </c>
      <c r="B1355" s="38" t="s">
        <v>2774</v>
      </c>
      <c r="C1355" s="38" t="s">
        <v>2775</v>
      </c>
      <c r="D1355" s="38" t="s">
        <v>848</v>
      </c>
      <c r="E1355" s="44" t="str">
        <f>IFERROR(VLOOKUP(D1355,MATERIALES!A:B,2,FALSE()),"?")</f>
        <v>Lija 180 al agua x 10u</v>
      </c>
      <c r="F1355" s="44" t="str">
        <f>IFERROR(VLOOKUP(D1355,MATERIALES!A:C,3,FALSE()),"?")</f>
        <v>u</v>
      </c>
      <c r="G1355" s="45">
        <v>2.5000000000000001E-2</v>
      </c>
      <c r="H1355" s="46">
        <v>0.05</v>
      </c>
      <c r="I1355" s="47">
        <f>IFERROR(VLOOKUP(D1355,MATERIALES!A:D,4,FALSE()),0)</f>
        <v>5661.4</v>
      </c>
      <c r="J1355" s="42">
        <f t="shared" si="152"/>
        <v>148.61175</v>
      </c>
      <c r="K1355" s="15" t="str">
        <f t="shared" si="148"/>
        <v>PTO-1506|MAT</v>
      </c>
      <c r="L1355" s="15">
        <f>COUNTIFS($K$2:K1355,K1355)</f>
        <v>2</v>
      </c>
      <c r="M1355" s="15" t="str">
        <f t="shared" si="149"/>
        <v>PTO-1506|MAT|2</v>
      </c>
      <c r="N1355" s="47">
        <f>IFERROR(VLOOKUP(A1355,PARTIDAS!A:F,6,FALSE()),0)</f>
        <v>17.5</v>
      </c>
      <c r="O1355" s="247">
        <f t="shared" si="150"/>
        <v>2.5000000000000001E-2</v>
      </c>
      <c r="P1355" s="247">
        <f>+_xlfn.XLOOKUP(A1355,PPTO_GENERADOR!Q:Q,PPTO_GENERADOR!E:E,"-",0)</f>
        <v>204</v>
      </c>
      <c r="Q1355" s="247">
        <f t="shared" si="151"/>
        <v>5.1000000000000005</v>
      </c>
      <c r="R1355" s="259">
        <f>+_xlfn.XLOOKUP(A1355,PPTO_GENERADOR!$Q:$Q,PPTO_GENERADOR!A:A,"-",0)</f>
        <v>15.06</v>
      </c>
    </row>
    <row r="1356" spans="1:18" ht="14.25" customHeight="1" x14ac:dyDescent="0.35">
      <c r="A1356" s="38" t="s">
        <v>241</v>
      </c>
      <c r="B1356" s="38" t="s">
        <v>2774</v>
      </c>
      <c r="C1356" s="38" t="s">
        <v>2775</v>
      </c>
      <c r="D1356" s="38" t="s">
        <v>851</v>
      </c>
      <c r="E1356" s="44" t="str">
        <f>IFERROR(VLOOKUP(D1356,MATERIALES!A:B,2,FALSE()),"?")</f>
        <v>Cinta de Papel 36 mm x 40m</v>
      </c>
      <c r="F1356" s="44" t="str">
        <f>IFERROR(VLOOKUP(D1356,MATERIALES!A:C,3,FALSE()),"?")</f>
        <v>u</v>
      </c>
      <c r="G1356" s="45">
        <v>0.05</v>
      </c>
      <c r="H1356" s="46">
        <v>0.1</v>
      </c>
      <c r="I1356" s="47">
        <f>IFERROR(VLOOKUP(D1356,MATERIALES!A:D,4,FALSE()),0)</f>
        <v>3293.01</v>
      </c>
      <c r="J1356" s="42">
        <f t="shared" si="152"/>
        <v>181.11555000000004</v>
      </c>
      <c r="K1356" s="15" t="str">
        <f t="shared" si="148"/>
        <v>PTO-1506|MAT</v>
      </c>
      <c r="L1356" s="15">
        <f>COUNTIFS($K$2:K1356,K1356)</f>
        <v>3</v>
      </c>
      <c r="M1356" s="15" t="str">
        <f t="shared" si="149"/>
        <v>PTO-1506|MAT|3</v>
      </c>
      <c r="N1356" s="47">
        <f>IFERROR(VLOOKUP(A1356,PARTIDAS!A:F,6,FALSE()),0)</f>
        <v>17.5</v>
      </c>
      <c r="O1356" s="247">
        <f t="shared" si="150"/>
        <v>0.05</v>
      </c>
      <c r="P1356" s="247">
        <f>+_xlfn.XLOOKUP(A1356,PPTO_GENERADOR!Q:Q,PPTO_GENERADOR!E:E,"-",0)</f>
        <v>204</v>
      </c>
      <c r="Q1356" s="247">
        <f t="shared" si="151"/>
        <v>10.200000000000001</v>
      </c>
      <c r="R1356" s="259">
        <f>+_xlfn.XLOOKUP(A1356,PPTO_GENERADOR!$Q:$Q,PPTO_GENERADOR!A:A,"-",0)</f>
        <v>15.06</v>
      </c>
    </row>
    <row r="1357" spans="1:18" ht="14.25" customHeight="1" x14ac:dyDescent="0.35">
      <c r="A1357" s="38" t="s">
        <v>241</v>
      </c>
      <c r="B1357" s="38" t="s">
        <v>2774</v>
      </c>
      <c r="C1357" s="38" t="s">
        <v>2775</v>
      </c>
      <c r="D1357" s="38" t="s">
        <v>855</v>
      </c>
      <c r="E1357" s="44" t="str">
        <f>IFERROR(VLOOKUP(D1357,MATERIALES!A:B,2,FALSE()),"?")</f>
        <v>Trapo</v>
      </c>
      <c r="F1357" s="44" t="str">
        <f>IFERROR(VLOOKUP(D1357,MATERIALES!A:C,3,FALSE()),"?")</f>
        <v>u</v>
      </c>
      <c r="G1357" s="45">
        <v>0.03</v>
      </c>
      <c r="H1357" s="46">
        <v>0.05</v>
      </c>
      <c r="I1357" s="47">
        <f>IFERROR(VLOOKUP(D1357,MATERIALES!A:D,4,FALSE()),0)</f>
        <v>735.06</v>
      </c>
      <c r="J1357" s="42">
        <f t="shared" si="152"/>
        <v>23.154389999999996</v>
      </c>
      <c r="K1357" s="15" t="str">
        <f t="shared" si="148"/>
        <v>PTO-1506|MAT</v>
      </c>
      <c r="L1357" s="15">
        <f>COUNTIFS($K$2:K1357,K1357)</f>
        <v>4</v>
      </c>
      <c r="M1357" s="15" t="str">
        <f t="shared" si="149"/>
        <v>PTO-1506|MAT|4</v>
      </c>
      <c r="N1357" s="47">
        <f>IFERROR(VLOOKUP(A1357,PARTIDAS!A:F,6,FALSE()),0)</f>
        <v>17.5</v>
      </c>
      <c r="O1357" s="247">
        <f t="shared" si="150"/>
        <v>0.03</v>
      </c>
      <c r="P1357" s="247">
        <f>+_xlfn.XLOOKUP(A1357,PPTO_GENERADOR!Q:Q,PPTO_GENERADOR!E:E,"-",0)</f>
        <v>204</v>
      </c>
      <c r="Q1357" s="247">
        <f t="shared" si="151"/>
        <v>6.12</v>
      </c>
      <c r="R1357" s="259">
        <f>+_xlfn.XLOOKUP(A1357,PPTO_GENERADOR!$Q:$Q,PPTO_GENERADOR!A:A,"-",0)</f>
        <v>15.06</v>
      </c>
    </row>
    <row r="1358" spans="1:18" ht="14.25" customHeight="1" x14ac:dyDescent="0.35">
      <c r="A1358" s="38" t="s">
        <v>241</v>
      </c>
      <c r="B1358" s="38" t="s">
        <v>2774</v>
      </c>
      <c r="C1358" s="38" t="s">
        <v>2775</v>
      </c>
      <c r="D1358" s="38" t="s">
        <v>861</v>
      </c>
      <c r="E1358" s="44" t="str">
        <f>IFERROR(VLOOKUP(D1358,MATERIALES!A:B,2,FALSE()),"?")</f>
        <v>Rodillo de lana pelo corto antigota N°22 - El Galgo</v>
      </c>
      <c r="F1358" s="44" t="str">
        <f>IFERROR(VLOOKUP(D1358,MATERIALES!A:C,3,FALSE()),"?")</f>
        <v>u</v>
      </c>
      <c r="G1358" s="45">
        <v>5.0000000000000001E-3</v>
      </c>
      <c r="H1358" s="46">
        <v>0.05</v>
      </c>
      <c r="I1358" s="47">
        <f>IFERROR(VLOOKUP(D1358,MATERIALES!A:D,4,FALSE()),0)</f>
        <v>6678.36</v>
      </c>
      <c r="J1358" s="42">
        <f t="shared" si="152"/>
        <v>35.061389999999996</v>
      </c>
      <c r="K1358" s="15" t="str">
        <f t="shared" si="148"/>
        <v>PTO-1506|MAT</v>
      </c>
      <c r="L1358" s="15">
        <f>COUNTIFS($K$2:K1358,K1358)</f>
        <v>5</v>
      </c>
      <c r="M1358" s="15" t="str">
        <f t="shared" si="149"/>
        <v>PTO-1506|MAT|5</v>
      </c>
      <c r="N1358" s="47">
        <f>IFERROR(VLOOKUP(A1358,PARTIDAS!A:F,6,FALSE()),0)</f>
        <v>17.5</v>
      </c>
      <c r="O1358" s="247">
        <f t="shared" si="150"/>
        <v>5.0000000000000001E-3</v>
      </c>
      <c r="P1358" s="247">
        <f>+_xlfn.XLOOKUP(A1358,PPTO_GENERADOR!Q:Q,PPTO_GENERADOR!E:E,"-",0)</f>
        <v>204</v>
      </c>
      <c r="Q1358" s="247">
        <f t="shared" si="151"/>
        <v>1.02</v>
      </c>
      <c r="R1358" s="259">
        <f>+_xlfn.XLOOKUP(A1358,PPTO_GENERADOR!$Q:$Q,PPTO_GENERADOR!A:A,"-",0)</f>
        <v>15.06</v>
      </c>
    </row>
    <row r="1359" spans="1:18" ht="14.25" customHeight="1" x14ac:dyDescent="0.35">
      <c r="A1359" s="38" t="s">
        <v>241</v>
      </c>
      <c r="B1359" s="38" t="s">
        <v>2774</v>
      </c>
      <c r="C1359" s="38" t="s">
        <v>2775</v>
      </c>
      <c r="D1359" s="38" t="s">
        <v>865</v>
      </c>
      <c r="E1359" s="44" t="str">
        <f>IFERROR(VLOOKUP(D1359,MATERIALES!A:B,2,FALSE()),"?")</f>
        <v>Pincel N° 20 - El Galgo</v>
      </c>
      <c r="F1359" s="44" t="str">
        <f>IFERROR(VLOOKUP(D1359,MATERIALES!A:C,3,FALSE()),"?")</f>
        <v>u</v>
      </c>
      <c r="G1359" s="45">
        <v>5.0000000000000001E-3</v>
      </c>
      <c r="H1359" s="46">
        <v>0.05</v>
      </c>
      <c r="I1359" s="47">
        <f>IFERROR(VLOOKUP(D1359,MATERIALES!A:D,4,FALSE()),0)</f>
        <v>5282.24</v>
      </c>
      <c r="J1359" s="42">
        <f t="shared" si="152"/>
        <v>27.731760000000001</v>
      </c>
      <c r="K1359" s="15" t="str">
        <f t="shared" si="148"/>
        <v>PTO-1506|MAT</v>
      </c>
      <c r="L1359" s="15">
        <f>COUNTIFS($K$2:K1359,K1359)</f>
        <v>6</v>
      </c>
      <c r="M1359" s="15" t="str">
        <f t="shared" si="149"/>
        <v>PTO-1506|MAT|6</v>
      </c>
      <c r="N1359" s="47">
        <f>IFERROR(VLOOKUP(A1359,PARTIDAS!A:F,6,FALSE()),0)</f>
        <v>17.5</v>
      </c>
      <c r="O1359" s="247">
        <f t="shared" si="150"/>
        <v>5.0000000000000001E-3</v>
      </c>
      <c r="P1359" s="247">
        <f>+_xlfn.XLOOKUP(A1359,PPTO_GENERADOR!Q:Q,PPTO_GENERADOR!E:E,"-",0)</f>
        <v>204</v>
      </c>
      <c r="Q1359" s="247">
        <f t="shared" si="151"/>
        <v>1.02</v>
      </c>
      <c r="R1359" s="259">
        <f>+_xlfn.XLOOKUP(A1359,PPTO_GENERADOR!$Q:$Q,PPTO_GENERADOR!A:A,"-",0)</f>
        <v>15.06</v>
      </c>
    </row>
    <row r="1360" spans="1:18" ht="14.25" customHeight="1" x14ac:dyDescent="0.35">
      <c r="A1360" s="38" t="s">
        <v>241</v>
      </c>
      <c r="B1360" s="38" t="s">
        <v>2774</v>
      </c>
      <c r="C1360" s="38" t="s">
        <v>2775</v>
      </c>
      <c r="D1360" s="38" t="s">
        <v>868</v>
      </c>
      <c r="E1360" s="44" t="str">
        <f>IFERROR(VLOOKUP(D1360,MATERIALES!A:B,2,FALSE()),"?")</f>
        <v>Rollo de cartón corrugado 0,90 x 25 mts</v>
      </c>
      <c r="F1360" s="44" t="str">
        <f>IFERROR(VLOOKUP(D1360,MATERIALES!A:C,3,FALSE()),"?")</f>
        <v>u</v>
      </c>
      <c r="G1360" s="45">
        <v>0.01</v>
      </c>
      <c r="H1360" s="46">
        <v>0.05</v>
      </c>
      <c r="I1360" s="47">
        <f>IFERROR(VLOOKUP(D1360,MATERIALES!A:D,4,FALSE()),0)</f>
        <v>7427.6</v>
      </c>
      <c r="J1360" s="42">
        <f t="shared" si="152"/>
        <v>77.989800000000017</v>
      </c>
      <c r="K1360" s="15" t="str">
        <f t="shared" si="148"/>
        <v>PTO-1506|MAT</v>
      </c>
      <c r="L1360" s="15">
        <f>COUNTIFS($K$2:K1360,K1360)</f>
        <v>7</v>
      </c>
      <c r="M1360" s="15" t="str">
        <f t="shared" si="149"/>
        <v>PTO-1506|MAT|7</v>
      </c>
      <c r="N1360" s="47">
        <f>IFERROR(VLOOKUP(A1360,PARTIDAS!A:F,6,FALSE()),0)</f>
        <v>17.5</v>
      </c>
      <c r="O1360" s="247">
        <f t="shared" si="150"/>
        <v>0.01</v>
      </c>
      <c r="P1360" s="247">
        <f>+_xlfn.XLOOKUP(A1360,PPTO_GENERADOR!Q:Q,PPTO_GENERADOR!E:E,"-",0)</f>
        <v>204</v>
      </c>
      <c r="Q1360" s="247">
        <f t="shared" si="151"/>
        <v>2.04</v>
      </c>
      <c r="R1360" s="259">
        <f>+_xlfn.XLOOKUP(A1360,PPTO_GENERADOR!$Q:$Q,PPTO_GENERADOR!A:A,"-",0)</f>
        <v>15.06</v>
      </c>
    </row>
    <row r="1361" spans="1:18" ht="14.25" customHeight="1" x14ac:dyDescent="0.35">
      <c r="A1361" s="38" t="s">
        <v>241</v>
      </c>
      <c r="B1361" s="38" t="s">
        <v>2774</v>
      </c>
      <c r="C1361" s="38" t="s">
        <v>2775</v>
      </c>
      <c r="D1361" s="38" t="s">
        <v>795</v>
      </c>
      <c r="E1361" s="44" t="str">
        <f>IFERROR(VLOOKUP(D1361,MATERIALES!A:B,2,FALSE()),"?")</f>
        <v>Latex Loxon Interior Sherwin Williams Mate Bco x 20lts</v>
      </c>
      <c r="F1361" s="44" t="str">
        <f>IFERROR(VLOOKUP(D1361,MATERIALES!A:C,3,FALSE()),"?")</f>
        <v>B</v>
      </c>
      <c r="G1361" s="45">
        <v>1.2500000000000001E-2</v>
      </c>
      <c r="H1361" s="46">
        <v>0.1</v>
      </c>
      <c r="I1361" s="47">
        <f>IFERROR(VLOOKUP(D1361,MATERIALES!A:D,4,FALSE()),0)</f>
        <v>120622.23</v>
      </c>
      <c r="J1361" s="42">
        <f t="shared" si="152"/>
        <v>1658.5556625000002</v>
      </c>
      <c r="K1361" s="15" t="str">
        <f t="shared" si="148"/>
        <v>PTO-1506|MAT</v>
      </c>
      <c r="L1361" s="15">
        <f>COUNTIFS($K$2:K1361,K1361)</f>
        <v>8</v>
      </c>
      <c r="M1361" s="15" t="str">
        <f t="shared" si="149"/>
        <v>PTO-1506|MAT|8</v>
      </c>
      <c r="N1361" s="47">
        <f>IFERROR(VLOOKUP(A1361,PARTIDAS!A:F,6,FALSE()),0)</f>
        <v>17.5</v>
      </c>
      <c r="O1361" s="247">
        <f t="shared" si="150"/>
        <v>1.2500000000000001E-2</v>
      </c>
      <c r="P1361" s="247">
        <f>+_xlfn.XLOOKUP(A1361,PPTO_GENERADOR!Q:Q,PPTO_GENERADOR!E:E,"-",0)</f>
        <v>204</v>
      </c>
      <c r="Q1361" s="247">
        <f t="shared" si="151"/>
        <v>2.5500000000000003</v>
      </c>
      <c r="R1361" s="259">
        <f>+_xlfn.XLOOKUP(A1361,PPTO_GENERADOR!$Q:$Q,PPTO_GENERADOR!A:A,"-",0)</f>
        <v>15.06</v>
      </c>
    </row>
    <row r="1362" spans="1:18" ht="14.25" customHeight="1" x14ac:dyDescent="0.35">
      <c r="A1362" s="38" t="s">
        <v>241</v>
      </c>
      <c r="B1362" s="38" t="s">
        <v>2774</v>
      </c>
      <c r="C1362" s="38" t="s">
        <v>2775</v>
      </c>
      <c r="D1362" s="38" t="s">
        <v>815</v>
      </c>
      <c r="E1362" s="44" t="str">
        <f>IFERROR(VLOOKUP(D1362,MATERIALES!A:B,2,FALSE()),"?")</f>
        <v>Enduido Interior x 20lts</v>
      </c>
      <c r="F1362" s="44" t="str">
        <f>IFERROR(VLOOKUP(D1362,MATERIALES!A:C,3,FALSE()),"?")</f>
        <v>B</v>
      </c>
      <c r="G1362" s="45">
        <v>0.03</v>
      </c>
      <c r="H1362" s="46">
        <v>0.1</v>
      </c>
      <c r="I1362" s="47">
        <f>IFERROR(VLOOKUP(D1362,MATERIALES!A:D,4,FALSE()),0)</f>
        <v>18735.77</v>
      </c>
      <c r="J1362" s="42">
        <f t="shared" si="152"/>
        <v>618.28040999999996</v>
      </c>
      <c r="K1362" s="15" t="str">
        <f t="shared" si="148"/>
        <v>PTO-1506|MAT</v>
      </c>
      <c r="L1362" s="15">
        <f>COUNTIFS($K$2:K1362,K1362)</f>
        <v>9</v>
      </c>
      <c r="M1362" s="15" t="str">
        <f t="shared" si="149"/>
        <v>PTO-1506|MAT|9</v>
      </c>
      <c r="N1362" s="47">
        <f>IFERROR(VLOOKUP(A1362,PARTIDAS!A:F,6,FALSE()),0)</f>
        <v>17.5</v>
      </c>
      <c r="O1362" s="247">
        <f t="shared" si="150"/>
        <v>0.03</v>
      </c>
      <c r="P1362" s="247">
        <f>+_xlfn.XLOOKUP(A1362,PPTO_GENERADOR!Q:Q,PPTO_GENERADOR!E:E,"-",0)</f>
        <v>204</v>
      </c>
      <c r="Q1362" s="247">
        <f t="shared" si="151"/>
        <v>6.12</v>
      </c>
      <c r="R1362" s="259">
        <f>+_xlfn.XLOOKUP(A1362,PPTO_GENERADOR!$Q:$Q,PPTO_GENERADOR!A:A,"-",0)</f>
        <v>15.06</v>
      </c>
    </row>
    <row r="1363" spans="1:18" ht="14.25" customHeight="1" x14ac:dyDescent="0.35">
      <c r="A1363" s="38" t="s">
        <v>241</v>
      </c>
      <c r="B1363" s="38" t="s">
        <v>2774</v>
      </c>
      <c r="C1363" s="38" t="s">
        <v>2775</v>
      </c>
      <c r="D1363" s="38" t="s">
        <v>666</v>
      </c>
      <c r="E1363" s="44" t="str">
        <f>IFERROR(VLOOKUP(D1363,MATERIALES!A:B,2,FALSE()),"?")</f>
        <v>Yeso Tuyango x 30kg</v>
      </c>
      <c r="F1363" s="44" t="str">
        <f>IFERROR(VLOOKUP(D1363,MATERIALES!A:C,3,FALSE()),"?")</f>
        <v>b</v>
      </c>
      <c r="G1363" s="45">
        <v>2.5000000000000001E-3</v>
      </c>
      <c r="H1363" s="46">
        <v>0.05</v>
      </c>
      <c r="I1363" s="47">
        <f>IFERROR(VLOOKUP(D1363,MATERIALES!A:D,4,FALSE()),0)</f>
        <v>9639</v>
      </c>
      <c r="J1363" s="42">
        <f t="shared" si="152"/>
        <v>25.302375000000001</v>
      </c>
      <c r="K1363" s="15" t="str">
        <f t="shared" si="148"/>
        <v>PTO-1506|MAT</v>
      </c>
      <c r="L1363" s="15">
        <f>COUNTIFS($K$2:K1363,K1363)</f>
        <v>10</v>
      </c>
      <c r="M1363" s="15" t="str">
        <f t="shared" si="149"/>
        <v>PTO-1506|MAT|10</v>
      </c>
      <c r="N1363" s="47">
        <f>IFERROR(VLOOKUP(A1363,PARTIDAS!A:F,6,FALSE()),0)</f>
        <v>17.5</v>
      </c>
      <c r="O1363" s="247">
        <f t="shared" si="150"/>
        <v>2.5000000000000001E-3</v>
      </c>
      <c r="P1363" s="247">
        <f>+_xlfn.XLOOKUP(A1363,PPTO_GENERADOR!Q:Q,PPTO_GENERADOR!E:E,"-",0)</f>
        <v>204</v>
      </c>
      <c r="Q1363" s="247">
        <f t="shared" si="151"/>
        <v>0.51</v>
      </c>
      <c r="R1363" s="259">
        <f>+_xlfn.XLOOKUP(A1363,PPTO_GENERADOR!$Q:$Q,PPTO_GENERADOR!A:A,"-",0)</f>
        <v>15.06</v>
      </c>
    </row>
    <row r="1364" spans="1:18" ht="14.25" customHeight="1" x14ac:dyDescent="0.35">
      <c r="A1364" s="38" t="s">
        <v>241</v>
      </c>
      <c r="B1364" s="38" t="s">
        <v>2776</v>
      </c>
      <c r="C1364" s="38" t="s">
        <v>2777</v>
      </c>
      <c r="D1364" s="237" t="s">
        <v>1574</v>
      </c>
      <c r="E1364" s="44" t="str">
        <f>IFERROR(VLOOKUP(D1364,MANO_DE_OBRA!A:B,2,FALSE()),"?")</f>
        <v>MEDIO OFICIAL</v>
      </c>
      <c r="F1364" s="44" t="s">
        <v>2778</v>
      </c>
      <c r="G1364" s="45">
        <v>1</v>
      </c>
      <c r="H1364" s="46">
        <v>0</v>
      </c>
      <c r="I1364" s="47">
        <f>IFERROR(VLOOKUP(D1364,MANO_DE_OBRA!A:C,3,FALSE()),0)</f>
        <v>65493.071636572</v>
      </c>
      <c r="J1364" s="42">
        <f>G1364*I1364</f>
        <v>65493.071636572</v>
      </c>
      <c r="K1364" s="15" t="str">
        <f t="shared" si="148"/>
        <v>PTO-1506|MO</v>
      </c>
      <c r="L1364" s="15">
        <f>COUNTIFS($K$2:K1364,K1364)</f>
        <v>1</v>
      </c>
      <c r="M1364" s="15" t="str">
        <f t="shared" si="149"/>
        <v>PTO-1506|MO|1</v>
      </c>
      <c r="N1364" s="47">
        <f>IFERROR(VLOOKUP(A1364,PARTIDAS!A:F,6,FALSE()),0)</f>
        <v>17.5</v>
      </c>
      <c r="O1364" s="247">
        <f t="shared" si="150"/>
        <v>5.7142857142857141E-2</v>
      </c>
      <c r="P1364" s="247">
        <f>+_xlfn.XLOOKUP(A1364,PPTO_GENERADOR!Q:Q,PPTO_GENERADOR!E:E,"-",0)</f>
        <v>204</v>
      </c>
      <c r="Q1364" s="247">
        <f t="shared" si="151"/>
        <v>11.657142857142857</v>
      </c>
      <c r="R1364" s="259">
        <f>+_xlfn.XLOOKUP(A1364,PPTO_GENERADOR!$Q:$Q,PPTO_GENERADOR!A:A,"-",0)</f>
        <v>15.06</v>
      </c>
    </row>
    <row r="1365" spans="1:18" ht="14.25" customHeight="1" x14ac:dyDescent="0.35">
      <c r="A1365" s="38" t="s">
        <v>241</v>
      </c>
      <c r="B1365" s="38" t="s">
        <v>2776</v>
      </c>
      <c r="C1365" s="38" t="s">
        <v>2777</v>
      </c>
      <c r="D1365" s="237" t="s">
        <v>1568</v>
      </c>
      <c r="E1365" s="44" t="str">
        <f>IFERROR(VLOOKUP(D1365,MANO_DE_OBRA!A:B,2,FALSE()),"?")</f>
        <v>ESPECIALIZADO</v>
      </c>
      <c r="F1365" s="44" t="s">
        <v>2778</v>
      </c>
      <c r="G1365" s="45">
        <v>1</v>
      </c>
      <c r="H1365" s="46">
        <v>0</v>
      </c>
      <c r="I1365" s="47">
        <f>IFERROR(VLOOKUP(D1365,MANO_DE_OBRA!A:C,3,FALSE()),0)</f>
        <v>85927.097156571996</v>
      </c>
      <c r="J1365" s="42">
        <f>G1365*I1365</f>
        <v>85927.097156571996</v>
      </c>
      <c r="K1365" s="15" t="str">
        <f t="shared" si="148"/>
        <v>PTO-1506|MO</v>
      </c>
      <c r="L1365" s="15">
        <f>COUNTIFS($K$2:K1365,K1365)</f>
        <v>2</v>
      </c>
      <c r="M1365" s="15" t="str">
        <f t="shared" si="149"/>
        <v>PTO-1506|MO|2</v>
      </c>
      <c r="N1365" s="47">
        <f>IFERROR(VLOOKUP(A1365,PARTIDAS!A:F,6,FALSE()),0)</f>
        <v>17.5</v>
      </c>
      <c r="O1365" s="247">
        <f t="shared" si="150"/>
        <v>5.7142857142857141E-2</v>
      </c>
      <c r="P1365" s="247">
        <f>+_xlfn.XLOOKUP(A1365,PPTO_GENERADOR!Q:Q,PPTO_GENERADOR!E:E,"-",0)</f>
        <v>204</v>
      </c>
      <c r="Q1365" s="247">
        <f t="shared" si="151"/>
        <v>11.657142857142857</v>
      </c>
      <c r="R1365" s="259">
        <f>+_xlfn.XLOOKUP(A1365,PPTO_GENERADOR!$Q:$Q,PPTO_GENERADOR!A:A,"-",0)</f>
        <v>15.06</v>
      </c>
    </row>
    <row r="1366" spans="1:18" ht="14.25" customHeight="1" x14ac:dyDescent="0.35">
      <c r="A1366" s="38" t="s">
        <v>243</v>
      </c>
      <c r="B1366" s="38" t="s">
        <v>2773</v>
      </c>
      <c r="C1366" s="38"/>
      <c r="D1366" s="38" t="s">
        <v>1884</v>
      </c>
      <c r="E1366" s="44" t="str">
        <f>IFERROR(VLOOKUP(D1366,EQUIPOS!A:B,2,FALSE()),"?")</f>
        <v xml:space="preserve">Herramientas menores y consumibles - Impermeabilizane de Hº, silicona transparente </v>
      </c>
      <c r="F1366" s="44"/>
      <c r="G1366" s="45">
        <v>30</v>
      </c>
      <c r="H1366" s="46">
        <v>0</v>
      </c>
      <c r="I1366" s="47">
        <f>IFERROR(VLOOKUP(D1366,EQUIPOS!A:F,6,FALSE()),0)</f>
        <v>190.21390119046501</v>
      </c>
      <c r="J1366" s="42">
        <f>G1366*I1366</f>
        <v>5706.4170357139501</v>
      </c>
      <c r="K1366" s="15" t="str">
        <f t="shared" si="148"/>
        <v>PTO-1507|EQ</v>
      </c>
      <c r="L1366" s="15">
        <f>COUNTIFS($K$2:K1366,K1366)</f>
        <v>1</v>
      </c>
      <c r="M1366" s="15" t="str">
        <f t="shared" si="149"/>
        <v>PTO-1507|EQ|1</v>
      </c>
      <c r="N1366" s="47">
        <f>IFERROR(VLOOKUP(A1366,PARTIDAS!A:F,6,FALSE()),0)</f>
        <v>30</v>
      </c>
      <c r="O1366" s="247">
        <f t="shared" si="150"/>
        <v>30</v>
      </c>
      <c r="P1366" s="247">
        <f>+_xlfn.XLOOKUP(A1366,PPTO_GENERADOR!Q:Q,PPTO_GENERADOR!E:E,"-",0)</f>
        <v>262</v>
      </c>
      <c r="Q1366" s="247">
        <f t="shared" si="151"/>
        <v>7860</v>
      </c>
      <c r="R1366" s="259">
        <f>+_xlfn.XLOOKUP(A1366,PPTO_GENERADOR!$Q:$Q,PPTO_GENERADOR!A:A,"-",0)</f>
        <v>15.07</v>
      </c>
    </row>
    <row r="1367" spans="1:18" ht="14.25" customHeight="1" x14ac:dyDescent="0.35">
      <c r="A1367" s="38" t="s">
        <v>243</v>
      </c>
      <c r="B1367" s="38" t="s">
        <v>2774</v>
      </c>
      <c r="C1367" s="38" t="s">
        <v>2775</v>
      </c>
      <c r="D1367" s="38" t="s">
        <v>1259</v>
      </c>
      <c r="E1367" s="44" t="str">
        <f>IFERROR(VLOOKUP(D1367,MATERIALES!A:B,2,FALSE()),"?")</f>
        <v>Sikaguard 0,350 lts/m2</v>
      </c>
      <c r="F1367" s="44" t="str">
        <f>IFERROR(VLOOKUP(D1367,MATERIALES!A:C,3,FALSE()),"?")</f>
        <v>tac</v>
      </c>
      <c r="G1367" s="45">
        <v>3.8167938931297697E-2</v>
      </c>
      <c r="H1367" s="46">
        <v>0</v>
      </c>
      <c r="I1367" s="47">
        <f>IFERROR(VLOOKUP(D1367,MATERIALES!A:D,4,FALSE()),0)</f>
        <v>200000</v>
      </c>
      <c r="J1367" s="42">
        <f>G1367*I1367*(1+H1367)</f>
        <v>7633.5877862595398</v>
      </c>
      <c r="K1367" s="15" t="str">
        <f t="shared" si="148"/>
        <v>PTO-1507|MAT</v>
      </c>
      <c r="L1367" s="15">
        <f>COUNTIFS($K$2:K1367,K1367)</f>
        <v>1</v>
      </c>
      <c r="M1367" s="15" t="str">
        <f t="shared" si="149"/>
        <v>PTO-1507|MAT|1</v>
      </c>
      <c r="N1367" s="47">
        <f>IFERROR(VLOOKUP(A1367,PARTIDAS!A:F,6,FALSE()),0)</f>
        <v>30</v>
      </c>
      <c r="O1367" s="247">
        <f t="shared" si="150"/>
        <v>3.8167938931297697E-2</v>
      </c>
      <c r="P1367" s="247">
        <f>+_xlfn.XLOOKUP(A1367,PPTO_GENERADOR!Q:Q,PPTO_GENERADOR!E:E,"-",0)</f>
        <v>262</v>
      </c>
      <c r="Q1367" s="247">
        <f t="shared" si="151"/>
        <v>9.9999999999999964</v>
      </c>
      <c r="R1367" s="259">
        <f>+_xlfn.XLOOKUP(A1367,PPTO_GENERADOR!$Q:$Q,PPTO_GENERADOR!A:A,"-",0)</f>
        <v>15.07</v>
      </c>
    </row>
    <row r="1368" spans="1:18" ht="14.25" customHeight="1" x14ac:dyDescent="0.35">
      <c r="A1368" s="38" t="s">
        <v>243</v>
      </c>
      <c r="B1368" s="38" t="s">
        <v>2776</v>
      </c>
      <c r="C1368" s="38" t="s">
        <v>2777</v>
      </c>
      <c r="D1368" s="237" t="s">
        <v>1574</v>
      </c>
      <c r="E1368" s="44" t="str">
        <f>IFERROR(VLOOKUP(D1368,MANO_DE_OBRA!A:B,2,FALSE()),"?")</f>
        <v>MEDIO OFICIAL</v>
      </c>
      <c r="F1368" s="44" t="s">
        <v>2778</v>
      </c>
      <c r="G1368" s="45">
        <v>1</v>
      </c>
      <c r="H1368" s="46">
        <v>0</v>
      </c>
      <c r="I1368" s="47">
        <f>IFERROR(VLOOKUP(D1368,MANO_DE_OBRA!A:C,3,FALSE()),0)</f>
        <v>65493.071636572</v>
      </c>
      <c r="J1368" s="42">
        <f>G1368*I1368</f>
        <v>65493.071636572</v>
      </c>
      <c r="K1368" s="15" t="str">
        <f t="shared" si="148"/>
        <v>PTO-1507|MO</v>
      </c>
      <c r="L1368" s="15">
        <f>COUNTIFS($K$2:K1368,K1368)</f>
        <v>1</v>
      </c>
      <c r="M1368" s="15" t="str">
        <f t="shared" si="149"/>
        <v>PTO-1507|MO|1</v>
      </c>
      <c r="N1368" s="47">
        <f>IFERROR(VLOOKUP(A1368,PARTIDAS!A:F,6,FALSE()),0)</f>
        <v>30</v>
      </c>
      <c r="O1368" s="247">
        <f t="shared" si="150"/>
        <v>3.3333333333333333E-2</v>
      </c>
      <c r="P1368" s="247">
        <f>+_xlfn.XLOOKUP(A1368,PPTO_GENERADOR!Q:Q,PPTO_GENERADOR!E:E,"-",0)</f>
        <v>262</v>
      </c>
      <c r="Q1368" s="247">
        <f t="shared" si="151"/>
        <v>8.7333333333333325</v>
      </c>
      <c r="R1368" s="259">
        <f>+_xlfn.XLOOKUP(A1368,PPTO_GENERADOR!$Q:$Q,PPTO_GENERADOR!A:A,"-",0)</f>
        <v>15.07</v>
      </c>
    </row>
    <row r="1369" spans="1:18" ht="14.25" customHeight="1" x14ac:dyDescent="0.35">
      <c r="A1369" s="38" t="s">
        <v>243</v>
      </c>
      <c r="B1369" s="38" t="s">
        <v>2776</v>
      </c>
      <c r="C1369" s="38" t="s">
        <v>2777</v>
      </c>
      <c r="D1369" s="237" t="s">
        <v>1568</v>
      </c>
      <c r="E1369" s="44" t="str">
        <f>IFERROR(VLOOKUP(D1369,MANO_DE_OBRA!A:B,2,FALSE()),"?")</f>
        <v>ESPECIALIZADO</v>
      </c>
      <c r="F1369" s="44" t="s">
        <v>2778</v>
      </c>
      <c r="G1369" s="45">
        <v>1</v>
      </c>
      <c r="H1369" s="46">
        <v>0</v>
      </c>
      <c r="I1369" s="47">
        <f>IFERROR(VLOOKUP(D1369,MANO_DE_OBRA!A:C,3,FALSE()),0)</f>
        <v>85927.097156571996</v>
      </c>
      <c r="J1369" s="42">
        <f>G1369*I1369</f>
        <v>85927.097156571996</v>
      </c>
      <c r="K1369" s="15" t="str">
        <f t="shared" si="148"/>
        <v>PTO-1507|MO</v>
      </c>
      <c r="L1369" s="15">
        <f>COUNTIFS($K$2:K1369,K1369)</f>
        <v>2</v>
      </c>
      <c r="M1369" s="15" t="str">
        <f t="shared" si="149"/>
        <v>PTO-1507|MO|2</v>
      </c>
      <c r="N1369" s="47">
        <f>IFERROR(VLOOKUP(A1369,PARTIDAS!A:F,6,FALSE()),0)</f>
        <v>30</v>
      </c>
      <c r="O1369" s="247">
        <f t="shared" si="150"/>
        <v>3.3333333333333333E-2</v>
      </c>
      <c r="P1369" s="247">
        <f>+_xlfn.XLOOKUP(A1369,PPTO_GENERADOR!Q:Q,PPTO_GENERADOR!E:E,"-",0)</f>
        <v>262</v>
      </c>
      <c r="Q1369" s="247">
        <f t="shared" si="151"/>
        <v>8.7333333333333325</v>
      </c>
      <c r="R1369" s="259">
        <f>+_xlfn.XLOOKUP(A1369,PPTO_GENERADOR!$Q:$Q,PPTO_GENERADOR!A:A,"-",0)</f>
        <v>15.07</v>
      </c>
    </row>
    <row r="1370" spans="1:18" ht="14.25" customHeight="1" x14ac:dyDescent="0.35">
      <c r="A1370" s="38" t="s">
        <v>245</v>
      </c>
      <c r="B1370" s="38" t="s">
        <v>2773</v>
      </c>
      <c r="C1370" s="38"/>
      <c r="D1370" s="38" t="s">
        <v>1887</v>
      </c>
      <c r="E1370" s="44" t="str">
        <f>IFERROR(VLOOKUP(D1370,EQUIPOS!A:B,2,FALSE()),"?")</f>
        <v>Herramientas menores y consumibles - Revestimiento tipo Tarquini hasta 3 m de altura</v>
      </c>
      <c r="F1370" s="44"/>
      <c r="G1370" s="45">
        <v>1</v>
      </c>
      <c r="H1370" s="46">
        <v>0</v>
      </c>
      <c r="I1370" s="47">
        <f>IFERROR(VLOOKUP(D1370,EQUIPOS!A:F,6,FALSE()),0)</f>
        <v>294.22469027430799</v>
      </c>
      <c r="J1370" s="42">
        <f>G1370*I1370</f>
        <v>294.22469027430799</v>
      </c>
      <c r="K1370" s="15" t="str">
        <f t="shared" si="148"/>
        <v>PTO-1508|EQ</v>
      </c>
      <c r="L1370" s="15">
        <f>COUNTIFS($K$2:K1370,K1370)</f>
        <v>1</v>
      </c>
      <c r="M1370" s="15" t="str">
        <f t="shared" si="149"/>
        <v>PTO-1508|EQ|1</v>
      </c>
      <c r="N1370" s="47">
        <f>IFERROR(VLOOKUP(A1370,PARTIDAS!A:F,6,FALSE()),0)</f>
        <v>1</v>
      </c>
      <c r="O1370" s="247">
        <f t="shared" si="150"/>
        <v>1</v>
      </c>
      <c r="P1370" s="247">
        <f>+_xlfn.XLOOKUP(A1370,PPTO_GENERADOR!Q:Q,PPTO_GENERADOR!E:E,"-",0)</f>
        <v>756</v>
      </c>
      <c r="Q1370" s="247">
        <f t="shared" si="151"/>
        <v>756</v>
      </c>
      <c r="R1370" s="259">
        <f>+_xlfn.XLOOKUP(A1370,PPTO_GENERADOR!$Q:$Q,PPTO_GENERADOR!A:A,"-",0)</f>
        <v>15.08</v>
      </c>
    </row>
    <row r="1371" spans="1:18" ht="14.25" customHeight="1" x14ac:dyDescent="0.35">
      <c r="A1371" s="38" t="s">
        <v>245</v>
      </c>
      <c r="B1371" s="38" t="s">
        <v>2774</v>
      </c>
      <c r="C1371" s="38" t="s">
        <v>2775</v>
      </c>
      <c r="D1371" s="38" t="s">
        <v>1352</v>
      </c>
      <c r="E1371" s="44" t="str">
        <f>IFERROR(VLOOKUP(D1371,MATERIALES!A:B,2,FALSE()),"?")</f>
        <v>MT para Revestimiento tipo Tarquini hasta 3 m de altura</v>
      </c>
      <c r="F1371" s="44" t="str">
        <f>IFERROR(VLOOKUP(D1371,MATERIALES!A:C,3,FALSE()),"?")</f>
        <v>u</v>
      </c>
      <c r="G1371" s="45">
        <v>1</v>
      </c>
      <c r="H1371" s="46">
        <v>0</v>
      </c>
      <c r="I1371" s="47">
        <f>IFERROR(VLOOKUP(D1371,MATERIALES!A:D,4,FALSE()),0)</f>
        <v>10000</v>
      </c>
      <c r="J1371" s="42">
        <f>G1371*I1371*(1+H1371)</f>
        <v>10000</v>
      </c>
      <c r="K1371" s="15" t="str">
        <f t="shared" si="148"/>
        <v>PTO-1508|MAT</v>
      </c>
      <c r="L1371" s="15">
        <f>COUNTIFS($K$2:K1371,K1371)</f>
        <v>1</v>
      </c>
      <c r="M1371" s="15" t="str">
        <f t="shared" si="149"/>
        <v>PTO-1508|MAT|1</v>
      </c>
      <c r="N1371" s="47">
        <f>IFERROR(VLOOKUP(A1371,PARTIDAS!A:F,6,FALSE()),0)</f>
        <v>1</v>
      </c>
      <c r="O1371" s="247">
        <f t="shared" si="150"/>
        <v>1</v>
      </c>
      <c r="P1371" s="247">
        <f>+_xlfn.XLOOKUP(A1371,PPTO_GENERADOR!Q:Q,PPTO_GENERADOR!E:E,"-",0)</f>
        <v>756</v>
      </c>
      <c r="Q1371" s="247">
        <f t="shared" si="151"/>
        <v>756</v>
      </c>
      <c r="R1371" s="259">
        <f>+_xlfn.XLOOKUP(A1371,PPTO_GENERADOR!$Q:$Q,PPTO_GENERADOR!A:A,"-",0)</f>
        <v>15.08</v>
      </c>
    </row>
    <row r="1372" spans="1:18" ht="14.25" customHeight="1" x14ac:dyDescent="0.35">
      <c r="A1372" s="38" t="s">
        <v>245</v>
      </c>
      <c r="B1372" s="38" t="s">
        <v>2776</v>
      </c>
      <c r="C1372" s="38" t="s">
        <v>2775</v>
      </c>
      <c r="D1372" s="38" t="s">
        <v>2298</v>
      </c>
      <c r="E1372" s="44" t="str">
        <f>IFERROR(VLOOKUP(D1372,SUBCONTRATOS_PRY!A:B,2,FALSE()),"?")</f>
        <v>MO Revestimiento tipo Tarquini hasta 3 m de altura [SUBCONTRATOS]</v>
      </c>
      <c r="F1372" s="44" t="s">
        <v>2778</v>
      </c>
      <c r="G1372" s="45">
        <v>1</v>
      </c>
      <c r="H1372" s="46">
        <v>0</v>
      </c>
      <c r="I1372" s="47">
        <f>IFERROR(VLOOKUP(D1372,SUBCONTRATOS_PRY!A:D,4,FALSE()),0)</f>
        <v>9614.97935162053</v>
      </c>
      <c r="J1372" s="42">
        <f>G1372*I1372</f>
        <v>9614.97935162053</v>
      </c>
      <c r="K1372" s="15" t="str">
        <f t="shared" si="148"/>
        <v>PTO-1508|MO</v>
      </c>
      <c r="L1372" s="15">
        <f>COUNTIFS($K$2:K1372,K1372)</f>
        <v>1</v>
      </c>
      <c r="M1372" s="15" t="str">
        <f t="shared" si="149"/>
        <v>PTO-1508|MO|1</v>
      </c>
      <c r="N1372" s="47">
        <f>IFERROR(VLOOKUP(A1372,PARTIDAS!A:F,6,FALSE()),0)</f>
        <v>1</v>
      </c>
      <c r="O1372" s="247">
        <f t="shared" si="150"/>
        <v>1</v>
      </c>
      <c r="P1372" s="247">
        <f>+_xlfn.XLOOKUP(A1372,PPTO_GENERADOR!Q:Q,PPTO_GENERADOR!E:E,"-",0)</f>
        <v>756</v>
      </c>
      <c r="Q1372" s="247">
        <f t="shared" si="151"/>
        <v>756</v>
      </c>
      <c r="R1372" s="259">
        <f>+_xlfn.XLOOKUP(A1372,PPTO_GENERADOR!$Q:$Q,PPTO_GENERADOR!A:A,"-",0)</f>
        <v>15.08</v>
      </c>
    </row>
    <row r="1373" spans="1:18" ht="14.25" customHeight="1" x14ac:dyDescent="0.35">
      <c r="A1373" s="38" t="s">
        <v>247</v>
      </c>
      <c r="B1373" s="38" t="s">
        <v>2773</v>
      </c>
      <c r="C1373" s="38"/>
      <c r="D1373" s="38" t="s">
        <v>1890</v>
      </c>
      <c r="E1373" s="44" t="str">
        <f>IFERROR(VLOOKUP(D1373,EQUIPOS!A:B,2,FALSE()),"?")</f>
        <v>Herramientas menores y consumibles - Revestimiento tipo Tarquini a mas de 3 m de altura</v>
      </c>
      <c r="F1373" s="44"/>
      <c r="G1373" s="45">
        <v>1</v>
      </c>
      <c r="H1373" s="46">
        <v>0</v>
      </c>
      <c r="I1373" s="47">
        <f>IFERROR(VLOOKUP(D1373,EQUIPOS!A:F,6,FALSE()),0)</f>
        <v>351.91456638403099</v>
      </c>
      <c r="J1373" s="42">
        <f>G1373*I1373</f>
        <v>351.91456638403099</v>
      </c>
      <c r="K1373" s="15" t="str">
        <f t="shared" si="148"/>
        <v>PTO-1509|EQ</v>
      </c>
      <c r="L1373" s="15">
        <f>COUNTIFS($K$2:K1373,K1373)</f>
        <v>1</v>
      </c>
      <c r="M1373" s="15" t="str">
        <f t="shared" si="149"/>
        <v>PTO-1509|EQ|1</v>
      </c>
      <c r="N1373" s="47">
        <f>IFERROR(VLOOKUP(A1373,PARTIDAS!A:F,6,FALSE()),0)</f>
        <v>1</v>
      </c>
      <c r="O1373" s="247">
        <f t="shared" si="150"/>
        <v>1</v>
      </c>
      <c r="P1373" s="247">
        <f>+_xlfn.XLOOKUP(A1373,PPTO_GENERADOR!Q:Q,PPTO_GENERADOR!E:E,"-",0)</f>
        <v>56</v>
      </c>
      <c r="Q1373" s="247">
        <f t="shared" si="151"/>
        <v>56</v>
      </c>
      <c r="R1373" s="259">
        <f>+_xlfn.XLOOKUP(A1373,PPTO_GENERADOR!$Q:$Q,PPTO_GENERADOR!A:A,"-",0)</f>
        <v>15.09</v>
      </c>
    </row>
    <row r="1374" spans="1:18" ht="14.25" customHeight="1" x14ac:dyDescent="0.35">
      <c r="A1374" s="38" t="s">
        <v>247</v>
      </c>
      <c r="B1374" s="38" t="s">
        <v>2774</v>
      </c>
      <c r="C1374" s="38" t="s">
        <v>2775</v>
      </c>
      <c r="D1374" s="38" t="s">
        <v>1352</v>
      </c>
      <c r="E1374" s="44" t="str">
        <f>IFERROR(VLOOKUP(D1374,MATERIALES!A:B,2,FALSE()),"?")</f>
        <v>MT para Revestimiento tipo Tarquini hasta 3 m de altura</v>
      </c>
      <c r="F1374" s="44" t="str">
        <f>IFERROR(VLOOKUP(D1374,MATERIALES!A:C,3,FALSE()),"?")</f>
        <v>u</v>
      </c>
      <c r="G1374" s="45">
        <v>1</v>
      </c>
      <c r="H1374" s="46">
        <v>0</v>
      </c>
      <c r="I1374" s="47">
        <f>IFERROR(VLOOKUP(D1374,MATERIALES!A:D,4,FALSE()),0)</f>
        <v>10000</v>
      </c>
      <c r="J1374" s="42">
        <f>G1374*I1374*(1+H1374)</f>
        <v>10000</v>
      </c>
      <c r="K1374" s="15" t="str">
        <f t="shared" si="148"/>
        <v>PTO-1509|MAT</v>
      </c>
      <c r="L1374" s="15">
        <f>COUNTIFS($K$2:K1374,K1374)</f>
        <v>1</v>
      </c>
      <c r="M1374" s="15" t="str">
        <f t="shared" si="149"/>
        <v>PTO-1509|MAT|1</v>
      </c>
      <c r="N1374" s="47">
        <f>IFERROR(VLOOKUP(A1374,PARTIDAS!A:F,6,FALSE()),0)</f>
        <v>1</v>
      </c>
      <c r="O1374" s="247">
        <f t="shared" si="150"/>
        <v>1</v>
      </c>
      <c r="P1374" s="247">
        <f>+_xlfn.XLOOKUP(A1374,PPTO_GENERADOR!Q:Q,PPTO_GENERADOR!E:E,"-",0)</f>
        <v>56</v>
      </c>
      <c r="Q1374" s="247">
        <f t="shared" si="151"/>
        <v>56</v>
      </c>
      <c r="R1374" s="259">
        <f>+_xlfn.XLOOKUP(A1374,PPTO_GENERADOR!$Q:$Q,PPTO_GENERADOR!A:A,"-",0)</f>
        <v>15.09</v>
      </c>
    </row>
    <row r="1375" spans="1:18" ht="14.25" customHeight="1" x14ac:dyDescent="0.35">
      <c r="A1375" s="38" t="s">
        <v>247</v>
      </c>
      <c r="B1375" s="38" t="s">
        <v>2776</v>
      </c>
      <c r="C1375" s="38" t="s">
        <v>2775</v>
      </c>
      <c r="D1375" s="38" t="s">
        <v>2300</v>
      </c>
      <c r="E1375" s="44" t="str">
        <f>IFERROR(VLOOKUP(D1375,SUBCONTRATOS_PRY!A:B,2,FALSE()),"?")</f>
        <v>MO Revestimiento tipo Tarquini a mas de 3 m de altura [SUBCONTRATOS]</v>
      </c>
      <c r="F1375" s="44" t="s">
        <v>2778</v>
      </c>
      <c r="G1375" s="45">
        <v>1</v>
      </c>
      <c r="H1375" s="46">
        <v>0</v>
      </c>
      <c r="I1375" s="47">
        <f>IFERROR(VLOOKUP(D1375,SUBCONTRATOS_PRY!A:D,4,FALSE()),0)</f>
        <v>13460.971092268701</v>
      </c>
      <c r="J1375" s="42">
        <f>G1375*I1375</f>
        <v>13460.971092268701</v>
      </c>
      <c r="K1375" s="15" t="str">
        <f t="shared" si="148"/>
        <v>PTO-1509|MO</v>
      </c>
      <c r="L1375" s="15">
        <f>COUNTIFS($K$2:K1375,K1375)</f>
        <v>1</v>
      </c>
      <c r="M1375" s="15" t="str">
        <f t="shared" si="149"/>
        <v>PTO-1509|MO|1</v>
      </c>
      <c r="N1375" s="47">
        <f>IFERROR(VLOOKUP(A1375,PARTIDAS!A:F,6,FALSE()),0)</f>
        <v>1</v>
      </c>
      <c r="O1375" s="247">
        <f t="shared" si="150"/>
        <v>1</v>
      </c>
      <c r="P1375" s="247">
        <f>+_xlfn.XLOOKUP(A1375,PPTO_GENERADOR!Q:Q,PPTO_GENERADOR!E:E,"-",0)</f>
        <v>56</v>
      </c>
      <c r="Q1375" s="247">
        <f t="shared" si="151"/>
        <v>56</v>
      </c>
      <c r="R1375" s="259">
        <f>+_xlfn.XLOOKUP(A1375,PPTO_GENERADOR!$Q:$Q,PPTO_GENERADOR!A:A,"-",0)</f>
        <v>15.09</v>
      </c>
    </row>
    <row r="1376" spans="1:18" ht="14.25" customHeight="1" x14ac:dyDescent="0.35">
      <c r="A1376" s="38" t="s">
        <v>249</v>
      </c>
      <c r="B1376" s="38" t="s">
        <v>2773</v>
      </c>
      <c r="C1376" s="38"/>
      <c r="D1376" s="38" t="s">
        <v>1893</v>
      </c>
      <c r="E1376" s="44" t="str">
        <f>IFERROR(VLOOKUP(D1376,EQUIPOS!A:B,2,FALSE()),"?")</f>
        <v>Herramientas menores y consumibles - Franjas división cocheras</v>
      </c>
      <c r="F1376" s="44"/>
      <c r="G1376" s="45">
        <v>1</v>
      </c>
      <c r="H1376" s="46">
        <v>0</v>
      </c>
      <c r="I1376" s="47">
        <f>IFERROR(VLOOKUP(D1376,EQUIPOS!A:F,6,FALSE()),0)</f>
        <v>9813.9075956914803</v>
      </c>
      <c r="J1376" s="42">
        <f>G1376*I1376</f>
        <v>9813.9075956914803</v>
      </c>
      <c r="K1376" s="15" t="str">
        <f t="shared" si="148"/>
        <v>PTO-1510|EQ</v>
      </c>
      <c r="L1376" s="15">
        <f>COUNTIFS($K$2:K1376,K1376)</f>
        <v>1</v>
      </c>
      <c r="M1376" s="15" t="str">
        <f t="shared" si="149"/>
        <v>PTO-1510|EQ|1</v>
      </c>
      <c r="N1376" s="47">
        <f>IFERROR(VLOOKUP(A1376,PARTIDAS!A:F,6,FALSE()),0)</f>
        <v>1</v>
      </c>
      <c r="O1376" s="247">
        <f t="shared" si="150"/>
        <v>1</v>
      </c>
      <c r="P1376" s="247">
        <f>+_xlfn.XLOOKUP(A1376,PPTO_GENERADOR!Q:Q,PPTO_GENERADOR!E:E,"-",0)</f>
        <v>1</v>
      </c>
      <c r="Q1376" s="247">
        <f t="shared" si="151"/>
        <v>1</v>
      </c>
      <c r="R1376" s="259">
        <f>+_xlfn.XLOOKUP(A1376,PPTO_GENERADOR!$Q:$Q,PPTO_GENERADOR!A:A,"-",0)</f>
        <v>15.1</v>
      </c>
    </row>
    <row r="1377" spans="1:18" ht="14.25" customHeight="1" x14ac:dyDescent="0.35">
      <c r="A1377" s="38" t="s">
        <v>249</v>
      </c>
      <c r="B1377" s="38" t="s">
        <v>2774</v>
      </c>
      <c r="C1377" s="38" t="s">
        <v>2775</v>
      </c>
      <c r="D1377" s="38" t="s">
        <v>1361</v>
      </c>
      <c r="E1377" s="44" t="str">
        <f>IFERROR(VLOOKUP(D1377,MATERIALES!A:B,2,FALSE()),"?")</f>
        <v>Consumibles</v>
      </c>
      <c r="F1377" s="44" t="str">
        <f>IFERROR(VLOOKUP(D1377,MATERIALES!A:C,3,FALSE()),"?")</f>
        <v>gl</v>
      </c>
      <c r="G1377" s="45">
        <v>150000</v>
      </c>
      <c r="H1377" s="46">
        <v>0</v>
      </c>
      <c r="I1377" s="47">
        <f>IFERROR(VLOOKUP(D1377,MATERIALES!A:D,4,FALSE()),0)</f>
        <v>1</v>
      </c>
      <c r="J1377" s="42">
        <f>G1377*I1377*(1+H1377)</f>
        <v>150000</v>
      </c>
      <c r="K1377" s="15" t="str">
        <f t="shared" si="148"/>
        <v>PTO-1510|MAT</v>
      </c>
      <c r="L1377" s="15">
        <f>COUNTIFS($K$2:K1377,K1377)</f>
        <v>1</v>
      </c>
      <c r="M1377" s="15" t="str">
        <f t="shared" si="149"/>
        <v>PTO-1510|MAT|1</v>
      </c>
      <c r="N1377" s="47">
        <f>IFERROR(VLOOKUP(A1377,PARTIDAS!A:F,6,FALSE()),0)</f>
        <v>1</v>
      </c>
      <c r="O1377" s="247">
        <f t="shared" si="150"/>
        <v>150000</v>
      </c>
      <c r="P1377" s="247">
        <f>+_xlfn.XLOOKUP(A1377,PPTO_GENERADOR!Q:Q,PPTO_GENERADOR!E:E,"-",0)</f>
        <v>1</v>
      </c>
      <c r="Q1377" s="247">
        <f t="shared" si="151"/>
        <v>150000</v>
      </c>
      <c r="R1377" s="259">
        <f>+_xlfn.XLOOKUP(A1377,PPTO_GENERADOR!$Q:$Q,PPTO_GENERADOR!A:A,"-",0)</f>
        <v>15.1</v>
      </c>
    </row>
    <row r="1378" spans="1:18" ht="14.25" customHeight="1" x14ac:dyDescent="0.35">
      <c r="A1378" s="38" t="s">
        <v>249</v>
      </c>
      <c r="B1378" s="38" t="s">
        <v>2774</v>
      </c>
      <c r="C1378" s="38" t="s">
        <v>2775</v>
      </c>
      <c r="D1378" s="38" t="s">
        <v>1262</v>
      </c>
      <c r="E1378" s="44" t="str">
        <f>IFERROR(VLOOKUP(D1378,MATERIALES!A:B,2,FALSE()),"?")</f>
        <v>Pintura acrílica Sintevial para demarcación vial brillante amarillo</v>
      </c>
      <c r="F1378" s="44" t="str">
        <f>IFERROR(VLOOKUP(D1378,MATERIALES!A:C,3,FALSE()),"?")</f>
        <v>tac</v>
      </c>
      <c r="G1378" s="45">
        <v>1</v>
      </c>
      <c r="H1378" s="46">
        <v>0</v>
      </c>
      <c r="I1378" s="47">
        <f>IFERROR(VLOOKUP(D1378,MATERIALES!A:D,4,FALSE()),0)</f>
        <v>50000</v>
      </c>
      <c r="J1378" s="42">
        <f>G1378*I1378*(1+H1378)</f>
        <v>50000</v>
      </c>
      <c r="K1378" s="15" t="str">
        <f t="shared" si="148"/>
        <v>PTO-1510|MAT</v>
      </c>
      <c r="L1378" s="15">
        <f>COUNTIFS($K$2:K1378,K1378)</f>
        <v>2</v>
      </c>
      <c r="M1378" s="15" t="str">
        <f t="shared" si="149"/>
        <v>PTO-1510|MAT|2</v>
      </c>
      <c r="N1378" s="47">
        <f>IFERROR(VLOOKUP(A1378,PARTIDAS!A:F,6,FALSE()),0)</f>
        <v>1</v>
      </c>
      <c r="O1378" s="247">
        <f t="shared" si="150"/>
        <v>1</v>
      </c>
      <c r="P1378" s="247">
        <f>+_xlfn.XLOOKUP(A1378,PPTO_GENERADOR!Q:Q,PPTO_GENERADOR!E:E,"-",0)</f>
        <v>1</v>
      </c>
      <c r="Q1378" s="247">
        <f t="shared" si="151"/>
        <v>1</v>
      </c>
      <c r="R1378" s="259">
        <f>+_xlfn.XLOOKUP(A1378,PPTO_GENERADOR!$Q:$Q,PPTO_GENERADOR!A:A,"-",0)</f>
        <v>15.1</v>
      </c>
    </row>
    <row r="1379" spans="1:18" ht="14.25" customHeight="1" x14ac:dyDescent="0.35">
      <c r="A1379" s="38" t="s">
        <v>249</v>
      </c>
      <c r="B1379" s="38" t="s">
        <v>2776</v>
      </c>
      <c r="C1379" s="38" t="s">
        <v>2777</v>
      </c>
      <c r="D1379" s="237" t="s">
        <v>1568</v>
      </c>
      <c r="E1379" s="44" t="str">
        <f>IFERROR(VLOOKUP(D1379,MANO_DE_OBRA!A:B,2,FALSE()),"?")</f>
        <v>ESPECIALIZADO</v>
      </c>
      <c r="F1379" s="44" t="s">
        <v>2778</v>
      </c>
      <c r="G1379" s="45">
        <v>3</v>
      </c>
      <c r="H1379" s="46">
        <v>0</v>
      </c>
      <c r="I1379" s="47">
        <f>IFERROR(VLOOKUP(D1379,MANO_DE_OBRA!A:C,3,FALSE()),0)</f>
        <v>85927.097156571996</v>
      </c>
      <c r="J1379" s="42">
        <f>G1379*I1379</f>
        <v>257781.291469716</v>
      </c>
      <c r="K1379" s="15" t="str">
        <f t="shared" si="148"/>
        <v>PTO-1510|MO</v>
      </c>
      <c r="L1379" s="15">
        <f>COUNTIFS($K$2:K1379,K1379)</f>
        <v>1</v>
      </c>
      <c r="M1379" s="15" t="str">
        <f t="shared" si="149"/>
        <v>PTO-1510|MO|1</v>
      </c>
      <c r="N1379" s="47">
        <f>IFERROR(VLOOKUP(A1379,PARTIDAS!A:F,6,FALSE()),0)</f>
        <v>1</v>
      </c>
      <c r="O1379" s="247">
        <f t="shared" si="150"/>
        <v>3</v>
      </c>
      <c r="P1379" s="247">
        <f>+_xlfn.XLOOKUP(A1379,PPTO_GENERADOR!Q:Q,PPTO_GENERADOR!E:E,"-",0)</f>
        <v>1</v>
      </c>
      <c r="Q1379" s="247">
        <f t="shared" si="151"/>
        <v>3</v>
      </c>
      <c r="R1379" s="259">
        <f>+_xlfn.XLOOKUP(A1379,PPTO_GENERADOR!$Q:$Q,PPTO_GENERADOR!A:A,"-",0)</f>
        <v>15.1</v>
      </c>
    </row>
    <row r="1380" spans="1:18" ht="14.25" customHeight="1" x14ac:dyDescent="0.35">
      <c r="A1380" s="38" t="s">
        <v>249</v>
      </c>
      <c r="B1380" s="38" t="s">
        <v>2776</v>
      </c>
      <c r="C1380" s="38" t="s">
        <v>2777</v>
      </c>
      <c r="D1380" s="237" t="s">
        <v>1574</v>
      </c>
      <c r="E1380" s="44" t="str">
        <f>IFERROR(VLOOKUP(D1380,MANO_DE_OBRA!A:B,2,FALSE()),"?")</f>
        <v>MEDIO OFICIAL</v>
      </c>
      <c r="F1380" s="44" t="s">
        <v>2778</v>
      </c>
      <c r="G1380" s="45">
        <v>3</v>
      </c>
      <c r="H1380" s="46">
        <v>0</v>
      </c>
      <c r="I1380" s="47">
        <f>IFERROR(VLOOKUP(D1380,MANO_DE_OBRA!A:C,3,FALSE()),0)</f>
        <v>65493.071636572</v>
      </c>
      <c r="J1380" s="42">
        <f>G1380*I1380</f>
        <v>196479.21490971599</v>
      </c>
      <c r="K1380" s="15" t="str">
        <f t="shared" si="148"/>
        <v>PTO-1510|MO</v>
      </c>
      <c r="L1380" s="15">
        <f>COUNTIFS($K$2:K1380,K1380)</f>
        <v>2</v>
      </c>
      <c r="M1380" s="15" t="str">
        <f t="shared" si="149"/>
        <v>PTO-1510|MO|2</v>
      </c>
      <c r="N1380" s="47">
        <f>IFERROR(VLOOKUP(A1380,PARTIDAS!A:F,6,FALSE()),0)</f>
        <v>1</v>
      </c>
      <c r="O1380" s="247">
        <f t="shared" si="150"/>
        <v>3</v>
      </c>
      <c r="P1380" s="247">
        <f>+_xlfn.XLOOKUP(A1380,PPTO_GENERADOR!Q:Q,PPTO_GENERADOR!E:E,"-",0)</f>
        <v>1</v>
      </c>
      <c r="Q1380" s="247">
        <f t="shared" si="151"/>
        <v>3</v>
      </c>
      <c r="R1380" s="259">
        <f>+_xlfn.XLOOKUP(A1380,PPTO_GENERADOR!$Q:$Q,PPTO_GENERADOR!A:A,"-",0)</f>
        <v>15.1</v>
      </c>
    </row>
    <row r="1381" spans="1:18" ht="14.25" customHeight="1" x14ac:dyDescent="0.35">
      <c r="A1381" s="38" t="s">
        <v>251</v>
      </c>
      <c r="B1381" s="38" t="s">
        <v>2774</v>
      </c>
      <c r="C1381" s="38" t="s">
        <v>2775</v>
      </c>
      <c r="D1381" s="38" t="s">
        <v>845</v>
      </c>
      <c r="E1381" s="44" t="str">
        <f>IFERROR(VLOOKUP(D1381,MATERIALES!A:B,2,FALSE()),"?")</f>
        <v>Aguarras Hydrarras Hydra x 18lts</v>
      </c>
      <c r="F1381" s="44" t="str">
        <f>IFERROR(VLOOKUP(D1381,MATERIALES!A:C,3,FALSE()),"?")</f>
        <v>b</v>
      </c>
      <c r="G1381" s="45">
        <v>2.27188356164384E-2</v>
      </c>
      <c r="H1381" s="46">
        <v>0.1</v>
      </c>
      <c r="I1381" s="47">
        <f>IFERROR(VLOOKUP(D1381,MATERIALES!A:D,4,FALSE()),0)</f>
        <v>26907.33</v>
      </c>
      <c r="J1381" s="42">
        <f t="shared" ref="J1381:J1388" si="153">G1381*I1381*(1+H1381)</f>
        <v>672.43352786198761</v>
      </c>
      <c r="K1381" s="15" t="str">
        <f t="shared" si="148"/>
        <v>PTO-1511|MAT</v>
      </c>
      <c r="L1381" s="15">
        <f>COUNTIFS($K$2:K1381,K1381)</f>
        <v>1</v>
      </c>
      <c r="M1381" s="15" t="str">
        <f t="shared" si="149"/>
        <v>PTO-1511|MAT|1</v>
      </c>
      <c r="N1381" s="47">
        <f>IFERROR(VLOOKUP(A1381,PARTIDAS!A:F,6,FALSE()),0)</f>
        <v>1</v>
      </c>
      <c r="O1381" s="247">
        <f t="shared" si="150"/>
        <v>2.27188356164384E-2</v>
      </c>
      <c r="P1381" s="247">
        <f>+_xlfn.XLOOKUP(A1381,PPTO_GENERADOR!Q:Q,PPTO_GENERADOR!E:E,"-",0)</f>
        <v>73</v>
      </c>
      <c r="Q1381" s="247">
        <f t="shared" si="151"/>
        <v>1.6584750000000033</v>
      </c>
      <c r="R1381" s="259">
        <f>+_xlfn.XLOOKUP(A1381,PPTO_GENERADOR!$Q:$Q,PPTO_GENERADOR!A:A,"-",0)</f>
        <v>15.11</v>
      </c>
    </row>
    <row r="1382" spans="1:18" ht="14.25" customHeight="1" x14ac:dyDescent="0.35">
      <c r="A1382" s="38" t="s">
        <v>251</v>
      </c>
      <c r="B1382" s="38" t="s">
        <v>2774</v>
      </c>
      <c r="C1382" s="38" t="s">
        <v>2775</v>
      </c>
      <c r="D1382" s="38" t="s">
        <v>848</v>
      </c>
      <c r="E1382" s="44" t="str">
        <f>IFERROR(VLOOKUP(D1382,MATERIALES!A:B,2,FALSE()),"?")</f>
        <v>Lija 180 al agua x 10u</v>
      </c>
      <c r="F1382" s="44" t="str">
        <f>IFERROR(VLOOKUP(D1382,MATERIALES!A:C,3,FALSE()),"?")</f>
        <v>u</v>
      </c>
      <c r="G1382" s="45">
        <v>9.0875342465753406E-2</v>
      </c>
      <c r="H1382" s="46">
        <v>0.05</v>
      </c>
      <c r="I1382" s="47">
        <f>IFERROR(VLOOKUP(D1382,MATERIALES!A:D,4,FALSE()),0)</f>
        <v>5661.4</v>
      </c>
      <c r="J1382" s="42">
        <f t="shared" si="153"/>
        <v>540.20574702739714</v>
      </c>
      <c r="K1382" s="15" t="str">
        <f t="shared" si="148"/>
        <v>PTO-1511|MAT</v>
      </c>
      <c r="L1382" s="15">
        <f>COUNTIFS($K$2:K1382,K1382)</f>
        <v>2</v>
      </c>
      <c r="M1382" s="15" t="str">
        <f t="shared" si="149"/>
        <v>PTO-1511|MAT|2</v>
      </c>
      <c r="N1382" s="47">
        <f>IFERROR(VLOOKUP(A1382,PARTIDAS!A:F,6,FALSE()),0)</f>
        <v>1</v>
      </c>
      <c r="O1382" s="247">
        <f t="shared" si="150"/>
        <v>9.0875342465753406E-2</v>
      </c>
      <c r="P1382" s="247">
        <f>+_xlfn.XLOOKUP(A1382,PPTO_GENERADOR!Q:Q,PPTO_GENERADOR!E:E,"-",0)</f>
        <v>73</v>
      </c>
      <c r="Q1382" s="247">
        <f t="shared" si="151"/>
        <v>6.6338999999999988</v>
      </c>
      <c r="R1382" s="259">
        <f>+_xlfn.XLOOKUP(A1382,PPTO_GENERADOR!$Q:$Q,PPTO_GENERADOR!A:A,"-",0)</f>
        <v>15.11</v>
      </c>
    </row>
    <row r="1383" spans="1:18" ht="14.25" customHeight="1" x14ac:dyDescent="0.35">
      <c r="A1383" s="38" t="s">
        <v>251</v>
      </c>
      <c r="B1383" s="38" t="s">
        <v>2774</v>
      </c>
      <c r="C1383" s="38" t="s">
        <v>2775</v>
      </c>
      <c r="D1383" s="38" t="s">
        <v>851</v>
      </c>
      <c r="E1383" s="44" t="str">
        <f>IFERROR(VLOOKUP(D1383,MATERIALES!A:B,2,FALSE()),"?")</f>
        <v>Cinta de Papel 36 mm x 40m</v>
      </c>
      <c r="F1383" s="44" t="str">
        <f>IFERROR(VLOOKUP(D1383,MATERIALES!A:C,3,FALSE()),"?")</f>
        <v>u</v>
      </c>
      <c r="G1383" s="45">
        <v>0.22718835616438399</v>
      </c>
      <c r="H1383" s="46">
        <v>0.1</v>
      </c>
      <c r="I1383" s="47">
        <f>IFERROR(VLOOKUP(D1383,MATERIALES!A:D,4,FALSE()),0)</f>
        <v>3293.01</v>
      </c>
      <c r="J1383" s="42">
        <f t="shared" si="153"/>
        <v>822.94688160616602</v>
      </c>
      <c r="K1383" s="15" t="str">
        <f t="shared" si="148"/>
        <v>PTO-1511|MAT</v>
      </c>
      <c r="L1383" s="15">
        <f>COUNTIFS($K$2:K1383,K1383)</f>
        <v>3</v>
      </c>
      <c r="M1383" s="15" t="str">
        <f t="shared" si="149"/>
        <v>PTO-1511|MAT|3</v>
      </c>
      <c r="N1383" s="47">
        <f>IFERROR(VLOOKUP(A1383,PARTIDAS!A:F,6,FALSE()),0)</f>
        <v>1</v>
      </c>
      <c r="O1383" s="247">
        <f t="shared" si="150"/>
        <v>0.22718835616438399</v>
      </c>
      <c r="P1383" s="247">
        <f>+_xlfn.XLOOKUP(A1383,PPTO_GENERADOR!Q:Q,PPTO_GENERADOR!E:E,"-",0)</f>
        <v>73</v>
      </c>
      <c r="Q1383" s="247">
        <f t="shared" si="151"/>
        <v>16.584750000000032</v>
      </c>
      <c r="R1383" s="259">
        <f>+_xlfn.XLOOKUP(A1383,PPTO_GENERADOR!$Q:$Q,PPTO_GENERADOR!A:A,"-",0)</f>
        <v>15.11</v>
      </c>
    </row>
    <row r="1384" spans="1:18" ht="14.25" customHeight="1" x14ac:dyDescent="0.35">
      <c r="A1384" s="38" t="s">
        <v>251</v>
      </c>
      <c r="B1384" s="38" t="s">
        <v>2774</v>
      </c>
      <c r="C1384" s="38" t="s">
        <v>2775</v>
      </c>
      <c r="D1384" s="38" t="s">
        <v>855</v>
      </c>
      <c r="E1384" s="44" t="str">
        <f>IFERROR(VLOOKUP(D1384,MATERIALES!A:B,2,FALSE()),"?")</f>
        <v>Trapo</v>
      </c>
      <c r="F1384" s="44" t="str">
        <f>IFERROR(VLOOKUP(D1384,MATERIALES!A:C,3,FALSE()),"?")</f>
        <v>u</v>
      </c>
      <c r="G1384" s="45">
        <v>4.5437671232876703E-2</v>
      </c>
      <c r="H1384" s="46">
        <v>0.05</v>
      </c>
      <c r="I1384" s="47">
        <f>IFERROR(VLOOKUP(D1384,MATERIALES!A:D,4,FALSE()),0)</f>
        <v>735.06</v>
      </c>
      <c r="J1384" s="42">
        <f t="shared" si="153"/>
        <v>35.069385347260265</v>
      </c>
      <c r="K1384" s="15" t="str">
        <f t="shared" si="148"/>
        <v>PTO-1511|MAT</v>
      </c>
      <c r="L1384" s="15">
        <f>COUNTIFS($K$2:K1384,K1384)</f>
        <v>4</v>
      </c>
      <c r="M1384" s="15" t="str">
        <f t="shared" si="149"/>
        <v>PTO-1511|MAT|4</v>
      </c>
      <c r="N1384" s="47">
        <f>IFERROR(VLOOKUP(A1384,PARTIDAS!A:F,6,FALSE()),0)</f>
        <v>1</v>
      </c>
      <c r="O1384" s="247">
        <f t="shared" si="150"/>
        <v>4.5437671232876703E-2</v>
      </c>
      <c r="P1384" s="247">
        <f>+_xlfn.XLOOKUP(A1384,PPTO_GENERADOR!Q:Q,PPTO_GENERADOR!E:E,"-",0)</f>
        <v>73</v>
      </c>
      <c r="Q1384" s="247">
        <f t="shared" si="151"/>
        <v>3.3169499999999994</v>
      </c>
      <c r="R1384" s="259">
        <f>+_xlfn.XLOOKUP(A1384,PPTO_GENERADOR!$Q:$Q,PPTO_GENERADOR!A:A,"-",0)</f>
        <v>15.11</v>
      </c>
    </row>
    <row r="1385" spans="1:18" ht="14.25" customHeight="1" x14ac:dyDescent="0.35">
      <c r="A1385" s="38" t="s">
        <v>251</v>
      </c>
      <c r="B1385" s="38" t="s">
        <v>2774</v>
      </c>
      <c r="C1385" s="38" t="s">
        <v>2775</v>
      </c>
      <c r="D1385" s="38" t="s">
        <v>863</v>
      </c>
      <c r="E1385" s="44" t="str">
        <f>IFERROR(VLOOKUP(D1385,MATERIALES!A:B,2,FALSE()),"?")</f>
        <v>Rodillo de lana pelo largo N°22 - El Galgo</v>
      </c>
      <c r="F1385" s="44" t="str">
        <f>IFERROR(VLOOKUP(D1385,MATERIALES!A:C,3,FALSE()),"?")</f>
        <v>u</v>
      </c>
      <c r="G1385" s="45">
        <v>4.5437671232876703E-2</v>
      </c>
      <c r="H1385" s="46">
        <v>0.05</v>
      </c>
      <c r="I1385" s="47">
        <f>IFERROR(VLOOKUP(D1385,MATERIALES!A:D,4,FALSE()),0)</f>
        <v>6678.36</v>
      </c>
      <c r="J1385" s="42">
        <f t="shared" si="153"/>
        <v>318.62158235753418</v>
      </c>
      <c r="K1385" s="15" t="str">
        <f t="shared" si="148"/>
        <v>PTO-1511|MAT</v>
      </c>
      <c r="L1385" s="15">
        <f>COUNTIFS($K$2:K1385,K1385)</f>
        <v>5</v>
      </c>
      <c r="M1385" s="15" t="str">
        <f t="shared" si="149"/>
        <v>PTO-1511|MAT|5</v>
      </c>
      <c r="N1385" s="47">
        <f>IFERROR(VLOOKUP(A1385,PARTIDAS!A:F,6,FALSE()),0)</f>
        <v>1</v>
      </c>
      <c r="O1385" s="247">
        <f t="shared" si="150"/>
        <v>4.5437671232876703E-2</v>
      </c>
      <c r="P1385" s="247">
        <f>+_xlfn.XLOOKUP(A1385,PPTO_GENERADOR!Q:Q,PPTO_GENERADOR!E:E,"-",0)</f>
        <v>73</v>
      </c>
      <c r="Q1385" s="247">
        <f t="shared" si="151"/>
        <v>3.3169499999999994</v>
      </c>
      <c r="R1385" s="259">
        <f>+_xlfn.XLOOKUP(A1385,PPTO_GENERADOR!$Q:$Q,PPTO_GENERADOR!A:A,"-",0)</f>
        <v>15.11</v>
      </c>
    </row>
    <row r="1386" spans="1:18" ht="14.25" customHeight="1" x14ac:dyDescent="0.35">
      <c r="A1386" s="38" t="s">
        <v>251</v>
      </c>
      <c r="B1386" s="38" t="s">
        <v>2774</v>
      </c>
      <c r="C1386" s="38" t="s">
        <v>2775</v>
      </c>
      <c r="D1386" s="38" t="s">
        <v>865</v>
      </c>
      <c r="E1386" s="44" t="str">
        <f>IFERROR(VLOOKUP(D1386,MATERIALES!A:B,2,FALSE()),"?")</f>
        <v>Pincel N° 20 - El Galgo</v>
      </c>
      <c r="F1386" s="44" t="str">
        <f>IFERROR(VLOOKUP(D1386,MATERIALES!A:C,3,FALSE()),"?")</f>
        <v>u</v>
      </c>
      <c r="G1386" s="45">
        <v>4.5437671232876703E-2</v>
      </c>
      <c r="H1386" s="46">
        <v>0.05</v>
      </c>
      <c r="I1386" s="47">
        <f>IFERROR(VLOOKUP(D1386,MATERIALES!A:D,4,FALSE()),0)</f>
        <v>5282.24</v>
      </c>
      <c r="J1386" s="42">
        <f t="shared" si="153"/>
        <v>252.01331871780818</v>
      </c>
      <c r="K1386" s="15" t="str">
        <f t="shared" si="148"/>
        <v>PTO-1511|MAT</v>
      </c>
      <c r="L1386" s="15">
        <f>COUNTIFS($K$2:K1386,K1386)</f>
        <v>6</v>
      </c>
      <c r="M1386" s="15" t="str">
        <f t="shared" si="149"/>
        <v>PTO-1511|MAT|6</v>
      </c>
      <c r="N1386" s="47">
        <f>IFERROR(VLOOKUP(A1386,PARTIDAS!A:F,6,FALSE()),0)</f>
        <v>1</v>
      </c>
      <c r="O1386" s="247">
        <f t="shared" si="150"/>
        <v>4.5437671232876703E-2</v>
      </c>
      <c r="P1386" s="247">
        <f>+_xlfn.XLOOKUP(A1386,PPTO_GENERADOR!Q:Q,PPTO_GENERADOR!E:E,"-",0)</f>
        <v>73</v>
      </c>
      <c r="Q1386" s="247">
        <f t="shared" si="151"/>
        <v>3.3169499999999994</v>
      </c>
      <c r="R1386" s="259">
        <f>+_xlfn.XLOOKUP(A1386,PPTO_GENERADOR!$Q:$Q,PPTO_GENERADOR!A:A,"-",0)</f>
        <v>15.11</v>
      </c>
    </row>
    <row r="1387" spans="1:18" ht="14.25" customHeight="1" x14ac:dyDescent="0.35">
      <c r="A1387" s="38" t="s">
        <v>251</v>
      </c>
      <c r="B1387" s="38" t="s">
        <v>2774</v>
      </c>
      <c r="C1387" s="38" t="s">
        <v>2775</v>
      </c>
      <c r="D1387" s="38" t="s">
        <v>868</v>
      </c>
      <c r="E1387" s="44" t="str">
        <f>IFERROR(VLOOKUP(D1387,MATERIALES!A:B,2,FALSE()),"?")</f>
        <v>Rollo de cartón corrugado 0,90 x 25 mts</v>
      </c>
      <c r="F1387" s="44" t="str">
        <f>IFERROR(VLOOKUP(D1387,MATERIALES!A:C,3,FALSE()),"?")</f>
        <v>u</v>
      </c>
      <c r="G1387" s="45">
        <v>4.5437671232876703E-2</v>
      </c>
      <c r="H1387" s="46">
        <v>0.05</v>
      </c>
      <c r="I1387" s="47">
        <f>IFERROR(VLOOKUP(D1387,MATERIALES!A:D,4,FALSE()),0)</f>
        <v>7427.6</v>
      </c>
      <c r="J1387" s="42">
        <f t="shared" si="153"/>
        <v>354.36748919178081</v>
      </c>
      <c r="K1387" s="15" t="str">
        <f t="shared" si="148"/>
        <v>PTO-1511|MAT</v>
      </c>
      <c r="L1387" s="15">
        <f>COUNTIFS($K$2:K1387,K1387)</f>
        <v>7</v>
      </c>
      <c r="M1387" s="15" t="str">
        <f t="shared" si="149"/>
        <v>PTO-1511|MAT|7</v>
      </c>
      <c r="N1387" s="47">
        <f>IFERROR(VLOOKUP(A1387,PARTIDAS!A:F,6,FALSE()),0)</f>
        <v>1</v>
      </c>
      <c r="O1387" s="247">
        <f t="shared" si="150"/>
        <v>4.5437671232876703E-2</v>
      </c>
      <c r="P1387" s="247">
        <f>+_xlfn.XLOOKUP(A1387,PPTO_GENERADOR!Q:Q,PPTO_GENERADOR!E:E,"-",0)</f>
        <v>73</v>
      </c>
      <c r="Q1387" s="247">
        <f t="shared" si="151"/>
        <v>3.3169499999999994</v>
      </c>
      <c r="R1387" s="259">
        <f>+_xlfn.XLOOKUP(A1387,PPTO_GENERADOR!$Q:$Q,PPTO_GENERADOR!A:A,"-",0)</f>
        <v>15.11</v>
      </c>
    </row>
    <row r="1388" spans="1:18" ht="14.25" customHeight="1" x14ac:dyDescent="0.35">
      <c r="A1388" s="38" t="s">
        <v>251</v>
      </c>
      <c r="B1388" s="38" t="s">
        <v>2774</v>
      </c>
      <c r="C1388" s="38" t="s">
        <v>2775</v>
      </c>
      <c r="D1388" s="38" t="s">
        <v>813</v>
      </c>
      <c r="E1388" s="44" t="str">
        <f>IFERROR(VLOOKUP(D1388,MATERIALES!A:B,2,FALSE()),"?")</f>
        <v>Esmalte sintetico satinado Satinol Blanco x 4lts</v>
      </c>
      <c r="F1388" s="44" t="str">
        <f>IFERROR(VLOOKUP(D1388,MATERIALES!A:C,3,FALSE()),"?")</f>
        <v>b</v>
      </c>
      <c r="G1388" s="45">
        <v>0.28398544520548002</v>
      </c>
      <c r="H1388" s="46">
        <v>0.1</v>
      </c>
      <c r="I1388" s="47">
        <f>IFERROR(VLOOKUP(D1388,MATERIALES!A:D,4,FALSE()),0)</f>
        <v>28011.57</v>
      </c>
      <c r="J1388" s="42">
        <f t="shared" si="153"/>
        <v>8750.3659950899146</v>
      </c>
      <c r="K1388" s="15" t="str">
        <f t="shared" si="148"/>
        <v>PTO-1511|MAT</v>
      </c>
      <c r="L1388" s="15">
        <f>COUNTIFS($K$2:K1388,K1388)</f>
        <v>8</v>
      </c>
      <c r="M1388" s="15" t="str">
        <f t="shared" si="149"/>
        <v>PTO-1511|MAT|8</v>
      </c>
      <c r="N1388" s="47">
        <f>IFERROR(VLOOKUP(A1388,PARTIDAS!A:F,6,FALSE()),0)</f>
        <v>1</v>
      </c>
      <c r="O1388" s="247">
        <f t="shared" si="150"/>
        <v>0.28398544520548002</v>
      </c>
      <c r="P1388" s="247">
        <f>+_xlfn.XLOOKUP(A1388,PPTO_GENERADOR!Q:Q,PPTO_GENERADOR!E:E,"-",0)</f>
        <v>73</v>
      </c>
      <c r="Q1388" s="247">
        <f t="shared" si="151"/>
        <v>20.730937500000042</v>
      </c>
      <c r="R1388" s="259">
        <f>+_xlfn.XLOOKUP(A1388,PPTO_GENERADOR!$Q:$Q,PPTO_GENERADOR!A:A,"-",0)</f>
        <v>15.11</v>
      </c>
    </row>
    <row r="1389" spans="1:18" ht="14.25" customHeight="1" x14ac:dyDescent="0.35">
      <c r="A1389" s="38" t="s">
        <v>251</v>
      </c>
      <c r="B1389" s="38" t="s">
        <v>2773</v>
      </c>
      <c r="C1389" s="38"/>
      <c r="D1389" s="38" t="s">
        <v>1896</v>
      </c>
      <c r="E1389" s="44" t="str">
        <f>IFERROR(VLOOKUP(D1389,EQUIPOS!A:B,2,FALSE()),"?")</f>
        <v xml:space="preserve">Herramientas menores y consumibles - Esmalte sintetico en puertas color bco. - Puertas </v>
      </c>
      <c r="F1389" s="44"/>
      <c r="G1389" s="45">
        <v>1</v>
      </c>
      <c r="H1389" s="46">
        <v>0</v>
      </c>
      <c r="I1389" s="47">
        <f>IFERROR(VLOOKUP(D1389,EQUIPOS!A:F,6,FALSE()),0)</f>
        <v>924.64231650722797</v>
      </c>
      <c r="J1389" s="42">
        <f>G1389*I1389</f>
        <v>924.64231650722797</v>
      </c>
      <c r="K1389" s="15" t="str">
        <f t="shared" si="148"/>
        <v>PTO-1511|EQ</v>
      </c>
      <c r="L1389" s="15">
        <f>COUNTIFS($K$2:K1389,K1389)</f>
        <v>1</v>
      </c>
      <c r="M1389" s="15" t="str">
        <f t="shared" si="149"/>
        <v>PTO-1511|EQ|1</v>
      </c>
      <c r="N1389" s="47">
        <f>IFERROR(VLOOKUP(A1389,PARTIDAS!A:F,6,FALSE()),0)</f>
        <v>1</v>
      </c>
      <c r="O1389" s="247">
        <f t="shared" si="150"/>
        <v>1</v>
      </c>
      <c r="P1389" s="247">
        <f>+_xlfn.XLOOKUP(A1389,PPTO_GENERADOR!Q:Q,PPTO_GENERADOR!E:E,"-",0)</f>
        <v>73</v>
      </c>
      <c r="Q1389" s="247">
        <f t="shared" si="151"/>
        <v>73</v>
      </c>
      <c r="R1389" s="259">
        <f>+_xlfn.XLOOKUP(A1389,PPTO_GENERADOR!$Q:$Q,PPTO_GENERADOR!A:A,"-",0)</f>
        <v>15.11</v>
      </c>
    </row>
    <row r="1390" spans="1:18" ht="14.25" customHeight="1" x14ac:dyDescent="0.35">
      <c r="A1390" s="38" t="s">
        <v>251</v>
      </c>
      <c r="B1390" s="38" t="s">
        <v>2776</v>
      </c>
      <c r="C1390" s="38" t="s">
        <v>2775</v>
      </c>
      <c r="D1390" s="38" t="s">
        <v>2302</v>
      </c>
      <c r="E1390" s="44" t="str">
        <f>IFERROR(VLOOKUP(D1390,SUBCONTRATOS_PRY!A:B,2,FALSE()),"?")</f>
        <v>Esmalte sintetico</v>
      </c>
      <c r="F1390" s="44" t="s">
        <v>2778</v>
      </c>
      <c r="G1390" s="45">
        <v>4.5437671232876697</v>
      </c>
      <c r="H1390" s="46">
        <v>0</v>
      </c>
      <c r="I1390" s="47">
        <f>IFERROR(VLOOKUP(D1390,SUBCONTRATOS_PRY!A:D,4,FALSE()),0)</f>
        <v>10981.3720244489</v>
      </c>
      <c r="J1390" s="42">
        <f>G1390*I1390</f>
        <v>49896.79717328187</v>
      </c>
      <c r="K1390" s="15" t="str">
        <f t="shared" si="148"/>
        <v>PTO-1511|MO</v>
      </c>
      <c r="L1390" s="15">
        <f>COUNTIFS($K$2:K1390,K1390)</f>
        <v>1</v>
      </c>
      <c r="M1390" s="15" t="str">
        <f t="shared" si="149"/>
        <v>PTO-1511|MO|1</v>
      </c>
      <c r="N1390" s="47">
        <f>IFERROR(VLOOKUP(A1390,PARTIDAS!A:F,6,FALSE()),0)</f>
        <v>1</v>
      </c>
      <c r="O1390" s="247">
        <f t="shared" si="150"/>
        <v>4.5437671232876697</v>
      </c>
      <c r="P1390" s="247">
        <f>+_xlfn.XLOOKUP(A1390,PPTO_GENERADOR!Q:Q,PPTO_GENERADOR!E:E,"-",0)</f>
        <v>73</v>
      </c>
      <c r="Q1390" s="247">
        <f t="shared" si="151"/>
        <v>331.69499999999988</v>
      </c>
      <c r="R1390" s="259">
        <f>+_xlfn.XLOOKUP(A1390,PPTO_GENERADOR!$Q:$Q,PPTO_GENERADOR!A:A,"-",0)</f>
        <v>15.11</v>
      </c>
    </row>
    <row r="1391" spans="1:18" ht="14.25" customHeight="1" x14ac:dyDescent="0.35">
      <c r="A1391" s="38" t="s">
        <v>253</v>
      </c>
      <c r="B1391" s="38" t="s">
        <v>2773</v>
      </c>
      <c r="C1391" s="38"/>
      <c r="D1391" s="38" t="s">
        <v>1899</v>
      </c>
      <c r="E1391" s="44" t="str">
        <f>IFERROR(VLOOKUP(D1391,EQUIPOS!A:B,2,FALSE()),"?")</f>
        <v>Herramientas menores y consumibles - Esmalte sintético convertidor antioxido color negr</v>
      </c>
      <c r="F1391" s="44"/>
      <c r="G1391" s="45">
        <v>1</v>
      </c>
      <c r="H1391" s="46">
        <v>0</v>
      </c>
      <c r="I1391" s="47">
        <f>IFERROR(VLOOKUP(D1391,EQUIPOS!A:F,6,FALSE()),0)</f>
        <v>47531.971299682802</v>
      </c>
      <c r="J1391" s="42">
        <f>G1391*I1391</f>
        <v>47531.971299682802</v>
      </c>
      <c r="K1391" s="15" t="str">
        <f t="shared" si="148"/>
        <v>PTO-1512|EQ</v>
      </c>
      <c r="L1391" s="15">
        <f>COUNTIFS($K$2:K1391,K1391)</f>
        <v>1</v>
      </c>
      <c r="M1391" s="15" t="str">
        <f t="shared" si="149"/>
        <v>PTO-1512|EQ|1</v>
      </c>
      <c r="N1391" s="47">
        <f>IFERROR(VLOOKUP(A1391,PARTIDAS!A:F,6,FALSE()),0)</f>
        <v>1</v>
      </c>
      <c r="O1391" s="247">
        <f t="shared" si="150"/>
        <v>1</v>
      </c>
      <c r="P1391" s="247">
        <f>+_xlfn.XLOOKUP(A1391,PPTO_GENERADOR!Q:Q,PPTO_GENERADOR!E:E,"-",0)</f>
        <v>1</v>
      </c>
      <c r="Q1391" s="247">
        <f t="shared" si="151"/>
        <v>1</v>
      </c>
      <c r="R1391" s="259">
        <f>+_xlfn.XLOOKUP(A1391,PPTO_GENERADOR!$Q:$Q,PPTO_GENERADOR!A:A,"-",0)</f>
        <v>15.12</v>
      </c>
    </row>
    <row r="1392" spans="1:18" ht="14.25" customHeight="1" x14ac:dyDescent="0.35">
      <c r="A1392" s="38" t="s">
        <v>253</v>
      </c>
      <c r="B1392" s="38" t="s">
        <v>2774</v>
      </c>
      <c r="C1392" s="38" t="s">
        <v>2775</v>
      </c>
      <c r="D1392" s="38" t="s">
        <v>845</v>
      </c>
      <c r="E1392" s="44" t="str">
        <f>IFERROR(VLOOKUP(D1392,MATERIALES!A:B,2,FALSE()),"?")</f>
        <v>Aguarras Hydrarras Hydra x 18lts</v>
      </c>
      <c r="F1392" s="44" t="str">
        <f>IFERROR(VLOOKUP(D1392,MATERIALES!A:C,3,FALSE()),"?")</f>
        <v>b</v>
      </c>
      <c r="G1392" s="45">
        <v>0.758544</v>
      </c>
      <c r="H1392" s="46">
        <v>0.1</v>
      </c>
      <c r="I1392" s="47">
        <f>IFERROR(VLOOKUP(D1392,MATERIALES!A:D,4,FALSE()),0)</f>
        <v>26907.33</v>
      </c>
      <c r="J1392" s="42">
        <f t="shared" ref="J1392:J1399" si="154">G1392*I1392*(1+H1392)</f>
        <v>22451.433100272003</v>
      </c>
      <c r="K1392" s="15" t="str">
        <f t="shared" si="148"/>
        <v>PTO-1512|MAT</v>
      </c>
      <c r="L1392" s="15">
        <f>COUNTIFS($K$2:K1392,K1392)</f>
        <v>1</v>
      </c>
      <c r="M1392" s="15" t="str">
        <f t="shared" si="149"/>
        <v>PTO-1512|MAT|1</v>
      </c>
      <c r="N1392" s="47">
        <f>IFERROR(VLOOKUP(A1392,PARTIDAS!A:F,6,FALSE()),0)</f>
        <v>1</v>
      </c>
      <c r="O1392" s="247">
        <f t="shared" si="150"/>
        <v>0.758544</v>
      </c>
      <c r="P1392" s="247">
        <f>+_xlfn.XLOOKUP(A1392,PPTO_GENERADOR!Q:Q,PPTO_GENERADOR!E:E,"-",0)</f>
        <v>1</v>
      </c>
      <c r="Q1392" s="247">
        <f t="shared" si="151"/>
        <v>0.758544</v>
      </c>
      <c r="R1392" s="259">
        <f>+_xlfn.XLOOKUP(A1392,PPTO_GENERADOR!$Q:$Q,PPTO_GENERADOR!A:A,"-",0)</f>
        <v>15.12</v>
      </c>
    </row>
    <row r="1393" spans="1:18" ht="14.25" customHeight="1" x14ac:dyDescent="0.35">
      <c r="A1393" s="38" t="s">
        <v>253</v>
      </c>
      <c r="B1393" s="38" t="s">
        <v>2774</v>
      </c>
      <c r="C1393" s="38" t="s">
        <v>2775</v>
      </c>
      <c r="D1393" s="38" t="s">
        <v>848</v>
      </c>
      <c r="E1393" s="44" t="str">
        <f>IFERROR(VLOOKUP(D1393,MATERIALES!A:B,2,FALSE()),"?")</f>
        <v>Lija 180 al agua x 10u</v>
      </c>
      <c r="F1393" s="44" t="str">
        <f>IFERROR(VLOOKUP(D1393,MATERIALES!A:C,3,FALSE()),"?")</f>
        <v>u</v>
      </c>
      <c r="G1393" s="45">
        <v>3.034176</v>
      </c>
      <c r="H1393" s="46">
        <v>0.05</v>
      </c>
      <c r="I1393" s="47">
        <f>IFERROR(VLOOKUP(D1393,MATERIALES!A:D,4,FALSE()),0)</f>
        <v>5661.4</v>
      </c>
      <c r="J1393" s="42">
        <f t="shared" si="154"/>
        <v>18036.56820672</v>
      </c>
      <c r="K1393" s="15" t="str">
        <f t="shared" si="148"/>
        <v>PTO-1512|MAT</v>
      </c>
      <c r="L1393" s="15">
        <f>COUNTIFS($K$2:K1393,K1393)</f>
        <v>2</v>
      </c>
      <c r="M1393" s="15" t="str">
        <f t="shared" si="149"/>
        <v>PTO-1512|MAT|2</v>
      </c>
      <c r="N1393" s="47">
        <f>IFERROR(VLOOKUP(A1393,PARTIDAS!A:F,6,FALSE()),0)</f>
        <v>1</v>
      </c>
      <c r="O1393" s="247">
        <f t="shared" si="150"/>
        <v>3.034176</v>
      </c>
      <c r="P1393" s="247">
        <f>+_xlfn.XLOOKUP(A1393,PPTO_GENERADOR!Q:Q,PPTO_GENERADOR!E:E,"-",0)</f>
        <v>1</v>
      </c>
      <c r="Q1393" s="247">
        <f t="shared" si="151"/>
        <v>3.034176</v>
      </c>
      <c r="R1393" s="259">
        <f>+_xlfn.XLOOKUP(A1393,PPTO_GENERADOR!$Q:$Q,PPTO_GENERADOR!A:A,"-",0)</f>
        <v>15.12</v>
      </c>
    </row>
    <row r="1394" spans="1:18" ht="14.25" customHeight="1" x14ac:dyDescent="0.35">
      <c r="A1394" s="38" t="s">
        <v>253</v>
      </c>
      <c r="B1394" s="38" t="s">
        <v>2774</v>
      </c>
      <c r="C1394" s="38" t="s">
        <v>2775</v>
      </c>
      <c r="D1394" s="38" t="s">
        <v>851</v>
      </c>
      <c r="E1394" s="44" t="str">
        <f>IFERROR(VLOOKUP(D1394,MATERIALES!A:B,2,FALSE()),"?")</f>
        <v>Cinta de Papel 36 mm x 40m</v>
      </c>
      <c r="F1394" s="44" t="str">
        <f>IFERROR(VLOOKUP(D1394,MATERIALES!A:C,3,FALSE()),"?")</f>
        <v>u</v>
      </c>
      <c r="G1394" s="45">
        <v>7.5854400000000002</v>
      </c>
      <c r="H1394" s="46">
        <v>0.1</v>
      </c>
      <c r="I1394" s="47">
        <f>IFERROR(VLOOKUP(D1394,MATERIALES!A:D,4,FALSE()),0)</f>
        <v>3293.01</v>
      </c>
      <c r="J1394" s="42">
        <f t="shared" si="154"/>
        <v>27476.822751840005</v>
      </c>
      <c r="K1394" s="15" t="str">
        <f t="shared" si="148"/>
        <v>PTO-1512|MAT</v>
      </c>
      <c r="L1394" s="15">
        <f>COUNTIFS($K$2:K1394,K1394)</f>
        <v>3</v>
      </c>
      <c r="M1394" s="15" t="str">
        <f t="shared" si="149"/>
        <v>PTO-1512|MAT|3</v>
      </c>
      <c r="N1394" s="47">
        <f>IFERROR(VLOOKUP(A1394,PARTIDAS!A:F,6,FALSE()),0)</f>
        <v>1</v>
      </c>
      <c r="O1394" s="247">
        <f t="shared" si="150"/>
        <v>7.5854400000000002</v>
      </c>
      <c r="P1394" s="247">
        <f>+_xlfn.XLOOKUP(A1394,PPTO_GENERADOR!Q:Q,PPTO_GENERADOR!E:E,"-",0)</f>
        <v>1</v>
      </c>
      <c r="Q1394" s="247">
        <f t="shared" si="151"/>
        <v>7.5854400000000002</v>
      </c>
      <c r="R1394" s="259">
        <f>+_xlfn.XLOOKUP(A1394,PPTO_GENERADOR!$Q:$Q,PPTO_GENERADOR!A:A,"-",0)</f>
        <v>15.12</v>
      </c>
    </row>
    <row r="1395" spans="1:18" ht="14.25" customHeight="1" x14ac:dyDescent="0.35">
      <c r="A1395" s="38" t="s">
        <v>253</v>
      </c>
      <c r="B1395" s="38" t="s">
        <v>2774</v>
      </c>
      <c r="C1395" s="38" t="s">
        <v>2775</v>
      </c>
      <c r="D1395" s="38" t="s">
        <v>855</v>
      </c>
      <c r="E1395" s="44" t="str">
        <f>IFERROR(VLOOKUP(D1395,MATERIALES!A:B,2,FALSE()),"?")</f>
        <v>Trapo</v>
      </c>
      <c r="F1395" s="44" t="str">
        <f>IFERROR(VLOOKUP(D1395,MATERIALES!A:C,3,FALSE()),"?")</f>
        <v>u</v>
      </c>
      <c r="G1395" s="45">
        <v>1.517088</v>
      </c>
      <c r="H1395" s="46">
        <v>0.05</v>
      </c>
      <c r="I1395" s="47">
        <f>IFERROR(VLOOKUP(D1395,MATERIALES!A:D,4,FALSE()),0)</f>
        <v>735.06</v>
      </c>
      <c r="J1395" s="42">
        <f t="shared" si="154"/>
        <v>1170.9082405440001</v>
      </c>
      <c r="K1395" s="15" t="str">
        <f t="shared" si="148"/>
        <v>PTO-1512|MAT</v>
      </c>
      <c r="L1395" s="15">
        <f>COUNTIFS($K$2:K1395,K1395)</f>
        <v>4</v>
      </c>
      <c r="M1395" s="15" t="str">
        <f t="shared" si="149"/>
        <v>PTO-1512|MAT|4</v>
      </c>
      <c r="N1395" s="47">
        <f>IFERROR(VLOOKUP(A1395,PARTIDAS!A:F,6,FALSE()),0)</f>
        <v>1</v>
      </c>
      <c r="O1395" s="247">
        <f t="shared" si="150"/>
        <v>1.517088</v>
      </c>
      <c r="P1395" s="247">
        <f>+_xlfn.XLOOKUP(A1395,PPTO_GENERADOR!Q:Q,PPTO_GENERADOR!E:E,"-",0)</f>
        <v>1</v>
      </c>
      <c r="Q1395" s="247">
        <f t="shared" si="151"/>
        <v>1.517088</v>
      </c>
      <c r="R1395" s="259">
        <f>+_xlfn.XLOOKUP(A1395,PPTO_GENERADOR!$Q:$Q,PPTO_GENERADOR!A:A,"-",0)</f>
        <v>15.12</v>
      </c>
    </row>
    <row r="1396" spans="1:18" ht="14.25" customHeight="1" x14ac:dyDescent="0.35">
      <c r="A1396" s="38" t="s">
        <v>253</v>
      </c>
      <c r="B1396" s="38" t="s">
        <v>2774</v>
      </c>
      <c r="C1396" s="38" t="s">
        <v>2775</v>
      </c>
      <c r="D1396" s="38" t="s">
        <v>863</v>
      </c>
      <c r="E1396" s="44" t="str">
        <f>IFERROR(VLOOKUP(D1396,MATERIALES!A:B,2,FALSE()),"?")</f>
        <v>Rodillo de lana pelo largo N°22 - El Galgo</v>
      </c>
      <c r="F1396" s="44" t="str">
        <f>IFERROR(VLOOKUP(D1396,MATERIALES!A:C,3,FALSE()),"?")</f>
        <v>u</v>
      </c>
      <c r="G1396" s="45">
        <v>1.517088</v>
      </c>
      <c r="H1396" s="46">
        <v>0.05</v>
      </c>
      <c r="I1396" s="47">
        <f>IFERROR(VLOOKUP(D1396,MATERIALES!A:D,4,FALSE()),0)</f>
        <v>6678.36</v>
      </c>
      <c r="J1396" s="42">
        <f t="shared" si="154"/>
        <v>10638.242806463999</v>
      </c>
      <c r="K1396" s="15" t="str">
        <f t="shared" si="148"/>
        <v>PTO-1512|MAT</v>
      </c>
      <c r="L1396" s="15">
        <f>COUNTIFS($K$2:K1396,K1396)</f>
        <v>5</v>
      </c>
      <c r="M1396" s="15" t="str">
        <f t="shared" si="149"/>
        <v>PTO-1512|MAT|5</v>
      </c>
      <c r="N1396" s="47">
        <f>IFERROR(VLOOKUP(A1396,PARTIDAS!A:F,6,FALSE()),0)</f>
        <v>1</v>
      </c>
      <c r="O1396" s="247">
        <f t="shared" si="150"/>
        <v>1.517088</v>
      </c>
      <c r="P1396" s="247">
        <f>+_xlfn.XLOOKUP(A1396,PPTO_GENERADOR!Q:Q,PPTO_GENERADOR!E:E,"-",0)</f>
        <v>1</v>
      </c>
      <c r="Q1396" s="247">
        <f t="shared" si="151"/>
        <v>1.517088</v>
      </c>
      <c r="R1396" s="259">
        <f>+_xlfn.XLOOKUP(A1396,PPTO_GENERADOR!$Q:$Q,PPTO_GENERADOR!A:A,"-",0)</f>
        <v>15.12</v>
      </c>
    </row>
    <row r="1397" spans="1:18" ht="14.25" customHeight="1" x14ac:dyDescent="0.35">
      <c r="A1397" s="38" t="s">
        <v>253</v>
      </c>
      <c r="B1397" s="38" t="s">
        <v>2774</v>
      </c>
      <c r="C1397" s="38" t="s">
        <v>2775</v>
      </c>
      <c r="D1397" s="38" t="s">
        <v>865</v>
      </c>
      <c r="E1397" s="44" t="str">
        <f>IFERROR(VLOOKUP(D1397,MATERIALES!A:B,2,FALSE()),"?")</f>
        <v>Pincel N° 20 - El Galgo</v>
      </c>
      <c r="F1397" s="44" t="str">
        <f>IFERROR(VLOOKUP(D1397,MATERIALES!A:C,3,FALSE()),"?")</f>
        <v>u</v>
      </c>
      <c r="G1397" s="45">
        <v>1.517088</v>
      </c>
      <c r="H1397" s="46">
        <v>0.05</v>
      </c>
      <c r="I1397" s="47">
        <f>IFERROR(VLOOKUP(D1397,MATERIALES!A:D,4,FALSE()),0)</f>
        <v>5282.24</v>
      </c>
      <c r="J1397" s="42">
        <f t="shared" si="154"/>
        <v>8414.3040629759998</v>
      </c>
      <c r="K1397" s="15" t="str">
        <f t="shared" si="148"/>
        <v>PTO-1512|MAT</v>
      </c>
      <c r="L1397" s="15">
        <f>COUNTIFS($K$2:K1397,K1397)</f>
        <v>6</v>
      </c>
      <c r="M1397" s="15" t="str">
        <f t="shared" si="149"/>
        <v>PTO-1512|MAT|6</v>
      </c>
      <c r="N1397" s="47">
        <f>IFERROR(VLOOKUP(A1397,PARTIDAS!A:F,6,FALSE()),0)</f>
        <v>1</v>
      </c>
      <c r="O1397" s="247">
        <f t="shared" si="150"/>
        <v>1.517088</v>
      </c>
      <c r="P1397" s="247">
        <f>+_xlfn.XLOOKUP(A1397,PPTO_GENERADOR!Q:Q,PPTO_GENERADOR!E:E,"-",0)</f>
        <v>1</v>
      </c>
      <c r="Q1397" s="247">
        <f t="shared" si="151"/>
        <v>1.517088</v>
      </c>
      <c r="R1397" s="259">
        <f>+_xlfn.XLOOKUP(A1397,PPTO_GENERADOR!$Q:$Q,PPTO_GENERADOR!A:A,"-",0)</f>
        <v>15.12</v>
      </c>
    </row>
    <row r="1398" spans="1:18" ht="14.25" customHeight="1" x14ac:dyDescent="0.35">
      <c r="A1398" s="38" t="s">
        <v>253</v>
      </c>
      <c r="B1398" s="38" t="s">
        <v>2774</v>
      </c>
      <c r="C1398" s="38" t="s">
        <v>2775</v>
      </c>
      <c r="D1398" s="38" t="s">
        <v>868</v>
      </c>
      <c r="E1398" s="44" t="str">
        <f>IFERROR(VLOOKUP(D1398,MATERIALES!A:B,2,FALSE()),"?")</f>
        <v>Rollo de cartón corrugado 0,90 x 25 mts</v>
      </c>
      <c r="F1398" s="44" t="str">
        <f>IFERROR(VLOOKUP(D1398,MATERIALES!A:C,3,FALSE()),"?")</f>
        <v>u</v>
      </c>
      <c r="G1398" s="45">
        <v>1.517088</v>
      </c>
      <c r="H1398" s="46">
        <v>0.05</v>
      </c>
      <c r="I1398" s="47">
        <f>IFERROR(VLOOKUP(D1398,MATERIALES!A:D,4,FALSE()),0)</f>
        <v>7427.6</v>
      </c>
      <c r="J1398" s="42">
        <f t="shared" si="154"/>
        <v>11831.738970240001</v>
      </c>
      <c r="K1398" s="15" t="str">
        <f t="shared" si="148"/>
        <v>PTO-1512|MAT</v>
      </c>
      <c r="L1398" s="15">
        <f>COUNTIFS($K$2:K1398,K1398)</f>
        <v>7</v>
      </c>
      <c r="M1398" s="15" t="str">
        <f t="shared" si="149"/>
        <v>PTO-1512|MAT|7</v>
      </c>
      <c r="N1398" s="47">
        <f>IFERROR(VLOOKUP(A1398,PARTIDAS!A:F,6,FALSE()),0)</f>
        <v>1</v>
      </c>
      <c r="O1398" s="247">
        <f t="shared" si="150"/>
        <v>1.517088</v>
      </c>
      <c r="P1398" s="247">
        <f>+_xlfn.XLOOKUP(A1398,PPTO_GENERADOR!Q:Q,PPTO_GENERADOR!E:E,"-",0)</f>
        <v>1</v>
      </c>
      <c r="Q1398" s="247">
        <f t="shared" si="151"/>
        <v>1.517088</v>
      </c>
      <c r="R1398" s="259">
        <f>+_xlfn.XLOOKUP(A1398,PPTO_GENERADOR!$Q:$Q,PPTO_GENERADOR!A:A,"-",0)</f>
        <v>15.12</v>
      </c>
    </row>
    <row r="1399" spans="1:18" ht="14.25" customHeight="1" x14ac:dyDescent="0.35">
      <c r="A1399" s="38" t="s">
        <v>253</v>
      </c>
      <c r="B1399" s="38" t="s">
        <v>2774</v>
      </c>
      <c r="C1399" s="38" t="s">
        <v>2775</v>
      </c>
      <c r="D1399" s="38" t="s">
        <v>813</v>
      </c>
      <c r="E1399" s="44" t="str">
        <f>IFERROR(VLOOKUP(D1399,MATERIALES!A:B,2,FALSE()),"?")</f>
        <v>Esmalte sintetico satinado Satinol Blanco x 4lts</v>
      </c>
      <c r="F1399" s="44" t="str">
        <f>IFERROR(VLOOKUP(D1399,MATERIALES!A:C,3,FALSE()),"?")</f>
        <v>b</v>
      </c>
      <c r="G1399" s="45">
        <v>9.4817999999999998</v>
      </c>
      <c r="H1399" s="46">
        <v>0.1</v>
      </c>
      <c r="I1399" s="47">
        <f>IFERROR(VLOOKUP(D1399,MATERIALES!A:D,4,FALSE()),0)</f>
        <v>28011.57</v>
      </c>
      <c r="J1399" s="42">
        <f t="shared" si="154"/>
        <v>292160.11486859998</v>
      </c>
      <c r="K1399" s="15" t="str">
        <f t="shared" si="148"/>
        <v>PTO-1512|MAT</v>
      </c>
      <c r="L1399" s="15">
        <f>COUNTIFS($K$2:K1399,K1399)</f>
        <v>8</v>
      </c>
      <c r="M1399" s="15" t="str">
        <f t="shared" si="149"/>
        <v>PTO-1512|MAT|8</v>
      </c>
      <c r="N1399" s="47">
        <f>IFERROR(VLOOKUP(A1399,PARTIDAS!A:F,6,FALSE()),0)</f>
        <v>1</v>
      </c>
      <c r="O1399" s="247">
        <f t="shared" si="150"/>
        <v>9.4817999999999998</v>
      </c>
      <c r="P1399" s="247">
        <f>+_xlfn.XLOOKUP(A1399,PPTO_GENERADOR!Q:Q,PPTO_GENERADOR!E:E,"-",0)</f>
        <v>1</v>
      </c>
      <c r="Q1399" s="247">
        <f t="shared" si="151"/>
        <v>9.4817999999999998</v>
      </c>
      <c r="R1399" s="259">
        <f>+_xlfn.XLOOKUP(A1399,PPTO_GENERADOR!$Q:$Q,PPTO_GENERADOR!A:A,"-",0)</f>
        <v>15.12</v>
      </c>
    </row>
    <row r="1400" spans="1:18" ht="14.25" customHeight="1" x14ac:dyDescent="0.35">
      <c r="A1400" s="38" t="s">
        <v>253</v>
      </c>
      <c r="B1400" s="38" t="s">
        <v>2776</v>
      </c>
      <c r="C1400" s="38" t="s">
        <v>2775</v>
      </c>
      <c r="D1400" s="38" t="s">
        <v>2304</v>
      </c>
      <c r="E1400" s="44" t="str">
        <f>IFERROR(VLOOKUP(D1400,SUBCONTRATOS_PRY!A:B,2,FALSE()),"?")</f>
        <v>MO Esmalte sintético sobre carpintería metálica</v>
      </c>
      <c r="F1400" s="44" t="s">
        <v>2778</v>
      </c>
      <c r="G1400" s="45">
        <v>252.84800000000001</v>
      </c>
      <c r="H1400" s="46">
        <v>0</v>
      </c>
      <c r="I1400" s="47">
        <f>IFERROR(VLOOKUP(D1400,SUBCONTRATOS_PRY!A:D,4,FALSE()),0)</f>
        <v>10981.3720244489</v>
      </c>
      <c r="J1400" s="42">
        <f>G1400*I1400</f>
        <v>2776617.9536378556</v>
      </c>
      <c r="K1400" s="15" t="str">
        <f t="shared" si="148"/>
        <v>PTO-1512|MO</v>
      </c>
      <c r="L1400" s="15">
        <f>COUNTIFS($K$2:K1400,K1400)</f>
        <v>1</v>
      </c>
      <c r="M1400" s="15" t="str">
        <f t="shared" si="149"/>
        <v>PTO-1512|MO|1</v>
      </c>
      <c r="N1400" s="47">
        <f>IFERROR(VLOOKUP(A1400,PARTIDAS!A:F,6,FALSE()),0)</f>
        <v>1</v>
      </c>
      <c r="O1400" s="247">
        <f t="shared" si="150"/>
        <v>252.84800000000001</v>
      </c>
      <c r="P1400" s="247">
        <f>+_xlfn.XLOOKUP(A1400,PPTO_GENERADOR!Q:Q,PPTO_GENERADOR!E:E,"-",0)</f>
        <v>1</v>
      </c>
      <c r="Q1400" s="247">
        <f t="shared" si="151"/>
        <v>252.84800000000001</v>
      </c>
      <c r="R1400" s="259">
        <f>+_xlfn.XLOOKUP(A1400,PPTO_GENERADOR!$Q:$Q,PPTO_GENERADOR!A:A,"-",0)</f>
        <v>15.12</v>
      </c>
    </row>
    <row r="1401" spans="1:18" ht="14.25" customHeight="1" x14ac:dyDescent="0.35">
      <c r="A1401" s="38" t="s">
        <v>255</v>
      </c>
      <c r="B1401" s="38" t="s">
        <v>2773</v>
      </c>
      <c r="C1401" s="38"/>
      <c r="D1401" s="38" t="s">
        <v>1595</v>
      </c>
      <c r="E1401" s="44" t="str">
        <f>IFERROR(VLOOKUP(D1401,EQUIPOS!A:B,2,FALSE()),"?")</f>
        <v>EQUIPO DE ALBAÑILERIA, carpetas, ladrillo</v>
      </c>
      <c r="F1401" s="44"/>
      <c r="G1401" s="45">
        <v>0.25</v>
      </c>
      <c r="H1401" s="46">
        <v>0</v>
      </c>
      <c r="I1401" s="47">
        <f>IFERROR(VLOOKUP(D1401,EQUIPOS!A:F,6,FALSE()),0)</f>
        <v>2287.1357450968057</v>
      </c>
      <c r="J1401" s="42">
        <f>G1401*I1401</f>
        <v>571.78393627420144</v>
      </c>
      <c r="K1401" s="15" t="str">
        <f t="shared" si="148"/>
        <v>PTO-1701|EQ</v>
      </c>
      <c r="L1401" s="15">
        <f>COUNTIFS($K$2:K1401,K1401)</f>
        <v>1</v>
      </c>
      <c r="M1401" s="15" t="str">
        <f t="shared" si="149"/>
        <v>PTO-1701|EQ|1</v>
      </c>
      <c r="N1401" s="47">
        <f>IFERROR(VLOOKUP(A1401,PARTIDAS!A:F,6,FALSE()),0)</f>
        <v>2</v>
      </c>
      <c r="O1401" s="247">
        <f t="shared" si="150"/>
        <v>0.25</v>
      </c>
      <c r="P1401" s="247">
        <f>+_xlfn.XLOOKUP(A1401,PPTO_GENERADOR!Q:Q,PPTO_GENERADOR!E:E,"-",0)</f>
        <v>57</v>
      </c>
      <c r="Q1401" s="247">
        <f t="shared" si="151"/>
        <v>14.25</v>
      </c>
      <c r="R1401" s="259">
        <f>+_xlfn.XLOOKUP(A1401,PPTO_GENERADOR!$Q:$Q,PPTO_GENERADOR!A:A,"-",0)</f>
        <v>17.010000000000002</v>
      </c>
    </row>
    <row r="1402" spans="1:18" ht="14.25" customHeight="1" x14ac:dyDescent="0.35">
      <c r="A1402" s="38" t="s">
        <v>255</v>
      </c>
      <c r="B1402" s="38" t="s">
        <v>2773</v>
      </c>
      <c r="C1402" s="38"/>
      <c r="D1402" s="38" t="s">
        <v>1613</v>
      </c>
      <c r="E1402" s="44" t="str">
        <f>IFERROR(VLOOKUP(D1402,EQUIPOS!A:B,2,FALSE()),"?")</f>
        <v>Hormigonera De 150 Litros 1hp Con Rueda Maciza</v>
      </c>
      <c r="F1402" s="44"/>
      <c r="G1402" s="45">
        <v>0.25</v>
      </c>
      <c r="H1402" s="46">
        <v>0</v>
      </c>
      <c r="I1402" s="47">
        <f>IFERROR(VLOOKUP(D1402,EQUIPOS!A:F,6,FALSE()),0)</f>
        <v>957.25319614994726</v>
      </c>
      <c r="J1402" s="42">
        <f>G1402*I1402</f>
        <v>239.31329903748681</v>
      </c>
      <c r="K1402" s="15" t="str">
        <f t="shared" si="148"/>
        <v>PTO-1701|EQ</v>
      </c>
      <c r="L1402" s="15">
        <f>COUNTIFS($K$2:K1402,K1402)</f>
        <v>2</v>
      </c>
      <c r="M1402" s="15" t="str">
        <f t="shared" si="149"/>
        <v>PTO-1701|EQ|2</v>
      </c>
      <c r="N1402" s="47">
        <f>IFERROR(VLOOKUP(A1402,PARTIDAS!A:F,6,FALSE()),0)</f>
        <v>2</v>
      </c>
      <c r="O1402" s="247">
        <f t="shared" si="150"/>
        <v>0.25</v>
      </c>
      <c r="P1402" s="247">
        <f>+_xlfn.XLOOKUP(A1402,PPTO_GENERADOR!Q:Q,PPTO_GENERADOR!E:E,"-",0)</f>
        <v>57</v>
      </c>
      <c r="Q1402" s="247">
        <f t="shared" si="151"/>
        <v>14.25</v>
      </c>
      <c r="R1402" s="259">
        <f>+_xlfn.XLOOKUP(A1402,PPTO_GENERADOR!$Q:$Q,PPTO_GENERADOR!A:A,"-",0)</f>
        <v>17.010000000000002</v>
      </c>
    </row>
    <row r="1403" spans="1:18" ht="14.25" customHeight="1" x14ac:dyDescent="0.35">
      <c r="A1403" s="38" t="s">
        <v>255</v>
      </c>
      <c r="B1403" s="38" t="s">
        <v>2774</v>
      </c>
      <c r="C1403" s="38" t="s">
        <v>2775</v>
      </c>
      <c r="D1403" s="38" t="s">
        <v>588</v>
      </c>
      <c r="E1403" s="44" t="str">
        <f>IFERROR(VLOOKUP(D1403,MATERIALES!A:B,2,FALSE()),"?")</f>
        <v>ARENA LAVADA</v>
      </c>
      <c r="F1403" s="44" t="str">
        <f>IFERROR(VLOOKUP(D1403,MATERIALES!A:C,3,FALSE()),"?")</f>
        <v>m3</v>
      </c>
      <c r="G1403" s="45">
        <v>3.5999999999999997E-2</v>
      </c>
      <c r="H1403" s="46">
        <v>0.1</v>
      </c>
      <c r="I1403" s="47">
        <f>IFERROR(VLOOKUP(D1403,MATERIALES!A:D,4,FALSE()),0)</f>
        <v>32399.77</v>
      </c>
      <c r="J1403" s="42">
        <f>G1403*I1403*(1+H1403)</f>
        <v>1283.030892</v>
      </c>
      <c r="K1403" s="15" t="str">
        <f t="shared" si="148"/>
        <v>PTO-1701|MAT</v>
      </c>
      <c r="L1403" s="15">
        <f>COUNTIFS($K$2:K1403,K1403)</f>
        <v>1</v>
      </c>
      <c r="M1403" s="15" t="str">
        <f t="shared" si="149"/>
        <v>PTO-1701|MAT|1</v>
      </c>
      <c r="N1403" s="47">
        <f>IFERROR(VLOOKUP(A1403,PARTIDAS!A:F,6,FALSE()),0)</f>
        <v>2</v>
      </c>
      <c r="O1403" s="247">
        <f t="shared" si="150"/>
        <v>3.5999999999999997E-2</v>
      </c>
      <c r="P1403" s="247">
        <f>+_xlfn.XLOOKUP(A1403,PPTO_GENERADOR!Q:Q,PPTO_GENERADOR!E:E,"-",0)</f>
        <v>57</v>
      </c>
      <c r="Q1403" s="247">
        <f t="shared" si="151"/>
        <v>2.052</v>
      </c>
      <c r="R1403" s="259">
        <f>+_xlfn.XLOOKUP(A1403,PPTO_GENERADOR!$Q:$Q,PPTO_GENERADOR!A:A,"-",0)</f>
        <v>17.010000000000002</v>
      </c>
    </row>
    <row r="1404" spans="1:18" ht="14.25" customHeight="1" x14ac:dyDescent="0.35">
      <c r="A1404" s="38" t="s">
        <v>255</v>
      </c>
      <c r="B1404" s="38" t="s">
        <v>2774</v>
      </c>
      <c r="C1404" s="38" t="s">
        <v>2775</v>
      </c>
      <c r="D1404" s="38" t="s">
        <v>599</v>
      </c>
      <c r="E1404" s="44" t="str">
        <f>IFERROR(VLOOKUP(D1404,MATERIALES!A:B,2,FALSE()),"?")</f>
        <v>Cemento Portland x 50kg</v>
      </c>
      <c r="F1404" s="44" t="str">
        <f>IFERROR(VLOOKUP(D1404,MATERIALES!A:C,3,FALSE()),"?")</f>
        <v>Bol</v>
      </c>
      <c r="G1404" s="45">
        <v>0.32400000000000001</v>
      </c>
      <c r="H1404" s="46">
        <v>0.1</v>
      </c>
      <c r="I1404" s="47">
        <f>IFERROR(VLOOKUP(D1404,MATERIALES!A:D,4,FALSE()),0)</f>
        <v>7809.48</v>
      </c>
      <c r="J1404" s="42">
        <f>G1404*I1404*(1+H1404)</f>
        <v>2783.2986719999999</v>
      </c>
      <c r="K1404" s="15" t="str">
        <f t="shared" si="148"/>
        <v>PTO-1701|MAT</v>
      </c>
      <c r="L1404" s="15">
        <f>COUNTIFS($K$2:K1404,K1404)</f>
        <v>2</v>
      </c>
      <c r="M1404" s="15" t="str">
        <f t="shared" si="149"/>
        <v>PTO-1701|MAT|2</v>
      </c>
      <c r="N1404" s="47">
        <f>IFERROR(VLOOKUP(A1404,PARTIDAS!A:F,6,FALSE()),0)</f>
        <v>2</v>
      </c>
      <c r="O1404" s="247">
        <f t="shared" si="150"/>
        <v>0.32400000000000001</v>
      </c>
      <c r="P1404" s="247">
        <f>+_xlfn.XLOOKUP(A1404,PPTO_GENERADOR!Q:Q,PPTO_GENERADOR!E:E,"-",0)</f>
        <v>57</v>
      </c>
      <c r="Q1404" s="247">
        <f t="shared" si="151"/>
        <v>18.468</v>
      </c>
      <c r="R1404" s="259">
        <f>+_xlfn.XLOOKUP(A1404,PPTO_GENERADOR!$Q:$Q,PPTO_GENERADOR!A:A,"-",0)</f>
        <v>17.010000000000002</v>
      </c>
    </row>
    <row r="1405" spans="1:18" ht="14.25" customHeight="1" x14ac:dyDescent="0.35">
      <c r="A1405" s="38" t="s">
        <v>255</v>
      </c>
      <c r="B1405" s="38" t="s">
        <v>2776</v>
      </c>
      <c r="C1405" s="38" t="s">
        <v>2777</v>
      </c>
      <c r="D1405" s="237" t="s">
        <v>1577</v>
      </c>
      <c r="E1405" s="44" t="str">
        <f>IFERROR(VLOOKUP(D1405,MANO_DE_OBRA!A:B,2,FALSE()),"?")</f>
        <v>AYUDANTE</v>
      </c>
      <c r="F1405" s="44" t="s">
        <v>2778</v>
      </c>
      <c r="G1405" s="45">
        <v>0.75</v>
      </c>
      <c r="H1405" s="46">
        <v>0</v>
      </c>
      <c r="I1405" s="47">
        <f>IFERROR(VLOOKUP(D1405,MANO_DE_OBRA!A:C,3,FALSE()),0)</f>
        <v>60860.580776572002</v>
      </c>
      <c r="J1405" s="42">
        <f>G1405*I1405</f>
        <v>45645.435582429003</v>
      </c>
      <c r="K1405" s="15" t="str">
        <f t="shared" si="148"/>
        <v>PTO-1701|MO</v>
      </c>
      <c r="L1405" s="15">
        <f>COUNTIFS($K$2:K1405,K1405)</f>
        <v>1</v>
      </c>
      <c r="M1405" s="15" t="str">
        <f t="shared" si="149"/>
        <v>PTO-1701|MO|1</v>
      </c>
      <c r="N1405" s="47">
        <f>IFERROR(VLOOKUP(A1405,PARTIDAS!A:F,6,FALSE()),0)</f>
        <v>2</v>
      </c>
      <c r="O1405" s="247">
        <f t="shared" si="150"/>
        <v>0.375</v>
      </c>
      <c r="P1405" s="247">
        <f>+_xlfn.XLOOKUP(A1405,PPTO_GENERADOR!Q:Q,PPTO_GENERADOR!E:E,"-",0)</f>
        <v>57</v>
      </c>
      <c r="Q1405" s="247">
        <f t="shared" si="151"/>
        <v>21.375</v>
      </c>
      <c r="R1405" s="259">
        <f>+_xlfn.XLOOKUP(A1405,PPTO_GENERADOR!$Q:$Q,PPTO_GENERADOR!A:A,"-",0)</f>
        <v>17.010000000000002</v>
      </c>
    </row>
    <row r="1406" spans="1:18" ht="14.25" customHeight="1" x14ac:dyDescent="0.35">
      <c r="A1406" s="38" t="s">
        <v>255</v>
      </c>
      <c r="B1406" s="38" t="s">
        <v>2776</v>
      </c>
      <c r="C1406" s="38" t="s">
        <v>2777</v>
      </c>
      <c r="D1406" s="237" t="s">
        <v>1568</v>
      </c>
      <c r="E1406" s="44" t="str">
        <f>IFERROR(VLOOKUP(D1406,MANO_DE_OBRA!A:B,2,FALSE()),"?")</f>
        <v>ESPECIALIZADO</v>
      </c>
      <c r="F1406" s="44" t="s">
        <v>2778</v>
      </c>
      <c r="G1406" s="45">
        <v>0.75</v>
      </c>
      <c r="H1406" s="46">
        <v>0</v>
      </c>
      <c r="I1406" s="47">
        <f>IFERROR(VLOOKUP(D1406,MANO_DE_OBRA!A:C,3,FALSE()),0)</f>
        <v>85927.097156571996</v>
      </c>
      <c r="J1406" s="42">
        <f>G1406*I1406</f>
        <v>64445.322867429</v>
      </c>
      <c r="K1406" s="15" t="str">
        <f t="shared" si="148"/>
        <v>PTO-1701|MO</v>
      </c>
      <c r="L1406" s="15">
        <f>COUNTIFS($K$2:K1406,K1406)</f>
        <v>2</v>
      </c>
      <c r="M1406" s="15" t="str">
        <f t="shared" si="149"/>
        <v>PTO-1701|MO|2</v>
      </c>
      <c r="N1406" s="47">
        <f>IFERROR(VLOOKUP(A1406,PARTIDAS!A:F,6,FALSE()),0)</f>
        <v>2</v>
      </c>
      <c r="O1406" s="247">
        <f t="shared" si="150"/>
        <v>0.375</v>
      </c>
      <c r="P1406" s="247">
        <f>+_xlfn.XLOOKUP(A1406,PPTO_GENERADOR!Q:Q,PPTO_GENERADOR!E:E,"-",0)</f>
        <v>57</v>
      </c>
      <c r="Q1406" s="247">
        <f t="shared" si="151"/>
        <v>21.375</v>
      </c>
      <c r="R1406" s="259">
        <f>+_xlfn.XLOOKUP(A1406,PPTO_GENERADOR!$Q:$Q,PPTO_GENERADOR!A:A,"-",0)</f>
        <v>17.010000000000002</v>
      </c>
    </row>
    <row r="1407" spans="1:18" ht="14.25" customHeight="1" x14ac:dyDescent="0.35">
      <c r="A1407" s="38" t="s">
        <v>257</v>
      </c>
      <c r="B1407" s="38" t="s">
        <v>2773</v>
      </c>
      <c r="C1407" s="38"/>
      <c r="D1407" s="38" t="s">
        <v>1595</v>
      </c>
      <c r="E1407" s="44" t="str">
        <f>IFERROR(VLOOKUP(D1407,EQUIPOS!A:B,2,FALSE()),"?")</f>
        <v>EQUIPO DE ALBAÑILERIA, carpetas, ladrillo</v>
      </c>
      <c r="F1407" s="44"/>
      <c r="G1407" s="45">
        <v>0.25</v>
      </c>
      <c r="H1407" s="46">
        <v>0</v>
      </c>
      <c r="I1407" s="47">
        <f>IFERROR(VLOOKUP(D1407,EQUIPOS!A:F,6,FALSE()),0)</f>
        <v>2287.1357450968057</v>
      </c>
      <c r="J1407" s="42">
        <f>G1407*I1407</f>
        <v>571.78393627420144</v>
      </c>
      <c r="K1407" s="15" t="str">
        <f t="shared" si="148"/>
        <v>PTO-1702|EQ</v>
      </c>
      <c r="L1407" s="15">
        <f>COUNTIFS($K$2:K1407,K1407)</f>
        <v>1</v>
      </c>
      <c r="M1407" s="15" t="str">
        <f t="shared" si="149"/>
        <v>PTO-1702|EQ|1</v>
      </c>
      <c r="N1407" s="47">
        <f>IFERROR(VLOOKUP(A1407,PARTIDAS!A:F,6,FALSE()),0)</f>
        <v>2</v>
      </c>
      <c r="O1407" s="247">
        <f t="shared" si="150"/>
        <v>0.25</v>
      </c>
      <c r="P1407" s="247">
        <f>+_xlfn.XLOOKUP(A1407,PPTO_GENERADOR!Q:Q,PPTO_GENERADOR!E:E,"-",0)</f>
        <v>11</v>
      </c>
      <c r="Q1407" s="247">
        <f t="shared" si="151"/>
        <v>2.75</v>
      </c>
      <c r="R1407" s="259">
        <f>+_xlfn.XLOOKUP(A1407,PPTO_GENERADOR!$Q:$Q,PPTO_GENERADOR!A:A,"-",0)</f>
        <v>17.02</v>
      </c>
    </row>
    <row r="1408" spans="1:18" ht="14.25" customHeight="1" x14ac:dyDescent="0.35">
      <c r="A1408" s="38" t="s">
        <v>257</v>
      </c>
      <c r="B1408" s="38" t="s">
        <v>2773</v>
      </c>
      <c r="C1408" s="38"/>
      <c r="D1408" s="38" t="s">
        <v>1613</v>
      </c>
      <c r="E1408" s="44" t="str">
        <f>IFERROR(VLOOKUP(D1408,EQUIPOS!A:B,2,FALSE()),"?")</f>
        <v>Hormigonera De 150 Litros 1hp Con Rueda Maciza</v>
      </c>
      <c r="F1408" s="44"/>
      <c r="G1408" s="45">
        <v>0.25</v>
      </c>
      <c r="H1408" s="46">
        <v>0</v>
      </c>
      <c r="I1408" s="47">
        <f>IFERROR(VLOOKUP(D1408,EQUIPOS!A:F,6,FALSE()),0)</f>
        <v>957.25319614994726</v>
      </c>
      <c r="J1408" s="42">
        <f>G1408*I1408</f>
        <v>239.31329903748681</v>
      </c>
      <c r="K1408" s="15" t="str">
        <f t="shared" si="148"/>
        <v>PTO-1702|EQ</v>
      </c>
      <c r="L1408" s="15">
        <f>COUNTIFS($K$2:K1408,K1408)</f>
        <v>2</v>
      </c>
      <c r="M1408" s="15" t="str">
        <f t="shared" si="149"/>
        <v>PTO-1702|EQ|2</v>
      </c>
      <c r="N1408" s="47">
        <f>IFERROR(VLOOKUP(A1408,PARTIDAS!A:F,6,FALSE()),0)</f>
        <v>2</v>
      </c>
      <c r="O1408" s="247">
        <f t="shared" si="150"/>
        <v>0.25</v>
      </c>
      <c r="P1408" s="247">
        <f>+_xlfn.XLOOKUP(A1408,PPTO_GENERADOR!Q:Q,PPTO_GENERADOR!E:E,"-",0)</f>
        <v>11</v>
      </c>
      <c r="Q1408" s="247">
        <f t="shared" si="151"/>
        <v>2.75</v>
      </c>
      <c r="R1408" s="259">
        <f>+_xlfn.XLOOKUP(A1408,PPTO_GENERADOR!$Q:$Q,PPTO_GENERADOR!A:A,"-",0)</f>
        <v>17.02</v>
      </c>
    </row>
    <row r="1409" spans="1:18" ht="14.25" customHeight="1" x14ac:dyDescent="0.35">
      <c r="A1409" s="38" t="s">
        <v>257</v>
      </c>
      <c r="B1409" s="38" t="s">
        <v>2774</v>
      </c>
      <c r="C1409" s="38" t="s">
        <v>2775</v>
      </c>
      <c r="D1409" s="38" t="s">
        <v>588</v>
      </c>
      <c r="E1409" s="44" t="str">
        <f>IFERROR(VLOOKUP(D1409,MATERIALES!A:B,2,FALSE()),"?")</f>
        <v>ARENA LAVADA</v>
      </c>
      <c r="F1409" s="44" t="str">
        <f>IFERROR(VLOOKUP(D1409,MATERIALES!A:C,3,FALSE()),"?")</f>
        <v>m3</v>
      </c>
      <c r="G1409" s="45">
        <v>3.5999999999999997E-2</v>
      </c>
      <c r="H1409" s="46">
        <v>0.1</v>
      </c>
      <c r="I1409" s="47">
        <f>IFERROR(VLOOKUP(D1409,MATERIALES!A:D,4,FALSE()),0)</f>
        <v>32399.77</v>
      </c>
      <c r="J1409" s="42">
        <f>G1409*I1409*(1+H1409)</f>
        <v>1283.030892</v>
      </c>
      <c r="K1409" s="15" t="str">
        <f t="shared" si="148"/>
        <v>PTO-1702|MAT</v>
      </c>
      <c r="L1409" s="15">
        <f>COUNTIFS($K$2:K1409,K1409)</f>
        <v>1</v>
      </c>
      <c r="M1409" s="15" t="str">
        <f t="shared" si="149"/>
        <v>PTO-1702|MAT|1</v>
      </c>
      <c r="N1409" s="47">
        <f>IFERROR(VLOOKUP(A1409,PARTIDAS!A:F,6,FALSE()),0)</f>
        <v>2</v>
      </c>
      <c r="O1409" s="247">
        <f t="shared" si="150"/>
        <v>3.5999999999999997E-2</v>
      </c>
      <c r="P1409" s="247">
        <f>+_xlfn.XLOOKUP(A1409,PPTO_GENERADOR!Q:Q,PPTO_GENERADOR!E:E,"-",0)</f>
        <v>11</v>
      </c>
      <c r="Q1409" s="247">
        <f t="shared" si="151"/>
        <v>0.39599999999999996</v>
      </c>
      <c r="R1409" s="259">
        <f>+_xlfn.XLOOKUP(A1409,PPTO_GENERADOR!$Q:$Q,PPTO_GENERADOR!A:A,"-",0)</f>
        <v>17.02</v>
      </c>
    </row>
    <row r="1410" spans="1:18" ht="14.25" customHeight="1" x14ac:dyDescent="0.35">
      <c r="A1410" s="38" t="s">
        <v>257</v>
      </c>
      <c r="B1410" s="38" t="s">
        <v>2774</v>
      </c>
      <c r="C1410" s="38" t="s">
        <v>2775</v>
      </c>
      <c r="D1410" s="38" t="s">
        <v>599</v>
      </c>
      <c r="E1410" s="44" t="str">
        <f>IFERROR(VLOOKUP(D1410,MATERIALES!A:B,2,FALSE()),"?")</f>
        <v>Cemento Portland x 50kg</v>
      </c>
      <c r="F1410" s="44" t="str">
        <f>IFERROR(VLOOKUP(D1410,MATERIALES!A:C,3,FALSE()),"?")</f>
        <v>Bol</v>
      </c>
      <c r="G1410" s="45">
        <v>0.32400000000000001</v>
      </c>
      <c r="H1410" s="46">
        <v>0.1</v>
      </c>
      <c r="I1410" s="47">
        <f>IFERROR(VLOOKUP(D1410,MATERIALES!A:D,4,FALSE()),0)</f>
        <v>7809.48</v>
      </c>
      <c r="J1410" s="42">
        <f>G1410*I1410*(1+H1410)</f>
        <v>2783.2986719999999</v>
      </c>
      <c r="K1410" s="15" t="str">
        <f t="shared" ref="K1410:K1473" si="155">A1410&amp;"|"&amp;B1410</f>
        <v>PTO-1702|MAT</v>
      </c>
      <c r="L1410" s="15">
        <f>COUNTIFS($K$2:K1410,K1410)</f>
        <v>2</v>
      </c>
      <c r="M1410" s="15" t="str">
        <f t="shared" ref="M1410:M1473" si="156">K1410&amp;"|"&amp;L1410</f>
        <v>PTO-1702|MAT|2</v>
      </c>
      <c r="N1410" s="47">
        <f>IFERROR(VLOOKUP(A1410,PARTIDAS!A:F,6,FALSE()),0)</f>
        <v>2</v>
      </c>
      <c r="O1410" s="247">
        <f t="shared" si="150"/>
        <v>0.32400000000000001</v>
      </c>
      <c r="P1410" s="247">
        <f>+_xlfn.XLOOKUP(A1410,PPTO_GENERADOR!Q:Q,PPTO_GENERADOR!E:E,"-",0)</f>
        <v>11</v>
      </c>
      <c r="Q1410" s="247">
        <f t="shared" si="151"/>
        <v>3.5640000000000001</v>
      </c>
      <c r="R1410" s="259">
        <f>+_xlfn.XLOOKUP(A1410,PPTO_GENERADOR!$Q:$Q,PPTO_GENERADOR!A:A,"-",0)</f>
        <v>17.02</v>
      </c>
    </row>
    <row r="1411" spans="1:18" ht="14.25" customHeight="1" x14ac:dyDescent="0.35">
      <c r="A1411" s="38" t="s">
        <v>257</v>
      </c>
      <c r="B1411" s="38" t="s">
        <v>2776</v>
      </c>
      <c r="C1411" s="38" t="s">
        <v>2777</v>
      </c>
      <c r="D1411" s="237" t="s">
        <v>1577</v>
      </c>
      <c r="E1411" s="44" t="str">
        <f>IFERROR(VLOOKUP(D1411,MANO_DE_OBRA!A:B,2,FALSE()),"?")</f>
        <v>AYUDANTE</v>
      </c>
      <c r="F1411" s="44" t="s">
        <v>2778</v>
      </c>
      <c r="G1411" s="45">
        <v>0.75</v>
      </c>
      <c r="H1411" s="46">
        <v>0</v>
      </c>
      <c r="I1411" s="47">
        <f>IFERROR(VLOOKUP(D1411,MANO_DE_OBRA!A:C,3,FALSE()),0)</f>
        <v>60860.580776572002</v>
      </c>
      <c r="J1411" s="42">
        <f>G1411*I1411</f>
        <v>45645.435582429003</v>
      </c>
      <c r="K1411" s="15" t="str">
        <f t="shared" si="155"/>
        <v>PTO-1702|MO</v>
      </c>
      <c r="L1411" s="15">
        <f>COUNTIFS($K$2:K1411,K1411)</f>
        <v>1</v>
      </c>
      <c r="M1411" s="15" t="str">
        <f t="shared" si="156"/>
        <v>PTO-1702|MO|1</v>
      </c>
      <c r="N1411" s="47">
        <f>IFERROR(VLOOKUP(A1411,PARTIDAS!A:F,6,FALSE()),0)</f>
        <v>2</v>
      </c>
      <c r="O1411" s="247">
        <f t="shared" ref="O1411:O1474" si="157">+IF(C1411="ALB",G1411/N1411,G1411)</f>
        <v>0.375</v>
      </c>
      <c r="P1411" s="247">
        <f>+_xlfn.XLOOKUP(A1411,PPTO_GENERADOR!Q:Q,PPTO_GENERADOR!E:E,"-",0)</f>
        <v>11</v>
      </c>
      <c r="Q1411" s="247">
        <f t="shared" ref="Q1411:Q1474" si="158">IFERROR(P1411*O1411,0)</f>
        <v>4.125</v>
      </c>
      <c r="R1411" s="259">
        <f>+_xlfn.XLOOKUP(A1411,PPTO_GENERADOR!$Q:$Q,PPTO_GENERADOR!A:A,"-",0)</f>
        <v>17.02</v>
      </c>
    </row>
    <row r="1412" spans="1:18" ht="14.25" customHeight="1" x14ac:dyDescent="0.35">
      <c r="A1412" s="38" t="s">
        <v>257</v>
      </c>
      <c r="B1412" s="38" t="s">
        <v>2776</v>
      </c>
      <c r="C1412" s="38" t="s">
        <v>2777</v>
      </c>
      <c r="D1412" s="237" t="s">
        <v>1568</v>
      </c>
      <c r="E1412" s="44" t="str">
        <f>IFERROR(VLOOKUP(D1412,MANO_DE_OBRA!A:B,2,FALSE()),"?")</f>
        <v>ESPECIALIZADO</v>
      </c>
      <c r="F1412" s="44" t="s">
        <v>2778</v>
      </c>
      <c r="G1412" s="45">
        <v>0.75</v>
      </c>
      <c r="H1412" s="46">
        <v>0</v>
      </c>
      <c r="I1412" s="47">
        <f>IFERROR(VLOOKUP(D1412,MANO_DE_OBRA!A:C,3,FALSE()),0)</f>
        <v>85927.097156571996</v>
      </c>
      <c r="J1412" s="42">
        <f>G1412*I1412</f>
        <v>64445.322867429</v>
      </c>
      <c r="K1412" s="15" t="str">
        <f t="shared" si="155"/>
        <v>PTO-1702|MO</v>
      </c>
      <c r="L1412" s="15">
        <f>COUNTIFS($K$2:K1412,K1412)</f>
        <v>2</v>
      </c>
      <c r="M1412" s="15" t="str">
        <f t="shared" si="156"/>
        <v>PTO-1702|MO|2</v>
      </c>
      <c r="N1412" s="47">
        <f>IFERROR(VLOOKUP(A1412,PARTIDAS!A:F,6,FALSE()),0)</f>
        <v>2</v>
      </c>
      <c r="O1412" s="247">
        <f t="shared" si="157"/>
        <v>0.375</v>
      </c>
      <c r="P1412" s="247">
        <f>+_xlfn.XLOOKUP(A1412,PPTO_GENERADOR!Q:Q,PPTO_GENERADOR!E:E,"-",0)</f>
        <v>11</v>
      </c>
      <c r="Q1412" s="247">
        <f t="shared" si="158"/>
        <v>4.125</v>
      </c>
      <c r="R1412" s="259">
        <f>+_xlfn.XLOOKUP(A1412,PPTO_GENERADOR!$Q:$Q,PPTO_GENERADOR!A:A,"-",0)</f>
        <v>17.02</v>
      </c>
    </row>
    <row r="1413" spans="1:18" ht="14.25" customHeight="1" x14ac:dyDescent="0.35">
      <c r="A1413" s="38" t="s">
        <v>259</v>
      </c>
      <c r="B1413" s="38" t="s">
        <v>2773</v>
      </c>
      <c r="C1413" s="38"/>
      <c r="D1413" s="38" t="s">
        <v>1595</v>
      </c>
      <c r="E1413" s="44" t="str">
        <f>IFERROR(VLOOKUP(D1413,EQUIPOS!A:B,2,FALSE()),"?")</f>
        <v>EQUIPO DE ALBAÑILERIA, carpetas, ladrillo</v>
      </c>
      <c r="F1413" s="44"/>
      <c r="G1413" s="45">
        <v>0.25</v>
      </c>
      <c r="H1413" s="46">
        <v>0</v>
      </c>
      <c r="I1413" s="47">
        <f>IFERROR(VLOOKUP(D1413,EQUIPOS!A:F,6,FALSE()),0)</f>
        <v>2287.1357450968057</v>
      </c>
      <c r="J1413" s="42">
        <f>G1413*I1413</f>
        <v>571.78393627420144</v>
      </c>
      <c r="K1413" s="15" t="str">
        <f t="shared" si="155"/>
        <v>PTO-1703|EQ</v>
      </c>
      <c r="L1413" s="15">
        <f>COUNTIFS($K$2:K1413,K1413)</f>
        <v>1</v>
      </c>
      <c r="M1413" s="15" t="str">
        <f t="shared" si="156"/>
        <v>PTO-1703|EQ|1</v>
      </c>
      <c r="N1413" s="47">
        <f>IFERROR(VLOOKUP(A1413,PARTIDAS!A:F,6,FALSE()),0)</f>
        <v>4</v>
      </c>
      <c r="O1413" s="247">
        <f t="shared" si="157"/>
        <v>0.25</v>
      </c>
      <c r="P1413" s="247">
        <f>+_xlfn.XLOOKUP(A1413,PPTO_GENERADOR!Q:Q,PPTO_GENERADOR!E:E,"-",0)</f>
        <v>65</v>
      </c>
      <c r="Q1413" s="247">
        <f t="shared" si="158"/>
        <v>16.25</v>
      </c>
      <c r="R1413" s="259">
        <f>+_xlfn.XLOOKUP(A1413,PPTO_GENERADOR!$Q:$Q,PPTO_GENERADOR!A:A,"-",0)</f>
        <v>17.03</v>
      </c>
    </row>
    <row r="1414" spans="1:18" ht="14.25" customHeight="1" x14ac:dyDescent="0.35">
      <c r="A1414" s="38" t="s">
        <v>259</v>
      </c>
      <c r="B1414" s="38" t="s">
        <v>2773</v>
      </c>
      <c r="C1414" s="38"/>
      <c r="D1414" s="38" t="s">
        <v>1613</v>
      </c>
      <c r="E1414" s="44" t="str">
        <f>IFERROR(VLOOKUP(D1414,EQUIPOS!A:B,2,FALSE()),"?")</f>
        <v>Hormigonera De 150 Litros 1hp Con Rueda Maciza</v>
      </c>
      <c r="F1414" s="44"/>
      <c r="G1414" s="45">
        <v>0.25</v>
      </c>
      <c r="H1414" s="46">
        <v>0</v>
      </c>
      <c r="I1414" s="47">
        <f>IFERROR(VLOOKUP(D1414,EQUIPOS!A:F,6,FALSE()),0)</f>
        <v>957.25319614994726</v>
      </c>
      <c r="J1414" s="42">
        <f>G1414*I1414</f>
        <v>239.31329903748681</v>
      </c>
      <c r="K1414" s="15" t="str">
        <f t="shared" si="155"/>
        <v>PTO-1703|EQ</v>
      </c>
      <c r="L1414" s="15">
        <f>COUNTIFS($K$2:K1414,K1414)</f>
        <v>2</v>
      </c>
      <c r="M1414" s="15" t="str">
        <f t="shared" si="156"/>
        <v>PTO-1703|EQ|2</v>
      </c>
      <c r="N1414" s="47">
        <f>IFERROR(VLOOKUP(A1414,PARTIDAS!A:F,6,FALSE()),0)</f>
        <v>4</v>
      </c>
      <c r="O1414" s="247">
        <f t="shared" si="157"/>
        <v>0.25</v>
      </c>
      <c r="P1414" s="247">
        <f>+_xlfn.XLOOKUP(A1414,PPTO_GENERADOR!Q:Q,PPTO_GENERADOR!E:E,"-",0)</f>
        <v>65</v>
      </c>
      <c r="Q1414" s="247">
        <f t="shared" si="158"/>
        <v>16.25</v>
      </c>
      <c r="R1414" s="259">
        <f>+_xlfn.XLOOKUP(A1414,PPTO_GENERADOR!$Q:$Q,PPTO_GENERADOR!A:A,"-",0)</f>
        <v>17.03</v>
      </c>
    </row>
    <row r="1415" spans="1:18" ht="14.25" customHeight="1" x14ac:dyDescent="0.35">
      <c r="A1415" s="38" t="s">
        <v>259</v>
      </c>
      <c r="B1415" s="38" t="s">
        <v>2774</v>
      </c>
      <c r="C1415" s="38" t="s">
        <v>2775</v>
      </c>
      <c r="D1415" s="38" t="s">
        <v>588</v>
      </c>
      <c r="E1415" s="44" t="str">
        <f>IFERROR(VLOOKUP(D1415,MATERIALES!A:B,2,FALSE()),"?")</f>
        <v>ARENA LAVADA</v>
      </c>
      <c r="F1415" s="44" t="str">
        <f>IFERROR(VLOOKUP(D1415,MATERIALES!A:C,3,FALSE()),"?")</f>
        <v>m3</v>
      </c>
      <c r="G1415" s="45">
        <v>1.38E-2</v>
      </c>
      <c r="H1415" s="46">
        <v>0.05</v>
      </c>
      <c r="I1415" s="47">
        <f>IFERROR(VLOOKUP(D1415,MATERIALES!A:D,4,FALSE()),0)</f>
        <v>32399.77</v>
      </c>
      <c r="J1415" s="42">
        <f>G1415*I1415*(1+H1415)</f>
        <v>469.47266730000001</v>
      </c>
      <c r="K1415" s="15" t="str">
        <f t="shared" si="155"/>
        <v>PTO-1703|MAT</v>
      </c>
      <c r="L1415" s="15">
        <f>COUNTIFS($K$2:K1415,K1415)</f>
        <v>1</v>
      </c>
      <c r="M1415" s="15" t="str">
        <f t="shared" si="156"/>
        <v>PTO-1703|MAT|1</v>
      </c>
      <c r="N1415" s="47">
        <f>IFERROR(VLOOKUP(A1415,PARTIDAS!A:F,6,FALSE()),0)</f>
        <v>4</v>
      </c>
      <c r="O1415" s="247">
        <f t="shared" si="157"/>
        <v>1.38E-2</v>
      </c>
      <c r="P1415" s="247">
        <f>+_xlfn.XLOOKUP(A1415,PPTO_GENERADOR!Q:Q,PPTO_GENERADOR!E:E,"-",0)</f>
        <v>65</v>
      </c>
      <c r="Q1415" s="247">
        <f t="shared" si="158"/>
        <v>0.89700000000000002</v>
      </c>
      <c r="R1415" s="259">
        <f>+_xlfn.XLOOKUP(A1415,PPTO_GENERADOR!$Q:$Q,PPTO_GENERADOR!A:A,"-",0)</f>
        <v>17.03</v>
      </c>
    </row>
    <row r="1416" spans="1:18" ht="14.25" customHeight="1" x14ac:dyDescent="0.35">
      <c r="A1416" s="38" t="s">
        <v>259</v>
      </c>
      <c r="B1416" s="38" t="s">
        <v>2774</v>
      </c>
      <c r="C1416" s="38" t="s">
        <v>2775</v>
      </c>
      <c r="D1416" s="38" t="s">
        <v>599</v>
      </c>
      <c r="E1416" s="44" t="str">
        <f>IFERROR(VLOOKUP(D1416,MATERIALES!A:B,2,FALSE()),"?")</f>
        <v>Cemento Portland x 50kg</v>
      </c>
      <c r="F1416" s="44" t="str">
        <f>IFERROR(VLOOKUP(D1416,MATERIALES!A:C,3,FALSE()),"?")</f>
        <v>Bol</v>
      </c>
      <c r="G1416" s="45">
        <v>0.1242</v>
      </c>
      <c r="H1416" s="46">
        <v>0.05</v>
      </c>
      <c r="I1416" s="47">
        <f>IFERROR(VLOOKUP(D1416,MATERIALES!A:D,4,FALSE()),0)</f>
        <v>7809.48</v>
      </c>
      <c r="J1416" s="42">
        <f>G1416*I1416*(1+H1416)</f>
        <v>1018.4342868</v>
      </c>
      <c r="K1416" s="15" t="str">
        <f t="shared" si="155"/>
        <v>PTO-1703|MAT</v>
      </c>
      <c r="L1416" s="15">
        <f>COUNTIFS($K$2:K1416,K1416)</f>
        <v>2</v>
      </c>
      <c r="M1416" s="15" t="str">
        <f t="shared" si="156"/>
        <v>PTO-1703|MAT|2</v>
      </c>
      <c r="N1416" s="47">
        <f>IFERROR(VLOOKUP(A1416,PARTIDAS!A:F,6,FALSE()),0)</f>
        <v>4</v>
      </c>
      <c r="O1416" s="247">
        <f t="shared" si="157"/>
        <v>0.1242</v>
      </c>
      <c r="P1416" s="247">
        <f>+_xlfn.XLOOKUP(A1416,PPTO_GENERADOR!Q:Q,PPTO_GENERADOR!E:E,"-",0)</f>
        <v>65</v>
      </c>
      <c r="Q1416" s="247">
        <f t="shared" si="158"/>
        <v>8.0730000000000004</v>
      </c>
      <c r="R1416" s="259">
        <f>+_xlfn.XLOOKUP(A1416,PPTO_GENERADOR!$Q:$Q,PPTO_GENERADOR!A:A,"-",0)</f>
        <v>17.03</v>
      </c>
    </row>
    <row r="1417" spans="1:18" ht="14.25" customHeight="1" x14ac:dyDescent="0.35">
      <c r="A1417" s="38" t="s">
        <v>259</v>
      </c>
      <c r="B1417" s="38" t="s">
        <v>2776</v>
      </c>
      <c r="C1417" s="38" t="s">
        <v>2777</v>
      </c>
      <c r="D1417" s="237" t="s">
        <v>1577</v>
      </c>
      <c r="E1417" s="44" t="str">
        <f>IFERROR(VLOOKUP(D1417,MANO_DE_OBRA!A:B,2,FALSE()),"?")</f>
        <v>AYUDANTE</v>
      </c>
      <c r="F1417" s="44" t="s">
        <v>2778</v>
      </c>
      <c r="G1417" s="45">
        <v>1</v>
      </c>
      <c r="H1417" s="46">
        <v>0</v>
      </c>
      <c r="I1417" s="47">
        <f>IFERROR(VLOOKUP(D1417,MANO_DE_OBRA!A:C,3,FALSE()),0)</f>
        <v>60860.580776572002</v>
      </c>
      <c r="J1417" s="42">
        <f>G1417*I1417</f>
        <v>60860.580776572002</v>
      </c>
      <c r="K1417" s="15" t="str">
        <f t="shared" si="155"/>
        <v>PTO-1703|MO</v>
      </c>
      <c r="L1417" s="15">
        <f>COUNTIFS($K$2:K1417,K1417)</f>
        <v>1</v>
      </c>
      <c r="M1417" s="15" t="str">
        <f t="shared" si="156"/>
        <v>PTO-1703|MO|1</v>
      </c>
      <c r="N1417" s="47">
        <f>IFERROR(VLOOKUP(A1417,PARTIDAS!A:F,6,FALSE()),0)</f>
        <v>4</v>
      </c>
      <c r="O1417" s="247">
        <f t="shared" si="157"/>
        <v>0.25</v>
      </c>
      <c r="P1417" s="247">
        <f>+_xlfn.XLOOKUP(A1417,PPTO_GENERADOR!Q:Q,PPTO_GENERADOR!E:E,"-",0)</f>
        <v>65</v>
      </c>
      <c r="Q1417" s="247">
        <f t="shared" si="158"/>
        <v>16.25</v>
      </c>
      <c r="R1417" s="259">
        <f>+_xlfn.XLOOKUP(A1417,PPTO_GENERADOR!$Q:$Q,PPTO_GENERADOR!A:A,"-",0)</f>
        <v>17.03</v>
      </c>
    </row>
    <row r="1418" spans="1:18" ht="14.25" customHeight="1" x14ac:dyDescent="0.35">
      <c r="A1418" s="38" t="s">
        <v>259</v>
      </c>
      <c r="B1418" s="38" t="s">
        <v>2776</v>
      </c>
      <c r="C1418" s="38" t="s">
        <v>2777</v>
      </c>
      <c r="D1418" s="237" t="s">
        <v>1568</v>
      </c>
      <c r="E1418" s="44" t="str">
        <f>IFERROR(VLOOKUP(D1418,MANO_DE_OBRA!A:B,2,FALSE()),"?")</f>
        <v>ESPECIALIZADO</v>
      </c>
      <c r="F1418" s="44" t="s">
        <v>2778</v>
      </c>
      <c r="G1418" s="45">
        <v>1</v>
      </c>
      <c r="H1418" s="46">
        <v>0</v>
      </c>
      <c r="I1418" s="47">
        <f>IFERROR(VLOOKUP(D1418,MANO_DE_OBRA!A:C,3,FALSE()),0)</f>
        <v>85927.097156571996</v>
      </c>
      <c r="J1418" s="42">
        <f>G1418*I1418</f>
        <v>85927.097156571996</v>
      </c>
      <c r="K1418" s="15" t="str">
        <f t="shared" si="155"/>
        <v>PTO-1703|MO</v>
      </c>
      <c r="L1418" s="15">
        <f>COUNTIFS($K$2:K1418,K1418)</f>
        <v>2</v>
      </c>
      <c r="M1418" s="15" t="str">
        <f t="shared" si="156"/>
        <v>PTO-1703|MO|2</v>
      </c>
      <c r="N1418" s="47">
        <f>IFERROR(VLOOKUP(A1418,PARTIDAS!A:F,6,FALSE()),0)</f>
        <v>4</v>
      </c>
      <c r="O1418" s="247">
        <f t="shared" si="157"/>
        <v>0.25</v>
      </c>
      <c r="P1418" s="247">
        <f>+_xlfn.XLOOKUP(A1418,PPTO_GENERADOR!Q:Q,PPTO_GENERADOR!E:E,"-",0)</f>
        <v>65</v>
      </c>
      <c r="Q1418" s="247">
        <f t="shared" si="158"/>
        <v>16.25</v>
      </c>
      <c r="R1418" s="259">
        <f>+_xlfn.XLOOKUP(A1418,PPTO_GENERADOR!$Q:$Q,PPTO_GENERADOR!A:A,"-",0)</f>
        <v>17.03</v>
      </c>
    </row>
    <row r="1419" spans="1:18" ht="14.25" customHeight="1" x14ac:dyDescent="0.35">
      <c r="A1419" s="38" t="s">
        <v>261</v>
      </c>
      <c r="B1419" s="38" t="s">
        <v>2773</v>
      </c>
      <c r="C1419" s="38"/>
      <c r="D1419" s="38" t="s">
        <v>1595</v>
      </c>
      <c r="E1419" s="44" t="str">
        <f>IFERROR(VLOOKUP(D1419,EQUIPOS!A:B,2,FALSE()),"?")</f>
        <v>EQUIPO DE ALBAÑILERIA, carpetas, ladrillo</v>
      </c>
      <c r="F1419" s="44"/>
      <c r="G1419" s="45">
        <v>0.25</v>
      </c>
      <c r="H1419" s="46">
        <v>0</v>
      </c>
      <c r="I1419" s="47">
        <f>IFERROR(VLOOKUP(D1419,EQUIPOS!A:F,6,FALSE()),0)</f>
        <v>2287.1357450968057</v>
      </c>
      <c r="J1419" s="42">
        <f>G1419*I1419</f>
        <v>571.78393627420144</v>
      </c>
      <c r="K1419" s="15" t="str">
        <f t="shared" si="155"/>
        <v>PTO-1704|EQ</v>
      </c>
      <c r="L1419" s="15">
        <f>COUNTIFS($K$2:K1419,K1419)</f>
        <v>1</v>
      </c>
      <c r="M1419" s="15" t="str">
        <f t="shared" si="156"/>
        <v>PTO-1704|EQ|1</v>
      </c>
      <c r="N1419" s="47">
        <f>IFERROR(VLOOKUP(A1419,PARTIDAS!A:F,6,FALSE()),0)</f>
        <v>2</v>
      </c>
      <c r="O1419" s="247">
        <f t="shared" si="157"/>
        <v>0.25</v>
      </c>
      <c r="P1419" s="247">
        <f>+_xlfn.XLOOKUP(A1419,PPTO_GENERADOR!Q:Q,PPTO_GENERADOR!E:E,"-",0)</f>
        <v>6</v>
      </c>
      <c r="Q1419" s="247">
        <f t="shared" si="158"/>
        <v>1.5</v>
      </c>
      <c r="R1419" s="259">
        <f>+_xlfn.XLOOKUP(A1419,PPTO_GENERADOR!$Q:$Q,PPTO_GENERADOR!A:A,"-",0)</f>
        <v>17.04</v>
      </c>
    </row>
    <row r="1420" spans="1:18" ht="14.25" customHeight="1" x14ac:dyDescent="0.35">
      <c r="A1420" s="38" t="s">
        <v>261</v>
      </c>
      <c r="B1420" s="38" t="s">
        <v>2773</v>
      </c>
      <c r="C1420" s="38"/>
      <c r="D1420" s="38" t="s">
        <v>1613</v>
      </c>
      <c r="E1420" s="44" t="str">
        <f>IFERROR(VLOOKUP(D1420,EQUIPOS!A:B,2,FALSE()),"?")</f>
        <v>Hormigonera De 150 Litros 1hp Con Rueda Maciza</v>
      </c>
      <c r="F1420" s="44"/>
      <c r="G1420" s="45">
        <v>0.25</v>
      </c>
      <c r="H1420" s="46">
        <v>0</v>
      </c>
      <c r="I1420" s="47">
        <f>IFERROR(VLOOKUP(D1420,EQUIPOS!A:F,6,FALSE()),0)</f>
        <v>957.25319614994726</v>
      </c>
      <c r="J1420" s="42">
        <f>G1420*I1420</f>
        <v>239.31329903748681</v>
      </c>
      <c r="K1420" s="15" t="str">
        <f t="shared" si="155"/>
        <v>PTO-1704|EQ</v>
      </c>
      <c r="L1420" s="15">
        <f>COUNTIFS($K$2:K1420,K1420)</f>
        <v>2</v>
      </c>
      <c r="M1420" s="15" t="str">
        <f t="shared" si="156"/>
        <v>PTO-1704|EQ|2</v>
      </c>
      <c r="N1420" s="47">
        <f>IFERROR(VLOOKUP(A1420,PARTIDAS!A:F,6,FALSE()),0)</f>
        <v>2</v>
      </c>
      <c r="O1420" s="247">
        <f t="shared" si="157"/>
        <v>0.25</v>
      </c>
      <c r="P1420" s="247">
        <f>+_xlfn.XLOOKUP(A1420,PPTO_GENERADOR!Q:Q,PPTO_GENERADOR!E:E,"-",0)</f>
        <v>6</v>
      </c>
      <c r="Q1420" s="247">
        <f t="shared" si="158"/>
        <v>1.5</v>
      </c>
      <c r="R1420" s="259">
        <f>+_xlfn.XLOOKUP(A1420,PPTO_GENERADOR!$Q:$Q,PPTO_GENERADOR!A:A,"-",0)</f>
        <v>17.04</v>
      </c>
    </row>
    <row r="1421" spans="1:18" ht="14.25" customHeight="1" x14ac:dyDescent="0.35">
      <c r="A1421" s="38" t="s">
        <v>261</v>
      </c>
      <c r="B1421" s="38" t="s">
        <v>2774</v>
      </c>
      <c r="C1421" s="38" t="s">
        <v>2775</v>
      </c>
      <c r="D1421" s="38" t="s">
        <v>588</v>
      </c>
      <c r="E1421" s="44" t="str">
        <f>IFERROR(VLOOKUP(D1421,MATERIALES!A:B,2,FALSE()),"?")</f>
        <v>ARENA LAVADA</v>
      </c>
      <c r="F1421" s="44" t="str">
        <f>IFERROR(VLOOKUP(D1421,MATERIALES!A:C,3,FALSE()),"?")</f>
        <v>m3</v>
      </c>
      <c r="G1421" s="45">
        <v>3.5999999999999997E-2</v>
      </c>
      <c r="H1421" s="46">
        <v>0.1</v>
      </c>
      <c r="I1421" s="47">
        <f>IFERROR(VLOOKUP(D1421,MATERIALES!A:D,4,FALSE()),0)</f>
        <v>32399.77</v>
      </c>
      <c r="J1421" s="42">
        <f>G1421*I1421*(1+H1421)</f>
        <v>1283.030892</v>
      </c>
      <c r="K1421" s="15" t="str">
        <f t="shared" si="155"/>
        <v>PTO-1704|MAT</v>
      </c>
      <c r="L1421" s="15">
        <f>COUNTIFS($K$2:K1421,K1421)</f>
        <v>1</v>
      </c>
      <c r="M1421" s="15" t="str">
        <f t="shared" si="156"/>
        <v>PTO-1704|MAT|1</v>
      </c>
      <c r="N1421" s="47">
        <f>IFERROR(VLOOKUP(A1421,PARTIDAS!A:F,6,FALSE()),0)</f>
        <v>2</v>
      </c>
      <c r="O1421" s="247">
        <f t="shared" si="157"/>
        <v>3.5999999999999997E-2</v>
      </c>
      <c r="P1421" s="247">
        <f>+_xlfn.XLOOKUP(A1421,PPTO_GENERADOR!Q:Q,PPTO_GENERADOR!E:E,"-",0)</f>
        <v>6</v>
      </c>
      <c r="Q1421" s="247">
        <f t="shared" si="158"/>
        <v>0.21599999999999997</v>
      </c>
      <c r="R1421" s="259">
        <f>+_xlfn.XLOOKUP(A1421,PPTO_GENERADOR!$Q:$Q,PPTO_GENERADOR!A:A,"-",0)</f>
        <v>17.04</v>
      </c>
    </row>
    <row r="1422" spans="1:18" ht="14.25" customHeight="1" x14ac:dyDescent="0.35">
      <c r="A1422" s="38" t="s">
        <v>261</v>
      </c>
      <c r="B1422" s="38" t="s">
        <v>2774</v>
      </c>
      <c r="C1422" s="38" t="s">
        <v>2775</v>
      </c>
      <c r="D1422" s="38" t="s">
        <v>599</v>
      </c>
      <c r="E1422" s="44" t="str">
        <f>IFERROR(VLOOKUP(D1422,MATERIALES!A:B,2,FALSE()),"?")</f>
        <v>Cemento Portland x 50kg</v>
      </c>
      <c r="F1422" s="44" t="str">
        <f>IFERROR(VLOOKUP(D1422,MATERIALES!A:C,3,FALSE()),"?")</f>
        <v>Bol</v>
      </c>
      <c r="G1422" s="45">
        <v>0.32400000000000001</v>
      </c>
      <c r="H1422" s="46">
        <v>0.1</v>
      </c>
      <c r="I1422" s="47">
        <f>IFERROR(VLOOKUP(D1422,MATERIALES!A:D,4,FALSE()),0)</f>
        <v>7809.48</v>
      </c>
      <c r="J1422" s="42">
        <f>G1422*I1422*(1+H1422)</f>
        <v>2783.2986719999999</v>
      </c>
      <c r="K1422" s="15" t="str">
        <f t="shared" si="155"/>
        <v>PTO-1704|MAT</v>
      </c>
      <c r="L1422" s="15">
        <f>COUNTIFS($K$2:K1422,K1422)</f>
        <v>2</v>
      </c>
      <c r="M1422" s="15" t="str">
        <f t="shared" si="156"/>
        <v>PTO-1704|MAT|2</v>
      </c>
      <c r="N1422" s="47">
        <f>IFERROR(VLOOKUP(A1422,PARTIDAS!A:F,6,FALSE()),0)</f>
        <v>2</v>
      </c>
      <c r="O1422" s="247">
        <f t="shared" si="157"/>
        <v>0.32400000000000001</v>
      </c>
      <c r="P1422" s="247">
        <f>+_xlfn.XLOOKUP(A1422,PPTO_GENERADOR!Q:Q,PPTO_GENERADOR!E:E,"-",0)</f>
        <v>6</v>
      </c>
      <c r="Q1422" s="247">
        <f t="shared" si="158"/>
        <v>1.944</v>
      </c>
      <c r="R1422" s="259">
        <f>+_xlfn.XLOOKUP(A1422,PPTO_GENERADOR!$Q:$Q,PPTO_GENERADOR!A:A,"-",0)</f>
        <v>17.04</v>
      </c>
    </row>
    <row r="1423" spans="1:18" ht="14.25" customHeight="1" x14ac:dyDescent="0.35">
      <c r="A1423" s="38" t="s">
        <v>261</v>
      </c>
      <c r="B1423" s="38" t="s">
        <v>2776</v>
      </c>
      <c r="C1423" s="38" t="s">
        <v>2775</v>
      </c>
      <c r="D1423" s="38" t="s">
        <v>2418</v>
      </c>
      <c r="E1423" s="44" t="str">
        <f>IFERROR(VLOOKUP(D1423,SUBCONTRATOS_PRY!A:B,2,FALSE()),"?")</f>
        <v xml:space="preserve">MO Amure Puertas de Ascensor </v>
      </c>
      <c r="F1423" s="44" t="s">
        <v>2778</v>
      </c>
      <c r="G1423" s="45">
        <v>2</v>
      </c>
      <c r="H1423" s="46">
        <v>0</v>
      </c>
      <c r="I1423" s="47">
        <f>IFERROR(VLOOKUP(D1423,SUBCONTRATOS_PRY!A:D,4,FALSE()),0)</f>
        <v>27522.689612464499</v>
      </c>
      <c r="J1423" s="42">
        <f t="shared" ref="J1423:J1428" si="159">G1423*I1423</f>
        <v>55045.379224928998</v>
      </c>
      <c r="K1423" s="15" t="str">
        <f t="shared" si="155"/>
        <v>PTO-1704|MO</v>
      </c>
      <c r="L1423" s="15">
        <f>COUNTIFS($K$2:K1423,K1423)</f>
        <v>1</v>
      </c>
      <c r="M1423" s="15" t="str">
        <f t="shared" si="156"/>
        <v>PTO-1704|MO|1</v>
      </c>
      <c r="N1423" s="47">
        <f>IFERROR(VLOOKUP(A1423,PARTIDAS!A:F,6,FALSE()),0)</f>
        <v>2</v>
      </c>
      <c r="O1423" s="247">
        <f t="shared" si="157"/>
        <v>2</v>
      </c>
      <c r="P1423" s="247">
        <f>+_xlfn.XLOOKUP(A1423,PPTO_GENERADOR!Q:Q,PPTO_GENERADOR!E:E,"-",0)</f>
        <v>6</v>
      </c>
      <c r="Q1423" s="247">
        <f t="shared" si="158"/>
        <v>12</v>
      </c>
      <c r="R1423" s="259">
        <f>+_xlfn.XLOOKUP(A1423,PPTO_GENERADOR!$Q:$Q,PPTO_GENERADOR!A:A,"-",0)</f>
        <v>17.04</v>
      </c>
    </row>
    <row r="1424" spans="1:18" ht="14.25" customHeight="1" x14ac:dyDescent="0.35">
      <c r="A1424" s="38" t="s">
        <v>261</v>
      </c>
      <c r="B1424" s="38" t="s">
        <v>2776</v>
      </c>
      <c r="C1424" s="38" t="s">
        <v>2777</v>
      </c>
      <c r="D1424" s="237" t="s">
        <v>1577</v>
      </c>
      <c r="E1424" s="44" t="str">
        <f>IFERROR(VLOOKUP(D1424,MANO_DE_OBRA!A:B,2,FALSE()),"?")</f>
        <v>AYUDANTE</v>
      </c>
      <c r="F1424" s="44" t="s">
        <v>2778</v>
      </c>
      <c r="G1424" s="45">
        <v>0.75</v>
      </c>
      <c r="H1424" s="46">
        <v>0</v>
      </c>
      <c r="I1424" s="47">
        <f>IFERROR(VLOOKUP(D1424,MANO_DE_OBRA!A:C,3,FALSE()),0)</f>
        <v>60860.580776572002</v>
      </c>
      <c r="J1424" s="42">
        <f t="shared" si="159"/>
        <v>45645.435582429003</v>
      </c>
      <c r="K1424" s="15" t="str">
        <f t="shared" si="155"/>
        <v>PTO-1704|MO</v>
      </c>
      <c r="L1424" s="15">
        <f>COUNTIFS($K$2:K1424,K1424)</f>
        <v>2</v>
      </c>
      <c r="M1424" s="15" t="str">
        <f t="shared" si="156"/>
        <v>PTO-1704|MO|2</v>
      </c>
      <c r="N1424" s="47">
        <f>IFERROR(VLOOKUP(A1424,PARTIDAS!A:F,6,FALSE()),0)</f>
        <v>2</v>
      </c>
      <c r="O1424" s="247">
        <f t="shared" si="157"/>
        <v>0.375</v>
      </c>
      <c r="P1424" s="247">
        <f>+_xlfn.XLOOKUP(A1424,PPTO_GENERADOR!Q:Q,PPTO_GENERADOR!E:E,"-",0)</f>
        <v>6</v>
      </c>
      <c r="Q1424" s="247">
        <f t="shared" si="158"/>
        <v>2.25</v>
      </c>
      <c r="R1424" s="259">
        <f>+_xlfn.XLOOKUP(A1424,PPTO_GENERADOR!$Q:$Q,PPTO_GENERADOR!A:A,"-",0)</f>
        <v>17.04</v>
      </c>
    </row>
    <row r="1425" spans="1:18" ht="14.25" customHeight="1" x14ac:dyDescent="0.35">
      <c r="A1425" s="38" t="s">
        <v>261</v>
      </c>
      <c r="B1425" s="38" t="s">
        <v>2776</v>
      </c>
      <c r="C1425" s="38" t="s">
        <v>2777</v>
      </c>
      <c r="D1425" s="237" t="s">
        <v>1568</v>
      </c>
      <c r="E1425" s="44" t="str">
        <f>IFERROR(VLOOKUP(D1425,MANO_DE_OBRA!A:B,2,FALSE()),"?")</f>
        <v>ESPECIALIZADO</v>
      </c>
      <c r="F1425" s="44" t="s">
        <v>2778</v>
      </c>
      <c r="G1425" s="45">
        <v>0.75</v>
      </c>
      <c r="H1425" s="46">
        <v>0</v>
      </c>
      <c r="I1425" s="47">
        <f>IFERROR(VLOOKUP(D1425,MANO_DE_OBRA!A:C,3,FALSE()),0)</f>
        <v>85927.097156571996</v>
      </c>
      <c r="J1425" s="42">
        <f t="shared" si="159"/>
        <v>64445.322867429</v>
      </c>
      <c r="K1425" s="15" t="str">
        <f t="shared" si="155"/>
        <v>PTO-1704|MO</v>
      </c>
      <c r="L1425" s="15">
        <f>COUNTIFS($K$2:K1425,K1425)</f>
        <v>3</v>
      </c>
      <c r="M1425" s="15" t="str">
        <f t="shared" si="156"/>
        <v>PTO-1704|MO|3</v>
      </c>
      <c r="N1425" s="47">
        <f>IFERROR(VLOOKUP(A1425,PARTIDAS!A:F,6,FALSE()),0)</f>
        <v>2</v>
      </c>
      <c r="O1425" s="247">
        <f t="shared" si="157"/>
        <v>0.375</v>
      </c>
      <c r="P1425" s="247">
        <f>+_xlfn.XLOOKUP(A1425,PPTO_GENERADOR!Q:Q,PPTO_GENERADOR!E:E,"-",0)</f>
        <v>6</v>
      </c>
      <c r="Q1425" s="247">
        <f t="shared" si="158"/>
        <v>2.25</v>
      </c>
      <c r="R1425" s="259">
        <f>+_xlfn.XLOOKUP(A1425,PPTO_GENERADOR!$Q:$Q,PPTO_GENERADOR!A:A,"-",0)</f>
        <v>17.04</v>
      </c>
    </row>
    <row r="1426" spans="1:18" ht="14.25" customHeight="1" x14ac:dyDescent="0.35">
      <c r="A1426" s="38" t="s">
        <v>264</v>
      </c>
      <c r="B1426" s="38" t="s">
        <v>2773</v>
      </c>
      <c r="C1426" s="38"/>
      <c r="D1426" s="38" t="s">
        <v>1592</v>
      </c>
      <c r="E1426" s="44" t="str">
        <f>IFERROR(VLOOKUP(D1426,EQUIPOS!A:B,2,FALSE()),"?")</f>
        <v>ANDAMIO TUBULAR DE UNO A TRES CUERPOS</v>
      </c>
      <c r="F1426" s="44"/>
      <c r="G1426" s="45">
        <v>0.5</v>
      </c>
      <c r="H1426" s="46">
        <v>0</v>
      </c>
      <c r="I1426" s="47">
        <f>IFERROR(VLOOKUP(D1426,EQUIPOS!A:F,6,FALSE()),0)</f>
        <v>571.1794909807611</v>
      </c>
      <c r="J1426" s="42">
        <f t="shared" si="159"/>
        <v>285.58974549038055</v>
      </c>
      <c r="K1426" s="15" t="str">
        <f t="shared" si="155"/>
        <v>PTO-1801|EQ</v>
      </c>
      <c r="L1426" s="15">
        <f>COUNTIFS($K$2:K1426,K1426)</f>
        <v>1</v>
      </c>
      <c r="M1426" s="15" t="str">
        <f t="shared" si="156"/>
        <v>PTO-1801|EQ|1</v>
      </c>
      <c r="N1426" s="47">
        <f>IFERROR(VLOOKUP(A1426,PARTIDAS!A:F,6,FALSE()),0)</f>
        <v>3.25</v>
      </c>
      <c r="O1426" s="247">
        <f t="shared" si="157"/>
        <v>0.5</v>
      </c>
      <c r="P1426" s="247">
        <f>+_xlfn.XLOOKUP(A1426,PPTO_GENERADOR!Q:Q,PPTO_GENERADOR!E:E,"-",0)</f>
        <v>260</v>
      </c>
      <c r="Q1426" s="247">
        <f t="shared" si="158"/>
        <v>130</v>
      </c>
      <c r="R1426" s="259">
        <f>+_xlfn.XLOOKUP(A1426,PPTO_GENERADOR!$Q:$Q,PPTO_GENERADOR!A:A,"-",0)</f>
        <v>18.010000000000002</v>
      </c>
    </row>
    <row r="1427" spans="1:18" ht="14.25" customHeight="1" x14ac:dyDescent="0.35">
      <c r="A1427" s="38" t="s">
        <v>264</v>
      </c>
      <c r="B1427" s="38" t="s">
        <v>2773</v>
      </c>
      <c r="C1427" s="38"/>
      <c r="D1427" s="38" t="s">
        <v>1601</v>
      </c>
      <c r="E1427" s="44" t="str">
        <f>IFERROR(VLOOKUP(D1427,EQUIPOS!A:B,2,FALSE()),"?")</f>
        <v>EQUIPO PARA INSTALACION ELECTRICA</v>
      </c>
      <c r="F1427" s="44"/>
      <c r="G1427" s="45">
        <v>1</v>
      </c>
      <c r="H1427" s="46">
        <v>0</v>
      </c>
      <c r="I1427" s="47">
        <f>IFERROR(VLOOKUP(D1427,EQUIPOS!A:F,6,FALSE()),0)</f>
        <v>5063.0947914732405</v>
      </c>
      <c r="J1427" s="42">
        <f t="shared" si="159"/>
        <v>5063.0947914732405</v>
      </c>
      <c r="K1427" s="15" t="str">
        <f t="shared" si="155"/>
        <v>PTO-1801|EQ</v>
      </c>
      <c r="L1427" s="15">
        <f>COUNTIFS($K$2:K1427,K1427)</f>
        <v>2</v>
      </c>
      <c r="M1427" s="15" t="str">
        <f t="shared" si="156"/>
        <v>PTO-1801|EQ|2</v>
      </c>
      <c r="N1427" s="47">
        <f>IFERROR(VLOOKUP(A1427,PARTIDAS!A:F,6,FALSE()),0)</f>
        <v>3.25</v>
      </c>
      <c r="O1427" s="247">
        <f t="shared" si="157"/>
        <v>1</v>
      </c>
      <c r="P1427" s="247">
        <f>+_xlfn.XLOOKUP(A1427,PPTO_GENERADOR!Q:Q,PPTO_GENERADOR!E:E,"-",0)</f>
        <v>260</v>
      </c>
      <c r="Q1427" s="247">
        <f t="shared" si="158"/>
        <v>260</v>
      </c>
      <c r="R1427" s="259">
        <f>+_xlfn.XLOOKUP(A1427,PPTO_GENERADOR!$Q:$Q,PPTO_GENERADOR!A:A,"-",0)</f>
        <v>18.010000000000002</v>
      </c>
    </row>
    <row r="1428" spans="1:18" ht="14.25" customHeight="1" x14ac:dyDescent="0.35">
      <c r="A1428" s="38" t="s">
        <v>264</v>
      </c>
      <c r="B1428" s="38" t="s">
        <v>2773</v>
      </c>
      <c r="C1428" s="38"/>
      <c r="D1428" s="38" t="s">
        <v>1622</v>
      </c>
      <c r="E1428" s="44" t="str">
        <f>IFERROR(VLOOKUP(D1428,EQUIPOS!A:B,2,FALSE()),"?")</f>
        <v>ESCALERA GLOSS ALUMINIO ARTICULADA 4 X 4 ESCALONES HASTA 150KG</v>
      </c>
      <c r="F1428" s="44"/>
      <c r="G1428" s="45">
        <v>0.5</v>
      </c>
      <c r="H1428" s="46">
        <v>0</v>
      </c>
      <c r="I1428" s="47">
        <f>IFERROR(VLOOKUP(D1428,EQUIPOS!A:F,6,FALSE()),0)</f>
        <v>140.19809259430903</v>
      </c>
      <c r="J1428" s="42">
        <f t="shared" si="159"/>
        <v>70.099046297154516</v>
      </c>
      <c r="K1428" s="15" t="str">
        <f t="shared" si="155"/>
        <v>PTO-1801|EQ</v>
      </c>
      <c r="L1428" s="15">
        <f>COUNTIFS($K$2:K1428,K1428)</f>
        <v>3</v>
      </c>
      <c r="M1428" s="15" t="str">
        <f t="shared" si="156"/>
        <v>PTO-1801|EQ|3</v>
      </c>
      <c r="N1428" s="47">
        <f>IFERROR(VLOOKUP(A1428,PARTIDAS!A:F,6,FALSE()),0)</f>
        <v>3.25</v>
      </c>
      <c r="O1428" s="247">
        <f t="shared" si="157"/>
        <v>0.5</v>
      </c>
      <c r="P1428" s="247">
        <f>+_xlfn.XLOOKUP(A1428,PPTO_GENERADOR!Q:Q,PPTO_GENERADOR!E:E,"-",0)</f>
        <v>260</v>
      </c>
      <c r="Q1428" s="247">
        <f t="shared" si="158"/>
        <v>130</v>
      </c>
      <c r="R1428" s="259">
        <f>+_xlfn.XLOOKUP(A1428,PPTO_GENERADOR!$Q:$Q,PPTO_GENERADOR!A:A,"-",0)</f>
        <v>18.010000000000002</v>
      </c>
    </row>
    <row r="1429" spans="1:18" ht="14.25" customHeight="1" x14ac:dyDescent="0.35">
      <c r="A1429" s="38" t="s">
        <v>264</v>
      </c>
      <c r="B1429" s="38" t="s">
        <v>2774</v>
      </c>
      <c r="C1429" s="38" t="s">
        <v>2775</v>
      </c>
      <c r="D1429" s="38" t="s">
        <v>1361</v>
      </c>
      <c r="E1429" s="44" t="str">
        <f>IFERROR(VLOOKUP(D1429,MATERIALES!A:B,2,FALSE()),"?")</f>
        <v>Consumibles</v>
      </c>
      <c r="F1429" s="44" t="str">
        <f>IFERROR(VLOOKUP(D1429,MATERIALES!A:C,3,FALSE()),"?")</f>
        <v>gl</v>
      </c>
      <c r="G1429" s="45">
        <v>3530.1140378925602</v>
      </c>
      <c r="H1429" s="46">
        <v>0</v>
      </c>
      <c r="I1429" s="47">
        <f>IFERROR(VLOOKUP(D1429,MATERIALES!A:D,4,FALSE()),0)</f>
        <v>1</v>
      </c>
      <c r="J1429" s="42">
        <f t="shared" ref="J1429:J1437" si="160">G1429*I1429*(1+H1429)</f>
        <v>3530.1140378925602</v>
      </c>
      <c r="K1429" s="15" t="str">
        <f t="shared" si="155"/>
        <v>PTO-1801|MAT</v>
      </c>
      <c r="L1429" s="15">
        <f>COUNTIFS($K$2:K1429,K1429)</f>
        <v>1</v>
      </c>
      <c r="M1429" s="15" t="str">
        <f t="shared" si="156"/>
        <v>PTO-1801|MAT|1</v>
      </c>
      <c r="N1429" s="47">
        <f>IFERROR(VLOOKUP(A1429,PARTIDAS!A:F,6,FALSE()),0)</f>
        <v>3.25</v>
      </c>
      <c r="O1429" s="247">
        <f t="shared" si="157"/>
        <v>3530.1140378925602</v>
      </c>
      <c r="P1429" s="247">
        <f>+_xlfn.XLOOKUP(A1429,PPTO_GENERADOR!Q:Q,PPTO_GENERADOR!E:E,"-",0)</f>
        <v>260</v>
      </c>
      <c r="Q1429" s="247">
        <f t="shared" si="158"/>
        <v>917829.6498520656</v>
      </c>
      <c r="R1429" s="259">
        <f>+_xlfn.XLOOKUP(A1429,PPTO_GENERADOR!$Q:$Q,PPTO_GENERADOR!A:A,"-",0)</f>
        <v>18.010000000000002</v>
      </c>
    </row>
    <row r="1430" spans="1:18" ht="14.25" customHeight="1" x14ac:dyDescent="0.35">
      <c r="A1430" s="38" t="s">
        <v>264</v>
      </c>
      <c r="B1430" s="38" t="s">
        <v>2774</v>
      </c>
      <c r="C1430" s="38" t="s">
        <v>2775</v>
      </c>
      <c r="D1430" s="38" t="s">
        <v>928</v>
      </c>
      <c r="E1430" s="44" t="str">
        <f>IFERROR(VLOOKUP(D1430,MATERIALES!A:B,2,FALSE()),"?")</f>
        <v>Conector hierro 7/8"</v>
      </c>
      <c r="F1430" s="44" t="str">
        <f>IFERROR(VLOOKUP(D1430,MATERIALES!A:C,3,FALSE()),"?")</f>
        <v>u</v>
      </c>
      <c r="G1430" s="45">
        <v>3</v>
      </c>
      <c r="H1430" s="46">
        <v>0.1</v>
      </c>
      <c r="I1430" s="47">
        <f>IFERROR(VLOOKUP(D1430,MATERIALES!A:D,4,FALSE()),0)</f>
        <v>282.29000000000002</v>
      </c>
      <c r="J1430" s="42">
        <f t="shared" si="160"/>
        <v>931.55700000000024</v>
      </c>
      <c r="K1430" s="15" t="str">
        <f t="shared" si="155"/>
        <v>PTO-1801|MAT</v>
      </c>
      <c r="L1430" s="15">
        <f>COUNTIFS($K$2:K1430,K1430)</f>
        <v>2</v>
      </c>
      <c r="M1430" s="15" t="str">
        <f t="shared" si="156"/>
        <v>PTO-1801|MAT|2</v>
      </c>
      <c r="N1430" s="47">
        <f>IFERROR(VLOOKUP(A1430,PARTIDAS!A:F,6,FALSE()),0)</f>
        <v>3.25</v>
      </c>
      <c r="O1430" s="247">
        <f t="shared" si="157"/>
        <v>3</v>
      </c>
      <c r="P1430" s="247">
        <f>+_xlfn.XLOOKUP(A1430,PPTO_GENERADOR!Q:Q,PPTO_GENERADOR!E:E,"-",0)</f>
        <v>260</v>
      </c>
      <c r="Q1430" s="247">
        <f t="shared" si="158"/>
        <v>780</v>
      </c>
      <c r="R1430" s="259">
        <f>+_xlfn.XLOOKUP(A1430,PPTO_GENERADOR!$Q:$Q,PPTO_GENERADOR!A:A,"-",0)</f>
        <v>18.010000000000002</v>
      </c>
    </row>
    <row r="1431" spans="1:18" ht="14.25" customHeight="1" x14ac:dyDescent="0.35">
      <c r="A1431" s="38" t="s">
        <v>264</v>
      </c>
      <c r="B1431" s="38" t="s">
        <v>2774</v>
      </c>
      <c r="C1431" s="38" t="s">
        <v>2775</v>
      </c>
      <c r="D1431" s="38" t="s">
        <v>922</v>
      </c>
      <c r="E1431" s="44" t="str">
        <f>IFERROR(VLOOKUP(D1431,MATERIALES!A:B,2,FALSE()),"?")</f>
        <v>Caño rigido 7/8"</v>
      </c>
      <c r="F1431" s="44" t="str">
        <f>IFERROR(VLOOKUP(D1431,MATERIALES!A:C,3,FALSE()),"?")</f>
        <v>ml</v>
      </c>
      <c r="G1431" s="45">
        <v>5</v>
      </c>
      <c r="H1431" s="46">
        <v>0.1</v>
      </c>
      <c r="I1431" s="47">
        <f>IFERROR(VLOOKUP(D1431,MATERIALES!A:D,4,FALSE()),0)</f>
        <v>635.55999999999995</v>
      </c>
      <c r="J1431" s="42">
        <f t="shared" si="160"/>
        <v>3495.58</v>
      </c>
      <c r="K1431" s="15" t="str">
        <f t="shared" si="155"/>
        <v>PTO-1801|MAT</v>
      </c>
      <c r="L1431" s="15">
        <f>COUNTIFS($K$2:K1431,K1431)</f>
        <v>3</v>
      </c>
      <c r="M1431" s="15" t="str">
        <f t="shared" si="156"/>
        <v>PTO-1801|MAT|3</v>
      </c>
      <c r="N1431" s="47">
        <f>IFERROR(VLOOKUP(A1431,PARTIDAS!A:F,6,FALSE()),0)</f>
        <v>3.25</v>
      </c>
      <c r="O1431" s="247">
        <f t="shared" si="157"/>
        <v>5</v>
      </c>
      <c r="P1431" s="247">
        <f>+_xlfn.XLOOKUP(A1431,PPTO_GENERADOR!Q:Q,PPTO_GENERADOR!E:E,"-",0)</f>
        <v>260</v>
      </c>
      <c r="Q1431" s="247">
        <f t="shared" si="158"/>
        <v>1300</v>
      </c>
      <c r="R1431" s="259">
        <f>+_xlfn.XLOOKUP(A1431,PPTO_GENERADOR!$Q:$Q,PPTO_GENERADOR!A:A,"-",0)</f>
        <v>18.010000000000002</v>
      </c>
    </row>
    <row r="1432" spans="1:18" ht="14.25" customHeight="1" x14ac:dyDescent="0.35">
      <c r="A1432" s="38" t="s">
        <v>264</v>
      </c>
      <c r="B1432" s="38" t="s">
        <v>2774</v>
      </c>
      <c r="C1432" s="38" t="s">
        <v>2775</v>
      </c>
      <c r="D1432" s="38" t="s">
        <v>935</v>
      </c>
      <c r="E1432" s="44" t="str">
        <f>IFERROR(VLOOKUP(D1432,MATERIALES!A:B,2,FALSE()),"?")</f>
        <v>Cupla PVC 7/8"</v>
      </c>
      <c r="F1432" s="44" t="str">
        <f>IFERROR(VLOOKUP(D1432,MATERIALES!A:C,3,FALSE()),"?")</f>
        <v>u</v>
      </c>
      <c r="G1432" s="45">
        <v>2</v>
      </c>
      <c r="H1432" s="46">
        <v>0.1</v>
      </c>
      <c r="I1432" s="47">
        <f>IFERROR(VLOOKUP(D1432,MATERIALES!A:D,4,FALSE()),0)</f>
        <v>184.87</v>
      </c>
      <c r="J1432" s="42">
        <f t="shared" si="160"/>
        <v>406.71400000000006</v>
      </c>
      <c r="K1432" s="15" t="str">
        <f t="shared" si="155"/>
        <v>PTO-1801|MAT</v>
      </c>
      <c r="L1432" s="15">
        <f>COUNTIFS($K$2:K1432,K1432)</f>
        <v>4</v>
      </c>
      <c r="M1432" s="15" t="str">
        <f t="shared" si="156"/>
        <v>PTO-1801|MAT|4</v>
      </c>
      <c r="N1432" s="47">
        <f>IFERROR(VLOOKUP(A1432,PARTIDAS!A:F,6,FALSE()),0)</f>
        <v>3.25</v>
      </c>
      <c r="O1432" s="247">
        <f t="shared" si="157"/>
        <v>2</v>
      </c>
      <c r="P1432" s="247">
        <f>+_xlfn.XLOOKUP(A1432,PPTO_GENERADOR!Q:Q,PPTO_GENERADOR!E:E,"-",0)</f>
        <v>260</v>
      </c>
      <c r="Q1432" s="247">
        <f t="shared" si="158"/>
        <v>520</v>
      </c>
      <c r="R1432" s="259">
        <f>+_xlfn.XLOOKUP(A1432,PPTO_GENERADOR!$Q:$Q,PPTO_GENERADOR!A:A,"-",0)</f>
        <v>18.010000000000002</v>
      </c>
    </row>
    <row r="1433" spans="1:18" ht="14.25" customHeight="1" x14ac:dyDescent="0.35">
      <c r="A1433" s="38" t="s">
        <v>264</v>
      </c>
      <c r="B1433" s="38" t="s">
        <v>2774</v>
      </c>
      <c r="C1433" s="38" t="s">
        <v>2775</v>
      </c>
      <c r="D1433" s="38" t="s">
        <v>939</v>
      </c>
      <c r="E1433" s="44" t="str">
        <f>IFERROR(VLOOKUP(D1433,MATERIALES!A:B,2,FALSE()),"?")</f>
        <v>Cable unipolar 1 x 1,50</v>
      </c>
      <c r="F1433" s="44" t="str">
        <f>IFERROR(VLOOKUP(D1433,MATERIALES!A:C,3,FALSE()),"?")</f>
        <v>ml</v>
      </c>
      <c r="G1433" s="45">
        <v>7.5</v>
      </c>
      <c r="H1433" s="46">
        <v>0.1</v>
      </c>
      <c r="I1433" s="47">
        <f>IFERROR(VLOOKUP(D1433,MATERIALES!A:D,4,FALSE()),0)</f>
        <v>316.44450000000001</v>
      </c>
      <c r="J1433" s="42">
        <f t="shared" si="160"/>
        <v>2610.6671250000004</v>
      </c>
      <c r="K1433" s="15" t="str">
        <f t="shared" si="155"/>
        <v>PTO-1801|MAT</v>
      </c>
      <c r="L1433" s="15">
        <f>COUNTIFS($K$2:K1433,K1433)</f>
        <v>5</v>
      </c>
      <c r="M1433" s="15" t="str">
        <f t="shared" si="156"/>
        <v>PTO-1801|MAT|5</v>
      </c>
      <c r="N1433" s="47">
        <f>IFERROR(VLOOKUP(A1433,PARTIDAS!A:F,6,FALSE()),0)</f>
        <v>3.25</v>
      </c>
      <c r="O1433" s="247">
        <f t="shared" si="157"/>
        <v>7.5</v>
      </c>
      <c r="P1433" s="247">
        <f>+_xlfn.XLOOKUP(A1433,PPTO_GENERADOR!Q:Q,PPTO_GENERADOR!E:E,"-",0)</f>
        <v>260</v>
      </c>
      <c r="Q1433" s="247">
        <f t="shared" si="158"/>
        <v>1950</v>
      </c>
      <c r="R1433" s="259">
        <f>+_xlfn.XLOOKUP(A1433,PPTO_GENERADOR!$Q:$Q,PPTO_GENERADOR!A:A,"-",0)</f>
        <v>18.010000000000002</v>
      </c>
    </row>
    <row r="1434" spans="1:18" ht="14.25" customHeight="1" x14ac:dyDescent="0.35">
      <c r="A1434" s="38" t="s">
        <v>264</v>
      </c>
      <c r="B1434" s="38" t="s">
        <v>2774</v>
      </c>
      <c r="C1434" s="38" t="s">
        <v>2775</v>
      </c>
      <c r="D1434" s="38" t="s">
        <v>941</v>
      </c>
      <c r="E1434" s="44" t="str">
        <f>IFERROR(VLOOKUP(D1434,MATERIALES!A:B,2,FALSE()),"?")</f>
        <v>Cable unipolar 1 x 2,50 VA</v>
      </c>
      <c r="F1434" s="44" t="str">
        <f>IFERROR(VLOOKUP(D1434,MATERIALES!A:C,3,FALSE()),"?")</f>
        <v>ml</v>
      </c>
      <c r="G1434" s="45">
        <v>5</v>
      </c>
      <c r="H1434" s="46">
        <v>0.1</v>
      </c>
      <c r="I1434" s="47">
        <f>IFERROR(VLOOKUP(D1434,MATERIALES!A:D,4,FALSE()),0)</f>
        <v>509.31490000000002</v>
      </c>
      <c r="J1434" s="42">
        <f t="shared" si="160"/>
        <v>2801.2319500000003</v>
      </c>
      <c r="K1434" s="15" t="str">
        <f t="shared" si="155"/>
        <v>PTO-1801|MAT</v>
      </c>
      <c r="L1434" s="15">
        <f>COUNTIFS($K$2:K1434,K1434)</f>
        <v>6</v>
      </c>
      <c r="M1434" s="15" t="str">
        <f t="shared" si="156"/>
        <v>PTO-1801|MAT|6</v>
      </c>
      <c r="N1434" s="47">
        <f>IFERROR(VLOOKUP(A1434,PARTIDAS!A:F,6,FALSE()),0)</f>
        <v>3.25</v>
      </c>
      <c r="O1434" s="247">
        <f t="shared" si="157"/>
        <v>5</v>
      </c>
      <c r="P1434" s="247">
        <f>+_xlfn.XLOOKUP(A1434,PPTO_GENERADOR!Q:Q,PPTO_GENERADOR!E:E,"-",0)</f>
        <v>260</v>
      </c>
      <c r="Q1434" s="247">
        <f t="shared" si="158"/>
        <v>1300</v>
      </c>
      <c r="R1434" s="259">
        <f>+_xlfn.XLOOKUP(A1434,PPTO_GENERADOR!$Q:$Q,PPTO_GENERADOR!A:A,"-",0)</f>
        <v>18.010000000000002</v>
      </c>
    </row>
    <row r="1435" spans="1:18" ht="14.25" customHeight="1" x14ac:dyDescent="0.35">
      <c r="A1435" s="38" t="s">
        <v>264</v>
      </c>
      <c r="B1435" s="38" t="s">
        <v>2774</v>
      </c>
      <c r="C1435" s="38" t="s">
        <v>2775</v>
      </c>
      <c r="D1435" s="38" t="s">
        <v>943</v>
      </c>
      <c r="E1435" s="44" t="str">
        <f>IFERROR(VLOOKUP(D1435,MATERIALES!A:B,2,FALSE()),"?")</f>
        <v>Cable unipolar 1 x 2,50 Rojo/Marron/Negro</v>
      </c>
      <c r="F1435" s="44" t="str">
        <f>IFERROR(VLOOKUP(D1435,MATERIALES!A:C,3,FALSE()),"?")</f>
        <v>ml</v>
      </c>
      <c r="G1435" s="45">
        <v>7.5</v>
      </c>
      <c r="H1435" s="46">
        <v>0.1</v>
      </c>
      <c r="I1435" s="47">
        <f>IFERROR(VLOOKUP(D1435,MATERIALES!A:D,4,FALSE()),0)</f>
        <v>509.31490000000002</v>
      </c>
      <c r="J1435" s="42">
        <f t="shared" si="160"/>
        <v>4201.847925</v>
      </c>
      <c r="K1435" s="15" t="str">
        <f t="shared" si="155"/>
        <v>PTO-1801|MAT</v>
      </c>
      <c r="L1435" s="15">
        <f>COUNTIFS($K$2:K1435,K1435)</f>
        <v>7</v>
      </c>
      <c r="M1435" s="15" t="str">
        <f t="shared" si="156"/>
        <v>PTO-1801|MAT|7</v>
      </c>
      <c r="N1435" s="47">
        <f>IFERROR(VLOOKUP(A1435,PARTIDAS!A:F,6,FALSE()),0)</f>
        <v>3.25</v>
      </c>
      <c r="O1435" s="247">
        <f t="shared" si="157"/>
        <v>7.5</v>
      </c>
      <c r="P1435" s="247">
        <f>+_xlfn.XLOOKUP(A1435,PPTO_GENERADOR!Q:Q,PPTO_GENERADOR!E:E,"-",0)</f>
        <v>260</v>
      </c>
      <c r="Q1435" s="247">
        <f t="shared" si="158"/>
        <v>1950</v>
      </c>
      <c r="R1435" s="259">
        <f>+_xlfn.XLOOKUP(A1435,PPTO_GENERADOR!$Q:$Q,PPTO_GENERADOR!A:A,"-",0)</f>
        <v>18.010000000000002</v>
      </c>
    </row>
    <row r="1436" spans="1:18" ht="14.25" customHeight="1" x14ac:dyDescent="0.35">
      <c r="A1436" s="38" t="s">
        <v>264</v>
      </c>
      <c r="B1436" s="38" t="s">
        <v>2774</v>
      </c>
      <c r="C1436" s="38" t="s">
        <v>2775</v>
      </c>
      <c r="D1436" s="38" t="s">
        <v>949</v>
      </c>
      <c r="E1436" s="44" t="str">
        <f>IFERROR(VLOOKUP(D1436,MATERIALES!A:B,2,FALSE()),"?")</f>
        <v>Caja octogonal profunda</v>
      </c>
      <c r="F1436" s="44" t="str">
        <f>IFERROR(VLOOKUP(D1436,MATERIALES!A:C,3,FALSE()),"?")</f>
        <v>u</v>
      </c>
      <c r="G1436" s="45">
        <v>1</v>
      </c>
      <c r="H1436" s="46">
        <v>0.05</v>
      </c>
      <c r="I1436" s="47">
        <f>IFERROR(VLOOKUP(D1436,MATERIALES!A:D,4,FALSE()),0)</f>
        <v>2148.7603305785101</v>
      </c>
      <c r="J1436" s="42">
        <f t="shared" si="160"/>
        <v>2256.1983471074359</v>
      </c>
      <c r="K1436" s="15" t="str">
        <f t="shared" si="155"/>
        <v>PTO-1801|MAT</v>
      </c>
      <c r="L1436" s="15">
        <f>COUNTIFS($K$2:K1436,K1436)</f>
        <v>8</v>
      </c>
      <c r="M1436" s="15" t="str">
        <f t="shared" si="156"/>
        <v>PTO-1801|MAT|8</v>
      </c>
      <c r="N1436" s="47">
        <f>IFERROR(VLOOKUP(A1436,PARTIDAS!A:F,6,FALSE()),0)</f>
        <v>3.25</v>
      </c>
      <c r="O1436" s="247">
        <f t="shared" si="157"/>
        <v>1</v>
      </c>
      <c r="P1436" s="247">
        <f>+_xlfn.XLOOKUP(A1436,PPTO_GENERADOR!Q:Q,PPTO_GENERADOR!E:E,"-",0)</f>
        <v>260</v>
      </c>
      <c r="Q1436" s="247">
        <f t="shared" si="158"/>
        <v>260</v>
      </c>
      <c r="R1436" s="259">
        <f>+_xlfn.XLOOKUP(A1436,PPTO_GENERADOR!$Q:$Q,PPTO_GENERADOR!A:A,"-",0)</f>
        <v>18.010000000000002</v>
      </c>
    </row>
    <row r="1437" spans="1:18" ht="14.25" customHeight="1" x14ac:dyDescent="0.35">
      <c r="A1437" s="38" t="s">
        <v>264</v>
      </c>
      <c r="B1437" s="38" t="s">
        <v>2774</v>
      </c>
      <c r="C1437" s="38" t="s">
        <v>2775</v>
      </c>
      <c r="D1437" s="38" t="s">
        <v>951</v>
      </c>
      <c r="E1437" s="44" t="str">
        <f>IFERROR(VLOOKUP(D1437,MATERIALES!A:B,2,FALSE()),"?")</f>
        <v>Caja rectangular chica</v>
      </c>
      <c r="F1437" s="44" t="str">
        <f>IFERROR(VLOOKUP(D1437,MATERIALES!A:C,3,FALSE()),"?")</f>
        <v>u</v>
      </c>
      <c r="G1437" s="45">
        <v>0.5</v>
      </c>
      <c r="H1437" s="46">
        <v>0.05</v>
      </c>
      <c r="I1437" s="47">
        <f>IFERROR(VLOOKUP(D1437,MATERIALES!A:D,4,FALSE()),0)</f>
        <v>202.42</v>
      </c>
      <c r="J1437" s="42">
        <f t="shared" si="160"/>
        <v>106.2705</v>
      </c>
      <c r="K1437" s="15" t="str">
        <f t="shared" si="155"/>
        <v>PTO-1801|MAT</v>
      </c>
      <c r="L1437" s="15">
        <f>COUNTIFS($K$2:K1437,K1437)</f>
        <v>9</v>
      </c>
      <c r="M1437" s="15" t="str">
        <f t="shared" si="156"/>
        <v>PTO-1801|MAT|9</v>
      </c>
      <c r="N1437" s="47">
        <f>IFERROR(VLOOKUP(A1437,PARTIDAS!A:F,6,FALSE()),0)</f>
        <v>3.25</v>
      </c>
      <c r="O1437" s="247">
        <f t="shared" si="157"/>
        <v>0.5</v>
      </c>
      <c r="P1437" s="247">
        <f>+_xlfn.XLOOKUP(A1437,PPTO_GENERADOR!Q:Q,PPTO_GENERADOR!E:E,"-",0)</f>
        <v>260</v>
      </c>
      <c r="Q1437" s="247">
        <f t="shared" si="158"/>
        <v>130</v>
      </c>
      <c r="R1437" s="259">
        <f>+_xlfn.XLOOKUP(A1437,PPTO_GENERADOR!$Q:$Q,PPTO_GENERADOR!A:A,"-",0)</f>
        <v>18.010000000000002</v>
      </c>
    </row>
    <row r="1438" spans="1:18" ht="14.25" customHeight="1" x14ac:dyDescent="0.35">
      <c r="A1438" s="38" t="s">
        <v>264</v>
      </c>
      <c r="B1438" s="38" t="s">
        <v>2776</v>
      </c>
      <c r="C1438" s="38" t="s">
        <v>2775</v>
      </c>
      <c r="D1438" s="38" t="s">
        <v>2430</v>
      </c>
      <c r="E1438" s="44" t="str">
        <f>IFERROR(VLOOKUP(D1438,SUBCONTRATOS_PRY!A:B,2,FALSE()),"?")</f>
        <v>Boca completa</v>
      </c>
      <c r="F1438" s="44" t="s">
        <v>2778</v>
      </c>
      <c r="G1438" s="45">
        <v>3.25</v>
      </c>
      <c r="H1438" s="46">
        <v>0</v>
      </c>
      <c r="I1438" s="47">
        <f>IFERROR(VLOOKUP(D1438,SUBCONTRATOS_PRY!A:D,4,FALSE()),0)</f>
        <v>35416.5</v>
      </c>
      <c r="J1438" s="42">
        <f>G1438*I1438</f>
        <v>115103.625</v>
      </c>
      <c r="K1438" s="15" t="str">
        <f t="shared" si="155"/>
        <v>PTO-1801|MO</v>
      </c>
      <c r="L1438" s="15">
        <f>COUNTIFS($K$2:K1438,K1438)</f>
        <v>1</v>
      </c>
      <c r="M1438" s="15" t="str">
        <f t="shared" si="156"/>
        <v>PTO-1801|MO|1</v>
      </c>
      <c r="N1438" s="47">
        <f>IFERROR(VLOOKUP(A1438,PARTIDAS!A:F,6,FALSE()),0)</f>
        <v>3.25</v>
      </c>
      <c r="O1438" s="247">
        <f t="shared" si="157"/>
        <v>3.25</v>
      </c>
      <c r="P1438" s="247">
        <f>+_xlfn.XLOOKUP(A1438,PPTO_GENERADOR!Q:Q,PPTO_GENERADOR!E:E,"-",0)</f>
        <v>260</v>
      </c>
      <c r="Q1438" s="247">
        <f t="shared" si="158"/>
        <v>845</v>
      </c>
      <c r="R1438" s="259">
        <f>+_xlfn.XLOOKUP(A1438,PPTO_GENERADOR!$Q:$Q,PPTO_GENERADOR!A:A,"-",0)</f>
        <v>18.010000000000002</v>
      </c>
    </row>
    <row r="1439" spans="1:18" ht="14.25" customHeight="1" x14ac:dyDescent="0.35">
      <c r="A1439" s="38" t="s">
        <v>266</v>
      </c>
      <c r="B1439" s="38" t="s">
        <v>2776</v>
      </c>
      <c r="C1439" s="38" t="s">
        <v>2775</v>
      </c>
      <c r="D1439" s="38" t="s">
        <v>2430</v>
      </c>
      <c r="E1439" s="44" t="str">
        <f>IFERROR(VLOOKUP(D1439,SUBCONTRATOS_PRY!A:B,2,FALSE()),"?")</f>
        <v>Boca completa</v>
      </c>
      <c r="F1439" s="44" t="s">
        <v>2778</v>
      </c>
      <c r="G1439" s="45">
        <v>3.25</v>
      </c>
      <c r="H1439" s="46">
        <v>0</v>
      </c>
      <c r="I1439" s="47">
        <f>IFERROR(VLOOKUP(D1439,SUBCONTRATOS_PRY!A:D,4,FALSE()),0)</f>
        <v>35416.5</v>
      </c>
      <c r="J1439" s="42">
        <f>G1439*I1439</f>
        <v>115103.625</v>
      </c>
      <c r="K1439" s="15" t="str">
        <f t="shared" si="155"/>
        <v>PTO-1802|MO</v>
      </c>
      <c r="L1439" s="15">
        <f>COUNTIFS($K$2:K1439,K1439)</f>
        <v>1</v>
      </c>
      <c r="M1439" s="15" t="str">
        <f t="shared" si="156"/>
        <v>PTO-1802|MO|1</v>
      </c>
      <c r="N1439" s="47">
        <f>IFERROR(VLOOKUP(A1439,PARTIDAS!A:F,6,FALSE()),0)</f>
        <v>3.25</v>
      </c>
      <c r="O1439" s="247">
        <f t="shared" si="157"/>
        <v>3.25</v>
      </c>
      <c r="P1439" s="247">
        <f>+_xlfn.XLOOKUP(A1439,PPTO_GENERADOR!Q:Q,PPTO_GENERADOR!E:E,"-",0)</f>
        <v>62</v>
      </c>
      <c r="Q1439" s="247">
        <f t="shared" si="158"/>
        <v>201.5</v>
      </c>
      <c r="R1439" s="259">
        <f>+_xlfn.XLOOKUP(A1439,PPTO_GENERADOR!$Q:$Q,PPTO_GENERADOR!A:A,"-",0)</f>
        <v>18.02</v>
      </c>
    </row>
    <row r="1440" spans="1:18" ht="14.25" customHeight="1" x14ac:dyDescent="0.35">
      <c r="A1440" s="38" t="s">
        <v>266</v>
      </c>
      <c r="B1440" s="38" t="s">
        <v>2773</v>
      </c>
      <c r="C1440" s="38"/>
      <c r="D1440" s="38" t="s">
        <v>1592</v>
      </c>
      <c r="E1440" s="44" t="str">
        <f>IFERROR(VLOOKUP(D1440,EQUIPOS!A:B,2,FALSE()),"?")</f>
        <v>ANDAMIO TUBULAR DE UNO A TRES CUERPOS</v>
      </c>
      <c r="F1440" s="44"/>
      <c r="G1440" s="45">
        <v>0.5</v>
      </c>
      <c r="H1440" s="46">
        <v>0</v>
      </c>
      <c r="I1440" s="47">
        <f>IFERROR(VLOOKUP(D1440,EQUIPOS!A:F,6,FALSE()),0)</f>
        <v>571.1794909807611</v>
      </c>
      <c r="J1440" s="42">
        <f>G1440*I1440</f>
        <v>285.58974549038055</v>
      </c>
      <c r="K1440" s="15" t="str">
        <f t="shared" si="155"/>
        <v>PTO-1802|EQ</v>
      </c>
      <c r="L1440" s="15">
        <f>COUNTIFS($K$2:K1440,K1440)</f>
        <v>1</v>
      </c>
      <c r="M1440" s="15" t="str">
        <f t="shared" si="156"/>
        <v>PTO-1802|EQ|1</v>
      </c>
      <c r="N1440" s="47">
        <f>IFERROR(VLOOKUP(A1440,PARTIDAS!A:F,6,FALSE()),0)</f>
        <v>3.25</v>
      </c>
      <c r="O1440" s="247">
        <f t="shared" si="157"/>
        <v>0.5</v>
      </c>
      <c r="P1440" s="247">
        <f>+_xlfn.XLOOKUP(A1440,PPTO_GENERADOR!Q:Q,PPTO_GENERADOR!E:E,"-",0)</f>
        <v>62</v>
      </c>
      <c r="Q1440" s="247">
        <f t="shared" si="158"/>
        <v>31</v>
      </c>
      <c r="R1440" s="259">
        <f>+_xlfn.XLOOKUP(A1440,PPTO_GENERADOR!$Q:$Q,PPTO_GENERADOR!A:A,"-",0)</f>
        <v>18.02</v>
      </c>
    </row>
    <row r="1441" spans="1:18" ht="14.25" customHeight="1" x14ac:dyDescent="0.35">
      <c r="A1441" s="38" t="s">
        <v>266</v>
      </c>
      <c r="B1441" s="38" t="s">
        <v>2773</v>
      </c>
      <c r="C1441" s="38"/>
      <c r="D1441" s="38" t="s">
        <v>1601</v>
      </c>
      <c r="E1441" s="44" t="str">
        <f>IFERROR(VLOOKUP(D1441,EQUIPOS!A:B,2,FALSE()),"?")</f>
        <v>EQUIPO PARA INSTALACION ELECTRICA</v>
      </c>
      <c r="F1441" s="44"/>
      <c r="G1441" s="45">
        <v>1</v>
      </c>
      <c r="H1441" s="46">
        <v>0</v>
      </c>
      <c r="I1441" s="47">
        <f>IFERROR(VLOOKUP(D1441,EQUIPOS!A:F,6,FALSE()),0)</f>
        <v>5063.0947914732405</v>
      </c>
      <c r="J1441" s="42">
        <f>G1441*I1441</f>
        <v>5063.0947914732405</v>
      </c>
      <c r="K1441" s="15" t="str">
        <f t="shared" si="155"/>
        <v>PTO-1802|EQ</v>
      </c>
      <c r="L1441" s="15">
        <f>COUNTIFS($K$2:K1441,K1441)</f>
        <v>2</v>
      </c>
      <c r="M1441" s="15" t="str">
        <f t="shared" si="156"/>
        <v>PTO-1802|EQ|2</v>
      </c>
      <c r="N1441" s="47">
        <f>IFERROR(VLOOKUP(A1441,PARTIDAS!A:F,6,FALSE()),0)</f>
        <v>3.25</v>
      </c>
      <c r="O1441" s="247">
        <f t="shared" si="157"/>
        <v>1</v>
      </c>
      <c r="P1441" s="247">
        <f>+_xlfn.XLOOKUP(A1441,PPTO_GENERADOR!Q:Q,PPTO_GENERADOR!E:E,"-",0)</f>
        <v>62</v>
      </c>
      <c r="Q1441" s="247">
        <f t="shared" si="158"/>
        <v>62</v>
      </c>
      <c r="R1441" s="259">
        <f>+_xlfn.XLOOKUP(A1441,PPTO_GENERADOR!$Q:$Q,PPTO_GENERADOR!A:A,"-",0)</f>
        <v>18.02</v>
      </c>
    </row>
    <row r="1442" spans="1:18" ht="14.25" customHeight="1" x14ac:dyDescent="0.35">
      <c r="A1442" s="38" t="s">
        <v>266</v>
      </c>
      <c r="B1442" s="38" t="s">
        <v>2773</v>
      </c>
      <c r="C1442" s="38"/>
      <c r="D1442" s="38" t="s">
        <v>1622</v>
      </c>
      <c r="E1442" s="44" t="str">
        <f>IFERROR(VLOOKUP(D1442,EQUIPOS!A:B,2,FALSE()),"?")</f>
        <v>ESCALERA GLOSS ALUMINIO ARTICULADA 4 X 4 ESCALONES HASTA 150KG</v>
      </c>
      <c r="F1442" s="44"/>
      <c r="G1442" s="45">
        <v>0.5</v>
      </c>
      <c r="H1442" s="46">
        <v>0</v>
      </c>
      <c r="I1442" s="47">
        <f>IFERROR(VLOOKUP(D1442,EQUIPOS!A:F,6,FALSE()),0)</f>
        <v>140.19809259430903</v>
      </c>
      <c r="J1442" s="42">
        <f>G1442*I1442</f>
        <v>70.099046297154516</v>
      </c>
      <c r="K1442" s="15" t="str">
        <f t="shared" si="155"/>
        <v>PTO-1802|EQ</v>
      </c>
      <c r="L1442" s="15">
        <f>COUNTIFS($K$2:K1442,K1442)</f>
        <v>3</v>
      </c>
      <c r="M1442" s="15" t="str">
        <f t="shared" si="156"/>
        <v>PTO-1802|EQ|3</v>
      </c>
      <c r="N1442" s="47">
        <f>IFERROR(VLOOKUP(A1442,PARTIDAS!A:F,6,FALSE()),0)</f>
        <v>3.25</v>
      </c>
      <c r="O1442" s="247">
        <f t="shared" si="157"/>
        <v>0.5</v>
      </c>
      <c r="P1442" s="247">
        <f>+_xlfn.XLOOKUP(A1442,PPTO_GENERADOR!Q:Q,PPTO_GENERADOR!E:E,"-",0)</f>
        <v>62</v>
      </c>
      <c r="Q1442" s="247">
        <f t="shared" si="158"/>
        <v>31</v>
      </c>
      <c r="R1442" s="259">
        <f>+_xlfn.XLOOKUP(A1442,PPTO_GENERADOR!$Q:$Q,PPTO_GENERADOR!A:A,"-",0)</f>
        <v>18.02</v>
      </c>
    </row>
    <row r="1443" spans="1:18" ht="14.25" customHeight="1" x14ac:dyDescent="0.35">
      <c r="A1443" s="38" t="s">
        <v>266</v>
      </c>
      <c r="B1443" s="38" t="s">
        <v>2774</v>
      </c>
      <c r="C1443" s="38" t="s">
        <v>2775</v>
      </c>
      <c r="D1443" s="38" t="s">
        <v>1361</v>
      </c>
      <c r="E1443" s="44" t="str">
        <f>IFERROR(VLOOKUP(D1443,MATERIALES!A:B,2,FALSE()),"?")</f>
        <v>Consumibles</v>
      </c>
      <c r="F1443" s="44" t="str">
        <f>IFERROR(VLOOKUP(D1443,MATERIALES!A:C,3,FALSE()),"?")</f>
        <v>gl</v>
      </c>
      <c r="G1443" s="45">
        <v>3100.945995</v>
      </c>
      <c r="H1443" s="46">
        <v>0</v>
      </c>
      <c r="I1443" s="47">
        <f>IFERROR(VLOOKUP(D1443,MATERIALES!A:D,4,FALSE()),0)</f>
        <v>1</v>
      </c>
      <c r="J1443" s="42">
        <f t="shared" ref="J1443:J1451" si="161">G1443*I1443*(1+H1443)</f>
        <v>3100.945995</v>
      </c>
      <c r="K1443" s="15" t="str">
        <f t="shared" si="155"/>
        <v>PTO-1802|MAT</v>
      </c>
      <c r="L1443" s="15">
        <f>COUNTIFS($K$2:K1443,K1443)</f>
        <v>1</v>
      </c>
      <c r="M1443" s="15" t="str">
        <f t="shared" si="156"/>
        <v>PTO-1802|MAT|1</v>
      </c>
      <c r="N1443" s="47">
        <f>IFERROR(VLOOKUP(A1443,PARTIDAS!A:F,6,FALSE()),0)</f>
        <v>3.25</v>
      </c>
      <c r="O1443" s="247">
        <f t="shared" si="157"/>
        <v>3100.945995</v>
      </c>
      <c r="P1443" s="247">
        <f>+_xlfn.XLOOKUP(A1443,PPTO_GENERADOR!Q:Q,PPTO_GENERADOR!E:E,"-",0)</f>
        <v>62</v>
      </c>
      <c r="Q1443" s="247">
        <f t="shared" si="158"/>
        <v>192258.65169</v>
      </c>
      <c r="R1443" s="259">
        <f>+_xlfn.XLOOKUP(A1443,PPTO_GENERADOR!$Q:$Q,PPTO_GENERADOR!A:A,"-",0)</f>
        <v>18.02</v>
      </c>
    </row>
    <row r="1444" spans="1:18" ht="14.25" customHeight="1" x14ac:dyDescent="0.35">
      <c r="A1444" s="38" t="s">
        <v>266</v>
      </c>
      <c r="B1444" s="38" t="s">
        <v>2774</v>
      </c>
      <c r="C1444" s="38" t="s">
        <v>2775</v>
      </c>
      <c r="D1444" s="38" t="s">
        <v>928</v>
      </c>
      <c r="E1444" s="44" t="str">
        <f>IFERROR(VLOOKUP(D1444,MATERIALES!A:B,2,FALSE()),"?")</f>
        <v>Conector hierro 7/8"</v>
      </c>
      <c r="F1444" s="44" t="str">
        <f>IFERROR(VLOOKUP(D1444,MATERIALES!A:C,3,FALSE()),"?")</f>
        <v>u</v>
      </c>
      <c r="G1444" s="45">
        <v>3</v>
      </c>
      <c r="H1444" s="46">
        <v>0.1</v>
      </c>
      <c r="I1444" s="47">
        <f>IFERROR(VLOOKUP(D1444,MATERIALES!A:D,4,FALSE()),0)</f>
        <v>282.29000000000002</v>
      </c>
      <c r="J1444" s="42">
        <f t="shared" si="161"/>
        <v>931.55700000000024</v>
      </c>
      <c r="K1444" s="15" t="str">
        <f t="shared" si="155"/>
        <v>PTO-1802|MAT</v>
      </c>
      <c r="L1444" s="15">
        <f>COUNTIFS($K$2:K1444,K1444)</f>
        <v>2</v>
      </c>
      <c r="M1444" s="15" t="str">
        <f t="shared" si="156"/>
        <v>PTO-1802|MAT|2</v>
      </c>
      <c r="N1444" s="47">
        <f>IFERROR(VLOOKUP(A1444,PARTIDAS!A:F,6,FALSE()),0)</f>
        <v>3.25</v>
      </c>
      <c r="O1444" s="247">
        <f t="shared" si="157"/>
        <v>3</v>
      </c>
      <c r="P1444" s="247">
        <f>+_xlfn.XLOOKUP(A1444,PPTO_GENERADOR!Q:Q,PPTO_GENERADOR!E:E,"-",0)</f>
        <v>62</v>
      </c>
      <c r="Q1444" s="247">
        <f t="shared" si="158"/>
        <v>186</v>
      </c>
      <c r="R1444" s="259">
        <f>+_xlfn.XLOOKUP(A1444,PPTO_GENERADOR!$Q:$Q,PPTO_GENERADOR!A:A,"-",0)</f>
        <v>18.02</v>
      </c>
    </row>
    <row r="1445" spans="1:18" ht="14.25" customHeight="1" x14ac:dyDescent="0.35">
      <c r="A1445" s="38" t="s">
        <v>266</v>
      </c>
      <c r="B1445" s="38" t="s">
        <v>2774</v>
      </c>
      <c r="C1445" s="38" t="s">
        <v>2775</v>
      </c>
      <c r="D1445" s="38" t="s">
        <v>922</v>
      </c>
      <c r="E1445" s="44" t="str">
        <f>IFERROR(VLOOKUP(D1445,MATERIALES!A:B,2,FALSE()),"?")</f>
        <v>Caño rigido 7/8"</v>
      </c>
      <c r="F1445" s="44" t="str">
        <f>IFERROR(VLOOKUP(D1445,MATERIALES!A:C,3,FALSE()),"?")</f>
        <v>ml</v>
      </c>
      <c r="G1445" s="45">
        <v>5</v>
      </c>
      <c r="H1445" s="46">
        <v>0.1</v>
      </c>
      <c r="I1445" s="47">
        <f>IFERROR(VLOOKUP(D1445,MATERIALES!A:D,4,FALSE()),0)</f>
        <v>635.55999999999995</v>
      </c>
      <c r="J1445" s="42">
        <f t="shared" si="161"/>
        <v>3495.58</v>
      </c>
      <c r="K1445" s="15" t="str">
        <f t="shared" si="155"/>
        <v>PTO-1802|MAT</v>
      </c>
      <c r="L1445" s="15">
        <f>COUNTIFS($K$2:K1445,K1445)</f>
        <v>3</v>
      </c>
      <c r="M1445" s="15" t="str">
        <f t="shared" si="156"/>
        <v>PTO-1802|MAT|3</v>
      </c>
      <c r="N1445" s="47">
        <f>IFERROR(VLOOKUP(A1445,PARTIDAS!A:F,6,FALSE()),0)</f>
        <v>3.25</v>
      </c>
      <c r="O1445" s="247">
        <f t="shared" si="157"/>
        <v>5</v>
      </c>
      <c r="P1445" s="247">
        <f>+_xlfn.XLOOKUP(A1445,PPTO_GENERADOR!Q:Q,PPTO_GENERADOR!E:E,"-",0)</f>
        <v>62</v>
      </c>
      <c r="Q1445" s="247">
        <f t="shared" si="158"/>
        <v>310</v>
      </c>
      <c r="R1445" s="259">
        <f>+_xlfn.XLOOKUP(A1445,PPTO_GENERADOR!$Q:$Q,PPTO_GENERADOR!A:A,"-",0)</f>
        <v>18.02</v>
      </c>
    </row>
    <row r="1446" spans="1:18" ht="14.25" customHeight="1" x14ac:dyDescent="0.35">
      <c r="A1446" s="38" t="s">
        <v>266</v>
      </c>
      <c r="B1446" s="38" t="s">
        <v>2774</v>
      </c>
      <c r="C1446" s="38" t="s">
        <v>2775</v>
      </c>
      <c r="D1446" s="38" t="s">
        <v>935</v>
      </c>
      <c r="E1446" s="44" t="str">
        <f>IFERROR(VLOOKUP(D1446,MATERIALES!A:B,2,FALSE()),"?")</f>
        <v>Cupla PVC 7/8"</v>
      </c>
      <c r="F1446" s="44" t="str">
        <f>IFERROR(VLOOKUP(D1446,MATERIALES!A:C,3,FALSE()),"?")</f>
        <v>u</v>
      </c>
      <c r="G1446" s="45">
        <v>2</v>
      </c>
      <c r="H1446" s="46">
        <v>0.1</v>
      </c>
      <c r="I1446" s="47">
        <f>IFERROR(VLOOKUP(D1446,MATERIALES!A:D,4,FALSE()),0)</f>
        <v>184.87</v>
      </c>
      <c r="J1446" s="42">
        <f t="shared" si="161"/>
        <v>406.71400000000006</v>
      </c>
      <c r="K1446" s="15" t="str">
        <f t="shared" si="155"/>
        <v>PTO-1802|MAT</v>
      </c>
      <c r="L1446" s="15">
        <f>COUNTIFS($K$2:K1446,K1446)</f>
        <v>4</v>
      </c>
      <c r="M1446" s="15" t="str">
        <f t="shared" si="156"/>
        <v>PTO-1802|MAT|4</v>
      </c>
      <c r="N1446" s="47">
        <f>IFERROR(VLOOKUP(A1446,PARTIDAS!A:F,6,FALSE()),0)</f>
        <v>3.25</v>
      </c>
      <c r="O1446" s="247">
        <f t="shared" si="157"/>
        <v>2</v>
      </c>
      <c r="P1446" s="247">
        <f>+_xlfn.XLOOKUP(A1446,PPTO_GENERADOR!Q:Q,PPTO_GENERADOR!E:E,"-",0)</f>
        <v>62</v>
      </c>
      <c r="Q1446" s="247">
        <f t="shared" si="158"/>
        <v>124</v>
      </c>
      <c r="R1446" s="259">
        <f>+_xlfn.XLOOKUP(A1446,PPTO_GENERADOR!$Q:$Q,PPTO_GENERADOR!A:A,"-",0)</f>
        <v>18.02</v>
      </c>
    </row>
    <row r="1447" spans="1:18" ht="14.25" customHeight="1" x14ac:dyDescent="0.35">
      <c r="A1447" s="38" t="s">
        <v>266</v>
      </c>
      <c r="B1447" s="38" t="s">
        <v>2774</v>
      </c>
      <c r="C1447" s="38" t="s">
        <v>2775</v>
      </c>
      <c r="D1447" s="38" t="s">
        <v>939</v>
      </c>
      <c r="E1447" s="44" t="str">
        <f>IFERROR(VLOOKUP(D1447,MATERIALES!A:B,2,FALSE()),"?")</f>
        <v>Cable unipolar 1 x 1,50</v>
      </c>
      <c r="F1447" s="44" t="str">
        <f>IFERROR(VLOOKUP(D1447,MATERIALES!A:C,3,FALSE()),"?")</f>
        <v>ml</v>
      </c>
      <c r="G1447" s="45">
        <v>7.5</v>
      </c>
      <c r="H1447" s="46">
        <v>0.1</v>
      </c>
      <c r="I1447" s="47">
        <f>IFERROR(VLOOKUP(D1447,MATERIALES!A:D,4,FALSE()),0)</f>
        <v>316.44450000000001</v>
      </c>
      <c r="J1447" s="42">
        <f t="shared" si="161"/>
        <v>2610.6671250000004</v>
      </c>
      <c r="K1447" s="15" t="str">
        <f t="shared" si="155"/>
        <v>PTO-1802|MAT</v>
      </c>
      <c r="L1447" s="15">
        <f>COUNTIFS($K$2:K1447,K1447)</f>
        <v>5</v>
      </c>
      <c r="M1447" s="15" t="str">
        <f t="shared" si="156"/>
        <v>PTO-1802|MAT|5</v>
      </c>
      <c r="N1447" s="47">
        <f>IFERROR(VLOOKUP(A1447,PARTIDAS!A:F,6,FALSE()),0)</f>
        <v>3.25</v>
      </c>
      <c r="O1447" s="247">
        <f t="shared" si="157"/>
        <v>7.5</v>
      </c>
      <c r="P1447" s="247">
        <f>+_xlfn.XLOOKUP(A1447,PPTO_GENERADOR!Q:Q,PPTO_GENERADOR!E:E,"-",0)</f>
        <v>62</v>
      </c>
      <c r="Q1447" s="247">
        <f t="shared" si="158"/>
        <v>465</v>
      </c>
      <c r="R1447" s="259">
        <f>+_xlfn.XLOOKUP(A1447,PPTO_GENERADOR!$Q:$Q,PPTO_GENERADOR!A:A,"-",0)</f>
        <v>18.02</v>
      </c>
    </row>
    <row r="1448" spans="1:18" ht="14.25" customHeight="1" x14ac:dyDescent="0.35">
      <c r="A1448" s="38" t="s">
        <v>266</v>
      </c>
      <c r="B1448" s="38" t="s">
        <v>2774</v>
      </c>
      <c r="C1448" s="38" t="s">
        <v>2775</v>
      </c>
      <c r="D1448" s="38" t="s">
        <v>941</v>
      </c>
      <c r="E1448" s="44" t="str">
        <f>IFERROR(VLOOKUP(D1448,MATERIALES!A:B,2,FALSE()),"?")</f>
        <v>Cable unipolar 1 x 2,50 VA</v>
      </c>
      <c r="F1448" s="44" t="str">
        <f>IFERROR(VLOOKUP(D1448,MATERIALES!A:C,3,FALSE()),"?")</f>
        <v>ml</v>
      </c>
      <c r="G1448" s="45">
        <v>5</v>
      </c>
      <c r="H1448" s="46">
        <v>0.1</v>
      </c>
      <c r="I1448" s="47">
        <f>IFERROR(VLOOKUP(D1448,MATERIALES!A:D,4,FALSE()),0)</f>
        <v>509.31490000000002</v>
      </c>
      <c r="J1448" s="42">
        <f t="shared" si="161"/>
        <v>2801.2319500000003</v>
      </c>
      <c r="K1448" s="15" t="str">
        <f t="shared" si="155"/>
        <v>PTO-1802|MAT</v>
      </c>
      <c r="L1448" s="15">
        <f>COUNTIFS($K$2:K1448,K1448)</f>
        <v>6</v>
      </c>
      <c r="M1448" s="15" t="str">
        <f t="shared" si="156"/>
        <v>PTO-1802|MAT|6</v>
      </c>
      <c r="N1448" s="47">
        <f>IFERROR(VLOOKUP(A1448,PARTIDAS!A:F,6,FALSE()),0)</f>
        <v>3.25</v>
      </c>
      <c r="O1448" s="247">
        <f t="shared" si="157"/>
        <v>5</v>
      </c>
      <c r="P1448" s="247">
        <f>+_xlfn.XLOOKUP(A1448,PPTO_GENERADOR!Q:Q,PPTO_GENERADOR!E:E,"-",0)</f>
        <v>62</v>
      </c>
      <c r="Q1448" s="247">
        <f t="shared" si="158"/>
        <v>310</v>
      </c>
      <c r="R1448" s="259">
        <f>+_xlfn.XLOOKUP(A1448,PPTO_GENERADOR!$Q:$Q,PPTO_GENERADOR!A:A,"-",0)</f>
        <v>18.02</v>
      </c>
    </row>
    <row r="1449" spans="1:18" ht="14.25" customHeight="1" x14ac:dyDescent="0.35">
      <c r="A1449" s="38" t="s">
        <v>266</v>
      </c>
      <c r="B1449" s="38" t="s">
        <v>2774</v>
      </c>
      <c r="C1449" s="38" t="s">
        <v>2775</v>
      </c>
      <c r="D1449" s="38" t="s">
        <v>943</v>
      </c>
      <c r="E1449" s="44" t="str">
        <f>IFERROR(VLOOKUP(D1449,MATERIALES!A:B,2,FALSE()),"?")</f>
        <v>Cable unipolar 1 x 2,50 Rojo/Marron/Negro</v>
      </c>
      <c r="F1449" s="44" t="str">
        <f>IFERROR(VLOOKUP(D1449,MATERIALES!A:C,3,FALSE()),"?")</f>
        <v>ml</v>
      </c>
      <c r="G1449" s="45">
        <v>7.5</v>
      </c>
      <c r="H1449" s="46">
        <v>0.1</v>
      </c>
      <c r="I1449" s="47">
        <f>IFERROR(VLOOKUP(D1449,MATERIALES!A:D,4,FALSE()),0)</f>
        <v>509.31490000000002</v>
      </c>
      <c r="J1449" s="42">
        <f t="shared" si="161"/>
        <v>4201.847925</v>
      </c>
      <c r="K1449" s="15" t="str">
        <f t="shared" si="155"/>
        <v>PTO-1802|MAT</v>
      </c>
      <c r="L1449" s="15">
        <f>COUNTIFS($K$2:K1449,K1449)</f>
        <v>7</v>
      </c>
      <c r="M1449" s="15" t="str">
        <f t="shared" si="156"/>
        <v>PTO-1802|MAT|7</v>
      </c>
      <c r="N1449" s="47">
        <f>IFERROR(VLOOKUP(A1449,PARTIDAS!A:F,6,FALSE()),0)</f>
        <v>3.25</v>
      </c>
      <c r="O1449" s="247">
        <f t="shared" si="157"/>
        <v>7.5</v>
      </c>
      <c r="P1449" s="247">
        <f>+_xlfn.XLOOKUP(A1449,PPTO_GENERADOR!Q:Q,PPTO_GENERADOR!E:E,"-",0)</f>
        <v>62</v>
      </c>
      <c r="Q1449" s="247">
        <f t="shared" si="158"/>
        <v>465</v>
      </c>
      <c r="R1449" s="259">
        <f>+_xlfn.XLOOKUP(A1449,PPTO_GENERADOR!$Q:$Q,PPTO_GENERADOR!A:A,"-",0)</f>
        <v>18.02</v>
      </c>
    </row>
    <row r="1450" spans="1:18" ht="14.25" customHeight="1" x14ac:dyDescent="0.35">
      <c r="A1450" s="38" t="s">
        <v>266</v>
      </c>
      <c r="B1450" s="38" t="s">
        <v>2774</v>
      </c>
      <c r="C1450" s="38" t="s">
        <v>2775</v>
      </c>
      <c r="D1450" s="38" t="s">
        <v>947</v>
      </c>
      <c r="E1450" s="44" t="str">
        <f>IFERROR(VLOOKUP(D1450,MATERIALES!A:B,2,FALSE()),"?")</f>
        <v>Caja octogonal chica</v>
      </c>
      <c r="F1450" s="44" t="str">
        <f>IFERROR(VLOOKUP(D1450,MATERIALES!A:C,3,FALSE()),"?")</f>
        <v>u</v>
      </c>
      <c r="G1450" s="45">
        <v>1</v>
      </c>
      <c r="H1450" s="46">
        <v>0.05</v>
      </c>
      <c r="I1450" s="47">
        <f>IFERROR(VLOOKUP(D1450,MATERIALES!A:D,4,FALSE()),0)</f>
        <v>202.42</v>
      </c>
      <c r="J1450" s="42">
        <f t="shared" si="161"/>
        <v>212.541</v>
      </c>
      <c r="K1450" s="15" t="str">
        <f t="shared" si="155"/>
        <v>PTO-1802|MAT</v>
      </c>
      <c r="L1450" s="15">
        <f>COUNTIFS($K$2:K1450,K1450)</f>
        <v>8</v>
      </c>
      <c r="M1450" s="15" t="str">
        <f t="shared" si="156"/>
        <v>PTO-1802|MAT|8</v>
      </c>
      <c r="N1450" s="47">
        <f>IFERROR(VLOOKUP(A1450,PARTIDAS!A:F,6,FALSE()),0)</f>
        <v>3.25</v>
      </c>
      <c r="O1450" s="247">
        <f t="shared" si="157"/>
        <v>1</v>
      </c>
      <c r="P1450" s="247">
        <f>+_xlfn.XLOOKUP(A1450,PPTO_GENERADOR!Q:Q,PPTO_GENERADOR!E:E,"-",0)</f>
        <v>62</v>
      </c>
      <c r="Q1450" s="247">
        <f t="shared" si="158"/>
        <v>62</v>
      </c>
      <c r="R1450" s="259">
        <f>+_xlfn.XLOOKUP(A1450,PPTO_GENERADOR!$Q:$Q,PPTO_GENERADOR!A:A,"-",0)</f>
        <v>18.02</v>
      </c>
    </row>
    <row r="1451" spans="1:18" ht="14.25" customHeight="1" x14ac:dyDescent="0.35">
      <c r="A1451" s="38" t="s">
        <v>266</v>
      </c>
      <c r="B1451" s="38" t="s">
        <v>2774</v>
      </c>
      <c r="C1451" s="38" t="s">
        <v>2775</v>
      </c>
      <c r="D1451" s="38" t="s">
        <v>951</v>
      </c>
      <c r="E1451" s="44" t="str">
        <f>IFERROR(VLOOKUP(D1451,MATERIALES!A:B,2,FALSE()),"?")</f>
        <v>Caja rectangular chica</v>
      </c>
      <c r="F1451" s="44" t="str">
        <f>IFERROR(VLOOKUP(D1451,MATERIALES!A:C,3,FALSE()),"?")</f>
        <v>u</v>
      </c>
      <c r="G1451" s="45">
        <v>0.5</v>
      </c>
      <c r="H1451" s="46">
        <v>0.05</v>
      </c>
      <c r="I1451" s="47">
        <f>IFERROR(VLOOKUP(D1451,MATERIALES!A:D,4,FALSE()),0)</f>
        <v>202.42</v>
      </c>
      <c r="J1451" s="42">
        <f t="shared" si="161"/>
        <v>106.2705</v>
      </c>
      <c r="K1451" s="15" t="str">
        <f t="shared" si="155"/>
        <v>PTO-1802|MAT</v>
      </c>
      <c r="L1451" s="15">
        <f>COUNTIFS($K$2:K1451,K1451)</f>
        <v>9</v>
      </c>
      <c r="M1451" s="15" t="str">
        <f t="shared" si="156"/>
        <v>PTO-1802|MAT|9</v>
      </c>
      <c r="N1451" s="47">
        <f>IFERROR(VLOOKUP(A1451,PARTIDAS!A:F,6,FALSE()),0)</f>
        <v>3.25</v>
      </c>
      <c r="O1451" s="247">
        <f t="shared" si="157"/>
        <v>0.5</v>
      </c>
      <c r="P1451" s="247">
        <f>+_xlfn.XLOOKUP(A1451,PPTO_GENERADOR!Q:Q,PPTO_GENERADOR!E:E,"-",0)</f>
        <v>62</v>
      </c>
      <c r="Q1451" s="247">
        <f t="shared" si="158"/>
        <v>31</v>
      </c>
      <c r="R1451" s="259">
        <f>+_xlfn.XLOOKUP(A1451,PPTO_GENERADOR!$Q:$Q,PPTO_GENERADOR!A:A,"-",0)</f>
        <v>18.02</v>
      </c>
    </row>
    <row r="1452" spans="1:18" ht="14.25" customHeight="1" x14ac:dyDescent="0.35">
      <c r="A1452" s="38" t="s">
        <v>2737</v>
      </c>
      <c r="B1452" s="38" t="s">
        <v>2776</v>
      </c>
      <c r="C1452" s="38" t="s">
        <v>2775</v>
      </c>
      <c r="D1452" s="38" t="s">
        <v>2430</v>
      </c>
      <c r="E1452" s="44" t="str">
        <f>IFERROR(VLOOKUP(D1452,SUBCONTRATOS_PRY!A:B,2,FALSE()),"?")</f>
        <v>Boca completa</v>
      </c>
      <c r="F1452" s="44" t="s">
        <v>2778</v>
      </c>
      <c r="G1452" s="45">
        <v>3.25</v>
      </c>
      <c r="H1452" s="46">
        <v>0</v>
      </c>
      <c r="I1452" s="47">
        <f>IFERROR(VLOOKUP(D1452,SUBCONTRATOS_PRY!A:D,4,FALSE()),0)</f>
        <v>35416.5</v>
      </c>
      <c r="J1452" s="42">
        <f>G1452*I1452</f>
        <v>115103.625</v>
      </c>
      <c r="K1452" s="15" t="str">
        <f t="shared" si="155"/>
        <v>PTO-1803|MO</v>
      </c>
      <c r="L1452" s="15">
        <f>COUNTIFS($K$2:K1452,K1452)</f>
        <v>1</v>
      </c>
      <c r="M1452" s="15" t="str">
        <f t="shared" si="156"/>
        <v>PTO-1803|MO|1</v>
      </c>
      <c r="N1452" s="47">
        <f>IFERROR(VLOOKUP(A1452,PARTIDAS!A:F,6,FALSE()),0)</f>
        <v>3.25</v>
      </c>
      <c r="O1452" s="247">
        <f t="shared" si="157"/>
        <v>3.25</v>
      </c>
      <c r="P1452" s="247" t="str">
        <f>+_xlfn.XLOOKUP(A1452,PPTO_GENERADOR!Q:Q,PPTO_GENERADOR!E:E,"-",0)</f>
        <v>-</v>
      </c>
      <c r="Q1452" s="247">
        <f t="shared" si="158"/>
        <v>0</v>
      </c>
      <c r="R1452" s="259" t="str">
        <f>+_xlfn.XLOOKUP(A1452,PPTO_GENERADOR!$Q:$Q,PPTO_GENERADOR!A:A,"-",0)</f>
        <v>-</v>
      </c>
    </row>
    <row r="1453" spans="1:18" ht="14.25" customHeight="1" x14ac:dyDescent="0.35">
      <c r="A1453" s="38" t="s">
        <v>2738</v>
      </c>
      <c r="B1453" s="38" t="s">
        <v>2776</v>
      </c>
      <c r="C1453" s="38" t="s">
        <v>2775</v>
      </c>
      <c r="D1453" s="38" t="s">
        <v>2430</v>
      </c>
      <c r="E1453" s="44" t="str">
        <f>IFERROR(VLOOKUP(D1453,SUBCONTRATOS_PRY!A:B,2,FALSE()),"?")</f>
        <v>Boca completa</v>
      </c>
      <c r="F1453" s="44" t="s">
        <v>2778</v>
      </c>
      <c r="G1453" s="45">
        <v>3.25</v>
      </c>
      <c r="H1453" s="46">
        <v>0</v>
      </c>
      <c r="I1453" s="47">
        <f>IFERROR(VLOOKUP(D1453,SUBCONTRATOS_PRY!A:D,4,FALSE()),0)</f>
        <v>35416.5</v>
      </c>
      <c r="J1453" s="42">
        <f>G1453*I1453</f>
        <v>115103.625</v>
      </c>
      <c r="K1453" s="15" t="str">
        <f t="shared" si="155"/>
        <v>PTO-1804|MO</v>
      </c>
      <c r="L1453" s="15">
        <f>COUNTIFS($K$2:K1453,K1453)</f>
        <v>1</v>
      </c>
      <c r="M1453" s="15" t="str">
        <f t="shared" si="156"/>
        <v>PTO-1804|MO|1</v>
      </c>
      <c r="N1453" s="47">
        <f>IFERROR(VLOOKUP(A1453,PARTIDAS!A:F,6,FALSE()),0)</f>
        <v>3.25</v>
      </c>
      <c r="O1453" s="247">
        <f t="shared" si="157"/>
        <v>3.25</v>
      </c>
      <c r="P1453" s="247" t="str">
        <f>+_xlfn.XLOOKUP(A1453,PPTO_GENERADOR!Q:Q,PPTO_GENERADOR!E:E,"-",0)</f>
        <v>-</v>
      </c>
      <c r="Q1453" s="247">
        <f t="shared" si="158"/>
        <v>0</v>
      </c>
      <c r="R1453" s="259" t="str">
        <f>+_xlfn.XLOOKUP(A1453,PPTO_GENERADOR!$Q:$Q,PPTO_GENERADOR!A:A,"-",0)</f>
        <v>-</v>
      </c>
    </row>
    <row r="1454" spans="1:18" ht="14.25" customHeight="1" x14ac:dyDescent="0.35">
      <c r="A1454" s="38" t="s">
        <v>2737</v>
      </c>
      <c r="B1454" s="38" t="s">
        <v>2773</v>
      </c>
      <c r="C1454" s="38"/>
      <c r="D1454" s="38" t="s">
        <v>1592</v>
      </c>
      <c r="E1454" s="44" t="str">
        <f>IFERROR(VLOOKUP(D1454,EQUIPOS!A:B,2,FALSE()),"?")</f>
        <v>ANDAMIO TUBULAR DE UNO A TRES CUERPOS</v>
      </c>
      <c r="F1454" s="44"/>
      <c r="G1454" s="45">
        <v>0.5</v>
      </c>
      <c r="H1454" s="46">
        <v>0</v>
      </c>
      <c r="I1454" s="47">
        <f>IFERROR(VLOOKUP(D1454,EQUIPOS!A:F,6,FALSE()),0)</f>
        <v>571.1794909807611</v>
      </c>
      <c r="J1454" s="42">
        <f>G1454*I1454</f>
        <v>285.58974549038055</v>
      </c>
      <c r="K1454" s="15" t="str">
        <f t="shared" si="155"/>
        <v>PTO-1803|EQ</v>
      </c>
      <c r="L1454" s="15">
        <f>COUNTIFS($K$2:K1454,K1454)</f>
        <v>1</v>
      </c>
      <c r="M1454" s="15" t="str">
        <f t="shared" si="156"/>
        <v>PTO-1803|EQ|1</v>
      </c>
      <c r="N1454" s="47">
        <f>IFERROR(VLOOKUP(A1454,PARTIDAS!A:F,6,FALSE()),0)</f>
        <v>3.25</v>
      </c>
      <c r="O1454" s="247">
        <f t="shared" si="157"/>
        <v>0.5</v>
      </c>
      <c r="P1454" s="247" t="str">
        <f>+_xlfn.XLOOKUP(A1454,PPTO_GENERADOR!Q:Q,PPTO_GENERADOR!E:E,"-",0)</f>
        <v>-</v>
      </c>
      <c r="Q1454" s="247">
        <f t="shared" si="158"/>
        <v>0</v>
      </c>
      <c r="R1454" s="259" t="str">
        <f>+_xlfn.XLOOKUP(A1454,PPTO_GENERADOR!$Q:$Q,PPTO_GENERADOR!A:A,"-",0)</f>
        <v>-</v>
      </c>
    </row>
    <row r="1455" spans="1:18" ht="14.25" customHeight="1" x14ac:dyDescent="0.35">
      <c r="A1455" s="38" t="s">
        <v>2737</v>
      </c>
      <c r="B1455" s="38" t="s">
        <v>2773</v>
      </c>
      <c r="C1455" s="38"/>
      <c r="D1455" s="38" t="s">
        <v>1601</v>
      </c>
      <c r="E1455" s="44" t="str">
        <f>IFERROR(VLOOKUP(D1455,EQUIPOS!A:B,2,FALSE()),"?")</f>
        <v>EQUIPO PARA INSTALACION ELECTRICA</v>
      </c>
      <c r="F1455" s="44"/>
      <c r="G1455" s="45">
        <v>1</v>
      </c>
      <c r="H1455" s="46">
        <v>0</v>
      </c>
      <c r="I1455" s="47">
        <f>IFERROR(VLOOKUP(D1455,EQUIPOS!A:F,6,FALSE()),0)</f>
        <v>5063.0947914732405</v>
      </c>
      <c r="J1455" s="42">
        <f>G1455*I1455</f>
        <v>5063.0947914732405</v>
      </c>
      <c r="K1455" s="15" t="str">
        <f t="shared" si="155"/>
        <v>PTO-1803|EQ</v>
      </c>
      <c r="L1455" s="15">
        <f>COUNTIFS($K$2:K1455,K1455)</f>
        <v>2</v>
      </c>
      <c r="M1455" s="15" t="str">
        <f t="shared" si="156"/>
        <v>PTO-1803|EQ|2</v>
      </c>
      <c r="N1455" s="47">
        <f>IFERROR(VLOOKUP(A1455,PARTIDAS!A:F,6,FALSE()),0)</f>
        <v>3.25</v>
      </c>
      <c r="O1455" s="247">
        <f t="shared" si="157"/>
        <v>1</v>
      </c>
      <c r="P1455" s="247" t="str">
        <f>+_xlfn.XLOOKUP(A1455,PPTO_GENERADOR!Q:Q,PPTO_GENERADOR!E:E,"-",0)</f>
        <v>-</v>
      </c>
      <c r="Q1455" s="247">
        <f t="shared" si="158"/>
        <v>0</v>
      </c>
      <c r="R1455" s="259" t="str">
        <f>+_xlfn.XLOOKUP(A1455,PPTO_GENERADOR!$Q:$Q,PPTO_GENERADOR!A:A,"-",0)</f>
        <v>-</v>
      </c>
    </row>
    <row r="1456" spans="1:18" ht="14.25" customHeight="1" x14ac:dyDescent="0.35">
      <c r="A1456" s="38" t="s">
        <v>2737</v>
      </c>
      <c r="B1456" s="38" t="s">
        <v>2773</v>
      </c>
      <c r="C1456" s="38"/>
      <c r="D1456" s="38" t="s">
        <v>1622</v>
      </c>
      <c r="E1456" s="44" t="str">
        <f>IFERROR(VLOOKUP(D1456,EQUIPOS!A:B,2,FALSE()),"?")</f>
        <v>ESCALERA GLOSS ALUMINIO ARTICULADA 4 X 4 ESCALONES HASTA 150KG</v>
      </c>
      <c r="F1456" s="44"/>
      <c r="G1456" s="45">
        <v>0.5</v>
      </c>
      <c r="H1456" s="46">
        <v>0</v>
      </c>
      <c r="I1456" s="47">
        <f>IFERROR(VLOOKUP(D1456,EQUIPOS!A:F,6,FALSE()),0)</f>
        <v>140.19809259430903</v>
      </c>
      <c r="J1456" s="42">
        <f>G1456*I1456</f>
        <v>70.099046297154516</v>
      </c>
      <c r="K1456" s="15" t="str">
        <f t="shared" si="155"/>
        <v>PTO-1803|EQ</v>
      </c>
      <c r="L1456" s="15">
        <f>COUNTIFS($K$2:K1456,K1456)</f>
        <v>3</v>
      </c>
      <c r="M1456" s="15" t="str">
        <f t="shared" si="156"/>
        <v>PTO-1803|EQ|3</v>
      </c>
      <c r="N1456" s="47">
        <f>IFERROR(VLOOKUP(A1456,PARTIDAS!A:F,6,FALSE()),0)</f>
        <v>3.25</v>
      </c>
      <c r="O1456" s="247">
        <f t="shared" si="157"/>
        <v>0.5</v>
      </c>
      <c r="P1456" s="247" t="str">
        <f>+_xlfn.XLOOKUP(A1456,PPTO_GENERADOR!Q:Q,PPTO_GENERADOR!E:E,"-",0)</f>
        <v>-</v>
      </c>
      <c r="Q1456" s="247">
        <f t="shared" si="158"/>
        <v>0</v>
      </c>
      <c r="R1456" s="259" t="str">
        <f>+_xlfn.XLOOKUP(A1456,PPTO_GENERADOR!$Q:$Q,PPTO_GENERADOR!A:A,"-",0)</f>
        <v>-</v>
      </c>
    </row>
    <row r="1457" spans="1:18" ht="14.25" customHeight="1" x14ac:dyDescent="0.35">
      <c r="A1457" s="38" t="s">
        <v>2737</v>
      </c>
      <c r="B1457" s="38" t="s">
        <v>2774</v>
      </c>
      <c r="C1457" s="38" t="s">
        <v>2775</v>
      </c>
      <c r="D1457" s="38" t="s">
        <v>928</v>
      </c>
      <c r="E1457" s="44" t="str">
        <f>IFERROR(VLOOKUP(D1457,MATERIALES!A:B,2,FALSE()),"?")</f>
        <v>Conector hierro 7/8"</v>
      </c>
      <c r="F1457" s="44" t="str">
        <f>IFERROR(VLOOKUP(D1457,MATERIALES!A:C,3,FALSE()),"?")</f>
        <v>u</v>
      </c>
      <c r="G1457" s="45">
        <v>3</v>
      </c>
      <c r="H1457" s="46">
        <v>0.1</v>
      </c>
      <c r="I1457" s="47">
        <f>IFERROR(VLOOKUP(D1457,MATERIALES!A:D,4,FALSE()),0)</f>
        <v>282.29000000000002</v>
      </c>
      <c r="J1457" s="42">
        <f t="shared" ref="J1457:J1464" si="162">G1457*I1457*(1+H1457)</f>
        <v>931.55700000000024</v>
      </c>
      <c r="K1457" s="15" t="str">
        <f t="shared" si="155"/>
        <v>PTO-1803|MAT</v>
      </c>
      <c r="L1457" s="15">
        <f>COUNTIFS($K$2:K1457,K1457)</f>
        <v>1</v>
      </c>
      <c r="M1457" s="15" t="str">
        <f t="shared" si="156"/>
        <v>PTO-1803|MAT|1</v>
      </c>
      <c r="N1457" s="47">
        <f>IFERROR(VLOOKUP(A1457,PARTIDAS!A:F,6,FALSE()),0)</f>
        <v>3.25</v>
      </c>
      <c r="O1457" s="247">
        <f t="shared" si="157"/>
        <v>3</v>
      </c>
      <c r="P1457" s="247" t="str">
        <f>+_xlfn.XLOOKUP(A1457,PPTO_GENERADOR!Q:Q,PPTO_GENERADOR!E:E,"-",0)</f>
        <v>-</v>
      </c>
      <c r="Q1457" s="247">
        <f t="shared" si="158"/>
        <v>0</v>
      </c>
      <c r="R1457" s="259" t="str">
        <f>+_xlfn.XLOOKUP(A1457,PPTO_GENERADOR!$Q:$Q,PPTO_GENERADOR!A:A,"-",0)</f>
        <v>-</v>
      </c>
    </row>
    <row r="1458" spans="1:18" ht="14.25" customHeight="1" x14ac:dyDescent="0.35">
      <c r="A1458" s="38" t="s">
        <v>2737</v>
      </c>
      <c r="B1458" s="38" t="s">
        <v>2774</v>
      </c>
      <c r="C1458" s="38" t="s">
        <v>2775</v>
      </c>
      <c r="D1458" s="38" t="s">
        <v>922</v>
      </c>
      <c r="E1458" s="44" t="str">
        <f>IFERROR(VLOOKUP(D1458,MATERIALES!A:B,2,FALSE()),"?")</f>
        <v>Caño rigido 7/8"</v>
      </c>
      <c r="F1458" s="44" t="str">
        <f>IFERROR(VLOOKUP(D1458,MATERIALES!A:C,3,FALSE()),"?")</f>
        <v>ml</v>
      </c>
      <c r="G1458" s="45">
        <v>5</v>
      </c>
      <c r="H1458" s="46">
        <v>0.1</v>
      </c>
      <c r="I1458" s="47">
        <f>IFERROR(VLOOKUP(D1458,MATERIALES!A:D,4,FALSE()),0)</f>
        <v>635.55999999999995</v>
      </c>
      <c r="J1458" s="42">
        <f t="shared" si="162"/>
        <v>3495.58</v>
      </c>
      <c r="K1458" s="15" t="str">
        <f t="shared" si="155"/>
        <v>PTO-1803|MAT</v>
      </c>
      <c r="L1458" s="15">
        <f>COUNTIFS($K$2:K1458,K1458)</f>
        <v>2</v>
      </c>
      <c r="M1458" s="15" t="str">
        <f t="shared" si="156"/>
        <v>PTO-1803|MAT|2</v>
      </c>
      <c r="N1458" s="47">
        <f>IFERROR(VLOOKUP(A1458,PARTIDAS!A:F,6,FALSE()),0)</f>
        <v>3.25</v>
      </c>
      <c r="O1458" s="247">
        <f t="shared" si="157"/>
        <v>5</v>
      </c>
      <c r="P1458" s="247" t="str">
        <f>+_xlfn.XLOOKUP(A1458,PPTO_GENERADOR!Q:Q,PPTO_GENERADOR!E:E,"-",0)</f>
        <v>-</v>
      </c>
      <c r="Q1458" s="247">
        <f t="shared" si="158"/>
        <v>0</v>
      </c>
      <c r="R1458" s="259" t="str">
        <f>+_xlfn.XLOOKUP(A1458,PPTO_GENERADOR!$Q:$Q,PPTO_GENERADOR!A:A,"-",0)</f>
        <v>-</v>
      </c>
    </row>
    <row r="1459" spans="1:18" ht="14.25" customHeight="1" x14ac:dyDescent="0.35">
      <c r="A1459" s="38" t="s">
        <v>2737</v>
      </c>
      <c r="B1459" s="38" t="s">
        <v>2774</v>
      </c>
      <c r="C1459" s="38" t="s">
        <v>2775</v>
      </c>
      <c r="D1459" s="38" t="s">
        <v>935</v>
      </c>
      <c r="E1459" s="44" t="str">
        <f>IFERROR(VLOOKUP(D1459,MATERIALES!A:B,2,FALSE()),"?")</f>
        <v>Cupla PVC 7/8"</v>
      </c>
      <c r="F1459" s="44" t="str">
        <f>IFERROR(VLOOKUP(D1459,MATERIALES!A:C,3,FALSE()),"?")</f>
        <v>u</v>
      </c>
      <c r="G1459" s="45">
        <v>2</v>
      </c>
      <c r="H1459" s="46">
        <v>0.1</v>
      </c>
      <c r="I1459" s="47">
        <f>IFERROR(VLOOKUP(D1459,MATERIALES!A:D,4,FALSE()),0)</f>
        <v>184.87</v>
      </c>
      <c r="J1459" s="42">
        <f t="shared" si="162"/>
        <v>406.71400000000006</v>
      </c>
      <c r="K1459" s="15" t="str">
        <f t="shared" si="155"/>
        <v>PTO-1803|MAT</v>
      </c>
      <c r="L1459" s="15">
        <f>COUNTIFS($K$2:K1459,K1459)</f>
        <v>3</v>
      </c>
      <c r="M1459" s="15" t="str">
        <f t="shared" si="156"/>
        <v>PTO-1803|MAT|3</v>
      </c>
      <c r="N1459" s="47">
        <f>IFERROR(VLOOKUP(A1459,PARTIDAS!A:F,6,FALSE()),0)</f>
        <v>3.25</v>
      </c>
      <c r="O1459" s="247">
        <f t="shared" si="157"/>
        <v>2</v>
      </c>
      <c r="P1459" s="247" t="str">
        <f>+_xlfn.XLOOKUP(A1459,PPTO_GENERADOR!Q:Q,PPTO_GENERADOR!E:E,"-",0)</f>
        <v>-</v>
      </c>
      <c r="Q1459" s="247">
        <f t="shared" si="158"/>
        <v>0</v>
      </c>
      <c r="R1459" s="259" t="str">
        <f>+_xlfn.XLOOKUP(A1459,PPTO_GENERADOR!$Q:$Q,PPTO_GENERADOR!A:A,"-",0)</f>
        <v>-</v>
      </c>
    </row>
    <row r="1460" spans="1:18" ht="14.25" customHeight="1" x14ac:dyDescent="0.35">
      <c r="A1460" s="38" t="s">
        <v>2737</v>
      </c>
      <c r="B1460" s="38" t="s">
        <v>2774</v>
      </c>
      <c r="C1460" s="38" t="s">
        <v>2775</v>
      </c>
      <c r="D1460" s="38" t="s">
        <v>939</v>
      </c>
      <c r="E1460" s="44" t="str">
        <f>IFERROR(VLOOKUP(D1460,MATERIALES!A:B,2,FALSE()),"?")</f>
        <v>Cable unipolar 1 x 1,50</v>
      </c>
      <c r="F1460" s="44" t="str">
        <f>IFERROR(VLOOKUP(D1460,MATERIALES!A:C,3,FALSE()),"?")</f>
        <v>ml</v>
      </c>
      <c r="G1460" s="45">
        <v>7.5</v>
      </c>
      <c r="H1460" s="46">
        <v>0.1</v>
      </c>
      <c r="I1460" s="47">
        <f>IFERROR(VLOOKUP(D1460,MATERIALES!A:D,4,FALSE()),0)</f>
        <v>316.44450000000001</v>
      </c>
      <c r="J1460" s="42">
        <f t="shared" si="162"/>
        <v>2610.6671250000004</v>
      </c>
      <c r="K1460" s="15" t="str">
        <f t="shared" si="155"/>
        <v>PTO-1803|MAT</v>
      </c>
      <c r="L1460" s="15">
        <f>COUNTIFS($K$2:K1460,K1460)</f>
        <v>4</v>
      </c>
      <c r="M1460" s="15" t="str">
        <f t="shared" si="156"/>
        <v>PTO-1803|MAT|4</v>
      </c>
      <c r="N1460" s="47">
        <f>IFERROR(VLOOKUP(A1460,PARTIDAS!A:F,6,FALSE()),0)</f>
        <v>3.25</v>
      </c>
      <c r="O1460" s="247">
        <f t="shared" si="157"/>
        <v>7.5</v>
      </c>
      <c r="P1460" s="247" t="str">
        <f>+_xlfn.XLOOKUP(A1460,PPTO_GENERADOR!Q:Q,PPTO_GENERADOR!E:E,"-",0)</f>
        <v>-</v>
      </c>
      <c r="Q1460" s="247">
        <f t="shared" si="158"/>
        <v>0</v>
      </c>
      <c r="R1460" s="259" t="str">
        <f>+_xlfn.XLOOKUP(A1460,PPTO_GENERADOR!$Q:$Q,PPTO_GENERADOR!A:A,"-",0)</f>
        <v>-</v>
      </c>
    </row>
    <row r="1461" spans="1:18" ht="14.25" customHeight="1" x14ac:dyDescent="0.35">
      <c r="A1461" s="38" t="s">
        <v>2737</v>
      </c>
      <c r="B1461" s="38" t="s">
        <v>2774</v>
      </c>
      <c r="C1461" s="38" t="s">
        <v>2775</v>
      </c>
      <c r="D1461" s="38" t="s">
        <v>941</v>
      </c>
      <c r="E1461" s="44" t="str">
        <f>IFERROR(VLOOKUP(D1461,MATERIALES!A:B,2,FALSE()),"?")</f>
        <v>Cable unipolar 1 x 2,50 VA</v>
      </c>
      <c r="F1461" s="44" t="str">
        <f>IFERROR(VLOOKUP(D1461,MATERIALES!A:C,3,FALSE()),"?")</f>
        <v>ml</v>
      </c>
      <c r="G1461" s="45">
        <v>5</v>
      </c>
      <c r="H1461" s="46">
        <v>0.1</v>
      </c>
      <c r="I1461" s="47">
        <f>IFERROR(VLOOKUP(D1461,MATERIALES!A:D,4,FALSE()),0)</f>
        <v>509.31490000000002</v>
      </c>
      <c r="J1461" s="42">
        <f t="shared" si="162"/>
        <v>2801.2319500000003</v>
      </c>
      <c r="K1461" s="15" t="str">
        <f t="shared" si="155"/>
        <v>PTO-1803|MAT</v>
      </c>
      <c r="L1461" s="15">
        <f>COUNTIFS($K$2:K1461,K1461)</f>
        <v>5</v>
      </c>
      <c r="M1461" s="15" t="str">
        <f t="shared" si="156"/>
        <v>PTO-1803|MAT|5</v>
      </c>
      <c r="N1461" s="47">
        <f>IFERROR(VLOOKUP(A1461,PARTIDAS!A:F,6,FALSE()),0)</f>
        <v>3.25</v>
      </c>
      <c r="O1461" s="247">
        <f t="shared" si="157"/>
        <v>5</v>
      </c>
      <c r="P1461" s="247" t="str">
        <f>+_xlfn.XLOOKUP(A1461,PPTO_GENERADOR!Q:Q,PPTO_GENERADOR!E:E,"-",0)</f>
        <v>-</v>
      </c>
      <c r="Q1461" s="247">
        <f t="shared" si="158"/>
        <v>0</v>
      </c>
      <c r="R1461" s="259" t="str">
        <f>+_xlfn.XLOOKUP(A1461,PPTO_GENERADOR!$Q:$Q,PPTO_GENERADOR!A:A,"-",0)</f>
        <v>-</v>
      </c>
    </row>
    <row r="1462" spans="1:18" ht="14.25" customHeight="1" x14ac:dyDescent="0.35">
      <c r="A1462" s="38" t="s">
        <v>2737</v>
      </c>
      <c r="B1462" s="38" t="s">
        <v>2774</v>
      </c>
      <c r="C1462" s="38" t="s">
        <v>2775</v>
      </c>
      <c r="D1462" s="38" t="s">
        <v>943</v>
      </c>
      <c r="E1462" s="44" t="str">
        <f>IFERROR(VLOOKUP(D1462,MATERIALES!A:B,2,FALSE()),"?")</f>
        <v>Cable unipolar 1 x 2,50 Rojo/Marron/Negro</v>
      </c>
      <c r="F1462" s="44" t="str">
        <f>IFERROR(VLOOKUP(D1462,MATERIALES!A:C,3,FALSE()),"?")</f>
        <v>ml</v>
      </c>
      <c r="G1462" s="45">
        <v>7.5</v>
      </c>
      <c r="H1462" s="46">
        <v>0.1</v>
      </c>
      <c r="I1462" s="47">
        <f>IFERROR(VLOOKUP(D1462,MATERIALES!A:D,4,FALSE()),0)</f>
        <v>509.31490000000002</v>
      </c>
      <c r="J1462" s="42">
        <f t="shared" si="162"/>
        <v>4201.847925</v>
      </c>
      <c r="K1462" s="15" t="str">
        <f t="shared" si="155"/>
        <v>PTO-1803|MAT</v>
      </c>
      <c r="L1462" s="15">
        <f>COUNTIFS($K$2:K1462,K1462)</f>
        <v>6</v>
      </c>
      <c r="M1462" s="15" t="str">
        <f t="shared" si="156"/>
        <v>PTO-1803|MAT|6</v>
      </c>
      <c r="N1462" s="47">
        <f>IFERROR(VLOOKUP(A1462,PARTIDAS!A:F,6,FALSE()),0)</f>
        <v>3.25</v>
      </c>
      <c r="O1462" s="247">
        <f t="shared" si="157"/>
        <v>7.5</v>
      </c>
      <c r="P1462" s="247" t="str">
        <f>+_xlfn.XLOOKUP(A1462,PPTO_GENERADOR!Q:Q,PPTO_GENERADOR!E:E,"-",0)</f>
        <v>-</v>
      </c>
      <c r="Q1462" s="247">
        <f t="shared" si="158"/>
        <v>0</v>
      </c>
      <c r="R1462" s="259" t="str">
        <f>+_xlfn.XLOOKUP(A1462,PPTO_GENERADOR!$Q:$Q,PPTO_GENERADOR!A:A,"-",0)</f>
        <v>-</v>
      </c>
    </row>
    <row r="1463" spans="1:18" ht="14.25" customHeight="1" x14ac:dyDescent="0.35">
      <c r="A1463" s="38" t="s">
        <v>2737</v>
      </c>
      <c r="B1463" s="38" t="s">
        <v>2774</v>
      </c>
      <c r="C1463" s="38" t="s">
        <v>2775</v>
      </c>
      <c r="D1463" s="38" t="s">
        <v>947</v>
      </c>
      <c r="E1463" s="44" t="str">
        <f>IFERROR(VLOOKUP(D1463,MATERIALES!A:B,2,FALSE()),"?")</f>
        <v>Caja octogonal chica</v>
      </c>
      <c r="F1463" s="44" t="str">
        <f>IFERROR(VLOOKUP(D1463,MATERIALES!A:C,3,FALSE()),"?")</f>
        <v>u</v>
      </c>
      <c r="G1463" s="45">
        <v>1</v>
      </c>
      <c r="H1463" s="46">
        <v>0.05</v>
      </c>
      <c r="I1463" s="47">
        <f>IFERROR(VLOOKUP(D1463,MATERIALES!A:D,4,FALSE()),0)</f>
        <v>202.42</v>
      </c>
      <c r="J1463" s="42">
        <f t="shared" si="162"/>
        <v>212.541</v>
      </c>
      <c r="K1463" s="15" t="str">
        <f t="shared" si="155"/>
        <v>PTO-1803|MAT</v>
      </c>
      <c r="L1463" s="15">
        <f>COUNTIFS($K$2:K1463,K1463)</f>
        <v>7</v>
      </c>
      <c r="M1463" s="15" t="str">
        <f t="shared" si="156"/>
        <v>PTO-1803|MAT|7</v>
      </c>
      <c r="N1463" s="47">
        <f>IFERROR(VLOOKUP(A1463,PARTIDAS!A:F,6,FALSE()),0)</f>
        <v>3.25</v>
      </c>
      <c r="O1463" s="247">
        <f t="shared" si="157"/>
        <v>1</v>
      </c>
      <c r="P1463" s="247" t="str">
        <f>+_xlfn.XLOOKUP(A1463,PPTO_GENERADOR!Q:Q,PPTO_GENERADOR!E:E,"-",0)</f>
        <v>-</v>
      </c>
      <c r="Q1463" s="247">
        <f t="shared" si="158"/>
        <v>0</v>
      </c>
      <c r="R1463" s="259" t="str">
        <f>+_xlfn.XLOOKUP(A1463,PPTO_GENERADOR!$Q:$Q,PPTO_GENERADOR!A:A,"-",0)</f>
        <v>-</v>
      </c>
    </row>
    <row r="1464" spans="1:18" ht="14.25" customHeight="1" x14ac:dyDescent="0.35">
      <c r="A1464" s="38" t="s">
        <v>2737</v>
      </c>
      <c r="B1464" s="38" t="s">
        <v>2774</v>
      </c>
      <c r="C1464" s="38" t="s">
        <v>2775</v>
      </c>
      <c r="D1464" s="38" t="s">
        <v>951</v>
      </c>
      <c r="E1464" s="44" t="str">
        <f>IFERROR(VLOOKUP(D1464,MATERIALES!A:B,2,FALSE()),"?")</f>
        <v>Caja rectangular chica</v>
      </c>
      <c r="F1464" s="44" t="str">
        <f>IFERROR(VLOOKUP(D1464,MATERIALES!A:C,3,FALSE()),"?")</f>
        <v>u</v>
      </c>
      <c r="G1464" s="45">
        <v>0.5</v>
      </c>
      <c r="H1464" s="46">
        <v>0.05</v>
      </c>
      <c r="I1464" s="47">
        <f>IFERROR(VLOOKUP(D1464,MATERIALES!A:D,4,FALSE()),0)</f>
        <v>202.42</v>
      </c>
      <c r="J1464" s="42">
        <f t="shared" si="162"/>
        <v>106.2705</v>
      </c>
      <c r="K1464" s="15" t="str">
        <f t="shared" si="155"/>
        <v>PTO-1803|MAT</v>
      </c>
      <c r="L1464" s="15">
        <f>COUNTIFS($K$2:K1464,K1464)</f>
        <v>8</v>
      </c>
      <c r="M1464" s="15" t="str">
        <f t="shared" si="156"/>
        <v>PTO-1803|MAT|8</v>
      </c>
      <c r="N1464" s="47">
        <f>IFERROR(VLOOKUP(A1464,PARTIDAS!A:F,6,FALSE()),0)</f>
        <v>3.25</v>
      </c>
      <c r="O1464" s="247">
        <f t="shared" si="157"/>
        <v>0.5</v>
      </c>
      <c r="P1464" s="247" t="str">
        <f>+_xlfn.XLOOKUP(A1464,PPTO_GENERADOR!Q:Q,PPTO_GENERADOR!E:E,"-",0)</f>
        <v>-</v>
      </c>
      <c r="Q1464" s="247">
        <f t="shared" si="158"/>
        <v>0</v>
      </c>
      <c r="R1464" s="259" t="str">
        <f>+_xlfn.XLOOKUP(A1464,PPTO_GENERADOR!$Q:$Q,PPTO_GENERADOR!A:A,"-",0)</f>
        <v>-</v>
      </c>
    </row>
    <row r="1465" spans="1:18" ht="14.25" customHeight="1" x14ac:dyDescent="0.35">
      <c r="A1465" s="38" t="s">
        <v>2739</v>
      </c>
      <c r="B1465" s="38" t="s">
        <v>2776</v>
      </c>
      <c r="C1465" s="38" t="s">
        <v>2775</v>
      </c>
      <c r="D1465" s="38" t="s">
        <v>2430</v>
      </c>
      <c r="E1465" s="44" t="str">
        <f>IFERROR(VLOOKUP(D1465,SUBCONTRATOS_PRY!A:B,2,FALSE()),"?")</f>
        <v>Boca completa</v>
      </c>
      <c r="F1465" s="44" t="s">
        <v>2778</v>
      </c>
      <c r="G1465" s="45">
        <v>3.25</v>
      </c>
      <c r="H1465" s="46">
        <v>0</v>
      </c>
      <c r="I1465" s="47">
        <f>IFERROR(VLOOKUP(D1465,SUBCONTRATOS_PRY!A:D,4,FALSE()),0)</f>
        <v>35416.5</v>
      </c>
      <c r="J1465" s="42">
        <f>G1465*I1465</f>
        <v>115103.625</v>
      </c>
      <c r="K1465" s="15" t="str">
        <f t="shared" si="155"/>
        <v>PTO-1805|MO</v>
      </c>
      <c r="L1465" s="15">
        <f>COUNTIFS($K$2:K1465,K1465)</f>
        <v>1</v>
      </c>
      <c r="M1465" s="15" t="str">
        <f t="shared" si="156"/>
        <v>PTO-1805|MO|1</v>
      </c>
      <c r="N1465" s="47">
        <f>IFERROR(VLOOKUP(A1465,PARTIDAS!A:F,6,FALSE()),0)</f>
        <v>3.25</v>
      </c>
      <c r="O1465" s="247">
        <f t="shared" si="157"/>
        <v>3.25</v>
      </c>
      <c r="P1465" s="247" t="str">
        <f>+_xlfn.XLOOKUP(A1465,PPTO_GENERADOR!Q:Q,PPTO_GENERADOR!E:E,"-",0)</f>
        <v>-</v>
      </c>
      <c r="Q1465" s="247">
        <f t="shared" si="158"/>
        <v>0</v>
      </c>
      <c r="R1465" s="259" t="str">
        <f>+_xlfn.XLOOKUP(A1465,PPTO_GENERADOR!$Q:$Q,PPTO_GENERADOR!A:A,"-",0)</f>
        <v>-</v>
      </c>
    </row>
    <row r="1466" spans="1:18" ht="14.25" customHeight="1" x14ac:dyDescent="0.35">
      <c r="A1466" s="38" t="s">
        <v>2741</v>
      </c>
      <c r="B1466" s="38" t="s">
        <v>2776</v>
      </c>
      <c r="C1466" s="38" t="s">
        <v>2775</v>
      </c>
      <c r="D1466" s="38" t="s">
        <v>2430</v>
      </c>
      <c r="E1466" s="44" t="str">
        <f>IFERROR(VLOOKUP(D1466,SUBCONTRATOS_PRY!A:B,2,FALSE()),"?")</f>
        <v>Boca completa</v>
      </c>
      <c r="F1466" s="44" t="s">
        <v>2778</v>
      </c>
      <c r="G1466" s="45">
        <v>3.25</v>
      </c>
      <c r="H1466" s="46">
        <v>0</v>
      </c>
      <c r="I1466" s="47">
        <f>IFERROR(VLOOKUP(D1466,SUBCONTRATOS_PRY!A:D,4,FALSE()),0)</f>
        <v>35416.5</v>
      </c>
      <c r="J1466" s="42">
        <f>G1466*I1466</f>
        <v>115103.625</v>
      </c>
      <c r="K1466" s="15" t="str">
        <f t="shared" si="155"/>
        <v>PTO-1806|MO</v>
      </c>
      <c r="L1466" s="15">
        <f>COUNTIFS($K$2:K1466,K1466)</f>
        <v>1</v>
      </c>
      <c r="M1466" s="15" t="str">
        <f t="shared" si="156"/>
        <v>PTO-1806|MO|1</v>
      </c>
      <c r="N1466" s="47">
        <f>IFERROR(VLOOKUP(A1466,PARTIDAS!A:F,6,FALSE()),0)</f>
        <v>3.25</v>
      </c>
      <c r="O1466" s="247">
        <f t="shared" si="157"/>
        <v>3.25</v>
      </c>
      <c r="P1466" s="247" t="str">
        <f>+_xlfn.XLOOKUP(A1466,PPTO_GENERADOR!Q:Q,PPTO_GENERADOR!E:E,"-",0)</f>
        <v>-</v>
      </c>
      <c r="Q1466" s="247">
        <f t="shared" si="158"/>
        <v>0</v>
      </c>
      <c r="R1466" s="259" t="str">
        <f>+_xlfn.XLOOKUP(A1466,PPTO_GENERADOR!$Q:$Q,PPTO_GENERADOR!A:A,"-",0)</f>
        <v>-</v>
      </c>
    </row>
    <row r="1467" spans="1:18" ht="14.25" customHeight="1" x14ac:dyDescent="0.35">
      <c r="A1467" s="38" t="s">
        <v>2738</v>
      </c>
      <c r="B1467" s="38" t="s">
        <v>2773</v>
      </c>
      <c r="C1467" s="38"/>
      <c r="D1467" s="38" t="s">
        <v>1592</v>
      </c>
      <c r="E1467" s="44" t="str">
        <f>IFERROR(VLOOKUP(D1467,EQUIPOS!A:B,2,FALSE()),"?")</f>
        <v>ANDAMIO TUBULAR DE UNO A TRES CUERPOS</v>
      </c>
      <c r="F1467" s="44"/>
      <c r="G1467" s="45">
        <v>0.5</v>
      </c>
      <c r="H1467" s="46">
        <v>0</v>
      </c>
      <c r="I1467" s="47">
        <f>IFERROR(VLOOKUP(D1467,EQUIPOS!A:F,6,FALSE()),0)</f>
        <v>571.1794909807611</v>
      </c>
      <c r="J1467" s="42">
        <f>G1467*I1467</f>
        <v>285.58974549038055</v>
      </c>
      <c r="K1467" s="15" t="str">
        <f t="shared" si="155"/>
        <v>PTO-1804|EQ</v>
      </c>
      <c r="L1467" s="15">
        <f>COUNTIFS($K$2:K1467,K1467)</f>
        <v>1</v>
      </c>
      <c r="M1467" s="15" t="str">
        <f t="shared" si="156"/>
        <v>PTO-1804|EQ|1</v>
      </c>
      <c r="N1467" s="47">
        <f>IFERROR(VLOOKUP(A1467,PARTIDAS!A:F,6,FALSE()),0)</f>
        <v>3.25</v>
      </c>
      <c r="O1467" s="247">
        <f t="shared" si="157"/>
        <v>0.5</v>
      </c>
      <c r="P1467" s="247" t="str">
        <f>+_xlfn.XLOOKUP(A1467,PPTO_GENERADOR!Q:Q,PPTO_GENERADOR!E:E,"-",0)</f>
        <v>-</v>
      </c>
      <c r="Q1467" s="247">
        <f t="shared" si="158"/>
        <v>0</v>
      </c>
      <c r="R1467" s="259" t="str">
        <f>+_xlfn.XLOOKUP(A1467,PPTO_GENERADOR!$Q:$Q,PPTO_GENERADOR!A:A,"-",0)</f>
        <v>-</v>
      </c>
    </row>
    <row r="1468" spans="1:18" ht="14.25" customHeight="1" x14ac:dyDescent="0.35">
      <c r="A1468" s="38" t="s">
        <v>2738</v>
      </c>
      <c r="B1468" s="38" t="s">
        <v>2773</v>
      </c>
      <c r="C1468" s="38"/>
      <c r="D1468" s="38" t="s">
        <v>1601</v>
      </c>
      <c r="E1468" s="44" t="str">
        <f>IFERROR(VLOOKUP(D1468,EQUIPOS!A:B,2,FALSE()),"?")</f>
        <v>EQUIPO PARA INSTALACION ELECTRICA</v>
      </c>
      <c r="F1468" s="44"/>
      <c r="G1468" s="45">
        <v>1</v>
      </c>
      <c r="H1468" s="46">
        <v>0</v>
      </c>
      <c r="I1468" s="47">
        <f>IFERROR(VLOOKUP(D1468,EQUIPOS!A:F,6,FALSE()),0)</f>
        <v>5063.0947914732405</v>
      </c>
      <c r="J1468" s="42">
        <f>G1468*I1468</f>
        <v>5063.0947914732405</v>
      </c>
      <c r="K1468" s="15" t="str">
        <f t="shared" si="155"/>
        <v>PTO-1804|EQ</v>
      </c>
      <c r="L1468" s="15">
        <f>COUNTIFS($K$2:K1468,K1468)</f>
        <v>2</v>
      </c>
      <c r="M1468" s="15" t="str">
        <f t="shared" si="156"/>
        <v>PTO-1804|EQ|2</v>
      </c>
      <c r="N1468" s="47">
        <f>IFERROR(VLOOKUP(A1468,PARTIDAS!A:F,6,FALSE()),0)</f>
        <v>3.25</v>
      </c>
      <c r="O1468" s="247">
        <f t="shared" si="157"/>
        <v>1</v>
      </c>
      <c r="P1468" s="247" t="str">
        <f>+_xlfn.XLOOKUP(A1468,PPTO_GENERADOR!Q:Q,PPTO_GENERADOR!E:E,"-",0)</f>
        <v>-</v>
      </c>
      <c r="Q1468" s="247">
        <f t="shared" si="158"/>
        <v>0</v>
      </c>
      <c r="R1468" s="259" t="str">
        <f>+_xlfn.XLOOKUP(A1468,PPTO_GENERADOR!$Q:$Q,PPTO_GENERADOR!A:A,"-",0)</f>
        <v>-</v>
      </c>
    </row>
    <row r="1469" spans="1:18" ht="14.25" customHeight="1" x14ac:dyDescent="0.35">
      <c r="A1469" s="38" t="s">
        <v>2738</v>
      </c>
      <c r="B1469" s="38" t="s">
        <v>2773</v>
      </c>
      <c r="C1469" s="38"/>
      <c r="D1469" s="38" t="s">
        <v>1622</v>
      </c>
      <c r="E1469" s="44" t="str">
        <f>IFERROR(VLOOKUP(D1469,EQUIPOS!A:B,2,FALSE()),"?")</f>
        <v>ESCALERA GLOSS ALUMINIO ARTICULADA 4 X 4 ESCALONES HASTA 150KG</v>
      </c>
      <c r="F1469" s="44"/>
      <c r="G1469" s="45">
        <v>0.5</v>
      </c>
      <c r="H1469" s="46">
        <v>0</v>
      </c>
      <c r="I1469" s="47">
        <f>IFERROR(VLOOKUP(D1469,EQUIPOS!A:F,6,FALSE()),0)</f>
        <v>140.19809259430903</v>
      </c>
      <c r="J1469" s="42">
        <f>G1469*I1469</f>
        <v>70.099046297154516</v>
      </c>
      <c r="K1469" s="15" t="str">
        <f t="shared" si="155"/>
        <v>PTO-1804|EQ</v>
      </c>
      <c r="L1469" s="15">
        <f>COUNTIFS($K$2:K1469,K1469)</f>
        <v>3</v>
      </c>
      <c r="M1469" s="15" t="str">
        <f t="shared" si="156"/>
        <v>PTO-1804|EQ|3</v>
      </c>
      <c r="N1469" s="47">
        <f>IFERROR(VLOOKUP(A1469,PARTIDAS!A:F,6,FALSE()),0)</f>
        <v>3.25</v>
      </c>
      <c r="O1469" s="247">
        <f t="shared" si="157"/>
        <v>0.5</v>
      </c>
      <c r="P1469" s="247" t="str">
        <f>+_xlfn.XLOOKUP(A1469,PPTO_GENERADOR!Q:Q,PPTO_GENERADOR!E:E,"-",0)</f>
        <v>-</v>
      </c>
      <c r="Q1469" s="247">
        <f t="shared" si="158"/>
        <v>0</v>
      </c>
      <c r="R1469" s="259" t="str">
        <f>+_xlfn.XLOOKUP(A1469,PPTO_GENERADOR!$Q:$Q,PPTO_GENERADOR!A:A,"-",0)</f>
        <v>-</v>
      </c>
    </row>
    <row r="1470" spans="1:18" ht="14.25" customHeight="1" x14ac:dyDescent="0.35">
      <c r="A1470" s="38" t="s">
        <v>2738</v>
      </c>
      <c r="B1470" s="38" t="s">
        <v>2774</v>
      </c>
      <c r="C1470" s="38" t="s">
        <v>2775</v>
      </c>
      <c r="D1470" s="38" t="s">
        <v>928</v>
      </c>
      <c r="E1470" s="44" t="str">
        <f>IFERROR(VLOOKUP(D1470,MATERIALES!A:B,2,FALSE()),"?")</f>
        <v>Conector hierro 7/8"</v>
      </c>
      <c r="F1470" s="44" t="str">
        <f>IFERROR(VLOOKUP(D1470,MATERIALES!A:C,3,FALSE()),"?")</f>
        <v>u</v>
      </c>
      <c r="G1470" s="45">
        <v>3</v>
      </c>
      <c r="H1470" s="46">
        <v>0.1</v>
      </c>
      <c r="I1470" s="47">
        <f>IFERROR(VLOOKUP(D1470,MATERIALES!A:D,4,FALSE()),0)</f>
        <v>282.29000000000002</v>
      </c>
      <c r="J1470" s="42">
        <f t="shared" ref="J1470:J1477" si="163">G1470*I1470*(1+H1470)</f>
        <v>931.55700000000024</v>
      </c>
      <c r="K1470" s="15" t="str">
        <f t="shared" si="155"/>
        <v>PTO-1804|MAT</v>
      </c>
      <c r="L1470" s="15">
        <f>COUNTIFS($K$2:K1470,K1470)</f>
        <v>1</v>
      </c>
      <c r="M1470" s="15" t="str">
        <f t="shared" si="156"/>
        <v>PTO-1804|MAT|1</v>
      </c>
      <c r="N1470" s="47">
        <f>IFERROR(VLOOKUP(A1470,PARTIDAS!A:F,6,FALSE()),0)</f>
        <v>3.25</v>
      </c>
      <c r="O1470" s="247">
        <f t="shared" si="157"/>
        <v>3</v>
      </c>
      <c r="P1470" s="247" t="str">
        <f>+_xlfn.XLOOKUP(A1470,PPTO_GENERADOR!Q:Q,PPTO_GENERADOR!E:E,"-",0)</f>
        <v>-</v>
      </c>
      <c r="Q1470" s="247">
        <f t="shared" si="158"/>
        <v>0</v>
      </c>
      <c r="R1470" s="259" t="str">
        <f>+_xlfn.XLOOKUP(A1470,PPTO_GENERADOR!$Q:$Q,PPTO_GENERADOR!A:A,"-",0)</f>
        <v>-</v>
      </c>
    </row>
    <row r="1471" spans="1:18" ht="14.25" customHeight="1" x14ac:dyDescent="0.35">
      <c r="A1471" s="38" t="s">
        <v>2738</v>
      </c>
      <c r="B1471" s="38" t="s">
        <v>2774</v>
      </c>
      <c r="C1471" s="38" t="s">
        <v>2775</v>
      </c>
      <c r="D1471" s="38" t="s">
        <v>922</v>
      </c>
      <c r="E1471" s="44" t="str">
        <f>IFERROR(VLOOKUP(D1471,MATERIALES!A:B,2,FALSE()),"?")</f>
        <v>Caño rigido 7/8"</v>
      </c>
      <c r="F1471" s="44" t="str">
        <f>IFERROR(VLOOKUP(D1471,MATERIALES!A:C,3,FALSE()),"?")</f>
        <v>ml</v>
      </c>
      <c r="G1471" s="45">
        <v>5</v>
      </c>
      <c r="H1471" s="46">
        <v>0.1</v>
      </c>
      <c r="I1471" s="47">
        <f>IFERROR(VLOOKUP(D1471,MATERIALES!A:D,4,FALSE()),0)</f>
        <v>635.55999999999995</v>
      </c>
      <c r="J1471" s="42">
        <f t="shared" si="163"/>
        <v>3495.58</v>
      </c>
      <c r="K1471" s="15" t="str">
        <f t="shared" si="155"/>
        <v>PTO-1804|MAT</v>
      </c>
      <c r="L1471" s="15">
        <f>COUNTIFS($K$2:K1471,K1471)</f>
        <v>2</v>
      </c>
      <c r="M1471" s="15" t="str">
        <f t="shared" si="156"/>
        <v>PTO-1804|MAT|2</v>
      </c>
      <c r="N1471" s="47">
        <f>IFERROR(VLOOKUP(A1471,PARTIDAS!A:F,6,FALSE()),0)</f>
        <v>3.25</v>
      </c>
      <c r="O1471" s="247">
        <f t="shared" si="157"/>
        <v>5</v>
      </c>
      <c r="P1471" s="247" t="str">
        <f>+_xlfn.XLOOKUP(A1471,PPTO_GENERADOR!Q:Q,PPTO_GENERADOR!E:E,"-",0)</f>
        <v>-</v>
      </c>
      <c r="Q1471" s="247">
        <f t="shared" si="158"/>
        <v>0</v>
      </c>
      <c r="R1471" s="259" t="str">
        <f>+_xlfn.XLOOKUP(A1471,PPTO_GENERADOR!$Q:$Q,PPTO_GENERADOR!A:A,"-",0)</f>
        <v>-</v>
      </c>
    </row>
    <row r="1472" spans="1:18" ht="14.25" customHeight="1" x14ac:dyDescent="0.35">
      <c r="A1472" s="38" t="s">
        <v>2738</v>
      </c>
      <c r="B1472" s="38" t="s">
        <v>2774</v>
      </c>
      <c r="C1472" s="38" t="s">
        <v>2775</v>
      </c>
      <c r="D1472" s="38" t="s">
        <v>935</v>
      </c>
      <c r="E1472" s="44" t="str">
        <f>IFERROR(VLOOKUP(D1472,MATERIALES!A:B,2,FALSE()),"?")</f>
        <v>Cupla PVC 7/8"</v>
      </c>
      <c r="F1472" s="44" t="str">
        <f>IFERROR(VLOOKUP(D1472,MATERIALES!A:C,3,FALSE()),"?")</f>
        <v>u</v>
      </c>
      <c r="G1472" s="45">
        <v>2</v>
      </c>
      <c r="H1472" s="46">
        <v>0.1</v>
      </c>
      <c r="I1472" s="47">
        <f>IFERROR(VLOOKUP(D1472,MATERIALES!A:D,4,FALSE()),0)</f>
        <v>184.87</v>
      </c>
      <c r="J1472" s="42">
        <f t="shared" si="163"/>
        <v>406.71400000000006</v>
      </c>
      <c r="K1472" s="15" t="str">
        <f t="shared" si="155"/>
        <v>PTO-1804|MAT</v>
      </c>
      <c r="L1472" s="15">
        <f>COUNTIFS($K$2:K1472,K1472)</f>
        <v>3</v>
      </c>
      <c r="M1472" s="15" t="str">
        <f t="shared" si="156"/>
        <v>PTO-1804|MAT|3</v>
      </c>
      <c r="N1472" s="47">
        <f>IFERROR(VLOOKUP(A1472,PARTIDAS!A:F,6,FALSE()),0)</f>
        <v>3.25</v>
      </c>
      <c r="O1472" s="247">
        <f t="shared" si="157"/>
        <v>2</v>
      </c>
      <c r="P1472" s="247" t="str">
        <f>+_xlfn.XLOOKUP(A1472,PPTO_GENERADOR!Q:Q,PPTO_GENERADOR!E:E,"-",0)</f>
        <v>-</v>
      </c>
      <c r="Q1472" s="247">
        <f t="shared" si="158"/>
        <v>0</v>
      </c>
      <c r="R1472" s="259" t="str">
        <f>+_xlfn.XLOOKUP(A1472,PPTO_GENERADOR!$Q:$Q,PPTO_GENERADOR!A:A,"-",0)</f>
        <v>-</v>
      </c>
    </row>
    <row r="1473" spans="1:18" ht="14.25" customHeight="1" x14ac:dyDescent="0.35">
      <c r="A1473" s="38" t="s">
        <v>2738</v>
      </c>
      <c r="B1473" s="38" t="s">
        <v>2774</v>
      </c>
      <c r="C1473" s="38" t="s">
        <v>2775</v>
      </c>
      <c r="D1473" s="38" t="s">
        <v>939</v>
      </c>
      <c r="E1473" s="44" t="str">
        <f>IFERROR(VLOOKUP(D1473,MATERIALES!A:B,2,FALSE()),"?")</f>
        <v>Cable unipolar 1 x 1,50</v>
      </c>
      <c r="F1473" s="44" t="str">
        <f>IFERROR(VLOOKUP(D1473,MATERIALES!A:C,3,FALSE()),"?")</f>
        <v>ml</v>
      </c>
      <c r="G1473" s="45">
        <v>7.5</v>
      </c>
      <c r="H1473" s="46">
        <v>0.1</v>
      </c>
      <c r="I1473" s="47">
        <f>IFERROR(VLOOKUP(D1473,MATERIALES!A:D,4,FALSE()),0)</f>
        <v>316.44450000000001</v>
      </c>
      <c r="J1473" s="42">
        <f t="shared" si="163"/>
        <v>2610.6671250000004</v>
      </c>
      <c r="K1473" s="15" t="str">
        <f t="shared" si="155"/>
        <v>PTO-1804|MAT</v>
      </c>
      <c r="L1473" s="15">
        <f>COUNTIFS($K$2:K1473,K1473)</f>
        <v>4</v>
      </c>
      <c r="M1473" s="15" t="str">
        <f t="shared" si="156"/>
        <v>PTO-1804|MAT|4</v>
      </c>
      <c r="N1473" s="47">
        <f>IFERROR(VLOOKUP(A1473,PARTIDAS!A:F,6,FALSE()),0)</f>
        <v>3.25</v>
      </c>
      <c r="O1473" s="247">
        <f t="shared" si="157"/>
        <v>7.5</v>
      </c>
      <c r="P1473" s="247" t="str">
        <f>+_xlfn.XLOOKUP(A1473,PPTO_GENERADOR!Q:Q,PPTO_GENERADOR!E:E,"-",0)</f>
        <v>-</v>
      </c>
      <c r="Q1473" s="247">
        <f t="shared" si="158"/>
        <v>0</v>
      </c>
      <c r="R1473" s="259" t="str">
        <f>+_xlfn.XLOOKUP(A1473,PPTO_GENERADOR!$Q:$Q,PPTO_GENERADOR!A:A,"-",0)</f>
        <v>-</v>
      </c>
    </row>
    <row r="1474" spans="1:18" ht="14.25" customHeight="1" x14ac:dyDescent="0.35">
      <c r="A1474" s="38" t="s">
        <v>2738</v>
      </c>
      <c r="B1474" s="38" t="s">
        <v>2774</v>
      </c>
      <c r="C1474" s="38" t="s">
        <v>2775</v>
      </c>
      <c r="D1474" s="38" t="s">
        <v>941</v>
      </c>
      <c r="E1474" s="44" t="str">
        <f>IFERROR(VLOOKUP(D1474,MATERIALES!A:B,2,FALSE()),"?")</f>
        <v>Cable unipolar 1 x 2,50 VA</v>
      </c>
      <c r="F1474" s="44" t="str">
        <f>IFERROR(VLOOKUP(D1474,MATERIALES!A:C,3,FALSE()),"?")</f>
        <v>ml</v>
      </c>
      <c r="G1474" s="45">
        <v>5</v>
      </c>
      <c r="H1474" s="46">
        <v>0.1</v>
      </c>
      <c r="I1474" s="47">
        <f>IFERROR(VLOOKUP(D1474,MATERIALES!A:D,4,FALSE()),0)</f>
        <v>509.31490000000002</v>
      </c>
      <c r="J1474" s="42">
        <f t="shared" si="163"/>
        <v>2801.2319500000003</v>
      </c>
      <c r="K1474" s="15" t="str">
        <f t="shared" ref="K1474:K1537" si="164">A1474&amp;"|"&amp;B1474</f>
        <v>PTO-1804|MAT</v>
      </c>
      <c r="L1474" s="15">
        <f>COUNTIFS($K$2:K1474,K1474)</f>
        <v>5</v>
      </c>
      <c r="M1474" s="15" t="str">
        <f t="shared" ref="M1474:M1537" si="165">K1474&amp;"|"&amp;L1474</f>
        <v>PTO-1804|MAT|5</v>
      </c>
      <c r="N1474" s="47">
        <f>IFERROR(VLOOKUP(A1474,PARTIDAS!A:F,6,FALSE()),0)</f>
        <v>3.25</v>
      </c>
      <c r="O1474" s="247">
        <f t="shared" si="157"/>
        <v>5</v>
      </c>
      <c r="P1474" s="247" t="str">
        <f>+_xlfn.XLOOKUP(A1474,PPTO_GENERADOR!Q:Q,PPTO_GENERADOR!E:E,"-",0)</f>
        <v>-</v>
      </c>
      <c r="Q1474" s="247">
        <f t="shared" si="158"/>
        <v>0</v>
      </c>
      <c r="R1474" s="259" t="str">
        <f>+_xlfn.XLOOKUP(A1474,PPTO_GENERADOR!$Q:$Q,PPTO_GENERADOR!A:A,"-",0)</f>
        <v>-</v>
      </c>
    </row>
    <row r="1475" spans="1:18" ht="14.25" customHeight="1" x14ac:dyDescent="0.35">
      <c r="A1475" s="38" t="s">
        <v>2738</v>
      </c>
      <c r="B1475" s="38" t="s">
        <v>2774</v>
      </c>
      <c r="C1475" s="38" t="s">
        <v>2775</v>
      </c>
      <c r="D1475" s="38" t="s">
        <v>943</v>
      </c>
      <c r="E1475" s="44" t="str">
        <f>IFERROR(VLOOKUP(D1475,MATERIALES!A:B,2,FALSE()),"?")</f>
        <v>Cable unipolar 1 x 2,50 Rojo/Marron/Negro</v>
      </c>
      <c r="F1475" s="44" t="str">
        <f>IFERROR(VLOOKUP(D1475,MATERIALES!A:C,3,FALSE()),"?")</f>
        <v>ml</v>
      </c>
      <c r="G1475" s="45">
        <v>7.5</v>
      </c>
      <c r="H1475" s="46">
        <v>0.1</v>
      </c>
      <c r="I1475" s="47">
        <f>IFERROR(VLOOKUP(D1475,MATERIALES!A:D,4,FALSE()),0)</f>
        <v>509.31490000000002</v>
      </c>
      <c r="J1475" s="42">
        <f t="shared" si="163"/>
        <v>4201.847925</v>
      </c>
      <c r="K1475" s="15" t="str">
        <f t="shared" si="164"/>
        <v>PTO-1804|MAT</v>
      </c>
      <c r="L1475" s="15">
        <f>COUNTIFS($K$2:K1475,K1475)</f>
        <v>6</v>
      </c>
      <c r="M1475" s="15" t="str">
        <f t="shared" si="165"/>
        <v>PTO-1804|MAT|6</v>
      </c>
      <c r="N1475" s="47">
        <f>IFERROR(VLOOKUP(A1475,PARTIDAS!A:F,6,FALSE()),0)</f>
        <v>3.25</v>
      </c>
      <c r="O1475" s="247">
        <f t="shared" ref="O1475:O1538" si="166">+IF(C1475="ALB",G1475/N1475,G1475)</f>
        <v>7.5</v>
      </c>
      <c r="P1475" s="247" t="str">
        <f>+_xlfn.XLOOKUP(A1475,PPTO_GENERADOR!Q:Q,PPTO_GENERADOR!E:E,"-",0)</f>
        <v>-</v>
      </c>
      <c r="Q1475" s="247">
        <f t="shared" ref="Q1475:Q1538" si="167">IFERROR(P1475*O1475,0)</f>
        <v>0</v>
      </c>
      <c r="R1475" s="259" t="str">
        <f>+_xlfn.XLOOKUP(A1475,PPTO_GENERADOR!$Q:$Q,PPTO_GENERADOR!A:A,"-",0)</f>
        <v>-</v>
      </c>
    </row>
    <row r="1476" spans="1:18" ht="14.25" customHeight="1" x14ac:dyDescent="0.35">
      <c r="A1476" s="38" t="s">
        <v>2738</v>
      </c>
      <c r="B1476" s="38" t="s">
        <v>2774</v>
      </c>
      <c r="C1476" s="38" t="s">
        <v>2775</v>
      </c>
      <c r="D1476" s="38" t="s">
        <v>947</v>
      </c>
      <c r="E1476" s="44" t="str">
        <f>IFERROR(VLOOKUP(D1476,MATERIALES!A:B,2,FALSE()),"?")</f>
        <v>Caja octogonal chica</v>
      </c>
      <c r="F1476" s="44" t="str">
        <f>IFERROR(VLOOKUP(D1476,MATERIALES!A:C,3,FALSE()),"?")</f>
        <v>u</v>
      </c>
      <c r="G1476" s="45">
        <v>1</v>
      </c>
      <c r="H1476" s="46">
        <v>0.05</v>
      </c>
      <c r="I1476" s="47">
        <f>IFERROR(VLOOKUP(D1476,MATERIALES!A:D,4,FALSE()),0)</f>
        <v>202.42</v>
      </c>
      <c r="J1476" s="42">
        <f t="shared" si="163"/>
        <v>212.541</v>
      </c>
      <c r="K1476" s="15" t="str">
        <f t="shared" si="164"/>
        <v>PTO-1804|MAT</v>
      </c>
      <c r="L1476" s="15">
        <f>COUNTIFS($K$2:K1476,K1476)</f>
        <v>7</v>
      </c>
      <c r="M1476" s="15" t="str">
        <f t="shared" si="165"/>
        <v>PTO-1804|MAT|7</v>
      </c>
      <c r="N1476" s="47">
        <f>IFERROR(VLOOKUP(A1476,PARTIDAS!A:F,6,FALSE()),0)</f>
        <v>3.25</v>
      </c>
      <c r="O1476" s="247">
        <f t="shared" si="166"/>
        <v>1</v>
      </c>
      <c r="P1476" s="247" t="str">
        <f>+_xlfn.XLOOKUP(A1476,PPTO_GENERADOR!Q:Q,PPTO_GENERADOR!E:E,"-",0)</f>
        <v>-</v>
      </c>
      <c r="Q1476" s="247">
        <f t="shared" si="167"/>
        <v>0</v>
      </c>
      <c r="R1476" s="259" t="str">
        <f>+_xlfn.XLOOKUP(A1476,PPTO_GENERADOR!$Q:$Q,PPTO_GENERADOR!A:A,"-",0)</f>
        <v>-</v>
      </c>
    </row>
    <row r="1477" spans="1:18" ht="14.25" customHeight="1" x14ac:dyDescent="0.35">
      <c r="A1477" s="38" t="s">
        <v>2738</v>
      </c>
      <c r="B1477" s="38" t="s">
        <v>2774</v>
      </c>
      <c r="C1477" s="38" t="s">
        <v>2775</v>
      </c>
      <c r="D1477" s="38" t="s">
        <v>951</v>
      </c>
      <c r="E1477" s="44" t="str">
        <f>IFERROR(VLOOKUP(D1477,MATERIALES!A:B,2,FALSE()),"?")</f>
        <v>Caja rectangular chica</v>
      </c>
      <c r="F1477" s="44" t="str">
        <f>IFERROR(VLOOKUP(D1477,MATERIALES!A:C,3,FALSE()),"?")</f>
        <v>u</v>
      </c>
      <c r="G1477" s="45">
        <v>0.5</v>
      </c>
      <c r="H1477" s="46">
        <v>0.05</v>
      </c>
      <c r="I1477" s="47">
        <f>IFERROR(VLOOKUP(D1477,MATERIALES!A:D,4,FALSE()),0)</f>
        <v>202.42</v>
      </c>
      <c r="J1477" s="42">
        <f t="shared" si="163"/>
        <v>106.2705</v>
      </c>
      <c r="K1477" s="15" t="str">
        <f t="shared" si="164"/>
        <v>PTO-1804|MAT</v>
      </c>
      <c r="L1477" s="15">
        <f>COUNTIFS($K$2:K1477,K1477)</f>
        <v>8</v>
      </c>
      <c r="M1477" s="15" t="str">
        <f t="shared" si="165"/>
        <v>PTO-1804|MAT|8</v>
      </c>
      <c r="N1477" s="47">
        <f>IFERROR(VLOOKUP(A1477,PARTIDAS!A:F,6,FALSE()),0)</f>
        <v>3.25</v>
      </c>
      <c r="O1477" s="247">
        <f t="shared" si="166"/>
        <v>0.5</v>
      </c>
      <c r="P1477" s="247" t="str">
        <f>+_xlfn.XLOOKUP(A1477,PPTO_GENERADOR!Q:Q,PPTO_GENERADOR!E:E,"-",0)</f>
        <v>-</v>
      </c>
      <c r="Q1477" s="247">
        <f t="shared" si="167"/>
        <v>0</v>
      </c>
      <c r="R1477" s="259" t="str">
        <f>+_xlfn.XLOOKUP(A1477,PPTO_GENERADOR!$Q:$Q,PPTO_GENERADOR!A:A,"-",0)</f>
        <v>-</v>
      </c>
    </row>
    <row r="1478" spans="1:18" ht="14.25" customHeight="1" x14ac:dyDescent="0.35">
      <c r="A1478" s="38" t="s">
        <v>272</v>
      </c>
      <c r="B1478" s="38" t="s">
        <v>2776</v>
      </c>
      <c r="C1478" s="38" t="s">
        <v>2775</v>
      </c>
      <c r="D1478" s="38" t="s">
        <v>2430</v>
      </c>
      <c r="E1478" s="44" t="str">
        <f>IFERROR(VLOOKUP(D1478,SUBCONTRATOS_PRY!A:B,2,FALSE()),"?")</f>
        <v>Boca completa</v>
      </c>
      <c r="F1478" s="44" t="s">
        <v>2778</v>
      </c>
      <c r="G1478" s="45">
        <v>3.25</v>
      </c>
      <c r="H1478" s="46">
        <v>0</v>
      </c>
      <c r="I1478" s="47">
        <f>IFERROR(VLOOKUP(D1478,SUBCONTRATOS_PRY!A:D,4,FALSE()),0)</f>
        <v>35416.5</v>
      </c>
      <c r="J1478" s="42">
        <f>G1478*I1478</f>
        <v>115103.625</v>
      </c>
      <c r="K1478" s="15" t="str">
        <f t="shared" si="164"/>
        <v>PTO-1807|MO</v>
      </c>
      <c r="L1478" s="15">
        <f>COUNTIFS($K$2:K1478,K1478)</f>
        <v>1</v>
      </c>
      <c r="M1478" s="15" t="str">
        <f t="shared" si="165"/>
        <v>PTO-1807|MO|1</v>
      </c>
      <c r="N1478" s="47">
        <f>IFERROR(VLOOKUP(A1478,PARTIDAS!A:F,6,FALSE()),0)</f>
        <v>3.25</v>
      </c>
      <c r="O1478" s="247">
        <f t="shared" si="166"/>
        <v>3.25</v>
      </c>
      <c r="P1478" s="247">
        <f>+_xlfn.XLOOKUP(A1478,PPTO_GENERADOR!Q:Q,PPTO_GENERADOR!E:E,"-",0)</f>
        <v>226</v>
      </c>
      <c r="Q1478" s="247">
        <f t="shared" si="167"/>
        <v>734.5</v>
      </c>
      <c r="R1478" s="259">
        <f>+_xlfn.XLOOKUP(A1478,PPTO_GENERADOR!$Q:$Q,PPTO_GENERADOR!A:A,"-",0)</f>
        <v>18.07</v>
      </c>
    </row>
    <row r="1479" spans="1:18" ht="14.25" customHeight="1" x14ac:dyDescent="0.35">
      <c r="A1479" s="38" t="s">
        <v>274</v>
      </c>
      <c r="B1479" s="38" t="s">
        <v>2776</v>
      </c>
      <c r="C1479" s="38" t="s">
        <v>2775</v>
      </c>
      <c r="D1479" s="38" t="s">
        <v>2430</v>
      </c>
      <c r="E1479" s="44" t="str">
        <f>IFERROR(VLOOKUP(D1479,SUBCONTRATOS_PRY!A:B,2,FALSE()),"?")</f>
        <v>Boca completa</v>
      </c>
      <c r="F1479" s="44" t="s">
        <v>2778</v>
      </c>
      <c r="G1479" s="45">
        <v>3.25</v>
      </c>
      <c r="H1479" s="46">
        <v>0</v>
      </c>
      <c r="I1479" s="47">
        <f>IFERROR(VLOOKUP(D1479,SUBCONTRATOS_PRY!A:D,4,FALSE()),0)</f>
        <v>35416.5</v>
      </c>
      <c r="J1479" s="42">
        <f>G1479*I1479</f>
        <v>115103.625</v>
      </c>
      <c r="K1479" s="15" t="str">
        <f t="shared" si="164"/>
        <v>PTO-1808|MO</v>
      </c>
      <c r="L1479" s="15">
        <f>COUNTIFS($K$2:K1479,K1479)</f>
        <v>1</v>
      </c>
      <c r="M1479" s="15" t="str">
        <f t="shared" si="165"/>
        <v>PTO-1808|MO|1</v>
      </c>
      <c r="N1479" s="47">
        <f>IFERROR(VLOOKUP(A1479,PARTIDAS!A:F,6,FALSE()),0)</f>
        <v>3.25</v>
      </c>
      <c r="O1479" s="247">
        <f t="shared" si="166"/>
        <v>3.25</v>
      </c>
      <c r="P1479" s="247">
        <f>+_xlfn.XLOOKUP(A1479,PPTO_GENERADOR!Q:Q,PPTO_GENERADOR!E:E,"-",0)</f>
        <v>32</v>
      </c>
      <c r="Q1479" s="247">
        <f t="shared" si="167"/>
        <v>104</v>
      </c>
      <c r="R1479" s="259">
        <f>+_xlfn.XLOOKUP(A1479,PPTO_GENERADOR!$Q:$Q,PPTO_GENERADOR!A:A,"-",0)</f>
        <v>18.079999999999998</v>
      </c>
    </row>
    <row r="1480" spans="1:18" ht="14.25" customHeight="1" x14ac:dyDescent="0.35">
      <c r="A1480" s="38" t="s">
        <v>2739</v>
      </c>
      <c r="B1480" s="38" t="s">
        <v>2773</v>
      </c>
      <c r="C1480" s="38"/>
      <c r="D1480" s="38" t="s">
        <v>1592</v>
      </c>
      <c r="E1480" s="44" t="str">
        <f>IFERROR(VLOOKUP(D1480,EQUIPOS!A:B,2,FALSE()),"?")</f>
        <v>ANDAMIO TUBULAR DE UNO A TRES CUERPOS</v>
      </c>
      <c r="F1480" s="44"/>
      <c r="G1480" s="45">
        <v>0.5</v>
      </c>
      <c r="H1480" s="46">
        <v>0</v>
      </c>
      <c r="I1480" s="47">
        <f>IFERROR(VLOOKUP(D1480,EQUIPOS!A:F,6,FALSE()),0)</f>
        <v>571.1794909807611</v>
      </c>
      <c r="J1480" s="42">
        <f>G1480*I1480</f>
        <v>285.58974549038055</v>
      </c>
      <c r="K1480" s="15" t="str">
        <f t="shared" si="164"/>
        <v>PTO-1805|EQ</v>
      </c>
      <c r="L1480" s="15">
        <f>COUNTIFS($K$2:K1480,K1480)</f>
        <v>1</v>
      </c>
      <c r="M1480" s="15" t="str">
        <f t="shared" si="165"/>
        <v>PTO-1805|EQ|1</v>
      </c>
      <c r="N1480" s="47">
        <f>IFERROR(VLOOKUP(A1480,PARTIDAS!A:F,6,FALSE()),0)</f>
        <v>3.25</v>
      </c>
      <c r="O1480" s="247">
        <f t="shared" si="166"/>
        <v>0.5</v>
      </c>
      <c r="P1480" s="247" t="str">
        <f>+_xlfn.XLOOKUP(A1480,PPTO_GENERADOR!Q:Q,PPTO_GENERADOR!E:E,"-",0)</f>
        <v>-</v>
      </c>
      <c r="Q1480" s="247">
        <f t="shared" si="167"/>
        <v>0</v>
      </c>
      <c r="R1480" s="259" t="str">
        <f>+_xlfn.XLOOKUP(A1480,PPTO_GENERADOR!$Q:$Q,PPTO_GENERADOR!A:A,"-",0)</f>
        <v>-</v>
      </c>
    </row>
    <row r="1481" spans="1:18" ht="14.25" customHeight="1" x14ac:dyDescent="0.35">
      <c r="A1481" s="38" t="s">
        <v>2739</v>
      </c>
      <c r="B1481" s="38" t="s">
        <v>2773</v>
      </c>
      <c r="C1481" s="38"/>
      <c r="D1481" s="38" t="s">
        <v>1601</v>
      </c>
      <c r="E1481" s="44" t="str">
        <f>IFERROR(VLOOKUP(D1481,EQUIPOS!A:B,2,FALSE()),"?")</f>
        <v>EQUIPO PARA INSTALACION ELECTRICA</v>
      </c>
      <c r="F1481" s="44"/>
      <c r="G1481" s="45">
        <v>1</v>
      </c>
      <c r="H1481" s="46">
        <v>0</v>
      </c>
      <c r="I1481" s="47">
        <f>IFERROR(VLOOKUP(D1481,EQUIPOS!A:F,6,FALSE()),0)</f>
        <v>5063.0947914732405</v>
      </c>
      <c r="J1481" s="42">
        <f>G1481*I1481</f>
        <v>5063.0947914732405</v>
      </c>
      <c r="K1481" s="15" t="str">
        <f t="shared" si="164"/>
        <v>PTO-1805|EQ</v>
      </c>
      <c r="L1481" s="15">
        <f>COUNTIFS($K$2:K1481,K1481)</f>
        <v>2</v>
      </c>
      <c r="M1481" s="15" t="str">
        <f t="shared" si="165"/>
        <v>PTO-1805|EQ|2</v>
      </c>
      <c r="N1481" s="47">
        <f>IFERROR(VLOOKUP(A1481,PARTIDAS!A:F,6,FALSE()),0)</f>
        <v>3.25</v>
      </c>
      <c r="O1481" s="247">
        <f t="shared" si="166"/>
        <v>1</v>
      </c>
      <c r="P1481" s="247" t="str">
        <f>+_xlfn.XLOOKUP(A1481,PPTO_GENERADOR!Q:Q,PPTO_GENERADOR!E:E,"-",0)</f>
        <v>-</v>
      </c>
      <c r="Q1481" s="247">
        <f t="shared" si="167"/>
        <v>0</v>
      </c>
      <c r="R1481" s="259" t="str">
        <f>+_xlfn.XLOOKUP(A1481,PPTO_GENERADOR!$Q:$Q,PPTO_GENERADOR!A:A,"-",0)</f>
        <v>-</v>
      </c>
    </row>
    <row r="1482" spans="1:18" ht="14.25" customHeight="1" x14ac:dyDescent="0.35">
      <c r="A1482" s="38" t="s">
        <v>2739</v>
      </c>
      <c r="B1482" s="38" t="s">
        <v>2773</v>
      </c>
      <c r="C1482" s="38"/>
      <c r="D1482" s="38" t="s">
        <v>1622</v>
      </c>
      <c r="E1482" s="44" t="str">
        <f>IFERROR(VLOOKUP(D1482,EQUIPOS!A:B,2,FALSE()),"?")</f>
        <v>ESCALERA GLOSS ALUMINIO ARTICULADA 4 X 4 ESCALONES HASTA 150KG</v>
      </c>
      <c r="F1482" s="44"/>
      <c r="G1482" s="45">
        <v>0.5</v>
      </c>
      <c r="H1482" s="46">
        <v>0</v>
      </c>
      <c r="I1482" s="47">
        <f>IFERROR(VLOOKUP(D1482,EQUIPOS!A:F,6,FALSE()),0)</f>
        <v>140.19809259430903</v>
      </c>
      <c r="J1482" s="42">
        <f>G1482*I1482</f>
        <v>70.099046297154516</v>
      </c>
      <c r="K1482" s="15" t="str">
        <f t="shared" si="164"/>
        <v>PTO-1805|EQ</v>
      </c>
      <c r="L1482" s="15">
        <f>COUNTIFS($K$2:K1482,K1482)</f>
        <v>3</v>
      </c>
      <c r="M1482" s="15" t="str">
        <f t="shared" si="165"/>
        <v>PTO-1805|EQ|3</v>
      </c>
      <c r="N1482" s="47">
        <f>IFERROR(VLOOKUP(A1482,PARTIDAS!A:F,6,FALSE()),0)</f>
        <v>3.25</v>
      </c>
      <c r="O1482" s="247">
        <f t="shared" si="166"/>
        <v>0.5</v>
      </c>
      <c r="P1482" s="247" t="str">
        <f>+_xlfn.XLOOKUP(A1482,PPTO_GENERADOR!Q:Q,PPTO_GENERADOR!E:E,"-",0)</f>
        <v>-</v>
      </c>
      <c r="Q1482" s="247">
        <f t="shared" si="167"/>
        <v>0</v>
      </c>
      <c r="R1482" s="259" t="str">
        <f>+_xlfn.XLOOKUP(A1482,PPTO_GENERADOR!$Q:$Q,PPTO_GENERADOR!A:A,"-",0)</f>
        <v>-</v>
      </c>
    </row>
    <row r="1483" spans="1:18" ht="14.25" customHeight="1" x14ac:dyDescent="0.35">
      <c r="A1483" s="38" t="s">
        <v>2739</v>
      </c>
      <c r="B1483" s="38" t="s">
        <v>2774</v>
      </c>
      <c r="C1483" s="38" t="s">
        <v>2775</v>
      </c>
      <c r="D1483" s="38" t="s">
        <v>928</v>
      </c>
      <c r="E1483" s="44" t="str">
        <f>IFERROR(VLOOKUP(D1483,MATERIALES!A:B,2,FALSE()),"?")</f>
        <v>Conector hierro 7/8"</v>
      </c>
      <c r="F1483" s="44" t="str">
        <f>IFERROR(VLOOKUP(D1483,MATERIALES!A:C,3,FALSE()),"?")</f>
        <v>u</v>
      </c>
      <c r="G1483" s="45">
        <v>3</v>
      </c>
      <c r="H1483" s="46">
        <v>0.1</v>
      </c>
      <c r="I1483" s="47">
        <f>IFERROR(VLOOKUP(D1483,MATERIALES!A:D,4,FALSE()),0)</f>
        <v>282.29000000000002</v>
      </c>
      <c r="J1483" s="42">
        <f t="shared" ref="J1483:J1490" si="168">G1483*I1483*(1+H1483)</f>
        <v>931.55700000000024</v>
      </c>
      <c r="K1483" s="15" t="str">
        <f t="shared" si="164"/>
        <v>PTO-1805|MAT</v>
      </c>
      <c r="L1483" s="15">
        <f>COUNTIFS($K$2:K1483,K1483)</f>
        <v>1</v>
      </c>
      <c r="M1483" s="15" t="str">
        <f t="shared" si="165"/>
        <v>PTO-1805|MAT|1</v>
      </c>
      <c r="N1483" s="47">
        <f>IFERROR(VLOOKUP(A1483,PARTIDAS!A:F,6,FALSE()),0)</f>
        <v>3.25</v>
      </c>
      <c r="O1483" s="247">
        <f t="shared" si="166"/>
        <v>3</v>
      </c>
      <c r="P1483" s="247" t="str">
        <f>+_xlfn.XLOOKUP(A1483,PPTO_GENERADOR!Q:Q,PPTO_GENERADOR!E:E,"-",0)</f>
        <v>-</v>
      </c>
      <c r="Q1483" s="247">
        <f t="shared" si="167"/>
        <v>0</v>
      </c>
      <c r="R1483" s="259" t="str">
        <f>+_xlfn.XLOOKUP(A1483,PPTO_GENERADOR!$Q:$Q,PPTO_GENERADOR!A:A,"-",0)</f>
        <v>-</v>
      </c>
    </row>
    <row r="1484" spans="1:18" ht="14.25" customHeight="1" x14ac:dyDescent="0.35">
      <c r="A1484" s="38" t="s">
        <v>2739</v>
      </c>
      <c r="B1484" s="38" t="s">
        <v>2774</v>
      </c>
      <c r="C1484" s="38" t="s">
        <v>2775</v>
      </c>
      <c r="D1484" s="38" t="s">
        <v>922</v>
      </c>
      <c r="E1484" s="44" t="str">
        <f>IFERROR(VLOOKUP(D1484,MATERIALES!A:B,2,FALSE()),"?")</f>
        <v>Caño rigido 7/8"</v>
      </c>
      <c r="F1484" s="44" t="str">
        <f>IFERROR(VLOOKUP(D1484,MATERIALES!A:C,3,FALSE()),"?")</f>
        <v>ml</v>
      </c>
      <c r="G1484" s="45">
        <v>5</v>
      </c>
      <c r="H1484" s="46">
        <v>0.1</v>
      </c>
      <c r="I1484" s="47">
        <f>IFERROR(VLOOKUP(D1484,MATERIALES!A:D,4,FALSE()),0)</f>
        <v>635.55999999999995</v>
      </c>
      <c r="J1484" s="42">
        <f t="shared" si="168"/>
        <v>3495.58</v>
      </c>
      <c r="K1484" s="15" t="str">
        <f t="shared" si="164"/>
        <v>PTO-1805|MAT</v>
      </c>
      <c r="L1484" s="15">
        <f>COUNTIFS($K$2:K1484,K1484)</f>
        <v>2</v>
      </c>
      <c r="M1484" s="15" t="str">
        <f t="shared" si="165"/>
        <v>PTO-1805|MAT|2</v>
      </c>
      <c r="N1484" s="47">
        <f>IFERROR(VLOOKUP(A1484,PARTIDAS!A:F,6,FALSE()),0)</f>
        <v>3.25</v>
      </c>
      <c r="O1484" s="247">
        <f t="shared" si="166"/>
        <v>5</v>
      </c>
      <c r="P1484" s="247" t="str">
        <f>+_xlfn.XLOOKUP(A1484,PPTO_GENERADOR!Q:Q,PPTO_GENERADOR!E:E,"-",0)</f>
        <v>-</v>
      </c>
      <c r="Q1484" s="247">
        <f t="shared" si="167"/>
        <v>0</v>
      </c>
      <c r="R1484" s="259" t="str">
        <f>+_xlfn.XLOOKUP(A1484,PPTO_GENERADOR!$Q:$Q,PPTO_GENERADOR!A:A,"-",0)</f>
        <v>-</v>
      </c>
    </row>
    <row r="1485" spans="1:18" ht="14.25" customHeight="1" x14ac:dyDescent="0.35">
      <c r="A1485" s="38" t="s">
        <v>2739</v>
      </c>
      <c r="B1485" s="38" t="s">
        <v>2774</v>
      </c>
      <c r="C1485" s="38" t="s">
        <v>2775</v>
      </c>
      <c r="D1485" s="38" t="s">
        <v>935</v>
      </c>
      <c r="E1485" s="44" t="str">
        <f>IFERROR(VLOOKUP(D1485,MATERIALES!A:B,2,FALSE()),"?")</f>
        <v>Cupla PVC 7/8"</v>
      </c>
      <c r="F1485" s="44" t="str">
        <f>IFERROR(VLOOKUP(D1485,MATERIALES!A:C,3,FALSE()),"?")</f>
        <v>u</v>
      </c>
      <c r="G1485" s="45">
        <v>2</v>
      </c>
      <c r="H1485" s="46">
        <v>0.1</v>
      </c>
      <c r="I1485" s="47">
        <f>IFERROR(VLOOKUP(D1485,MATERIALES!A:D,4,FALSE()),0)</f>
        <v>184.87</v>
      </c>
      <c r="J1485" s="42">
        <f t="shared" si="168"/>
        <v>406.71400000000006</v>
      </c>
      <c r="K1485" s="15" t="str">
        <f t="shared" si="164"/>
        <v>PTO-1805|MAT</v>
      </c>
      <c r="L1485" s="15">
        <f>COUNTIFS($K$2:K1485,K1485)</f>
        <v>3</v>
      </c>
      <c r="M1485" s="15" t="str">
        <f t="shared" si="165"/>
        <v>PTO-1805|MAT|3</v>
      </c>
      <c r="N1485" s="47">
        <f>IFERROR(VLOOKUP(A1485,PARTIDAS!A:F,6,FALSE()),0)</f>
        <v>3.25</v>
      </c>
      <c r="O1485" s="247">
        <f t="shared" si="166"/>
        <v>2</v>
      </c>
      <c r="P1485" s="247" t="str">
        <f>+_xlfn.XLOOKUP(A1485,PPTO_GENERADOR!Q:Q,PPTO_GENERADOR!E:E,"-",0)</f>
        <v>-</v>
      </c>
      <c r="Q1485" s="247">
        <f t="shared" si="167"/>
        <v>0</v>
      </c>
      <c r="R1485" s="259" t="str">
        <f>+_xlfn.XLOOKUP(A1485,PPTO_GENERADOR!$Q:$Q,PPTO_GENERADOR!A:A,"-",0)</f>
        <v>-</v>
      </c>
    </row>
    <row r="1486" spans="1:18" ht="14.25" customHeight="1" x14ac:dyDescent="0.35">
      <c r="A1486" s="38" t="s">
        <v>2739</v>
      </c>
      <c r="B1486" s="38" t="s">
        <v>2774</v>
      </c>
      <c r="C1486" s="38" t="s">
        <v>2775</v>
      </c>
      <c r="D1486" s="38" t="s">
        <v>939</v>
      </c>
      <c r="E1486" s="44" t="str">
        <f>IFERROR(VLOOKUP(D1486,MATERIALES!A:B,2,FALSE()),"?")</f>
        <v>Cable unipolar 1 x 1,50</v>
      </c>
      <c r="F1486" s="44" t="str">
        <f>IFERROR(VLOOKUP(D1486,MATERIALES!A:C,3,FALSE()),"?")</f>
        <v>ml</v>
      </c>
      <c r="G1486" s="45">
        <v>7.5</v>
      </c>
      <c r="H1486" s="46">
        <v>0.1</v>
      </c>
      <c r="I1486" s="47">
        <f>IFERROR(VLOOKUP(D1486,MATERIALES!A:D,4,FALSE()),0)</f>
        <v>316.44450000000001</v>
      </c>
      <c r="J1486" s="42">
        <f t="shared" si="168"/>
        <v>2610.6671250000004</v>
      </c>
      <c r="K1486" s="15" t="str">
        <f t="shared" si="164"/>
        <v>PTO-1805|MAT</v>
      </c>
      <c r="L1486" s="15">
        <f>COUNTIFS($K$2:K1486,K1486)</f>
        <v>4</v>
      </c>
      <c r="M1486" s="15" t="str">
        <f t="shared" si="165"/>
        <v>PTO-1805|MAT|4</v>
      </c>
      <c r="N1486" s="47">
        <f>IFERROR(VLOOKUP(A1486,PARTIDAS!A:F,6,FALSE()),0)</f>
        <v>3.25</v>
      </c>
      <c r="O1486" s="247">
        <f t="shared" si="166"/>
        <v>7.5</v>
      </c>
      <c r="P1486" s="247" t="str">
        <f>+_xlfn.XLOOKUP(A1486,PPTO_GENERADOR!Q:Q,PPTO_GENERADOR!E:E,"-",0)</f>
        <v>-</v>
      </c>
      <c r="Q1486" s="247">
        <f t="shared" si="167"/>
        <v>0</v>
      </c>
      <c r="R1486" s="259" t="str">
        <f>+_xlfn.XLOOKUP(A1486,PPTO_GENERADOR!$Q:$Q,PPTO_GENERADOR!A:A,"-",0)</f>
        <v>-</v>
      </c>
    </row>
    <row r="1487" spans="1:18" ht="14.25" customHeight="1" x14ac:dyDescent="0.35">
      <c r="A1487" s="38" t="s">
        <v>2739</v>
      </c>
      <c r="B1487" s="38" t="s">
        <v>2774</v>
      </c>
      <c r="C1487" s="38" t="s">
        <v>2775</v>
      </c>
      <c r="D1487" s="38" t="s">
        <v>941</v>
      </c>
      <c r="E1487" s="44" t="str">
        <f>IFERROR(VLOOKUP(D1487,MATERIALES!A:B,2,FALSE()),"?")</f>
        <v>Cable unipolar 1 x 2,50 VA</v>
      </c>
      <c r="F1487" s="44" t="str">
        <f>IFERROR(VLOOKUP(D1487,MATERIALES!A:C,3,FALSE()),"?")</f>
        <v>ml</v>
      </c>
      <c r="G1487" s="45">
        <v>5</v>
      </c>
      <c r="H1487" s="46">
        <v>0.1</v>
      </c>
      <c r="I1487" s="47">
        <f>IFERROR(VLOOKUP(D1487,MATERIALES!A:D,4,FALSE()),0)</f>
        <v>509.31490000000002</v>
      </c>
      <c r="J1487" s="42">
        <f t="shared" si="168"/>
        <v>2801.2319500000003</v>
      </c>
      <c r="K1487" s="15" t="str">
        <f t="shared" si="164"/>
        <v>PTO-1805|MAT</v>
      </c>
      <c r="L1487" s="15">
        <f>COUNTIFS($K$2:K1487,K1487)</f>
        <v>5</v>
      </c>
      <c r="M1487" s="15" t="str">
        <f t="shared" si="165"/>
        <v>PTO-1805|MAT|5</v>
      </c>
      <c r="N1487" s="47">
        <f>IFERROR(VLOOKUP(A1487,PARTIDAS!A:F,6,FALSE()),0)</f>
        <v>3.25</v>
      </c>
      <c r="O1487" s="247">
        <f t="shared" si="166"/>
        <v>5</v>
      </c>
      <c r="P1487" s="247" t="str">
        <f>+_xlfn.XLOOKUP(A1487,PPTO_GENERADOR!Q:Q,PPTO_GENERADOR!E:E,"-",0)</f>
        <v>-</v>
      </c>
      <c r="Q1487" s="247">
        <f t="shared" si="167"/>
        <v>0</v>
      </c>
      <c r="R1487" s="259" t="str">
        <f>+_xlfn.XLOOKUP(A1487,PPTO_GENERADOR!$Q:$Q,PPTO_GENERADOR!A:A,"-",0)</f>
        <v>-</v>
      </c>
    </row>
    <row r="1488" spans="1:18" ht="14.25" customHeight="1" x14ac:dyDescent="0.35">
      <c r="A1488" s="38" t="s">
        <v>2739</v>
      </c>
      <c r="B1488" s="38" t="s">
        <v>2774</v>
      </c>
      <c r="C1488" s="38" t="s">
        <v>2775</v>
      </c>
      <c r="D1488" s="38" t="s">
        <v>943</v>
      </c>
      <c r="E1488" s="44" t="str">
        <f>IFERROR(VLOOKUP(D1488,MATERIALES!A:B,2,FALSE()),"?")</f>
        <v>Cable unipolar 1 x 2,50 Rojo/Marron/Negro</v>
      </c>
      <c r="F1488" s="44" t="str">
        <f>IFERROR(VLOOKUP(D1488,MATERIALES!A:C,3,FALSE()),"?")</f>
        <v>ml</v>
      </c>
      <c r="G1488" s="45">
        <v>7.5</v>
      </c>
      <c r="H1488" s="46">
        <v>0.1</v>
      </c>
      <c r="I1488" s="47">
        <f>IFERROR(VLOOKUP(D1488,MATERIALES!A:D,4,FALSE()),0)</f>
        <v>509.31490000000002</v>
      </c>
      <c r="J1488" s="42">
        <f t="shared" si="168"/>
        <v>4201.847925</v>
      </c>
      <c r="K1488" s="15" t="str">
        <f t="shared" si="164"/>
        <v>PTO-1805|MAT</v>
      </c>
      <c r="L1488" s="15">
        <f>COUNTIFS($K$2:K1488,K1488)</f>
        <v>6</v>
      </c>
      <c r="M1488" s="15" t="str">
        <f t="shared" si="165"/>
        <v>PTO-1805|MAT|6</v>
      </c>
      <c r="N1488" s="47">
        <f>IFERROR(VLOOKUP(A1488,PARTIDAS!A:F,6,FALSE()),0)</f>
        <v>3.25</v>
      </c>
      <c r="O1488" s="247">
        <f t="shared" si="166"/>
        <v>7.5</v>
      </c>
      <c r="P1488" s="247" t="str">
        <f>+_xlfn.XLOOKUP(A1488,PPTO_GENERADOR!Q:Q,PPTO_GENERADOR!E:E,"-",0)</f>
        <v>-</v>
      </c>
      <c r="Q1488" s="247">
        <f t="shared" si="167"/>
        <v>0</v>
      </c>
      <c r="R1488" s="259" t="str">
        <f>+_xlfn.XLOOKUP(A1488,PPTO_GENERADOR!$Q:$Q,PPTO_GENERADOR!A:A,"-",0)</f>
        <v>-</v>
      </c>
    </row>
    <row r="1489" spans="1:18" ht="14.25" customHeight="1" x14ac:dyDescent="0.35">
      <c r="A1489" s="38" t="s">
        <v>2739</v>
      </c>
      <c r="B1489" s="38" t="s">
        <v>2774</v>
      </c>
      <c r="C1489" s="38" t="s">
        <v>2775</v>
      </c>
      <c r="D1489" s="38" t="s">
        <v>947</v>
      </c>
      <c r="E1489" s="44" t="str">
        <f>IFERROR(VLOOKUP(D1489,MATERIALES!A:B,2,FALSE()),"?")</f>
        <v>Caja octogonal chica</v>
      </c>
      <c r="F1489" s="44" t="str">
        <f>IFERROR(VLOOKUP(D1489,MATERIALES!A:C,3,FALSE()),"?")</f>
        <v>u</v>
      </c>
      <c r="G1489" s="45">
        <v>1</v>
      </c>
      <c r="H1489" s="46">
        <v>0.05</v>
      </c>
      <c r="I1489" s="47">
        <f>IFERROR(VLOOKUP(D1489,MATERIALES!A:D,4,FALSE()),0)</f>
        <v>202.42</v>
      </c>
      <c r="J1489" s="42">
        <f t="shared" si="168"/>
        <v>212.541</v>
      </c>
      <c r="K1489" s="15" t="str">
        <f t="shared" si="164"/>
        <v>PTO-1805|MAT</v>
      </c>
      <c r="L1489" s="15">
        <f>COUNTIFS($K$2:K1489,K1489)</f>
        <v>7</v>
      </c>
      <c r="M1489" s="15" t="str">
        <f t="shared" si="165"/>
        <v>PTO-1805|MAT|7</v>
      </c>
      <c r="N1489" s="47">
        <f>IFERROR(VLOOKUP(A1489,PARTIDAS!A:F,6,FALSE()),0)</f>
        <v>3.25</v>
      </c>
      <c r="O1489" s="247">
        <f t="shared" si="166"/>
        <v>1</v>
      </c>
      <c r="P1489" s="247" t="str">
        <f>+_xlfn.XLOOKUP(A1489,PPTO_GENERADOR!Q:Q,PPTO_GENERADOR!E:E,"-",0)</f>
        <v>-</v>
      </c>
      <c r="Q1489" s="247">
        <f t="shared" si="167"/>
        <v>0</v>
      </c>
      <c r="R1489" s="259" t="str">
        <f>+_xlfn.XLOOKUP(A1489,PPTO_GENERADOR!$Q:$Q,PPTO_GENERADOR!A:A,"-",0)</f>
        <v>-</v>
      </c>
    </row>
    <row r="1490" spans="1:18" ht="14.25" customHeight="1" x14ac:dyDescent="0.35">
      <c r="A1490" s="38" t="s">
        <v>2739</v>
      </c>
      <c r="B1490" s="38" t="s">
        <v>2774</v>
      </c>
      <c r="C1490" s="38" t="s">
        <v>2775</v>
      </c>
      <c r="D1490" s="38" t="s">
        <v>951</v>
      </c>
      <c r="E1490" s="44" t="str">
        <f>IFERROR(VLOOKUP(D1490,MATERIALES!A:B,2,FALSE()),"?")</f>
        <v>Caja rectangular chica</v>
      </c>
      <c r="F1490" s="44" t="str">
        <f>IFERROR(VLOOKUP(D1490,MATERIALES!A:C,3,FALSE()),"?")</f>
        <v>u</v>
      </c>
      <c r="G1490" s="45">
        <v>0.5</v>
      </c>
      <c r="H1490" s="46">
        <v>0.05</v>
      </c>
      <c r="I1490" s="47">
        <f>IFERROR(VLOOKUP(D1490,MATERIALES!A:D,4,FALSE()),0)</f>
        <v>202.42</v>
      </c>
      <c r="J1490" s="42">
        <f t="shared" si="168"/>
        <v>106.2705</v>
      </c>
      <c r="K1490" s="15" t="str">
        <f t="shared" si="164"/>
        <v>PTO-1805|MAT</v>
      </c>
      <c r="L1490" s="15">
        <f>COUNTIFS($K$2:K1490,K1490)</f>
        <v>8</v>
      </c>
      <c r="M1490" s="15" t="str">
        <f t="shared" si="165"/>
        <v>PTO-1805|MAT|8</v>
      </c>
      <c r="N1490" s="47">
        <f>IFERROR(VLOOKUP(A1490,PARTIDAS!A:F,6,FALSE()),0)</f>
        <v>3.25</v>
      </c>
      <c r="O1490" s="247">
        <f t="shared" si="166"/>
        <v>0.5</v>
      </c>
      <c r="P1490" s="247" t="str">
        <f>+_xlfn.XLOOKUP(A1490,PPTO_GENERADOR!Q:Q,PPTO_GENERADOR!E:E,"-",0)</f>
        <v>-</v>
      </c>
      <c r="Q1490" s="247">
        <f t="shared" si="167"/>
        <v>0</v>
      </c>
      <c r="R1490" s="259" t="str">
        <f>+_xlfn.XLOOKUP(A1490,PPTO_GENERADOR!$Q:$Q,PPTO_GENERADOR!A:A,"-",0)</f>
        <v>-</v>
      </c>
    </row>
    <row r="1491" spans="1:18" ht="14.25" customHeight="1" x14ac:dyDescent="0.35">
      <c r="A1491" s="38" t="s">
        <v>2743</v>
      </c>
      <c r="B1491" s="38" t="s">
        <v>2776</v>
      </c>
      <c r="C1491" s="38" t="s">
        <v>2775</v>
      </c>
      <c r="D1491" s="38" t="s">
        <v>2430</v>
      </c>
      <c r="E1491" s="44" t="str">
        <f>IFERROR(VLOOKUP(D1491,SUBCONTRATOS_PRY!A:B,2,FALSE()),"?")</f>
        <v>Boca completa</v>
      </c>
      <c r="F1491" s="44" t="s">
        <v>2778</v>
      </c>
      <c r="G1491" s="45">
        <v>3.25</v>
      </c>
      <c r="H1491" s="46">
        <v>0</v>
      </c>
      <c r="I1491" s="47">
        <f>IFERROR(VLOOKUP(D1491,SUBCONTRATOS_PRY!A:D,4,FALSE()),0)</f>
        <v>35416.5</v>
      </c>
      <c r="J1491" s="42">
        <f>G1491*I1491</f>
        <v>115103.625</v>
      </c>
      <c r="K1491" s="15" t="str">
        <f t="shared" si="164"/>
        <v>PTO-1809|MO</v>
      </c>
      <c r="L1491" s="15">
        <f>COUNTIFS($K$2:K1491,K1491)</f>
        <v>1</v>
      </c>
      <c r="M1491" s="15" t="str">
        <f t="shared" si="165"/>
        <v>PTO-1809|MO|1</v>
      </c>
      <c r="N1491" s="47">
        <f>IFERROR(VLOOKUP(A1491,PARTIDAS!A:F,6,FALSE()),0)</f>
        <v>3.25</v>
      </c>
      <c r="O1491" s="247">
        <f t="shared" si="166"/>
        <v>3.25</v>
      </c>
      <c r="P1491" s="247" t="str">
        <f>+_xlfn.XLOOKUP(A1491,PPTO_GENERADOR!Q:Q,PPTO_GENERADOR!E:E,"-",0)</f>
        <v>-</v>
      </c>
      <c r="Q1491" s="247">
        <f t="shared" si="167"/>
        <v>0</v>
      </c>
      <c r="R1491" s="259" t="str">
        <f>+_xlfn.XLOOKUP(A1491,PPTO_GENERADOR!$Q:$Q,PPTO_GENERADOR!A:A,"-",0)</f>
        <v>-</v>
      </c>
    </row>
    <row r="1492" spans="1:18" ht="14.25" customHeight="1" x14ac:dyDescent="0.35">
      <c r="A1492" s="38" t="s">
        <v>2744</v>
      </c>
      <c r="B1492" s="38" t="s">
        <v>2776</v>
      </c>
      <c r="C1492" s="38" t="s">
        <v>2775</v>
      </c>
      <c r="D1492" s="38" t="s">
        <v>2430</v>
      </c>
      <c r="E1492" s="44" t="str">
        <f>IFERROR(VLOOKUP(D1492,SUBCONTRATOS_PRY!A:B,2,FALSE()),"?")</f>
        <v>Boca completa</v>
      </c>
      <c r="F1492" s="44" t="s">
        <v>2778</v>
      </c>
      <c r="G1492" s="45">
        <v>3.25</v>
      </c>
      <c r="H1492" s="46">
        <v>0</v>
      </c>
      <c r="I1492" s="47">
        <f>IFERROR(VLOOKUP(D1492,SUBCONTRATOS_PRY!A:D,4,FALSE()),0)</f>
        <v>35416.5</v>
      </c>
      <c r="J1492" s="42">
        <f>G1492*I1492</f>
        <v>115103.625</v>
      </c>
      <c r="K1492" s="15" t="str">
        <f t="shared" si="164"/>
        <v>PTO-1810|MO</v>
      </c>
      <c r="L1492" s="15">
        <f>COUNTIFS($K$2:K1492,K1492)</f>
        <v>1</v>
      </c>
      <c r="M1492" s="15" t="str">
        <f t="shared" si="165"/>
        <v>PTO-1810|MO|1</v>
      </c>
      <c r="N1492" s="47">
        <f>IFERROR(VLOOKUP(A1492,PARTIDAS!A:F,6,FALSE()),0)</f>
        <v>3.25</v>
      </c>
      <c r="O1492" s="247">
        <f t="shared" si="166"/>
        <v>3.25</v>
      </c>
      <c r="P1492" s="247" t="str">
        <f>+_xlfn.XLOOKUP(A1492,PPTO_GENERADOR!Q:Q,PPTO_GENERADOR!E:E,"-",0)</f>
        <v>-</v>
      </c>
      <c r="Q1492" s="247">
        <f t="shared" si="167"/>
        <v>0</v>
      </c>
      <c r="R1492" s="259" t="str">
        <f>+_xlfn.XLOOKUP(A1492,PPTO_GENERADOR!$Q:$Q,PPTO_GENERADOR!A:A,"-",0)</f>
        <v>-</v>
      </c>
    </row>
    <row r="1493" spans="1:18" ht="14.25" customHeight="1" x14ac:dyDescent="0.35">
      <c r="A1493" s="38" t="s">
        <v>2741</v>
      </c>
      <c r="B1493" s="38" t="s">
        <v>2773</v>
      </c>
      <c r="C1493" s="38"/>
      <c r="D1493" s="38" t="s">
        <v>1592</v>
      </c>
      <c r="E1493" s="44" t="str">
        <f>IFERROR(VLOOKUP(D1493,EQUIPOS!A:B,2,FALSE()),"?")</f>
        <v>ANDAMIO TUBULAR DE UNO A TRES CUERPOS</v>
      </c>
      <c r="F1493" s="44"/>
      <c r="G1493" s="45">
        <v>0.5</v>
      </c>
      <c r="H1493" s="46">
        <v>0</v>
      </c>
      <c r="I1493" s="47">
        <f>IFERROR(VLOOKUP(D1493,EQUIPOS!A:F,6,FALSE()),0)</f>
        <v>571.1794909807611</v>
      </c>
      <c r="J1493" s="42">
        <f>G1493*I1493</f>
        <v>285.58974549038055</v>
      </c>
      <c r="K1493" s="15" t="str">
        <f t="shared" si="164"/>
        <v>PTO-1806|EQ</v>
      </c>
      <c r="L1493" s="15">
        <f>COUNTIFS($K$2:K1493,K1493)</f>
        <v>1</v>
      </c>
      <c r="M1493" s="15" t="str">
        <f t="shared" si="165"/>
        <v>PTO-1806|EQ|1</v>
      </c>
      <c r="N1493" s="47">
        <f>IFERROR(VLOOKUP(A1493,PARTIDAS!A:F,6,FALSE()),0)</f>
        <v>3.25</v>
      </c>
      <c r="O1493" s="247">
        <f t="shared" si="166"/>
        <v>0.5</v>
      </c>
      <c r="P1493" s="247" t="str">
        <f>+_xlfn.XLOOKUP(A1493,PPTO_GENERADOR!Q:Q,PPTO_GENERADOR!E:E,"-",0)</f>
        <v>-</v>
      </c>
      <c r="Q1493" s="247">
        <f t="shared" si="167"/>
        <v>0</v>
      </c>
      <c r="R1493" s="259" t="str">
        <f>+_xlfn.XLOOKUP(A1493,PPTO_GENERADOR!$Q:$Q,PPTO_GENERADOR!A:A,"-",0)</f>
        <v>-</v>
      </c>
    </row>
    <row r="1494" spans="1:18" ht="14.25" customHeight="1" x14ac:dyDescent="0.35">
      <c r="A1494" s="38" t="s">
        <v>2741</v>
      </c>
      <c r="B1494" s="38" t="s">
        <v>2773</v>
      </c>
      <c r="C1494" s="38"/>
      <c r="D1494" s="38" t="s">
        <v>1601</v>
      </c>
      <c r="E1494" s="44" t="str">
        <f>IFERROR(VLOOKUP(D1494,EQUIPOS!A:B,2,FALSE()),"?")</f>
        <v>EQUIPO PARA INSTALACION ELECTRICA</v>
      </c>
      <c r="F1494" s="44"/>
      <c r="G1494" s="45">
        <v>1</v>
      </c>
      <c r="H1494" s="46">
        <v>0</v>
      </c>
      <c r="I1494" s="47">
        <f>IFERROR(VLOOKUP(D1494,EQUIPOS!A:F,6,FALSE()),0)</f>
        <v>5063.0947914732405</v>
      </c>
      <c r="J1494" s="42">
        <f>G1494*I1494</f>
        <v>5063.0947914732405</v>
      </c>
      <c r="K1494" s="15" t="str">
        <f t="shared" si="164"/>
        <v>PTO-1806|EQ</v>
      </c>
      <c r="L1494" s="15">
        <f>COUNTIFS($K$2:K1494,K1494)</f>
        <v>2</v>
      </c>
      <c r="M1494" s="15" t="str">
        <f t="shared" si="165"/>
        <v>PTO-1806|EQ|2</v>
      </c>
      <c r="N1494" s="47">
        <f>IFERROR(VLOOKUP(A1494,PARTIDAS!A:F,6,FALSE()),0)</f>
        <v>3.25</v>
      </c>
      <c r="O1494" s="247">
        <f t="shared" si="166"/>
        <v>1</v>
      </c>
      <c r="P1494" s="247" t="str">
        <f>+_xlfn.XLOOKUP(A1494,PPTO_GENERADOR!Q:Q,PPTO_GENERADOR!E:E,"-",0)</f>
        <v>-</v>
      </c>
      <c r="Q1494" s="247">
        <f t="shared" si="167"/>
        <v>0</v>
      </c>
      <c r="R1494" s="259" t="str">
        <f>+_xlfn.XLOOKUP(A1494,PPTO_GENERADOR!$Q:$Q,PPTO_GENERADOR!A:A,"-",0)</f>
        <v>-</v>
      </c>
    </row>
    <row r="1495" spans="1:18" ht="14.25" customHeight="1" x14ac:dyDescent="0.35">
      <c r="A1495" s="38" t="s">
        <v>2741</v>
      </c>
      <c r="B1495" s="38" t="s">
        <v>2773</v>
      </c>
      <c r="C1495" s="38"/>
      <c r="D1495" s="38" t="s">
        <v>1622</v>
      </c>
      <c r="E1495" s="44" t="str">
        <f>IFERROR(VLOOKUP(D1495,EQUIPOS!A:B,2,FALSE()),"?")</f>
        <v>ESCALERA GLOSS ALUMINIO ARTICULADA 4 X 4 ESCALONES HASTA 150KG</v>
      </c>
      <c r="F1495" s="44"/>
      <c r="G1495" s="45">
        <v>0.5</v>
      </c>
      <c r="H1495" s="46">
        <v>0</v>
      </c>
      <c r="I1495" s="47">
        <f>IFERROR(VLOOKUP(D1495,EQUIPOS!A:F,6,FALSE()),0)</f>
        <v>140.19809259430903</v>
      </c>
      <c r="J1495" s="42">
        <f>G1495*I1495</f>
        <v>70.099046297154516</v>
      </c>
      <c r="K1495" s="15" t="str">
        <f t="shared" si="164"/>
        <v>PTO-1806|EQ</v>
      </c>
      <c r="L1495" s="15">
        <f>COUNTIFS($K$2:K1495,K1495)</f>
        <v>3</v>
      </c>
      <c r="M1495" s="15" t="str">
        <f t="shared" si="165"/>
        <v>PTO-1806|EQ|3</v>
      </c>
      <c r="N1495" s="47">
        <f>IFERROR(VLOOKUP(A1495,PARTIDAS!A:F,6,FALSE()),0)</f>
        <v>3.25</v>
      </c>
      <c r="O1495" s="247">
        <f t="shared" si="166"/>
        <v>0.5</v>
      </c>
      <c r="P1495" s="247" t="str">
        <f>+_xlfn.XLOOKUP(A1495,PPTO_GENERADOR!Q:Q,PPTO_GENERADOR!E:E,"-",0)</f>
        <v>-</v>
      </c>
      <c r="Q1495" s="247">
        <f t="shared" si="167"/>
        <v>0</v>
      </c>
      <c r="R1495" s="259" t="str">
        <f>+_xlfn.XLOOKUP(A1495,PPTO_GENERADOR!$Q:$Q,PPTO_GENERADOR!A:A,"-",0)</f>
        <v>-</v>
      </c>
    </row>
    <row r="1496" spans="1:18" ht="14.25" customHeight="1" x14ac:dyDescent="0.35">
      <c r="A1496" s="38" t="s">
        <v>2741</v>
      </c>
      <c r="B1496" s="38" t="s">
        <v>2774</v>
      </c>
      <c r="C1496" s="38" t="s">
        <v>2775</v>
      </c>
      <c r="D1496" s="38" t="s">
        <v>928</v>
      </c>
      <c r="E1496" s="44" t="str">
        <f>IFERROR(VLOOKUP(D1496,MATERIALES!A:B,2,FALSE()),"?")</f>
        <v>Conector hierro 7/8"</v>
      </c>
      <c r="F1496" s="44" t="str">
        <f>IFERROR(VLOOKUP(D1496,MATERIALES!A:C,3,FALSE()),"?")</f>
        <v>u</v>
      </c>
      <c r="G1496" s="45">
        <v>3</v>
      </c>
      <c r="H1496" s="46">
        <v>0.1</v>
      </c>
      <c r="I1496" s="47">
        <f>IFERROR(VLOOKUP(D1496,MATERIALES!A:D,4,FALSE()),0)</f>
        <v>282.29000000000002</v>
      </c>
      <c r="J1496" s="42">
        <f t="shared" ref="J1496:J1503" si="169">G1496*I1496*(1+H1496)</f>
        <v>931.55700000000024</v>
      </c>
      <c r="K1496" s="15" t="str">
        <f t="shared" si="164"/>
        <v>PTO-1806|MAT</v>
      </c>
      <c r="L1496" s="15">
        <f>COUNTIFS($K$2:K1496,K1496)</f>
        <v>1</v>
      </c>
      <c r="M1496" s="15" t="str">
        <f t="shared" si="165"/>
        <v>PTO-1806|MAT|1</v>
      </c>
      <c r="N1496" s="47">
        <f>IFERROR(VLOOKUP(A1496,PARTIDAS!A:F,6,FALSE()),0)</f>
        <v>3.25</v>
      </c>
      <c r="O1496" s="247">
        <f t="shared" si="166"/>
        <v>3</v>
      </c>
      <c r="P1496" s="247" t="str">
        <f>+_xlfn.XLOOKUP(A1496,PPTO_GENERADOR!Q:Q,PPTO_GENERADOR!E:E,"-",0)</f>
        <v>-</v>
      </c>
      <c r="Q1496" s="247">
        <f t="shared" si="167"/>
        <v>0</v>
      </c>
      <c r="R1496" s="259" t="str">
        <f>+_xlfn.XLOOKUP(A1496,PPTO_GENERADOR!$Q:$Q,PPTO_GENERADOR!A:A,"-",0)</f>
        <v>-</v>
      </c>
    </row>
    <row r="1497" spans="1:18" ht="14.25" customHeight="1" x14ac:dyDescent="0.35">
      <c r="A1497" s="38" t="s">
        <v>2741</v>
      </c>
      <c r="B1497" s="38" t="s">
        <v>2774</v>
      </c>
      <c r="C1497" s="38" t="s">
        <v>2775</v>
      </c>
      <c r="D1497" s="38" t="s">
        <v>922</v>
      </c>
      <c r="E1497" s="44" t="str">
        <f>IFERROR(VLOOKUP(D1497,MATERIALES!A:B,2,FALSE()),"?")</f>
        <v>Caño rigido 7/8"</v>
      </c>
      <c r="F1497" s="44" t="str">
        <f>IFERROR(VLOOKUP(D1497,MATERIALES!A:C,3,FALSE()),"?")</f>
        <v>ml</v>
      </c>
      <c r="G1497" s="45">
        <v>5</v>
      </c>
      <c r="H1497" s="46">
        <v>0.1</v>
      </c>
      <c r="I1497" s="47">
        <f>IFERROR(VLOOKUP(D1497,MATERIALES!A:D,4,FALSE()),0)</f>
        <v>635.55999999999995</v>
      </c>
      <c r="J1497" s="42">
        <f t="shared" si="169"/>
        <v>3495.58</v>
      </c>
      <c r="K1497" s="15" t="str">
        <f t="shared" si="164"/>
        <v>PTO-1806|MAT</v>
      </c>
      <c r="L1497" s="15">
        <f>COUNTIFS($K$2:K1497,K1497)</f>
        <v>2</v>
      </c>
      <c r="M1497" s="15" t="str">
        <f t="shared" si="165"/>
        <v>PTO-1806|MAT|2</v>
      </c>
      <c r="N1497" s="47">
        <f>IFERROR(VLOOKUP(A1497,PARTIDAS!A:F,6,FALSE()),0)</f>
        <v>3.25</v>
      </c>
      <c r="O1497" s="247">
        <f t="shared" si="166"/>
        <v>5</v>
      </c>
      <c r="P1497" s="247" t="str">
        <f>+_xlfn.XLOOKUP(A1497,PPTO_GENERADOR!Q:Q,PPTO_GENERADOR!E:E,"-",0)</f>
        <v>-</v>
      </c>
      <c r="Q1497" s="247">
        <f t="shared" si="167"/>
        <v>0</v>
      </c>
      <c r="R1497" s="259" t="str">
        <f>+_xlfn.XLOOKUP(A1497,PPTO_GENERADOR!$Q:$Q,PPTO_GENERADOR!A:A,"-",0)</f>
        <v>-</v>
      </c>
    </row>
    <row r="1498" spans="1:18" ht="14.25" customHeight="1" x14ac:dyDescent="0.35">
      <c r="A1498" s="38" t="s">
        <v>2741</v>
      </c>
      <c r="B1498" s="38" t="s">
        <v>2774</v>
      </c>
      <c r="C1498" s="38" t="s">
        <v>2775</v>
      </c>
      <c r="D1498" s="38" t="s">
        <v>935</v>
      </c>
      <c r="E1498" s="44" t="str">
        <f>IFERROR(VLOOKUP(D1498,MATERIALES!A:B,2,FALSE()),"?")</f>
        <v>Cupla PVC 7/8"</v>
      </c>
      <c r="F1498" s="44" t="str">
        <f>IFERROR(VLOOKUP(D1498,MATERIALES!A:C,3,FALSE()),"?")</f>
        <v>u</v>
      </c>
      <c r="G1498" s="45">
        <v>2</v>
      </c>
      <c r="H1498" s="46">
        <v>0.1</v>
      </c>
      <c r="I1498" s="47">
        <f>IFERROR(VLOOKUP(D1498,MATERIALES!A:D,4,FALSE()),0)</f>
        <v>184.87</v>
      </c>
      <c r="J1498" s="42">
        <f t="shared" si="169"/>
        <v>406.71400000000006</v>
      </c>
      <c r="K1498" s="15" t="str">
        <f t="shared" si="164"/>
        <v>PTO-1806|MAT</v>
      </c>
      <c r="L1498" s="15">
        <f>COUNTIFS($K$2:K1498,K1498)</f>
        <v>3</v>
      </c>
      <c r="M1498" s="15" t="str">
        <f t="shared" si="165"/>
        <v>PTO-1806|MAT|3</v>
      </c>
      <c r="N1498" s="47">
        <f>IFERROR(VLOOKUP(A1498,PARTIDAS!A:F,6,FALSE()),0)</f>
        <v>3.25</v>
      </c>
      <c r="O1498" s="247">
        <f t="shared" si="166"/>
        <v>2</v>
      </c>
      <c r="P1498" s="247" t="str">
        <f>+_xlfn.XLOOKUP(A1498,PPTO_GENERADOR!Q:Q,PPTO_GENERADOR!E:E,"-",0)</f>
        <v>-</v>
      </c>
      <c r="Q1498" s="247">
        <f t="shared" si="167"/>
        <v>0</v>
      </c>
      <c r="R1498" s="259" t="str">
        <f>+_xlfn.XLOOKUP(A1498,PPTO_GENERADOR!$Q:$Q,PPTO_GENERADOR!A:A,"-",0)</f>
        <v>-</v>
      </c>
    </row>
    <row r="1499" spans="1:18" ht="14.25" customHeight="1" x14ac:dyDescent="0.35">
      <c r="A1499" s="38" t="s">
        <v>2741</v>
      </c>
      <c r="B1499" s="38" t="s">
        <v>2774</v>
      </c>
      <c r="C1499" s="38" t="s">
        <v>2775</v>
      </c>
      <c r="D1499" s="38" t="s">
        <v>939</v>
      </c>
      <c r="E1499" s="44" t="str">
        <f>IFERROR(VLOOKUP(D1499,MATERIALES!A:B,2,FALSE()),"?")</f>
        <v>Cable unipolar 1 x 1,50</v>
      </c>
      <c r="F1499" s="44" t="str">
        <f>IFERROR(VLOOKUP(D1499,MATERIALES!A:C,3,FALSE()),"?")</f>
        <v>ml</v>
      </c>
      <c r="G1499" s="45">
        <v>7.5</v>
      </c>
      <c r="H1499" s="46">
        <v>0.1</v>
      </c>
      <c r="I1499" s="47">
        <f>IFERROR(VLOOKUP(D1499,MATERIALES!A:D,4,FALSE()),0)</f>
        <v>316.44450000000001</v>
      </c>
      <c r="J1499" s="42">
        <f t="shared" si="169"/>
        <v>2610.6671250000004</v>
      </c>
      <c r="K1499" s="15" t="str">
        <f t="shared" si="164"/>
        <v>PTO-1806|MAT</v>
      </c>
      <c r="L1499" s="15">
        <f>COUNTIFS($K$2:K1499,K1499)</f>
        <v>4</v>
      </c>
      <c r="M1499" s="15" t="str">
        <f t="shared" si="165"/>
        <v>PTO-1806|MAT|4</v>
      </c>
      <c r="N1499" s="47">
        <f>IFERROR(VLOOKUP(A1499,PARTIDAS!A:F,6,FALSE()),0)</f>
        <v>3.25</v>
      </c>
      <c r="O1499" s="247">
        <f t="shared" si="166"/>
        <v>7.5</v>
      </c>
      <c r="P1499" s="247" t="str">
        <f>+_xlfn.XLOOKUP(A1499,PPTO_GENERADOR!Q:Q,PPTO_GENERADOR!E:E,"-",0)</f>
        <v>-</v>
      </c>
      <c r="Q1499" s="247">
        <f t="shared" si="167"/>
        <v>0</v>
      </c>
      <c r="R1499" s="259" t="str">
        <f>+_xlfn.XLOOKUP(A1499,PPTO_GENERADOR!$Q:$Q,PPTO_GENERADOR!A:A,"-",0)</f>
        <v>-</v>
      </c>
    </row>
    <row r="1500" spans="1:18" ht="14.25" customHeight="1" x14ac:dyDescent="0.35">
      <c r="A1500" s="38" t="s">
        <v>2741</v>
      </c>
      <c r="B1500" s="38" t="s">
        <v>2774</v>
      </c>
      <c r="C1500" s="38" t="s">
        <v>2775</v>
      </c>
      <c r="D1500" s="38" t="s">
        <v>941</v>
      </c>
      <c r="E1500" s="44" t="str">
        <f>IFERROR(VLOOKUP(D1500,MATERIALES!A:B,2,FALSE()),"?")</f>
        <v>Cable unipolar 1 x 2,50 VA</v>
      </c>
      <c r="F1500" s="44" t="str">
        <f>IFERROR(VLOOKUP(D1500,MATERIALES!A:C,3,FALSE()),"?")</f>
        <v>ml</v>
      </c>
      <c r="G1500" s="45">
        <v>5</v>
      </c>
      <c r="H1500" s="46">
        <v>0.1</v>
      </c>
      <c r="I1500" s="47">
        <f>IFERROR(VLOOKUP(D1500,MATERIALES!A:D,4,FALSE()),0)</f>
        <v>509.31490000000002</v>
      </c>
      <c r="J1500" s="42">
        <f t="shared" si="169"/>
        <v>2801.2319500000003</v>
      </c>
      <c r="K1500" s="15" t="str">
        <f t="shared" si="164"/>
        <v>PTO-1806|MAT</v>
      </c>
      <c r="L1500" s="15">
        <f>COUNTIFS($K$2:K1500,K1500)</f>
        <v>5</v>
      </c>
      <c r="M1500" s="15" t="str">
        <f t="shared" si="165"/>
        <v>PTO-1806|MAT|5</v>
      </c>
      <c r="N1500" s="47">
        <f>IFERROR(VLOOKUP(A1500,PARTIDAS!A:F,6,FALSE()),0)</f>
        <v>3.25</v>
      </c>
      <c r="O1500" s="247">
        <f t="shared" si="166"/>
        <v>5</v>
      </c>
      <c r="P1500" s="247" t="str">
        <f>+_xlfn.XLOOKUP(A1500,PPTO_GENERADOR!Q:Q,PPTO_GENERADOR!E:E,"-",0)</f>
        <v>-</v>
      </c>
      <c r="Q1500" s="247">
        <f t="shared" si="167"/>
        <v>0</v>
      </c>
      <c r="R1500" s="259" t="str">
        <f>+_xlfn.XLOOKUP(A1500,PPTO_GENERADOR!$Q:$Q,PPTO_GENERADOR!A:A,"-",0)</f>
        <v>-</v>
      </c>
    </row>
    <row r="1501" spans="1:18" ht="14.25" customHeight="1" x14ac:dyDescent="0.35">
      <c r="A1501" s="38" t="s">
        <v>2741</v>
      </c>
      <c r="B1501" s="38" t="s">
        <v>2774</v>
      </c>
      <c r="C1501" s="38" t="s">
        <v>2775</v>
      </c>
      <c r="D1501" s="38" t="s">
        <v>943</v>
      </c>
      <c r="E1501" s="44" t="str">
        <f>IFERROR(VLOOKUP(D1501,MATERIALES!A:B,2,FALSE()),"?")</f>
        <v>Cable unipolar 1 x 2,50 Rojo/Marron/Negro</v>
      </c>
      <c r="F1501" s="44" t="str">
        <f>IFERROR(VLOOKUP(D1501,MATERIALES!A:C,3,FALSE()),"?")</f>
        <v>ml</v>
      </c>
      <c r="G1501" s="45">
        <v>7.5</v>
      </c>
      <c r="H1501" s="46">
        <v>0.1</v>
      </c>
      <c r="I1501" s="47">
        <f>IFERROR(VLOOKUP(D1501,MATERIALES!A:D,4,FALSE()),0)</f>
        <v>509.31490000000002</v>
      </c>
      <c r="J1501" s="42">
        <f t="shared" si="169"/>
        <v>4201.847925</v>
      </c>
      <c r="K1501" s="15" t="str">
        <f t="shared" si="164"/>
        <v>PTO-1806|MAT</v>
      </c>
      <c r="L1501" s="15">
        <f>COUNTIFS($K$2:K1501,K1501)</f>
        <v>6</v>
      </c>
      <c r="M1501" s="15" t="str">
        <f t="shared" si="165"/>
        <v>PTO-1806|MAT|6</v>
      </c>
      <c r="N1501" s="47">
        <f>IFERROR(VLOOKUP(A1501,PARTIDAS!A:F,6,FALSE()),0)</f>
        <v>3.25</v>
      </c>
      <c r="O1501" s="247">
        <f t="shared" si="166"/>
        <v>7.5</v>
      </c>
      <c r="P1501" s="247" t="str">
        <f>+_xlfn.XLOOKUP(A1501,PPTO_GENERADOR!Q:Q,PPTO_GENERADOR!E:E,"-",0)</f>
        <v>-</v>
      </c>
      <c r="Q1501" s="247">
        <f t="shared" si="167"/>
        <v>0</v>
      </c>
      <c r="R1501" s="259" t="str">
        <f>+_xlfn.XLOOKUP(A1501,PPTO_GENERADOR!$Q:$Q,PPTO_GENERADOR!A:A,"-",0)</f>
        <v>-</v>
      </c>
    </row>
    <row r="1502" spans="1:18" ht="14.25" customHeight="1" x14ac:dyDescent="0.35">
      <c r="A1502" s="38" t="s">
        <v>2741</v>
      </c>
      <c r="B1502" s="38" t="s">
        <v>2774</v>
      </c>
      <c r="C1502" s="38" t="s">
        <v>2775</v>
      </c>
      <c r="D1502" s="38" t="s">
        <v>947</v>
      </c>
      <c r="E1502" s="44" t="str">
        <f>IFERROR(VLOOKUP(D1502,MATERIALES!A:B,2,FALSE()),"?")</f>
        <v>Caja octogonal chica</v>
      </c>
      <c r="F1502" s="44" t="str">
        <f>IFERROR(VLOOKUP(D1502,MATERIALES!A:C,3,FALSE()),"?")</f>
        <v>u</v>
      </c>
      <c r="G1502" s="45">
        <v>1</v>
      </c>
      <c r="H1502" s="46">
        <v>0.05</v>
      </c>
      <c r="I1502" s="47">
        <f>IFERROR(VLOOKUP(D1502,MATERIALES!A:D,4,FALSE()),0)</f>
        <v>202.42</v>
      </c>
      <c r="J1502" s="42">
        <f t="shared" si="169"/>
        <v>212.541</v>
      </c>
      <c r="K1502" s="15" t="str">
        <f t="shared" si="164"/>
        <v>PTO-1806|MAT</v>
      </c>
      <c r="L1502" s="15">
        <f>COUNTIFS($K$2:K1502,K1502)</f>
        <v>7</v>
      </c>
      <c r="M1502" s="15" t="str">
        <f t="shared" si="165"/>
        <v>PTO-1806|MAT|7</v>
      </c>
      <c r="N1502" s="47">
        <f>IFERROR(VLOOKUP(A1502,PARTIDAS!A:F,6,FALSE()),0)</f>
        <v>3.25</v>
      </c>
      <c r="O1502" s="247">
        <f t="shared" si="166"/>
        <v>1</v>
      </c>
      <c r="P1502" s="247" t="str">
        <f>+_xlfn.XLOOKUP(A1502,PPTO_GENERADOR!Q:Q,PPTO_GENERADOR!E:E,"-",0)</f>
        <v>-</v>
      </c>
      <c r="Q1502" s="247">
        <f t="shared" si="167"/>
        <v>0</v>
      </c>
      <c r="R1502" s="259" t="str">
        <f>+_xlfn.XLOOKUP(A1502,PPTO_GENERADOR!$Q:$Q,PPTO_GENERADOR!A:A,"-",0)</f>
        <v>-</v>
      </c>
    </row>
    <row r="1503" spans="1:18" ht="14.25" customHeight="1" x14ac:dyDescent="0.35">
      <c r="A1503" s="38" t="s">
        <v>2741</v>
      </c>
      <c r="B1503" s="38" t="s">
        <v>2774</v>
      </c>
      <c r="C1503" s="38" t="s">
        <v>2775</v>
      </c>
      <c r="D1503" s="38" t="s">
        <v>951</v>
      </c>
      <c r="E1503" s="44" t="str">
        <f>IFERROR(VLOOKUP(D1503,MATERIALES!A:B,2,FALSE()),"?")</f>
        <v>Caja rectangular chica</v>
      </c>
      <c r="F1503" s="44" t="str">
        <f>IFERROR(VLOOKUP(D1503,MATERIALES!A:C,3,FALSE()),"?")</f>
        <v>u</v>
      </c>
      <c r="G1503" s="45">
        <v>0.5</v>
      </c>
      <c r="H1503" s="46">
        <v>0.05</v>
      </c>
      <c r="I1503" s="47">
        <f>IFERROR(VLOOKUP(D1503,MATERIALES!A:D,4,FALSE()),0)</f>
        <v>202.42</v>
      </c>
      <c r="J1503" s="42">
        <f t="shared" si="169"/>
        <v>106.2705</v>
      </c>
      <c r="K1503" s="15" t="str">
        <f t="shared" si="164"/>
        <v>PTO-1806|MAT</v>
      </c>
      <c r="L1503" s="15">
        <f>COUNTIFS($K$2:K1503,K1503)</f>
        <v>8</v>
      </c>
      <c r="M1503" s="15" t="str">
        <f t="shared" si="165"/>
        <v>PTO-1806|MAT|8</v>
      </c>
      <c r="N1503" s="47">
        <f>IFERROR(VLOOKUP(A1503,PARTIDAS!A:F,6,FALSE()),0)</f>
        <v>3.25</v>
      </c>
      <c r="O1503" s="247">
        <f t="shared" si="166"/>
        <v>0.5</v>
      </c>
      <c r="P1503" s="247" t="str">
        <f>+_xlfn.XLOOKUP(A1503,PPTO_GENERADOR!Q:Q,PPTO_GENERADOR!E:E,"-",0)</f>
        <v>-</v>
      </c>
      <c r="Q1503" s="247">
        <f t="shared" si="167"/>
        <v>0</v>
      </c>
      <c r="R1503" s="259" t="str">
        <f>+_xlfn.XLOOKUP(A1503,PPTO_GENERADOR!$Q:$Q,PPTO_GENERADOR!A:A,"-",0)</f>
        <v>-</v>
      </c>
    </row>
    <row r="1504" spans="1:18" ht="14.25" customHeight="1" x14ac:dyDescent="0.35">
      <c r="A1504" s="38" t="s">
        <v>278</v>
      </c>
      <c r="B1504" s="38" t="s">
        <v>2776</v>
      </c>
      <c r="C1504" s="38" t="s">
        <v>2775</v>
      </c>
      <c r="D1504" s="38" t="s">
        <v>2168</v>
      </c>
      <c r="E1504" s="44" t="str">
        <f>IFERROR(VLOOKUP(D1504,SUBCONTRATOS_PRY!A:B,2,FALSE()),"?")</f>
        <v>Canalización</v>
      </c>
      <c r="F1504" s="44" t="s">
        <v>2778</v>
      </c>
      <c r="G1504" s="45">
        <v>5</v>
      </c>
      <c r="H1504" s="46">
        <v>0</v>
      </c>
      <c r="I1504" s="47">
        <f>IFERROR(VLOOKUP(D1504,SUBCONTRATOS_PRY!A:D,4,FALSE()),0)</f>
        <v>24807.3</v>
      </c>
      <c r="J1504" s="42">
        <f>G1504*I1504</f>
        <v>124036.5</v>
      </c>
      <c r="K1504" s="15" t="str">
        <f t="shared" si="164"/>
        <v>PTO-1811|MO</v>
      </c>
      <c r="L1504" s="15">
        <f>COUNTIFS($K$2:K1504,K1504)</f>
        <v>1</v>
      </c>
      <c r="M1504" s="15" t="str">
        <f t="shared" si="165"/>
        <v>PTO-1811|MO|1</v>
      </c>
      <c r="N1504" s="47">
        <f>IFERROR(VLOOKUP(A1504,PARTIDAS!A:F,6,FALSE()),0)</f>
        <v>5</v>
      </c>
      <c r="O1504" s="247">
        <f t="shared" si="166"/>
        <v>5</v>
      </c>
      <c r="P1504" s="247">
        <f>+_xlfn.XLOOKUP(A1504,PPTO_GENERADOR!Q:Q,PPTO_GENERADOR!E:E,"-",0)</f>
        <v>26</v>
      </c>
      <c r="Q1504" s="247">
        <f t="shared" si="167"/>
        <v>130</v>
      </c>
      <c r="R1504" s="259">
        <f>+_xlfn.XLOOKUP(A1504,PPTO_GENERADOR!$Q:$Q,PPTO_GENERADOR!A:A,"-",0)</f>
        <v>18.11</v>
      </c>
    </row>
    <row r="1505" spans="1:18" ht="14.25" customHeight="1" x14ac:dyDescent="0.35">
      <c r="A1505" s="38" t="s">
        <v>2747</v>
      </c>
      <c r="B1505" s="38" t="s">
        <v>2776</v>
      </c>
      <c r="C1505" s="38" t="s">
        <v>2775</v>
      </c>
      <c r="D1505" s="38" t="s">
        <v>2168</v>
      </c>
      <c r="E1505" s="44" t="str">
        <f>IFERROR(VLOOKUP(D1505,SUBCONTRATOS_PRY!A:B,2,FALSE()),"?")</f>
        <v>Canalización</v>
      </c>
      <c r="F1505" s="44" t="s">
        <v>2778</v>
      </c>
      <c r="G1505" s="45">
        <v>5</v>
      </c>
      <c r="H1505" s="46">
        <v>0</v>
      </c>
      <c r="I1505" s="47">
        <f>IFERROR(VLOOKUP(D1505,SUBCONTRATOS_PRY!A:D,4,FALSE()),0)</f>
        <v>24807.3</v>
      </c>
      <c r="J1505" s="42">
        <f>G1505*I1505</f>
        <v>124036.5</v>
      </c>
      <c r="K1505" s="15" t="str">
        <f t="shared" si="164"/>
        <v>PTO-1812|MO</v>
      </c>
      <c r="L1505" s="15">
        <f>COUNTIFS($K$2:K1505,K1505)</f>
        <v>1</v>
      </c>
      <c r="M1505" s="15" t="str">
        <f t="shared" si="165"/>
        <v>PTO-1812|MO|1</v>
      </c>
      <c r="N1505" s="47">
        <f>IFERROR(VLOOKUP(A1505,PARTIDAS!A:F,6,FALSE()),0)</f>
        <v>5</v>
      </c>
      <c r="O1505" s="247">
        <f t="shared" si="166"/>
        <v>5</v>
      </c>
      <c r="P1505" s="247" t="str">
        <f>+_xlfn.XLOOKUP(A1505,PPTO_GENERADOR!Q:Q,PPTO_GENERADOR!E:E,"-",0)</f>
        <v>-</v>
      </c>
      <c r="Q1505" s="247">
        <f t="shared" si="167"/>
        <v>0</v>
      </c>
      <c r="R1505" s="259" t="str">
        <f>+_xlfn.XLOOKUP(A1505,PPTO_GENERADOR!$Q:$Q,PPTO_GENERADOR!A:A,"-",0)</f>
        <v>-</v>
      </c>
    </row>
    <row r="1506" spans="1:18" ht="14.25" customHeight="1" x14ac:dyDescent="0.35">
      <c r="A1506" s="38" t="s">
        <v>272</v>
      </c>
      <c r="B1506" s="38" t="s">
        <v>2773</v>
      </c>
      <c r="C1506" s="38"/>
      <c r="D1506" s="38" t="s">
        <v>1592</v>
      </c>
      <c r="E1506" s="44" t="str">
        <f>IFERROR(VLOOKUP(D1506,EQUIPOS!A:B,2,FALSE()),"?")</f>
        <v>ANDAMIO TUBULAR DE UNO A TRES CUERPOS</v>
      </c>
      <c r="F1506" s="44"/>
      <c r="G1506" s="45">
        <v>0.5</v>
      </c>
      <c r="H1506" s="46">
        <v>0</v>
      </c>
      <c r="I1506" s="47">
        <f>IFERROR(VLOOKUP(D1506,EQUIPOS!A:F,6,FALSE()),0)</f>
        <v>571.1794909807611</v>
      </c>
      <c r="J1506" s="42">
        <f>G1506*I1506</f>
        <v>285.58974549038055</v>
      </c>
      <c r="K1506" s="15" t="str">
        <f t="shared" si="164"/>
        <v>PTO-1807|EQ</v>
      </c>
      <c r="L1506" s="15">
        <f>COUNTIFS($K$2:K1506,K1506)</f>
        <v>1</v>
      </c>
      <c r="M1506" s="15" t="str">
        <f t="shared" si="165"/>
        <v>PTO-1807|EQ|1</v>
      </c>
      <c r="N1506" s="47">
        <f>IFERROR(VLOOKUP(A1506,PARTIDAS!A:F,6,FALSE()),0)</f>
        <v>3.25</v>
      </c>
      <c r="O1506" s="247">
        <f t="shared" si="166"/>
        <v>0.5</v>
      </c>
      <c r="P1506" s="247">
        <f>+_xlfn.XLOOKUP(A1506,PPTO_GENERADOR!Q:Q,PPTO_GENERADOR!E:E,"-",0)</f>
        <v>226</v>
      </c>
      <c r="Q1506" s="247">
        <f t="shared" si="167"/>
        <v>113</v>
      </c>
      <c r="R1506" s="259">
        <f>+_xlfn.XLOOKUP(A1506,PPTO_GENERADOR!$Q:$Q,PPTO_GENERADOR!A:A,"-",0)</f>
        <v>18.07</v>
      </c>
    </row>
    <row r="1507" spans="1:18" ht="14.25" customHeight="1" x14ac:dyDescent="0.35">
      <c r="A1507" s="38" t="s">
        <v>272</v>
      </c>
      <c r="B1507" s="38" t="s">
        <v>2773</v>
      </c>
      <c r="C1507" s="38"/>
      <c r="D1507" s="38" t="s">
        <v>1601</v>
      </c>
      <c r="E1507" s="44" t="str">
        <f>IFERROR(VLOOKUP(D1507,EQUIPOS!A:B,2,FALSE()),"?")</f>
        <v>EQUIPO PARA INSTALACION ELECTRICA</v>
      </c>
      <c r="F1507" s="44"/>
      <c r="G1507" s="45">
        <v>1</v>
      </c>
      <c r="H1507" s="46">
        <v>0</v>
      </c>
      <c r="I1507" s="47">
        <f>IFERROR(VLOOKUP(D1507,EQUIPOS!A:F,6,FALSE()),0)</f>
        <v>5063.0947914732405</v>
      </c>
      <c r="J1507" s="42">
        <f>G1507*I1507</f>
        <v>5063.0947914732405</v>
      </c>
      <c r="K1507" s="15" t="str">
        <f t="shared" si="164"/>
        <v>PTO-1807|EQ</v>
      </c>
      <c r="L1507" s="15">
        <f>COUNTIFS($K$2:K1507,K1507)</f>
        <v>2</v>
      </c>
      <c r="M1507" s="15" t="str">
        <f t="shared" si="165"/>
        <v>PTO-1807|EQ|2</v>
      </c>
      <c r="N1507" s="47">
        <f>IFERROR(VLOOKUP(A1507,PARTIDAS!A:F,6,FALSE()),0)</f>
        <v>3.25</v>
      </c>
      <c r="O1507" s="247">
        <f t="shared" si="166"/>
        <v>1</v>
      </c>
      <c r="P1507" s="247">
        <f>+_xlfn.XLOOKUP(A1507,PPTO_GENERADOR!Q:Q,PPTO_GENERADOR!E:E,"-",0)</f>
        <v>226</v>
      </c>
      <c r="Q1507" s="247">
        <f t="shared" si="167"/>
        <v>226</v>
      </c>
      <c r="R1507" s="259">
        <f>+_xlfn.XLOOKUP(A1507,PPTO_GENERADOR!$Q:$Q,PPTO_GENERADOR!A:A,"-",0)</f>
        <v>18.07</v>
      </c>
    </row>
    <row r="1508" spans="1:18" ht="14.25" customHeight="1" x14ac:dyDescent="0.35">
      <c r="A1508" s="38" t="s">
        <v>272</v>
      </c>
      <c r="B1508" s="38" t="s">
        <v>2773</v>
      </c>
      <c r="C1508" s="38"/>
      <c r="D1508" s="38" t="s">
        <v>1622</v>
      </c>
      <c r="E1508" s="44" t="str">
        <f>IFERROR(VLOOKUP(D1508,EQUIPOS!A:B,2,FALSE()),"?")</f>
        <v>ESCALERA GLOSS ALUMINIO ARTICULADA 4 X 4 ESCALONES HASTA 150KG</v>
      </c>
      <c r="F1508" s="44"/>
      <c r="G1508" s="45">
        <v>0.5</v>
      </c>
      <c r="H1508" s="46">
        <v>0</v>
      </c>
      <c r="I1508" s="47">
        <f>IFERROR(VLOOKUP(D1508,EQUIPOS!A:F,6,FALSE()),0)</f>
        <v>140.19809259430903</v>
      </c>
      <c r="J1508" s="42">
        <f>G1508*I1508</f>
        <v>70.099046297154516</v>
      </c>
      <c r="K1508" s="15" t="str">
        <f t="shared" si="164"/>
        <v>PTO-1807|EQ</v>
      </c>
      <c r="L1508" s="15">
        <f>COUNTIFS($K$2:K1508,K1508)</f>
        <v>3</v>
      </c>
      <c r="M1508" s="15" t="str">
        <f t="shared" si="165"/>
        <v>PTO-1807|EQ|3</v>
      </c>
      <c r="N1508" s="47">
        <f>IFERROR(VLOOKUP(A1508,PARTIDAS!A:F,6,FALSE()),0)</f>
        <v>3.25</v>
      </c>
      <c r="O1508" s="247">
        <f t="shared" si="166"/>
        <v>0.5</v>
      </c>
      <c r="P1508" s="247">
        <f>+_xlfn.XLOOKUP(A1508,PPTO_GENERADOR!Q:Q,PPTO_GENERADOR!E:E,"-",0)</f>
        <v>226</v>
      </c>
      <c r="Q1508" s="247">
        <f t="shared" si="167"/>
        <v>113</v>
      </c>
      <c r="R1508" s="259">
        <f>+_xlfn.XLOOKUP(A1508,PPTO_GENERADOR!$Q:$Q,PPTO_GENERADOR!A:A,"-",0)</f>
        <v>18.07</v>
      </c>
    </row>
    <row r="1509" spans="1:18" ht="14.25" customHeight="1" x14ac:dyDescent="0.35">
      <c r="A1509" s="38" t="s">
        <v>272</v>
      </c>
      <c r="B1509" s="38" t="s">
        <v>2774</v>
      </c>
      <c r="C1509" s="38" t="s">
        <v>2775</v>
      </c>
      <c r="D1509" s="38" t="s">
        <v>1361</v>
      </c>
      <c r="E1509" s="44" t="str">
        <f>IFERROR(VLOOKUP(D1509,MATERIALES!A:B,2,FALSE()),"?")</f>
        <v>Consumibles</v>
      </c>
      <c r="F1509" s="44" t="str">
        <f>IFERROR(VLOOKUP(D1509,MATERIALES!A:C,3,FALSE()),"?")</f>
        <v>gl</v>
      </c>
      <c r="G1509" s="45">
        <v>2569.4045348999998</v>
      </c>
      <c r="H1509" s="46">
        <v>0</v>
      </c>
      <c r="I1509" s="47">
        <f>IFERROR(VLOOKUP(D1509,MATERIALES!A:D,4,FALSE()),0)</f>
        <v>1</v>
      </c>
      <c r="J1509" s="42">
        <f t="shared" ref="J1509:J1515" si="170">G1509*I1509*(1+H1509)</f>
        <v>2569.4045348999998</v>
      </c>
      <c r="K1509" s="15" t="str">
        <f t="shared" si="164"/>
        <v>PTO-1807|MAT</v>
      </c>
      <c r="L1509" s="15">
        <f>COUNTIFS($K$2:K1509,K1509)</f>
        <v>1</v>
      </c>
      <c r="M1509" s="15" t="str">
        <f t="shared" si="165"/>
        <v>PTO-1807|MAT|1</v>
      </c>
      <c r="N1509" s="47">
        <f>IFERROR(VLOOKUP(A1509,PARTIDAS!A:F,6,FALSE()),0)</f>
        <v>3.25</v>
      </c>
      <c r="O1509" s="247">
        <f t="shared" si="166"/>
        <v>2569.4045348999998</v>
      </c>
      <c r="P1509" s="247">
        <f>+_xlfn.XLOOKUP(A1509,PPTO_GENERADOR!Q:Q,PPTO_GENERADOR!E:E,"-",0)</f>
        <v>226</v>
      </c>
      <c r="Q1509" s="247">
        <f t="shared" si="167"/>
        <v>580685.4248874</v>
      </c>
      <c r="R1509" s="259">
        <f>+_xlfn.XLOOKUP(A1509,PPTO_GENERADOR!$Q:$Q,PPTO_GENERADOR!A:A,"-",0)</f>
        <v>18.07</v>
      </c>
    </row>
    <row r="1510" spans="1:18" ht="14.25" customHeight="1" x14ac:dyDescent="0.35">
      <c r="A1510" s="38" t="s">
        <v>272</v>
      </c>
      <c r="B1510" s="38" t="s">
        <v>2774</v>
      </c>
      <c r="C1510" s="38" t="s">
        <v>2775</v>
      </c>
      <c r="D1510" s="38" t="s">
        <v>926</v>
      </c>
      <c r="E1510" s="44" t="str">
        <f>IFERROR(VLOOKUP(D1510,MATERIALES!A:B,2,FALSE()),"?")</f>
        <v>Conector hierro 3/4"</v>
      </c>
      <c r="F1510" s="44" t="str">
        <f>IFERROR(VLOOKUP(D1510,MATERIALES!A:C,3,FALSE()),"?")</f>
        <v>u</v>
      </c>
      <c r="G1510" s="45">
        <v>4</v>
      </c>
      <c r="H1510" s="46">
        <v>0.1</v>
      </c>
      <c r="I1510" s="47">
        <f>IFERROR(VLOOKUP(D1510,MATERIALES!A:D,4,FALSE()),0)</f>
        <v>225.83199999999999</v>
      </c>
      <c r="J1510" s="42">
        <f t="shared" si="170"/>
        <v>993.66080000000011</v>
      </c>
      <c r="K1510" s="15" t="str">
        <f t="shared" si="164"/>
        <v>PTO-1807|MAT</v>
      </c>
      <c r="L1510" s="15">
        <f>COUNTIFS($K$2:K1510,K1510)</f>
        <v>2</v>
      </c>
      <c r="M1510" s="15" t="str">
        <f t="shared" si="165"/>
        <v>PTO-1807|MAT|2</v>
      </c>
      <c r="N1510" s="47">
        <f>IFERROR(VLOOKUP(A1510,PARTIDAS!A:F,6,FALSE()),0)</f>
        <v>3.25</v>
      </c>
      <c r="O1510" s="247">
        <f t="shared" si="166"/>
        <v>4</v>
      </c>
      <c r="P1510" s="247">
        <f>+_xlfn.XLOOKUP(A1510,PPTO_GENERADOR!Q:Q,PPTO_GENERADOR!E:E,"-",0)</f>
        <v>226</v>
      </c>
      <c r="Q1510" s="247">
        <f t="shared" si="167"/>
        <v>904</v>
      </c>
      <c r="R1510" s="259">
        <f>+_xlfn.XLOOKUP(A1510,PPTO_GENERADOR!$Q:$Q,PPTO_GENERADOR!A:A,"-",0)</f>
        <v>18.07</v>
      </c>
    </row>
    <row r="1511" spans="1:18" ht="14.25" customHeight="1" x14ac:dyDescent="0.35">
      <c r="A1511" s="38" t="s">
        <v>272</v>
      </c>
      <c r="B1511" s="38" t="s">
        <v>2774</v>
      </c>
      <c r="C1511" s="38" t="s">
        <v>2775</v>
      </c>
      <c r="D1511" s="38" t="s">
        <v>924</v>
      </c>
      <c r="E1511" s="44" t="str">
        <f>IFERROR(VLOOKUP(D1511,MATERIALES!A:B,2,FALSE()),"?")</f>
        <v>Caño rigido 3/4"</v>
      </c>
      <c r="F1511" s="44" t="str">
        <f>IFERROR(VLOOKUP(D1511,MATERIALES!A:C,3,FALSE()),"?")</f>
        <v>ml</v>
      </c>
      <c r="G1511" s="45">
        <v>5</v>
      </c>
      <c r="H1511" s="46">
        <v>0.05</v>
      </c>
      <c r="I1511" s="47">
        <f>IFERROR(VLOOKUP(D1511,MATERIALES!A:D,4,FALSE()),0)</f>
        <v>472.18</v>
      </c>
      <c r="J1511" s="42">
        <f t="shared" si="170"/>
        <v>2478.9450000000002</v>
      </c>
      <c r="K1511" s="15" t="str">
        <f t="shared" si="164"/>
        <v>PTO-1807|MAT</v>
      </c>
      <c r="L1511" s="15">
        <f>COUNTIFS($K$2:K1511,K1511)</f>
        <v>3</v>
      </c>
      <c r="M1511" s="15" t="str">
        <f t="shared" si="165"/>
        <v>PTO-1807|MAT|3</v>
      </c>
      <c r="N1511" s="47">
        <f>IFERROR(VLOOKUP(A1511,PARTIDAS!A:F,6,FALSE()),0)</f>
        <v>3.25</v>
      </c>
      <c r="O1511" s="247">
        <f t="shared" si="166"/>
        <v>5</v>
      </c>
      <c r="P1511" s="247">
        <f>+_xlfn.XLOOKUP(A1511,PPTO_GENERADOR!Q:Q,PPTO_GENERADOR!E:E,"-",0)</f>
        <v>226</v>
      </c>
      <c r="Q1511" s="247">
        <f t="shared" si="167"/>
        <v>1130</v>
      </c>
      <c r="R1511" s="259">
        <f>+_xlfn.XLOOKUP(A1511,PPTO_GENERADOR!$Q:$Q,PPTO_GENERADOR!A:A,"-",0)</f>
        <v>18.07</v>
      </c>
    </row>
    <row r="1512" spans="1:18" ht="14.25" customHeight="1" x14ac:dyDescent="0.35">
      <c r="A1512" s="38" t="s">
        <v>272</v>
      </c>
      <c r="B1512" s="38" t="s">
        <v>2774</v>
      </c>
      <c r="C1512" s="38" t="s">
        <v>2775</v>
      </c>
      <c r="D1512" s="38" t="s">
        <v>932</v>
      </c>
      <c r="E1512" s="44" t="str">
        <f>IFERROR(VLOOKUP(D1512,MATERIALES!A:B,2,FALSE()),"?")</f>
        <v>Cupla PVC 3/4"</v>
      </c>
      <c r="F1512" s="44" t="str">
        <f>IFERROR(VLOOKUP(D1512,MATERIALES!A:C,3,FALSE()),"?")</f>
        <v>u</v>
      </c>
      <c r="G1512" s="45">
        <v>1.2</v>
      </c>
      <c r="H1512" s="46">
        <v>0.1</v>
      </c>
      <c r="I1512" s="47">
        <f>IFERROR(VLOOKUP(D1512,MATERIALES!A:D,4,FALSE()),0)</f>
        <v>110.922</v>
      </c>
      <c r="J1512" s="42">
        <f t="shared" si="170"/>
        <v>146.41703999999999</v>
      </c>
      <c r="K1512" s="15" t="str">
        <f t="shared" si="164"/>
        <v>PTO-1807|MAT</v>
      </c>
      <c r="L1512" s="15">
        <f>COUNTIFS($K$2:K1512,K1512)</f>
        <v>4</v>
      </c>
      <c r="M1512" s="15" t="str">
        <f t="shared" si="165"/>
        <v>PTO-1807|MAT|4</v>
      </c>
      <c r="N1512" s="47">
        <f>IFERROR(VLOOKUP(A1512,PARTIDAS!A:F,6,FALSE()),0)</f>
        <v>3.25</v>
      </c>
      <c r="O1512" s="247">
        <f t="shared" si="166"/>
        <v>1.2</v>
      </c>
      <c r="P1512" s="247">
        <f>+_xlfn.XLOOKUP(A1512,PPTO_GENERADOR!Q:Q,PPTO_GENERADOR!E:E,"-",0)</f>
        <v>226</v>
      </c>
      <c r="Q1512" s="247">
        <f t="shared" si="167"/>
        <v>271.2</v>
      </c>
      <c r="R1512" s="259">
        <f>+_xlfn.XLOOKUP(A1512,PPTO_GENERADOR!$Q:$Q,PPTO_GENERADOR!A:A,"-",0)</f>
        <v>18.07</v>
      </c>
    </row>
    <row r="1513" spans="1:18" ht="14.25" customHeight="1" x14ac:dyDescent="0.35">
      <c r="A1513" s="38" t="s">
        <v>272</v>
      </c>
      <c r="B1513" s="38" t="s">
        <v>2774</v>
      </c>
      <c r="C1513" s="38" t="s">
        <v>2775</v>
      </c>
      <c r="D1513" s="38" t="s">
        <v>941</v>
      </c>
      <c r="E1513" s="44" t="str">
        <f>IFERROR(VLOOKUP(D1513,MATERIALES!A:B,2,FALSE()),"?")</f>
        <v>Cable unipolar 1 x 2,50 VA</v>
      </c>
      <c r="F1513" s="44" t="str">
        <f>IFERROR(VLOOKUP(D1513,MATERIALES!A:C,3,FALSE()),"?")</f>
        <v>ml</v>
      </c>
      <c r="G1513" s="45">
        <v>5</v>
      </c>
      <c r="H1513" s="46">
        <v>0.1</v>
      </c>
      <c r="I1513" s="47">
        <f>IFERROR(VLOOKUP(D1513,MATERIALES!A:D,4,FALSE()),0)</f>
        <v>509.31490000000002</v>
      </c>
      <c r="J1513" s="42">
        <f t="shared" si="170"/>
        <v>2801.2319500000003</v>
      </c>
      <c r="K1513" s="15" t="str">
        <f t="shared" si="164"/>
        <v>PTO-1807|MAT</v>
      </c>
      <c r="L1513" s="15">
        <f>COUNTIFS($K$2:K1513,K1513)</f>
        <v>5</v>
      </c>
      <c r="M1513" s="15" t="str">
        <f t="shared" si="165"/>
        <v>PTO-1807|MAT|5</v>
      </c>
      <c r="N1513" s="47">
        <f>IFERROR(VLOOKUP(A1513,PARTIDAS!A:F,6,FALSE()),0)</f>
        <v>3.25</v>
      </c>
      <c r="O1513" s="247">
        <f t="shared" si="166"/>
        <v>5</v>
      </c>
      <c r="P1513" s="247">
        <f>+_xlfn.XLOOKUP(A1513,PPTO_GENERADOR!Q:Q,PPTO_GENERADOR!E:E,"-",0)</f>
        <v>226</v>
      </c>
      <c r="Q1513" s="247">
        <f t="shared" si="167"/>
        <v>1130</v>
      </c>
      <c r="R1513" s="259">
        <f>+_xlfn.XLOOKUP(A1513,PPTO_GENERADOR!$Q:$Q,PPTO_GENERADOR!A:A,"-",0)</f>
        <v>18.07</v>
      </c>
    </row>
    <row r="1514" spans="1:18" ht="14.25" customHeight="1" x14ac:dyDescent="0.35">
      <c r="A1514" s="38" t="s">
        <v>272</v>
      </c>
      <c r="B1514" s="38" t="s">
        <v>2774</v>
      </c>
      <c r="C1514" s="38" t="s">
        <v>2775</v>
      </c>
      <c r="D1514" s="38" t="s">
        <v>943</v>
      </c>
      <c r="E1514" s="44" t="str">
        <f>IFERROR(VLOOKUP(D1514,MATERIALES!A:B,2,FALSE()),"?")</f>
        <v>Cable unipolar 1 x 2,50 Rojo/Marron/Negro</v>
      </c>
      <c r="F1514" s="44" t="str">
        <f>IFERROR(VLOOKUP(D1514,MATERIALES!A:C,3,FALSE()),"?")</f>
        <v>ml</v>
      </c>
      <c r="G1514" s="45">
        <v>10</v>
      </c>
      <c r="H1514" s="46">
        <v>0.1</v>
      </c>
      <c r="I1514" s="47">
        <f>IFERROR(VLOOKUP(D1514,MATERIALES!A:D,4,FALSE()),0)</f>
        <v>509.31490000000002</v>
      </c>
      <c r="J1514" s="42">
        <f t="shared" si="170"/>
        <v>5602.4639000000006</v>
      </c>
      <c r="K1514" s="15" t="str">
        <f t="shared" si="164"/>
        <v>PTO-1807|MAT</v>
      </c>
      <c r="L1514" s="15">
        <f>COUNTIFS($K$2:K1514,K1514)</f>
        <v>6</v>
      </c>
      <c r="M1514" s="15" t="str">
        <f t="shared" si="165"/>
        <v>PTO-1807|MAT|6</v>
      </c>
      <c r="N1514" s="47">
        <f>IFERROR(VLOOKUP(A1514,PARTIDAS!A:F,6,FALSE()),0)</f>
        <v>3.25</v>
      </c>
      <c r="O1514" s="247">
        <f t="shared" si="166"/>
        <v>10</v>
      </c>
      <c r="P1514" s="247">
        <f>+_xlfn.XLOOKUP(A1514,PPTO_GENERADOR!Q:Q,PPTO_GENERADOR!E:E,"-",0)</f>
        <v>226</v>
      </c>
      <c r="Q1514" s="247">
        <f t="shared" si="167"/>
        <v>2260</v>
      </c>
      <c r="R1514" s="259">
        <f>+_xlfn.XLOOKUP(A1514,PPTO_GENERADOR!$Q:$Q,PPTO_GENERADOR!A:A,"-",0)</f>
        <v>18.07</v>
      </c>
    </row>
    <row r="1515" spans="1:18" ht="14.25" customHeight="1" x14ac:dyDescent="0.35">
      <c r="A1515" s="38" t="s">
        <v>272</v>
      </c>
      <c r="B1515" s="38" t="s">
        <v>2774</v>
      </c>
      <c r="C1515" s="38" t="s">
        <v>2775</v>
      </c>
      <c r="D1515" s="38" t="s">
        <v>951</v>
      </c>
      <c r="E1515" s="44" t="str">
        <f>IFERROR(VLOOKUP(D1515,MATERIALES!A:B,2,FALSE()),"?")</f>
        <v>Caja rectangular chica</v>
      </c>
      <c r="F1515" s="44" t="str">
        <f>IFERROR(VLOOKUP(D1515,MATERIALES!A:C,3,FALSE()),"?")</f>
        <v>u</v>
      </c>
      <c r="G1515" s="45">
        <v>1</v>
      </c>
      <c r="H1515" s="46">
        <v>0.05</v>
      </c>
      <c r="I1515" s="47">
        <f>IFERROR(VLOOKUP(D1515,MATERIALES!A:D,4,FALSE()),0)</f>
        <v>202.42</v>
      </c>
      <c r="J1515" s="42">
        <f t="shared" si="170"/>
        <v>212.541</v>
      </c>
      <c r="K1515" s="15" t="str">
        <f t="shared" si="164"/>
        <v>PTO-1807|MAT</v>
      </c>
      <c r="L1515" s="15">
        <f>COUNTIFS($K$2:K1515,K1515)</f>
        <v>7</v>
      </c>
      <c r="M1515" s="15" t="str">
        <f t="shared" si="165"/>
        <v>PTO-1807|MAT|7</v>
      </c>
      <c r="N1515" s="47">
        <f>IFERROR(VLOOKUP(A1515,PARTIDAS!A:F,6,FALSE()),0)</f>
        <v>3.25</v>
      </c>
      <c r="O1515" s="247">
        <f t="shared" si="166"/>
        <v>1</v>
      </c>
      <c r="P1515" s="247">
        <f>+_xlfn.XLOOKUP(A1515,PPTO_GENERADOR!Q:Q,PPTO_GENERADOR!E:E,"-",0)</f>
        <v>226</v>
      </c>
      <c r="Q1515" s="247">
        <f t="shared" si="167"/>
        <v>226</v>
      </c>
      <c r="R1515" s="259">
        <f>+_xlfn.XLOOKUP(A1515,PPTO_GENERADOR!$Q:$Q,PPTO_GENERADOR!A:A,"-",0)</f>
        <v>18.07</v>
      </c>
    </row>
    <row r="1516" spans="1:18" ht="14.25" customHeight="1" x14ac:dyDescent="0.35">
      <c r="A1516" s="38" t="s">
        <v>2749</v>
      </c>
      <c r="B1516" s="38" t="s">
        <v>2776</v>
      </c>
      <c r="C1516" s="38" t="s">
        <v>2775</v>
      </c>
      <c r="D1516" s="38" t="s">
        <v>2168</v>
      </c>
      <c r="E1516" s="44" t="str">
        <f>IFERROR(VLOOKUP(D1516,SUBCONTRATOS_PRY!A:B,2,FALSE()),"?")</f>
        <v>Canalización</v>
      </c>
      <c r="F1516" s="44" t="s">
        <v>2778</v>
      </c>
      <c r="G1516" s="45">
        <v>5</v>
      </c>
      <c r="H1516" s="46">
        <v>0</v>
      </c>
      <c r="I1516" s="47">
        <f>IFERROR(VLOOKUP(D1516,SUBCONTRATOS_PRY!A:D,4,FALSE()),0)</f>
        <v>24807.3</v>
      </c>
      <c r="J1516" s="42">
        <f>G1516*I1516</f>
        <v>124036.5</v>
      </c>
      <c r="K1516" s="15" t="str">
        <f t="shared" si="164"/>
        <v>PTO-1813|MO</v>
      </c>
      <c r="L1516" s="15">
        <f>COUNTIFS($K$2:K1516,K1516)</f>
        <v>1</v>
      </c>
      <c r="M1516" s="15" t="str">
        <f t="shared" si="165"/>
        <v>PTO-1813|MO|1</v>
      </c>
      <c r="N1516" s="47">
        <f>IFERROR(VLOOKUP(A1516,PARTIDAS!A:F,6,FALSE()),0)</f>
        <v>5</v>
      </c>
      <c r="O1516" s="247">
        <f t="shared" si="166"/>
        <v>5</v>
      </c>
      <c r="P1516" s="247" t="str">
        <f>+_xlfn.XLOOKUP(A1516,PPTO_GENERADOR!Q:Q,PPTO_GENERADOR!E:E,"-",0)</f>
        <v>-</v>
      </c>
      <c r="Q1516" s="247">
        <f t="shared" si="167"/>
        <v>0</v>
      </c>
      <c r="R1516" s="259" t="str">
        <f>+_xlfn.XLOOKUP(A1516,PPTO_GENERADOR!$Q:$Q,PPTO_GENERADOR!A:A,"-",0)</f>
        <v>-</v>
      </c>
    </row>
    <row r="1517" spans="1:18" ht="14.25" customHeight="1" x14ac:dyDescent="0.35">
      <c r="A1517" s="38" t="s">
        <v>2751</v>
      </c>
      <c r="B1517" s="38" t="s">
        <v>2776</v>
      </c>
      <c r="C1517" s="38" t="s">
        <v>2775</v>
      </c>
      <c r="D1517" s="38" t="s">
        <v>2168</v>
      </c>
      <c r="E1517" s="44" t="str">
        <f>IFERROR(VLOOKUP(D1517,SUBCONTRATOS_PRY!A:B,2,FALSE()),"?")</f>
        <v>Canalización</v>
      </c>
      <c r="F1517" s="44" t="s">
        <v>2778</v>
      </c>
      <c r="G1517" s="45">
        <v>5</v>
      </c>
      <c r="H1517" s="46">
        <v>0</v>
      </c>
      <c r="I1517" s="47">
        <f>IFERROR(VLOOKUP(D1517,SUBCONTRATOS_PRY!A:D,4,FALSE()),0)</f>
        <v>24807.3</v>
      </c>
      <c r="J1517" s="42">
        <f>G1517*I1517</f>
        <v>124036.5</v>
      </c>
      <c r="K1517" s="15" t="str">
        <f t="shared" si="164"/>
        <v>PTO-1814|MO</v>
      </c>
      <c r="L1517" s="15">
        <f>COUNTIFS($K$2:K1517,K1517)</f>
        <v>1</v>
      </c>
      <c r="M1517" s="15" t="str">
        <f t="shared" si="165"/>
        <v>PTO-1814|MO|1</v>
      </c>
      <c r="N1517" s="47">
        <f>IFERROR(VLOOKUP(A1517,PARTIDAS!A:F,6,FALSE()),0)</f>
        <v>5</v>
      </c>
      <c r="O1517" s="247">
        <f t="shared" si="166"/>
        <v>5</v>
      </c>
      <c r="P1517" s="247" t="str">
        <f>+_xlfn.XLOOKUP(A1517,PPTO_GENERADOR!Q:Q,PPTO_GENERADOR!E:E,"-",0)</f>
        <v>-</v>
      </c>
      <c r="Q1517" s="247">
        <f t="shared" si="167"/>
        <v>0</v>
      </c>
      <c r="R1517" s="259" t="str">
        <f>+_xlfn.XLOOKUP(A1517,PPTO_GENERADOR!$Q:$Q,PPTO_GENERADOR!A:A,"-",0)</f>
        <v>-</v>
      </c>
    </row>
    <row r="1518" spans="1:18" ht="14.25" customHeight="1" x14ac:dyDescent="0.35">
      <c r="A1518" s="38" t="s">
        <v>274</v>
      </c>
      <c r="B1518" s="38" t="s">
        <v>2773</v>
      </c>
      <c r="C1518" s="38"/>
      <c r="D1518" s="38" t="s">
        <v>1592</v>
      </c>
      <c r="E1518" s="44" t="str">
        <f>IFERROR(VLOOKUP(D1518,EQUIPOS!A:B,2,FALSE()),"?")</f>
        <v>ANDAMIO TUBULAR DE UNO A TRES CUERPOS</v>
      </c>
      <c r="F1518" s="44"/>
      <c r="G1518" s="45">
        <v>0.5</v>
      </c>
      <c r="H1518" s="46">
        <v>0</v>
      </c>
      <c r="I1518" s="47">
        <f>IFERROR(VLOOKUP(D1518,EQUIPOS!A:F,6,FALSE()),0)</f>
        <v>571.1794909807611</v>
      </c>
      <c r="J1518" s="42">
        <f>G1518*I1518</f>
        <v>285.58974549038055</v>
      </c>
      <c r="K1518" s="15" t="str">
        <f t="shared" si="164"/>
        <v>PTO-1808|EQ</v>
      </c>
      <c r="L1518" s="15">
        <f>COUNTIFS($K$2:K1518,K1518)</f>
        <v>1</v>
      </c>
      <c r="M1518" s="15" t="str">
        <f t="shared" si="165"/>
        <v>PTO-1808|EQ|1</v>
      </c>
      <c r="N1518" s="47">
        <f>IFERROR(VLOOKUP(A1518,PARTIDAS!A:F,6,FALSE()),0)</f>
        <v>3.25</v>
      </c>
      <c r="O1518" s="247">
        <f t="shared" si="166"/>
        <v>0.5</v>
      </c>
      <c r="P1518" s="247">
        <f>+_xlfn.XLOOKUP(A1518,PPTO_GENERADOR!Q:Q,PPTO_GENERADOR!E:E,"-",0)</f>
        <v>32</v>
      </c>
      <c r="Q1518" s="247">
        <f t="shared" si="167"/>
        <v>16</v>
      </c>
      <c r="R1518" s="259">
        <f>+_xlfn.XLOOKUP(A1518,PPTO_GENERADOR!$Q:$Q,PPTO_GENERADOR!A:A,"-",0)</f>
        <v>18.079999999999998</v>
      </c>
    </row>
    <row r="1519" spans="1:18" ht="14.25" customHeight="1" x14ac:dyDescent="0.35">
      <c r="A1519" s="38" t="s">
        <v>274</v>
      </c>
      <c r="B1519" s="38" t="s">
        <v>2773</v>
      </c>
      <c r="C1519" s="38"/>
      <c r="D1519" s="38" t="s">
        <v>1601</v>
      </c>
      <c r="E1519" s="44" t="str">
        <f>IFERROR(VLOOKUP(D1519,EQUIPOS!A:B,2,FALSE()),"?")</f>
        <v>EQUIPO PARA INSTALACION ELECTRICA</v>
      </c>
      <c r="F1519" s="44"/>
      <c r="G1519" s="45">
        <v>1</v>
      </c>
      <c r="H1519" s="46">
        <v>0</v>
      </c>
      <c r="I1519" s="47">
        <f>IFERROR(VLOOKUP(D1519,EQUIPOS!A:F,6,FALSE()),0)</f>
        <v>5063.0947914732405</v>
      </c>
      <c r="J1519" s="42">
        <f>G1519*I1519</f>
        <v>5063.0947914732405</v>
      </c>
      <c r="K1519" s="15" t="str">
        <f t="shared" si="164"/>
        <v>PTO-1808|EQ</v>
      </c>
      <c r="L1519" s="15">
        <f>COUNTIFS($K$2:K1519,K1519)</f>
        <v>2</v>
      </c>
      <c r="M1519" s="15" t="str">
        <f t="shared" si="165"/>
        <v>PTO-1808|EQ|2</v>
      </c>
      <c r="N1519" s="47">
        <f>IFERROR(VLOOKUP(A1519,PARTIDAS!A:F,6,FALSE()),0)</f>
        <v>3.25</v>
      </c>
      <c r="O1519" s="247">
        <f t="shared" si="166"/>
        <v>1</v>
      </c>
      <c r="P1519" s="247">
        <f>+_xlfn.XLOOKUP(A1519,PPTO_GENERADOR!Q:Q,PPTO_GENERADOR!E:E,"-",0)</f>
        <v>32</v>
      </c>
      <c r="Q1519" s="247">
        <f t="shared" si="167"/>
        <v>32</v>
      </c>
      <c r="R1519" s="259">
        <f>+_xlfn.XLOOKUP(A1519,PPTO_GENERADOR!$Q:$Q,PPTO_GENERADOR!A:A,"-",0)</f>
        <v>18.079999999999998</v>
      </c>
    </row>
    <row r="1520" spans="1:18" ht="14.25" customHeight="1" x14ac:dyDescent="0.35">
      <c r="A1520" s="38" t="s">
        <v>274</v>
      </c>
      <c r="B1520" s="38" t="s">
        <v>2773</v>
      </c>
      <c r="C1520" s="38"/>
      <c r="D1520" s="38" t="s">
        <v>1622</v>
      </c>
      <c r="E1520" s="44" t="str">
        <f>IFERROR(VLOOKUP(D1520,EQUIPOS!A:B,2,FALSE()),"?")</f>
        <v>ESCALERA GLOSS ALUMINIO ARTICULADA 4 X 4 ESCALONES HASTA 150KG</v>
      </c>
      <c r="F1520" s="44"/>
      <c r="G1520" s="45">
        <v>0.5</v>
      </c>
      <c r="H1520" s="46">
        <v>0</v>
      </c>
      <c r="I1520" s="47">
        <f>IFERROR(VLOOKUP(D1520,EQUIPOS!A:F,6,FALSE()),0)</f>
        <v>140.19809259430903</v>
      </c>
      <c r="J1520" s="42">
        <f>G1520*I1520</f>
        <v>70.099046297154516</v>
      </c>
      <c r="K1520" s="15" t="str">
        <f t="shared" si="164"/>
        <v>PTO-1808|EQ</v>
      </c>
      <c r="L1520" s="15">
        <f>COUNTIFS($K$2:K1520,K1520)</f>
        <v>3</v>
      </c>
      <c r="M1520" s="15" t="str">
        <f t="shared" si="165"/>
        <v>PTO-1808|EQ|3</v>
      </c>
      <c r="N1520" s="47">
        <f>IFERROR(VLOOKUP(A1520,PARTIDAS!A:F,6,FALSE()),0)</f>
        <v>3.25</v>
      </c>
      <c r="O1520" s="247">
        <f t="shared" si="166"/>
        <v>0.5</v>
      </c>
      <c r="P1520" s="247">
        <f>+_xlfn.XLOOKUP(A1520,PPTO_GENERADOR!Q:Q,PPTO_GENERADOR!E:E,"-",0)</f>
        <v>32</v>
      </c>
      <c r="Q1520" s="247">
        <f t="shared" si="167"/>
        <v>16</v>
      </c>
      <c r="R1520" s="259">
        <f>+_xlfn.XLOOKUP(A1520,PPTO_GENERADOR!$Q:$Q,PPTO_GENERADOR!A:A,"-",0)</f>
        <v>18.079999999999998</v>
      </c>
    </row>
    <row r="1521" spans="1:18" ht="14.25" customHeight="1" x14ac:dyDescent="0.35">
      <c r="A1521" s="38" t="s">
        <v>274</v>
      </c>
      <c r="B1521" s="38" t="s">
        <v>2774</v>
      </c>
      <c r="C1521" s="38" t="s">
        <v>2775</v>
      </c>
      <c r="D1521" s="38" t="s">
        <v>1361</v>
      </c>
      <c r="E1521" s="44" t="str">
        <f>IFERROR(VLOOKUP(D1521,MATERIALES!A:B,2,FALSE()),"?")</f>
        <v>Consumibles</v>
      </c>
      <c r="F1521" s="44" t="str">
        <f>IFERROR(VLOOKUP(D1521,MATERIALES!A:C,3,FALSE()),"?")</f>
        <v>gl</v>
      </c>
      <c r="G1521" s="45">
        <v>5975.3668799999996</v>
      </c>
      <c r="H1521" s="46">
        <v>0</v>
      </c>
      <c r="I1521" s="47">
        <f>IFERROR(VLOOKUP(D1521,MATERIALES!A:D,4,FALSE()),0)</f>
        <v>1</v>
      </c>
      <c r="J1521" s="42">
        <f t="shared" ref="J1521:J1526" si="171">G1521*I1521*(1+H1521)</f>
        <v>5975.3668799999996</v>
      </c>
      <c r="K1521" s="15" t="str">
        <f t="shared" si="164"/>
        <v>PTO-1808|MAT</v>
      </c>
      <c r="L1521" s="15">
        <f>COUNTIFS($K$2:K1521,K1521)</f>
        <v>1</v>
      </c>
      <c r="M1521" s="15" t="str">
        <f t="shared" si="165"/>
        <v>PTO-1808|MAT|1</v>
      </c>
      <c r="N1521" s="47">
        <f>IFERROR(VLOOKUP(A1521,PARTIDAS!A:F,6,FALSE()),0)</f>
        <v>3.25</v>
      </c>
      <c r="O1521" s="247">
        <f t="shared" si="166"/>
        <v>5975.3668799999996</v>
      </c>
      <c r="P1521" s="247">
        <f>+_xlfn.XLOOKUP(A1521,PPTO_GENERADOR!Q:Q,PPTO_GENERADOR!E:E,"-",0)</f>
        <v>32</v>
      </c>
      <c r="Q1521" s="247">
        <f t="shared" si="167"/>
        <v>191211.74015999999</v>
      </c>
      <c r="R1521" s="259">
        <f>+_xlfn.XLOOKUP(A1521,PPTO_GENERADOR!$Q:$Q,PPTO_GENERADOR!A:A,"-",0)</f>
        <v>18.079999999999998</v>
      </c>
    </row>
    <row r="1522" spans="1:18" ht="14.25" customHeight="1" x14ac:dyDescent="0.35">
      <c r="A1522" s="38" t="s">
        <v>274</v>
      </c>
      <c r="B1522" s="38" t="s">
        <v>2774</v>
      </c>
      <c r="C1522" s="38" t="s">
        <v>2775</v>
      </c>
      <c r="D1522" s="38" t="s">
        <v>930</v>
      </c>
      <c r="E1522" s="44" t="str">
        <f>IFERROR(VLOOKUP(D1522,MATERIALES!A:B,2,FALSE()),"?")</f>
        <v>Conector hierro 1"</v>
      </c>
      <c r="F1522" s="44" t="str">
        <f>IFERROR(VLOOKUP(D1522,MATERIALES!A:C,3,FALSE()),"?")</f>
        <v>u</v>
      </c>
      <c r="G1522" s="45">
        <v>3</v>
      </c>
      <c r="H1522" s="46">
        <v>0.1</v>
      </c>
      <c r="I1522" s="47">
        <f>IFERROR(VLOOKUP(D1522,MATERIALES!A:D,4,FALSE()),0)</f>
        <v>351.14</v>
      </c>
      <c r="J1522" s="42">
        <f t="shared" si="171"/>
        <v>1158.7620000000002</v>
      </c>
      <c r="K1522" s="15" t="str">
        <f t="shared" si="164"/>
        <v>PTO-1808|MAT</v>
      </c>
      <c r="L1522" s="15">
        <f>COUNTIFS($K$2:K1522,K1522)</f>
        <v>2</v>
      </c>
      <c r="M1522" s="15" t="str">
        <f t="shared" si="165"/>
        <v>PTO-1808|MAT|2</v>
      </c>
      <c r="N1522" s="47">
        <f>IFERROR(VLOOKUP(A1522,PARTIDAS!A:F,6,FALSE()),0)</f>
        <v>3.25</v>
      </c>
      <c r="O1522" s="247">
        <f t="shared" si="166"/>
        <v>3</v>
      </c>
      <c r="P1522" s="247">
        <f>+_xlfn.XLOOKUP(A1522,PPTO_GENERADOR!Q:Q,PPTO_GENERADOR!E:E,"-",0)</f>
        <v>32</v>
      </c>
      <c r="Q1522" s="247">
        <f t="shared" si="167"/>
        <v>96</v>
      </c>
      <c r="R1522" s="259">
        <f>+_xlfn.XLOOKUP(A1522,PPTO_GENERADOR!$Q:$Q,PPTO_GENERADOR!A:A,"-",0)</f>
        <v>18.079999999999998</v>
      </c>
    </row>
    <row r="1523" spans="1:18" ht="14.25" customHeight="1" x14ac:dyDescent="0.35">
      <c r="A1523" s="38" t="s">
        <v>274</v>
      </c>
      <c r="B1523" s="38" t="s">
        <v>2774</v>
      </c>
      <c r="C1523" s="38" t="s">
        <v>2775</v>
      </c>
      <c r="D1523" s="38" t="s">
        <v>918</v>
      </c>
      <c r="E1523" s="44" t="str">
        <f>IFERROR(VLOOKUP(D1523,MATERIALES!A:B,2,FALSE()),"?")</f>
        <v>Caño rigido 1"</v>
      </c>
      <c r="F1523" s="44" t="str">
        <f>IFERROR(VLOOKUP(D1523,MATERIALES!A:C,3,FALSE()),"?")</f>
        <v>ml</v>
      </c>
      <c r="G1523" s="45">
        <v>7.5</v>
      </c>
      <c r="H1523" s="46">
        <v>0.1</v>
      </c>
      <c r="I1523" s="47">
        <f>IFERROR(VLOOKUP(D1523,MATERIALES!A:D,4,FALSE()),0)</f>
        <v>666.92666666666696</v>
      </c>
      <c r="J1523" s="42">
        <f t="shared" si="171"/>
        <v>5502.1450000000032</v>
      </c>
      <c r="K1523" s="15" t="str">
        <f t="shared" si="164"/>
        <v>PTO-1808|MAT</v>
      </c>
      <c r="L1523" s="15">
        <f>COUNTIFS($K$2:K1523,K1523)</f>
        <v>3</v>
      </c>
      <c r="M1523" s="15" t="str">
        <f t="shared" si="165"/>
        <v>PTO-1808|MAT|3</v>
      </c>
      <c r="N1523" s="47">
        <f>IFERROR(VLOOKUP(A1523,PARTIDAS!A:F,6,FALSE()),0)</f>
        <v>3.25</v>
      </c>
      <c r="O1523" s="247">
        <f t="shared" si="166"/>
        <v>7.5</v>
      </c>
      <c r="P1523" s="247">
        <f>+_xlfn.XLOOKUP(A1523,PPTO_GENERADOR!Q:Q,PPTO_GENERADOR!E:E,"-",0)</f>
        <v>32</v>
      </c>
      <c r="Q1523" s="247">
        <f t="shared" si="167"/>
        <v>240</v>
      </c>
      <c r="R1523" s="259">
        <f>+_xlfn.XLOOKUP(A1523,PPTO_GENERADOR!$Q:$Q,PPTO_GENERADOR!A:A,"-",0)</f>
        <v>18.079999999999998</v>
      </c>
    </row>
    <row r="1524" spans="1:18" ht="14.25" customHeight="1" x14ac:dyDescent="0.35">
      <c r="A1524" s="38" t="s">
        <v>274</v>
      </c>
      <c r="B1524" s="38" t="s">
        <v>2774</v>
      </c>
      <c r="C1524" s="38" t="s">
        <v>2775</v>
      </c>
      <c r="D1524" s="38" t="s">
        <v>937</v>
      </c>
      <c r="E1524" s="44" t="str">
        <f>IFERROR(VLOOKUP(D1524,MATERIALES!A:B,2,FALSE()),"?")</f>
        <v>Cupla PVC 1"</v>
      </c>
      <c r="F1524" s="44" t="str">
        <f>IFERROR(VLOOKUP(D1524,MATERIALES!A:C,3,FALSE()),"?")</f>
        <v>u</v>
      </c>
      <c r="G1524" s="45">
        <v>3</v>
      </c>
      <c r="H1524" s="46">
        <v>0.1</v>
      </c>
      <c r="I1524" s="47">
        <f>IFERROR(VLOOKUP(D1524,MATERIALES!A:D,4,FALSE()),0)</f>
        <v>280.10000000000002</v>
      </c>
      <c r="J1524" s="42">
        <f t="shared" si="171"/>
        <v>924.33000000000015</v>
      </c>
      <c r="K1524" s="15" t="str">
        <f t="shared" si="164"/>
        <v>PTO-1808|MAT</v>
      </c>
      <c r="L1524" s="15">
        <f>COUNTIFS($K$2:K1524,K1524)</f>
        <v>4</v>
      </c>
      <c r="M1524" s="15" t="str">
        <f t="shared" si="165"/>
        <v>PTO-1808|MAT|4</v>
      </c>
      <c r="N1524" s="47">
        <f>IFERROR(VLOOKUP(A1524,PARTIDAS!A:F,6,FALSE()),0)</f>
        <v>3.25</v>
      </c>
      <c r="O1524" s="247">
        <f t="shared" si="166"/>
        <v>3</v>
      </c>
      <c r="P1524" s="247">
        <f>+_xlfn.XLOOKUP(A1524,PPTO_GENERADOR!Q:Q,PPTO_GENERADOR!E:E,"-",0)</f>
        <v>32</v>
      </c>
      <c r="Q1524" s="247">
        <f t="shared" si="167"/>
        <v>96</v>
      </c>
      <c r="R1524" s="259">
        <f>+_xlfn.XLOOKUP(A1524,PPTO_GENERADOR!$Q:$Q,PPTO_GENERADOR!A:A,"-",0)</f>
        <v>18.079999999999998</v>
      </c>
    </row>
    <row r="1525" spans="1:18" ht="14.25" customHeight="1" x14ac:dyDescent="0.35">
      <c r="A1525" s="38" t="s">
        <v>274</v>
      </c>
      <c r="B1525" s="38" t="s">
        <v>2774</v>
      </c>
      <c r="C1525" s="38" t="s">
        <v>2775</v>
      </c>
      <c r="D1525" s="38" t="s">
        <v>945</v>
      </c>
      <c r="E1525" s="44" t="str">
        <f>IFERROR(VLOOKUP(D1525,MATERIALES!A:B,2,FALSE()),"?")</f>
        <v>Cable unipolar 1 x 4,00</v>
      </c>
      <c r="F1525" s="44" t="str">
        <f>IFERROR(VLOOKUP(D1525,MATERIALES!A:C,3,FALSE()),"?")</f>
        <v>ml</v>
      </c>
      <c r="G1525" s="45">
        <v>22.5</v>
      </c>
      <c r="H1525" s="46">
        <v>0.1</v>
      </c>
      <c r="I1525" s="47">
        <f>IFERROR(VLOOKUP(D1525,MATERIALES!A:D,4,FALSE()),0)</f>
        <v>834.6</v>
      </c>
      <c r="J1525" s="42">
        <f t="shared" si="171"/>
        <v>20656.350000000002</v>
      </c>
      <c r="K1525" s="15" t="str">
        <f t="shared" si="164"/>
        <v>PTO-1808|MAT</v>
      </c>
      <c r="L1525" s="15">
        <f>COUNTIFS($K$2:K1525,K1525)</f>
        <v>5</v>
      </c>
      <c r="M1525" s="15" t="str">
        <f t="shared" si="165"/>
        <v>PTO-1808|MAT|5</v>
      </c>
      <c r="N1525" s="47">
        <f>IFERROR(VLOOKUP(A1525,PARTIDAS!A:F,6,FALSE()),0)</f>
        <v>3.25</v>
      </c>
      <c r="O1525" s="247">
        <f t="shared" si="166"/>
        <v>22.5</v>
      </c>
      <c r="P1525" s="247">
        <f>+_xlfn.XLOOKUP(A1525,PPTO_GENERADOR!Q:Q,PPTO_GENERADOR!E:E,"-",0)</f>
        <v>32</v>
      </c>
      <c r="Q1525" s="247">
        <f t="shared" si="167"/>
        <v>720</v>
      </c>
      <c r="R1525" s="259">
        <f>+_xlfn.XLOOKUP(A1525,PPTO_GENERADOR!$Q:$Q,PPTO_GENERADOR!A:A,"-",0)</f>
        <v>18.079999999999998</v>
      </c>
    </row>
    <row r="1526" spans="1:18" ht="14.25" customHeight="1" x14ac:dyDescent="0.35">
      <c r="A1526" s="38" t="s">
        <v>274</v>
      </c>
      <c r="B1526" s="38" t="s">
        <v>2774</v>
      </c>
      <c r="C1526" s="38" t="s">
        <v>2775</v>
      </c>
      <c r="D1526" s="38" t="s">
        <v>951</v>
      </c>
      <c r="E1526" s="44" t="str">
        <f>IFERROR(VLOOKUP(D1526,MATERIALES!A:B,2,FALSE()),"?")</f>
        <v>Caja rectangular chica</v>
      </c>
      <c r="F1526" s="44" t="str">
        <f>IFERROR(VLOOKUP(D1526,MATERIALES!A:C,3,FALSE()),"?")</f>
        <v>u</v>
      </c>
      <c r="G1526" s="45">
        <v>1</v>
      </c>
      <c r="H1526" s="46">
        <v>0.05</v>
      </c>
      <c r="I1526" s="47">
        <f>IFERROR(VLOOKUP(D1526,MATERIALES!A:D,4,FALSE()),0)</f>
        <v>202.42</v>
      </c>
      <c r="J1526" s="42">
        <f t="shared" si="171"/>
        <v>212.541</v>
      </c>
      <c r="K1526" s="15" t="str">
        <f t="shared" si="164"/>
        <v>PTO-1808|MAT</v>
      </c>
      <c r="L1526" s="15">
        <f>COUNTIFS($K$2:K1526,K1526)</f>
        <v>6</v>
      </c>
      <c r="M1526" s="15" t="str">
        <f t="shared" si="165"/>
        <v>PTO-1808|MAT|6</v>
      </c>
      <c r="N1526" s="47">
        <f>IFERROR(VLOOKUP(A1526,PARTIDAS!A:F,6,FALSE()),0)</f>
        <v>3.25</v>
      </c>
      <c r="O1526" s="247">
        <f t="shared" si="166"/>
        <v>1</v>
      </c>
      <c r="P1526" s="247">
        <f>+_xlfn.XLOOKUP(A1526,PPTO_GENERADOR!Q:Q,PPTO_GENERADOR!E:E,"-",0)</f>
        <v>32</v>
      </c>
      <c r="Q1526" s="247">
        <f t="shared" si="167"/>
        <v>32</v>
      </c>
      <c r="R1526" s="259">
        <f>+_xlfn.XLOOKUP(A1526,PPTO_GENERADOR!$Q:$Q,PPTO_GENERADOR!A:A,"-",0)</f>
        <v>18.079999999999998</v>
      </c>
    </row>
    <row r="1527" spans="1:18" ht="14.25" customHeight="1" x14ac:dyDescent="0.35">
      <c r="A1527" s="38" t="s">
        <v>2753</v>
      </c>
      <c r="B1527" s="38" t="s">
        <v>2776</v>
      </c>
      <c r="C1527" s="38" t="s">
        <v>2775</v>
      </c>
      <c r="D1527" s="38" t="s">
        <v>2168</v>
      </c>
      <c r="E1527" s="44" t="str">
        <f>IFERROR(VLOOKUP(D1527,SUBCONTRATOS_PRY!A:B,2,FALSE()),"?")</f>
        <v>Canalización</v>
      </c>
      <c r="F1527" s="44" t="s">
        <v>2778</v>
      </c>
      <c r="G1527" s="45">
        <v>5</v>
      </c>
      <c r="H1527" s="46">
        <v>0</v>
      </c>
      <c r="I1527" s="47">
        <f>IFERROR(VLOOKUP(D1527,SUBCONTRATOS_PRY!A:D,4,FALSE()),0)</f>
        <v>24807.3</v>
      </c>
      <c r="J1527" s="42">
        <f>G1527*I1527</f>
        <v>124036.5</v>
      </c>
      <c r="K1527" s="15" t="str">
        <f t="shared" si="164"/>
        <v>PTO-1815|MO</v>
      </c>
      <c r="L1527" s="15">
        <f>COUNTIFS($K$2:K1527,K1527)</f>
        <v>1</v>
      </c>
      <c r="M1527" s="15" t="str">
        <f t="shared" si="165"/>
        <v>PTO-1815|MO|1</v>
      </c>
      <c r="N1527" s="47">
        <f>IFERROR(VLOOKUP(A1527,PARTIDAS!A:F,6,FALSE()),0)</f>
        <v>5</v>
      </c>
      <c r="O1527" s="247">
        <f t="shared" si="166"/>
        <v>5</v>
      </c>
      <c r="P1527" s="247" t="str">
        <f>+_xlfn.XLOOKUP(A1527,PPTO_GENERADOR!Q:Q,PPTO_GENERADOR!E:E,"-",0)</f>
        <v>-</v>
      </c>
      <c r="Q1527" s="247">
        <f t="shared" si="167"/>
        <v>0</v>
      </c>
      <c r="R1527" s="259" t="str">
        <f>+_xlfn.XLOOKUP(A1527,PPTO_GENERADOR!$Q:$Q,PPTO_GENERADOR!A:A,"-",0)</f>
        <v>-</v>
      </c>
    </row>
    <row r="1528" spans="1:18" ht="14.25" customHeight="1" x14ac:dyDescent="0.35">
      <c r="A1528" s="38" t="s">
        <v>2743</v>
      </c>
      <c r="B1528" s="38" t="s">
        <v>2773</v>
      </c>
      <c r="C1528" s="38"/>
      <c r="D1528" s="38" t="s">
        <v>1592</v>
      </c>
      <c r="E1528" s="44" t="str">
        <f>IFERROR(VLOOKUP(D1528,EQUIPOS!A:B,2,FALSE()),"?")</f>
        <v>ANDAMIO TUBULAR DE UNO A TRES CUERPOS</v>
      </c>
      <c r="F1528" s="44"/>
      <c r="G1528" s="45">
        <v>0.5</v>
      </c>
      <c r="H1528" s="46">
        <v>0</v>
      </c>
      <c r="I1528" s="47">
        <f>IFERROR(VLOOKUP(D1528,EQUIPOS!A:F,6,FALSE()),0)</f>
        <v>571.1794909807611</v>
      </c>
      <c r="J1528" s="42">
        <f>G1528*I1528</f>
        <v>285.58974549038055</v>
      </c>
      <c r="K1528" s="15" t="str">
        <f t="shared" si="164"/>
        <v>PTO-1809|EQ</v>
      </c>
      <c r="L1528" s="15">
        <f>COUNTIFS($K$2:K1528,K1528)</f>
        <v>1</v>
      </c>
      <c r="M1528" s="15" t="str">
        <f t="shared" si="165"/>
        <v>PTO-1809|EQ|1</v>
      </c>
      <c r="N1528" s="47">
        <f>IFERROR(VLOOKUP(A1528,PARTIDAS!A:F,6,FALSE()),0)</f>
        <v>3.25</v>
      </c>
      <c r="O1528" s="247">
        <f t="shared" si="166"/>
        <v>0.5</v>
      </c>
      <c r="P1528" s="247" t="str">
        <f>+_xlfn.XLOOKUP(A1528,PPTO_GENERADOR!Q:Q,PPTO_GENERADOR!E:E,"-",0)</f>
        <v>-</v>
      </c>
      <c r="Q1528" s="247">
        <f t="shared" si="167"/>
        <v>0</v>
      </c>
      <c r="R1528" s="259" t="str">
        <f>+_xlfn.XLOOKUP(A1528,PPTO_GENERADOR!$Q:$Q,PPTO_GENERADOR!A:A,"-",0)</f>
        <v>-</v>
      </c>
    </row>
    <row r="1529" spans="1:18" ht="14.25" customHeight="1" x14ac:dyDescent="0.35">
      <c r="A1529" s="38" t="s">
        <v>2743</v>
      </c>
      <c r="B1529" s="38" t="s">
        <v>2773</v>
      </c>
      <c r="C1529" s="38"/>
      <c r="D1529" s="38" t="s">
        <v>1601</v>
      </c>
      <c r="E1529" s="44" t="str">
        <f>IFERROR(VLOOKUP(D1529,EQUIPOS!A:B,2,FALSE()),"?")</f>
        <v>EQUIPO PARA INSTALACION ELECTRICA</v>
      </c>
      <c r="F1529" s="44"/>
      <c r="G1529" s="45">
        <v>1</v>
      </c>
      <c r="H1529" s="46">
        <v>0</v>
      </c>
      <c r="I1529" s="47">
        <f>IFERROR(VLOOKUP(D1529,EQUIPOS!A:F,6,FALSE()),0)</f>
        <v>5063.0947914732405</v>
      </c>
      <c r="J1529" s="42">
        <f>G1529*I1529</f>
        <v>5063.0947914732405</v>
      </c>
      <c r="K1529" s="15" t="str">
        <f t="shared" si="164"/>
        <v>PTO-1809|EQ</v>
      </c>
      <c r="L1529" s="15">
        <f>COUNTIFS($K$2:K1529,K1529)</f>
        <v>2</v>
      </c>
      <c r="M1529" s="15" t="str">
        <f t="shared" si="165"/>
        <v>PTO-1809|EQ|2</v>
      </c>
      <c r="N1529" s="47">
        <f>IFERROR(VLOOKUP(A1529,PARTIDAS!A:F,6,FALSE()),0)</f>
        <v>3.25</v>
      </c>
      <c r="O1529" s="247">
        <f t="shared" si="166"/>
        <v>1</v>
      </c>
      <c r="P1529" s="247" t="str">
        <f>+_xlfn.XLOOKUP(A1529,PPTO_GENERADOR!Q:Q,PPTO_GENERADOR!E:E,"-",0)</f>
        <v>-</v>
      </c>
      <c r="Q1529" s="247">
        <f t="shared" si="167"/>
        <v>0</v>
      </c>
      <c r="R1529" s="259" t="str">
        <f>+_xlfn.XLOOKUP(A1529,PPTO_GENERADOR!$Q:$Q,PPTO_GENERADOR!A:A,"-",0)</f>
        <v>-</v>
      </c>
    </row>
    <row r="1530" spans="1:18" ht="14.25" customHeight="1" x14ac:dyDescent="0.35">
      <c r="A1530" s="38" t="s">
        <v>2743</v>
      </c>
      <c r="B1530" s="38" t="s">
        <v>2773</v>
      </c>
      <c r="C1530" s="38"/>
      <c r="D1530" s="38" t="s">
        <v>1622</v>
      </c>
      <c r="E1530" s="44" t="str">
        <f>IFERROR(VLOOKUP(D1530,EQUIPOS!A:B,2,FALSE()),"?")</f>
        <v>ESCALERA GLOSS ALUMINIO ARTICULADA 4 X 4 ESCALONES HASTA 150KG</v>
      </c>
      <c r="F1530" s="44"/>
      <c r="G1530" s="45">
        <v>0.5</v>
      </c>
      <c r="H1530" s="46">
        <v>0</v>
      </c>
      <c r="I1530" s="47">
        <f>IFERROR(VLOOKUP(D1530,EQUIPOS!A:F,6,FALSE()),0)</f>
        <v>140.19809259430903</v>
      </c>
      <c r="J1530" s="42">
        <f>G1530*I1530</f>
        <v>70.099046297154516</v>
      </c>
      <c r="K1530" s="15" t="str">
        <f t="shared" si="164"/>
        <v>PTO-1809|EQ</v>
      </c>
      <c r="L1530" s="15">
        <f>COUNTIFS($K$2:K1530,K1530)</f>
        <v>3</v>
      </c>
      <c r="M1530" s="15" t="str">
        <f t="shared" si="165"/>
        <v>PTO-1809|EQ|3</v>
      </c>
      <c r="N1530" s="47">
        <f>IFERROR(VLOOKUP(A1530,PARTIDAS!A:F,6,FALSE()),0)</f>
        <v>3.25</v>
      </c>
      <c r="O1530" s="247">
        <f t="shared" si="166"/>
        <v>0.5</v>
      </c>
      <c r="P1530" s="247" t="str">
        <f>+_xlfn.XLOOKUP(A1530,PPTO_GENERADOR!Q:Q,PPTO_GENERADOR!E:E,"-",0)</f>
        <v>-</v>
      </c>
      <c r="Q1530" s="247">
        <f t="shared" si="167"/>
        <v>0</v>
      </c>
      <c r="R1530" s="259" t="str">
        <f>+_xlfn.XLOOKUP(A1530,PPTO_GENERADOR!$Q:$Q,PPTO_GENERADOR!A:A,"-",0)</f>
        <v>-</v>
      </c>
    </row>
    <row r="1531" spans="1:18" ht="14.25" customHeight="1" x14ac:dyDescent="0.35">
      <c r="A1531" s="38" t="s">
        <v>2743</v>
      </c>
      <c r="B1531" s="38" t="s">
        <v>2774</v>
      </c>
      <c r="C1531" s="38" t="s">
        <v>2775</v>
      </c>
      <c r="D1531" s="38" t="s">
        <v>926</v>
      </c>
      <c r="E1531" s="44" t="str">
        <f>IFERROR(VLOOKUP(D1531,MATERIALES!A:B,2,FALSE()),"?")</f>
        <v>Conector hierro 3/4"</v>
      </c>
      <c r="F1531" s="44" t="str">
        <f>IFERROR(VLOOKUP(D1531,MATERIALES!A:C,3,FALSE()),"?")</f>
        <v>u</v>
      </c>
      <c r="G1531" s="45">
        <v>4</v>
      </c>
      <c r="H1531" s="46">
        <v>0.1</v>
      </c>
      <c r="I1531" s="47">
        <f>IFERROR(VLOOKUP(D1531,MATERIALES!A:D,4,FALSE()),0)</f>
        <v>225.83199999999999</v>
      </c>
      <c r="J1531" s="42">
        <f t="shared" ref="J1531:J1536" si="172">G1531*I1531*(1+H1531)</f>
        <v>993.66080000000011</v>
      </c>
      <c r="K1531" s="15" t="str">
        <f t="shared" si="164"/>
        <v>PTO-1809|MAT</v>
      </c>
      <c r="L1531" s="15">
        <f>COUNTIFS($K$2:K1531,K1531)</f>
        <v>1</v>
      </c>
      <c r="M1531" s="15" t="str">
        <f t="shared" si="165"/>
        <v>PTO-1809|MAT|1</v>
      </c>
      <c r="N1531" s="47">
        <f>IFERROR(VLOOKUP(A1531,PARTIDAS!A:F,6,FALSE()),0)</f>
        <v>3.25</v>
      </c>
      <c r="O1531" s="247">
        <f t="shared" si="166"/>
        <v>4</v>
      </c>
      <c r="P1531" s="247" t="str">
        <f>+_xlfn.XLOOKUP(A1531,PPTO_GENERADOR!Q:Q,PPTO_GENERADOR!E:E,"-",0)</f>
        <v>-</v>
      </c>
      <c r="Q1531" s="247">
        <f t="shared" si="167"/>
        <v>0</v>
      </c>
      <c r="R1531" s="259" t="str">
        <f>+_xlfn.XLOOKUP(A1531,PPTO_GENERADOR!$Q:$Q,PPTO_GENERADOR!A:A,"-",0)</f>
        <v>-</v>
      </c>
    </row>
    <row r="1532" spans="1:18" ht="14.25" customHeight="1" x14ac:dyDescent="0.35">
      <c r="A1532" s="38" t="s">
        <v>2743</v>
      </c>
      <c r="B1532" s="38" t="s">
        <v>2774</v>
      </c>
      <c r="C1532" s="38" t="s">
        <v>2775</v>
      </c>
      <c r="D1532" s="38" t="s">
        <v>924</v>
      </c>
      <c r="E1532" s="44" t="str">
        <f>IFERROR(VLOOKUP(D1532,MATERIALES!A:B,2,FALSE()),"?")</f>
        <v>Caño rigido 3/4"</v>
      </c>
      <c r="F1532" s="44" t="str">
        <f>IFERROR(VLOOKUP(D1532,MATERIALES!A:C,3,FALSE()),"?")</f>
        <v>ml</v>
      </c>
      <c r="G1532" s="45">
        <v>5</v>
      </c>
      <c r="H1532" s="46">
        <v>0.05</v>
      </c>
      <c r="I1532" s="47">
        <f>IFERROR(VLOOKUP(D1532,MATERIALES!A:D,4,FALSE()),0)</f>
        <v>472.18</v>
      </c>
      <c r="J1532" s="42">
        <f t="shared" si="172"/>
        <v>2478.9450000000002</v>
      </c>
      <c r="K1532" s="15" t="str">
        <f t="shared" si="164"/>
        <v>PTO-1809|MAT</v>
      </c>
      <c r="L1532" s="15">
        <f>COUNTIFS($K$2:K1532,K1532)</f>
        <v>2</v>
      </c>
      <c r="M1532" s="15" t="str">
        <f t="shared" si="165"/>
        <v>PTO-1809|MAT|2</v>
      </c>
      <c r="N1532" s="47">
        <f>IFERROR(VLOOKUP(A1532,PARTIDAS!A:F,6,FALSE()),0)</f>
        <v>3.25</v>
      </c>
      <c r="O1532" s="247">
        <f t="shared" si="166"/>
        <v>5</v>
      </c>
      <c r="P1532" s="247" t="str">
        <f>+_xlfn.XLOOKUP(A1532,PPTO_GENERADOR!Q:Q,PPTO_GENERADOR!E:E,"-",0)</f>
        <v>-</v>
      </c>
      <c r="Q1532" s="247">
        <f t="shared" si="167"/>
        <v>0</v>
      </c>
      <c r="R1532" s="259" t="str">
        <f>+_xlfn.XLOOKUP(A1532,PPTO_GENERADOR!$Q:$Q,PPTO_GENERADOR!A:A,"-",0)</f>
        <v>-</v>
      </c>
    </row>
    <row r="1533" spans="1:18" ht="14.25" customHeight="1" x14ac:dyDescent="0.35">
      <c r="A1533" s="38" t="s">
        <v>2743</v>
      </c>
      <c r="B1533" s="38" t="s">
        <v>2774</v>
      </c>
      <c r="C1533" s="38" t="s">
        <v>2775</v>
      </c>
      <c r="D1533" s="38" t="s">
        <v>932</v>
      </c>
      <c r="E1533" s="44" t="str">
        <f>IFERROR(VLOOKUP(D1533,MATERIALES!A:B,2,FALSE()),"?")</f>
        <v>Cupla PVC 3/4"</v>
      </c>
      <c r="F1533" s="44" t="str">
        <f>IFERROR(VLOOKUP(D1533,MATERIALES!A:C,3,FALSE()),"?")</f>
        <v>u</v>
      </c>
      <c r="G1533" s="45">
        <v>1.2</v>
      </c>
      <c r="H1533" s="46">
        <v>0.1</v>
      </c>
      <c r="I1533" s="47">
        <f>IFERROR(VLOOKUP(D1533,MATERIALES!A:D,4,FALSE()),0)</f>
        <v>110.922</v>
      </c>
      <c r="J1533" s="42">
        <f t="shared" si="172"/>
        <v>146.41703999999999</v>
      </c>
      <c r="K1533" s="15" t="str">
        <f t="shared" si="164"/>
        <v>PTO-1809|MAT</v>
      </c>
      <c r="L1533" s="15">
        <f>COUNTIFS($K$2:K1533,K1533)</f>
        <v>3</v>
      </c>
      <c r="M1533" s="15" t="str">
        <f t="shared" si="165"/>
        <v>PTO-1809|MAT|3</v>
      </c>
      <c r="N1533" s="47">
        <f>IFERROR(VLOOKUP(A1533,PARTIDAS!A:F,6,FALSE()),0)</f>
        <v>3.25</v>
      </c>
      <c r="O1533" s="247">
        <f t="shared" si="166"/>
        <v>1.2</v>
      </c>
      <c r="P1533" s="247" t="str">
        <f>+_xlfn.XLOOKUP(A1533,PPTO_GENERADOR!Q:Q,PPTO_GENERADOR!E:E,"-",0)</f>
        <v>-</v>
      </c>
      <c r="Q1533" s="247">
        <f t="shared" si="167"/>
        <v>0</v>
      </c>
      <c r="R1533" s="259" t="str">
        <f>+_xlfn.XLOOKUP(A1533,PPTO_GENERADOR!$Q:$Q,PPTO_GENERADOR!A:A,"-",0)</f>
        <v>-</v>
      </c>
    </row>
    <row r="1534" spans="1:18" ht="14.25" customHeight="1" x14ac:dyDescent="0.35">
      <c r="A1534" s="38" t="s">
        <v>2743</v>
      </c>
      <c r="B1534" s="38" t="s">
        <v>2774</v>
      </c>
      <c r="C1534" s="38" t="s">
        <v>2775</v>
      </c>
      <c r="D1534" s="38" t="s">
        <v>941</v>
      </c>
      <c r="E1534" s="44" t="str">
        <f>IFERROR(VLOOKUP(D1534,MATERIALES!A:B,2,FALSE()),"?")</f>
        <v>Cable unipolar 1 x 2,50 VA</v>
      </c>
      <c r="F1534" s="44" t="str">
        <f>IFERROR(VLOOKUP(D1534,MATERIALES!A:C,3,FALSE()),"?")</f>
        <v>ml</v>
      </c>
      <c r="G1534" s="45">
        <v>5</v>
      </c>
      <c r="H1534" s="46">
        <v>0.1</v>
      </c>
      <c r="I1534" s="47">
        <f>IFERROR(VLOOKUP(D1534,MATERIALES!A:D,4,FALSE()),0)</f>
        <v>509.31490000000002</v>
      </c>
      <c r="J1534" s="42">
        <f t="shared" si="172"/>
        <v>2801.2319500000003</v>
      </c>
      <c r="K1534" s="15" t="str">
        <f t="shared" si="164"/>
        <v>PTO-1809|MAT</v>
      </c>
      <c r="L1534" s="15">
        <f>COUNTIFS($K$2:K1534,K1534)</f>
        <v>4</v>
      </c>
      <c r="M1534" s="15" t="str">
        <f t="shared" si="165"/>
        <v>PTO-1809|MAT|4</v>
      </c>
      <c r="N1534" s="47">
        <f>IFERROR(VLOOKUP(A1534,PARTIDAS!A:F,6,FALSE()),0)</f>
        <v>3.25</v>
      </c>
      <c r="O1534" s="247">
        <f t="shared" si="166"/>
        <v>5</v>
      </c>
      <c r="P1534" s="247" t="str">
        <f>+_xlfn.XLOOKUP(A1534,PPTO_GENERADOR!Q:Q,PPTO_GENERADOR!E:E,"-",0)</f>
        <v>-</v>
      </c>
      <c r="Q1534" s="247">
        <f t="shared" si="167"/>
        <v>0</v>
      </c>
      <c r="R1534" s="259" t="str">
        <f>+_xlfn.XLOOKUP(A1534,PPTO_GENERADOR!$Q:$Q,PPTO_GENERADOR!A:A,"-",0)</f>
        <v>-</v>
      </c>
    </row>
    <row r="1535" spans="1:18" ht="14.25" customHeight="1" x14ac:dyDescent="0.35">
      <c r="A1535" s="38" t="s">
        <v>2743</v>
      </c>
      <c r="B1535" s="38" t="s">
        <v>2774</v>
      </c>
      <c r="C1535" s="38" t="s">
        <v>2775</v>
      </c>
      <c r="D1535" s="38" t="s">
        <v>943</v>
      </c>
      <c r="E1535" s="44" t="str">
        <f>IFERROR(VLOOKUP(D1535,MATERIALES!A:B,2,FALSE()),"?")</f>
        <v>Cable unipolar 1 x 2,50 Rojo/Marron/Negro</v>
      </c>
      <c r="F1535" s="44" t="str">
        <f>IFERROR(VLOOKUP(D1535,MATERIALES!A:C,3,FALSE()),"?")</f>
        <v>ml</v>
      </c>
      <c r="G1535" s="45">
        <v>10</v>
      </c>
      <c r="H1535" s="46">
        <v>0.1</v>
      </c>
      <c r="I1535" s="47">
        <f>IFERROR(VLOOKUP(D1535,MATERIALES!A:D,4,FALSE()),0)</f>
        <v>509.31490000000002</v>
      </c>
      <c r="J1535" s="42">
        <f t="shared" si="172"/>
        <v>5602.4639000000006</v>
      </c>
      <c r="K1535" s="15" t="str">
        <f t="shared" si="164"/>
        <v>PTO-1809|MAT</v>
      </c>
      <c r="L1535" s="15">
        <f>COUNTIFS($K$2:K1535,K1535)</f>
        <v>5</v>
      </c>
      <c r="M1535" s="15" t="str">
        <f t="shared" si="165"/>
        <v>PTO-1809|MAT|5</v>
      </c>
      <c r="N1535" s="47">
        <f>IFERROR(VLOOKUP(A1535,PARTIDAS!A:F,6,FALSE()),0)</f>
        <v>3.25</v>
      </c>
      <c r="O1535" s="247">
        <f t="shared" si="166"/>
        <v>10</v>
      </c>
      <c r="P1535" s="247" t="str">
        <f>+_xlfn.XLOOKUP(A1535,PPTO_GENERADOR!Q:Q,PPTO_GENERADOR!E:E,"-",0)</f>
        <v>-</v>
      </c>
      <c r="Q1535" s="247">
        <f t="shared" si="167"/>
        <v>0</v>
      </c>
      <c r="R1535" s="259" t="str">
        <f>+_xlfn.XLOOKUP(A1535,PPTO_GENERADOR!$Q:$Q,PPTO_GENERADOR!A:A,"-",0)</f>
        <v>-</v>
      </c>
    </row>
    <row r="1536" spans="1:18" ht="14.25" customHeight="1" x14ac:dyDescent="0.35">
      <c r="A1536" s="38" t="s">
        <v>2743</v>
      </c>
      <c r="B1536" s="38" t="s">
        <v>2774</v>
      </c>
      <c r="C1536" s="38" t="s">
        <v>2775</v>
      </c>
      <c r="D1536" s="38" t="s">
        <v>951</v>
      </c>
      <c r="E1536" s="44" t="str">
        <f>IFERROR(VLOOKUP(D1536,MATERIALES!A:B,2,FALSE()),"?")</f>
        <v>Caja rectangular chica</v>
      </c>
      <c r="F1536" s="44" t="str">
        <f>IFERROR(VLOOKUP(D1536,MATERIALES!A:C,3,FALSE()),"?")</f>
        <v>u</v>
      </c>
      <c r="G1536" s="45">
        <v>1</v>
      </c>
      <c r="H1536" s="46">
        <v>0.05</v>
      </c>
      <c r="I1536" s="47">
        <f>IFERROR(VLOOKUP(D1536,MATERIALES!A:D,4,FALSE()),0)</f>
        <v>202.42</v>
      </c>
      <c r="J1536" s="42">
        <f t="shared" si="172"/>
        <v>212.541</v>
      </c>
      <c r="K1536" s="15" t="str">
        <f t="shared" si="164"/>
        <v>PTO-1809|MAT</v>
      </c>
      <c r="L1536" s="15">
        <f>COUNTIFS($K$2:K1536,K1536)</f>
        <v>6</v>
      </c>
      <c r="M1536" s="15" t="str">
        <f t="shared" si="165"/>
        <v>PTO-1809|MAT|6</v>
      </c>
      <c r="N1536" s="47">
        <f>IFERROR(VLOOKUP(A1536,PARTIDAS!A:F,6,FALSE()),0)</f>
        <v>3.25</v>
      </c>
      <c r="O1536" s="247">
        <f t="shared" si="166"/>
        <v>1</v>
      </c>
      <c r="P1536" s="247" t="str">
        <f>+_xlfn.XLOOKUP(A1536,PPTO_GENERADOR!Q:Q,PPTO_GENERADOR!E:E,"-",0)</f>
        <v>-</v>
      </c>
      <c r="Q1536" s="247">
        <f t="shared" si="167"/>
        <v>0</v>
      </c>
      <c r="R1536" s="259" t="str">
        <f>+_xlfn.XLOOKUP(A1536,PPTO_GENERADOR!$Q:$Q,PPTO_GENERADOR!A:A,"-",0)</f>
        <v>-</v>
      </c>
    </row>
    <row r="1537" spans="1:18" ht="14.25" customHeight="1" x14ac:dyDescent="0.35">
      <c r="A1537" s="38" t="s">
        <v>2744</v>
      </c>
      <c r="B1537" s="38" t="s">
        <v>2773</v>
      </c>
      <c r="C1537" s="38"/>
      <c r="D1537" s="38" t="s">
        <v>1592</v>
      </c>
      <c r="E1537" s="44" t="str">
        <f>IFERROR(VLOOKUP(D1537,EQUIPOS!A:B,2,FALSE()),"?")</f>
        <v>ANDAMIO TUBULAR DE UNO A TRES CUERPOS</v>
      </c>
      <c r="F1537" s="44"/>
      <c r="G1537" s="45">
        <v>0.5</v>
      </c>
      <c r="H1537" s="46">
        <v>0</v>
      </c>
      <c r="I1537" s="47">
        <f>IFERROR(VLOOKUP(D1537,EQUIPOS!A:F,6,FALSE()),0)</f>
        <v>571.1794909807611</v>
      </c>
      <c r="J1537" s="42">
        <f>G1537*I1537</f>
        <v>285.58974549038055</v>
      </c>
      <c r="K1537" s="15" t="str">
        <f t="shared" si="164"/>
        <v>PTO-1810|EQ</v>
      </c>
      <c r="L1537" s="15">
        <f>COUNTIFS($K$2:K1537,K1537)</f>
        <v>1</v>
      </c>
      <c r="M1537" s="15" t="str">
        <f t="shared" si="165"/>
        <v>PTO-1810|EQ|1</v>
      </c>
      <c r="N1537" s="47">
        <f>IFERROR(VLOOKUP(A1537,PARTIDAS!A:F,6,FALSE()),0)</f>
        <v>3.25</v>
      </c>
      <c r="O1537" s="247">
        <f t="shared" si="166"/>
        <v>0.5</v>
      </c>
      <c r="P1537" s="247" t="str">
        <f>+_xlfn.XLOOKUP(A1537,PPTO_GENERADOR!Q:Q,PPTO_GENERADOR!E:E,"-",0)</f>
        <v>-</v>
      </c>
      <c r="Q1537" s="247">
        <f t="shared" si="167"/>
        <v>0</v>
      </c>
      <c r="R1537" s="259" t="str">
        <f>+_xlfn.XLOOKUP(A1537,PPTO_GENERADOR!$Q:$Q,PPTO_GENERADOR!A:A,"-",0)</f>
        <v>-</v>
      </c>
    </row>
    <row r="1538" spans="1:18" ht="14.25" customHeight="1" x14ac:dyDescent="0.35">
      <c r="A1538" s="38" t="s">
        <v>2744</v>
      </c>
      <c r="B1538" s="38" t="s">
        <v>2773</v>
      </c>
      <c r="C1538" s="38"/>
      <c r="D1538" s="38" t="s">
        <v>1601</v>
      </c>
      <c r="E1538" s="44" t="str">
        <f>IFERROR(VLOOKUP(D1538,EQUIPOS!A:B,2,FALSE()),"?")</f>
        <v>EQUIPO PARA INSTALACION ELECTRICA</v>
      </c>
      <c r="F1538" s="44"/>
      <c r="G1538" s="45">
        <v>1</v>
      </c>
      <c r="H1538" s="46">
        <v>0</v>
      </c>
      <c r="I1538" s="47">
        <f>IFERROR(VLOOKUP(D1538,EQUIPOS!A:F,6,FALSE()),0)</f>
        <v>5063.0947914732405</v>
      </c>
      <c r="J1538" s="42">
        <f>G1538*I1538</f>
        <v>5063.0947914732405</v>
      </c>
      <c r="K1538" s="15" t="str">
        <f t="shared" ref="K1538:K1601" si="173">A1538&amp;"|"&amp;B1538</f>
        <v>PTO-1810|EQ</v>
      </c>
      <c r="L1538" s="15">
        <f>COUNTIFS($K$2:K1538,K1538)</f>
        <v>2</v>
      </c>
      <c r="M1538" s="15" t="str">
        <f t="shared" ref="M1538:M1601" si="174">K1538&amp;"|"&amp;L1538</f>
        <v>PTO-1810|EQ|2</v>
      </c>
      <c r="N1538" s="47">
        <f>IFERROR(VLOOKUP(A1538,PARTIDAS!A:F,6,FALSE()),0)</f>
        <v>3.25</v>
      </c>
      <c r="O1538" s="247">
        <f t="shared" si="166"/>
        <v>1</v>
      </c>
      <c r="P1538" s="247" t="str">
        <f>+_xlfn.XLOOKUP(A1538,PPTO_GENERADOR!Q:Q,PPTO_GENERADOR!E:E,"-",0)</f>
        <v>-</v>
      </c>
      <c r="Q1538" s="247">
        <f t="shared" si="167"/>
        <v>0</v>
      </c>
      <c r="R1538" s="259" t="str">
        <f>+_xlfn.XLOOKUP(A1538,PPTO_GENERADOR!$Q:$Q,PPTO_GENERADOR!A:A,"-",0)</f>
        <v>-</v>
      </c>
    </row>
    <row r="1539" spans="1:18" ht="14.25" customHeight="1" x14ac:dyDescent="0.35">
      <c r="A1539" s="38" t="s">
        <v>2744</v>
      </c>
      <c r="B1539" s="38" t="s">
        <v>2773</v>
      </c>
      <c r="C1539" s="38"/>
      <c r="D1539" s="38" t="s">
        <v>1622</v>
      </c>
      <c r="E1539" s="44" t="str">
        <f>IFERROR(VLOOKUP(D1539,EQUIPOS!A:B,2,FALSE()),"?")</f>
        <v>ESCALERA GLOSS ALUMINIO ARTICULADA 4 X 4 ESCALONES HASTA 150KG</v>
      </c>
      <c r="F1539" s="44"/>
      <c r="G1539" s="45">
        <v>0.5</v>
      </c>
      <c r="H1539" s="46">
        <v>0</v>
      </c>
      <c r="I1539" s="47">
        <f>IFERROR(VLOOKUP(D1539,EQUIPOS!A:F,6,FALSE()),0)</f>
        <v>140.19809259430903</v>
      </c>
      <c r="J1539" s="42">
        <f>G1539*I1539</f>
        <v>70.099046297154516</v>
      </c>
      <c r="K1539" s="15" t="str">
        <f t="shared" si="173"/>
        <v>PTO-1810|EQ</v>
      </c>
      <c r="L1539" s="15">
        <f>COUNTIFS($K$2:K1539,K1539)</f>
        <v>3</v>
      </c>
      <c r="M1539" s="15" t="str">
        <f t="shared" si="174"/>
        <v>PTO-1810|EQ|3</v>
      </c>
      <c r="N1539" s="47">
        <f>IFERROR(VLOOKUP(A1539,PARTIDAS!A:F,6,FALSE()),0)</f>
        <v>3.25</v>
      </c>
      <c r="O1539" s="247">
        <f t="shared" ref="O1539:O1602" si="175">+IF(C1539="ALB",G1539/N1539,G1539)</f>
        <v>0.5</v>
      </c>
      <c r="P1539" s="247" t="str">
        <f>+_xlfn.XLOOKUP(A1539,PPTO_GENERADOR!Q:Q,PPTO_GENERADOR!E:E,"-",0)</f>
        <v>-</v>
      </c>
      <c r="Q1539" s="247">
        <f t="shared" ref="Q1539:Q1602" si="176">IFERROR(P1539*O1539,0)</f>
        <v>0</v>
      </c>
      <c r="R1539" s="259" t="str">
        <f>+_xlfn.XLOOKUP(A1539,PPTO_GENERADOR!$Q:$Q,PPTO_GENERADOR!A:A,"-",0)</f>
        <v>-</v>
      </c>
    </row>
    <row r="1540" spans="1:18" ht="14.25" customHeight="1" x14ac:dyDescent="0.35">
      <c r="A1540" s="38" t="s">
        <v>2744</v>
      </c>
      <c r="B1540" s="38" t="s">
        <v>2774</v>
      </c>
      <c r="C1540" s="38" t="s">
        <v>2775</v>
      </c>
      <c r="D1540" s="38" t="s">
        <v>926</v>
      </c>
      <c r="E1540" s="44" t="str">
        <f>IFERROR(VLOOKUP(D1540,MATERIALES!A:B,2,FALSE()),"?")</f>
        <v>Conector hierro 3/4"</v>
      </c>
      <c r="F1540" s="44" t="str">
        <f>IFERROR(VLOOKUP(D1540,MATERIALES!A:C,3,FALSE()),"?")</f>
        <v>u</v>
      </c>
      <c r="G1540" s="45">
        <v>4</v>
      </c>
      <c r="H1540" s="46">
        <v>0.1</v>
      </c>
      <c r="I1540" s="47">
        <f>IFERROR(VLOOKUP(D1540,MATERIALES!A:D,4,FALSE()),0)</f>
        <v>225.83199999999999</v>
      </c>
      <c r="J1540" s="42">
        <f t="shared" ref="J1540:J1545" si="177">G1540*I1540*(1+H1540)</f>
        <v>993.66080000000011</v>
      </c>
      <c r="K1540" s="15" t="str">
        <f t="shared" si="173"/>
        <v>PTO-1810|MAT</v>
      </c>
      <c r="L1540" s="15">
        <f>COUNTIFS($K$2:K1540,K1540)</f>
        <v>1</v>
      </c>
      <c r="M1540" s="15" t="str">
        <f t="shared" si="174"/>
        <v>PTO-1810|MAT|1</v>
      </c>
      <c r="N1540" s="47">
        <f>IFERROR(VLOOKUP(A1540,PARTIDAS!A:F,6,FALSE()),0)</f>
        <v>3.25</v>
      </c>
      <c r="O1540" s="247">
        <f t="shared" si="175"/>
        <v>4</v>
      </c>
      <c r="P1540" s="247" t="str">
        <f>+_xlfn.XLOOKUP(A1540,PPTO_GENERADOR!Q:Q,PPTO_GENERADOR!E:E,"-",0)</f>
        <v>-</v>
      </c>
      <c r="Q1540" s="247">
        <f t="shared" si="176"/>
        <v>0</v>
      </c>
      <c r="R1540" s="259" t="str">
        <f>+_xlfn.XLOOKUP(A1540,PPTO_GENERADOR!$Q:$Q,PPTO_GENERADOR!A:A,"-",0)</f>
        <v>-</v>
      </c>
    </row>
    <row r="1541" spans="1:18" ht="14.25" customHeight="1" x14ac:dyDescent="0.35">
      <c r="A1541" s="38" t="s">
        <v>2744</v>
      </c>
      <c r="B1541" s="38" t="s">
        <v>2774</v>
      </c>
      <c r="C1541" s="38" t="s">
        <v>2775</v>
      </c>
      <c r="D1541" s="38" t="s">
        <v>924</v>
      </c>
      <c r="E1541" s="44" t="str">
        <f>IFERROR(VLOOKUP(D1541,MATERIALES!A:B,2,FALSE()),"?")</f>
        <v>Caño rigido 3/4"</v>
      </c>
      <c r="F1541" s="44" t="str">
        <f>IFERROR(VLOOKUP(D1541,MATERIALES!A:C,3,FALSE()),"?")</f>
        <v>ml</v>
      </c>
      <c r="G1541" s="45">
        <v>5</v>
      </c>
      <c r="H1541" s="46">
        <v>0.05</v>
      </c>
      <c r="I1541" s="47">
        <f>IFERROR(VLOOKUP(D1541,MATERIALES!A:D,4,FALSE()),0)</f>
        <v>472.18</v>
      </c>
      <c r="J1541" s="42">
        <f t="shared" si="177"/>
        <v>2478.9450000000002</v>
      </c>
      <c r="K1541" s="15" t="str">
        <f t="shared" si="173"/>
        <v>PTO-1810|MAT</v>
      </c>
      <c r="L1541" s="15">
        <f>COUNTIFS($K$2:K1541,K1541)</f>
        <v>2</v>
      </c>
      <c r="M1541" s="15" t="str">
        <f t="shared" si="174"/>
        <v>PTO-1810|MAT|2</v>
      </c>
      <c r="N1541" s="47">
        <f>IFERROR(VLOOKUP(A1541,PARTIDAS!A:F,6,FALSE()),0)</f>
        <v>3.25</v>
      </c>
      <c r="O1541" s="247">
        <f t="shared" si="175"/>
        <v>5</v>
      </c>
      <c r="P1541" s="247" t="str">
        <f>+_xlfn.XLOOKUP(A1541,PPTO_GENERADOR!Q:Q,PPTO_GENERADOR!E:E,"-",0)</f>
        <v>-</v>
      </c>
      <c r="Q1541" s="247">
        <f t="shared" si="176"/>
        <v>0</v>
      </c>
      <c r="R1541" s="259" t="str">
        <f>+_xlfn.XLOOKUP(A1541,PPTO_GENERADOR!$Q:$Q,PPTO_GENERADOR!A:A,"-",0)</f>
        <v>-</v>
      </c>
    </row>
    <row r="1542" spans="1:18" ht="14.25" customHeight="1" x14ac:dyDescent="0.35">
      <c r="A1542" s="38" t="s">
        <v>2744</v>
      </c>
      <c r="B1542" s="38" t="s">
        <v>2774</v>
      </c>
      <c r="C1542" s="38" t="s">
        <v>2775</v>
      </c>
      <c r="D1542" s="38" t="s">
        <v>932</v>
      </c>
      <c r="E1542" s="44" t="str">
        <f>IFERROR(VLOOKUP(D1542,MATERIALES!A:B,2,FALSE()),"?")</f>
        <v>Cupla PVC 3/4"</v>
      </c>
      <c r="F1542" s="44" t="str">
        <f>IFERROR(VLOOKUP(D1542,MATERIALES!A:C,3,FALSE()),"?")</f>
        <v>u</v>
      </c>
      <c r="G1542" s="45">
        <v>1.2</v>
      </c>
      <c r="H1542" s="46">
        <v>0.1</v>
      </c>
      <c r="I1542" s="47">
        <f>IFERROR(VLOOKUP(D1542,MATERIALES!A:D,4,FALSE()),0)</f>
        <v>110.922</v>
      </c>
      <c r="J1542" s="42">
        <f t="shared" si="177"/>
        <v>146.41703999999999</v>
      </c>
      <c r="K1542" s="15" t="str">
        <f t="shared" si="173"/>
        <v>PTO-1810|MAT</v>
      </c>
      <c r="L1542" s="15">
        <f>COUNTIFS($K$2:K1542,K1542)</f>
        <v>3</v>
      </c>
      <c r="M1542" s="15" t="str">
        <f t="shared" si="174"/>
        <v>PTO-1810|MAT|3</v>
      </c>
      <c r="N1542" s="47">
        <f>IFERROR(VLOOKUP(A1542,PARTIDAS!A:F,6,FALSE()),0)</f>
        <v>3.25</v>
      </c>
      <c r="O1542" s="247">
        <f t="shared" si="175"/>
        <v>1.2</v>
      </c>
      <c r="P1542" s="247" t="str">
        <f>+_xlfn.XLOOKUP(A1542,PPTO_GENERADOR!Q:Q,PPTO_GENERADOR!E:E,"-",0)</f>
        <v>-</v>
      </c>
      <c r="Q1542" s="247">
        <f t="shared" si="176"/>
        <v>0</v>
      </c>
      <c r="R1542" s="259" t="str">
        <f>+_xlfn.XLOOKUP(A1542,PPTO_GENERADOR!$Q:$Q,PPTO_GENERADOR!A:A,"-",0)</f>
        <v>-</v>
      </c>
    </row>
    <row r="1543" spans="1:18" ht="14.25" customHeight="1" x14ac:dyDescent="0.35">
      <c r="A1543" s="38" t="s">
        <v>2744</v>
      </c>
      <c r="B1543" s="38" t="s">
        <v>2774</v>
      </c>
      <c r="C1543" s="38" t="s">
        <v>2775</v>
      </c>
      <c r="D1543" s="38" t="s">
        <v>941</v>
      </c>
      <c r="E1543" s="44" t="str">
        <f>IFERROR(VLOOKUP(D1543,MATERIALES!A:B,2,FALSE()),"?")</f>
        <v>Cable unipolar 1 x 2,50 VA</v>
      </c>
      <c r="F1543" s="44" t="str">
        <f>IFERROR(VLOOKUP(D1543,MATERIALES!A:C,3,FALSE()),"?")</f>
        <v>ml</v>
      </c>
      <c r="G1543" s="45">
        <v>5</v>
      </c>
      <c r="H1543" s="46">
        <v>0.1</v>
      </c>
      <c r="I1543" s="47">
        <f>IFERROR(VLOOKUP(D1543,MATERIALES!A:D,4,FALSE()),0)</f>
        <v>509.31490000000002</v>
      </c>
      <c r="J1543" s="42">
        <f t="shared" si="177"/>
        <v>2801.2319500000003</v>
      </c>
      <c r="K1543" s="15" t="str">
        <f t="shared" si="173"/>
        <v>PTO-1810|MAT</v>
      </c>
      <c r="L1543" s="15">
        <f>COUNTIFS($K$2:K1543,K1543)</f>
        <v>4</v>
      </c>
      <c r="M1543" s="15" t="str">
        <f t="shared" si="174"/>
        <v>PTO-1810|MAT|4</v>
      </c>
      <c r="N1543" s="47">
        <f>IFERROR(VLOOKUP(A1543,PARTIDAS!A:F,6,FALSE()),0)</f>
        <v>3.25</v>
      </c>
      <c r="O1543" s="247">
        <f t="shared" si="175"/>
        <v>5</v>
      </c>
      <c r="P1543" s="247" t="str">
        <f>+_xlfn.XLOOKUP(A1543,PPTO_GENERADOR!Q:Q,PPTO_GENERADOR!E:E,"-",0)</f>
        <v>-</v>
      </c>
      <c r="Q1543" s="247">
        <f t="shared" si="176"/>
        <v>0</v>
      </c>
      <c r="R1543" s="259" t="str">
        <f>+_xlfn.XLOOKUP(A1543,PPTO_GENERADOR!$Q:$Q,PPTO_GENERADOR!A:A,"-",0)</f>
        <v>-</v>
      </c>
    </row>
    <row r="1544" spans="1:18" ht="14.25" customHeight="1" x14ac:dyDescent="0.35">
      <c r="A1544" s="38" t="s">
        <v>2744</v>
      </c>
      <c r="B1544" s="38" t="s">
        <v>2774</v>
      </c>
      <c r="C1544" s="38" t="s">
        <v>2775</v>
      </c>
      <c r="D1544" s="38" t="s">
        <v>943</v>
      </c>
      <c r="E1544" s="44" t="str">
        <f>IFERROR(VLOOKUP(D1544,MATERIALES!A:B,2,FALSE()),"?")</f>
        <v>Cable unipolar 1 x 2,50 Rojo/Marron/Negro</v>
      </c>
      <c r="F1544" s="44" t="str">
        <f>IFERROR(VLOOKUP(D1544,MATERIALES!A:C,3,FALSE()),"?")</f>
        <v>ml</v>
      </c>
      <c r="G1544" s="45">
        <v>10</v>
      </c>
      <c r="H1544" s="46">
        <v>0.1</v>
      </c>
      <c r="I1544" s="47">
        <f>IFERROR(VLOOKUP(D1544,MATERIALES!A:D,4,FALSE()),0)</f>
        <v>509.31490000000002</v>
      </c>
      <c r="J1544" s="42">
        <f t="shared" si="177"/>
        <v>5602.4639000000006</v>
      </c>
      <c r="K1544" s="15" t="str">
        <f t="shared" si="173"/>
        <v>PTO-1810|MAT</v>
      </c>
      <c r="L1544" s="15">
        <f>COUNTIFS($K$2:K1544,K1544)</f>
        <v>5</v>
      </c>
      <c r="M1544" s="15" t="str">
        <f t="shared" si="174"/>
        <v>PTO-1810|MAT|5</v>
      </c>
      <c r="N1544" s="47">
        <f>IFERROR(VLOOKUP(A1544,PARTIDAS!A:F,6,FALSE()),0)</f>
        <v>3.25</v>
      </c>
      <c r="O1544" s="247">
        <f t="shared" si="175"/>
        <v>10</v>
      </c>
      <c r="P1544" s="247" t="str">
        <f>+_xlfn.XLOOKUP(A1544,PPTO_GENERADOR!Q:Q,PPTO_GENERADOR!E:E,"-",0)</f>
        <v>-</v>
      </c>
      <c r="Q1544" s="247">
        <f t="shared" si="176"/>
        <v>0</v>
      </c>
      <c r="R1544" s="259" t="str">
        <f>+_xlfn.XLOOKUP(A1544,PPTO_GENERADOR!$Q:$Q,PPTO_GENERADOR!A:A,"-",0)</f>
        <v>-</v>
      </c>
    </row>
    <row r="1545" spans="1:18" ht="14.25" customHeight="1" x14ac:dyDescent="0.35">
      <c r="A1545" s="38" t="s">
        <v>2744</v>
      </c>
      <c r="B1545" s="38" t="s">
        <v>2774</v>
      </c>
      <c r="C1545" s="38" t="s">
        <v>2775</v>
      </c>
      <c r="D1545" s="38" t="s">
        <v>951</v>
      </c>
      <c r="E1545" s="44" t="str">
        <f>IFERROR(VLOOKUP(D1545,MATERIALES!A:B,2,FALSE()),"?")</f>
        <v>Caja rectangular chica</v>
      </c>
      <c r="F1545" s="44" t="str">
        <f>IFERROR(VLOOKUP(D1545,MATERIALES!A:C,3,FALSE()),"?")</f>
        <v>u</v>
      </c>
      <c r="G1545" s="45">
        <v>1</v>
      </c>
      <c r="H1545" s="46">
        <v>0.05</v>
      </c>
      <c r="I1545" s="47">
        <f>IFERROR(VLOOKUP(D1545,MATERIALES!A:D,4,FALSE()),0)</f>
        <v>202.42</v>
      </c>
      <c r="J1545" s="42">
        <f t="shared" si="177"/>
        <v>212.541</v>
      </c>
      <c r="K1545" s="15" t="str">
        <f t="shared" si="173"/>
        <v>PTO-1810|MAT</v>
      </c>
      <c r="L1545" s="15">
        <f>COUNTIFS($K$2:K1545,K1545)</f>
        <v>6</v>
      </c>
      <c r="M1545" s="15" t="str">
        <f t="shared" si="174"/>
        <v>PTO-1810|MAT|6</v>
      </c>
      <c r="N1545" s="47">
        <f>IFERROR(VLOOKUP(A1545,PARTIDAS!A:F,6,FALSE()),0)</f>
        <v>3.25</v>
      </c>
      <c r="O1545" s="247">
        <f t="shared" si="175"/>
        <v>1</v>
      </c>
      <c r="P1545" s="247" t="str">
        <f>+_xlfn.XLOOKUP(A1545,PPTO_GENERADOR!Q:Q,PPTO_GENERADOR!E:E,"-",0)</f>
        <v>-</v>
      </c>
      <c r="Q1545" s="247">
        <f t="shared" si="176"/>
        <v>0</v>
      </c>
      <c r="R1545" s="259" t="str">
        <f>+_xlfn.XLOOKUP(A1545,PPTO_GENERADOR!$Q:$Q,PPTO_GENERADOR!A:A,"-",0)</f>
        <v>-</v>
      </c>
    </row>
    <row r="1546" spans="1:18" ht="14.25" customHeight="1" x14ac:dyDescent="0.35">
      <c r="A1546" s="38" t="s">
        <v>278</v>
      </c>
      <c r="B1546" s="38" t="s">
        <v>2773</v>
      </c>
      <c r="C1546" s="38"/>
      <c r="D1546" s="38" t="s">
        <v>1592</v>
      </c>
      <c r="E1546" s="44" t="str">
        <f>IFERROR(VLOOKUP(D1546,EQUIPOS!A:B,2,FALSE()),"?")</f>
        <v>ANDAMIO TUBULAR DE UNO A TRES CUERPOS</v>
      </c>
      <c r="F1546" s="44"/>
      <c r="G1546" s="45">
        <v>0.5</v>
      </c>
      <c r="H1546" s="46">
        <v>0</v>
      </c>
      <c r="I1546" s="47">
        <f>IFERROR(VLOOKUP(D1546,EQUIPOS!A:F,6,FALSE()),0)</f>
        <v>571.1794909807611</v>
      </c>
      <c r="J1546" s="42">
        <f>G1546*I1546</f>
        <v>285.58974549038055</v>
      </c>
      <c r="K1546" s="15" t="str">
        <f t="shared" si="173"/>
        <v>PTO-1811|EQ</v>
      </c>
      <c r="L1546" s="15">
        <f>COUNTIFS($K$2:K1546,K1546)</f>
        <v>1</v>
      </c>
      <c r="M1546" s="15" t="str">
        <f t="shared" si="174"/>
        <v>PTO-1811|EQ|1</v>
      </c>
      <c r="N1546" s="47">
        <f>IFERROR(VLOOKUP(A1546,PARTIDAS!A:F,6,FALSE()),0)</f>
        <v>5</v>
      </c>
      <c r="O1546" s="247">
        <f t="shared" si="175"/>
        <v>0.5</v>
      </c>
      <c r="P1546" s="247">
        <f>+_xlfn.XLOOKUP(A1546,PPTO_GENERADOR!Q:Q,PPTO_GENERADOR!E:E,"-",0)</f>
        <v>26</v>
      </c>
      <c r="Q1546" s="247">
        <f t="shared" si="176"/>
        <v>13</v>
      </c>
      <c r="R1546" s="259">
        <f>+_xlfn.XLOOKUP(A1546,PPTO_GENERADOR!$Q:$Q,PPTO_GENERADOR!A:A,"-",0)</f>
        <v>18.11</v>
      </c>
    </row>
    <row r="1547" spans="1:18" ht="14.25" customHeight="1" x14ac:dyDescent="0.35">
      <c r="A1547" s="38" t="s">
        <v>278</v>
      </c>
      <c r="B1547" s="38" t="s">
        <v>2773</v>
      </c>
      <c r="C1547" s="38"/>
      <c r="D1547" s="38" t="s">
        <v>1601</v>
      </c>
      <c r="E1547" s="44" t="str">
        <f>IFERROR(VLOOKUP(D1547,EQUIPOS!A:B,2,FALSE()),"?")</f>
        <v>EQUIPO PARA INSTALACION ELECTRICA</v>
      </c>
      <c r="F1547" s="44"/>
      <c r="G1547" s="45">
        <v>1</v>
      </c>
      <c r="H1547" s="46">
        <v>0</v>
      </c>
      <c r="I1547" s="47">
        <f>IFERROR(VLOOKUP(D1547,EQUIPOS!A:F,6,FALSE()),0)</f>
        <v>5063.0947914732405</v>
      </c>
      <c r="J1547" s="42">
        <f>G1547*I1547</f>
        <v>5063.0947914732405</v>
      </c>
      <c r="K1547" s="15" t="str">
        <f t="shared" si="173"/>
        <v>PTO-1811|EQ</v>
      </c>
      <c r="L1547" s="15">
        <f>COUNTIFS($K$2:K1547,K1547)</f>
        <v>2</v>
      </c>
      <c r="M1547" s="15" t="str">
        <f t="shared" si="174"/>
        <v>PTO-1811|EQ|2</v>
      </c>
      <c r="N1547" s="47">
        <f>IFERROR(VLOOKUP(A1547,PARTIDAS!A:F,6,FALSE()),0)</f>
        <v>5</v>
      </c>
      <c r="O1547" s="247">
        <f t="shared" si="175"/>
        <v>1</v>
      </c>
      <c r="P1547" s="247">
        <f>+_xlfn.XLOOKUP(A1547,PPTO_GENERADOR!Q:Q,PPTO_GENERADOR!E:E,"-",0)</f>
        <v>26</v>
      </c>
      <c r="Q1547" s="247">
        <f t="shared" si="176"/>
        <v>26</v>
      </c>
      <c r="R1547" s="259">
        <f>+_xlfn.XLOOKUP(A1547,PPTO_GENERADOR!$Q:$Q,PPTO_GENERADOR!A:A,"-",0)</f>
        <v>18.11</v>
      </c>
    </row>
    <row r="1548" spans="1:18" ht="14.25" customHeight="1" x14ac:dyDescent="0.35">
      <c r="A1548" s="38" t="s">
        <v>278</v>
      </c>
      <c r="B1548" s="38" t="s">
        <v>2773</v>
      </c>
      <c r="C1548" s="38"/>
      <c r="D1548" s="38" t="s">
        <v>1622</v>
      </c>
      <c r="E1548" s="44" t="str">
        <f>IFERROR(VLOOKUP(D1548,EQUIPOS!A:B,2,FALSE()),"?")</f>
        <v>ESCALERA GLOSS ALUMINIO ARTICULADA 4 X 4 ESCALONES HASTA 150KG</v>
      </c>
      <c r="F1548" s="44"/>
      <c r="G1548" s="45">
        <v>0.5</v>
      </c>
      <c r="H1548" s="46">
        <v>0</v>
      </c>
      <c r="I1548" s="47">
        <f>IFERROR(VLOOKUP(D1548,EQUIPOS!A:F,6,FALSE()),0)</f>
        <v>140.19809259430903</v>
      </c>
      <c r="J1548" s="42">
        <f>G1548*I1548</f>
        <v>70.099046297154516</v>
      </c>
      <c r="K1548" s="15" t="str">
        <f t="shared" si="173"/>
        <v>PTO-1811|EQ</v>
      </c>
      <c r="L1548" s="15">
        <f>COUNTIFS($K$2:K1548,K1548)</f>
        <v>3</v>
      </c>
      <c r="M1548" s="15" t="str">
        <f t="shared" si="174"/>
        <v>PTO-1811|EQ|3</v>
      </c>
      <c r="N1548" s="47">
        <f>IFERROR(VLOOKUP(A1548,PARTIDAS!A:F,6,FALSE()),0)</f>
        <v>5</v>
      </c>
      <c r="O1548" s="247">
        <f t="shared" si="175"/>
        <v>0.5</v>
      </c>
      <c r="P1548" s="247">
        <f>+_xlfn.XLOOKUP(A1548,PPTO_GENERADOR!Q:Q,PPTO_GENERADOR!E:E,"-",0)</f>
        <v>26</v>
      </c>
      <c r="Q1548" s="247">
        <f t="shared" si="176"/>
        <v>13</v>
      </c>
      <c r="R1548" s="259">
        <f>+_xlfn.XLOOKUP(A1548,PPTO_GENERADOR!$Q:$Q,PPTO_GENERADOR!A:A,"-",0)</f>
        <v>18.11</v>
      </c>
    </row>
    <row r="1549" spans="1:18" ht="14.25" customHeight="1" x14ac:dyDescent="0.35">
      <c r="A1549" s="38" t="s">
        <v>278</v>
      </c>
      <c r="B1549" s="38" t="s">
        <v>2774</v>
      </c>
      <c r="C1549" s="38" t="s">
        <v>2775</v>
      </c>
      <c r="D1549" s="38" t="s">
        <v>1361</v>
      </c>
      <c r="E1549" s="44" t="str">
        <f>IFERROR(VLOOKUP(D1549,MATERIALES!A:B,2,FALSE()),"?")</f>
        <v>Consumibles</v>
      </c>
      <c r="F1549" s="44" t="str">
        <f>IFERROR(VLOOKUP(D1549,MATERIALES!A:C,3,FALSE()),"?")</f>
        <v>gl</v>
      </c>
      <c r="G1549" s="45">
        <v>2097.90076125</v>
      </c>
      <c r="H1549" s="46">
        <v>0</v>
      </c>
      <c r="I1549" s="47">
        <f>IFERROR(VLOOKUP(D1549,MATERIALES!A:D,4,FALSE()),0)</f>
        <v>1</v>
      </c>
      <c r="J1549" s="42">
        <f t="shared" ref="J1549:J1554" si="178">G1549*I1549*(1+H1549)</f>
        <v>2097.90076125</v>
      </c>
      <c r="K1549" s="15" t="str">
        <f t="shared" si="173"/>
        <v>PTO-1811|MAT</v>
      </c>
      <c r="L1549" s="15">
        <f>COUNTIFS($K$2:K1549,K1549)</f>
        <v>1</v>
      </c>
      <c r="M1549" s="15" t="str">
        <f t="shared" si="174"/>
        <v>PTO-1811|MAT|1</v>
      </c>
      <c r="N1549" s="47">
        <f>IFERROR(VLOOKUP(A1549,PARTIDAS!A:F,6,FALSE()),0)</f>
        <v>5</v>
      </c>
      <c r="O1549" s="247">
        <f t="shared" si="175"/>
        <v>2097.90076125</v>
      </c>
      <c r="P1549" s="247">
        <f>+_xlfn.XLOOKUP(A1549,PPTO_GENERADOR!Q:Q,PPTO_GENERADOR!E:E,"-",0)</f>
        <v>26</v>
      </c>
      <c r="Q1549" s="247">
        <f t="shared" si="176"/>
        <v>54545.419792499997</v>
      </c>
      <c r="R1549" s="259">
        <f>+_xlfn.XLOOKUP(A1549,PPTO_GENERADOR!$Q:$Q,PPTO_GENERADOR!A:A,"-",0)</f>
        <v>18.11</v>
      </c>
    </row>
    <row r="1550" spans="1:18" ht="14.25" customHeight="1" x14ac:dyDescent="0.35">
      <c r="A1550" s="38" t="s">
        <v>278</v>
      </c>
      <c r="B1550" s="38" t="s">
        <v>2774</v>
      </c>
      <c r="C1550" s="38" t="s">
        <v>2775</v>
      </c>
      <c r="D1550" s="38" t="s">
        <v>930</v>
      </c>
      <c r="E1550" s="44" t="str">
        <f>IFERROR(VLOOKUP(D1550,MATERIALES!A:B,2,FALSE()),"?")</f>
        <v>Conector hierro 1"</v>
      </c>
      <c r="F1550" s="44" t="str">
        <f>IFERROR(VLOOKUP(D1550,MATERIALES!A:C,3,FALSE()),"?")</f>
        <v>u</v>
      </c>
      <c r="G1550" s="45">
        <v>4</v>
      </c>
      <c r="H1550" s="46">
        <v>0.1</v>
      </c>
      <c r="I1550" s="47">
        <f>IFERROR(VLOOKUP(D1550,MATERIALES!A:D,4,FALSE()),0)</f>
        <v>351.14</v>
      </c>
      <c r="J1550" s="42">
        <f t="shared" si="178"/>
        <v>1545.0160000000001</v>
      </c>
      <c r="K1550" s="15" t="str">
        <f t="shared" si="173"/>
        <v>PTO-1811|MAT</v>
      </c>
      <c r="L1550" s="15">
        <f>COUNTIFS($K$2:K1550,K1550)</f>
        <v>2</v>
      </c>
      <c r="M1550" s="15" t="str">
        <f t="shared" si="174"/>
        <v>PTO-1811|MAT|2</v>
      </c>
      <c r="N1550" s="47">
        <f>IFERROR(VLOOKUP(A1550,PARTIDAS!A:F,6,FALSE()),0)</f>
        <v>5</v>
      </c>
      <c r="O1550" s="247">
        <f t="shared" si="175"/>
        <v>4</v>
      </c>
      <c r="P1550" s="247">
        <f>+_xlfn.XLOOKUP(A1550,PPTO_GENERADOR!Q:Q,PPTO_GENERADOR!E:E,"-",0)</f>
        <v>26</v>
      </c>
      <c r="Q1550" s="247">
        <f t="shared" si="176"/>
        <v>104</v>
      </c>
      <c r="R1550" s="259">
        <f>+_xlfn.XLOOKUP(A1550,PPTO_GENERADOR!$Q:$Q,PPTO_GENERADOR!A:A,"-",0)</f>
        <v>18.11</v>
      </c>
    </row>
    <row r="1551" spans="1:18" ht="14.25" customHeight="1" x14ac:dyDescent="0.35">
      <c r="A1551" s="38" t="s">
        <v>278</v>
      </c>
      <c r="B1551" s="38" t="s">
        <v>2774</v>
      </c>
      <c r="C1551" s="38" t="s">
        <v>2775</v>
      </c>
      <c r="D1551" s="38" t="s">
        <v>918</v>
      </c>
      <c r="E1551" s="44" t="str">
        <f>IFERROR(VLOOKUP(D1551,MATERIALES!A:B,2,FALSE()),"?")</f>
        <v>Caño rigido 1"</v>
      </c>
      <c r="F1551" s="44" t="str">
        <f>IFERROR(VLOOKUP(D1551,MATERIALES!A:C,3,FALSE()),"?")</f>
        <v>ml</v>
      </c>
      <c r="G1551" s="45">
        <v>7.5</v>
      </c>
      <c r="H1551" s="46">
        <v>0.05</v>
      </c>
      <c r="I1551" s="47">
        <f>IFERROR(VLOOKUP(D1551,MATERIALES!A:D,4,FALSE()),0)</f>
        <v>666.92666666666696</v>
      </c>
      <c r="J1551" s="42">
        <f t="shared" si="178"/>
        <v>5252.0475000000033</v>
      </c>
      <c r="K1551" s="15" t="str">
        <f t="shared" si="173"/>
        <v>PTO-1811|MAT</v>
      </c>
      <c r="L1551" s="15">
        <f>COUNTIFS($K$2:K1551,K1551)</f>
        <v>3</v>
      </c>
      <c r="M1551" s="15" t="str">
        <f t="shared" si="174"/>
        <v>PTO-1811|MAT|3</v>
      </c>
      <c r="N1551" s="47">
        <f>IFERROR(VLOOKUP(A1551,PARTIDAS!A:F,6,FALSE()),0)</f>
        <v>5</v>
      </c>
      <c r="O1551" s="247">
        <f t="shared" si="175"/>
        <v>7.5</v>
      </c>
      <c r="P1551" s="247">
        <f>+_xlfn.XLOOKUP(A1551,PPTO_GENERADOR!Q:Q,PPTO_GENERADOR!E:E,"-",0)</f>
        <v>26</v>
      </c>
      <c r="Q1551" s="247">
        <f t="shared" si="176"/>
        <v>195</v>
      </c>
      <c r="R1551" s="259">
        <f>+_xlfn.XLOOKUP(A1551,PPTO_GENERADOR!$Q:$Q,PPTO_GENERADOR!A:A,"-",0)</f>
        <v>18.11</v>
      </c>
    </row>
    <row r="1552" spans="1:18" ht="14.25" customHeight="1" x14ac:dyDescent="0.35">
      <c r="A1552" s="38" t="s">
        <v>278</v>
      </c>
      <c r="B1552" s="38" t="s">
        <v>2774</v>
      </c>
      <c r="C1552" s="38" t="s">
        <v>2775</v>
      </c>
      <c r="D1552" s="38" t="s">
        <v>937</v>
      </c>
      <c r="E1552" s="44" t="str">
        <f>IFERROR(VLOOKUP(D1552,MATERIALES!A:B,2,FALSE()),"?")</f>
        <v>Cupla PVC 1"</v>
      </c>
      <c r="F1552" s="44" t="str">
        <f>IFERROR(VLOOKUP(D1552,MATERIALES!A:C,3,FALSE()),"?")</f>
        <v>u</v>
      </c>
      <c r="G1552" s="45">
        <v>1.2</v>
      </c>
      <c r="H1552" s="46">
        <v>0.1</v>
      </c>
      <c r="I1552" s="47">
        <f>IFERROR(VLOOKUP(D1552,MATERIALES!A:D,4,FALSE()),0)</f>
        <v>280.10000000000002</v>
      </c>
      <c r="J1552" s="42">
        <f t="shared" si="178"/>
        <v>369.73200000000003</v>
      </c>
      <c r="K1552" s="15" t="str">
        <f t="shared" si="173"/>
        <v>PTO-1811|MAT</v>
      </c>
      <c r="L1552" s="15">
        <f>COUNTIFS($K$2:K1552,K1552)</f>
        <v>4</v>
      </c>
      <c r="M1552" s="15" t="str">
        <f t="shared" si="174"/>
        <v>PTO-1811|MAT|4</v>
      </c>
      <c r="N1552" s="47">
        <f>IFERROR(VLOOKUP(A1552,PARTIDAS!A:F,6,FALSE()),0)</f>
        <v>5</v>
      </c>
      <c r="O1552" s="247">
        <f t="shared" si="175"/>
        <v>1.2</v>
      </c>
      <c r="P1552" s="247">
        <f>+_xlfn.XLOOKUP(A1552,PPTO_GENERADOR!Q:Q,PPTO_GENERADOR!E:E,"-",0)</f>
        <v>26</v>
      </c>
      <c r="Q1552" s="247">
        <f t="shared" si="176"/>
        <v>31.2</v>
      </c>
      <c r="R1552" s="259">
        <f>+_xlfn.XLOOKUP(A1552,PPTO_GENERADOR!$Q:$Q,PPTO_GENERADOR!A:A,"-",0)</f>
        <v>18.11</v>
      </c>
    </row>
    <row r="1553" spans="1:18" ht="14.25" customHeight="1" x14ac:dyDescent="0.35">
      <c r="A1553" s="38" t="s">
        <v>278</v>
      </c>
      <c r="B1553" s="38" t="s">
        <v>2774</v>
      </c>
      <c r="C1553" s="38" t="s">
        <v>2775</v>
      </c>
      <c r="D1553" s="38" t="s">
        <v>939</v>
      </c>
      <c r="E1553" s="44" t="str">
        <f>IFERROR(VLOOKUP(D1553,MATERIALES!A:B,2,FALSE()),"?")</f>
        <v>Cable unipolar 1 x 1,50</v>
      </c>
      <c r="F1553" s="44" t="str">
        <f>IFERROR(VLOOKUP(D1553,MATERIALES!A:C,3,FALSE()),"?")</f>
        <v>ml</v>
      </c>
      <c r="G1553" s="45">
        <v>7.5</v>
      </c>
      <c r="H1553" s="46">
        <v>0.1</v>
      </c>
      <c r="I1553" s="47">
        <f>IFERROR(VLOOKUP(D1553,MATERIALES!A:D,4,FALSE()),0)</f>
        <v>316.44450000000001</v>
      </c>
      <c r="J1553" s="42">
        <f t="shared" si="178"/>
        <v>2610.6671250000004</v>
      </c>
      <c r="K1553" s="15" t="str">
        <f t="shared" si="173"/>
        <v>PTO-1811|MAT</v>
      </c>
      <c r="L1553" s="15">
        <f>COUNTIFS($K$2:K1553,K1553)</f>
        <v>5</v>
      </c>
      <c r="M1553" s="15" t="str">
        <f t="shared" si="174"/>
        <v>PTO-1811|MAT|5</v>
      </c>
      <c r="N1553" s="47">
        <f>IFERROR(VLOOKUP(A1553,PARTIDAS!A:F,6,FALSE()),0)</f>
        <v>5</v>
      </c>
      <c r="O1553" s="247">
        <f t="shared" si="175"/>
        <v>7.5</v>
      </c>
      <c r="P1553" s="247">
        <f>+_xlfn.XLOOKUP(A1553,PPTO_GENERADOR!Q:Q,PPTO_GENERADOR!E:E,"-",0)</f>
        <v>26</v>
      </c>
      <c r="Q1553" s="247">
        <f t="shared" si="176"/>
        <v>195</v>
      </c>
      <c r="R1553" s="259">
        <f>+_xlfn.XLOOKUP(A1553,PPTO_GENERADOR!$Q:$Q,PPTO_GENERADOR!A:A,"-",0)</f>
        <v>18.11</v>
      </c>
    </row>
    <row r="1554" spans="1:18" ht="14.25" customHeight="1" x14ac:dyDescent="0.35">
      <c r="A1554" s="38" t="s">
        <v>278</v>
      </c>
      <c r="B1554" s="38" t="s">
        <v>2774</v>
      </c>
      <c r="C1554" s="38" t="s">
        <v>2775</v>
      </c>
      <c r="D1554" s="38" t="s">
        <v>951</v>
      </c>
      <c r="E1554" s="44" t="str">
        <f>IFERROR(VLOOKUP(D1554,MATERIALES!A:B,2,FALSE()),"?")</f>
        <v>Caja rectangular chica</v>
      </c>
      <c r="F1554" s="44" t="str">
        <f>IFERROR(VLOOKUP(D1554,MATERIALES!A:C,3,FALSE()),"?")</f>
        <v>u</v>
      </c>
      <c r="G1554" s="45">
        <v>1</v>
      </c>
      <c r="H1554" s="46">
        <v>0.05</v>
      </c>
      <c r="I1554" s="47">
        <f>IFERROR(VLOOKUP(D1554,MATERIALES!A:D,4,FALSE()),0)</f>
        <v>202.42</v>
      </c>
      <c r="J1554" s="42">
        <f t="shared" si="178"/>
        <v>212.541</v>
      </c>
      <c r="K1554" s="15" t="str">
        <f t="shared" si="173"/>
        <v>PTO-1811|MAT</v>
      </c>
      <c r="L1554" s="15">
        <f>COUNTIFS($K$2:K1554,K1554)</f>
        <v>6</v>
      </c>
      <c r="M1554" s="15" t="str">
        <f t="shared" si="174"/>
        <v>PTO-1811|MAT|6</v>
      </c>
      <c r="N1554" s="47">
        <f>IFERROR(VLOOKUP(A1554,PARTIDAS!A:F,6,FALSE()),0)</f>
        <v>5</v>
      </c>
      <c r="O1554" s="247">
        <f t="shared" si="175"/>
        <v>1</v>
      </c>
      <c r="P1554" s="247">
        <f>+_xlfn.XLOOKUP(A1554,PPTO_GENERADOR!Q:Q,PPTO_GENERADOR!E:E,"-",0)</f>
        <v>26</v>
      </c>
      <c r="Q1554" s="247">
        <f t="shared" si="176"/>
        <v>26</v>
      </c>
      <c r="R1554" s="259">
        <f>+_xlfn.XLOOKUP(A1554,PPTO_GENERADOR!$Q:$Q,PPTO_GENERADOR!A:A,"-",0)</f>
        <v>18.11</v>
      </c>
    </row>
    <row r="1555" spans="1:18" ht="14.25" customHeight="1" x14ac:dyDescent="0.35">
      <c r="A1555" s="38" t="s">
        <v>2747</v>
      </c>
      <c r="B1555" s="38" t="s">
        <v>2773</v>
      </c>
      <c r="C1555" s="38"/>
      <c r="D1555" s="38" t="s">
        <v>1592</v>
      </c>
      <c r="E1555" s="44" t="str">
        <f>IFERROR(VLOOKUP(D1555,EQUIPOS!A:B,2,FALSE()),"?")</f>
        <v>ANDAMIO TUBULAR DE UNO A TRES CUERPOS</v>
      </c>
      <c r="F1555" s="44"/>
      <c r="G1555" s="45">
        <v>0.5</v>
      </c>
      <c r="H1555" s="46">
        <v>0</v>
      </c>
      <c r="I1555" s="47">
        <f>IFERROR(VLOOKUP(D1555,EQUIPOS!A:F,6,FALSE()),0)</f>
        <v>571.1794909807611</v>
      </c>
      <c r="J1555" s="42">
        <f>G1555*I1555</f>
        <v>285.58974549038055</v>
      </c>
      <c r="K1555" s="15" t="str">
        <f t="shared" si="173"/>
        <v>PTO-1812|EQ</v>
      </c>
      <c r="L1555" s="15">
        <f>COUNTIFS($K$2:K1555,K1555)</f>
        <v>1</v>
      </c>
      <c r="M1555" s="15" t="str">
        <f t="shared" si="174"/>
        <v>PTO-1812|EQ|1</v>
      </c>
      <c r="N1555" s="47">
        <f>IFERROR(VLOOKUP(A1555,PARTIDAS!A:F,6,FALSE()),0)</f>
        <v>5</v>
      </c>
      <c r="O1555" s="247">
        <f t="shared" si="175"/>
        <v>0.5</v>
      </c>
      <c r="P1555" s="247" t="str">
        <f>+_xlfn.XLOOKUP(A1555,PPTO_GENERADOR!Q:Q,PPTO_GENERADOR!E:E,"-",0)</f>
        <v>-</v>
      </c>
      <c r="Q1555" s="247">
        <f t="shared" si="176"/>
        <v>0</v>
      </c>
      <c r="R1555" s="259" t="str">
        <f>+_xlfn.XLOOKUP(A1555,PPTO_GENERADOR!$Q:$Q,PPTO_GENERADOR!A:A,"-",0)</f>
        <v>-</v>
      </c>
    </row>
    <row r="1556" spans="1:18" ht="14.25" customHeight="1" x14ac:dyDescent="0.35">
      <c r="A1556" s="38" t="s">
        <v>2747</v>
      </c>
      <c r="B1556" s="38" t="s">
        <v>2773</v>
      </c>
      <c r="C1556" s="38"/>
      <c r="D1556" s="38" t="s">
        <v>1601</v>
      </c>
      <c r="E1556" s="44" t="str">
        <f>IFERROR(VLOOKUP(D1556,EQUIPOS!A:B,2,FALSE()),"?")</f>
        <v>EQUIPO PARA INSTALACION ELECTRICA</v>
      </c>
      <c r="F1556" s="44"/>
      <c r="G1556" s="45">
        <v>1</v>
      </c>
      <c r="H1556" s="46">
        <v>0</v>
      </c>
      <c r="I1556" s="47">
        <f>IFERROR(VLOOKUP(D1556,EQUIPOS!A:F,6,FALSE()),0)</f>
        <v>5063.0947914732405</v>
      </c>
      <c r="J1556" s="42">
        <f>G1556*I1556</f>
        <v>5063.0947914732405</v>
      </c>
      <c r="K1556" s="15" t="str">
        <f t="shared" si="173"/>
        <v>PTO-1812|EQ</v>
      </c>
      <c r="L1556" s="15">
        <f>COUNTIFS($K$2:K1556,K1556)</f>
        <v>2</v>
      </c>
      <c r="M1556" s="15" t="str">
        <f t="shared" si="174"/>
        <v>PTO-1812|EQ|2</v>
      </c>
      <c r="N1556" s="47">
        <f>IFERROR(VLOOKUP(A1556,PARTIDAS!A:F,6,FALSE()),0)</f>
        <v>5</v>
      </c>
      <c r="O1556" s="247">
        <f t="shared" si="175"/>
        <v>1</v>
      </c>
      <c r="P1556" s="247" t="str">
        <f>+_xlfn.XLOOKUP(A1556,PPTO_GENERADOR!Q:Q,PPTO_GENERADOR!E:E,"-",0)</f>
        <v>-</v>
      </c>
      <c r="Q1556" s="247">
        <f t="shared" si="176"/>
        <v>0</v>
      </c>
      <c r="R1556" s="259" t="str">
        <f>+_xlfn.XLOOKUP(A1556,PPTO_GENERADOR!$Q:$Q,PPTO_GENERADOR!A:A,"-",0)</f>
        <v>-</v>
      </c>
    </row>
    <row r="1557" spans="1:18" ht="14.25" customHeight="1" x14ac:dyDescent="0.35">
      <c r="A1557" s="38" t="s">
        <v>2747</v>
      </c>
      <c r="B1557" s="38" t="s">
        <v>2773</v>
      </c>
      <c r="C1557" s="38"/>
      <c r="D1557" s="38" t="s">
        <v>1622</v>
      </c>
      <c r="E1557" s="44" t="str">
        <f>IFERROR(VLOOKUP(D1557,EQUIPOS!A:B,2,FALSE()),"?")</f>
        <v>ESCALERA GLOSS ALUMINIO ARTICULADA 4 X 4 ESCALONES HASTA 150KG</v>
      </c>
      <c r="F1557" s="44"/>
      <c r="G1557" s="45">
        <v>0.5</v>
      </c>
      <c r="H1557" s="46">
        <v>0</v>
      </c>
      <c r="I1557" s="47">
        <f>IFERROR(VLOOKUP(D1557,EQUIPOS!A:F,6,FALSE()),0)</f>
        <v>140.19809259430903</v>
      </c>
      <c r="J1557" s="42">
        <f>G1557*I1557</f>
        <v>70.099046297154516</v>
      </c>
      <c r="K1557" s="15" t="str">
        <f t="shared" si="173"/>
        <v>PTO-1812|EQ</v>
      </c>
      <c r="L1557" s="15">
        <f>COUNTIFS($K$2:K1557,K1557)</f>
        <v>3</v>
      </c>
      <c r="M1557" s="15" t="str">
        <f t="shared" si="174"/>
        <v>PTO-1812|EQ|3</v>
      </c>
      <c r="N1557" s="47">
        <f>IFERROR(VLOOKUP(A1557,PARTIDAS!A:F,6,FALSE()),0)</f>
        <v>5</v>
      </c>
      <c r="O1557" s="247">
        <f t="shared" si="175"/>
        <v>0.5</v>
      </c>
      <c r="P1557" s="247" t="str">
        <f>+_xlfn.XLOOKUP(A1557,PPTO_GENERADOR!Q:Q,PPTO_GENERADOR!E:E,"-",0)</f>
        <v>-</v>
      </c>
      <c r="Q1557" s="247">
        <f t="shared" si="176"/>
        <v>0</v>
      </c>
      <c r="R1557" s="259" t="str">
        <f>+_xlfn.XLOOKUP(A1557,PPTO_GENERADOR!$Q:$Q,PPTO_GENERADOR!A:A,"-",0)</f>
        <v>-</v>
      </c>
    </row>
    <row r="1558" spans="1:18" ht="14.25" customHeight="1" x14ac:dyDescent="0.35">
      <c r="A1558" s="38" t="s">
        <v>2747</v>
      </c>
      <c r="B1558" s="38" t="s">
        <v>2774</v>
      </c>
      <c r="C1558" s="38" t="s">
        <v>2775</v>
      </c>
      <c r="D1558" s="38" t="s">
        <v>930</v>
      </c>
      <c r="E1558" s="44" t="str">
        <f>IFERROR(VLOOKUP(D1558,MATERIALES!A:B,2,FALSE()),"?")</f>
        <v>Conector hierro 1"</v>
      </c>
      <c r="F1558" s="44" t="str">
        <f>IFERROR(VLOOKUP(D1558,MATERIALES!A:C,3,FALSE()),"?")</f>
        <v>u</v>
      </c>
      <c r="G1558" s="45">
        <v>3</v>
      </c>
      <c r="H1558" s="46">
        <v>0.1</v>
      </c>
      <c r="I1558" s="47">
        <f>IFERROR(VLOOKUP(D1558,MATERIALES!A:D,4,FALSE()),0)</f>
        <v>351.14</v>
      </c>
      <c r="J1558" s="42">
        <f>G1558*I1558*(1+H1558)</f>
        <v>1158.7620000000002</v>
      </c>
      <c r="K1558" s="15" t="str">
        <f t="shared" si="173"/>
        <v>PTO-1812|MAT</v>
      </c>
      <c r="L1558" s="15">
        <f>COUNTIFS($K$2:K1558,K1558)</f>
        <v>1</v>
      </c>
      <c r="M1558" s="15" t="str">
        <f t="shared" si="174"/>
        <v>PTO-1812|MAT|1</v>
      </c>
      <c r="N1558" s="47">
        <f>IFERROR(VLOOKUP(A1558,PARTIDAS!A:F,6,FALSE()),0)</f>
        <v>5</v>
      </c>
      <c r="O1558" s="247">
        <f t="shared" si="175"/>
        <v>3</v>
      </c>
      <c r="P1558" s="247" t="str">
        <f>+_xlfn.XLOOKUP(A1558,PPTO_GENERADOR!Q:Q,PPTO_GENERADOR!E:E,"-",0)</f>
        <v>-</v>
      </c>
      <c r="Q1558" s="247">
        <f t="shared" si="176"/>
        <v>0</v>
      </c>
      <c r="R1558" s="259" t="str">
        <f>+_xlfn.XLOOKUP(A1558,PPTO_GENERADOR!$Q:$Q,PPTO_GENERADOR!A:A,"-",0)</f>
        <v>-</v>
      </c>
    </row>
    <row r="1559" spans="1:18" ht="14.25" customHeight="1" x14ac:dyDescent="0.35">
      <c r="A1559" s="38" t="s">
        <v>2747</v>
      </c>
      <c r="B1559" s="38" t="s">
        <v>2774</v>
      </c>
      <c r="C1559" s="38" t="s">
        <v>2775</v>
      </c>
      <c r="D1559" s="38" t="s">
        <v>918</v>
      </c>
      <c r="E1559" s="44" t="str">
        <f>IFERROR(VLOOKUP(D1559,MATERIALES!A:B,2,FALSE()),"?")</f>
        <v>Caño rigido 1"</v>
      </c>
      <c r="F1559" s="44" t="str">
        <f>IFERROR(VLOOKUP(D1559,MATERIALES!A:C,3,FALSE()),"?")</f>
        <v>ml</v>
      </c>
      <c r="G1559" s="45">
        <v>7.5</v>
      </c>
      <c r="H1559" s="46">
        <v>0.1</v>
      </c>
      <c r="I1559" s="47">
        <f>IFERROR(VLOOKUP(D1559,MATERIALES!A:D,4,FALSE()),0)</f>
        <v>666.92666666666696</v>
      </c>
      <c r="J1559" s="42">
        <f>G1559*I1559*(1+H1559)</f>
        <v>5502.1450000000032</v>
      </c>
      <c r="K1559" s="15" t="str">
        <f t="shared" si="173"/>
        <v>PTO-1812|MAT</v>
      </c>
      <c r="L1559" s="15">
        <f>COUNTIFS($K$2:K1559,K1559)</f>
        <v>2</v>
      </c>
      <c r="M1559" s="15" t="str">
        <f t="shared" si="174"/>
        <v>PTO-1812|MAT|2</v>
      </c>
      <c r="N1559" s="47">
        <f>IFERROR(VLOOKUP(A1559,PARTIDAS!A:F,6,FALSE()),0)</f>
        <v>5</v>
      </c>
      <c r="O1559" s="247">
        <f t="shared" si="175"/>
        <v>7.5</v>
      </c>
      <c r="P1559" s="247" t="str">
        <f>+_xlfn.XLOOKUP(A1559,PPTO_GENERADOR!Q:Q,PPTO_GENERADOR!E:E,"-",0)</f>
        <v>-</v>
      </c>
      <c r="Q1559" s="247">
        <f t="shared" si="176"/>
        <v>0</v>
      </c>
      <c r="R1559" s="259" t="str">
        <f>+_xlfn.XLOOKUP(A1559,PPTO_GENERADOR!$Q:$Q,PPTO_GENERADOR!A:A,"-",0)</f>
        <v>-</v>
      </c>
    </row>
    <row r="1560" spans="1:18" ht="14.25" customHeight="1" x14ac:dyDescent="0.35">
      <c r="A1560" s="38" t="s">
        <v>2747</v>
      </c>
      <c r="B1560" s="38" t="s">
        <v>2774</v>
      </c>
      <c r="C1560" s="38" t="s">
        <v>2775</v>
      </c>
      <c r="D1560" s="38" t="s">
        <v>937</v>
      </c>
      <c r="E1560" s="44" t="str">
        <f>IFERROR(VLOOKUP(D1560,MATERIALES!A:B,2,FALSE()),"?")</f>
        <v>Cupla PVC 1"</v>
      </c>
      <c r="F1560" s="44" t="str">
        <f>IFERROR(VLOOKUP(D1560,MATERIALES!A:C,3,FALSE()),"?")</f>
        <v>u</v>
      </c>
      <c r="G1560" s="45">
        <v>3</v>
      </c>
      <c r="H1560" s="46">
        <v>0.1</v>
      </c>
      <c r="I1560" s="47">
        <f>IFERROR(VLOOKUP(D1560,MATERIALES!A:D,4,FALSE()),0)</f>
        <v>280.10000000000002</v>
      </c>
      <c r="J1560" s="42">
        <f>G1560*I1560*(1+H1560)</f>
        <v>924.33000000000015</v>
      </c>
      <c r="K1560" s="15" t="str">
        <f t="shared" si="173"/>
        <v>PTO-1812|MAT</v>
      </c>
      <c r="L1560" s="15">
        <f>COUNTIFS($K$2:K1560,K1560)</f>
        <v>3</v>
      </c>
      <c r="M1560" s="15" t="str">
        <f t="shared" si="174"/>
        <v>PTO-1812|MAT|3</v>
      </c>
      <c r="N1560" s="47">
        <f>IFERROR(VLOOKUP(A1560,PARTIDAS!A:F,6,FALSE()),0)</f>
        <v>5</v>
      </c>
      <c r="O1560" s="247">
        <f t="shared" si="175"/>
        <v>3</v>
      </c>
      <c r="P1560" s="247" t="str">
        <f>+_xlfn.XLOOKUP(A1560,PPTO_GENERADOR!Q:Q,PPTO_GENERADOR!E:E,"-",0)</f>
        <v>-</v>
      </c>
      <c r="Q1560" s="247">
        <f t="shared" si="176"/>
        <v>0</v>
      </c>
      <c r="R1560" s="259" t="str">
        <f>+_xlfn.XLOOKUP(A1560,PPTO_GENERADOR!$Q:$Q,PPTO_GENERADOR!A:A,"-",0)</f>
        <v>-</v>
      </c>
    </row>
    <row r="1561" spans="1:18" ht="14.25" customHeight="1" x14ac:dyDescent="0.35">
      <c r="A1561" s="38" t="s">
        <v>2747</v>
      </c>
      <c r="B1561" s="38" t="s">
        <v>2774</v>
      </c>
      <c r="C1561" s="38" t="s">
        <v>2775</v>
      </c>
      <c r="D1561" s="38" t="s">
        <v>945</v>
      </c>
      <c r="E1561" s="44" t="str">
        <f>IFERROR(VLOOKUP(D1561,MATERIALES!A:B,2,FALSE()),"?")</f>
        <v>Cable unipolar 1 x 4,00</v>
      </c>
      <c r="F1561" s="44" t="str">
        <f>IFERROR(VLOOKUP(D1561,MATERIALES!A:C,3,FALSE()),"?")</f>
        <v>ml</v>
      </c>
      <c r="G1561" s="45">
        <v>22.5</v>
      </c>
      <c r="H1561" s="46">
        <v>0.1</v>
      </c>
      <c r="I1561" s="47">
        <f>IFERROR(VLOOKUP(D1561,MATERIALES!A:D,4,FALSE()),0)</f>
        <v>834.6</v>
      </c>
      <c r="J1561" s="42">
        <f>G1561*I1561*(1+H1561)</f>
        <v>20656.350000000002</v>
      </c>
      <c r="K1561" s="15" t="str">
        <f t="shared" si="173"/>
        <v>PTO-1812|MAT</v>
      </c>
      <c r="L1561" s="15">
        <f>COUNTIFS($K$2:K1561,K1561)</f>
        <v>4</v>
      </c>
      <c r="M1561" s="15" t="str">
        <f t="shared" si="174"/>
        <v>PTO-1812|MAT|4</v>
      </c>
      <c r="N1561" s="47">
        <f>IFERROR(VLOOKUP(A1561,PARTIDAS!A:F,6,FALSE()),0)</f>
        <v>5</v>
      </c>
      <c r="O1561" s="247">
        <f t="shared" si="175"/>
        <v>22.5</v>
      </c>
      <c r="P1561" s="247" t="str">
        <f>+_xlfn.XLOOKUP(A1561,PPTO_GENERADOR!Q:Q,PPTO_GENERADOR!E:E,"-",0)</f>
        <v>-</v>
      </c>
      <c r="Q1561" s="247">
        <f t="shared" si="176"/>
        <v>0</v>
      </c>
      <c r="R1561" s="259" t="str">
        <f>+_xlfn.XLOOKUP(A1561,PPTO_GENERADOR!$Q:$Q,PPTO_GENERADOR!A:A,"-",0)</f>
        <v>-</v>
      </c>
    </row>
    <row r="1562" spans="1:18" ht="14.25" customHeight="1" x14ac:dyDescent="0.35">
      <c r="A1562" s="38" t="s">
        <v>2747</v>
      </c>
      <c r="B1562" s="38" t="s">
        <v>2774</v>
      </c>
      <c r="C1562" s="38" t="s">
        <v>2775</v>
      </c>
      <c r="D1562" s="38" t="s">
        <v>951</v>
      </c>
      <c r="E1562" s="44" t="str">
        <f>IFERROR(VLOOKUP(D1562,MATERIALES!A:B,2,FALSE()),"?")</f>
        <v>Caja rectangular chica</v>
      </c>
      <c r="F1562" s="44" t="str">
        <f>IFERROR(VLOOKUP(D1562,MATERIALES!A:C,3,FALSE()),"?")</f>
        <v>u</v>
      </c>
      <c r="G1562" s="45">
        <v>1</v>
      </c>
      <c r="H1562" s="46">
        <v>0.05</v>
      </c>
      <c r="I1562" s="47">
        <f>IFERROR(VLOOKUP(D1562,MATERIALES!A:D,4,FALSE()),0)</f>
        <v>202.42</v>
      </c>
      <c r="J1562" s="42">
        <f>G1562*I1562*(1+H1562)</f>
        <v>212.541</v>
      </c>
      <c r="K1562" s="15" t="str">
        <f t="shared" si="173"/>
        <v>PTO-1812|MAT</v>
      </c>
      <c r="L1562" s="15">
        <f>COUNTIFS($K$2:K1562,K1562)</f>
        <v>5</v>
      </c>
      <c r="M1562" s="15" t="str">
        <f t="shared" si="174"/>
        <v>PTO-1812|MAT|5</v>
      </c>
      <c r="N1562" s="47">
        <f>IFERROR(VLOOKUP(A1562,PARTIDAS!A:F,6,FALSE()),0)</f>
        <v>5</v>
      </c>
      <c r="O1562" s="247">
        <f t="shared" si="175"/>
        <v>1</v>
      </c>
      <c r="P1562" s="247" t="str">
        <f>+_xlfn.XLOOKUP(A1562,PPTO_GENERADOR!Q:Q,PPTO_GENERADOR!E:E,"-",0)</f>
        <v>-</v>
      </c>
      <c r="Q1562" s="247">
        <f t="shared" si="176"/>
        <v>0</v>
      </c>
      <c r="R1562" s="259" t="str">
        <f>+_xlfn.XLOOKUP(A1562,PPTO_GENERADOR!$Q:$Q,PPTO_GENERADOR!A:A,"-",0)</f>
        <v>-</v>
      </c>
    </row>
    <row r="1563" spans="1:18" ht="14.25" customHeight="1" x14ac:dyDescent="0.35">
      <c r="A1563" s="38" t="s">
        <v>2749</v>
      </c>
      <c r="B1563" s="38" t="s">
        <v>2773</v>
      </c>
      <c r="C1563" s="38"/>
      <c r="D1563" s="38" t="s">
        <v>1592</v>
      </c>
      <c r="E1563" s="44" t="str">
        <f>IFERROR(VLOOKUP(D1563,EQUIPOS!A:B,2,FALSE()),"?")</f>
        <v>ANDAMIO TUBULAR DE UNO A TRES CUERPOS</v>
      </c>
      <c r="F1563" s="44"/>
      <c r="G1563" s="45">
        <v>0.5</v>
      </c>
      <c r="H1563" s="46">
        <v>0</v>
      </c>
      <c r="I1563" s="47">
        <f>IFERROR(VLOOKUP(D1563,EQUIPOS!A:F,6,FALSE()),0)</f>
        <v>571.1794909807611</v>
      </c>
      <c r="J1563" s="42">
        <f>G1563*I1563</f>
        <v>285.58974549038055</v>
      </c>
      <c r="K1563" s="15" t="str">
        <f t="shared" si="173"/>
        <v>PTO-1813|EQ</v>
      </c>
      <c r="L1563" s="15">
        <f>COUNTIFS($K$2:K1563,K1563)</f>
        <v>1</v>
      </c>
      <c r="M1563" s="15" t="str">
        <f t="shared" si="174"/>
        <v>PTO-1813|EQ|1</v>
      </c>
      <c r="N1563" s="47">
        <f>IFERROR(VLOOKUP(A1563,PARTIDAS!A:F,6,FALSE()),0)</f>
        <v>5</v>
      </c>
      <c r="O1563" s="247">
        <f t="shared" si="175"/>
        <v>0.5</v>
      </c>
      <c r="P1563" s="247" t="str">
        <f>+_xlfn.XLOOKUP(A1563,PPTO_GENERADOR!Q:Q,PPTO_GENERADOR!E:E,"-",0)</f>
        <v>-</v>
      </c>
      <c r="Q1563" s="247">
        <f t="shared" si="176"/>
        <v>0</v>
      </c>
      <c r="R1563" s="259" t="str">
        <f>+_xlfn.XLOOKUP(A1563,PPTO_GENERADOR!$Q:$Q,PPTO_GENERADOR!A:A,"-",0)</f>
        <v>-</v>
      </c>
    </row>
    <row r="1564" spans="1:18" ht="14.25" customHeight="1" x14ac:dyDescent="0.35">
      <c r="A1564" s="38" t="s">
        <v>2749</v>
      </c>
      <c r="B1564" s="38" t="s">
        <v>2773</v>
      </c>
      <c r="C1564" s="38"/>
      <c r="D1564" s="38" t="s">
        <v>1601</v>
      </c>
      <c r="E1564" s="44" t="str">
        <f>IFERROR(VLOOKUP(D1564,EQUIPOS!A:B,2,FALSE()),"?")</f>
        <v>EQUIPO PARA INSTALACION ELECTRICA</v>
      </c>
      <c r="F1564" s="44"/>
      <c r="G1564" s="45">
        <v>1</v>
      </c>
      <c r="H1564" s="46">
        <v>0</v>
      </c>
      <c r="I1564" s="47">
        <f>IFERROR(VLOOKUP(D1564,EQUIPOS!A:F,6,FALSE()),0)</f>
        <v>5063.0947914732405</v>
      </c>
      <c r="J1564" s="42">
        <f>G1564*I1564</f>
        <v>5063.0947914732405</v>
      </c>
      <c r="K1564" s="15" t="str">
        <f t="shared" si="173"/>
        <v>PTO-1813|EQ</v>
      </c>
      <c r="L1564" s="15">
        <f>COUNTIFS($K$2:K1564,K1564)</f>
        <v>2</v>
      </c>
      <c r="M1564" s="15" t="str">
        <f t="shared" si="174"/>
        <v>PTO-1813|EQ|2</v>
      </c>
      <c r="N1564" s="47">
        <f>IFERROR(VLOOKUP(A1564,PARTIDAS!A:F,6,FALSE()),0)</f>
        <v>5</v>
      </c>
      <c r="O1564" s="247">
        <f t="shared" si="175"/>
        <v>1</v>
      </c>
      <c r="P1564" s="247" t="str">
        <f>+_xlfn.XLOOKUP(A1564,PPTO_GENERADOR!Q:Q,PPTO_GENERADOR!E:E,"-",0)</f>
        <v>-</v>
      </c>
      <c r="Q1564" s="247">
        <f t="shared" si="176"/>
        <v>0</v>
      </c>
      <c r="R1564" s="259" t="str">
        <f>+_xlfn.XLOOKUP(A1564,PPTO_GENERADOR!$Q:$Q,PPTO_GENERADOR!A:A,"-",0)</f>
        <v>-</v>
      </c>
    </row>
    <row r="1565" spans="1:18" ht="14.25" customHeight="1" x14ac:dyDescent="0.35">
      <c r="A1565" s="38" t="s">
        <v>2749</v>
      </c>
      <c r="B1565" s="38" t="s">
        <v>2773</v>
      </c>
      <c r="C1565" s="38"/>
      <c r="D1565" s="38" t="s">
        <v>1622</v>
      </c>
      <c r="E1565" s="44" t="str">
        <f>IFERROR(VLOOKUP(D1565,EQUIPOS!A:B,2,FALSE()),"?")</f>
        <v>ESCALERA GLOSS ALUMINIO ARTICULADA 4 X 4 ESCALONES HASTA 150KG</v>
      </c>
      <c r="F1565" s="44"/>
      <c r="G1565" s="45">
        <v>0.5</v>
      </c>
      <c r="H1565" s="46">
        <v>0</v>
      </c>
      <c r="I1565" s="47">
        <f>IFERROR(VLOOKUP(D1565,EQUIPOS!A:F,6,FALSE()),0)</f>
        <v>140.19809259430903</v>
      </c>
      <c r="J1565" s="42">
        <f>G1565*I1565</f>
        <v>70.099046297154516</v>
      </c>
      <c r="K1565" s="15" t="str">
        <f t="shared" si="173"/>
        <v>PTO-1813|EQ</v>
      </c>
      <c r="L1565" s="15">
        <f>COUNTIFS($K$2:K1565,K1565)</f>
        <v>3</v>
      </c>
      <c r="M1565" s="15" t="str">
        <f t="shared" si="174"/>
        <v>PTO-1813|EQ|3</v>
      </c>
      <c r="N1565" s="47">
        <f>IFERROR(VLOOKUP(A1565,PARTIDAS!A:F,6,FALSE()),0)</f>
        <v>5</v>
      </c>
      <c r="O1565" s="247">
        <f t="shared" si="175"/>
        <v>0.5</v>
      </c>
      <c r="P1565" s="247" t="str">
        <f>+_xlfn.XLOOKUP(A1565,PPTO_GENERADOR!Q:Q,PPTO_GENERADOR!E:E,"-",0)</f>
        <v>-</v>
      </c>
      <c r="Q1565" s="247">
        <f t="shared" si="176"/>
        <v>0</v>
      </c>
      <c r="R1565" s="259" t="str">
        <f>+_xlfn.XLOOKUP(A1565,PPTO_GENERADOR!$Q:$Q,PPTO_GENERADOR!A:A,"-",0)</f>
        <v>-</v>
      </c>
    </row>
    <row r="1566" spans="1:18" ht="14.25" customHeight="1" x14ac:dyDescent="0.35">
      <c r="A1566" s="38" t="s">
        <v>2749</v>
      </c>
      <c r="B1566" s="38" t="s">
        <v>2774</v>
      </c>
      <c r="C1566" s="38" t="s">
        <v>2775</v>
      </c>
      <c r="D1566" s="38" t="s">
        <v>930</v>
      </c>
      <c r="E1566" s="44" t="str">
        <f>IFERROR(VLOOKUP(D1566,MATERIALES!A:B,2,FALSE()),"?")</f>
        <v>Conector hierro 1"</v>
      </c>
      <c r="F1566" s="44" t="str">
        <f>IFERROR(VLOOKUP(D1566,MATERIALES!A:C,3,FALSE()),"?")</f>
        <v>u</v>
      </c>
      <c r="G1566" s="45">
        <v>3</v>
      </c>
      <c r="H1566" s="46">
        <v>0.1</v>
      </c>
      <c r="I1566" s="47">
        <f>IFERROR(VLOOKUP(D1566,MATERIALES!A:D,4,FALSE()),0)</f>
        <v>351.14</v>
      </c>
      <c r="J1566" s="42">
        <f>G1566*I1566*(1+H1566)</f>
        <v>1158.7620000000002</v>
      </c>
      <c r="K1566" s="15" t="str">
        <f t="shared" si="173"/>
        <v>PTO-1813|MAT</v>
      </c>
      <c r="L1566" s="15">
        <f>COUNTIFS($K$2:K1566,K1566)</f>
        <v>1</v>
      </c>
      <c r="M1566" s="15" t="str">
        <f t="shared" si="174"/>
        <v>PTO-1813|MAT|1</v>
      </c>
      <c r="N1566" s="47">
        <f>IFERROR(VLOOKUP(A1566,PARTIDAS!A:F,6,FALSE()),0)</f>
        <v>5</v>
      </c>
      <c r="O1566" s="247">
        <f t="shared" si="175"/>
        <v>3</v>
      </c>
      <c r="P1566" s="247" t="str">
        <f>+_xlfn.XLOOKUP(A1566,PPTO_GENERADOR!Q:Q,PPTO_GENERADOR!E:E,"-",0)</f>
        <v>-</v>
      </c>
      <c r="Q1566" s="247">
        <f t="shared" si="176"/>
        <v>0</v>
      </c>
      <c r="R1566" s="259" t="str">
        <f>+_xlfn.XLOOKUP(A1566,PPTO_GENERADOR!$Q:$Q,PPTO_GENERADOR!A:A,"-",0)</f>
        <v>-</v>
      </c>
    </row>
    <row r="1567" spans="1:18" ht="14.25" customHeight="1" x14ac:dyDescent="0.35">
      <c r="A1567" s="38" t="s">
        <v>2749</v>
      </c>
      <c r="B1567" s="38" t="s">
        <v>2774</v>
      </c>
      <c r="C1567" s="38" t="s">
        <v>2775</v>
      </c>
      <c r="D1567" s="38" t="s">
        <v>918</v>
      </c>
      <c r="E1567" s="44" t="str">
        <f>IFERROR(VLOOKUP(D1567,MATERIALES!A:B,2,FALSE()),"?")</f>
        <v>Caño rigido 1"</v>
      </c>
      <c r="F1567" s="44" t="str">
        <f>IFERROR(VLOOKUP(D1567,MATERIALES!A:C,3,FALSE()),"?")</f>
        <v>ml</v>
      </c>
      <c r="G1567" s="45">
        <v>7.5</v>
      </c>
      <c r="H1567" s="46">
        <v>0.1</v>
      </c>
      <c r="I1567" s="47">
        <f>IFERROR(VLOOKUP(D1567,MATERIALES!A:D,4,FALSE()),0)</f>
        <v>666.92666666666696</v>
      </c>
      <c r="J1567" s="42">
        <f>G1567*I1567*(1+H1567)</f>
        <v>5502.1450000000032</v>
      </c>
      <c r="K1567" s="15" t="str">
        <f t="shared" si="173"/>
        <v>PTO-1813|MAT</v>
      </c>
      <c r="L1567" s="15">
        <f>COUNTIFS($K$2:K1567,K1567)</f>
        <v>2</v>
      </c>
      <c r="M1567" s="15" t="str">
        <f t="shared" si="174"/>
        <v>PTO-1813|MAT|2</v>
      </c>
      <c r="N1567" s="47">
        <f>IFERROR(VLOOKUP(A1567,PARTIDAS!A:F,6,FALSE()),0)</f>
        <v>5</v>
      </c>
      <c r="O1567" s="247">
        <f t="shared" si="175"/>
        <v>7.5</v>
      </c>
      <c r="P1567" s="247" t="str">
        <f>+_xlfn.XLOOKUP(A1567,PPTO_GENERADOR!Q:Q,PPTO_GENERADOR!E:E,"-",0)</f>
        <v>-</v>
      </c>
      <c r="Q1567" s="247">
        <f t="shared" si="176"/>
        <v>0</v>
      </c>
      <c r="R1567" s="259" t="str">
        <f>+_xlfn.XLOOKUP(A1567,PPTO_GENERADOR!$Q:$Q,PPTO_GENERADOR!A:A,"-",0)</f>
        <v>-</v>
      </c>
    </row>
    <row r="1568" spans="1:18" ht="14.25" customHeight="1" x14ac:dyDescent="0.35">
      <c r="A1568" s="38" t="s">
        <v>2749</v>
      </c>
      <c r="B1568" s="38" t="s">
        <v>2774</v>
      </c>
      <c r="C1568" s="38" t="s">
        <v>2775</v>
      </c>
      <c r="D1568" s="38" t="s">
        <v>937</v>
      </c>
      <c r="E1568" s="44" t="str">
        <f>IFERROR(VLOOKUP(D1568,MATERIALES!A:B,2,FALSE()),"?")</f>
        <v>Cupla PVC 1"</v>
      </c>
      <c r="F1568" s="44" t="str">
        <f>IFERROR(VLOOKUP(D1568,MATERIALES!A:C,3,FALSE()),"?")</f>
        <v>u</v>
      </c>
      <c r="G1568" s="45">
        <v>3</v>
      </c>
      <c r="H1568" s="46">
        <v>0.1</v>
      </c>
      <c r="I1568" s="47">
        <f>IFERROR(VLOOKUP(D1568,MATERIALES!A:D,4,FALSE()),0)</f>
        <v>280.10000000000002</v>
      </c>
      <c r="J1568" s="42">
        <f>G1568*I1568*(1+H1568)</f>
        <v>924.33000000000015</v>
      </c>
      <c r="K1568" s="15" t="str">
        <f t="shared" si="173"/>
        <v>PTO-1813|MAT</v>
      </c>
      <c r="L1568" s="15">
        <f>COUNTIFS($K$2:K1568,K1568)</f>
        <v>3</v>
      </c>
      <c r="M1568" s="15" t="str">
        <f t="shared" si="174"/>
        <v>PTO-1813|MAT|3</v>
      </c>
      <c r="N1568" s="47">
        <f>IFERROR(VLOOKUP(A1568,PARTIDAS!A:F,6,FALSE()),0)</f>
        <v>5</v>
      </c>
      <c r="O1568" s="247">
        <f t="shared" si="175"/>
        <v>3</v>
      </c>
      <c r="P1568" s="247" t="str">
        <f>+_xlfn.XLOOKUP(A1568,PPTO_GENERADOR!Q:Q,PPTO_GENERADOR!E:E,"-",0)</f>
        <v>-</v>
      </c>
      <c r="Q1568" s="247">
        <f t="shared" si="176"/>
        <v>0</v>
      </c>
      <c r="R1568" s="259" t="str">
        <f>+_xlfn.XLOOKUP(A1568,PPTO_GENERADOR!$Q:$Q,PPTO_GENERADOR!A:A,"-",0)</f>
        <v>-</v>
      </c>
    </row>
    <row r="1569" spans="1:18" ht="14.25" customHeight="1" x14ac:dyDescent="0.35">
      <c r="A1569" s="38" t="s">
        <v>2749</v>
      </c>
      <c r="B1569" s="38" t="s">
        <v>2774</v>
      </c>
      <c r="C1569" s="38" t="s">
        <v>2775</v>
      </c>
      <c r="D1569" s="38" t="s">
        <v>945</v>
      </c>
      <c r="E1569" s="44" t="str">
        <f>IFERROR(VLOOKUP(D1569,MATERIALES!A:B,2,FALSE()),"?")</f>
        <v>Cable unipolar 1 x 4,00</v>
      </c>
      <c r="F1569" s="44" t="str">
        <f>IFERROR(VLOOKUP(D1569,MATERIALES!A:C,3,FALSE()),"?")</f>
        <v>ml</v>
      </c>
      <c r="G1569" s="45">
        <v>22.5</v>
      </c>
      <c r="H1569" s="46">
        <v>0.1</v>
      </c>
      <c r="I1569" s="47">
        <f>IFERROR(VLOOKUP(D1569,MATERIALES!A:D,4,FALSE()),0)</f>
        <v>834.6</v>
      </c>
      <c r="J1569" s="42">
        <f>G1569*I1569*(1+H1569)</f>
        <v>20656.350000000002</v>
      </c>
      <c r="K1569" s="15" t="str">
        <f t="shared" si="173"/>
        <v>PTO-1813|MAT</v>
      </c>
      <c r="L1569" s="15">
        <f>COUNTIFS($K$2:K1569,K1569)</f>
        <v>4</v>
      </c>
      <c r="M1569" s="15" t="str">
        <f t="shared" si="174"/>
        <v>PTO-1813|MAT|4</v>
      </c>
      <c r="N1569" s="47">
        <f>IFERROR(VLOOKUP(A1569,PARTIDAS!A:F,6,FALSE()),0)</f>
        <v>5</v>
      </c>
      <c r="O1569" s="247">
        <f t="shared" si="175"/>
        <v>22.5</v>
      </c>
      <c r="P1569" s="247" t="str">
        <f>+_xlfn.XLOOKUP(A1569,PPTO_GENERADOR!Q:Q,PPTO_GENERADOR!E:E,"-",0)</f>
        <v>-</v>
      </c>
      <c r="Q1569" s="247">
        <f t="shared" si="176"/>
        <v>0</v>
      </c>
      <c r="R1569" s="259" t="str">
        <f>+_xlfn.XLOOKUP(A1569,PPTO_GENERADOR!$Q:$Q,PPTO_GENERADOR!A:A,"-",0)</f>
        <v>-</v>
      </c>
    </row>
    <row r="1570" spans="1:18" ht="14.25" customHeight="1" x14ac:dyDescent="0.35">
      <c r="A1570" s="38" t="s">
        <v>2749</v>
      </c>
      <c r="B1570" s="38" t="s">
        <v>2774</v>
      </c>
      <c r="C1570" s="38" t="s">
        <v>2775</v>
      </c>
      <c r="D1570" s="38" t="s">
        <v>951</v>
      </c>
      <c r="E1570" s="44" t="str">
        <f>IFERROR(VLOOKUP(D1570,MATERIALES!A:B,2,FALSE()),"?")</f>
        <v>Caja rectangular chica</v>
      </c>
      <c r="F1570" s="44" t="str">
        <f>IFERROR(VLOOKUP(D1570,MATERIALES!A:C,3,FALSE()),"?")</f>
        <v>u</v>
      </c>
      <c r="G1570" s="45">
        <v>1</v>
      </c>
      <c r="H1570" s="46">
        <v>0.05</v>
      </c>
      <c r="I1570" s="47">
        <f>IFERROR(VLOOKUP(D1570,MATERIALES!A:D,4,FALSE()),0)</f>
        <v>202.42</v>
      </c>
      <c r="J1570" s="42">
        <f>G1570*I1570*(1+H1570)</f>
        <v>212.541</v>
      </c>
      <c r="K1570" s="15" t="str">
        <f t="shared" si="173"/>
        <v>PTO-1813|MAT</v>
      </c>
      <c r="L1570" s="15">
        <f>COUNTIFS($K$2:K1570,K1570)</f>
        <v>5</v>
      </c>
      <c r="M1570" s="15" t="str">
        <f t="shared" si="174"/>
        <v>PTO-1813|MAT|5</v>
      </c>
      <c r="N1570" s="47">
        <f>IFERROR(VLOOKUP(A1570,PARTIDAS!A:F,6,FALSE()),0)</f>
        <v>5</v>
      </c>
      <c r="O1570" s="247">
        <f t="shared" si="175"/>
        <v>1</v>
      </c>
      <c r="P1570" s="247" t="str">
        <f>+_xlfn.XLOOKUP(A1570,PPTO_GENERADOR!Q:Q,PPTO_GENERADOR!E:E,"-",0)</f>
        <v>-</v>
      </c>
      <c r="Q1570" s="247">
        <f t="shared" si="176"/>
        <v>0</v>
      </c>
      <c r="R1570" s="259" t="str">
        <f>+_xlfn.XLOOKUP(A1570,PPTO_GENERADOR!$Q:$Q,PPTO_GENERADOR!A:A,"-",0)</f>
        <v>-</v>
      </c>
    </row>
    <row r="1571" spans="1:18" ht="14.25" customHeight="1" x14ac:dyDescent="0.35">
      <c r="A1571" s="38" t="s">
        <v>2751</v>
      </c>
      <c r="B1571" s="38" t="s">
        <v>2773</v>
      </c>
      <c r="C1571" s="38"/>
      <c r="D1571" s="38" t="s">
        <v>1592</v>
      </c>
      <c r="E1571" s="44" t="str">
        <f>IFERROR(VLOOKUP(D1571,EQUIPOS!A:B,2,FALSE()),"?")</f>
        <v>ANDAMIO TUBULAR DE UNO A TRES CUERPOS</v>
      </c>
      <c r="F1571" s="44"/>
      <c r="G1571" s="45">
        <v>0.5</v>
      </c>
      <c r="H1571" s="46">
        <v>0</v>
      </c>
      <c r="I1571" s="47">
        <f>IFERROR(VLOOKUP(D1571,EQUIPOS!A:F,6,FALSE()),0)</f>
        <v>571.1794909807611</v>
      </c>
      <c r="J1571" s="42">
        <f>G1571*I1571</f>
        <v>285.58974549038055</v>
      </c>
      <c r="K1571" s="15" t="str">
        <f t="shared" si="173"/>
        <v>PTO-1814|EQ</v>
      </c>
      <c r="L1571" s="15">
        <f>COUNTIFS($K$2:K1571,K1571)</f>
        <v>1</v>
      </c>
      <c r="M1571" s="15" t="str">
        <f t="shared" si="174"/>
        <v>PTO-1814|EQ|1</v>
      </c>
      <c r="N1571" s="47">
        <f>IFERROR(VLOOKUP(A1571,PARTIDAS!A:F,6,FALSE()),0)</f>
        <v>5</v>
      </c>
      <c r="O1571" s="247">
        <f t="shared" si="175"/>
        <v>0.5</v>
      </c>
      <c r="P1571" s="247" t="str">
        <f>+_xlfn.XLOOKUP(A1571,PPTO_GENERADOR!Q:Q,PPTO_GENERADOR!E:E,"-",0)</f>
        <v>-</v>
      </c>
      <c r="Q1571" s="247">
        <f t="shared" si="176"/>
        <v>0</v>
      </c>
      <c r="R1571" s="259" t="str">
        <f>+_xlfn.XLOOKUP(A1571,PPTO_GENERADOR!$Q:$Q,PPTO_GENERADOR!A:A,"-",0)</f>
        <v>-</v>
      </c>
    </row>
    <row r="1572" spans="1:18" ht="14.25" customHeight="1" x14ac:dyDescent="0.35">
      <c r="A1572" s="38" t="s">
        <v>2751</v>
      </c>
      <c r="B1572" s="38" t="s">
        <v>2773</v>
      </c>
      <c r="C1572" s="38"/>
      <c r="D1572" s="38" t="s">
        <v>1601</v>
      </c>
      <c r="E1572" s="44" t="str">
        <f>IFERROR(VLOOKUP(D1572,EQUIPOS!A:B,2,FALSE()),"?")</f>
        <v>EQUIPO PARA INSTALACION ELECTRICA</v>
      </c>
      <c r="F1572" s="44"/>
      <c r="G1572" s="45">
        <v>1</v>
      </c>
      <c r="H1572" s="46">
        <v>0</v>
      </c>
      <c r="I1572" s="47">
        <f>IFERROR(VLOOKUP(D1572,EQUIPOS!A:F,6,FALSE()),0)</f>
        <v>5063.0947914732405</v>
      </c>
      <c r="J1572" s="42">
        <f>G1572*I1572</f>
        <v>5063.0947914732405</v>
      </c>
      <c r="K1572" s="15" t="str">
        <f t="shared" si="173"/>
        <v>PTO-1814|EQ</v>
      </c>
      <c r="L1572" s="15">
        <f>COUNTIFS($K$2:K1572,K1572)</f>
        <v>2</v>
      </c>
      <c r="M1572" s="15" t="str">
        <f t="shared" si="174"/>
        <v>PTO-1814|EQ|2</v>
      </c>
      <c r="N1572" s="47">
        <f>IFERROR(VLOOKUP(A1572,PARTIDAS!A:F,6,FALSE()),0)</f>
        <v>5</v>
      </c>
      <c r="O1572" s="247">
        <f t="shared" si="175"/>
        <v>1</v>
      </c>
      <c r="P1572" s="247" t="str">
        <f>+_xlfn.XLOOKUP(A1572,PPTO_GENERADOR!Q:Q,PPTO_GENERADOR!E:E,"-",0)</f>
        <v>-</v>
      </c>
      <c r="Q1572" s="247">
        <f t="shared" si="176"/>
        <v>0</v>
      </c>
      <c r="R1572" s="259" t="str">
        <f>+_xlfn.XLOOKUP(A1572,PPTO_GENERADOR!$Q:$Q,PPTO_GENERADOR!A:A,"-",0)</f>
        <v>-</v>
      </c>
    </row>
    <row r="1573" spans="1:18" ht="14.25" customHeight="1" x14ac:dyDescent="0.35">
      <c r="A1573" s="38" t="s">
        <v>2751</v>
      </c>
      <c r="B1573" s="38" t="s">
        <v>2773</v>
      </c>
      <c r="C1573" s="38"/>
      <c r="D1573" s="38" t="s">
        <v>1622</v>
      </c>
      <c r="E1573" s="44" t="str">
        <f>IFERROR(VLOOKUP(D1573,EQUIPOS!A:B,2,FALSE()),"?")</f>
        <v>ESCALERA GLOSS ALUMINIO ARTICULADA 4 X 4 ESCALONES HASTA 150KG</v>
      </c>
      <c r="F1573" s="44"/>
      <c r="G1573" s="45">
        <v>0.5</v>
      </c>
      <c r="H1573" s="46">
        <v>0</v>
      </c>
      <c r="I1573" s="47">
        <f>IFERROR(VLOOKUP(D1573,EQUIPOS!A:F,6,FALSE()),0)</f>
        <v>140.19809259430903</v>
      </c>
      <c r="J1573" s="42">
        <f>G1573*I1573</f>
        <v>70.099046297154516</v>
      </c>
      <c r="K1573" s="15" t="str">
        <f t="shared" si="173"/>
        <v>PTO-1814|EQ</v>
      </c>
      <c r="L1573" s="15">
        <f>COUNTIFS($K$2:K1573,K1573)</f>
        <v>3</v>
      </c>
      <c r="M1573" s="15" t="str">
        <f t="shared" si="174"/>
        <v>PTO-1814|EQ|3</v>
      </c>
      <c r="N1573" s="47">
        <f>IFERROR(VLOOKUP(A1573,PARTIDAS!A:F,6,FALSE()),0)</f>
        <v>5</v>
      </c>
      <c r="O1573" s="247">
        <f t="shared" si="175"/>
        <v>0.5</v>
      </c>
      <c r="P1573" s="247" t="str">
        <f>+_xlfn.XLOOKUP(A1573,PPTO_GENERADOR!Q:Q,PPTO_GENERADOR!E:E,"-",0)</f>
        <v>-</v>
      </c>
      <c r="Q1573" s="247">
        <f t="shared" si="176"/>
        <v>0</v>
      </c>
      <c r="R1573" s="259" t="str">
        <f>+_xlfn.XLOOKUP(A1573,PPTO_GENERADOR!$Q:$Q,PPTO_GENERADOR!A:A,"-",0)</f>
        <v>-</v>
      </c>
    </row>
    <row r="1574" spans="1:18" ht="14.25" customHeight="1" x14ac:dyDescent="0.35">
      <c r="A1574" s="38" t="s">
        <v>2751</v>
      </c>
      <c r="B1574" s="38" t="s">
        <v>2774</v>
      </c>
      <c r="C1574" s="38" t="s">
        <v>2775</v>
      </c>
      <c r="D1574" s="38" t="s">
        <v>930</v>
      </c>
      <c r="E1574" s="44" t="str">
        <f>IFERROR(VLOOKUP(D1574,MATERIALES!A:B,2,FALSE()),"?")</f>
        <v>Conector hierro 1"</v>
      </c>
      <c r="F1574" s="44" t="str">
        <f>IFERROR(VLOOKUP(D1574,MATERIALES!A:C,3,FALSE()),"?")</f>
        <v>u</v>
      </c>
      <c r="G1574" s="45">
        <v>3</v>
      </c>
      <c r="H1574" s="46">
        <v>0.1</v>
      </c>
      <c r="I1574" s="47">
        <f>IFERROR(VLOOKUP(D1574,MATERIALES!A:D,4,FALSE()),0)</f>
        <v>351.14</v>
      </c>
      <c r="J1574" s="42">
        <f>G1574*I1574*(1+H1574)</f>
        <v>1158.7620000000002</v>
      </c>
      <c r="K1574" s="15" t="str">
        <f t="shared" si="173"/>
        <v>PTO-1814|MAT</v>
      </c>
      <c r="L1574" s="15">
        <f>COUNTIFS($K$2:K1574,K1574)</f>
        <v>1</v>
      </c>
      <c r="M1574" s="15" t="str">
        <f t="shared" si="174"/>
        <v>PTO-1814|MAT|1</v>
      </c>
      <c r="N1574" s="47">
        <f>IFERROR(VLOOKUP(A1574,PARTIDAS!A:F,6,FALSE()),0)</f>
        <v>5</v>
      </c>
      <c r="O1574" s="247">
        <f t="shared" si="175"/>
        <v>3</v>
      </c>
      <c r="P1574" s="247" t="str">
        <f>+_xlfn.XLOOKUP(A1574,PPTO_GENERADOR!Q:Q,PPTO_GENERADOR!E:E,"-",0)</f>
        <v>-</v>
      </c>
      <c r="Q1574" s="247">
        <f t="shared" si="176"/>
        <v>0</v>
      </c>
      <c r="R1574" s="259" t="str">
        <f>+_xlfn.XLOOKUP(A1574,PPTO_GENERADOR!$Q:$Q,PPTO_GENERADOR!A:A,"-",0)</f>
        <v>-</v>
      </c>
    </row>
    <row r="1575" spans="1:18" ht="14.25" customHeight="1" x14ac:dyDescent="0.35">
      <c r="A1575" s="38" t="s">
        <v>2751</v>
      </c>
      <c r="B1575" s="38" t="s">
        <v>2774</v>
      </c>
      <c r="C1575" s="38" t="s">
        <v>2775</v>
      </c>
      <c r="D1575" s="38" t="s">
        <v>918</v>
      </c>
      <c r="E1575" s="44" t="str">
        <f>IFERROR(VLOOKUP(D1575,MATERIALES!A:B,2,FALSE()),"?")</f>
        <v>Caño rigido 1"</v>
      </c>
      <c r="F1575" s="44" t="str">
        <f>IFERROR(VLOOKUP(D1575,MATERIALES!A:C,3,FALSE()),"?")</f>
        <v>ml</v>
      </c>
      <c r="G1575" s="45">
        <v>7.5</v>
      </c>
      <c r="H1575" s="46">
        <v>0.1</v>
      </c>
      <c r="I1575" s="47">
        <f>IFERROR(VLOOKUP(D1575,MATERIALES!A:D,4,FALSE()),0)</f>
        <v>666.92666666666696</v>
      </c>
      <c r="J1575" s="42">
        <f>G1575*I1575*(1+H1575)</f>
        <v>5502.1450000000032</v>
      </c>
      <c r="K1575" s="15" t="str">
        <f t="shared" si="173"/>
        <v>PTO-1814|MAT</v>
      </c>
      <c r="L1575" s="15">
        <f>COUNTIFS($K$2:K1575,K1575)</f>
        <v>2</v>
      </c>
      <c r="M1575" s="15" t="str">
        <f t="shared" si="174"/>
        <v>PTO-1814|MAT|2</v>
      </c>
      <c r="N1575" s="47">
        <f>IFERROR(VLOOKUP(A1575,PARTIDAS!A:F,6,FALSE()),0)</f>
        <v>5</v>
      </c>
      <c r="O1575" s="247">
        <f t="shared" si="175"/>
        <v>7.5</v>
      </c>
      <c r="P1575" s="247" t="str">
        <f>+_xlfn.XLOOKUP(A1575,PPTO_GENERADOR!Q:Q,PPTO_GENERADOR!E:E,"-",0)</f>
        <v>-</v>
      </c>
      <c r="Q1575" s="247">
        <f t="shared" si="176"/>
        <v>0</v>
      </c>
      <c r="R1575" s="259" t="str">
        <f>+_xlfn.XLOOKUP(A1575,PPTO_GENERADOR!$Q:$Q,PPTO_GENERADOR!A:A,"-",0)</f>
        <v>-</v>
      </c>
    </row>
    <row r="1576" spans="1:18" ht="14.25" customHeight="1" x14ac:dyDescent="0.35">
      <c r="A1576" s="38" t="s">
        <v>2751</v>
      </c>
      <c r="B1576" s="38" t="s">
        <v>2774</v>
      </c>
      <c r="C1576" s="38" t="s">
        <v>2775</v>
      </c>
      <c r="D1576" s="38" t="s">
        <v>937</v>
      </c>
      <c r="E1576" s="44" t="str">
        <f>IFERROR(VLOOKUP(D1576,MATERIALES!A:B,2,FALSE()),"?")</f>
        <v>Cupla PVC 1"</v>
      </c>
      <c r="F1576" s="44" t="str">
        <f>IFERROR(VLOOKUP(D1576,MATERIALES!A:C,3,FALSE()),"?")</f>
        <v>u</v>
      </c>
      <c r="G1576" s="45">
        <v>3</v>
      </c>
      <c r="H1576" s="46">
        <v>0.1</v>
      </c>
      <c r="I1576" s="47">
        <f>IFERROR(VLOOKUP(D1576,MATERIALES!A:D,4,FALSE()),0)</f>
        <v>280.10000000000002</v>
      </c>
      <c r="J1576" s="42">
        <f>G1576*I1576*(1+H1576)</f>
        <v>924.33000000000015</v>
      </c>
      <c r="K1576" s="15" t="str">
        <f t="shared" si="173"/>
        <v>PTO-1814|MAT</v>
      </c>
      <c r="L1576" s="15">
        <f>COUNTIFS($K$2:K1576,K1576)</f>
        <v>3</v>
      </c>
      <c r="M1576" s="15" t="str">
        <f t="shared" si="174"/>
        <v>PTO-1814|MAT|3</v>
      </c>
      <c r="N1576" s="47">
        <f>IFERROR(VLOOKUP(A1576,PARTIDAS!A:F,6,FALSE()),0)</f>
        <v>5</v>
      </c>
      <c r="O1576" s="247">
        <f t="shared" si="175"/>
        <v>3</v>
      </c>
      <c r="P1576" s="247" t="str">
        <f>+_xlfn.XLOOKUP(A1576,PPTO_GENERADOR!Q:Q,PPTO_GENERADOR!E:E,"-",0)</f>
        <v>-</v>
      </c>
      <c r="Q1576" s="247">
        <f t="shared" si="176"/>
        <v>0</v>
      </c>
      <c r="R1576" s="259" t="str">
        <f>+_xlfn.XLOOKUP(A1576,PPTO_GENERADOR!$Q:$Q,PPTO_GENERADOR!A:A,"-",0)</f>
        <v>-</v>
      </c>
    </row>
    <row r="1577" spans="1:18" ht="14.25" customHeight="1" x14ac:dyDescent="0.35">
      <c r="A1577" s="38" t="s">
        <v>2751</v>
      </c>
      <c r="B1577" s="38" t="s">
        <v>2774</v>
      </c>
      <c r="C1577" s="38" t="s">
        <v>2775</v>
      </c>
      <c r="D1577" s="38" t="s">
        <v>945</v>
      </c>
      <c r="E1577" s="44" t="str">
        <f>IFERROR(VLOOKUP(D1577,MATERIALES!A:B,2,FALSE()),"?")</f>
        <v>Cable unipolar 1 x 4,00</v>
      </c>
      <c r="F1577" s="44" t="str">
        <f>IFERROR(VLOOKUP(D1577,MATERIALES!A:C,3,FALSE()),"?")</f>
        <v>ml</v>
      </c>
      <c r="G1577" s="45">
        <v>22.5</v>
      </c>
      <c r="H1577" s="46">
        <v>0.1</v>
      </c>
      <c r="I1577" s="47">
        <f>IFERROR(VLOOKUP(D1577,MATERIALES!A:D,4,FALSE()),0)</f>
        <v>834.6</v>
      </c>
      <c r="J1577" s="42">
        <f>G1577*I1577*(1+H1577)</f>
        <v>20656.350000000002</v>
      </c>
      <c r="K1577" s="15" t="str">
        <f t="shared" si="173"/>
        <v>PTO-1814|MAT</v>
      </c>
      <c r="L1577" s="15">
        <f>COUNTIFS($K$2:K1577,K1577)</f>
        <v>4</v>
      </c>
      <c r="M1577" s="15" t="str">
        <f t="shared" si="174"/>
        <v>PTO-1814|MAT|4</v>
      </c>
      <c r="N1577" s="47">
        <f>IFERROR(VLOOKUP(A1577,PARTIDAS!A:F,6,FALSE()),0)</f>
        <v>5</v>
      </c>
      <c r="O1577" s="247">
        <f t="shared" si="175"/>
        <v>22.5</v>
      </c>
      <c r="P1577" s="247" t="str">
        <f>+_xlfn.XLOOKUP(A1577,PPTO_GENERADOR!Q:Q,PPTO_GENERADOR!E:E,"-",0)</f>
        <v>-</v>
      </c>
      <c r="Q1577" s="247">
        <f t="shared" si="176"/>
        <v>0</v>
      </c>
      <c r="R1577" s="259" t="str">
        <f>+_xlfn.XLOOKUP(A1577,PPTO_GENERADOR!$Q:$Q,PPTO_GENERADOR!A:A,"-",0)</f>
        <v>-</v>
      </c>
    </row>
    <row r="1578" spans="1:18" ht="14.25" customHeight="1" x14ac:dyDescent="0.35">
      <c r="A1578" s="38" t="s">
        <v>2751</v>
      </c>
      <c r="B1578" s="38" t="s">
        <v>2774</v>
      </c>
      <c r="C1578" s="38" t="s">
        <v>2775</v>
      </c>
      <c r="D1578" s="38" t="s">
        <v>951</v>
      </c>
      <c r="E1578" s="44" t="str">
        <f>IFERROR(VLOOKUP(D1578,MATERIALES!A:B,2,FALSE()),"?")</f>
        <v>Caja rectangular chica</v>
      </c>
      <c r="F1578" s="44" t="str">
        <f>IFERROR(VLOOKUP(D1578,MATERIALES!A:C,3,FALSE()),"?")</f>
        <v>u</v>
      </c>
      <c r="G1578" s="45">
        <v>1</v>
      </c>
      <c r="H1578" s="46">
        <v>0.05</v>
      </c>
      <c r="I1578" s="47">
        <f>IFERROR(VLOOKUP(D1578,MATERIALES!A:D,4,FALSE()),0)</f>
        <v>202.42</v>
      </c>
      <c r="J1578" s="42">
        <f>G1578*I1578*(1+H1578)</f>
        <v>212.541</v>
      </c>
      <c r="K1578" s="15" t="str">
        <f t="shared" si="173"/>
        <v>PTO-1814|MAT</v>
      </c>
      <c r="L1578" s="15">
        <f>COUNTIFS($K$2:K1578,K1578)</f>
        <v>5</v>
      </c>
      <c r="M1578" s="15" t="str">
        <f t="shared" si="174"/>
        <v>PTO-1814|MAT|5</v>
      </c>
      <c r="N1578" s="47">
        <f>IFERROR(VLOOKUP(A1578,PARTIDAS!A:F,6,FALSE()),0)</f>
        <v>5</v>
      </c>
      <c r="O1578" s="247">
        <f t="shared" si="175"/>
        <v>1</v>
      </c>
      <c r="P1578" s="247" t="str">
        <f>+_xlfn.XLOOKUP(A1578,PPTO_GENERADOR!Q:Q,PPTO_GENERADOR!E:E,"-",0)</f>
        <v>-</v>
      </c>
      <c r="Q1578" s="247">
        <f t="shared" si="176"/>
        <v>0</v>
      </c>
      <c r="R1578" s="259" t="str">
        <f>+_xlfn.XLOOKUP(A1578,PPTO_GENERADOR!$Q:$Q,PPTO_GENERADOR!A:A,"-",0)</f>
        <v>-</v>
      </c>
    </row>
    <row r="1579" spans="1:18" ht="14.25" customHeight="1" x14ac:dyDescent="0.35">
      <c r="A1579" s="38" t="s">
        <v>2753</v>
      </c>
      <c r="B1579" s="38" t="s">
        <v>2773</v>
      </c>
      <c r="C1579" s="38"/>
      <c r="D1579" s="38" t="s">
        <v>1592</v>
      </c>
      <c r="E1579" s="44" t="str">
        <f>IFERROR(VLOOKUP(D1579,EQUIPOS!A:B,2,FALSE()),"?")</f>
        <v>ANDAMIO TUBULAR DE UNO A TRES CUERPOS</v>
      </c>
      <c r="F1579" s="44"/>
      <c r="G1579" s="45">
        <v>0.5</v>
      </c>
      <c r="H1579" s="46">
        <v>0</v>
      </c>
      <c r="I1579" s="47">
        <f>IFERROR(VLOOKUP(D1579,EQUIPOS!A:F,6,FALSE()),0)</f>
        <v>571.1794909807611</v>
      </c>
      <c r="J1579" s="42">
        <f>G1579*I1579</f>
        <v>285.58974549038055</v>
      </c>
      <c r="K1579" s="15" t="str">
        <f t="shared" si="173"/>
        <v>PTO-1815|EQ</v>
      </c>
      <c r="L1579" s="15">
        <f>COUNTIFS($K$2:K1579,K1579)</f>
        <v>1</v>
      </c>
      <c r="M1579" s="15" t="str">
        <f t="shared" si="174"/>
        <v>PTO-1815|EQ|1</v>
      </c>
      <c r="N1579" s="47">
        <f>IFERROR(VLOOKUP(A1579,PARTIDAS!A:F,6,FALSE()),0)</f>
        <v>5</v>
      </c>
      <c r="O1579" s="247">
        <f t="shared" si="175"/>
        <v>0.5</v>
      </c>
      <c r="P1579" s="247" t="str">
        <f>+_xlfn.XLOOKUP(A1579,PPTO_GENERADOR!Q:Q,PPTO_GENERADOR!E:E,"-",0)</f>
        <v>-</v>
      </c>
      <c r="Q1579" s="247">
        <f t="shared" si="176"/>
        <v>0</v>
      </c>
      <c r="R1579" s="259" t="str">
        <f>+_xlfn.XLOOKUP(A1579,PPTO_GENERADOR!$Q:$Q,PPTO_GENERADOR!A:A,"-",0)</f>
        <v>-</v>
      </c>
    </row>
    <row r="1580" spans="1:18" ht="14.25" customHeight="1" x14ac:dyDescent="0.35">
      <c r="A1580" s="38" t="s">
        <v>2753</v>
      </c>
      <c r="B1580" s="38" t="s">
        <v>2773</v>
      </c>
      <c r="C1580" s="38"/>
      <c r="D1580" s="38" t="s">
        <v>1601</v>
      </c>
      <c r="E1580" s="44" t="str">
        <f>IFERROR(VLOOKUP(D1580,EQUIPOS!A:B,2,FALSE()),"?")</f>
        <v>EQUIPO PARA INSTALACION ELECTRICA</v>
      </c>
      <c r="F1580" s="44"/>
      <c r="G1580" s="45">
        <v>1</v>
      </c>
      <c r="H1580" s="46">
        <v>0</v>
      </c>
      <c r="I1580" s="47">
        <f>IFERROR(VLOOKUP(D1580,EQUIPOS!A:F,6,FALSE()),0)</f>
        <v>5063.0947914732405</v>
      </c>
      <c r="J1580" s="42">
        <f>G1580*I1580</f>
        <v>5063.0947914732405</v>
      </c>
      <c r="K1580" s="15" t="str">
        <f t="shared" si="173"/>
        <v>PTO-1815|EQ</v>
      </c>
      <c r="L1580" s="15">
        <f>COUNTIFS($K$2:K1580,K1580)</f>
        <v>2</v>
      </c>
      <c r="M1580" s="15" t="str">
        <f t="shared" si="174"/>
        <v>PTO-1815|EQ|2</v>
      </c>
      <c r="N1580" s="47">
        <f>IFERROR(VLOOKUP(A1580,PARTIDAS!A:F,6,FALSE()),0)</f>
        <v>5</v>
      </c>
      <c r="O1580" s="247">
        <f t="shared" si="175"/>
        <v>1</v>
      </c>
      <c r="P1580" s="247" t="str">
        <f>+_xlfn.XLOOKUP(A1580,PPTO_GENERADOR!Q:Q,PPTO_GENERADOR!E:E,"-",0)</f>
        <v>-</v>
      </c>
      <c r="Q1580" s="247">
        <f t="shared" si="176"/>
        <v>0</v>
      </c>
      <c r="R1580" s="259" t="str">
        <f>+_xlfn.XLOOKUP(A1580,PPTO_GENERADOR!$Q:$Q,PPTO_GENERADOR!A:A,"-",0)</f>
        <v>-</v>
      </c>
    </row>
    <row r="1581" spans="1:18" ht="14.25" customHeight="1" x14ac:dyDescent="0.35">
      <c r="A1581" s="38" t="s">
        <v>2753</v>
      </c>
      <c r="B1581" s="38" t="s">
        <v>2773</v>
      </c>
      <c r="C1581" s="38"/>
      <c r="D1581" s="38" t="s">
        <v>1622</v>
      </c>
      <c r="E1581" s="44" t="str">
        <f>IFERROR(VLOOKUP(D1581,EQUIPOS!A:B,2,FALSE()),"?")</f>
        <v>ESCALERA GLOSS ALUMINIO ARTICULADA 4 X 4 ESCALONES HASTA 150KG</v>
      </c>
      <c r="F1581" s="44"/>
      <c r="G1581" s="45">
        <v>0.5</v>
      </c>
      <c r="H1581" s="46">
        <v>0</v>
      </c>
      <c r="I1581" s="47">
        <f>IFERROR(VLOOKUP(D1581,EQUIPOS!A:F,6,FALSE()),0)</f>
        <v>140.19809259430903</v>
      </c>
      <c r="J1581" s="42">
        <f>G1581*I1581</f>
        <v>70.099046297154516</v>
      </c>
      <c r="K1581" s="15" t="str">
        <f t="shared" si="173"/>
        <v>PTO-1815|EQ</v>
      </c>
      <c r="L1581" s="15">
        <f>COUNTIFS($K$2:K1581,K1581)</f>
        <v>3</v>
      </c>
      <c r="M1581" s="15" t="str">
        <f t="shared" si="174"/>
        <v>PTO-1815|EQ|3</v>
      </c>
      <c r="N1581" s="47">
        <f>IFERROR(VLOOKUP(A1581,PARTIDAS!A:F,6,FALSE()),0)</f>
        <v>5</v>
      </c>
      <c r="O1581" s="247">
        <f t="shared" si="175"/>
        <v>0.5</v>
      </c>
      <c r="P1581" s="247" t="str">
        <f>+_xlfn.XLOOKUP(A1581,PPTO_GENERADOR!Q:Q,PPTO_GENERADOR!E:E,"-",0)</f>
        <v>-</v>
      </c>
      <c r="Q1581" s="247">
        <f t="shared" si="176"/>
        <v>0</v>
      </c>
      <c r="R1581" s="259" t="str">
        <f>+_xlfn.XLOOKUP(A1581,PPTO_GENERADOR!$Q:$Q,PPTO_GENERADOR!A:A,"-",0)</f>
        <v>-</v>
      </c>
    </row>
    <row r="1582" spans="1:18" ht="14.25" customHeight="1" x14ac:dyDescent="0.35">
      <c r="A1582" s="38" t="s">
        <v>2753</v>
      </c>
      <c r="B1582" s="38" t="s">
        <v>2774</v>
      </c>
      <c r="C1582" s="38" t="s">
        <v>2775</v>
      </c>
      <c r="D1582" s="38" t="s">
        <v>930</v>
      </c>
      <c r="E1582" s="44" t="str">
        <f>IFERROR(VLOOKUP(D1582,MATERIALES!A:B,2,FALSE()),"?")</f>
        <v>Conector hierro 1"</v>
      </c>
      <c r="F1582" s="44" t="str">
        <f>IFERROR(VLOOKUP(D1582,MATERIALES!A:C,3,FALSE()),"?")</f>
        <v>u</v>
      </c>
      <c r="G1582" s="45">
        <v>3</v>
      </c>
      <c r="H1582" s="46">
        <v>0.1</v>
      </c>
      <c r="I1582" s="47">
        <f>IFERROR(VLOOKUP(D1582,MATERIALES!A:D,4,FALSE()),0)</f>
        <v>351.14</v>
      </c>
      <c r="J1582" s="42">
        <f>G1582*I1582*(1+H1582)</f>
        <v>1158.7620000000002</v>
      </c>
      <c r="K1582" s="15" t="str">
        <f t="shared" si="173"/>
        <v>PTO-1815|MAT</v>
      </c>
      <c r="L1582" s="15">
        <f>COUNTIFS($K$2:K1582,K1582)</f>
        <v>1</v>
      </c>
      <c r="M1582" s="15" t="str">
        <f t="shared" si="174"/>
        <v>PTO-1815|MAT|1</v>
      </c>
      <c r="N1582" s="47">
        <f>IFERROR(VLOOKUP(A1582,PARTIDAS!A:F,6,FALSE()),0)</f>
        <v>5</v>
      </c>
      <c r="O1582" s="247">
        <f t="shared" si="175"/>
        <v>3</v>
      </c>
      <c r="P1582" s="247" t="str">
        <f>+_xlfn.XLOOKUP(A1582,PPTO_GENERADOR!Q:Q,PPTO_GENERADOR!E:E,"-",0)</f>
        <v>-</v>
      </c>
      <c r="Q1582" s="247">
        <f t="shared" si="176"/>
        <v>0</v>
      </c>
      <c r="R1582" s="259" t="str">
        <f>+_xlfn.XLOOKUP(A1582,PPTO_GENERADOR!$Q:$Q,PPTO_GENERADOR!A:A,"-",0)</f>
        <v>-</v>
      </c>
    </row>
    <row r="1583" spans="1:18" ht="14.25" customHeight="1" x14ac:dyDescent="0.35">
      <c r="A1583" s="38" t="s">
        <v>2753</v>
      </c>
      <c r="B1583" s="38" t="s">
        <v>2774</v>
      </c>
      <c r="C1583" s="38" t="s">
        <v>2775</v>
      </c>
      <c r="D1583" s="38" t="s">
        <v>918</v>
      </c>
      <c r="E1583" s="44" t="str">
        <f>IFERROR(VLOOKUP(D1583,MATERIALES!A:B,2,FALSE()),"?")</f>
        <v>Caño rigido 1"</v>
      </c>
      <c r="F1583" s="44" t="str">
        <f>IFERROR(VLOOKUP(D1583,MATERIALES!A:C,3,FALSE()),"?")</f>
        <v>ml</v>
      </c>
      <c r="G1583" s="45">
        <v>7.5</v>
      </c>
      <c r="H1583" s="46">
        <v>0.1</v>
      </c>
      <c r="I1583" s="47">
        <f>IFERROR(VLOOKUP(D1583,MATERIALES!A:D,4,FALSE()),0)</f>
        <v>666.92666666666696</v>
      </c>
      <c r="J1583" s="42">
        <f>G1583*I1583*(1+H1583)</f>
        <v>5502.1450000000032</v>
      </c>
      <c r="K1583" s="15" t="str">
        <f t="shared" si="173"/>
        <v>PTO-1815|MAT</v>
      </c>
      <c r="L1583" s="15">
        <f>COUNTIFS($K$2:K1583,K1583)</f>
        <v>2</v>
      </c>
      <c r="M1583" s="15" t="str">
        <f t="shared" si="174"/>
        <v>PTO-1815|MAT|2</v>
      </c>
      <c r="N1583" s="47">
        <f>IFERROR(VLOOKUP(A1583,PARTIDAS!A:F,6,FALSE()),0)</f>
        <v>5</v>
      </c>
      <c r="O1583" s="247">
        <f t="shared" si="175"/>
        <v>7.5</v>
      </c>
      <c r="P1583" s="247" t="str">
        <f>+_xlfn.XLOOKUP(A1583,PPTO_GENERADOR!Q:Q,PPTO_GENERADOR!E:E,"-",0)</f>
        <v>-</v>
      </c>
      <c r="Q1583" s="247">
        <f t="shared" si="176"/>
        <v>0</v>
      </c>
      <c r="R1583" s="259" t="str">
        <f>+_xlfn.XLOOKUP(A1583,PPTO_GENERADOR!$Q:$Q,PPTO_GENERADOR!A:A,"-",0)</f>
        <v>-</v>
      </c>
    </row>
    <row r="1584" spans="1:18" ht="14.25" customHeight="1" x14ac:dyDescent="0.35">
      <c r="A1584" s="38" t="s">
        <v>2753</v>
      </c>
      <c r="B1584" s="38" t="s">
        <v>2774</v>
      </c>
      <c r="C1584" s="38" t="s">
        <v>2775</v>
      </c>
      <c r="D1584" s="38" t="s">
        <v>937</v>
      </c>
      <c r="E1584" s="44" t="str">
        <f>IFERROR(VLOOKUP(D1584,MATERIALES!A:B,2,FALSE()),"?")</f>
        <v>Cupla PVC 1"</v>
      </c>
      <c r="F1584" s="44" t="str">
        <f>IFERROR(VLOOKUP(D1584,MATERIALES!A:C,3,FALSE()),"?")</f>
        <v>u</v>
      </c>
      <c r="G1584" s="45">
        <v>3</v>
      </c>
      <c r="H1584" s="46">
        <v>0.1</v>
      </c>
      <c r="I1584" s="47">
        <f>IFERROR(VLOOKUP(D1584,MATERIALES!A:D,4,FALSE()),0)</f>
        <v>280.10000000000002</v>
      </c>
      <c r="J1584" s="42">
        <f>G1584*I1584*(1+H1584)</f>
        <v>924.33000000000015</v>
      </c>
      <c r="K1584" s="15" t="str">
        <f t="shared" si="173"/>
        <v>PTO-1815|MAT</v>
      </c>
      <c r="L1584" s="15">
        <f>COUNTIFS($K$2:K1584,K1584)</f>
        <v>3</v>
      </c>
      <c r="M1584" s="15" t="str">
        <f t="shared" si="174"/>
        <v>PTO-1815|MAT|3</v>
      </c>
      <c r="N1584" s="47">
        <f>IFERROR(VLOOKUP(A1584,PARTIDAS!A:F,6,FALSE()),0)</f>
        <v>5</v>
      </c>
      <c r="O1584" s="247">
        <f t="shared" si="175"/>
        <v>3</v>
      </c>
      <c r="P1584" s="247" t="str">
        <f>+_xlfn.XLOOKUP(A1584,PPTO_GENERADOR!Q:Q,PPTO_GENERADOR!E:E,"-",0)</f>
        <v>-</v>
      </c>
      <c r="Q1584" s="247">
        <f t="shared" si="176"/>
        <v>0</v>
      </c>
      <c r="R1584" s="259" t="str">
        <f>+_xlfn.XLOOKUP(A1584,PPTO_GENERADOR!$Q:$Q,PPTO_GENERADOR!A:A,"-",0)</f>
        <v>-</v>
      </c>
    </row>
    <row r="1585" spans="1:18" ht="14.25" customHeight="1" x14ac:dyDescent="0.35">
      <c r="A1585" s="38" t="s">
        <v>2753</v>
      </c>
      <c r="B1585" s="38" t="s">
        <v>2774</v>
      </c>
      <c r="C1585" s="38" t="s">
        <v>2775</v>
      </c>
      <c r="D1585" s="38" t="s">
        <v>945</v>
      </c>
      <c r="E1585" s="44" t="str">
        <f>IFERROR(VLOOKUP(D1585,MATERIALES!A:B,2,FALSE()),"?")</f>
        <v>Cable unipolar 1 x 4,00</v>
      </c>
      <c r="F1585" s="44" t="str">
        <f>IFERROR(VLOOKUP(D1585,MATERIALES!A:C,3,FALSE()),"?")</f>
        <v>ml</v>
      </c>
      <c r="G1585" s="45">
        <v>22.5</v>
      </c>
      <c r="H1585" s="46">
        <v>0.1</v>
      </c>
      <c r="I1585" s="47">
        <f>IFERROR(VLOOKUP(D1585,MATERIALES!A:D,4,FALSE()),0)</f>
        <v>834.6</v>
      </c>
      <c r="J1585" s="42">
        <f>G1585*I1585*(1+H1585)</f>
        <v>20656.350000000002</v>
      </c>
      <c r="K1585" s="15" t="str">
        <f t="shared" si="173"/>
        <v>PTO-1815|MAT</v>
      </c>
      <c r="L1585" s="15">
        <f>COUNTIFS($K$2:K1585,K1585)</f>
        <v>4</v>
      </c>
      <c r="M1585" s="15" t="str">
        <f t="shared" si="174"/>
        <v>PTO-1815|MAT|4</v>
      </c>
      <c r="N1585" s="47">
        <f>IFERROR(VLOOKUP(A1585,PARTIDAS!A:F,6,FALSE()),0)</f>
        <v>5</v>
      </c>
      <c r="O1585" s="247">
        <f t="shared" si="175"/>
        <v>22.5</v>
      </c>
      <c r="P1585" s="247" t="str">
        <f>+_xlfn.XLOOKUP(A1585,PPTO_GENERADOR!Q:Q,PPTO_GENERADOR!E:E,"-",0)</f>
        <v>-</v>
      </c>
      <c r="Q1585" s="247">
        <f t="shared" si="176"/>
        <v>0</v>
      </c>
      <c r="R1585" s="259" t="str">
        <f>+_xlfn.XLOOKUP(A1585,PPTO_GENERADOR!$Q:$Q,PPTO_GENERADOR!A:A,"-",0)</f>
        <v>-</v>
      </c>
    </row>
    <row r="1586" spans="1:18" ht="14.25" customHeight="1" x14ac:dyDescent="0.35">
      <c r="A1586" s="38" t="s">
        <v>2753</v>
      </c>
      <c r="B1586" s="38" t="s">
        <v>2774</v>
      </c>
      <c r="C1586" s="38" t="s">
        <v>2775</v>
      </c>
      <c r="D1586" s="38" t="s">
        <v>951</v>
      </c>
      <c r="E1586" s="44" t="str">
        <f>IFERROR(VLOOKUP(D1586,MATERIALES!A:B,2,FALSE()),"?")</f>
        <v>Caja rectangular chica</v>
      </c>
      <c r="F1586" s="44" t="str">
        <f>IFERROR(VLOOKUP(D1586,MATERIALES!A:C,3,FALSE()),"?")</f>
        <v>u</v>
      </c>
      <c r="G1586" s="45">
        <v>1</v>
      </c>
      <c r="H1586" s="46">
        <v>0.05</v>
      </c>
      <c r="I1586" s="47">
        <f>IFERROR(VLOOKUP(D1586,MATERIALES!A:D,4,FALSE()),0)</f>
        <v>202.42</v>
      </c>
      <c r="J1586" s="42">
        <f>G1586*I1586*(1+H1586)</f>
        <v>212.541</v>
      </c>
      <c r="K1586" s="15" t="str">
        <f t="shared" si="173"/>
        <v>PTO-1815|MAT</v>
      </c>
      <c r="L1586" s="15">
        <f>COUNTIFS($K$2:K1586,K1586)</f>
        <v>5</v>
      </c>
      <c r="M1586" s="15" t="str">
        <f t="shared" si="174"/>
        <v>PTO-1815|MAT|5</v>
      </c>
      <c r="N1586" s="47">
        <f>IFERROR(VLOOKUP(A1586,PARTIDAS!A:F,6,FALSE()),0)</f>
        <v>5</v>
      </c>
      <c r="O1586" s="247">
        <f t="shared" si="175"/>
        <v>1</v>
      </c>
      <c r="P1586" s="247" t="str">
        <f>+_xlfn.XLOOKUP(A1586,PPTO_GENERADOR!Q:Q,PPTO_GENERADOR!E:E,"-",0)</f>
        <v>-</v>
      </c>
      <c r="Q1586" s="247">
        <f t="shared" si="176"/>
        <v>0</v>
      </c>
      <c r="R1586" s="259" t="str">
        <f>+_xlfn.XLOOKUP(A1586,PPTO_GENERADOR!$Q:$Q,PPTO_GENERADOR!A:A,"-",0)</f>
        <v>-</v>
      </c>
    </row>
    <row r="1587" spans="1:18" ht="14.25" customHeight="1" x14ac:dyDescent="0.35">
      <c r="A1587" s="38" t="s">
        <v>284</v>
      </c>
      <c r="B1587" s="38" t="s">
        <v>2773</v>
      </c>
      <c r="C1587" s="38"/>
      <c r="D1587" s="38" t="s">
        <v>2016</v>
      </c>
      <c r="E1587" s="44" t="str">
        <f>IFERROR(VLOOKUP(D1587,EQUIPOS!A:B,2,FALSE()),"?")</f>
        <v>Herramientas y consumibles - PTO-1816 TSG</v>
      </c>
      <c r="F1587" s="44"/>
      <c r="G1587" s="45">
        <v>1</v>
      </c>
      <c r="H1587" s="46">
        <v>0</v>
      </c>
      <c r="I1587" s="47">
        <f>IFERROR(VLOOKUP(D1587,EQUIPOS!A:F,6,FALSE()),0)</f>
        <v>24902.845805454501</v>
      </c>
      <c r="J1587" s="42">
        <f>G1587*I1587</f>
        <v>24902.845805454501</v>
      </c>
      <c r="K1587" s="15" t="str">
        <f t="shared" si="173"/>
        <v>PTO-1816|EQ</v>
      </c>
      <c r="L1587" s="15">
        <f>COUNTIFS($K$2:K1587,K1587)</f>
        <v>1</v>
      </c>
      <c r="M1587" s="15" t="str">
        <f t="shared" si="174"/>
        <v>PTO-1816|EQ|1</v>
      </c>
      <c r="N1587" s="47">
        <f>IFERROR(VLOOKUP(A1587,PARTIDAS!A:F,6,FALSE()),0)</f>
        <v>1</v>
      </c>
      <c r="O1587" s="247">
        <f t="shared" si="175"/>
        <v>1</v>
      </c>
      <c r="P1587" s="247">
        <f>+_xlfn.XLOOKUP(A1587,PPTO_GENERADOR!Q:Q,PPTO_GENERADOR!E:E,"-",0)</f>
        <v>1</v>
      </c>
      <c r="Q1587" s="247">
        <f t="shared" si="176"/>
        <v>1</v>
      </c>
      <c r="R1587" s="259">
        <f>+_xlfn.XLOOKUP(A1587,PPTO_GENERADOR!$Q:$Q,PPTO_GENERADOR!A:A,"-",0)</f>
        <v>18.16</v>
      </c>
    </row>
    <row r="1588" spans="1:18" ht="14.25" customHeight="1" x14ac:dyDescent="0.35">
      <c r="A1588" s="38" t="s">
        <v>284</v>
      </c>
      <c r="B1588" s="38" t="s">
        <v>2774</v>
      </c>
      <c r="C1588" s="38" t="s">
        <v>2775</v>
      </c>
      <c r="D1588" s="38" t="s">
        <v>1361</v>
      </c>
      <c r="E1588" s="44" t="str">
        <f>IFERROR(VLOOKUP(D1588,MATERIALES!A:B,2,FALSE()),"?")</f>
        <v>Consumibles</v>
      </c>
      <c r="F1588" s="44" t="str">
        <f>IFERROR(VLOOKUP(D1588,MATERIALES!A:C,3,FALSE()),"?")</f>
        <v>gl</v>
      </c>
      <c r="G1588" s="45">
        <v>218497.83670000001</v>
      </c>
      <c r="H1588" s="46">
        <v>0</v>
      </c>
      <c r="I1588" s="47">
        <f>IFERROR(VLOOKUP(D1588,MATERIALES!A:D,4,FALSE()),0)</f>
        <v>1</v>
      </c>
      <c r="J1588" s="42">
        <f t="shared" ref="J1588:J1601" si="179">G1588*I1588*(1+H1588)</f>
        <v>218497.83670000001</v>
      </c>
      <c r="K1588" s="15" t="str">
        <f t="shared" si="173"/>
        <v>PTO-1816|MAT</v>
      </c>
      <c r="L1588" s="15">
        <f>COUNTIFS($K$2:K1588,K1588)</f>
        <v>1</v>
      </c>
      <c r="M1588" s="15" t="str">
        <f t="shared" si="174"/>
        <v>PTO-1816|MAT|1</v>
      </c>
      <c r="N1588" s="47">
        <f>IFERROR(VLOOKUP(A1588,PARTIDAS!A:F,6,FALSE()),0)</f>
        <v>1</v>
      </c>
      <c r="O1588" s="247">
        <f t="shared" si="175"/>
        <v>218497.83670000001</v>
      </c>
      <c r="P1588" s="247">
        <f>+_xlfn.XLOOKUP(A1588,PPTO_GENERADOR!Q:Q,PPTO_GENERADOR!E:E,"-",0)</f>
        <v>1</v>
      </c>
      <c r="Q1588" s="247">
        <f t="shared" si="176"/>
        <v>218497.83670000001</v>
      </c>
      <c r="R1588" s="259">
        <f>+_xlfn.XLOOKUP(A1588,PPTO_GENERADOR!$Q:$Q,PPTO_GENERADOR!A:A,"-",0)</f>
        <v>18.16</v>
      </c>
    </row>
    <row r="1589" spans="1:18" ht="14.25" customHeight="1" x14ac:dyDescent="0.35">
      <c r="A1589" s="38" t="s">
        <v>284</v>
      </c>
      <c r="B1589" s="38" t="s">
        <v>2774</v>
      </c>
      <c r="C1589" s="38" t="s">
        <v>2775</v>
      </c>
      <c r="D1589" s="38" t="s">
        <v>1373</v>
      </c>
      <c r="E1589" s="44" t="str">
        <f>IFERROR(VLOOKUP(D1589,MATERIALES!A:B,2,FALSE()),"?")</f>
        <v>Voltimetro Display Ojo de Buey 22 mm (220vca ø22mm / IP44)</v>
      </c>
      <c r="F1589" s="44" t="str">
        <f>IFERROR(VLOOKUP(D1589,MATERIALES!A:C,3,FALSE()),"?")</f>
        <v>u</v>
      </c>
      <c r="G1589" s="45">
        <v>3</v>
      </c>
      <c r="H1589" s="46">
        <v>0</v>
      </c>
      <c r="I1589" s="47">
        <f>IFERROR(VLOOKUP(D1589,MATERIALES!A:D,4,FALSE()),0)</f>
        <v>3656.19834710744</v>
      </c>
      <c r="J1589" s="42">
        <f t="shared" si="179"/>
        <v>10968.59504132232</v>
      </c>
      <c r="K1589" s="15" t="str">
        <f t="shared" si="173"/>
        <v>PTO-1816|MAT</v>
      </c>
      <c r="L1589" s="15">
        <f>COUNTIFS($K$2:K1589,K1589)</f>
        <v>2</v>
      </c>
      <c r="M1589" s="15" t="str">
        <f t="shared" si="174"/>
        <v>PTO-1816|MAT|2</v>
      </c>
      <c r="N1589" s="47">
        <f>IFERROR(VLOOKUP(A1589,PARTIDAS!A:F,6,FALSE()),0)</f>
        <v>1</v>
      </c>
      <c r="O1589" s="247">
        <f t="shared" si="175"/>
        <v>3</v>
      </c>
      <c r="P1589" s="247">
        <f>+_xlfn.XLOOKUP(A1589,PPTO_GENERADOR!Q:Q,PPTO_GENERADOR!E:E,"-",0)</f>
        <v>1</v>
      </c>
      <c r="Q1589" s="247">
        <f t="shared" si="176"/>
        <v>3</v>
      </c>
      <c r="R1589" s="259">
        <f>+_xlfn.XLOOKUP(A1589,PPTO_GENERADOR!$Q:$Q,PPTO_GENERADOR!A:A,"-",0)</f>
        <v>18.16</v>
      </c>
    </row>
    <row r="1590" spans="1:18" ht="14.25" customHeight="1" x14ac:dyDescent="0.35">
      <c r="A1590" s="38" t="s">
        <v>284</v>
      </c>
      <c r="B1590" s="38" t="s">
        <v>2774</v>
      </c>
      <c r="C1590" s="38" t="s">
        <v>2775</v>
      </c>
      <c r="D1590" s="38" t="s">
        <v>1377</v>
      </c>
      <c r="E1590" s="44" t="str">
        <f>IFERROR(VLOOKUP(D1590,MATERIALES!A:B,2,FALSE()),"?")</f>
        <v>STECK DIFERENCIAL 4X40A 30MA (4x40A)</v>
      </c>
      <c r="F1590" s="44" t="str">
        <f>IFERROR(VLOOKUP(D1590,MATERIALES!A:C,3,FALSE()),"?")</f>
        <v>u</v>
      </c>
      <c r="G1590" s="45">
        <v>3</v>
      </c>
      <c r="H1590" s="46">
        <v>0</v>
      </c>
      <c r="I1590" s="47">
        <f>IFERROR(VLOOKUP(D1590,MATERIALES!A:D,4,FALSE()),0)</f>
        <v>35881.19</v>
      </c>
      <c r="J1590" s="42">
        <f t="shared" si="179"/>
        <v>107643.57</v>
      </c>
      <c r="K1590" s="15" t="str">
        <f t="shared" si="173"/>
        <v>PTO-1816|MAT</v>
      </c>
      <c r="L1590" s="15">
        <f>COUNTIFS($K$2:K1590,K1590)</f>
        <v>3</v>
      </c>
      <c r="M1590" s="15" t="str">
        <f t="shared" si="174"/>
        <v>PTO-1816|MAT|3</v>
      </c>
      <c r="N1590" s="47">
        <f>IFERROR(VLOOKUP(A1590,PARTIDAS!A:F,6,FALSE()),0)</f>
        <v>1</v>
      </c>
      <c r="O1590" s="247">
        <f t="shared" si="175"/>
        <v>3</v>
      </c>
      <c r="P1590" s="247">
        <f>+_xlfn.XLOOKUP(A1590,PPTO_GENERADOR!Q:Q,PPTO_GENERADOR!E:E,"-",0)</f>
        <v>1</v>
      </c>
      <c r="Q1590" s="247">
        <f t="shared" si="176"/>
        <v>3</v>
      </c>
      <c r="R1590" s="259">
        <f>+_xlfn.XLOOKUP(A1590,PPTO_GENERADOR!$Q:$Q,PPTO_GENERADOR!A:A,"-",0)</f>
        <v>18.16</v>
      </c>
    </row>
    <row r="1591" spans="1:18" ht="14.25" customHeight="1" x14ac:dyDescent="0.35">
      <c r="A1591" s="38" t="s">
        <v>284</v>
      </c>
      <c r="B1591" s="38" t="s">
        <v>2774</v>
      </c>
      <c r="C1591" s="38" t="s">
        <v>2775</v>
      </c>
      <c r="D1591" s="38" t="s">
        <v>1379</v>
      </c>
      <c r="E1591" s="44" t="str">
        <f>IFERROR(VLOOKUP(D1591,MATERIALES!A:B,2,FALSE()),"?")</f>
        <v>STECK DIFERENCIAL 2X25A 30MA (2X40A)</v>
      </c>
      <c r="F1591" s="44" t="str">
        <f>IFERROR(VLOOKUP(D1591,MATERIALES!A:C,3,FALSE()),"?")</f>
        <v>u</v>
      </c>
      <c r="G1591" s="45">
        <v>9</v>
      </c>
      <c r="H1591" s="46">
        <v>0</v>
      </c>
      <c r="I1591" s="47">
        <f>IFERROR(VLOOKUP(D1591,MATERIALES!A:D,4,FALSE()),0)</f>
        <v>18770.66</v>
      </c>
      <c r="J1591" s="42">
        <f t="shared" si="179"/>
        <v>168935.94</v>
      </c>
      <c r="K1591" s="15" t="str">
        <f t="shared" si="173"/>
        <v>PTO-1816|MAT</v>
      </c>
      <c r="L1591" s="15">
        <f>COUNTIFS($K$2:K1591,K1591)</f>
        <v>4</v>
      </c>
      <c r="M1591" s="15" t="str">
        <f t="shared" si="174"/>
        <v>PTO-1816|MAT|4</v>
      </c>
      <c r="N1591" s="47">
        <f>IFERROR(VLOOKUP(A1591,PARTIDAS!A:F,6,FALSE()),0)</f>
        <v>1</v>
      </c>
      <c r="O1591" s="247">
        <f t="shared" si="175"/>
        <v>9</v>
      </c>
      <c r="P1591" s="247">
        <f>+_xlfn.XLOOKUP(A1591,PPTO_GENERADOR!Q:Q,PPTO_GENERADOR!E:E,"-",0)</f>
        <v>1</v>
      </c>
      <c r="Q1591" s="247">
        <f t="shared" si="176"/>
        <v>9</v>
      </c>
      <c r="R1591" s="259">
        <f>+_xlfn.XLOOKUP(A1591,PPTO_GENERADOR!$Q:$Q,PPTO_GENERADOR!A:A,"-",0)</f>
        <v>18.16</v>
      </c>
    </row>
    <row r="1592" spans="1:18" ht="14.25" customHeight="1" x14ac:dyDescent="0.35">
      <c r="A1592" s="38" t="s">
        <v>284</v>
      </c>
      <c r="B1592" s="38" t="s">
        <v>2774</v>
      </c>
      <c r="C1592" s="38" t="s">
        <v>2775</v>
      </c>
      <c r="D1592" s="38" t="s">
        <v>1381</v>
      </c>
      <c r="E1592" s="44" t="str">
        <f>IFERROR(VLOOKUP(D1592,MATERIALES!A:B,2,FALSE()),"?")</f>
        <v>STECK TM TETRAPOLAR 50A 6KA (4 x 50 A)</v>
      </c>
      <c r="F1592" s="44" t="str">
        <f>IFERROR(VLOOKUP(D1592,MATERIALES!A:C,3,FALSE()),"?")</f>
        <v>u</v>
      </c>
      <c r="G1592" s="45">
        <v>2</v>
      </c>
      <c r="H1592" s="46">
        <v>0</v>
      </c>
      <c r="I1592" s="47">
        <f>IFERROR(VLOOKUP(D1592,MATERIALES!A:D,4,FALSE()),0)</f>
        <v>11960.81</v>
      </c>
      <c r="J1592" s="42">
        <f t="shared" si="179"/>
        <v>23921.62</v>
      </c>
      <c r="K1592" s="15" t="str">
        <f t="shared" si="173"/>
        <v>PTO-1816|MAT</v>
      </c>
      <c r="L1592" s="15">
        <f>COUNTIFS($K$2:K1592,K1592)</f>
        <v>5</v>
      </c>
      <c r="M1592" s="15" t="str">
        <f t="shared" si="174"/>
        <v>PTO-1816|MAT|5</v>
      </c>
      <c r="N1592" s="47">
        <f>IFERROR(VLOOKUP(A1592,PARTIDAS!A:F,6,FALSE()),0)</f>
        <v>1</v>
      </c>
      <c r="O1592" s="247">
        <f t="shared" si="175"/>
        <v>2</v>
      </c>
      <c r="P1592" s="247">
        <f>+_xlfn.XLOOKUP(A1592,PPTO_GENERADOR!Q:Q,PPTO_GENERADOR!E:E,"-",0)</f>
        <v>1</v>
      </c>
      <c r="Q1592" s="247">
        <f t="shared" si="176"/>
        <v>2</v>
      </c>
      <c r="R1592" s="259">
        <f>+_xlfn.XLOOKUP(A1592,PPTO_GENERADOR!$Q:$Q,PPTO_GENERADOR!A:A,"-",0)</f>
        <v>18.16</v>
      </c>
    </row>
    <row r="1593" spans="1:18" ht="14.25" customHeight="1" x14ac:dyDescent="0.35">
      <c r="A1593" s="38" t="s">
        <v>284</v>
      </c>
      <c r="B1593" s="38" t="s">
        <v>2774</v>
      </c>
      <c r="C1593" s="38" t="s">
        <v>2775</v>
      </c>
      <c r="D1593" s="38" t="s">
        <v>1383</v>
      </c>
      <c r="E1593" s="44" t="str">
        <f>IFERROR(VLOOKUP(D1593,MATERIALES!A:B,2,FALSE()),"?")</f>
        <v>STECK TM TETRAPOLAR 32A 6KA (4 X 25A)</v>
      </c>
      <c r="F1593" s="44" t="str">
        <f>IFERROR(VLOOKUP(D1593,MATERIALES!A:C,3,FALSE()),"?")</f>
        <v>u</v>
      </c>
      <c r="G1593" s="45">
        <v>2</v>
      </c>
      <c r="H1593" s="46">
        <v>0</v>
      </c>
      <c r="I1593" s="47">
        <f>IFERROR(VLOOKUP(D1593,MATERIALES!A:D,4,FALSE()),0)</f>
        <v>11163.59</v>
      </c>
      <c r="J1593" s="42">
        <f t="shared" si="179"/>
        <v>22327.18</v>
      </c>
      <c r="K1593" s="15" t="str">
        <f t="shared" si="173"/>
        <v>PTO-1816|MAT</v>
      </c>
      <c r="L1593" s="15">
        <f>COUNTIFS($K$2:K1593,K1593)</f>
        <v>6</v>
      </c>
      <c r="M1593" s="15" t="str">
        <f t="shared" si="174"/>
        <v>PTO-1816|MAT|6</v>
      </c>
      <c r="N1593" s="47">
        <f>IFERROR(VLOOKUP(A1593,PARTIDAS!A:F,6,FALSE()),0)</f>
        <v>1</v>
      </c>
      <c r="O1593" s="247">
        <f t="shared" si="175"/>
        <v>2</v>
      </c>
      <c r="P1593" s="247">
        <f>+_xlfn.XLOOKUP(A1593,PPTO_GENERADOR!Q:Q,PPTO_GENERADOR!E:E,"-",0)</f>
        <v>1</v>
      </c>
      <c r="Q1593" s="247">
        <f t="shared" si="176"/>
        <v>2</v>
      </c>
      <c r="R1593" s="259">
        <f>+_xlfn.XLOOKUP(A1593,PPTO_GENERADOR!$Q:$Q,PPTO_GENERADOR!A:A,"-",0)</f>
        <v>18.16</v>
      </c>
    </row>
    <row r="1594" spans="1:18" ht="14.25" customHeight="1" x14ac:dyDescent="0.35">
      <c r="A1594" s="38" t="s">
        <v>284</v>
      </c>
      <c r="B1594" s="38" t="s">
        <v>2774</v>
      </c>
      <c r="C1594" s="38" t="s">
        <v>2775</v>
      </c>
      <c r="D1594" s="38" t="s">
        <v>1385</v>
      </c>
      <c r="E1594" s="44" t="str">
        <f>IFERROR(VLOOKUP(D1594,MATERIALES!A:B,2,FALSE()),"?")</f>
        <v>STECK TM BIPOLAR 16A 6KA (2 X 16A)</v>
      </c>
      <c r="F1594" s="44" t="str">
        <f>IFERROR(VLOOKUP(D1594,MATERIALES!A:C,3,FALSE()),"?")</f>
        <v>u</v>
      </c>
      <c r="G1594" s="45">
        <v>10</v>
      </c>
      <c r="H1594" s="46">
        <v>0</v>
      </c>
      <c r="I1594" s="47">
        <f>IFERROR(VLOOKUP(D1594,MATERIALES!A:D,4,FALSE()),0)</f>
        <v>5287.23</v>
      </c>
      <c r="J1594" s="42">
        <f t="shared" si="179"/>
        <v>52872.299999999996</v>
      </c>
      <c r="K1594" s="15" t="str">
        <f t="shared" si="173"/>
        <v>PTO-1816|MAT</v>
      </c>
      <c r="L1594" s="15">
        <f>COUNTIFS($K$2:K1594,K1594)</f>
        <v>7</v>
      </c>
      <c r="M1594" s="15" t="str">
        <f t="shared" si="174"/>
        <v>PTO-1816|MAT|7</v>
      </c>
      <c r="N1594" s="47">
        <f>IFERROR(VLOOKUP(A1594,PARTIDAS!A:F,6,FALSE()),0)</f>
        <v>1</v>
      </c>
      <c r="O1594" s="247">
        <f t="shared" si="175"/>
        <v>10</v>
      </c>
      <c r="P1594" s="247">
        <f>+_xlfn.XLOOKUP(A1594,PPTO_GENERADOR!Q:Q,PPTO_GENERADOR!E:E,"-",0)</f>
        <v>1</v>
      </c>
      <c r="Q1594" s="247">
        <f t="shared" si="176"/>
        <v>10</v>
      </c>
      <c r="R1594" s="259">
        <f>+_xlfn.XLOOKUP(A1594,PPTO_GENERADOR!$Q:$Q,PPTO_GENERADOR!A:A,"-",0)</f>
        <v>18.16</v>
      </c>
    </row>
    <row r="1595" spans="1:18" ht="14.25" customHeight="1" x14ac:dyDescent="0.35">
      <c r="A1595" s="38" t="s">
        <v>284</v>
      </c>
      <c r="B1595" s="38" t="s">
        <v>2774</v>
      </c>
      <c r="C1595" s="38" t="s">
        <v>2775</v>
      </c>
      <c r="D1595" s="38" t="s">
        <v>1387</v>
      </c>
      <c r="E1595" s="44" t="str">
        <f>IFERROR(VLOOKUP(D1595,MATERIALES!A:B,2,FALSE()),"?")</f>
        <v>STECK TM BIPOLAR 10A 6KA (2 X 10A)</v>
      </c>
      <c r="F1595" s="44" t="str">
        <f>IFERROR(VLOOKUP(D1595,MATERIALES!A:C,3,FALSE()),"?")</f>
        <v>u</v>
      </c>
      <c r="G1595" s="45">
        <v>15</v>
      </c>
      <c r="H1595" s="46">
        <v>0</v>
      </c>
      <c r="I1595" s="47">
        <f>IFERROR(VLOOKUP(D1595,MATERIALES!A:D,4,FALSE()),0)</f>
        <v>5287.23</v>
      </c>
      <c r="J1595" s="42">
        <f t="shared" si="179"/>
        <v>79308.45</v>
      </c>
      <c r="K1595" s="15" t="str">
        <f t="shared" si="173"/>
        <v>PTO-1816|MAT</v>
      </c>
      <c r="L1595" s="15">
        <f>COUNTIFS($K$2:K1595,K1595)</f>
        <v>8</v>
      </c>
      <c r="M1595" s="15" t="str">
        <f t="shared" si="174"/>
        <v>PTO-1816|MAT|8</v>
      </c>
      <c r="N1595" s="47">
        <f>IFERROR(VLOOKUP(A1595,PARTIDAS!A:F,6,FALSE()),0)</f>
        <v>1</v>
      </c>
      <c r="O1595" s="247">
        <f t="shared" si="175"/>
        <v>15</v>
      </c>
      <c r="P1595" s="247">
        <f>+_xlfn.XLOOKUP(A1595,PPTO_GENERADOR!Q:Q,PPTO_GENERADOR!E:E,"-",0)</f>
        <v>1</v>
      </c>
      <c r="Q1595" s="247">
        <f t="shared" si="176"/>
        <v>15</v>
      </c>
      <c r="R1595" s="259">
        <f>+_xlfn.XLOOKUP(A1595,PPTO_GENERADOR!$Q:$Q,PPTO_GENERADOR!A:A,"-",0)</f>
        <v>18.16</v>
      </c>
    </row>
    <row r="1596" spans="1:18" ht="14.25" customHeight="1" x14ac:dyDescent="0.35">
      <c r="A1596" s="38" t="s">
        <v>284</v>
      </c>
      <c r="B1596" s="38" t="s">
        <v>2774</v>
      </c>
      <c r="C1596" s="38" t="s">
        <v>2775</v>
      </c>
      <c r="D1596" s="38" t="s">
        <v>1389</v>
      </c>
      <c r="E1596" s="44" t="str">
        <f>IFERROR(VLOOKUP(D1596,MATERIALES!A:B,2,FALSE()),"?")</f>
        <v>GAB. IP65 SERIE 9000 600X900X225</v>
      </c>
      <c r="F1596" s="44" t="str">
        <f>IFERROR(VLOOKUP(D1596,MATERIALES!A:C,3,FALSE()),"?")</f>
        <v>u</v>
      </c>
      <c r="G1596" s="45">
        <v>1</v>
      </c>
      <c r="H1596" s="46">
        <v>0</v>
      </c>
      <c r="I1596" s="47">
        <f>IFERROR(VLOOKUP(D1596,MATERIALES!A:D,4,FALSE()),0)</f>
        <v>267503.51</v>
      </c>
      <c r="J1596" s="42">
        <f t="shared" si="179"/>
        <v>267503.51</v>
      </c>
      <c r="K1596" s="15" t="str">
        <f t="shared" si="173"/>
        <v>PTO-1816|MAT</v>
      </c>
      <c r="L1596" s="15">
        <f>COUNTIFS($K$2:K1596,K1596)</f>
        <v>9</v>
      </c>
      <c r="M1596" s="15" t="str">
        <f t="shared" si="174"/>
        <v>PTO-1816|MAT|9</v>
      </c>
      <c r="N1596" s="47">
        <f>IFERROR(VLOOKUP(A1596,PARTIDAS!A:F,6,FALSE()),0)</f>
        <v>1</v>
      </c>
      <c r="O1596" s="247">
        <f t="shared" si="175"/>
        <v>1</v>
      </c>
      <c r="P1596" s="247">
        <f>+_xlfn.XLOOKUP(A1596,PPTO_GENERADOR!Q:Q,PPTO_GENERADOR!E:E,"-",0)</f>
        <v>1</v>
      </c>
      <c r="Q1596" s="247">
        <f t="shared" si="176"/>
        <v>1</v>
      </c>
      <c r="R1596" s="259">
        <f>+_xlfn.XLOOKUP(A1596,PPTO_GENERADOR!$Q:$Q,PPTO_GENERADOR!A:A,"-",0)</f>
        <v>18.16</v>
      </c>
    </row>
    <row r="1597" spans="1:18" ht="14.25" customHeight="1" x14ac:dyDescent="0.35">
      <c r="A1597" s="38" t="s">
        <v>284</v>
      </c>
      <c r="B1597" s="38" t="s">
        <v>2774</v>
      </c>
      <c r="C1597" s="38" t="s">
        <v>2775</v>
      </c>
      <c r="D1597" s="38" t="s">
        <v>1391</v>
      </c>
      <c r="E1597" s="44" t="str">
        <f>IFERROR(VLOOKUP(D1597,MATERIALES!A:B,2,FALSE()),"?")</f>
        <v>CONTRAF ABISAG CALADO 60BIP S9000 600X900</v>
      </c>
      <c r="F1597" s="44" t="str">
        <f>IFERROR(VLOOKUP(D1597,MATERIALES!A:C,3,FALSE()),"?")</f>
        <v>u</v>
      </c>
      <c r="G1597" s="45">
        <v>1</v>
      </c>
      <c r="H1597" s="46">
        <v>0</v>
      </c>
      <c r="I1597" s="47">
        <f>IFERROR(VLOOKUP(D1597,MATERIALES!A:D,4,FALSE()),0)</f>
        <v>96123.97</v>
      </c>
      <c r="J1597" s="42">
        <f t="shared" si="179"/>
        <v>96123.97</v>
      </c>
      <c r="K1597" s="15" t="str">
        <f t="shared" si="173"/>
        <v>PTO-1816|MAT</v>
      </c>
      <c r="L1597" s="15">
        <f>COUNTIFS($K$2:K1597,K1597)</f>
        <v>10</v>
      </c>
      <c r="M1597" s="15" t="str">
        <f t="shared" si="174"/>
        <v>PTO-1816|MAT|10</v>
      </c>
      <c r="N1597" s="47">
        <f>IFERROR(VLOOKUP(A1597,PARTIDAS!A:F,6,FALSE()),0)</f>
        <v>1</v>
      </c>
      <c r="O1597" s="247">
        <f t="shared" si="175"/>
        <v>1</v>
      </c>
      <c r="P1597" s="247">
        <f>+_xlfn.XLOOKUP(A1597,PPTO_GENERADOR!Q:Q,PPTO_GENERADOR!E:E,"-",0)</f>
        <v>1</v>
      </c>
      <c r="Q1597" s="247">
        <f t="shared" si="176"/>
        <v>1</v>
      </c>
      <c r="R1597" s="259">
        <f>+_xlfn.XLOOKUP(A1597,PPTO_GENERADOR!$Q:$Q,PPTO_GENERADOR!A:A,"-",0)</f>
        <v>18.16</v>
      </c>
    </row>
    <row r="1598" spans="1:18" ht="14.25" customHeight="1" x14ac:dyDescent="0.35">
      <c r="A1598" s="38" t="s">
        <v>284</v>
      </c>
      <c r="B1598" s="38" t="s">
        <v>2774</v>
      </c>
      <c r="C1598" s="38" t="s">
        <v>2775</v>
      </c>
      <c r="D1598" s="38" t="s">
        <v>1393</v>
      </c>
      <c r="E1598" s="44" t="str">
        <f>IFERROR(VLOOKUP(D1598,MATERIALES!A:B,2,FALSE()),"?")</f>
        <v>SOP REG P/CONTRAFRENTE PROF 225 X1</v>
      </c>
      <c r="F1598" s="44" t="str">
        <f>IFERROR(VLOOKUP(D1598,MATERIALES!A:C,3,FALSE()),"?")</f>
        <v>u</v>
      </c>
      <c r="G1598" s="45">
        <v>1</v>
      </c>
      <c r="H1598" s="46">
        <v>0</v>
      </c>
      <c r="I1598" s="47">
        <f>IFERROR(VLOOKUP(D1598,MATERIALES!A:D,4,FALSE()),0)</f>
        <v>9297.0300000000007</v>
      </c>
      <c r="J1598" s="42">
        <f t="shared" si="179"/>
        <v>9297.0300000000007</v>
      </c>
      <c r="K1598" s="15" t="str">
        <f t="shared" si="173"/>
        <v>PTO-1816|MAT</v>
      </c>
      <c r="L1598" s="15">
        <f>COUNTIFS($K$2:K1598,K1598)</f>
        <v>11</v>
      </c>
      <c r="M1598" s="15" t="str">
        <f t="shared" si="174"/>
        <v>PTO-1816|MAT|11</v>
      </c>
      <c r="N1598" s="47">
        <f>IFERROR(VLOOKUP(A1598,PARTIDAS!A:F,6,FALSE()),0)</f>
        <v>1</v>
      </c>
      <c r="O1598" s="247">
        <f t="shared" si="175"/>
        <v>1</v>
      </c>
      <c r="P1598" s="247">
        <f>+_xlfn.XLOOKUP(A1598,PPTO_GENERADOR!Q:Q,PPTO_GENERADOR!E:E,"-",0)</f>
        <v>1</v>
      </c>
      <c r="Q1598" s="247">
        <f t="shared" si="176"/>
        <v>1</v>
      </c>
      <c r="R1598" s="259">
        <f>+_xlfn.XLOOKUP(A1598,PPTO_GENERADOR!$Q:$Q,PPTO_GENERADOR!A:A,"-",0)</f>
        <v>18.16</v>
      </c>
    </row>
    <row r="1599" spans="1:18" ht="14.25" customHeight="1" x14ac:dyDescent="0.35">
      <c r="A1599" s="38" t="s">
        <v>284</v>
      </c>
      <c r="B1599" s="38" t="s">
        <v>2774</v>
      </c>
      <c r="C1599" s="38" t="s">
        <v>2775</v>
      </c>
      <c r="D1599" s="38" t="s">
        <v>1395</v>
      </c>
      <c r="E1599" s="44" t="str">
        <f>IFERROR(VLOOKUP(D1599,MATERIALES!A:B,2,FALSE()),"?")</f>
        <v>RIEL PORTA ELEMENTOS X 1 METRO</v>
      </c>
      <c r="F1599" s="44" t="str">
        <f>IFERROR(VLOOKUP(D1599,MATERIALES!A:C,3,FALSE()),"?")</f>
        <v>u</v>
      </c>
      <c r="G1599" s="45">
        <v>3</v>
      </c>
      <c r="H1599" s="46">
        <v>0</v>
      </c>
      <c r="I1599" s="47">
        <f>IFERROR(VLOOKUP(D1599,MATERIALES!A:D,4,FALSE()),0)</f>
        <v>14702.99</v>
      </c>
      <c r="J1599" s="42">
        <f t="shared" si="179"/>
        <v>44108.97</v>
      </c>
      <c r="K1599" s="15" t="str">
        <f t="shared" si="173"/>
        <v>PTO-1816|MAT</v>
      </c>
      <c r="L1599" s="15">
        <f>COUNTIFS($K$2:K1599,K1599)</f>
        <v>12</v>
      </c>
      <c r="M1599" s="15" t="str">
        <f t="shared" si="174"/>
        <v>PTO-1816|MAT|12</v>
      </c>
      <c r="N1599" s="47">
        <f>IFERROR(VLOOKUP(A1599,PARTIDAS!A:F,6,FALSE()),0)</f>
        <v>1</v>
      </c>
      <c r="O1599" s="247">
        <f t="shared" si="175"/>
        <v>3</v>
      </c>
      <c r="P1599" s="247">
        <f>+_xlfn.XLOOKUP(A1599,PPTO_GENERADOR!Q:Q,PPTO_GENERADOR!E:E,"-",0)</f>
        <v>1</v>
      </c>
      <c r="Q1599" s="247">
        <f t="shared" si="176"/>
        <v>3</v>
      </c>
      <c r="R1599" s="259">
        <f>+_xlfn.XLOOKUP(A1599,PPTO_GENERADOR!$Q:$Q,PPTO_GENERADOR!A:A,"-",0)</f>
        <v>18.16</v>
      </c>
    </row>
    <row r="1600" spans="1:18" ht="14.25" customHeight="1" x14ac:dyDescent="0.35">
      <c r="A1600" s="38" t="s">
        <v>284</v>
      </c>
      <c r="B1600" s="38" t="s">
        <v>2774</v>
      </c>
      <c r="C1600" s="38" t="s">
        <v>2775</v>
      </c>
      <c r="D1600" s="38" t="s">
        <v>1397</v>
      </c>
      <c r="E1600" s="44" t="str">
        <f>IFERROR(VLOOKUP(D1600,MATERIALES!A:B,2,FALSE()),"?")</f>
        <v>DISTRIBUIDOR TETRAP.160A 15 STD</v>
      </c>
      <c r="F1600" s="44" t="str">
        <f>IFERROR(VLOOKUP(D1600,MATERIALES!A:C,3,FALSE()),"?")</f>
        <v>u</v>
      </c>
      <c r="G1600" s="45">
        <v>1</v>
      </c>
      <c r="H1600" s="46">
        <v>0</v>
      </c>
      <c r="I1600" s="47">
        <f>IFERROR(VLOOKUP(D1600,MATERIALES!A:D,4,FALSE()),0)</f>
        <v>113610.28</v>
      </c>
      <c r="J1600" s="42">
        <f t="shared" si="179"/>
        <v>113610.28</v>
      </c>
      <c r="K1600" s="15" t="str">
        <f t="shared" si="173"/>
        <v>PTO-1816|MAT</v>
      </c>
      <c r="L1600" s="15">
        <f>COUNTIFS($K$2:K1600,K1600)</f>
        <v>13</v>
      </c>
      <c r="M1600" s="15" t="str">
        <f t="shared" si="174"/>
        <v>PTO-1816|MAT|13</v>
      </c>
      <c r="N1600" s="47">
        <f>IFERROR(VLOOKUP(A1600,PARTIDAS!A:F,6,FALSE()),0)</f>
        <v>1</v>
      </c>
      <c r="O1600" s="247">
        <f t="shared" si="175"/>
        <v>1</v>
      </c>
      <c r="P1600" s="247">
        <f>+_xlfn.XLOOKUP(A1600,PPTO_GENERADOR!Q:Q,PPTO_GENERADOR!E:E,"-",0)</f>
        <v>1</v>
      </c>
      <c r="Q1600" s="247">
        <f t="shared" si="176"/>
        <v>1</v>
      </c>
      <c r="R1600" s="259">
        <f>+_xlfn.XLOOKUP(A1600,PPTO_GENERADOR!$Q:$Q,PPTO_GENERADOR!A:A,"-",0)</f>
        <v>18.16</v>
      </c>
    </row>
    <row r="1601" spans="1:18" ht="14.25" customHeight="1" x14ac:dyDescent="0.35">
      <c r="A1601" s="38" t="s">
        <v>284</v>
      </c>
      <c r="B1601" s="38" t="s">
        <v>2774</v>
      </c>
      <c r="C1601" s="38" t="s">
        <v>2775</v>
      </c>
      <c r="D1601" s="38" t="s">
        <v>1399</v>
      </c>
      <c r="E1601" s="44" t="str">
        <f>IFERROR(VLOOKUP(D1601,MATERIALES!A:B,2,FALSE()),"?")</f>
        <v>RLLOX100M 1X 6,0MM NEGRO N.IRAM (1 x 6 mm)</v>
      </c>
      <c r="F1601" s="44" t="str">
        <f>IFERROR(VLOOKUP(D1601,MATERIALES!A:C,3,FALSE()),"?")</f>
        <v>u</v>
      </c>
      <c r="G1601" s="45">
        <v>1</v>
      </c>
      <c r="H1601" s="46">
        <v>0</v>
      </c>
      <c r="I1601" s="47">
        <f>IFERROR(VLOOKUP(D1601,MATERIALES!A:D,4,FALSE()),0)</f>
        <v>95867.7685950413</v>
      </c>
      <c r="J1601" s="42">
        <f t="shared" si="179"/>
        <v>95867.7685950413</v>
      </c>
      <c r="K1601" s="15" t="str">
        <f t="shared" si="173"/>
        <v>PTO-1816|MAT</v>
      </c>
      <c r="L1601" s="15">
        <f>COUNTIFS($K$2:K1601,K1601)</f>
        <v>14</v>
      </c>
      <c r="M1601" s="15" t="str">
        <f t="shared" si="174"/>
        <v>PTO-1816|MAT|14</v>
      </c>
      <c r="N1601" s="47">
        <f>IFERROR(VLOOKUP(A1601,PARTIDAS!A:F,6,FALSE()),0)</f>
        <v>1</v>
      </c>
      <c r="O1601" s="247">
        <f t="shared" si="175"/>
        <v>1</v>
      </c>
      <c r="P1601" s="247">
        <f>+_xlfn.XLOOKUP(A1601,PPTO_GENERADOR!Q:Q,PPTO_GENERADOR!E:E,"-",0)</f>
        <v>1</v>
      </c>
      <c r="Q1601" s="247">
        <f t="shared" si="176"/>
        <v>1</v>
      </c>
      <c r="R1601" s="259">
        <f>+_xlfn.XLOOKUP(A1601,PPTO_GENERADOR!$Q:$Q,PPTO_GENERADOR!A:A,"-",0)</f>
        <v>18.16</v>
      </c>
    </row>
    <row r="1602" spans="1:18" ht="14.25" customHeight="1" x14ac:dyDescent="0.35">
      <c r="A1602" s="38" t="s">
        <v>284</v>
      </c>
      <c r="B1602" s="38" t="s">
        <v>2776</v>
      </c>
      <c r="C1602" s="38" t="s">
        <v>2775</v>
      </c>
      <c r="D1602" s="38" t="s">
        <v>2186</v>
      </c>
      <c r="E1602" s="44" t="str">
        <f>IFERROR(VLOOKUP(D1602,SUBCONTRATOS_PRY!A:B,2,FALSE()),"?")</f>
        <v>Tablero seccional de 36 a 54 polos</v>
      </c>
      <c r="F1602" s="44" t="s">
        <v>2778</v>
      </c>
      <c r="G1602" s="45">
        <v>1</v>
      </c>
      <c r="H1602" s="46">
        <v>0</v>
      </c>
      <c r="I1602" s="47">
        <f>IFERROR(VLOOKUP(D1602,SUBCONTRATOS_PRY!A:D,4,FALSE()),0)</f>
        <v>349202.7</v>
      </c>
      <c r="J1602" s="42">
        <f>G1602*I1602</f>
        <v>349202.7</v>
      </c>
      <c r="K1602" s="15" t="str">
        <f t="shared" ref="K1602:K1665" si="180">A1602&amp;"|"&amp;B1602</f>
        <v>PTO-1816|MO</v>
      </c>
      <c r="L1602" s="15">
        <f>COUNTIFS($K$2:K1602,K1602)</f>
        <v>1</v>
      </c>
      <c r="M1602" s="15" t="str">
        <f t="shared" ref="M1602:M1665" si="181">K1602&amp;"|"&amp;L1602</f>
        <v>PTO-1816|MO|1</v>
      </c>
      <c r="N1602" s="47">
        <f>IFERROR(VLOOKUP(A1602,PARTIDAS!A:F,6,FALSE()),0)</f>
        <v>1</v>
      </c>
      <c r="O1602" s="247">
        <f t="shared" si="175"/>
        <v>1</v>
      </c>
      <c r="P1602" s="247">
        <f>+_xlfn.XLOOKUP(A1602,PPTO_GENERADOR!Q:Q,PPTO_GENERADOR!E:E,"-",0)</f>
        <v>1</v>
      </c>
      <c r="Q1602" s="247">
        <f t="shared" si="176"/>
        <v>1</v>
      </c>
      <c r="R1602" s="259">
        <f>+_xlfn.XLOOKUP(A1602,PPTO_GENERADOR!$Q:$Q,PPTO_GENERADOR!A:A,"-",0)</f>
        <v>18.16</v>
      </c>
    </row>
    <row r="1603" spans="1:18" ht="14.25" customHeight="1" x14ac:dyDescent="0.35">
      <c r="A1603" s="38" t="s">
        <v>286</v>
      </c>
      <c r="B1603" s="38" t="s">
        <v>2773</v>
      </c>
      <c r="C1603" s="38"/>
      <c r="D1603" s="38" t="s">
        <v>2019</v>
      </c>
      <c r="E1603" s="44" t="str">
        <f>IFERROR(VLOOKUP(D1603,EQUIPOS!A:B,2,FALSE()),"?")</f>
        <v>Herramientas y consumibles - PTO-1817 TSBI</v>
      </c>
      <c r="F1603" s="44"/>
      <c r="G1603" s="45">
        <v>1</v>
      </c>
      <c r="H1603" s="46">
        <v>0</v>
      </c>
      <c r="I1603" s="47">
        <f>IFERROR(VLOOKUP(D1603,EQUIPOS!A:F,6,FALSE()),0)</f>
        <v>12375.4438807438</v>
      </c>
      <c r="J1603" s="42">
        <f>G1603*I1603</f>
        <v>12375.4438807438</v>
      </c>
      <c r="K1603" s="15" t="str">
        <f t="shared" si="180"/>
        <v>PTO-1817|EQ</v>
      </c>
      <c r="L1603" s="15">
        <f>COUNTIFS($K$2:K1603,K1603)</f>
        <v>1</v>
      </c>
      <c r="M1603" s="15" t="str">
        <f t="shared" si="181"/>
        <v>PTO-1817|EQ|1</v>
      </c>
      <c r="N1603" s="47">
        <f>IFERROR(VLOOKUP(A1603,PARTIDAS!A:F,6,FALSE()),0)</f>
        <v>1</v>
      </c>
      <c r="O1603" s="247">
        <f t="shared" ref="O1603:O1666" si="182">+IF(C1603="ALB",G1603/N1603,G1603)</f>
        <v>1</v>
      </c>
      <c r="P1603" s="247">
        <f>+_xlfn.XLOOKUP(A1603,PPTO_GENERADOR!Q:Q,PPTO_GENERADOR!E:E,"-",0)</f>
        <v>1</v>
      </c>
      <c r="Q1603" s="247">
        <f t="shared" ref="Q1603:Q1666" si="183">IFERROR(P1603*O1603,0)</f>
        <v>1</v>
      </c>
      <c r="R1603" s="259">
        <f>+_xlfn.XLOOKUP(A1603,PPTO_GENERADOR!$Q:$Q,PPTO_GENERADOR!A:A,"-",0)</f>
        <v>18.170000000000002</v>
      </c>
    </row>
    <row r="1604" spans="1:18" ht="14.25" customHeight="1" x14ac:dyDescent="0.35">
      <c r="A1604" s="38" t="s">
        <v>286</v>
      </c>
      <c r="B1604" s="38" t="s">
        <v>2774</v>
      </c>
      <c r="C1604" s="38" t="s">
        <v>2775</v>
      </c>
      <c r="D1604" s="38" t="s">
        <v>1361</v>
      </c>
      <c r="E1604" s="44" t="str">
        <f>IFERROR(VLOOKUP(D1604,MATERIALES!A:B,2,FALSE()),"?")</f>
        <v>Consumibles</v>
      </c>
      <c r="F1604" s="44" t="str">
        <f>IFERROR(VLOOKUP(D1604,MATERIALES!A:C,3,FALSE()),"?")</f>
        <v>gl</v>
      </c>
      <c r="G1604" s="45">
        <v>98702.857000000004</v>
      </c>
      <c r="H1604" s="46">
        <v>0</v>
      </c>
      <c r="I1604" s="47">
        <f>IFERROR(VLOOKUP(D1604,MATERIALES!A:D,4,FALSE()),0)</f>
        <v>1</v>
      </c>
      <c r="J1604" s="42">
        <f t="shared" ref="J1604:J1613" si="184">G1604*I1604*(1+H1604)</f>
        <v>98702.857000000004</v>
      </c>
      <c r="K1604" s="15" t="str">
        <f t="shared" si="180"/>
        <v>PTO-1817|MAT</v>
      </c>
      <c r="L1604" s="15">
        <f>COUNTIFS($K$2:K1604,K1604)</f>
        <v>1</v>
      </c>
      <c r="M1604" s="15" t="str">
        <f t="shared" si="181"/>
        <v>PTO-1817|MAT|1</v>
      </c>
      <c r="N1604" s="47">
        <f>IFERROR(VLOOKUP(A1604,PARTIDAS!A:F,6,FALSE()),0)</f>
        <v>1</v>
      </c>
      <c r="O1604" s="247">
        <f t="shared" si="182"/>
        <v>98702.857000000004</v>
      </c>
      <c r="P1604" s="247">
        <f>+_xlfn.XLOOKUP(A1604,PPTO_GENERADOR!Q:Q,PPTO_GENERADOR!E:E,"-",0)</f>
        <v>1</v>
      </c>
      <c r="Q1604" s="247">
        <f t="shared" si="183"/>
        <v>98702.857000000004</v>
      </c>
      <c r="R1604" s="259">
        <f>+_xlfn.XLOOKUP(A1604,PPTO_GENERADOR!$Q:$Q,PPTO_GENERADOR!A:A,"-",0)</f>
        <v>18.170000000000002</v>
      </c>
    </row>
    <row r="1605" spans="1:18" ht="14.25" customHeight="1" x14ac:dyDescent="0.35">
      <c r="A1605" s="38" t="s">
        <v>286</v>
      </c>
      <c r="B1605" s="38" t="s">
        <v>2774</v>
      </c>
      <c r="C1605" s="38" t="s">
        <v>2775</v>
      </c>
      <c r="D1605" s="38" t="s">
        <v>1373</v>
      </c>
      <c r="E1605" s="44" t="str">
        <f>IFERROR(VLOOKUP(D1605,MATERIALES!A:B,2,FALSE()),"?")</f>
        <v>Voltimetro Display Ojo de Buey 22 mm (220vca ø22mm / IP44)</v>
      </c>
      <c r="F1605" s="44" t="str">
        <f>IFERROR(VLOOKUP(D1605,MATERIALES!A:C,3,FALSE()),"?")</f>
        <v>u</v>
      </c>
      <c r="G1605" s="45">
        <v>3</v>
      </c>
      <c r="H1605" s="46">
        <v>0</v>
      </c>
      <c r="I1605" s="47">
        <f>IFERROR(VLOOKUP(D1605,MATERIALES!A:D,4,FALSE()),0)</f>
        <v>3656.19834710744</v>
      </c>
      <c r="J1605" s="42">
        <f t="shared" si="184"/>
        <v>10968.59504132232</v>
      </c>
      <c r="K1605" s="15" t="str">
        <f t="shared" si="180"/>
        <v>PTO-1817|MAT</v>
      </c>
      <c r="L1605" s="15">
        <f>COUNTIFS($K$2:K1605,K1605)</f>
        <v>2</v>
      </c>
      <c r="M1605" s="15" t="str">
        <f t="shared" si="181"/>
        <v>PTO-1817|MAT|2</v>
      </c>
      <c r="N1605" s="47">
        <f>IFERROR(VLOOKUP(A1605,PARTIDAS!A:F,6,FALSE()),0)</f>
        <v>1</v>
      </c>
      <c r="O1605" s="247">
        <f t="shared" si="182"/>
        <v>3</v>
      </c>
      <c r="P1605" s="247">
        <f>+_xlfn.XLOOKUP(A1605,PPTO_GENERADOR!Q:Q,PPTO_GENERADOR!E:E,"-",0)</f>
        <v>1</v>
      </c>
      <c r="Q1605" s="247">
        <f t="shared" si="183"/>
        <v>3</v>
      </c>
      <c r="R1605" s="259">
        <f>+_xlfn.XLOOKUP(A1605,PPTO_GENERADOR!$Q:$Q,PPTO_GENERADOR!A:A,"-",0)</f>
        <v>18.170000000000002</v>
      </c>
    </row>
    <row r="1606" spans="1:18" ht="14.25" customHeight="1" x14ac:dyDescent="0.35">
      <c r="A1606" s="38" t="s">
        <v>286</v>
      </c>
      <c r="B1606" s="38" t="s">
        <v>2774</v>
      </c>
      <c r="C1606" s="38" t="s">
        <v>2775</v>
      </c>
      <c r="D1606" s="38" t="s">
        <v>1377</v>
      </c>
      <c r="E1606" s="44" t="str">
        <f>IFERROR(VLOOKUP(D1606,MATERIALES!A:B,2,FALSE()),"?")</f>
        <v>STECK DIFERENCIAL 4X40A 30MA (4x40A)</v>
      </c>
      <c r="F1606" s="44" t="str">
        <f>IFERROR(VLOOKUP(D1606,MATERIALES!A:C,3,FALSE()),"?")</f>
        <v>u</v>
      </c>
      <c r="G1606" s="45">
        <v>1</v>
      </c>
      <c r="H1606" s="46">
        <v>0</v>
      </c>
      <c r="I1606" s="47">
        <f>IFERROR(VLOOKUP(D1606,MATERIALES!A:D,4,FALSE()),0)</f>
        <v>35881.19</v>
      </c>
      <c r="J1606" s="42">
        <f t="shared" si="184"/>
        <v>35881.19</v>
      </c>
      <c r="K1606" s="15" t="str">
        <f t="shared" si="180"/>
        <v>PTO-1817|MAT</v>
      </c>
      <c r="L1606" s="15">
        <f>COUNTIFS($K$2:K1606,K1606)</f>
        <v>3</v>
      </c>
      <c r="M1606" s="15" t="str">
        <f t="shared" si="181"/>
        <v>PTO-1817|MAT|3</v>
      </c>
      <c r="N1606" s="47">
        <f>IFERROR(VLOOKUP(A1606,PARTIDAS!A:F,6,FALSE()),0)</f>
        <v>1</v>
      </c>
      <c r="O1606" s="247">
        <f t="shared" si="182"/>
        <v>1</v>
      </c>
      <c r="P1606" s="247">
        <f>+_xlfn.XLOOKUP(A1606,PPTO_GENERADOR!Q:Q,PPTO_GENERADOR!E:E,"-",0)</f>
        <v>1</v>
      </c>
      <c r="Q1606" s="247">
        <f t="shared" si="183"/>
        <v>1</v>
      </c>
      <c r="R1606" s="259">
        <f>+_xlfn.XLOOKUP(A1606,PPTO_GENERADOR!$Q:$Q,PPTO_GENERADOR!A:A,"-",0)</f>
        <v>18.170000000000002</v>
      </c>
    </row>
    <row r="1607" spans="1:18" ht="14.25" customHeight="1" x14ac:dyDescent="0.35">
      <c r="A1607" s="38" t="s">
        <v>286</v>
      </c>
      <c r="B1607" s="38" t="s">
        <v>2774</v>
      </c>
      <c r="C1607" s="38" t="s">
        <v>2775</v>
      </c>
      <c r="D1607" s="38" t="s">
        <v>1385</v>
      </c>
      <c r="E1607" s="44" t="str">
        <f>IFERROR(VLOOKUP(D1607,MATERIALES!A:B,2,FALSE()),"?")</f>
        <v>STECK TM BIPOLAR 16A 6KA (2 X 16A)</v>
      </c>
      <c r="F1607" s="44" t="str">
        <f>IFERROR(VLOOKUP(D1607,MATERIALES!A:C,3,FALSE()),"?")</f>
        <v>u</v>
      </c>
      <c r="G1607" s="45">
        <v>1</v>
      </c>
      <c r="H1607" s="46">
        <v>0</v>
      </c>
      <c r="I1607" s="47">
        <f>IFERROR(VLOOKUP(D1607,MATERIALES!A:D,4,FALSE()),0)</f>
        <v>5287.23</v>
      </c>
      <c r="J1607" s="42">
        <f t="shared" si="184"/>
        <v>5287.23</v>
      </c>
      <c r="K1607" s="15" t="str">
        <f t="shared" si="180"/>
        <v>PTO-1817|MAT</v>
      </c>
      <c r="L1607" s="15">
        <f>COUNTIFS($K$2:K1607,K1607)</f>
        <v>4</v>
      </c>
      <c r="M1607" s="15" t="str">
        <f t="shared" si="181"/>
        <v>PTO-1817|MAT|4</v>
      </c>
      <c r="N1607" s="47">
        <f>IFERROR(VLOOKUP(A1607,PARTIDAS!A:F,6,FALSE()),0)</f>
        <v>1</v>
      </c>
      <c r="O1607" s="247">
        <f t="shared" si="182"/>
        <v>1</v>
      </c>
      <c r="P1607" s="247">
        <f>+_xlfn.XLOOKUP(A1607,PPTO_GENERADOR!Q:Q,PPTO_GENERADOR!E:E,"-",0)</f>
        <v>1</v>
      </c>
      <c r="Q1607" s="247">
        <f t="shared" si="183"/>
        <v>1</v>
      </c>
      <c r="R1607" s="259">
        <f>+_xlfn.XLOOKUP(A1607,PPTO_GENERADOR!$Q:$Q,PPTO_GENERADOR!A:A,"-",0)</f>
        <v>18.170000000000002</v>
      </c>
    </row>
    <row r="1608" spans="1:18" ht="14.25" customHeight="1" x14ac:dyDescent="0.35">
      <c r="A1608" s="38" t="s">
        <v>286</v>
      </c>
      <c r="B1608" s="38" t="s">
        <v>2774</v>
      </c>
      <c r="C1608" s="38" t="s">
        <v>2775</v>
      </c>
      <c r="D1608" s="38" t="s">
        <v>1395</v>
      </c>
      <c r="E1608" s="44" t="str">
        <f>IFERROR(VLOOKUP(D1608,MATERIALES!A:B,2,FALSE()),"?")</f>
        <v>RIEL PORTA ELEMENTOS X 1 METRO</v>
      </c>
      <c r="F1608" s="44" t="str">
        <f>IFERROR(VLOOKUP(D1608,MATERIALES!A:C,3,FALSE()),"?")</f>
        <v>u</v>
      </c>
      <c r="G1608" s="45">
        <v>1</v>
      </c>
      <c r="H1608" s="46">
        <v>0</v>
      </c>
      <c r="I1608" s="47">
        <f>IFERROR(VLOOKUP(D1608,MATERIALES!A:D,4,FALSE()),0)</f>
        <v>14702.99</v>
      </c>
      <c r="J1608" s="42">
        <f t="shared" si="184"/>
        <v>14702.99</v>
      </c>
      <c r="K1608" s="15" t="str">
        <f t="shared" si="180"/>
        <v>PTO-1817|MAT</v>
      </c>
      <c r="L1608" s="15">
        <f>COUNTIFS($K$2:K1608,K1608)</f>
        <v>5</v>
      </c>
      <c r="M1608" s="15" t="str">
        <f t="shared" si="181"/>
        <v>PTO-1817|MAT|5</v>
      </c>
      <c r="N1608" s="47">
        <f>IFERROR(VLOOKUP(A1608,PARTIDAS!A:F,6,FALSE()),0)</f>
        <v>1</v>
      </c>
      <c r="O1608" s="247">
        <f t="shared" si="182"/>
        <v>1</v>
      </c>
      <c r="P1608" s="247">
        <f>+_xlfn.XLOOKUP(A1608,PPTO_GENERADOR!Q:Q,PPTO_GENERADOR!E:E,"-",0)</f>
        <v>1</v>
      </c>
      <c r="Q1608" s="247">
        <f t="shared" si="183"/>
        <v>1</v>
      </c>
      <c r="R1608" s="259">
        <f>+_xlfn.XLOOKUP(A1608,PPTO_GENERADOR!$Q:$Q,PPTO_GENERADOR!A:A,"-",0)</f>
        <v>18.170000000000002</v>
      </c>
    </row>
    <row r="1609" spans="1:18" ht="14.25" customHeight="1" x14ac:dyDescent="0.35">
      <c r="A1609" s="38" t="s">
        <v>286</v>
      </c>
      <c r="B1609" s="38" t="s">
        <v>2774</v>
      </c>
      <c r="C1609" s="38" t="s">
        <v>2775</v>
      </c>
      <c r="D1609" s="38" t="s">
        <v>1401</v>
      </c>
      <c r="E1609" s="44" t="str">
        <f>IFERROR(VLOOKUP(D1609,MATERIALES!A:B,2,FALSE()),"?")</f>
        <v>GAB. IP65 SERIE 9000 300X300X150 (300 X 300 X 150)</v>
      </c>
      <c r="F1609" s="44" t="str">
        <f>IFERROR(VLOOKUP(D1609,MATERIALES!A:C,3,FALSE()),"?")</f>
        <v>u</v>
      </c>
      <c r="G1609" s="45">
        <v>1</v>
      </c>
      <c r="H1609" s="46">
        <v>0</v>
      </c>
      <c r="I1609" s="47">
        <f>IFERROR(VLOOKUP(D1609,MATERIALES!A:D,4,FALSE()),0)</f>
        <v>51844.93</v>
      </c>
      <c r="J1609" s="42">
        <f t="shared" si="184"/>
        <v>51844.93</v>
      </c>
      <c r="K1609" s="15" t="str">
        <f t="shared" si="180"/>
        <v>PTO-1817|MAT</v>
      </c>
      <c r="L1609" s="15">
        <f>COUNTIFS($K$2:K1609,K1609)</f>
        <v>6</v>
      </c>
      <c r="M1609" s="15" t="str">
        <f t="shared" si="181"/>
        <v>PTO-1817|MAT|6</v>
      </c>
      <c r="N1609" s="47">
        <f>IFERROR(VLOOKUP(A1609,PARTIDAS!A:F,6,FALSE()),0)</f>
        <v>1</v>
      </c>
      <c r="O1609" s="247">
        <f t="shared" si="182"/>
        <v>1</v>
      </c>
      <c r="P1609" s="247">
        <f>+_xlfn.XLOOKUP(A1609,PPTO_GENERADOR!Q:Q,PPTO_GENERADOR!E:E,"-",0)</f>
        <v>1</v>
      </c>
      <c r="Q1609" s="247">
        <f t="shared" si="183"/>
        <v>1</v>
      </c>
      <c r="R1609" s="259">
        <f>+_xlfn.XLOOKUP(A1609,PPTO_GENERADOR!$Q:$Q,PPTO_GENERADOR!A:A,"-",0)</f>
        <v>18.170000000000002</v>
      </c>
    </row>
    <row r="1610" spans="1:18" ht="14.25" customHeight="1" x14ac:dyDescent="0.35">
      <c r="A1610" s="38" t="s">
        <v>286</v>
      </c>
      <c r="B1610" s="38" t="s">
        <v>2774</v>
      </c>
      <c r="C1610" s="38" t="s">
        <v>2775</v>
      </c>
      <c r="D1610" s="38" t="s">
        <v>1404</v>
      </c>
      <c r="E1610" s="44" t="str">
        <f>IFERROR(VLOOKUP(D1610,MATERIALES!A:B,2,FALSE()),"?")</f>
        <v>CONTRAF ABISAG.CALADO 10BIP S9000 300X300</v>
      </c>
      <c r="F1610" s="44" t="str">
        <f>IFERROR(VLOOKUP(D1610,MATERIALES!A:C,3,FALSE()),"?")</f>
        <v>u</v>
      </c>
      <c r="G1610" s="45">
        <v>1</v>
      </c>
      <c r="H1610" s="46">
        <v>0</v>
      </c>
      <c r="I1610" s="47">
        <f>IFERROR(VLOOKUP(D1610,MATERIALES!A:D,4,FALSE()),0)</f>
        <v>33851.08</v>
      </c>
      <c r="J1610" s="42">
        <f t="shared" si="184"/>
        <v>33851.08</v>
      </c>
      <c r="K1610" s="15" t="str">
        <f t="shared" si="180"/>
        <v>PTO-1817|MAT</v>
      </c>
      <c r="L1610" s="15">
        <f>COUNTIFS($K$2:K1610,K1610)</f>
        <v>7</v>
      </c>
      <c r="M1610" s="15" t="str">
        <f t="shared" si="181"/>
        <v>PTO-1817|MAT|7</v>
      </c>
      <c r="N1610" s="47">
        <f>IFERROR(VLOOKUP(A1610,PARTIDAS!A:F,6,FALSE()),0)</f>
        <v>1</v>
      </c>
      <c r="O1610" s="247">
        <f t="shared" si="182"/>
        <v>1</v>
      </c>
      <c r="P1610" s="247">
        <f>+_xlfn.XLOOKUP(A1610,PPTO_GENERADOR!Q:Q,PPTO_GENERADOR!E:E,"-",0)</f>
        <v>1</v>
      </c>
      <c r="Q1610" s="247">
        <f t="shared" si="183"/>
        <v>1</v>
      </c>
      <c r="R1610" s="259">
        <f>+_xlfn.XLOOKUP(A1610,PPTO_GENERADOR!$Q:$Q,PPTO_GENERADOR!A:A,"-",0)</f>
        <v>18.170000000000002</v>
      </c>
    </row>
    <row r="1611" spans="1:18" ht="14.25" customHeight="1" x14ac:dyDescent="0.35">
      <c r="A1611" s="38" t="s">
        <v>286</v>
      </c>
      <c r="B1611" s="38" t="s">
        <v>2774</v>
      </c>
      <c r="C1611" s="38" t="s">
        <v>2775</v>
      </c>
      <c r="D1611" s="38" t="s">
        <v>1406</v>
      </c>
      <c r="E1611" s="44" t="str">
        <f>IFERROR(VLOOKUP(D1611,MATERIALES!A:B,2,FALSE()),"?")</f>
        <v>ALTERNADOR 2 BOMBA DIGITAL 24/110/220VCA (220/24v)</v>
      </c>
      <c r="F1611" s="44" t="str">
        <f>IFERROR(VLOOKUP(D1611,MATERIALES!A:C,3,FALSE()),"?")</f>
        <v>u</v>
      </c>
      <c r="G1611" s="45">
        <v>1</v>
      </c>
      <c r="H1611" s="46">
        <v>0</v>
      </c>
      <c r="I1611" s="47">
        <f>IFERROR(VLOOKUP(D1611,MATERIALES!A:D,4,FALSE()),0)</f>
        <v>129189.81</v>
      </c>
      <c r="J1611" s="42">
        <f t="shared" si="184"/>
        <v>129189.81</v>
      </c>
      <c r="K1611" s="15" t="str">
        <f t="shared" si="180"/>
        <v>PTO-1817|MAT</v>
      </c>
      <c r="L1611" s="15">
        <f>COUNTIFS($K$2:K1611,K1611)</f>
        <v>8</v>
      </c>
      <c r="M1611" s="15" t="str">
        <f t="shared" si="181"/>
        <v>PTO-1817|MAT|8</v>
      </c>
      <c r="N1611" s="47">
        <f>IFERROR(VLOOKUP(A1611,PARTIDAS!A:F,6,FALSE()),0)</f>
        <v>1</v>
      </c>
      <c r="O1611" s="247">
        <f t="shared" si="182"/>
        <v>1</v>
      </c>
      <c r="P1611" s="247">
        <f>+_xlfn.XLOOKUP(A1611,PPTO_GENERADOR!Q:Q,PPTO_GENERADOR!E:E,"-",0)</f>
        <v>1</v>
      </c>
      <c r="Q1611" s="247">
        <f t="shared" si="183"/>
        <v>1</v>
      </c>
      <c r="R1611" s="259">
        <f>+_xlfn.XLOOKUP(A1611,PPTO_GENERADOR!$Q:$Q,PPTO_GENERADOR!A:A,"-",0)</f>
        <v>18.170000000000002</v>
      </c>
    </row>
    <row r="1612" spans="1:18" ht="14.25" customHeight="1" x14ac:dyDescent="0.35">
      <c r="A1612" s="38" t="s">
        <v>286</v>
      </c>
      <c r="B1612" s="38" t="s">
        <v>2774</v>
      </c>
      <c r="C1612" s="38" t="s">
        <v>2775</v>
      </c>
      <c r="D1612" s="38" t="s">
        <v>1408</v>
      </c>
      <c r="E1612" s="44" t="str">
        <f>IFERROR(VLOOKUP(D1612,MATERIALES!A:B,2,FALSE()),"?")</f>
        <v>Transformador 220/24 V 50 VA</v>
      </c>
      <c r="F1612" s="44" t="str">
        <f>IFERROR(VLOOKUP(D1612,MATERIALES!A:C,3,FALSE()),"?")</f>
        <v>u</v>
      </c>
      <c r="G1612" s="45">
        <v>1</v>
      </c>
      <c r="H1612" s="46">
        <v>0</v>
      </c>
      <c r="I1612" s="47">
        <f>IFERROR(VLOOKUP(D1612,MATERIALES!A:D,4,FALSE()),0)</f>
        <v>40000</v>
      </c>
      <c r="J1612" s="42">
        <f t="shared" si="184"/>
        <v>40000</v>
      </c>
      <c r="K1612" s="15" t="str">
        <f t="shared" si="180"/>
        <v>PTO-1817|MAT</v>
      </c>
      <c r="L1612" s="15">
        <f>COUNTIFS($K$2:K1612,K1612)</f>
        <v>9</v>
      </c>
      <c r="M1612" s="15" t="str">
        <f t="shared" si="181"/>
        <v>PTO-1817|MAT|9</v>
      </c>
      <c r="N1612" s="47">
        <f>IFERROR(VLOOKUP(A1612,PARTIDAS!A:F,6,FALSE()),0)</f>
        <v>1</v>
      </c>
      <c r="O1612" s="247">
        <f t="shared" si="182"/>
        <v>1</v>
      </c>
      <c r="P1612" s="247">
        <f>+_xlfn.XLOOKUP(A1612,PPTO_GENERADOR!Q:Q,PPTO_GENERADOR!E:E,"-",0)</f>
        <v>1</v>
      </c>
      <c r="Q1612" s="247">
        <f t="shared" si="183"/>
        <v>1</v>
      </c>
      <c r="R1612" s="259">
        <f>+_xlfn.XLOOKUP(A1612,PPTO_GENERADOR!$Q:$Q,PPTO_GENERADOR!A:A,"-",0)</f>
        <v>18.170000000000002</v>
      </c>
    </row>
    <row r="1613" spans="1:18" ht="14.25" customHeight="1" x14ac:dyDescent="0.35">
      <c r="A1613" s="38" t="s">
        <v>286</v>
      </c>
      <c r="B1613" s="38" t="s">
        <v>2774</v>
      </c>
      <c r="C1613" s="38" t="s">
        <v>2775</v>
      </c>
      <c r="D1613" s="38" t="s">
        <v>1410</v>
      </c>
      <c r="E1613" s="44" t="str">
        <f>IFERROR(VLOOKUP(D1613,MATERIALES!A:B,2,FALSE()),"?")</f>
        <v>LC1D18M7 18A 7,5KW 1+1 220V</v>
      </c>
      <c r="F1613" s="44" t="str">
        <f>IFERROR(VLOOKUP(D1613,MATERIALES!A:C,3,FALSE()),"?")</f>
        <v>u</v>
      </c>
      <c r="G1613" s="45">
        <v>2</v>
      </c>
      <c r="H1613" s="46">
        <v>0</v>
      </c>
      <c r="I1613" s="47">
        <f>IFERROR(VLOOKUP(D1613,MATERIALES!A:D,4,FALSE()),0)</f>
        <v>85894.23</v>
      </c>
      <c r="J1613" s="42">
        <f t="shared" si="184"/>
        <v>171788.46</v>
      </c>
      <c r="K1613" s="15" t="str">
        <f t="shared" si="180"/>
        <v>PTO-1817|MAT</v>
      </c>
      <c r="L1613" s="15">
        <f>COUNTIFS($K$2:K1613,K1613)</f>
        <v>10</v>
      </c>
      <c r="M1613" s="15" t="str">
        <f t="shared" si="181"/>
        <v>PTO-1817|MAT|10</v>
      </c>
      <c r="N1613" s="47">
        <f>IFERROR(VLOOKUP(A1613,PARTIDAS!A:F,6,FALSE()),0)</f>
        <v>1</v>
      </c>
      <c r="O1613" s="247">
        <f t="shared" si="182"/>
        <v>2</v>
      </c>
      <c r="P1613" s="247">
        <f>+_xlfn.XLOOKUP(A1613,PPTO_GENERADOR!Q:Q,PPTO_GENERADOR!E:E,"-",0)</f>
        <v>1</v>
      </c>
      <c r="Q1613" s="247">
        <f t="shared" si="183"/>
        <v>2</v>
      </c>
      <c r="R1613" s="259">
        <f>+_xlfn.XLOOKUP(A1613,PPTO_GENERADOR!$Q:$Q,PPTO_GENERADOR!A:A,"-",0)</f>
        <v>18.170000000000002</v>
      </c>
    </row>
    <row r="1614" spans="1:18" ht="14.25" customHeight="1" x14ac:dyDescent="0.35">
      <c r="A1614" s="38" t="s">
        <v>286</v>
      </c>
      <c r="B1614" s="38" t="s">
        <v>2776</v>
      </c>
      <c r="C1614" s="38" t="s">
        <v>2775</v>
      </c>
      <c r="D1614" s="38" t="s">
        <v>2184</v>
      </c>
      <c r="E1614" s="44" t="str">
        <f>IFERROR(VLOOKUP(D1614,SUBCONTRATOS_PRY!A:B,2,FALSE()),"?")</f>
        <v>Tablero seccional de 8 a 36 polos</v>
      </c>
      <c r="F1614" s="44" t="s">
        <v>2778</v>
      </c>
      <c r="G1614" s="45">
        <v>1</v>
      </c>
      <c r="H1614" s="46">
        <v>0</v>
      </c>
      <c r="I1614" s="47">
        <f>IFERROR(VLOOKUP(D1614,SUBCONTRATOS_PRY!A:D,4,FALSE()),0)</f>
        <v>232812.45</v>
      </c>
      <c r="J1614" s="42">
        <f>G1614*I1614</f>
        <v>232812.45</v>
      </c>
      <c r="K1614" s="15" t="str">
        <f t="shared" si="180"/>
        <v>PTO-1817|MO</v>
      </c>
      <c r="L1614" s="15">
        <f>COUNTIFS($K$2:K1614,K1614)</f>
        <v>1</v>
      </c>
      <c r="M1614" s="15" t="str">
        <f t="shared" si="181"/>
        <v>PTO-1817|MO|1</v>
      </c>
      <c r="N1614" s="47">
        <f>IFERROR(VLOOKUP(A1614,PARTIDAS!A:F,6,FALSE()),0)</f>
        <v>1</v>
      </c>
      <c r="O1614" s="247">
        <f t="shared" si="182"/>
        <v>1</v>
      </c>
      <c r="P1614" s="247">
        <f>+_xlfn.XLOOKUP(A1614,PPTO_GENERADOR!Q:Q,PPTO_GENERADOR!E:E,"-",0)</f>
        <v>1</v>
      </c>
      <c r="Q1614" s="247">
        <f t="shared" si="183"/>
        <v>1</v>
      </c>
      <c r="R1614" s="259">
        <f>+_xlfn.XLOOKUP(A1614,PPTO_GENERADOR!$Q:$Q,PPTO_GENERADOR!A:A,"-",0)</f>
        <v>18.170000000000002</v>
      </c>
    </row>
    <row r="1615" spans="1:18" ht="14.25" customHeight="1" x14ac:dyDescent="0.35">
      <c r="A1615" s="38" t="s">
        <v>288</v>
      </c>
      <c r="B1615" s="38" t="s">
        <v>2773</v>
      </c>
      <c r="C1615" s="38"/>
      <c r="D1615" s="38" t="s">
        <v>2022</v>
      </c>
      <c r="E1615" s="44" t="str">
        <f>IFERROR(VLOOKUP(D1615,EQUIPOS!A:B,2,FALSE()),"?")</f>
        <v>Herramientas y consumibles - PTO-1818 TS.ASC</v>
      </c>
      <c r="F1615" s="44"/>
      <c r="G1615" s="45">
        <v>1</v>
      </c>
      <c r="H1615" s="46">
        <v>0</v>
      </c>
      <c r="I1615" s="47">
        <f>IFERROR(VLOOKUP(D1615,EQUIPOS!A:F,6,FALSE()),0)</f>
        <v>5888.0883607438</v>
      </c>
      <c r="J1615" s="42">
        <f>G1615*I1615</f>
        <v>5888.0883607438</v>
      </c>
      <c r="K1615" s="15" t="str">
        <f t="shared" si="180"/>
        <v>PTO-1818|EQ</v>
      </c>
      <c r="L1615" s="15">
        <f>COUNTIFS($K$2:K1615,K1615)</f>
        <v>1</v>
      </c>
      <c r="M1615" s="15" t="str">
        <f t="shared" si="181"/>
        <v>PTO-1818|EQ|1</v>
      </c>
      <c r="N1615" s="47">
        <f>IFERROR(VLOOKUP(A1615,PARTIDAS!A:F,6,FALSE()),0)</f>
        <v>1</v>
      </c>
      <c r="O1615" s="247">
        <f t="shared" si="182"/>
        <v>1</v>
      </c>
      <c r="P1615" s="247">
        <f>+_xlfn.XLOOKUP(A1615,PPTO_GENERADOR!Q:Q,PPTO_GENERADOR!E:E,"-",0)</f>
        <v>2</v>
      </c>
      <c r="Q1615" s="247">
        <f t="shared" si="183"/>
        <v>2</v>
      </c>
      <c r="R1615" s="259">
        <f>+_xlfn.XLOOKUP(A1615,PPTO_GENERADOR!$Q:$Q,PPTO_GENERADOR!A:A,"-",0)</f>
        <v>18.18</v>
      </c>
    </row>
    <row r="1616" spans="1:18" ht="14.25" customHeight="1" x14ac:dyDescent="0.35">
      <c r="A1616" s="38" t="s">
        <v>288</v>
      </c>
      <c r="B1616" s="38" t="s">
        <v>2774</v>
      </c>
      <c r="C1616" s="38" t="s">
        <v>2775</v>
      </c>
      <c r="D1616" s="38" t="s">
        <v>1361</v>
      </c>
      <c r="E1616" s="44" t="str">
        <f>IFERROR(VLOOKUP(D1616,MATERIALES!A:B,2,FALSE()),"?")</f>
        <v>Consumibles</v>
      </c>
      <c r="F1616" s="44" t="str">
        <f>IFERROR(VLOOKUP(D1616,MATERIALES!A:C,3,FALSE()),"?")</f>
        <v>gl</v>
      </c>
      <c r="G1616" s="45">
        <v>26621.129000000001</v>
      </c>
      <c r="H1616" s="46">
        <v>0</v>
      </c>
      <c r="I1616" s="47">
        <f>IFERROR(VLOOKUP(D1616,MATERIALES!A:D,4,FALSE()),0)</f>
        <v>1</v>
      </c>
      <c r="J1616" s="42">
        <f t="shared" ref="J1616:J1622" si="185">G1616*I1616*(1+H1616)</f>
        <v>26621.129000000001</v>
      </c>
      <c r="K1616" s="15" t="str">
        <f t="shared" si="180"/>
        <v>PTO-1818|MAT</v>
      </c>
      <c r="L1616" s="15">
        <f>COUNTIFS($K$2:K1616,K1616)</f>
        <v>1</v>
      </c>
      <c r="M1616" s="15" t="str">
        <f t="shared" si="181"/>
        <v>PTO-1818|MAT|1</v>
      </c>
      <c r="N1616" s="47">
        <f>IFERROR(VLOOKUP(A1616,PARTIDAS!A:F,6,FALSE()),0)</f>
        <v>1</v>
      </c>
      <c r="O1616" s="247">
        <f t="shared" si="182"/>
        <v>26621.129000000001</v>
      </c>
      <c r="P1616" s="247">
        <f>+_xlfn.XLOOKUP(A1616,PPTO_GENERADOR!Q:Q,PPTO_GENERADOR!E:E,"-",0)</f>
        <v>2</v>
      </c>
      <c r="Q1616" s="247">
        <f t="shared" si="183"/>
        <v>53242.258000000002</v>
      </c>
      <c r="R1616" s="259">
        <f>+_xlfn.XLOOKUP(A1616,PPTO_GENERADOR!$Q:$Q,PPTO_GENERADOR!A:A,"-",0)</f>
        <v>18.18</v>
      </c>
    </row>
    <row r="1617" spans="1:18" ht="14.25" customHeight="1" x14ac:dyDescent="0.35">
      <c r="A1617" s="38" t="s">
        <v>288</v>
      </c>
      <c r="B1617" s="38" t="s">
        <v>2774</v>
      </c>
      <c r="C1617" s="38" t="s">
        <v>2775</v>
      </c>
      <c r="D1617" s="38" t="s">
        <v>1373</v>
      </c>
      <c r="E1617" s="44" t="str">
        <f>IFERROR(VLOOKUP(D1617,MATERIALES!A:B,2,FALSE()),"?")</f>
        <v>Voltimetro Display Ojo de Buey 22 mm (220vca ø22mm / IP44)</v>
      </c>
      <c r="F1617" s="44" t="str">
        <f>IFERROR(VLOOKUP(D1617,MATERIALES!A:C,3,FALSE()),"?")</f>
        <v>u</v>
      </c>
      <c r="G1617" s="45">
        <v>3</v>
      </c>
      <c r="H1617" s="46">
        <v>0</v>
      </c>
      <c r="I1617" s="47">
        <f>IFERROR(VLOOKUP(D1617,MATERIALES!A:D,4,FALSE()),0)</f>
        <v>3656.19834710744</v>
      </c>
      <c r="J1617" s="42">
        <f t="shared" si="185"/>
        <v>10968.59504132232</v>
      </c>
      <c r="K1617" s="15" t="str">
        <f t="shared" si="180"/>
        <v>PTO-1818|MAT</v>
      </c>
      <c r="L1617" s="15">
        <f>COUNTIFS($K$2:K1617,K1617)</f>
        <v>2</v>
      </c>
      <c r="M1617" s="15" t="str">
        <f t="shared" si="181"/>
        <v>PTO-1818|MAT|2</v>
      </c>
      <c r="N1617" s="47">
        <f>IFERROR(VLOOKUP(A1617,PARTIDAS!A:F,6,FALSE()),0)</f>
        <v>1</v>
      </c>
      <c r="O1617" s="247">
        <f t="shared" si="182"/>
        <v>3</v>
      </c>
      <c r="P1617" s="247">
        <f>+_xlfn.XLOOKUP(A1617,PPTO_GENERADOR!Q:Q,PPTO_GENERADOR!E:E,"-",0)</f>
        <v>2</v>
      </c>
      <c r="Q1617" s="247">
        <f t="shared" si="183"/>
        <v>6</v>
      </c>
      <c r="R1617" s="259">
        <f>+_xlfn.XLOOKUP(A1617,PPTO_GENERADOR!$Q:$Q,PPTO_GENERADOR!A:A,"-",0)</f>
        <v>18.18</v>
      </c>
    </row>
    <row r="1618" spans="1:18" ht="14.25" customHeight="1" x14ac:dyDescent="0.35">
      <c r="A1618" s="38" t="s">
        <v>288</v>
      </c>
      <c r="B1618" s="38" t="s">
        <v>2774</v>
      </c>
      <c r="C1618" s="38" t="s">
        <v>2775</v>
      </c>
      <c r="D1618" s="38" t="s">
        <v>1387</v>
      </c>
      <c r="E1618" s="44" t="str">
        <f>IFERROR(VLOOKUP(D1618,MATERIALES!A:B,2,FALSE()),"?")</f>
        <v>STECK TM BIPOLAR 10A 6KA (2 X 10A)</v>
      </c>
      <c r="F1618" s="44" t="str">
        <f>IFERROR(VLOOKUP(D1618,MATERIALES!A:C,3,FALSE()),"?")</f>
        <v>u</v>
      </c>
      <c r="G1618" s="45">
        <v>2</v>
      </c>
      <c r="H1618" s="46">
        <v>0</v>
      </c>
      <c r="I1618" s="47">
        <f>IFERROR(VLOOKUP(D1618,MATERIALES!A:D,4,FALSE()),0)</f>
        <v>5287.23</v>
      </c>
      <c r="J1618" s="42">
        <f t="shared" si="185"/>
        <v>10574.46</v>
      </c>
      <c r="K1618" s="15" t="str">
        <f t="shared" si="180"/>
        <v>PTO-1818|MAT</v>
      </c>
      <c r="L1618" s="15">
        <f>COUNTIFS($K$2:K1618,K1618)</f>
        <v>3</v>
      </c>
      <c r="M1618" s="15" t="str">
        <f t="shared" si="181"/>
        <v>PTO-1818|MAT|3</v>
      </c>
      <c r="N1618" s="47">
        <f>IFERROR(VLOOKUP(A1618,PARTIDAS!A:F,6,FALSE()),0)</f>
        <v>1</v>
      </c>
      <c r="O1618" s="247">
        <f t="shared" si="182"/>
        <v>2</v>
      </c>
      <c r="P1618" s="247">
        <f>+_xlfn.XLOOKUP(A1618,PPTO_GENERADOR!Q:Q,PPTO_GENERADOR!E:E,"-",0)</f>
        <v>2</v>
      </c>
      <c r="Q1618" s="247">
        <f t="shared" si="183"/>
        <v>4</v>
      </c>
      <c r="R1618" s="259">
        <f>+_xlfn.XLOOKUP(A1618,PPTO_GENERADOR!$Q:$Q,PPTO_GENERADOR!A:A,"-",0)</f>
        <v>18.18</v>
      </c>
    </row>
    <row r="1619" spans="1:18" ht="14.25" customHeight="1" x14ac:dyDescent="0.35">
      <c r="A1619" s="38" t="s">
        <v>288</v>
      </c>
      <c r="B1619" s="38" t="s">
        <v>2774</v>
      </c>
      <c r="C1619" s="38" t="s">
        <v>2775</v>
      </c>
      <c r="D1619" s="38" t="s">
        <v>1395</v>
      </c>
      <c r="E1619" s="44" t="str">
        <f>IFERROR(VLOOKUP(D1619,MATERIALES!A:B,2,FALSE()),"?")</f>
        <v>RIEL PORTA ELEMENTOS X 1 METRO</v>
      </c>
      <c r="F1619" s="44" t="str">
        <f>IFERROR(VLOOKUP(D1619,MATERIALES!A:C,3,FALSE()),"?")</f>
        <v>u</v>
      </c>
      <c r="G1619" s="45">
        <v>1</v>
      </c>
      <c r="H1619" s="46">
        <v>0</v>
      </c>
      <c r="I1619" s="47">
        <f>IFERROR(VLOOKUP(D1619,MATERIALES!A:D,4,FALSE()),0)</f>
        <v>14702.99</v>
      </c>
      <c r="J1619" s="42">
        <f t="shared" si="185"/>
        <v>14702.99</v>
      </c>
      <c r="K1619" s="15" t="str">
        <f t="shared" si="180"/>
        <v>PTO-1818|MAT</v>
      </c>
      <c r="L1619" s="15">
        <f>COUNTIFS($K$2:K1619,K1619)</f>
        <v>4</v>
      </c>
      <c r="M1619" s="15" t="str">
        <f t="shared" si="181"/>
        <v>PTO-1818|MAT|4</v>
      </c>
      <c r="N1619" s="47">
        <f>IFERROR(VLOOKUP(A1619,PARTIDAS!A:F,6,FALSE()),0)</f>
        <v>1</v>
      </c>
      <c r="O1619" s="247">
        <f t="shared" si="182"/>
        <v>1</v>
      </c>
      <c r="P1619" s="247">
        <f>+_xlfn.XLOOKUP(A1619,PPTO_GENERADOR!Q:Q,PPTO_GENERADOR!E:E,"-",0)</f>
        <v>2</v>
      </c>
      <c r="Q1619" s="247">
        <f t="shared" si="183"/>
        <v>2</v>
      </c>
      <c r="R1619" s="259">
        <f>+_xlfn.XLOOKUP(A1619,PPTO_GENERADOR!$Q:$Q,PPTO_GENERADOR!A:A,"-",0)</f>
        <v>18.18</v>
      </c>
    </row>
    <row r="1620" spans="1:18" ht="14.25" customHeight="1" x14ac:dyDescent="0.35">
      <c r="A1620" s="38" t="s">
        <v>288</v>
      </c>
      <c r="B1620" s="38" t="s">
        <v>2774</v>
      </c>
      <c r="C1620" s="38" t="s">
        <v>2775</v>
      </c>
      <c r="D1620" s="38" t="s">
        <v>1401</v>
      </c>
      <c r="E1620" s="44" t="str">
        <f>IFERROR(VLOOKUP(D1620,MATERIALES!A:B,2,FALSE()),"?")</f>
        <v>GAB. IP65 SERIE 9000 300X300X150 (300 X 300 X 150)</v>
      </c>
      <c r="F1620" s="44" t="str">
        <f>IFERROR(VLOOKUP(D1620,MATERIALES!A:C,3,FALSE()),"?")</f>
        <v>u</v>
      </c>
      <c r="G1620" s="45">
        <v>1</v>
      </c>
      <c r="H1620" s="46">
        <v>0</v>
      </c>
      <c r="I1620" s="47">
        <f>IFERROR(VLOOKUP(D1620,MATERIALES!A:D,4,FALSE()),0)</f>
        <v>51844.93</v>
      </c>
      <c r="J1620" s="42">
        <f t="shared" si="185"/>
        <v>51844.93</v>
      </c>
      <c r="K1620" s="15" t="str">
        <f t="shared" si="180"/>
        <v>PTO-1818|MAT</v>
      </c>
      <c r="L1620" s="15">
        <f>COUNTIFS($K$2:K1620,K1620)</f>
        <v>5</v>
      </c>
      <c r="M1620" s="15" t="str">
        <f t="shared" si="181"/>
        <v>PTO-1818|MAT|5</v>
      </c>
      <c r="N1620" s="47">
        <f>IFERROR(VLOOKUP(A1620,PARTIDAS!A:F,6,FALSE()),0)</f>
        <v>1</v>
      </c>
      <c r="O1620" s="247">
        <f t="shared" si="182"/>
        <v>1</v>
      </c>
      <c r="P1620" s="247">
        <f>+_xlfn.XLOOKUP(A1620,PPTO_GENERADOR!Q:Q,PPTO_GENERADOR!E:E,"-",0)</f>
        <v>2</v>
      </c>
      <c r="Q1620" s="247">
        <f t="shared" si="183"/>
        <v>2</v>
      </c>
      <c r="R1620" s="259">
        <f>+_xlfn.XLOOKUP(A1620,PPTO_GENERADOR!$Q:$Q,PPTO_GENERADOR!A:A,"-",0)</f>
        <v>18.18</v>
      </c>
    </row>
    <row r="1621" spans="1:18" ht="14.25" customHeight="1" x14ac:dyDescent="0.35">
      <c r="A1621" s="38" t="s">
        <v>288</v>
      </c>
      <c r="B1621" s="38" t="s">
        <v>2774</v>
      </c>
      <c r="C1621" s="38" t="s">
        <v>2775</v>
      </c>
      <c r="D1621" s="38" t="s">
        <v>1404</v>
      </c>
      <c r="E1621" s="44" t="str">
        <f>IFERROR(VLOOKUP(D1621,MATERIALES!A:B,2,FALSE()),"?")</f>
        <v>CONTRAF ABISAG.CALADO 10BIP S9000 300X300</v>
      </c>
      <c r="F1621" s="44" t="str">
        <f>IFERROR(VLOOKUP(D1621,MATERIALES!A:C,3,FALSE()),"?")</f>
        <v>u</v>
      </c>
      <c r="G1621" s="45">
        <v>1</v>
      </c>
      <c r="H1621" s="46">
        <v>0</v>
      </c>
      <c r="I1621" s="47">
        <f>IFERROR(VLOOKUP(D1621,MATERIALES!A:D,4,FALSE()),0)</f>
        <v>33851.08</v>
      </c>
      <c r="J1621" s="42">
        <f t="shared" si="185"/>
        <v>33851.08</v>
      </c>
      <c r="K1621" s="15" t="str">
        <f t="shared" si="180"/>
        <v>PTO-1818|MAT</v>
      </c>
      <c r="L1621" s="15">
        <f>COUNTIFS($K$2:K1621,K1621)</f>
        <v>6</v>
      </c>
      <c r="M1621" s="15" t="str">
        <f t="shared" si="181"/>
        <v>PTO-1818|MAT|6</v>
      </c>
      <c r="N1621" s="47">
        <f>IFERROR(VLOOKUP(A1621,PARTIDAS!A:F,6,FALSE()),0)</f>
        <v>1</v>
      </c>
      <c r="O1621" s="247">
        <f t="shared" si="182"/>
        <v>1</v>
      </c>
      <c r="P1621" s="247">
        <f>+_xlfn.XLOOKUP(A1621,PPTO_GENERADOR!Q:Q,PPTO_GENERADOR!E:E,"-",0)</f>
        <v>2</v>
      </c>
      <c r="Q1621" s="247">
        <f t="shared" si="183"/>
        <v>2</v>
      </c>
      <c r="R1621" s="259">
        <f>+_xlfn.XLOOKUP(A1621,PPTO_GENERADOR!$Q:$Q,PPTO_GENERADOR!A:A,"-",0)</f>
        <v>18.18</v>
      </c>
    </row>
    <row r="1622" spans="1:18" ht="14.25" customHeight="1" x14ac:dyDescent="0.35">
      <c r="A1622" s="38" t="s">
        <v>288</v>
      </c>
      <c r="B1622" s="38" t="s">
        <v>2774</v>
      </c>
      <c r="C1622" s="38" t="s">
        <v>2775</v>
      </c>
      <c r="D1622" s="38" t="s">
        <v>1412</v>
      </c>
      <c r="E1622" s="44" t="str">
        <f>IFERROR(VLOOKUP(D1622,MATERIALES!A:B,2,FALSE()),"?")</f>
        <v>STECK TM TETRAPOLAR 32A 6KA (4 X 32A)</v>
      </c>
      <c r="F1622" s="44" t="str">
        <f>IFERROR(VLOOKUP(D1622,MATERIALES!A:C,3,FALSE()),"?")</f>
        <v>u</v>
      </c>
      <c r="G1622" s="45">
        <v>1</v>
      </c>
      <c r="H1622" s="46">
        <v>0</v>
      </c>
      <c r="I1622" s="47">
        <f>IFERROR(VLOOKUP(D1622,MATERIALES!A:D,4,FALSE()),0)</f>
        <v>11163.59</v>
      </c>
      <c r="J1622" s="42">
        <f t="shared" si="185"/>
        <v>11163.59</v>
      </c>
      <c r="K1622" s="15" t="str">
        <f t="shared" si="180"/>
        <v>PTO-1818|MAT</v>
      </c>
      <c r="L1622" s="15">
        <f>COUNTIFS($K$2:K1622,K1622)</f>
        <v>7</v>
      </c>
      <c r="M1622" s="15" t="str">
        <f t="shared" si="181"/>
        <v>PTO-1818|MAT|7</v>
      </c>
      <c r="N1622" s="47">
        <f>IFERROR(VLOOKUP(A1622,PARTIDAS!A:F,6,FALSE()),0)</f>
        <v>1</v>
      </c>
      <c r="O1622" s="247">
        <f t="shared" si="182"/>
        <v>1</v>
      </c>
      <c r="P1622" s="247">
        <f>+_xlfn.XLOOKUP(A1622,PPTO_GENERADOR!Q:Q,PPTO_GENERADOR!E:E,"-",0)</f>
        <v>2</v>
      </c>
      <c r="Q1622" s="247">
        <f t="shared" si="183"/>
        <v>2</v>
      </c>
      <c r="R1622" s="259">
        <f>+_xlfn.XLOOKUP(A1622,PPTO_GENERADOR!$Q:$Q,PPTO_GENERADOR!A:A,"-",0)</f>
        <v>18.18</v>
      </c>
    </row>
    <row r="1623" spans="1:18" ht="14.25" customHeight="1" x14ac:dyDescent="0.35">
      <c r="A1623" s="38" t="s">
        <v>288</v>
      </c>
      <c r="B1623" s="38" t="s">
        <v>2776</v>
      </c>
      <c r="C1623" s="38" t="s">
        <v>2775</v>
      </c>
      <c r="D1623" s="38" t="s">
        <v>2184</v>
      </c>
      <c r="E1623" s="44" t="str">
        <f>IFERROR(VLOOKUP(D1623,SUBCONTRATOS_PRY!A:B,2,FALSE()),"?")</f>
        <v>Tablero seccional de 8 a 36 polos</v>
      </c>
      <c r="F1623" s="44" t="s">
        <v>2778</v>
      </c>
      <c r="G1623" s="45">
        <v>1</v>
      </c>
      <c r="H1623" s="46">
        <v>0</v>
      </c>
      <c r="I1623" s="47">
        <f>IFERROR(VLOOKUP(D1623,SUBCONTRATOS_PRY!A:D,4,FALSE()),0)</f>
        <v>232812.45</v>
      </c>
      <c r="J1623" s="42">
        <f>G1623*I1623</f>
        <v>232812.45</v>
      </c>
      <c r="K1623" s="15" t="str">
        <f t="shared" si="180"/>
        <v>PTO-1818|MO</v>
      </c>
      <c r="L1623" s="15">
        <f>COUNTIFS($K$2:K1623,K1623)</f>
        <v>1</v>
      </c>
      <c r="M1623" s="15" t="str">
        <f t="shared" si="181"/>
        <v>PTO-1818|MO|1</v>
      </c>
      <c r="N1623" s="47">
        <f>IFERROR(VLOOKUP(A1623,PARTIDAS!A:F,6,FALSE()),0)</f>
        <v>1</v>
      </c>
      <c r="O1623" s="247">
        <f t="shared" si="182"/>
        <v>1</v>
      </c>
      <c r="P1623" s="247">
        <f>+_xlfn.XLOOKUP(A1623,PPTO_GENERADOR!Q:Q,PPTO_GENERADOR!E:E,"-",0)</f>
        <v>2</v>
      </c>
      <c r="Q1623" s="247">
        <f t="shared" si="183"/>
        <v>2</v>
      </c>
      <c r="R1623" s="259">
        <f>+_xlfn.XLOOKUP(A1623,PPTO_GENERADOR!$Q:$Q,PPTO_GENERADOR!A:A,"-",0)</f>
        <v>18.18</v>
      </c>
    </row>
    <row r="1624" spans="1:18" ht="14.25" customHeight="1" x14ac:dyDescent="0.35">
      <c r="A1624" s="38" t="s">
        <v>290</v>
      </c>
      <c r="B1624" s="38" t="s">
        <v>2773</v>
      </c>
      <c r="C1624" s="38"/>
      <c r="D1624" s="38" t="s">
        <v>2025</v>
      </c>
      <c r="E1624" s="44" t="str">
        <f>IFERROR(VLOOKUP(D1624,EQUIPOS!A:B,2,FALSE()),"?")</f>
        <v>Herramientas y consumibles - PTO-1819 TUF</v>
      </c>
      <c r="F1624" s="44"/>
      <c r="G1624" s="45">
        <v>1</v>
      </c>
      <c r="H1624" s="46">
        <v>0</v>
      </c>
      <c r="I1624" s="47">
        <f>IFERROR(VLOOKUP(D1624,EQUIPOS!A:F,6,FALSE()),0)</f>
        <v>6602.35923</v>
      </c>
      <c r="J1624" s="42">
        <f>G1624*I1624</f>
        <v>6602.35923</v>
      </c>
      <c r="K1624" s="15" t="str">
        <f t="shared" si="180"/>
        <v>PTO-1819|EQ</v>
      </c>
      <c r="L1624" s="15">
        <f>COUNTIFS($K$2:K1624,K1624)</f>
        <v>1</v>
      </c>
      <c r="M1624" s="15" t="str">
        <f t="shared" si="181"/>
        <v>PTO-1819|EQ|1</v>
      </c>
      <c r="N1624" s="47">
        <f>IFERROR(VLOOKUP(A1624,PARTIDAS!A:F,6,FALSE()),0)</f>
        <v>1</v>
      </c>
      <c r="O1624" s="247">
        <f t="shared" si="182"/>
        <v>1</v>
      </c>
      <c r="P1624" s="247">
        <f>+_xlfn.XLOOKUP(A1624,PPTO_GENERADOR!Q:Q,PPTO_GENERADOR!E:E,"-",0)</f>
        <v>9</v>
      </c>
      <c r="Q1624" s="247">
        <f t="shared" si="183"/>
        <v>9</v>
      </c>
      <c r="R1624" s="259">
        <f>+_xlfn.XLOOKUP(A1624,PPTO_GENERADOR!$Q:$Q,PPTO_GENERADOR!A:A,"-",0)</f>
        <v>18.190000000000001</v>
      </c>
    </row>
    <row r="1625" spans="1:18" ht="14.25" customHeight="1" x14ac:dyDescent="0.35">
      <c r="A1625" s="38" t="s">
        <v>290</v>
      </c>
      <c r="B1625" s="38" t="s">
        <v>2774</v>
      </c>
      <c r="C1625" s="38" t="s">
        <v>2775</v>
      </c>
      <c r="D1625" s="38" t="s">
        <v>1361</v>
      </c>
      <c r="E1625" s="44" t="str">
        <f>IFERROR(VLOOKUP(D1625,MATERIALES!A:B,2,FALSE()),"?")</f>
        <v>Consumibles</v>
      </c>
      <c r="F1625" s="44" t="str">
        <f>IFERROR(VLOOKUP(D1625,MATERIALES!A:C,3,FALSE()),"?")</f>
        <v>gl</v>
      </c>
      <c r="G1625" s="45">
        <v>34557.472000000002</v>
      </c>
      <c r="H1625" s="46">
        <v>0</v>
      </c>
      <c r="I1625" s="47">
        <f>IFERROR(VLOOKUP(D1625,MATERIALES!A:D,4,FALSE()),0)</f>
        <v>1</v>
      </c>
      <c r="J1625" s="42">
        <f t="shared" ref="J1625:J1632" si="186">G1625*I1625*(1+H1625)</f>
        <v>34557.472000000002</v>
      </c>
      <c r="K1625" s="15" t="str">
        <f t="shared" si="180"/>
        <v>PTO-1819|MAT</v>
      </c>
      <c r="L1625" s="15">
        <f>COUNTIFS($K$2:K1625,K1625)</f>
        <v>1</v>
      </c>
      <c r="M1625" s="15" t="str">
        <f t="shared" si="181"/>
        <v>PTO-1819|MAT|1</v>
      </c>
      <c r="N1625" s="47">
        <f>IFERROR(VLOOKUP(A1625,PARTIDAS!A:F,6,FALSE()),0)</f>
        <v>1</v>
      </c>
      <c r="O1625" s="247">
        <f t="shared" si="182"/>
        <v>34557.472000000002</v>
      </c>
      <c r="P1625" s="247">
        <f>+_xlfn.XLOOKUP(A1625,PPTO_GENERADOR!Q:Q,PPTO_GENERADOR!E:E,"-",0)</f>
        <v>9</v>
      </c>
      <c r="Q1625" s="247">
        <f t="shared" si="183"/>
        <v>311017.24800000002</v>
      </c>
      <c r="R1625" s="259">
        <f>+_xlfn.XLOOKUP(A1625,PPTO_GENERADOR!$Q:$Q,PPTO_GENERADOR!A:A,"-",0)</f>
        <v>18.190000000000001</v>
      </c>
    </row>
    <row r="1626" spans="1:18" ht="14.25" customHeight="1" x14ac:dyDescent="0.35">
      <c r="A1626" s="38" t="s">
        <v>290</v>
      </c>
      <c r="B1626" s="38" t="s">
        <v>2774</v>
      </c>
      <c r="C1626" s="38" t="s">
        <v>2775</v>
      </c>
      <c r="D1626" s="38" t="s">
        <v>1377</v>
      </c>
      <c r="E1626" s="44" t="str">
        <f>IFERROR(VLOOKUP(D1626,MATERIALES!A:B,2,FALSE()),"?")</f>
        <v>STECK DIFERENCIAL 4X40A 30MA (4x40A)</v>
      </c>
      <c r="F1626" s="44" t="str">
        <f>IFERROR(VLOOKUP(D1626,MATERIALES!A:C,3,FALSE()),"?")</f>
        <v>u</v>
      </c>
      <c r="G1626" s="45">
        <v>1</v>
      </c>
      <c r="H1626" s="46">
        <v>0</v>
      </c>
      <c r="I1626" s="47">
        <f>IFERROR(VLOOKUP(D1626,MATERIALES!A:D,4,FALSE()),0)</f>
        <v>35881.19</v>
      </c>
      <c r="J1626" s="42">
        <f t="shared" si="186"/>
        <v>35881.19</v>
      </c>
      <c r="K1626" s="15" t="str">
        <f t="shared" si="180"/>
        <v>PTO-1819|MAT</v>
      </c>
      <c r="L1626" s="15">
        <f>COUNTIFS($K$2:K1626,K1626)</f>
        <v>2</v>
      </c>
      <c r="M1626" s="15" t="str">
        <f t="shared" si="181"/>
        <v>PTO-1819|MAT|2</v>
      </c>
      <c r="N1626" s="47">
        <f>IFERROR(VLOOKUP(A1626,PARTIDAS!A:F,6,FALSE()),0)</f>
        <v>1</v>
      </c>
      <c r="O1626" s="247">
        <f t="shared" si="182"/>
        <v>1</v>
      </c>
      <c r="P1626" s="247">
        <f>+_xlfn.XLOOKUP(A1626,PPTO_GENERADOR!Q:Q,PPTO_GENERADOR!E:E,"-",0)</f>
        <v>9</v>
      </c>
      <c r="Q1626" s="247">
        <f t="shared" si="183"/>
        <v>9</v>
      </c>
      <c r="R1626" s="259">
        <f>+_xlfn.XLOOKUP(A1626,PPTO_GENERADOR!$Q:$Q,PPTO_GENERADOR!A:A,"-",0)</f>
        <v>18.190000000000001</v>
      </c>
    </row>
    <row r="1627" spans="1:18" ht="14.25" customHeight="1" x14ac:dyDescent="0.35">
      <c r="A1627" s="38" t="s">
        <v>290</v>
      </c>
      <c r="B1627" s="38" t="s">
        <v>2774</v>
      </c>
      <c r="C1627" s="38" t="s">
        <v>2775</v>
      </c>
      <c r="D1627" s="38" t="s">
        <v>1412</v>
      </c>
      <c r="E1627" s="44" t="str">
        <f>IFERROR(VLOOKUP(D1627,MATERIALES!A:B,2,FALSE()),"?")</f>
        <v>STECK TM TETRAPOLAR 32A 6KA (4 X 32A)</v>
      </c>
      <c r="F1627" s="44" t="str">
        <f>IFERROR(VLOOKUP(D1627,MATERIALES!A:C,3,FALSE()),"?")</f>
        <v>u</v>
      </c>
      <c r="G1627" s="45">
        <v>1</v>
      </c>
      <c r="H1627" s="46">
        <v>0</v>
      </c>
      <c r="I1627" s="47">
        <f>IFERROR(VLOOKUP(D1627,MATERIALES!A:D,4,FALSE()),0)</f>
        <v>11163.59</v>
      </c>
      <c r="J1627" s="42">
        <f t="shared" si="186"/>
        <v>11163.59</v>
      </c>
      <c r="K1627" s="15" t="str">
        <f t="shared" si="180"/>
        <v>PTO-1819|MAT</v>
      </c>
      <c r="L1627" s="15">
        <f>COUNTIFS($K$2:K1627,K1627)</f>
        <v>3</v>
      </c>
      <c r="M1627" s="15" t="str">
        <f t="shared" si="181"/>
        <v>PTO-1819|MAT|3</v>
      </c>
      <c r="N1627" s="47">
        <f>IFERROR(VLOOKUP(A1627,PARTIDAS!A:F,6,FALSE()),0)</f>
        <v>1</v>
      </c>
      <c r="O1627" s="247">
        <f t="shared" si="182"/>
        <v>1</v>
      </c>
      <c r="P1627" s="247">
        <f>+_xlfn.XLOOKUP(A1627,PPTO_GENERADOR!Q:Q,PPTO_GENERADOR!E:E,"-",0)</f>
        <v>9</v>
      </c>
      <c r="Q1627" s="247">
        <f t="shared" si="183"/>
        <v>9</v>
      </c>
      <c r="R1627" s="259">
        <f>+_xlfn.XLOOKUP(A1627,PPTO_GENERADOR!$Q:$Q,PPTO_GENERADOR!A:A,"-",0)</f>
        <v>18.190000000000001</v>
      </c>
    </row>
    <row r="1628" spans="1:18" ht="14.25" customHeight="1" x14ac:dyDescent="0.35">
      <c r="A1628" s="38" t="s">
        <v>290</v>
      </c>
      <c r="B1628" s="38" t="s">
        <v>2774</v>
      </c>
      <c r="C1628" s="38" t="s">
        <v>2775</v>
      </c>
      <c r="D1628" s="38" t="s">
        <v>1415</v>
      </c>
      <c r="E1628" s="44" t="str">
        <f>IFERROR(VLOOKUP(D1628,MATERIALES!A:B,2,FALSE()),"?")</f>
        <v>STECK DIFERENCIAL 2X25A 30MA (2 x 25A)</v>
      </c>
      <c r="F1628" s="44" t="str">
        <f>IFERROR(VLOOKUP(D1628,MATERIALES!A:C,3,FALSE()),"?")</f>
        <v>u</v>
      </c>
      <c r="G1628" s="45">
        <v>3</v>
      </c>
      <c r="H1628" s="46">
        <v>0</v>
      </c>
      <c r="I1628" s="47">
        <f>IFERROR(VLOOKUP(D1628,MATERIALES!A:D,4,FALSE()),0)</f>
        <v>18770.66</v>
      </c>
      <c r="J1628" s="42">
        <f t="shared" si="186"/>
        <v>56311.979999999996</v>
      </c>
      <c r="K1628" s="15" t="str">
        <f t="shared" si="180"/>
        <v>PTO-1819|MAT</v>
      </c>
      <c r="L1628" s="15">
        <f>COUNTIFS($K$2:K1628,K1628)</f>
        <v>4</v>
      </c>
      <c r="M1628" s="15" t="str">
        <f t="shared" si="181"/>
        <v>PTO-1819|MAT|4</v>
      </c>
      <c r="N1628" s="47">
        <f>IFERROR(VLOOKUP(A1628,PARTIDAS!A:F,6,FALSE()),0)</f>
        <v>1</v>
      </c>
      <c r="O1628" s="247">
        <f t="shared" si="182"/>
        <v>3</v>
      </c>
      <c r="P1628" s="247">
        <f>+_xlfn.XLOOKUP(A1628,PPTO_GENERADOR!Q:Q,PPTO_GENERADOR!E:E,"-",0)</f>
        <v>9</v>
      </c>
      <c r="Q1628" s="247">
        <f t="shared" si="183"/>
        <v>27</v>
      </c>
      <c r="R1628" s="259">
        <f>+_xlfn.XLOOKUP(A1628,PPTO_GENERADOR!$Q:$Q,PPTO_GENERADOR!A:A,"-",0)</f>
        <v>18.190000000000001</v>
      </c>
    </row>
    <row r="1629" spans="1:18" ht="14.25" customHeight="1" x14ac:dyDescent="0.35">
      <c r="A1629" s="38" t="s">
        <v>290</v>
      </c>
      <c r="B1629" s="38" t="s">
        <v>2774</v>
      </c>
      <c r="C1629" s="38" t="s">
        <v>2775</v>
      </c>
      <c r="D1629" s="38" t="s">
        <v>1418</v>
      </c>
      <c r="E1629" s="44" t="str">
        <f>IFERROR(VLOOKUP(D1629,MATERIALES!A:B,2,FALSE()),"?")</f>
        <v>STECK TM BIPOLAR 10A 6KA (10A)</v>
      </c>
      <c r="F1629" s="44" t="str">
        <f>IFERROR(VLOOKUP(D1629,MATERIALES!A:C,3,FALSE()),"?")</f>
        <v>u</v>
      </c>
      <c r="G1629" s="45">
        <v>2</v>
      </c>
      <c r="H1629" s="46">
        <v>0</v>
      </c>
      <c r="I1629" s="47">
        <f>IFERROR(VLOOKUP(D1629,MATERIALES!A:D,4,FALSE()),0)</f>
        <v>5287.23</v>
      </c>
      <c r="J1629" s="42">
        <f t="shared" si="186"/>
        <v>10574.46</v>
      </c>
      <c r="K1629" s="15" t="str">
        <f t="shared" si="180"/>
        <v>PTO-1819|MAT</v>
      </c>
      <c r="L1629" s="15">
        <f>COUNTIFS($K$2:K1629,K1629)</f>
        <v>5</v>
      </c>
      <c r="M1629" s="15" t="str">
        <f t="shared" si="181"/>
        <v>PTO-1819|MAT|5</v>
      </c>
      <c r="N1629" s="47">
        <f>IFERROR(VLOOKUP(A1629,PARTIDAS!A:F,6,FALSE()),0)</f>
        <v>1</v>
      </c>
      <c r="O1629" s="247">
        <f t="shared" si="182"/>
        <v>2</v>
      </c>
      <c r="P1629" s="247">
        <f>+_xlfn.XLOOKUP(A1629,PPTO_GENERADOR!Q:Q,PPTO_GENERADOR!E:E,"-",0)</f>
        <v>9</v>
      </c>
      <c r="Q1629" s="247">
        <f t="shared" si="183"/>
        <v>18</v>
      </c>
      <c r="R1629" s="259">
        <f>+_xlfn.XLOOKUP(A1629,PPTO_GENERADOR!$Q:$Q,PPTO_GENERADOR!A:A,"-",0)</f>
        <v>18.190000000000001</v>
      </c>
    </row>
    <row r="1630" spans="1:18" ht="14.25" customHeight="1" x14ac:dyDescent="0.35">
      <c r="A1630" s="38" t="s">
        <v>290</v>
      </c>
      <c r="B1630" s="38" t="s">
        <v>2774</v>
      </c>
      <c r="C1630" s="38" t="s">
        <v>2775</v>
      </c>
      <c r="D1630" s="38" t="s">
        <v>1420</v>
      </c>
      <c r="E1630" s="44" t="str">
        <f>IFERROR(VLOOKUP(D1630,MATERIALES!A:B,2,FALSE()),"?")</f>
        <v>STECK TM BIPOLAR 16A 6KA (16A)</v>
      </c>
      <c r="F1630" s="44" t="str">
        <f>IFERROR(VLOOKUP(D1630,MATERIALES!A:C,3,FALSE()),"?")</f>
        <v>u</v>
      </c>
      <c r="G1630" s="45">
        <v>5</v>
      </c>
      <c r="H1630" s="46">
        <v>0</v>
      </c>
      <c r="I1630" s="47">
        <f>IFERROR(VLOOKUP(D1630,MATERIALES!A:D,4,FALSE()),0)</f>
        <v>5287.23</v>
      </c>
      <c r="J1630" s="42">
        <f t="shared" si="186"/>
        <v>26436.149999999998</v>
      </c>
      <c r="K1630" s="15" t="str">
        <f t="shared" si="180"/>
        <v>PTO-1819|MAT</v>
      </c>
      <c r="L1630" s="15">
        <f>COUNTIFS($K$2:K1630,K1630)</f>
        <v>6</v>
      </c>
      <c r="M1630" s="15" t="str">
        <f t="shared" si="181"/>
        <v>PTO-1819|MAT|6</v>
      </c>
      <c r="N1630" s="47">
        <f>IFERROR(VLOOKUP(A1630,PARTIDAS!A:F,6,FALSE()),0)</f>
        <v>1</v>
      </c>
      <c r="O1630" s="247">
        <f t="shared" si="182"/>
        <v>5</v>
      </c>
      <c r="P1630" s="247">
        <f>+_xlfn.XLOOKUP(A1630,PPTO_GENERADOR!Q:Q,PPTO_GENERADOR!E:E,"-",0)</f>
        <v>9</v>
      </c>
      <c r="Q1630" s="247">
        <f t="shared" si="183"/>
        <v>45</v>
      </c>
      <c r="R1630" s="259">
        <f>+_xlfn.XLOOKUP(A1630,PPTO_GENERADOR!$Q:$Q,PPTO_GENERADOR!A:A,"-",0)</f>
        <v>18.190000000000001</v>
      </c>
    </row>
    <row r="1631" spans="1:18" ht="14.25" customHeight="1" x14ac:dyDescent="0.35">
      <c r="A1631" s="38" t="s">
        <v>290</v>
      </c>
      <c r="B1631" s="38" t="s">
        <v>2774</v>
      </c>
      <c r="C1631" s="38" t="s">
        <v>2775</v>
      </c>
      <c r="D1631" s="38" t="s">
        <v>1422</v>
      </c>
      <c r="E1631" s="44" t="str">
        <f>IFERROR(VLOOKUP(D1631,MATERIALES!A:B,2,FALSE()),"?")</f>
        <v>CAJA EMB P/ TM 36 POLOS BC T/FUME</v>
      </c>
      <c r="F1631" s="44" t="str">
        <f>IFERROR(VLOOKUP(D1631,MATERIALES!A:C,3,FALSE()),"?")</f>
        <v>u</v>
      </c>
      <c r="G1631" s="45">
        <v>1</v>
      </c>
      <c r="H1631" s="46">
        <v>0</v>
      </c>
      <c r="I1631" s="47">
        <f>IFERROR(VLOOKUP(D1631,MATERIALES!A:D,4,FALSE()),0)</f>
        <v>27320.39</v>
      </c>
      <c r="J1631" s="42">
        <f t="shared" si="186"/>
        <v>27320.39</v>
      </c>
      <c r="K1631" s="15" t="str">
        <f t="shared" si="180"/>
        <v>PTO-1819|MAT</v>
      </c>
      <c r="L1631" s="15">
        <f>COUNTIFS($K$2:K1631,K1631)</f>
        <v>7</v>
      </c>
      <c r="M1631" s="15" t="str">
        <f t="shared" si="181"/>
        <v>PTO-1819|MAT|7</v>
      </c>
      <c r="N1631" s="47">
        <f>IFERROR(VLOOKUP(A1631,PARTIDAS!A:F,6,FALSE()),0)</f>
        <v>1</v>
      </c>
      <c r="O1631" s="247">
        <f t="shared" si="182"/>
        <v>1</v>
      </c>
      <c r="P1631" s="247">
        <f>+_xlfn.XLOOKUP(A1631,PPTO_GENERADOR!Q:Q,PPTO_GENERADOR!E:E,"-",0)</f>
        <v>9</v>
      </c>
      <c r="Q1631" s="247">
        <f t="shared" si="183"/>
        <v>9</v>
      </c>
      <c r="R1631" s="259">
        <f>+_xlfn.XLOOKUP(A1631,PPTO_GENERADOR!$Q:$Q,PPTO_GENERADOR!A:A,"-",0)</f>
        <v>18.190000000000001</v>
      </c>
    </row>
    <row r="1632" spans="1:18" ht="14.25" customHeight="1" x14ac:dyDescent="0.35">
      <c r="A1632" s="38" t="s">
        <v>290</v>
      </c>
      <c r="B1632" s="38" t="s">
        <v>2774</v>
      </c>
      <c r="C1632" s="38" t="s">
        <v>2775</v>
      </c>
      <c r="D1632" s="38" t="s">
        <v>1424</v>
      </c>
      <c r="E1632" s="44" t="str">
        <f>IFERROR(VLOOKUP(D1632,MATERIALES!A:B,2,FALSE()),"?")</f>
        <v>RIEL DIN 35MM 1 METRO PERFOR.</v>
      </c>
      <c r="F1632" s="44" t="str">
        <f>IFERROR(VLOOKUP(D1632,MATERIALES!A:C,3,FALSE()),"?")</f>
        <v>u</v>
      </c>
      <c r="G1632" s="45">
        <v>1</v>
      </c>
      <c r="H1632" s="46">
        <v>0</v>
      </c>
      <c r="I1632" s="47">
        <f>IFERROR(VLOOKUP(D1632,MATERIALES!A:D,4,FALSE()),0)</f>
        <v>5099.6000000000004</v>
      </c>
      <c r="J1632" s="42">
        <f t="shared" si="186"/>
        <v>5099.6000000000004</v>
      </c>
      <c r="K1632" s="15" t="str">
        <f t="shared" si="180"/>
        <v>PTO-1819|MAT</v>
      </c>
      <c r="L1632" s="15">
        <f>COUNTIFS($K$2:K1632,K1632)</f>
        <v>8</v>
      </c>
      <c r="M1632" s="15" t="str">
        <f t="shared" si="181"/>
        <v>PTO-1819|MAT|8</v>
      </c>
      <c r="N1632" s="47">
        <f>IFERROR(VLOOKUP(A1632,PARTIDAS!A:F,6,FALSE()),0)</f>
        <v>1</v>
      </c>
      <c r="O1632" s="247">
        <f t="shared" si="182"/>
        <v>1</v>
      </c>
      <c r="P1632" s="247">
        <f>+_xlfn.XLOOKUP(A1632,PPTO_GENERADOR!Q:Q,PPTO_GENERADOR!E:E,"-",0)</f>
        <v>9</v>
      </c>
      <c r="Q1632" s="247">
        <f t="shared" si="183"/>
        <v>9</v>
      </c>
      <c r="R1632" s="259">
        <f>+_xlfn.XLOOKUP(A1632,PPTO_GENERADOR!$Q:$Q,PPTO_GENERADOR!A:A,"-",0)</f>
        <v>18.190000000000001</v>
      </c>
    </row>
    <row r="1633" spans="1:18" ht="14.25" customHeight="1" x14ac:dyDescent="0.35">
      <c r="A1633" s="38" t="s">
        <v>290</v>
      </c>
      <c r="B1633" s="38" t="s">
        <v>2776</v>
      </c>
      <c r="C1633" s="38" t="s">
        <v>2775</v>
      </c>
      <c r="D1633" s="38" t="s">
        <v>2184</v>
      </c>
      <c r="E1633" s="44" t="str">
        <f>IFERROR(VLOOKUP(D1633,SUBCONTRATOS_PRY!A:B,2,FALSE()),"?")</f>
        <v>Tablero seccional de 8 a 36 polos</v>
      </c>
      <c r="F1633" s="44" t="s">
        <v>2778</v>
      </c>
      <c r="G1633" s="45">
        <v>1</v>
      </c>
      <c r="H1633" s="46">
        <v>0</v>
      </c>
      <c r="I1633" s="47">
        <f>IFERROR(VLOOKUP(D1633,SUBCONTRATOS_PRY!A:D,4,FALSE()),0)</f>
        <v>232812.45</v>
      </c>
      <c r="J1633" s="42">
        <f>G1633*I1633</f>
        <v>232812.45</v>
      </c>
      <c r="K1633" s="15" t="str">
        <f t="shared" si="180"/>
        <v>PTO-1819|MO</v>
      </c>
      <c r="L1633" s="15">
        <f>COUNTIFS($K$2:K1633,K1633)</f>
        <v>1</v>
      </c>
      <c r="M1633" s="15" t="str">
        <f t="shared" si="181"/>
        <v>PTO-1819|MO|1</v>
      </c>
      <c r="N1633" s="47">
        <f>IFERROR(VLOOKUP(A1633,PARTIDAS!A:F,6,FALSE()),0)</f>
        <v>1</v>
      </c>
      <c r="O1633" s="247">
        <f t="shared" si="182"/>
        <v>1</v>
      </c>
      <c r="P1633" s="247">
        <f>+_xlfn.XLOOKUP(A1633,PPTO_GENERADOR!Q:Q,PPTO_GENERADOR!E:E,"-",0)</f>
        <v>9</v>
      </c>
      <c r="Q1633" s="247">
        <f t="shared" si="183"/>
        <v>9</v>
      </c>
      <c r="R1633" s="259">
        <f>+_xlfn.XLOOKUP(A1633,PPTO_GENERADOR!$Q:$Q,PPTO_GENERADOR!A:A,"-",0)</f>
        <v>18.190000000000001</v>
      </c>
    </row>
    <row r="1634" spans="1:18" ht="14.25" customHeight="1" x14ac:dyDescent="0.35">
      <c r="A1634" s="38" t="s">
        <v>292</v>
      </c>
      <c r="B1634" s="38" t="s">
        <v>2773</v>
      </c>
      <c r="C1634" s="38"/>
      <c r="D1634" s="38" t="s">
        <v>2028</v>
      </c>
      <c r="E1634" s="44" t="str">
        <f>IFERROR(VLOOKUP(D1634,EQUIPOS!A:B,2,FALSE()),"?")</f>
        <v>Herramientas y consumibles - PTO-1820 MONTANTE</v>
      </c>
      <c r="F1634" s="44"/>
      <c r="G1634" s="45">
        <v>1</v>
      </c>
      <c r="H1634" s="46">
        <v>0</v>
      </c>
      <c r="I1634" s="47">
        <f>IFERROR(VLOOKUP(D1634,EQUIPOS!A:F,6,FALSE()),0)</f>
        <v>70727.339200190603</v>
      </c>
      <c r="J1634" s="42">
        <f>G1634*I1634</f>
        <v>70727.339200190603</v>
      </c>
      <c r="K1634" s="15" t="str">
        <f t="shared" si="180"/>
        <v>PTO-1820|EQ</v>
      </c>
      <c r="L1634" s="15">
        <f>COUNTIFS($K$2:K1634,K1634)</f>
        <v>1</v>
      </c>
      <c r="M1634" s="15" t="str">
        <f t="shared" si="181"/>
        <v>PTO-1820|EQ|1</v>
      </c>
      <c r="N1634" s="47">
        <f>IFERROR(VLOOKUP(A1634,PARTIDAS!A:F,6,FALSE()),0)</f>
        <v>1</v>
      </c>
      <c r="O1634" s="247">
        <f t="shared" si="182"/>
        <v>1</v>
      </c>
      <c r="P1634" s="247">
        <f>+_xlfn.XLOOKUP(A1634,PPTO_GENERADOR!Q:Q,PPTO_GENERADOR!E:E,"-",0)</f>
        <v>1</v>
      </c>
      <c r="Q1634" s="247">
        <f t="shared" si="183"/>
        <v>1</v>
      </c>
      <c r="R1634" s="259">
        <f>+_xlfn.XLOOKUP(A1634,PPTO_GENERADOR!$Q:$Q,PPTO_GENERADOR!A:A,"-",0)</f>
        <v>18.2</v>
      </c>
    </row>
    <row r="1635" spans="1:18" ht="14.25" customHeight="1" x14ac:dyDescent="0.35">
      <c r="A1635" s="38" t="s">
        <v>292</v>
      </c>
      <c r="B1635" s="38" t="s">
        <v>2774</v>
      </c>
      <c r="C1635" s="38" t="s">
        <v>2775</v>
      </c>
      <c r="D1635" s="38" t="s">
        <v>1361</v>
      </c>
      <c r="E1635" s="44" t="str">
        <f>IFERROR(VLOOKUP(D1635,MATERIALES!A:B,2,FALSE()),"?")</f>
        <v>Consumibles</v>
      </c>
      <c r="F1635" s="44" t="str">
        <f>IFERROR(VLOOKUP(D1635,MATERIALES!A:C,3,FALSE()),"?")</f>
        <v>gl</v>
      </c>
      <c r="G1635" s="45">
        <v>417515.77289999998</v>
      </c>
      <c r="H1635" s="46">
        <v>0</v>
      </c>
      <c r="I1635" s="47">
        <f>IFERROR(VLOOKUP(D1635,MATERIALES!A:D,4,FALSE()),0)</f>
        <v>1</v>
      </c>
      <c r="J1635" s="42">
        <f t="shared" ref="J1635:J1646" si="187">G1635*I1635*(1+H1635)</f>
        <v>417515.77289999998</v>
      </c>
      <c r="K1635" s="15" t="str">
        <f t="shared" si="180"/>
        <v>PTO-1820|MAT</v>
      </c>
      <c r="L1635" s="15">
        <f>COUNTIFS($K$2:K1635,K1635)</f>
        <v>1</v>
      </c>
      <c r="M1635" s="15" t="str">
        <f t="shared" si="181"/>
        <v>PTO-1820|MAT|1</v>
      </c>
      <c r="N1635" s="47">
        <f>IFERROR(VLOOKUP(A1635,PARTIDAS!A:F,6,FALSE()),0)</f>
        <v>1</v>
      </c>
      <c r="O1635" s="247">
        <f t="shared" si="182"/>
        <v>417515.77289999998</v>
      </c>
      <c r="P1635" s="247">
        <f>+_xlfn.XLOOKUP(A1635,PPTO_GENERADOR!Q:Q,PPTO_GENERADOR!E:E,"-",0)</f>
        <v>1</v>
      </c>
      <c r="Q1635" s="247">
        <f t="shared" si="183"/>
        <v>417515.77289999998</v>
      </c>
      <c r="R1635" s="259">
        <f>+_xlfn.XLOOKUP(A1635,PPTO_GENERADOR!$Q:$Q,PPTO_GENERADOR!A:A,"-",0)</f>
        <v>18.2</v>
      </c>
    </row>
    <row r="1636" spans="1:18" ht="14.25" customHeight="1" x14ac:dyDescent="0.35">
      <c r="A1636" s="38" t="s">
        <v>292</v>
      </c>
      <c r="B1636" s="38" t="s">
        <v>2774</v>
      </c>
      <c r="C1636" s="38" t="s">
        <v>2775</v>
      </c>
      <c r="D1636" s="38" t="s">
        <v>1426</v>
      </c>
      <c r="E1636" s="44" t="str">
        <f>IFERROR(VLOOKUP(D1636,MATERIALES!A:B,2,FALSE()),"?")</f>
        <v>CAÑOX3M RIGIDO 25MM PVC TUBE</v>
      </c>
      <c r="F1636" s="44" t="str">
        <f>IFERROR(VLOOKUP(D1636,MATERIALES!A:C,3,FALSE()),"?")</f>
        <v>u</v>
      </c>
      <c r="G1636" s="45">
        <v>100</v>
      </c>
      <c r="H1636" s="46">
        <v>0</v>
      </c>
      <c r="I1636" s="47">
        <f>IFERROR(VLOOKUP(D1636,MATERIALES!A:D,4,FALSE()),0)</f>
        <v>1836.01</v>
      </c>
      <c r="J1636" s="42">
        <f t="shared" si="187"/>
        <v>183601</v>
      </c>
      <c r="K1636" s="15" t="str">
        <f t="shared" si="180"/>
        <v>PTO-1820|MAT</v>
      </c>
      <c r="L1636" s="15">
        <f>COUNTIFS($K$2:K1636,K1636)</f>
        <v>2</v>
      </c>
      <c r="M1636" s="15" t="str">
        <f t="shared" si="181"/>
        <v>PTO-1820|MAT|2</v>
      </c>
      <c r="N1636" s="47">
        <f>IFERROR(VLOOKUP(A1636,PARTIDAS!A:F,6,FALSE()),0)</f>
        <v>1</v>
      </c>
      <c r="O1636" s="247">
        <f t="shared" si="182"/>
        <v>100</v>
      </c>
      <c r="P1636" s="247">
        <f>+_xlfn.XLOOKUP(A1636,PPTO_GENERADOR!Q:Q,PPTO_GENERADOR!E:E,"-",0)</f>
        <v>1</v>
      </c>
      <c r="Q1636" s="247">
        <f t="shared" si="183"/>
        <v>100</v>
      </c>
      <c r="R1636" s="259">
        <f>+_xlfn.XLOOKUP(A1636,PPTO_GENERADOR!$Q:$Q,PPTO_GENERADOR!A:A,"-",0)</f>
        <v>18.2</v>
      </c>
    </row>
    <row r="1637" spans="1:18" ht="14.25" customHeight="1" x14ac:dyDescent="0.35">
      <c r="A1637" s="38" t="s">
        <v>292</v>
      </c>
      <c r="B1637" s="38" t="s">
        <v>2774</v>
      </c>
      <c r="C1637" s="38" t="s">
        <v>2775</v>
      </c>
      <c r="D1637" s="38" t="s">
        <v>1429</v>
      </c>
      <c r="E1637" s="44" t="str">
        <f>IFERROR(VLOOKUP(D1637,MATERIALES!A:B,2,FALSE()),"?")</f>
        <v>RIEL DE FIJAC.1.22 OLMAR</v>
      </c>
      <c r="F1637" s="44" t="str">
        <f>IFERROR(VLOOKUP(D1637,MATERIALES!A:C,3,FALSE()),"?")</f>
        <v>u</v>
      </c>
      <c r="G1637" s="45">
        <v>25</v>
      </c>
      <c r="H1637" s="46">
        <v>0</v>
      </c>
      <c r="I1637" s="47">
        <f>IFERROR(VLOOKUP(D1637,MATERIALES!A:D,4,FALSE()),0)</f>
        <v>5067.59</v>
      </c>
      <c r="J1637" s="42">
        <f t="shared" si="187"/>
        <v>126689.75</v>
      </c>
      <c r="K1637" s="15" t="str">
        <f t="shared" si="180"/>
        <v>PTO-1820|MAT</v>
      </c>
      <c r="L1637" s="15">
        <f>COUNTIFS($K$2:K1637,K1637)</f>
        <v>3</v>
      </c>
      <c r="M1637" s="15" t="str">
        <f t="shared" si="181"/>
        <v>PTO-1820|MAT|3</v>
      </c>
      <c r="N1637" s="47">
        <f>IFERROR(VLOOKUP(A1637,PARTIDAS!A:F,6,FALSE()),0)</f>
        <v>1</v>
      </c>
      <c r="O1637" s="247">
        <f t="shared" si="182"/>
        <v>25</v>
      </c>
      <c r="P1637" s="247">
        <f>+_xlfn.XLOOKUP(A1637,PPTO_GENERADOR!Q:Q,PPTO_GENERADOR!E:E,"-",0)</f>
        <v>1</v>
      </c>
      <c r="Q1637" s="247">
        <f t="shared" si="183"/>
        <v>25</v>
      </c>
      <c r="R1637" s="259">
        <f>+_xlfn.XLOOKUP(A1637,PPTO_GENERADOR!$Q:$Q,PPTO_GENERADOR!A:A,"-",0)</f>
        <v>18.2</v>
      </c>
    </row>
    <row r="1638" spans="1:18" ht="14.25" customHeight="1" x14ac:dyDescent="0.35">
      <c r="A1638" s="38" t="s">
        <v>292</v>
      </c>
      <c r="B1638" s="38" t="s">
        <v>2774</v>
      </c>
      <c r="C1638" s="38" t="s">
        <v>2775</v>
      </c>
      <c r="D1638" s="38" t="s">
        <v>1431</v>
      </c>
      <c r="E1638" s="44" t="str">
        <f>IFERROR(VLOOKUP(D1638,MATERIALES!A:B,2,FALSE()),"?")</f>
        <v>BROCA METALICA 1/4 CJA X 100</v>
      </c>
      <c r="F1638" s="44" t="str">
        <f>IFERROR(VLOOKUP(D1638,MATERIALES!A:C,3,FALSE()),"?")</f>
        <v>u</v>
      </c>
      <c r="G1638" s="45">
        <v>1.5</v>
      </c>
      <c r="H1638" s="46">
        <v>0</v>
      </c>
      <c r="I1638" s="47">
        <f>IFERROR(VLOOKUP(D1638,MATERIALES!A:D,4,FALSE()),0)</f>
        <v>70761.600000000006</v>
      </c>
      <c r="J1638" s="42">
        <f t="shared" si="187"/>
        <v>106142.40000000001</v>
      </c>
      <c r="K1638" s="15" t="str">
        <f t="shared" si="180"/>
        <v>PTO-1820|MAT</v>
      </c>
      <c r="L1638" s="15">
        <f>COUNTIFS($K$2:K1638,K1638)</f>
        <v>4</v>
      </c>
      <c r="M1638" s="15" t="str">
        <f t="shared" si="181"/>
        <v>PTO-1820|MAT|4</v>
      </c>
      <c r="N1638" s="47">
        <f>IFERROR(VLOOKUP(A1638,PARTIDAS!A:F,6,FALSE()),0)</f>
        <v>1</v>
      </c>
      <c r="O1638" s="247">
        <f t="shared" si="182"/>
        <v>1.5</v>
      </c>
      <c r="P1638" s="247">
        <f>+_xlfn.XLOOKUP(A1638,PPTO_GENERADOR!Q:Q,PPTO_GENERADOR!E:E,"-",0)</f>
        <v>1</v>
      </c>
      <c r="Q1638" s="247">
        <f t="shared" si="183"/>
        <v>1.5</v>
      </c>
      <c r="R1638" s="259">
        <f>+_xlfn.XLOOKUP(A1638,PPTO_GENERADOR!$Q:$Q,PPTO_GENERADOR!A:A,"-",0)</f>
        <v>18.2</v>
      </c>
    </row>
    <row r="1639" spans="1:18" ht="14.25" customHeight="1" x14ac:dyDescent="0.35">
      <c r="A1639" s="38" t="s">
        <v>292</v>
      </c>
      <c r="B1639" s="38" t="s">
        <v>2774</v>
      </c>
      <c r="C1639" s="38" t="s">
        <v>2775</v>
      </c>
      <c r="D1639" s="38" t="s">
        <v>1433</v>
      </c>
      <c r="E1639" s="44" t="str">
        <f>IFERROR(VLOOKUP(D1639,MATERIALES!A:B,2,FALSE()),"?")</f>
        <v>VARILLA ROSCADA 1/4"X1MTC/BUL.</v>
      </c>
      <c r="F1639" s="44" t="str">
        <f>IFERROR(VLOOKUP(D1639,MATERIALES!A:C,3,FALSE()),"?")</f>
        <v>u</v>
      </c>
      <c r="G1639" s="45">
        <v>100</v>
      </c>
      <c r="H1639" s="46">
        <v>0</v>
      </c>
      <c r="I1639" s="47">
        <f>IFERROR(VLOOKUP(D1639,MATERIALES!A:D,4,FALSE()),0)</f>
        <v>954.29</v>
      </c>
      <c r="J1639" s="42">
        <f t="shared" si="187"/>
        <v>95429</v>
      </c>
      <c r="K1639" s="15" t="str">
        <f t="shared" si="180"/>
        <v>PTO-1820|MAT</v>
      </c>
      <c r="L1639" s="15">
        <f>COUNTIFS($K$2:K1639,K1639)</f>
        <v>5</v>
      </c>
      <c r="M1639" s="15" t="str">
        <f t="shared" si="181"/>
        <v>PTO-1820|MAT|5</v>
      </c>
      <c r="N1639" s="47">
        <f>IFERROR(VLOOKUP(A1639,PARTIDAS!A:F,6,FALSE()),0)</f>
        <v>1</v>
      </c>
      <c r="O1639" s="247">
        <f t="shared" si="182"/>
        <v>100</v>
      </c>
      <c r="P1639" s="247">
        <f>+_xlfn.XLOOKUP(A1639,PPTO_GENERADOR!Q:Q,PPTO_GENERADOR!E:E,"-",0)</f>
        <v>1</v>
      </c>
      <c r="Q1639" s="247">
        <f t="shared" si="183"/>
        <v>100</v>
      </c>
      <c r="R1639" s="259">
        <f>+_xlfn.XLOOKUP(A1639,PPTO_GENERADOR!$Q:$Q,PPTO_GENERADOR!A:A,"-",0)</f>
        <v>18.2</v>
      </c>
    </row>
    <row r="1640" spans="1:18" ht="14.25" customHeight="1" x14ac:dyDescent="0.35">
      <c r="A1640" s="38" t="s">
        <v>292</v>
      </c>
      <c r="B1640" s="38" t="s">
        <v>2774</v>
      </c>
      <c r="C1640" s="38" t="s">
        <v>2775</v>
      </c>
      <c r="D1640" s="38" t="s">
        <v>1435</v>
      </c>
      <c r="E1640" s="44" t="str">
        <f>IFERROR(VLOOKUP(D1640,MATERIALES!A:B,2,FALSE()),"?")</f>
        <v>GRAMPA P/RIEL 1</v>
      </c>
      <c r="F1640" s="44" t="str">
        <f>IFERROR(VLOOKUP(D1640,MATERIALES!A:C,3,FALSE()),"?")</f>
        <v>u</v>
      </c>
      <c r="G1640" s="45">
        <v>300</v>
      </c>
      <c r="H1640" s="46">
        <v>0</v>
      </c>
      <c r="I1640" s="47">
        <f>IFERROR(VLOOKUP(D1640,MATERIALES!A:D,4,FALSE()),0)</f>
        <v>670.34</v>
      </c>
      <c r="J1640" s="42">
        <f t="shared" si="187"/>
        <v>201102</v>
      </c>
      <c r="K1640" s="15" t="str">
        <f t="shared" si="180"/>
        <v>PTO-1820|MAT</v>
      </c>
      <c r="L1640" s="15">
        <f>COUNTIFS($K$2:K1640,K1640)</f>
        <v>6</v>
      </c>
      <c r="M1640" s="15" t="str">
        <f t="shared" si="181"/>
        <v>PTO-1820|MAT|6</v>
      </c>
      <c r="N1640" s="47">
        <f>IFERROR(VLOOKUP(A1640,PARTIDAS!A:F,6,FALSE()),0)</f>
        <v>1</v>
      </c>
      <c r="O1640" s="247">
        <f t="shared" si="182"/>
        <v>300</v>
      </c>
      <c r="P1640" s="247">
        <f>+_xlfn.XLOOKUP(A1640,PPTO_GENERADOR!Q:Q,PPTO_GENERADOR!E:E,"-",0)</f>
        <v>1</v>
      </c>
      <c r="Q1640" s="247">
        <f t="shared" si="183"/>
        <v>300</v>
      </c>
      <c r="R1640" s="259">
        <f>+_xlfn.XLOOKUP(A1640,PPTO_GENERADOR!$Q:$Q,PPTO_GENERADOR!A:A,"-",0)</f>
        <v>18.2</v>
      </c>
    </row>
    <row r="1641" spans="1:18" ht="14.25" customHeight="1" x14ac:dyDescent="0.35">
      <c r="A1641" s="38" t="s">
        <v>292</v>
      </c>
      <c r="B1641" s="38" t="s">
        <v>2774</v>
      </c>
      <c r="C1641" s="38" t="s">
        <v>2775</v>
      </c>
      <c r="D1641" s="38" t="s">
        <v>1437</v>
      </c>
      <c r="E1641" s="44" t="str">
        <f>IFERROR(VLOOKUP(D1641,MATERIALES!A:B,2,FALSE()),"?")</f>
        <v>CAJA DE CONEXION 30X40X10 CH20</v>
      </c>
      <c r="F1641" s="44" t="str">
        <f>IFERROR(VLOOKUP(D1641,MATERIALES!A:C,3,FALSE()),"?")</f>
        <v>u</v>
      </c>
      <c r="G1641" s="45">
        <v>12</v>
      </c>
      <c r="H1641" s="46">
        <v>0</v>
      </c>
      <c r="I1641" s="47">
        <f>IFERROR(VLOOKUP(D1641,MATERIALES!A:D,4,FALSE()),0)</f>
        <v>16656.23</v>
      </c>
      <c r="J1641" s="42">
        <f t="shared" si="187"/>
        <v>199874.76</v>
      </c>
      <c r="K1641" s="15" t="str">
        <f t="shared" si="180"/>
        <v>PTO-1820|MAT</v>
      </c>
      <c r="L1641" s="15">
        <f>COUNTIFS($K$2:K1641,K1641)</f>
        <v>7</v>
      </c>
      <c r="M1641" s="15" t="str">
        <f t="shared" si="181"/>
        <v>PTO-1820|MAT|7</v>
      </c>
      <c r="N1641" s="47">
        <f>IFERROR(VLOOKUP(A1641,PARTIDAS!A:F,6,FALSE()),0)</f>
        <v>1</v>
      </c>
      <c r="O1641" s="247">
        <f t="shared" si="182"/>
        <v>12</v>
      </c>
      <c r="P1641" s="247">
        <f>+_xlfn.XLOOKUP(A1641,PPTO_GENERADOR!Q:Q,PPTO_GENERADOR!E:E,"-",0)</f>
        <v>1</v>
      </c>
      <c r="Q1641" s="247">
        <f t="shared" si="183"/>
        <v>12</v>
      </c>
      <c r="R1641" s="259">
        <f>+_xlfn.XLOOKUP(A1641,PPTO_GENERADOR!$Q:$Q,PPTO_GENERADOR!A:A,"-",0)</f>
        <v>18.2</v>
      </c>
    </row>
    <row r="1642" spans="1:18" ht="14.25" customHeight="1" x14ac:dyDescent="0.35">
      <c r="A1642" s="38" t="s">
        <v>292</v>
      </c>
      <c r="B1642" s="38" t="s">
        <v>2774</v>
      </c>
      <c r="C1642" s="38" t="s">
        <v>2775</v>
      </c>
      <c r="D1642" s="38" t="s">
        <v>1439</v>
      </c>
      <c r="E1642" s="44" t="str">
        <f>IFERROR(VLOOKUP(D1642,MATERIALES!A:B,2,FALSE()),"?")</f>
        <v>CONECTOR 25MM PVC RIG IP54 TUBE</v>
      </c>
      <c r="F1642" s="44" t="str">
        <f>IFERROR(VLOOKUP(D1642,MATERIALES!A:C,3,FALSE()),"?")</f>
        <v>u</v>
      </c>
      <c r="G1642" s="45">
        <v>144</v>
      </c>
      <c r="H1642" s="46">
        <v>0</v>
      </c>
      <c r="I1642" s="47">
        <f>IFERROR(VLOOKUP(D1642,MATERIALES!A:D,4,FALSE()),0)</f>
        <v>237.27</v>
      </c>
      <c r="J1642" s="42">
        <f t="shared" si="187"/>
        <v>34166.880000000005</v>
      </c>
      <c r="K1642" s="15" t="str">
        <f t="shared" si="180"/>
        <v>PTO-1820|MAT</v>
      </c>
      <c r="L1642" s="15">
        <f>COUNTIFS($K$2:K1642,K1642)</f>
        <v>8</v>
      </c>
      <c r="M1642" s="15" t="str">
        <f t="shared" si="181"/>
        <v>PTO-1820|MAT|8</v>
      </c>
      <c r="N1642" s="47">
        <f>IFERROR(VLOOKUP(A1642,PARTIDAS!A:F,6,FALSE()),0)</f>
        <v>1</v>
      </c>
      <c r="O1642" s="247">
        <f t="shared" si="182"/>
        <v>144</v>
      </c>
      <c r="P1642" s="247">
        <f>+_xlfn.XLOOKUP(A1642,PPTO_GENERADOR!Q:Q,PPTO_GENERADOR!E:E,"-",0)</f>
        <v>1</v>
      </c>
      <c r="Q1642" s="247">
        <f t="shared" si="183"/>
        <v>144</v>
      </c>
      <c r="R1642" s="259">
        <f>+_xlfn.XLOOKUP(A1642,PPTO_GENERADOR!$Q:$Q,PPTO_GENERADOR!A:A,"-",0)</f>
        <v>18.2</v>
      </c>
    </row>
    <row r="1643" spans="1:18" ht="14.25" customHeight="1" x14ac:dyDescent="0.35">
      <c r="A1643" s="38" t="s">
        <v>292</v>
      </c>
      <c r="B1643" s="38" t="s">
        <v>2774</v>
      </c>
      <c r="C1643" s="38" t="s">
        <v>2775</v>
      </c>
      <c r="D1643" s="38" t="s">
        <v>1441</v>
      </c>
      <c r="E1643" s="44" t="str">
        <f>IFERROR(VLOOKUP(D1643,MATERIALES!A:B,2,FALSE()),"?")</f>
        <v>Cable unipolar 10 mm N.IRAM (UF monos (220 ml en syntenax))</v>
      </c>
      <c r="F1643" s="44" t="str">
        <f>IFERROR(VLOOKUP(D1643,MATERIALES!A:C,3,FALSE()),"?")</f>
        <v>ml</v>
      </c>
      <c r="G1643" s="45">
        <v>50</v>
      </c>
      <c r="H1643" s="46">
        <v>0</v>
      </c>
      <c r="I1643" s="47">
        <f>IFERROR(VLOOKUP(D1643,MATERIALES!A:D,4,FALSE()),0)</f>
        <v>1654.54545454546</v>
      </c>
      <c r="J1643" s="42">
        <f t="shared" si="187"/>
        <v>82727.272727272997</v>
      </c>
      <c r="K1643" s="15" t="str">
        <f t="shared" si="180"/>
        <v>PTO-1820|MAT</v>
      </c>
      <c r="L1643" s="15">
        <f>COUNTIFS($K$2:K1643,K1643)</f>
        <v>9</v>
      </c>
      <c r="M1643" s="15" t="str">
        <f t="shared" si="181"/>
        <v>PTO-1820|MAT|9</v>
      </c>
      <c r="N1643" s="47">
        <f>IFERROR(VLOOKUP(A1643,PARTIDAS!A:F,6,FALSE()),0)</f>
        <v>1</v>
      </c>
      <c r="O1643" s="247">
        <f t="shared" si="182"/>
        <v>50</v>
      </c>
      <c r="P1643" s="247">
        <f>+_xlfn.XLOOKUP(A1643,PPTO_GENERADOR!Q:Q,PPTO_GENERADOR!E:E,"-",0)</f>
        <v>1</v>
      </c>
      <c r="Q1643" s="247">
        <f t="shared" si="183"/>
        <v>50</v>
      </c>
      <c r="R1643" s="259">
        <f>+_xlfn.XLOOKUP(A1643,PPTO_GENERADOR!$Q:$Q,PPTO_GENERADOR!A:A,"-",0)</f>
        <v>18.2</v>
      </c>
    </row>
    <row r="1644" spans="1:18" ht="14.25" customHeight="1" x14ac:dyDescent="0.35">
      <c r="A1644" s="38" t="s">
        <v>292</v>
      </c>
      <c r="B1644" s="38" t="s">
        <v>2774</v>
      </c>
      <c r="C1644" s="38" t="s">
        <v>2775</v>
      </c>
      <c r="D1644" s="38" t="s">
        <v>1443</v>
      </c>
      <c r="E1644" s="44" t="str">
        <f>IFERROR(VLOOKUP(D1644,MATERIALES!A:B,2,FALSE()),"?")</f>
        <v>RLLOX100M 1X 6,0MM NEGRO N.IRAM (UF trifasicas (222 ml en syntenax))</v>
      </c>
      <c r="F1644" s="44" t="str">
        <f>IFERROR(VLOOKUP(D1644,MATERIALES!A:C,3,FALSE()),"?")</f>
        <v>rol</v>
      </c>
      <c r="G1644" s="45">
        <v>12</v>
      </c>
      <c r="H1644" s="46">
        <v>0</v>
      </c>
      <c r="I1644" s="47">
        <f>IFERROR(VLOOKUP(D1644,MATERIALES!A:D,4,FALSE()),0)</f>
        <v>95867.7685950413</v>
      </c>
      <c r="J1644" s="42">
        <f t="shared" si="187"/>
        <v>1150413.2231404956</v>
      </c>
      <c r="K1644" s="15" t="str">
        <f t="shared" si="180"/>
        <v>PTO-1820|MAT</v>
      </c>
      <c r="L1644" s="15">
        <f>COUNTIFS($K$2:K1644,K1644)</f>
        <v>10</v>
      </c>
      <c r="M1644" s="15" t="str">
        <f t="shared" si="181"/>
        <v>PTO-1820|MAT|10</v>
      </c>
      <c r="N1644" s="47">
        <f>IFERROR(VLOOKUP(A1644,PARTIDAS!A:F,6,FALSE()),0)</f>
        <v>1</v>
      </c>
      <c r="O1644" s="247">
        <f t="shared" si="182"/>
        <v>12</v>
      </c>
      <c r="P1644" s="247">
        <f>+_xlfn.XLOOKUP(A1644,PPTO_GENERADOR!Q:Q,PPTO_GENERADOR!E:E,"-",0)</f>
        <v>1</v>
      </c>
      <c r="Q1644" s="247">
        <f t="shared" si="183"/>
        <v>12</v>
      </c>
      <c r="R1644" s="259">
        <f>+_xlfn.XLOOKUP(A1644,PPTO_GENERADOR!$Q:$Q,PPTO_GENERADOR!A:A,"-",0)</f>
        <v>18.2</v>
      </c>
    </row>
    <row r="1645" spans="1:18" ht="14.25" customHeight="1" x14ac:dyDescent="0.35">
      <c r="A1645" s="38" t="s">
        <v>292</v>
      </c>
      <c r="B1645" s="38" t="s">
        <v>2774</v>
      </c>
      <c r="C1645" s="38" t="s">
        <v>2775</v>
      </c>
      <c r="D1645" s="38" t="s">
        <v>1445</v>
      </c>
      <c r="E1645" s="44" t="str">
        <f>IFERROR(VLOOKUP(D1645,MATERIALES!A:B,2,FALSE()),"?")</f>
        <v>RLLOX100M 1X 4,0MM NEGRO N.IRAM (Bombas PB + Bombas Pres. (45 ml))</v>
      </c>
      <c r="F1645" s="44" t="str">
        <f>IFERROR(VLOOKUP(D1645,MATERIALES!A:C,3,FALSE()),"?")</f>
        <v>rol</v>
      </c>
      <c r="G1645" s="45">
        <v>1</v>
      </c>
      <c r="H1645" s="46">
        <v>0</v>
      </c>
      <c r="I1645" s="47">
        <f>IFERROR(VLOOKUP(D1645,MATERIALES!A:D,4,FALSE()),0)</f>
        <v>66520.479999999996</v>
      </c>
      <c r="J1645" s="42">
        <f t="shared" si="187"/>
        <v>66520.479999999996</v>
      </c>
      <c r="K1645" s="15" t="str">
        <f t="shared" si="180"/>
        <v>PTO-1820|MAT</v>
      </c>
      <c r="L1645" s="15">
        <f>COUNTIFS($K$2:K1645,K1645)</f>
        <v>11</v>
      </c>
      <c r="M1645" s="15" t="str">
        <f t="shared" si="181"/>
        <v>PTO-1820|MAT|11</v>
      </c>
      <c r="N1645" s="47">
        <f>IFERROR(VLOOKUP(A1645,PARTIDAS!A:F,6,FALSE()),0)</f>
        <v>1</v>
      </c>
      <c r="O1645" s="247">
        <f t="shared" si="182"/>
        <v>1</v>
      </c>
      <c r="P1645" s="247">
        <f>+_xlfn.XLOOKUP(A1645,PPTO_GENERADOR!Q:Q,PPTO_GENERADOR!E:E,"-",0)</f>
        <v>1</v>
      </c>
      <c r="Q1645" s="247">
        <f t="shared" si="183"/>
        <v>1</v>
      </c>
      <c r="R1645" s="259">
        <f>+_xlfn.XLOOKUP(A1645,PPTO_GENERADOR!$Q:$Q,PPTO_GENERADOR!A:A,"-",0)</f>
        <v>18.2</v>
      </c>
    </row>
    <row r="1646" spans="1:18" ht="14.25" customHeight="1" x14ac:dyDescent="0.35">
      <c r="A1646" s="38" t="s">
        <v>292</v>
      </c>
      <c r="B1646" s="38" t="s">
        <v>2774</v>
      </c>
      <c r="C1646" s="38" t="s">
        <v>2775</v>
      </c>
      <c r="D1646" s="38" t="s">
        <v>1447</v>
      </c>
      <c r="E1646" s="44" t="str">
        <f>IFERROR(VLOOKUP(D1646,MATERIALES!A:B,2,FALSE()),"?")</f>
        <v>RLLOX100M 1X16 MM VD/ AM N.IRAM (UF trifasicas (25 ml en syntenax))</v>
      </c>
      <c r="F1646" s="44" t="str">
        <f>IFERROR(VLOOKUP(D1646,MATERIALES!A:C,3,FALSE()),"?")</f>
        <v>rol</v>
      </c>
      <c r="G1646" s="45">
        <v>2</v>
      </c>
      <c r="H1646" s="46">
        <v>0</v>
      </c>
      <c r="I1646" s="47">
        <f>IFERROR(VLOOKUP(D1646,MATERIALES!A:D,4,FALSE()),0)</f>
        <v>268385.86</v>
      </c>
      <c r="J1646" s="42">
        <f t="shared" si="187"/>
        <v>536771.72</v>
      </c>
      <c r="K1646" s="15" t="str">
        <f t="shared" si="180"/>
        <v>PTO-1820|MAT</v>
      </c>
      <c r="L1646" s="15">
        <f>COUNTIFS($K$2:K1646,K1646)</f>
        <v>12</v>
      </c>
      <c r="M1646" s="15" t="str">
        <f t="shared" si="181"/>
        <v>PTO-1820|MAT|12</v>
      </c>
      <c r="N1646" s="47">
        <f>IFERROR(VLOOKUP(A1646,PARTIDAS!A:F,6,FALSE()),0)</f>
        <v>1</v>
      </c>
      <c r="O1646" s="247">
        <f t="shared" si="182"/>
        <v>2</v>
      </c>
      <c r="P1646" s="247">
        <f>+_xlfn.XLOOKUP(A1646,PPTO_GENERADOR!Q:Q,PPTO_GENERADOR!E:E,"-",0)</f>
        <v>1</v>
      </c>
      <c r="Q1646" s="247">
        <f t="shared" si="183"/>
        <v>2</v>
      </c>
      <c r="R1646" s="259">
        <f>+_xlfn.XLOOKUP(A1646,PPTO_GENERADOR!$Q:$Q,PPTO_GENERADOR!A:A,"-",0)</f>
        <v>18.2</v>
      </c>
    </row>
    <row r="1647" spans="1:18" ht="14.25" customHeight="1" x14ac:dyDescent="0.35">
      <c r="A1647" s="38" t="s">
        <v>292</v>
      </c>
      <c r="B1647" s="38" t="s">
        <v>2776</v>
      </c>
      <c r="C1647" s="38" t="s">
        <v>2777</v>
      </c>
      <c r="D1647" s="237" t="s">
        <v>1568</v>
      </c>
      <c r="E1647" s="44" t="str">
        <f>IFERROR(VLOOKUP(D1647,MANO_DE_OBRA!A:B,2,FALSE()),"?")</f>
        <v>ESPECIALIZADO</v>
      </c>
      <c r="F1647" s="44" t="s">
        <v>2778</v>
      </c>
      <c r="G1647" s="45">
        <v>10</v>
      </c>
      <c r="H1647" s="46">
        <v>0</v>
      </c>
      <c r="I1647" s="47">
        <f>IFERROR(VLOOKUP(D1647,MANO_DE_OBRA!A:C,3,FALSE()),0)</f>
        <v>85927.097156571996</v>
      </c>
      <c r="J1647" s="42">
        <f>G1647*I1647</f>
        <v>859270.97156571993</v>
      </c>
      <c r="K1647" s="15" t="str">
        <f t="shared" si="180"/>
        <v>PTO-1820|MO</v>
      </c>
      <c r="L1647" s="15">
        <f>COUNTIFS($K$2:K1647,K1647)</f>
        <v>1</v>
      </c>
      <c r="M1647" s="15" t="str">
        <f t="shared" si="181"/>
        <v>PTO-1820|MO|1</v>
      </c>
      <c r="N1647" s="47">
        <f>IFERROR(VLOOKUP(A1647,PARTIDAS!A:F,6,FALSE()),0)</f>
        <v>1</v>
      </c>
      <c r="O1647" s="247">
        <f t="shared" si="182"/>
        <v>10</v>
      </c>
      <c r="P1647" s="247">
        <f>+_xlfn.XLOOKUP(A1647,PPTO_GENERADOR!Q:Q,PPTO_GENERADOR!E:E,"-",0)</f>
        <v>1</v>
      </c>
      <c r="Q1647" s="247">
        <f t="shared" si="183"/>
        <v>10</v>
      </c>
      <c r="R1647" s="259">
        <f>+_xlfn.XLOOKUP(A1647,PPTO_GENERADOR!$Q:$Q,PPTO_GENERADOR!A:A,"-",0)</f>
        <v>18.2</v>
      </c>
    </row>
    <row r="1648" spans="1:18" ht="14.25" customHeight="1" x14ac:dyDescent="0.35">
      <c r="A1648" s="38" t="s">
        <v>292</v>
      </c>
      <c r="B1648" s="38" t="s">
        <v>2776</v>
      </c>
      <c r="C1648" s="38" t="s">
        <v>2777</v>
      </c>
      <c r="D1648" s="237" t="s">
        <v>1574</v>
      </c>
      <c r="E1648" s="44" t="str">
        <f>IFERROR(VLOOKUP(D1648,MANO_DE_OBRA!A:B,2,FALSE()),"?")</f>
        <v>MEDIO OFICIAL</v>
      </c>
      <c r="F1648" s="44" t="s">
        <v>2778</v>
      </c>
      <c r="G1648" s="45">
        <v>10</v>
      </c>
      <c r="H1648" s="46">
        <v>0</v>
      </c>
      <c r="I1648" s="47">
        <f>IFERROR(VLOOKUP(D1648,MANO_DE_OBRA!A:C,3,FALSE()),0)</f>
        <v>65493.071636572</v>
      </c>
      <c r="J1648" s="42">
        <f>G1648*I1648</f>
        <v>654930.71636572003</v>
      </c>
      <c r="K1648" s="15" t="str">
        <f t="shared" si="180"/>
        <v>PTO-1820|MO</v>
      </c>
      <c r="L1648" s="15">
        <f>COUNTIFS($K$2:K1648,K1648)</f>
        <v>2</v>
      </c>
      <c r="M1648" s="15" t="str">
        <f t="shared" si="181"/>
        <v>PTO-1820|MO|2</v>
      </c>
      <c r="N1648" s="47">
        <f>IFERROR(VLOOKUP(A1648,PARTIDAS!A:F,6,FALSE()),0)</f>
        <v>1</v>
      </c>
      <c r="O1648" s="247">
        <f t="shared" si="182"/>
        <v>10</v>
      </c>
      <c r="P1648" s="247">
        <f>+_xlfn.XLOOKUP(A1648,PPTO_GENERADOR!Q:Q,PPTO_GENERADOR!E:E,"-",0)</f>
        <v>1</v>
      </c>
      <c r="Q1648" s="247">
        <f t="shared" si="183"/>
        <v>10</v>
      </c>
      <c r="R1648" s="259">
        <f>+_xlfn.XLOOKUP(A1648,PPTO_GENERADOR!$Q:$Q,PPTO_GENERADOR!A:A,"-",0)</f>
        <v>18.2</v>
      </c>
    </row>
    <row r="1649" spans="1:18" ht="14.25" customHeight="1" x14ac:dyDescent="0.35">
      <c r="A1649" s="38" t="s">
        <v>294</v>
      </c>
      <c r="B1649" s="38" t="s">
        <v>2773</v>
      </c>
      <c r="C1649" s="38"/>
      <c r="D1649" s="38" t="s">
        <v>2031</v>
      </c>
      <c r="E1649" s="44" t="str">
        <f>IFERROR(VLOOKUP(D1649,EQUIPOS!A:B,2,FALSE()),"?")</f>
        <v>Herramientas y consumibles - PTO-1821 MontanteTV</v>
      </c>
      <c r="F1649" s="44"/>
      <c r="G1649" s="45">
        <v>1</v>
      </c>
      <c r="H1649" s="46">
        <v>0</v>
      </c>
      <c r="I1649" s="47">
        <f>IFERROR(VLOOKUP(D1649,EQUIPOS!A:F,6,FALSE()),0)</f>
        <v>18803.5301934858</v>
      </c>
      <c r="J1649" s="42">
        <f>G1649*I1649</f>
        <v>18803.5301934858</v>
      </c>
      <c r="K1649" s="15" t="str">
        <f t="shared" si="180"/>
        <v>PTO-1821|EQ</v>
      </c>
      <c r="L1649" s="15">
        <f>COUNTIFS($K$2:K1649,K1649)</f>
        <v>1</v>
      </c>
      <c r="M1649" s="15" t="str">
        <f t="shared" si="181"/>
        <v>PTO-1821|EQ|1</v>
      </c>
      <c r="N1649" s="47">
        <f>IFERROR(VLOOKUP(A1649,PARTIDAS!A:F,6,FALSE()),0)</f>
        <v>1</v>
      </c>
      <c r="O1649" s="247">
        <f t="shared" si="182"/>
        <v>1</v>
      </c>
      <c r="P1649" s="247">
        <f>+_xlfn.XLOOKUP(A1649,PPTO_GENERADOR!Q:Q,PPTO_GENERADOR!E:E,"-",0)</f>
        <v>1</v>
      </c>
      <c r="Q1649" s="247">
        <f t="shared" si="183"/>
        <v>1</v>
      </c>
      <c r="R1649" s="259">
        <f>+_xlfn.XLOOKUP(A1649,PPTO_GENERADOR!$Q:$Q,PPTO_GENERADOR!A:A,"-",0)</f>
        <v>18.21</v>
      </c>
    </row>
    <row r="1650" spans="1:18" ht="14.25" customHeight="1" x14ac:dyDescent="0.35">
      <c r="A1650" s="38" t="s">
        <v>294</v>
      </c>
      <c r="B1650" s="38" t="s">
        <v>2774</v>
      </c>
      <c r="C1650" s="38" t="s">
        <v>2775</v>
      </c>
      <c r="D1650" s="38" t="s">
        <v>1361</v>
      </c>
      <c r="E1650" s="44" t="str">
        <f>IFERROR(VLOOKUP(D1650,MATERIALES!A:B,2,FALSE()),"?")</f>
        <v>Consumibles</v>
      </c>
      <c r="F1650" s="44" t="str">
        <f>IFERROR(VLOOKUP(D1650,MATERIALES!A:C,3,FALSE()),"?")</f>
        <v>gl</v>
      </c>
      <c r="G1650" s="45">
        <v>69341.597599999994</v>
      </c>
      <c r="H1650" s="46">
        <v>0</v>
      </c>
      <c r="I1650" s="47">
        <f>IFERROR(VLOOKUP(D1650,MATERIALES!A:D,4,FALSE()),0)</f>
        <v>1</v>
      </c>
      <c r="J1650" s="42">
        <f t="shared" ref="J1650:J1658" si="188">G1650*I1650*(1+H1650)</f>
        <v>69341.597599999994</v>
      </c>
      <c r="K1650" s="15" t="str">
        <f t="shared" si="180"/>
        <v>PTO-1821|MAT</v>
      </c>
      <c r="L1650" s="15">
        <f>COUNTIFS($K$2:K1650,K1650)</f>
        <v>1</v>
      </c>
      <c r="M1650" s="15" t="str">
        <f t="shared" si="181"/>
        <v>PTO-1821|MAT|1</v>
      </c>
      <c r="N1650" s="47">
        <f>IFERROR(VLOOKUP(A1650,PARTIDAS!A:F,6,FALSE()),0)</f>
        <v>1</v>
      </c>
      <c r="O1650" s="247">
        <f t="shared" si="182"/>
        <v>69341.597599999994</v>
      </c>
      <c r="P1650" s="247">
        <f>+_xlfn.XLOOKUP(A1650,PPTO_GENERADOR!Q:Q,PPTO_GENERADOR!E:E,"-",0)</f>
        <v>1</v>
      </c>
      <c r="Q1650" s="247">
        <f t="shared" si="183"/>
        <v>69341.597599999994</v>
      </c>
      <c r="R1650" s="259">
        <f>+_xlfn.XLOOKUP(A1650,PPTO_GENERADOR!$Q:$Q,PPTO_GENERADOR!A:A,"-",0)</f>
        <v>18.21</v>
      </c>
    </row>
    <row r="1651" spans="1:18" ht="14.25" customHeight="1" x14ac:dyDescent="0.35">
      <c r="A1651" s="38" t="s">
        <v>294</v>
      </c>
      <c r="B1651" s="38" t="s">
        <v>2774</v>
      </c>
      <c r="C1651" s="38" t="s">
        <v>2775</v>
      </c>
      <c r="D1651" s="38" t="s">
        <v>1426</v>
      </c>
      <c r="E1651" s="44" t="str">
        <f>IFERROR(VLOOKUP(D1651,MATERIALES!A:B,2,FALSE()),"?")</f>
        <v>CAÑOX3M RIGIDO 25MM PVC TUBE</v>
      </c>
      <c r="F1651" s="44" t="str">
        <f>IFERROR(VLOOKUP(D1651,MATERIALES!A:C,3,FALSE()),"?")</f>
        <v>u</v>
      </c>
      <c r="G1651" s="45">
        <v>30</v>
      </c>
      <c r="H1651" s="46">
        <v>0</v>
      </c>
      <c r="I1651" s="47">
        <f>IFERROR(VLOOKUP(D1651,MATERIALES!A:D,4,FALSE()),0)</f>
        <v>1836.01</v>
      </c>
      <c r="J1651" s="42">
        <f t="shared" si="188"/>
        <v>55080.3</v>
      </c>
      <c r="K1651" s="15" t="str">
        <f t="shared" si="180"/>
        <v>PTO-1821|MAT</v>
      </c>
      <c r="L1651" s="15">
        <f>COUNTIFS($K$2:K1651,K1651)</f>
        <v>2</v>
      </c>
      <c r="M1651" s="15" t="str">
        <f t="shared" si="181"/>
        <v>PTO-1821|MAT|2</v>
      </c>
      <c r="N1651" s="47">
        <f>IFERROR(VLOOKUP(A1651,PARTIDAS!A:F,6,FALSE()),0)</f>
        <v>1</v>
      </c>
      <c r="O1651" s="247">
        <f t="shared" si="182"/>
        <v>30</v>
      </c>
      <c r="P1651" s="247">
        <f>+_xlfn.XLOOKUP(A1651,PPTO_GENERADOR!Q:Q,PPTO_GENERADOR!E:E,"-",0)</f>
        <v>1</v>
      </c>
      <c r="Q1651" s="247">
        <f t="shared" si="183"/>
        <v>30</v>
      </c>
      <c r="R1651" s="259">
        <f>+_xlfn.XLOOKUP(A1651,PPTO_GENERADOR!$Q:$Q,PPTO_GENERADOR!A:A,"-",0)</f>
        <v>18.21</v>
      </c>
    </row>
    <row r="1652" spans="1:18" ht="14.25" customHeight="1" x14ac:dyDescent="0.35">
      <c r="A1652" s="38" t="s">
        <v>294</v>
      </c>
      <c r="B1652" s="38" t="s">
        <v>2774</v>
      </c>
      <c r="C1652" s="38" t="s">
        <v>2775</v>
      </c>
      <c r="D1652" s="38" t="s">
        <v>1429</v>
      </c>
      <c r="E1652" s="44" t="str">
        <f>IFERROR(VLOOKUP(D1652,MATERIALES!A:B,2,FALSE()),"?")</f>
        <v>RIEL DE FIJAC.1.22 OLMAR</v>
      </c>
      <c r="F1652" s="44" t="str">
        <f>IFERROR(VLOOKUP(D1652,MATERIALES!A:C,3,FALSE()),"?")</f>
        <v>u</v>
      </c>
      <c r="G1652" s="45">
        <v>5</v>
      </c>
      <c r="H1652" s="46">
        <v>0</v>
      </c>
      <c r="I1652" s="47">
        <f>IFERROR(VLOOKUP(D1652,MATERIALES!A:D,4,FALSE()),0)</f>
        <v>5067.59</v>
      </c>
      <c r="J1652" s="42">
        <f t="shared" si="188"/>
        <v>25337.95</v>
      </c>
      <c r="K1652" s="15" t="str">
        <f t="shared" si="180"/>
        <v>PTO-1821|MAT</v>
      </c>
      <c r="L1652" s="15">
        <f>COUNTIFS($K$2:K1652,K1652)</f>
        <v>3</v>
      </c>
      <c r="M1652" s="15" t="str">
        <f t="shared" si="181"/>
        <v>PTO-1821|MAT|3</v>
      </c>
      <c r="N1652" s="47">
        <f>IFERROR(VLOOKUP(A1652,PARTIDAS!A:F,6,FALSE()),0)</f>
        <v>1</v>
      </c>
      <c r="O1652" s="247">
        <f t="shared" si="182"/>
        <v>5</v>
      </c>
      <c r="P1652" s="247">
        <f>+_xlfn.XLOOKUP(A1652,PPTO_GENERADOR!Q:Q,PPTO_GENERADOR!E:E,"-",0)</f>
        <v>1</v>
      </c>
      <c r="Q1652" s="247">
        <f t="shared" si="183"/>
        <v>5</v>
      </c>
      <c r="R1652" s="259">
        <f>+_xlfn.XLOOKUP(A1652,PPTO_GENERADOR!$Q:$Q,PPTO_GENERADOR!A:A,"-",0)</f>
        <v>18.21</v>
      </c>
    </row>
    <row r="1653" spans="1:18" ht="14.25" customHeight="1" x14ac:dyDescent="0.35">
      <c r="A1653" s="38" t="s">
        <v>294</v>
      </c>
      <c r="B1653" s="38" t="s">
        <v>2774</v>
      </c>
      <c r="C1653" s="38" t="s">
        <v>2775</v>
      </c>
      <c r="D1653" s="38" t="s">
        <v>1431</v>
      </c>
      <c r="E1653" s="44" t="str">
        <f>IFERROR(VLOOKUP(D1653,MATERIALES!A:B,2,FALSE()),"?")</f>
        <v>BROCA METALICA 1/4 CJA X 100</v>
      </c>
      <c r="F1653" s="44" t="str">
        <f>IFERROR(VLOOKUP(D1653,MATERIALES!A:C,3,FALSE()),"?")</f>
        <v>u</v>
      </c>
      <c r="G1653" s="45">
        <v>0.5</v>
      </c>
      <c r="H1653" s="46">
        <v>0</v>
      </c>
      <c r="I1653" s="47">
        <f>IFERROR(VLOOKUP(D1653,MATERIALES!A:D,4,FALSE()),0)</f>
        <v>70761.600000000006</v>
      </c>
      <c r="J1653" s="42">
        <f t="shared" si="188"/>
        <v>35380.800000000003</v>
      </c>
      <c r="K1653" s="15" t="str">
        <f t="shared" si="180"/>
        <v>PTO-1821|MAT</v>
      </c>
      <c r="L1653" s="15">
        <f>COUNTIFS($K$2:K1653,K1653)</f>
        <v>4</v>
      </c>
      <c r="M1653" s="15" t="str">
        <f t="shared" si="181"/>
        <v>PTO-1821|MAT|4</v>
      </c>
      <c r="N1653" s="47">
        <f>IFERROR(VLOOKUP(A1653,PARTIDAS!A:F,6,FALSE()),0)</f>
        <v>1</v>
      </c>
      <c r="O1653" s="247">
        <f t="shared" si="182"/>
        <v>0.5</v>
      </c>
      <c r="P1653" s="247">
        <f>+_xlfn.XLOOKUP(A1653,PPTO_GENERADOR!Q:Q,PPTO_GENERADOR!E:E,"-",0)</f>
        <v>1</v>
      </c>
      <c r="Q1653" s="247">
        <f t="shared" si="183"/>
        <v>0.5</v>
      </c>
      <c r="R1653" s="259">
        <f>+_xlfn.XLOOKUP(A1653,PPTO_GENERADOR!$Q:$Q,PPTO_GENERADOR!A:A,"-",0)</f>
        <v>18.21</v>
      </c>
    </row>
    <row r="1654" spans="1:18" ht="14.25" customHeight="1" x14ac:dyDescent="0.35">
      <c r="A1654" s="38" t="s">
        <v>294</v>
      </c>
      <c r="B1654" s="38" t="s">
        <v>2774</v>
      </c>
      <c r="C1654" s="38" t="s">
        <v>2775</v>
      </c>
      <c r="D1654" s="38" t="s">
        <v>1433</v>
      </c>
      <c r="E1654" s="44" t="str">
        <f>IFERROR(VLOOKUP(D1654,MATERIALES!A:B,2,FALSE()),"?")</f>
        <v>VARILLA ROSCADA 1/4"X1MTC/BUL.</v>
      </c>
      <c r="F1654" s="44" t="str">
        <f>IFERROR(VLOOKUP(D1654,MATERIALES!A:C,3,FALSE()),"?")</f>
        <v>u</v>
      </c>
      <c r="G1654" s="45">
        <v>10</v>
      </c>
      <c r="H1654" s="46">
        <v>0</v>
      </c>
      <c r="I1654" s="47">
        <f>IFERROR(VLOOKUP(D1654,MATERIALES!A:D,4,FALSE()),0)</f>
        <v>954.29</v>
      </c>
      <c r="J1654" s="42">
        <f t="shared" si="188"/>
        <v>9542.9</v>
      </c>
      <c r="K1654" s="15" t="str">
        <f t="shared" si="180"/>
        <v>PTO-1821|MAT</v>
      </c>
      <c r="L1654" s="15">
        <f>COUNTIFS($K$2:K1654,K1654)</f>
        <v>5</v>
      </c>
      <c r="M1654" s="15" t="str">
        <f t="shared" si="181"/>
        <v>PTO-1821|MAT|5</v>
      </c>
      <c r="N1654" s="47">
        <f>IFERROR(VLOOKUP(A1654,PARTIDAS!A:F,6,FALSE()),0)</f>
        <v>1</v>
      </c>
      <c r="O1654" s="247">
        <f t="shared" si="182"/>
        <v>10</v>
      </c>
      <c r="P1654" s="247">
        <f>+_xlfn.XLOOKUP(A1654,PPTO_GENERADOR!Q:Q,PPTO_GENERADOR!E:E,"-",0)</f>
        <v>1</v>
      </c>
      <c r="Q1654" s="247">
        <f t="shared" si="183"/>
        <v>10</v>
      </c>
      <c r="R1654" s="259">
        <f>+_xlfn.XLOOKUP(A1654,PPTO_GENERADOR!$Q:$Q,PPTO_GENERADOR!A:A,"-",0)</f>
        <v>18.21</v>
      </c>
    </row>
    <row r="1655" spans="1:18" ht="14.25" customHeight="1" x14ac:dyDescent="0.35">
      <c r="A1655" s="38" t="s">
        <v>294</v>
      </c>
      <c r="B1655" s="38" t="s">
        <v>2774</v>
      </c>
      <c r="C1655" s="38" t="s">
        <v>2775</v>
      </c>
      <c r="D1655" s="38" t="s">
        <v>1435</v>
      </c>
      <c r="E1655" s="44" t="str">
        <f>IFERROR(VLOOKUP(D1655,MATERIALES!A:B,2,FALSE()),"?")</f>
        <v>GRAMPA P/RIEL 1</v>
      </c>
      <c r="F1655" s="44" t="str">
        <f>IFERROR(VLOOKUP(D1655,MATERIALES!A:C,3,FALSE()),"?")</f>
        <v>u</v>
      </c>
      <c r="G1655" s="45">
        <v>60</v>
      </c>
      <c r="H1655" s="46">
        <v>0</v>
      </c>
      <c r="I1655" s="47">
        <f>IFERROR(VLOOKUP(D1655,MATERIALES!A:D,4,FALSE()),0)</f>
        <v>670.34</v>
      </c>
      <c r="J1655" s="42">
        <f t="shared" si="188"/>
        <v>40220.400000000001</v>
      </c>
      <c r="K1655" s="15" t="str">
        <f t="shared" si="180"/>
        <v>PTO-1821|MAT</v>
      </c>
      <c r="L1655" s="15">
        <f>COUNTIFS($K$2:K1655,K1655)</f>
        <v>6</v>
      </c>
      <c r="M1655" s="15" t="str">
        <f t="shared" si="181"/>
        <v>PTO-1821|MAT|6</v>
      </c>
      <c r="N1655" s="47">
        <f>IFERROR(VLOOKUP(A1655,PARTIDAS!A:F,6,FALSE()),0)</f>
        <v>1</v>
      </c>
      <c r="O1655" s="247">
        <f t="shared" si="182"/>
        <v>60</v>
      </c>
      <c r="P1655" s="247">
        <f>+_xlfn.XLOOKUP(A1655,PPTO_GENERADOR!Q:Q,PPTO_GENERADOR!E:E,"-",0)</f>
        <v>1</v>
      </c>
      <c r="Q1655" s="247">
        <f t="shared" si="183"/>
        <v>60</v>
      </c>
      <c r="R1655" s="259">
        <f>+_xlfn.XLOOKUP(A1655,PPTO_GENERADOR!$Q:$Q,PPTO_GENERADOR!A:A,"-",0)</f>
        <v>18.21</v>
      </c>
    </row>
    <row r="1656" spans="1:18" ht="14.25" customHeight="1" x14ac:dyDescent="0.35">
      <c r="A1656" s="38" t="s">
        <v>294</v>
      </c>
      <c r="B1656" s="38" t="s">
        <v>2774</v>
      </c>
      <c r="C1656" s="38" t="s">
        <v>2775</v>
      </c>
      <c r="D1656" s="38" t="s">
        <v>1437</v>
      </c>
      <c r="E1656" s="44" t="str">
        <f>IFERROR(VLOOKUP(D1656,MATERIALES!A:B,2,FALSE()),"?")</f>
        <v>CAJA DE CONEXION 30X40X10 CH20</v>
      </c>
      <c r="F1656" s="44" t="str">
        <f>IFERROR(VLOOKUP(D1656,MATERIALES!A:C,3,FALSE()),"?")</f>
        <v>u</v>
      </c>
      <c r="G1656" s="45">
        <v>10</v>
      </c>
      <c r="H1656" s="46">
        <v>0</v>
      </c>
      <c r="I1656" s="47">
        <f>IFERROR(VLOOKUP(D1656,MATERIALES!A:D,4,FALSE()),0)</f>
        <v>16656.23</v>
      </c>
      <c r="J1656" s="42">
        <f t="shared" si="188"/>
        <v>166562.29999999999</v>
      </c>
      <c r="K1656" s="15" t="str">
        <f t="shared" si="180"/>
        <v>PTO-1821|MAT</v>
      </c>
      <c r="L1656" s="15">
        <f>COUNTIFS($K$2:K1656,K1656)</f>
        <v>7</v>
      </c>
      <c r="M1656" s="15" t="str">
        <f t="shared" si="181"/>
        <v>PTO-1821|MAT|7</v>
      </c>
      <c r="N1656" s="47">
        <f>IFERROR(VLOOKUP(A1656,PARTIDAS!A:F,6,FALSE()),0)</f>
        <v>1</v>
      </c>
      <c r="O1656" s="247">
        <f t="shared" si="182"/>
        <v>10</v>
      </c>
      <c r="P1656" s="247">
        <f>+_xlfn.XLOOKUP(A1656,PPTO_GENERADOR!Q:Q,PPTO_GENERADOR!E:E,"-",0)</f>
        <v>1</v>
      </c>
      <c r="Q1656" s="247">
        <f t="shared" si="183"/>
        <v>10</v>
      </c>
      <c r="R1656" s="259">
        <f>+_xlfn.XLOOKUP(A1656,PPTO_GENERADOR!$Q:$Q,PPTO_GENERADOR!A:A,"-",0)</f>
        <v>18.21</v>
      </c>
    </row>
    <row r="1657" spans="1:18" ht="14.25" customHeight="1" x14ac:dyDescent="0.35">
      <c r="A1657" s="38" t="s">
        <v>294</v>
      </c>
      <c r="B1657" s="38" t="s">
        <v>2774</v>
      </c>
      <c r="C1657" s="38" t="s">
        <v>2775</v>
      </c>
      <c r="D1657" s="38" t="s">
        <v>1439</v>
      </c>
      <c r="E1657" s="44" t="str">
        <f>IFERROR(VLOOKUP(D1657,MATERIALES!A:B,2,FALSE()),"?")</f>
        <v>CONECTOR 25MM PVC RIG IP54 TUBE</v>
      </c>
      <c r="F1657" s="44" t="str">
        <f>IFERROR(VLOOKUP(D1657,MATERIALES!A:C,3,FALSE()),"?")</f>
        <v>u</v>
      </c>
      <c r="G1657" s="45">
        <v>300</v>
      </c>
      <c r="H1657" s="46">
        <v>0</v>
      </c>
      <c r="I1657" s="47">
        <f>IFERROR(VLOOKUP(D1657,MATERIALES!A:D,4,FALSE()),0)</f>
        <v>237.27</v>
      </c>
      <c r="J1657" s="42">
        <f t="shared" si="188"/>
        <v>71181</v>
      </c>
      <c r="K1657" s="15" t="str">
        <f t="shared" si="180"/>
        <v>PTO-1821|MAT</v>
      </c>
      <c r="L1657" s="15">
        <f>COUNTIFS($K$2:K1657,K1657)</f>
        <v>8</v>
      </c>
      <c r="M1657" s="15" t="str">
        <f t="shared" si="181"/>
        <v>PTO-1821|MAT|8</v>
      </c>
      <c r="N1657" s="47">
        <f>IFERROR(VLOOKUP(A1657,PARTIDAS!A:F,6,FALSE()),0)</f>
        <v>1</v>
      </c>
      <c r="O1657" s="247">
        <f t="shared" si="182"/>
        <v>300</v>
      </c>
      <c r="P1657" s="247">
        <f>+_xlfn.XLOOKUP(A1657,PPTO_GENERADOR!Q:Q,PPTO_GENERADOR!E:E,"-",0)</f>
        <v>1</v>
      </c>
      <c r="Q1657" s="247">
        <f t="shared" si="183"/>
        <v>300</v>
      </c>
      <c r="R1657" s="259">
        <f>+_xlfn.XLOOKUP(A1657,PPTO_GENERADOR!$Q:$Q,PPTO_GENERADOR!A:A,"-",0)</f>
        <v>18.21</v>
      </c>
    </row>
    <row r="1658" spans="1:18" ht="14.25" customHeight="1" x14ac:dyDescent="0.35">
      <c r="A1658" s="38" t="s">
        <v>294</v>
      </c>
      <c r="B1658" s="38" t="s">
        <v>2774</v>
      </c>
      <c r="C1658" s="38" t="s">
        <v>2775</v>
      </c>
      <c r="D1658" s="38" t="s">
        <v>1449</v>
      </c>
      <c r="E1658" s="44" t="str">
        <f>IFERROR(VLOOKUP(D1658,MATERIALES!A:B,2,FALSE()),"?")</f>
        <v>RLLOX100M 1X 1,5MM NEGRO N.IRAM (Cable testigo)</v>
      </c>
      <c r="F1658" s="44" t="str">
        <f>IFERROR(VLOOKUP(D1658,MATERIALES!A:C,3,FALSE()),"?")</f>
        <v>rol</v>
      </c>
      <c r="G1658" s="45">
        <v>0.9</v>
      </c>
      <c r="H1658" s="46">
        <v>0</v>
      </c>
      <c r="I1658" s="47">
        <f>IFERROR(VLOOKUP(D1658,MATERIALES!A:D,4,FALSE()),0)</f>
        <v>26467.32</v>
      </c>
      <c r="J1658" s="42">
        <f t="shared" si="188"/>
        <v>23820.588</v>
      </c>
      <c r="K1658" s="15" t="str">
        <f t="shared" si="180"/>
        <v>PTO-1821|MAT</v>
      </c>
      <c r="L1658" s="15">
        <f>COUNTIFS($K$2:K1658,K1658)</f>
        <v>9</v>
      </c>
      <c r="M1658" s="15" t="str">
        <f t="shared" si="181"/>
        <v>PTO-1821|MAT|9</v>
      </c>
      <c r="N1658" s="47">
        <f>IFERROR(VLOOKUP(A1658,PARTIDAS!A:F,6,FALSE()),0)</f>
        <v>1</v>
      </c>
      <c r="O1658" s="247">
        <f t="shared" si="182"/>
        <v>0.9</v>
      </c>
      <c r="P1658" s="247">
        <f>+_xlfn.XLOOKUP(A1658,PPTO_GENERADOR!Q:Q,PPTO_GENERADOR!E:E,"-",0)</f>
        <v>1</v>
      </c>
      <c r="Q1658" s="247">
        <f t="shared" si="183"/>
        <v>0.9</v>
      </c>
      <c r="R1658" s="259">
        <f>+_xlfn.XLOOKUP(A1658,PPTO_GENERADOR!$Q:$Q,PPTO_GENERADOR!A:A,"-",0)</f>
        <v>18.21</v>
      </c>
    </row>
    <row r="1659" spans="1:18" ht="14.25" customHeight="1" x14ac:dyDescent="0.35">
      <c r="A1659" s="38" t="s">
        <v>294</v>
      </c>
      <c r="B1659" s="38" t="s">
        <v>2776</v>
      </c>
      <c r="C1659" s="38" t="s">
        <v>2777</v>
      </c>
      <c r="D1659" s="237" t="s">
        <v>1568</v>
      </c>
      <c r="E1659" s="44" t="str">
        <f>IFERROR(VLOOKUP(D1659,MANO_DE_OBRA!A:B,2,FALSE()),"?")</f>
        <v>ESPECIALIZADO</v>
      </c>
      <c r="F1659" s="44" t="s">
        <v>2778</v>
      </c>
      <c r="G1659" s="45">
        <v>5</v>
      </c>
      <c r="H1659" s="46">
        <v>0</v>
      </c>
      <c r="I1659" s="47">
        <f>IFERROR(VLOOKUP(D1659,MANO_DE_OBRA!A:C,3,FALSE()),0)</f>
        <v>85927.097156571996</v>
      </c>
      <c r="J1659" s="42">
        <f>G1659*I1659</f>
        <v>429635.48578285996</v>
      </c>
      <c r="K1659" s="15" t="str">
        <f t="shared" si="180"/>
        <v>PTO-1821|MO</v>
      </c>
      <c r="L1659" s="15">
        <f>COUNTIFS($K$2:K1659,K1659)</f>
        <v>1</v>
      </c>
      <c r="M1659" s="15" t="str">
        <f t="shared" si="181"/>
        <v>PTO-1821|MO|1</v>
      </c>
      <c r="N1659" s="47">
        <f>IFERROR(VLOOKUP(A1659,PARTIDAS!A:F,6,FALSE()),0)</f>
        <v>1</v>
      </c>
      <c r="O1659" s="247">
        <f t="shared" si="182"/>
        <v>5</v>
      </c>
      <c r="P1659" s="247">
        <f>+_xlfn.XLOOKUP(A1659,PPTO_GENERADOR!Q:Q,PPTO_GENERADOR!E:E,"-",0)</f>
        <v>1</v>
      </c>
      <c r="Q1659" s="247">
        <f t="shared" si="183"/>
        <v>5</v>
      </c>
      <c r="R1659" s="259">
        <f>+_xlfn.XLOOKUP(A1659,PPTO_GENERADOR!$Q:$Q,PPTO_GENERADOR!A:A,"-",0)</f>
        <v>18.21</v>
      </c>
    </row>
    <row r="1660" spans="1:18" ht="14.25" customHeight="1" x14ac:dyDescent="0.35">
      <c r="A1660" s="38" t="s">
        <v>294</v>
      </c>
      <c r="B1660" s="38" t="s">
        <v>2776</v>
      </c>
      <c r="C1660" s="38" t="s">
        <v>2777</v>
      </c>
      <c r="D1660" s="237" t="s">
        <v>1574</v>
      </c>
      <c r="E1660" s="44" t="str">
        <f>IFERROR(VLOOKUP(D1660,MANO_DE_OBRA!A:B,2,FALSE()),"?")</f>
        <v>MEDIO OFICIAL</v>
      </c>
      <c r="F1660" s="44" t="s">
        <v>2778</v>
      </c>
      <c r="G1660" s="45">
        <v>5</v>
      </c>
      <c r="H1660" s="46">
        <v>0</v>
      </c>
      <c r="I1660" s="47">
        <f>IFERROR(VLOOKUP(D1660,MANO_DE_OBRA!A:C,3,FALSE()),0)</f>
        <v>65493.071636572</v>
      </c>
      <c r="J1660" s="42">
        <f>G1660*I1660</f>
        <v>327465.35818286001</v>
      </c>
      <c r="K1660" s="15" t="str">
        <f t="shared" si="180"/>
        <v>PTO-1821|MO</v>
      </c>
      <c r="L1660" s="15">
        <f>COUNTIFS($K$2:K1660,K1660)</f>
        <v>2</v>
      </c>
      <c r="M1660" s="15" t="str">
        <f t="shared" si="181"/>
        <v>PTO-1821|MO|2</v>
      </c>
      <c r="N1660" s="47">
        <f>IFERROR(VLOOKUP(A1660,PARTIDAS!A:F,6,FALSE()),0)</f>
        <v>1</v>
      </c>
      <c r="O1660" s="247">
        <f t="shared" si="182"/>
        <v>5</v>
      </c>
      <c r="P1660" s="247">
        <f>+_xlfn.XLOOKUP(A1660,PPTO_GENERADOR!Q:Q,PPTO_GENERADOR!E:E,"-",0)</f>
        <v>1</v>
      </c>
      <c r="Q1660" s="247">
        <f t="shared" si="183"/>
        <v>5</v>
      </c>
      <c r="R1660" s="259">
        <f>+_xlfn.XLOOKUP(A1660,PPTO_GENERADOR!$Q:$Q,PPTO_GENERADOR!A:A,"-",0)</f>
        <v>18.21</v>
      </c>
    </row>
    <row r="1661" spans="1:18" ht="14.25" customHeight="1" x14ac:dyDescent="0.35">
      <c r="A1661" s="38" t="s">
        <v>296</v>
      </c>
      <c r="B1661" s="38" t="s">
        <v>2773</v>
      </c>
      <c r="C1661" s="38"/>
      <c r="D1661" s="38" t="s">
        <v>2034</v>
      </c>
      <c r="E1661" s="44" t="str">
        <f>IFERROR(VLOOKUP(D1661,EQUIPOS!A:B,2,FALSE()),"?")</f>
        <v>Herramientas y consumibles - PTO-1822 MontanteTV</v>
      </c>
      <c r="F1661" s="44"/>
      <c r="G1661" s="45">
        <v>1</v>
      </c>
      <c r="H1661" s="46">
        <v>0</v>
      </c>
      <c r="I1661" s="47">
        <f>IFERROR(VLOOKUP(D1661,EQUIPOS!A:F,6,FALSE()),0)</f>
        <v>18803.5301934858</v>
      </c>
      <c r="J1661" s="42">
        <f>G1661*I1661</f>
        <v>18803.5301934858</v>
      </c>
      <c r="K1661" s="15" t="str">
        <f t="shared" si="180"/>
        <v>PTO-1822|EQ</v>
      </c>
      <c r="L1661" s="15">
        <f>COUNTIFS($K$2:K1661,K1661)</f>
        <v>1</v>
      </c>
      <c r="M1661" s="15" t="str">
        <f t="shared" si="181"/>
        <v>PTO-1822|EQ|1</v>
      </c>
      <c r="N1661" s="47">
        <f>IFERROR(VLOOKUP(A1661,PARTIDAS!A:F,6,FALSE()),0)</f>
        <v>1</v>
      </c>
      <c r="O1661" s="247">
        <f t="shared" si="182"/>
        <v>1</v>
      </c>
      <c r="P1661" s="247">
        <f>+_xlfn.XLOOKUP(A1661,PPTO_GENERADOR!Q:Q,PPTO_GENERADOR!E:E,"-",0)</f>
        <v>1</v>
      </c>
      <c r="Q1661" s="247">
        <f t="shared" si="183"/>
        <v>1</v>
      </c>
      <c r="R1661" s="259">
        <f>+_xlfn.XLOOKUP(A1661,PPTO_GENERADOR!$Q:$Q,PPTO_GENERADOR!A:A,"-",0)</f>
        <v>18.22</v>
      </c>
    </row>
    <row r="1662" spans="1:18" ht="14.25" customHeight="1" x14ac:dyDescent="0.35">
      <c r="A1662" s="38" t="s">
        <v>296</v>
      </c>
      <c r="B1662" s="38" t="s">
        <v>2774</v>
      </c>
      <c r="C1662" s="38" t="s">
        <v>2775</v>
      </c>
      <c r="D1662" s="38" t="s">
        <v>1361</v>
      </c>
      <c r="E1662" s="44" t="str">
        <f>IFERROR(VLOOKUP(D1662,MATERIALES!A:B,2,FALSE()),"?")</f>
        <v>Consumibles</v>
      </c>
      <c r="F1662" s="44" t="str">
        <f>IFERROR(VLOOKUP(D1662,MATERIALES!A:C,3,FALSE()),"?")</f>
        <v>gl</v>
      </c>
      <c r="G1662" s="45">
        <v>69341.597599999994</v>
      </c>
      <c r="H1662" s="46">
        <v>0</v>
      </c>
      <c r="I1662" s="47">
        <f>IFERROR(VLOOKUP(D1662,MATERIALES!A:D,4,FALSE()),0)</f>
        <v>1</v>
      </c>
      <c r="J1662" s="42">
        <f t="shared" ref="J1662:J1670" si="189">G1662*I1662*(1+H1662)</f>
        <v>69341.597599999994</v>
      </c>
      <c r="K1662" s="15" t="str">
        <f t="shared" si="180"/>
        <v>PTO-1822|MAT</v>
      </c>
      <c r="L1662" s="15">
        <f>COUNTIFS($K$2:K1662,K1662)</f>
        <v>1</v>
      </c>
      <c r="M1662" s="15" t="str">
        <f t="shared" si="181"/>
        <v>PTO-1822|MAT|1</v>
      </c>
      <c r="N1662" s="47">
        <f>IFERROR(VLOOKUP(A1662,PARTIDAS!A:F,6,FALSE()),0)</f>
        <v>1</v>
      </c>
      <c r="O1662" s="247">
        <f t="shared" si="182"/>
        <v>69341.597599999994</v>
      </c>
      <c r="P1662" s="247">
        <f>+_xlfn.XLOOKUP(A1662,PPTO_GENERADOR!Q:Q,PPTO_GENERADOR!E:E,"-",0)</f>
        <v>1</v>
      </c>
      <c r="Q1662" s="247">
        <f t="shared" si="183"/>
        <v>69341.597599999994</v>
      </c>
      <c r="R1662" s="259">
        <f>+_xlfn.XLOOKUP(A1662,PPTO_GENERADOR!$Q:$Q,PPTO_GENERADOR!A:A,"-",0)</f>
        <v>18.22</v>
      </c>
    </row>
    <row r="1663" spans="1:18" ht="14.25" customHeight="1" x14ac:dyDescent="0.35">
      <c r="A1663" s="38" t="s">
        <v>296</v>
      </c>
      <c r="B1663" s="38" t="s">
        <v>2774</v>
      </c>
      <c r="C1663" s="38" t="s">
        <v>2775</v>
      </c>
      <c r="D1663" s="38" t="s">
        <v>1426</v>
      </c>
      <c r="E1663" s="44" t="str">
        <f>IFERROR(VLOOKUP(D1663,MATERIALES!A:B,2,FALSE()),"?")</f>
        <v>CAÑOX3M RIGIDO 25MM PVC TUBE</v>
      </c>
      <c r="F1663" s="44" t="str">
        <f>IFERROR(VLOOKUP(D1663,MATERIALES!A:C,3,FALSE()),"?")</f>
        <v>u</v>
      </c>
      <c r="G1663" s="45">
        <v>30</v>
      </c>
      <c r="H1663" s="46">
        <v>0</v>
      </c>
      <c r="I1663" s="47">
        <f>IFERROR(VLOOKUP(D1663,MATERIALES!A:D,4,FALSE()),0)</f>
        <v>1836.01</v>
      </c>
      <c r="J1663" s="42">
        <f t="shared" si="189"/>
        <v>55080.3</v>
      </c>
      <c r="K1663" s="15" t="str">
        <f t="shared" si="180"/>
        <v>PTO-1822|MAT</v>
      </c>
      <c r="L1663" s="15">
        <f>COUNTIFS($K$2:K1663,K1663)</f>
        <v>2</v>
      </c>
      <c r="M1663" s="15" t="str">
        <f t="shared" si="181"/>
        <v>PTO-1822|MAT|2</v>
      </c>
      <c r="N1663" s="47">
        <f>IFERROR(VLOOKUP(A1663,PARTIDAS!A:F,6,FALSE()),0)</f>
        <v>1</v>
      </c>
      <c r="O1663" s="247">
        <f t="shared" si="182"/>
        <v>30</v>
      </c>
      <c r="P1663" s="247">
        <f>+_xlfn.XLOOKUP(A1663,PPTO_GENERADOR!Q:Q,PPTO_GENERADOR!E:E,"-",0)</f>
        <v>1</v>
      </c>
      <c r="Q1663" s="247">
        <f t="shared" si="183"/>
        <v>30</v>
      </c>
      <c r="R1663" s="259">
        <f>+_xlfn.XLOOKUP(A1663,PPTO_GENERADOR!$Q:$Q,PPTO_GENERADOR!A:A,"-",0)</f>
        <v>18.22</v>
      </c>
    </row>
    <row r="1664" spans="1:18" ht="14.25" customHeight="1" x14ac:dyDescent="0.35">
      <c r="A1664" s="38" t="s">
        <v>296</v>
      </c>
      <c r="B1664" s="38" t="s">
        <v>2774</v>
      </c>
      <c r="C1664" s="38" t="s">
        <v>2775</v>
      </c>
      <c r="D1664" s="38" t="s">
        <v>1429</v>
      </c>
      <c r="E1664" s="44" t="str">
        <f>IFERROR(VLOOKUP(D1664,MATERIALES!A:B,2,FALSE()),"?")</f>
        <v>RIEL DE FIJAC.1.22 OLMAR</v>
      </c>
      <c r="F1664" s="44" t="str">
        <f>IFERROR(VLOOKUP(D1664,MATERIALES!A:C,3,FALSE()),"?")</f>
        <v>u</v>
      </c>
      <c r="G1664" s="45">
        <v>5</v>
      </c>
      <c r="H1664" s="46">
        <v>0</v>
      </c>
      <c r="I1664" s="47">
        <f>IFERROR(VLOOKUP(D1664,MATERIALES!A:D,4,FALSE()),0)</f>
        <v>5067.59</v>
      </c>
      <c r="J1664" s="42">
        <f t="shared" si="189"/>
        <v>25337.95</v>
      </c>
      <c r="K1664" s="15" t="str">
        <f t="shared" si="180"/>
        <v>PTO-1822|MAT</v>
      </c>
      <c r="L1664" s="15">
        <f>COUNTIFS($K$2:K1664,K1664)</f>
        <v>3</v>
      </c>
      <c r="M1664" s="15" t="str">
        <f t="shared" si="181"/>
        <v>PTO-1822|MAT|3</v>
      </c>
      <c r="N1664" s="47">
        <f>IFERROR(VLOOKUP(A1664,PARTIDAS!A:F,6,FALSE()),0)</f>
        <v>1</v>
      </c>
      <c r="O1664" s="247">
        <f t="shared" si="182"/>
        <v>5</v>
      </c>
      <c r="P1664" s="247">
        <f>+_xlfn.XLOOKUP(A1664,PPTO_GENERADOR!Q:Q,PPTO_GENERADOR!E:E,"-",0)</f>
        <v>1</v>
      </c>
      <c r="Q1664" s="247">
        <f t="shared" si="183"/>
        <v>5</v>
      </c>
      <c r="R1664" s="259">
        <f>+_xlfn.XLOOKUP(A1664,PPTO_GENERADOR!$Q:$Q,PPTO_GENERADOR!A:A,"-",0)</f>
        <v>18.22</v>
      </c>
    </row>
    <row r="1665" spans="1:18" ht="14.25" customHeight="1" x14ac:dyDescent="0.35">
      <c r="A1665" s="38" t="s">
        <v>296</v>
      </c>
      <c r="B1665" s="38" t="s">
        <v>2774</v>
      </c>
      <c r="C1665" s="38" t="s">
        <v>2775</v>
      </c>
      <c r="D1665" s="38" t="s">
        <v>1431</v>
      </c>
      <c r="E1665" s="44" t="str">
        <f>IFERROR(VLOOKUP(D1665,MATERIALES!A:B,2,FALSE()),"?")</f>
        <v>BROCA METALICA 1/4 CJA X 100</v>
      </c>
      <c r="F1665" s="44" t="str">
        <f>IFERROR(VLOOKUP(D1665,MATERIALES!A:C,3,FALSE()),"?")</f>
        <v>u</v>
      </c>
      <c r="G1665" s="45">
        <v>0.5</v>
      </c>
      <c r="H1665" s="46">
        <v>0</v>
      </c>
      <c r="I1665" s="47">
        <f>IFERROR(VLOOKUP(D1665,MATERIALES!A:D,4,FALSE()),0)</f>
        <v>70761.600000000006</v>
      </c>
      <c r="J1665" s="42">
        <f t="shared" si="189"/>
        <v>35380.800000000003</v>
      </c>
      <c r="K1665" s="15" t="str">
        <f t="shared" si="180"/>
        <v>PTO-1822|MAT</v>
      </c>
      <c r="L1665" s="15">
        <f>COUNTIFS($K$2:K1665,K1665)</f>
        <v>4</v>
      </c>
      <c r="M1665" s="15" t="str">
        <f t="shared" si="181"/>
        <v>PTO-1822|MAT|4</v>
      </c>
      <c r="N1665" s="47">
        <f>IFERROR(VLOOKUP(A1665,PARTIDAS!A:F,6,FALSE()),0)</f>
        <v>1</v>
      </c>
      <c r="O1665" s="247">
        <f t="shared" si="182"/>
        <v>0.5</v>
      </c>
      <c r="P1665" s="247">
        <f>+_xlfn.XLOOKUP(A1665,PPTO_GENERADOR!Q:Q,PPTO_GENERADOR!E:E,"-",0)</f>
        <v>1</v>
      </c>
      <c r="Q1665" s="247">
        <f t="shared" si="183"/>
        <v>0.5</v>
      </c>
      <c r="R1665" s="259">
        <f>+_xlfn.XLOOKUP(A1665,PPTO_GENERADOR!$Q:$Q,PPTO_GENERADOR!A:A,"-",0)</f>
        <v>18.22</v>
      </c>
    </row>
    <row r="1666" spans="1:18" ht="14.25" customHeight="1" x14ac:dyDescent="0.35">
      <c r="A1666" s="38" t="s">
        <v>296</v>
      </c>
      <c r="B1666" s="38" t="s">
        <v>2774</v>
      </c>
      <c r="C1666" s="38" t="s">
        <v>2775</v>
      </c>
      <c r="D1666" s="38" t="s">
        <v>1433</v>
      </c>
      <c r="E1666" s="44" t="str">
        <f>IFERROR(VLOOKUP(D1666,MATERIALES!A:B,2,FALSE()),"?")</f>
        <v>VARILLA ROSCADA 1/4"X1MTC/BUL.</v>
      </c>
      <c r="F1666" s="44" t="str">
        <f>IFERROR(VLOOKUP(D1666,MATERIALES!A:C,3,FALSE()),"?")</f>
        <v>u</v>
      </c>
      <c r="G1666" s="45">
        <v>10</v>
      </c>
      <c r="H1666" s="46">
        <v>0</v>
      </c>
      <c r="I1666" s="47">
        <f>IFERROR(VLOOKUP(D1666,MATERIALES!A:D,4,FALSE()),0)</f>
        <v>954.29</v>
      </c>
      <c r="J1666" s="42">
        <f t="shared" si="189"/>
        <v>9542.9</v>
      </c>
      <c r="K1666" s="15" t="str">
        <f t="shared" ref="K1666:K1729" si="190">A1666&amp;"|"&amp;B1666</f>
        <v>PTO-1822|MAT</v>
      </c>
      <c r="L1666" s="15">
        <f>COUNTIFS($K$2:K1666,K1666)</f>
        <v>5</v>
      </c>
      <c r="M1666" s="15" t="str">
        <f t="shared" ref="M1666:M1729" si="191">K1666&amp;"|"&amp;L1666</f>
        <v>PTO-1822|MAT|5</v>
      </c>
      <c r="N1666" s="47">
        <f>IFERROR(VLOOKUP(A1666,PARTIDAS!A:F,6,FALSE()),0)</f>
        <v>1</v>
      </c>
      <c r="O1666" s="247">
        <f t="shared" si="182"/>
        <v>10</v>
      </c>
      <c r="P1666" s="247">
        <f>+_xlfn.XLOOKUP(A1666,PPTO_GENERADOR!Q:Q,PPTO_GENERADOR!E:E,"-",0)</f>
        <v>1</v>
      </c>
      <c r="Q1666" s="247">
        <f t="shared" si="183"/>
        <v>10</v>
      </c>
      <c r="R1666" s="259">
        <f>+_xlfn.XLOOKUP(A1666,PPTO_GENERADOR!$Q:$Q,PPTO_GENERADOR!A:A,"-",0)</f>
        <v>18.22</v>
      </c>
    </row>
    <row r="1667" spans="1:18" ht="14.25" customHeight="1" x14ac:dyDescent="0.35">
      <c r="A1667" s="38" t="s">
        <v>296</v>
      </c>
      <c r="B1667" s="38" t="s">
        <v>2774</v>
      </c>
      <c r="C1667" s="38" t="s">
        <v>2775</v>
      </c>
      <c r="D1667" s="38" t="s">
        <v>1435</v>
      </c>
      <c r="E1667" s="44" t="str">
        <f>IFERROR(VLOOKUP(D1667,MATERIALES!A:B,2,FALSE()),"?")</f>
        <v>GRAMPA P/RIEL 1</v>
      </c>
      <c r="F1667" s="44" t="str">
        <f>IFERROR(VLOOKUP(D1667,MATERIALES!A:C,3,FALSE()),"?")</f>
        <v>u</v>
      </c>
      <c r="G1667" s="45">
        <v>60</v>
      </c>
      <c r="H1667" s="46">
        <v>0</v>
      </c>
      <c r="I1667" s="47">
        <f>IFERROR(VLOOKUP(D1667,MATERIALES!A:D,4,FALSE()),0)</f>
        <v>670.34</v>
      </c>
      <c r="J1667" s="42">
        <f t="shared" si="189"/>
        <v>40220.400000000001</v>
      </c>
      <c r="K1667" s="15" t="str">
        <f t="shared" si="190"/>
        <v>PTO-1822|MAT</v>
      </c>
      <c r="L1667" s="15">
        <f>COUNTIFS($K$2:K1667,K1667)</f>
        <v>6</v>
      </c>
      <c r="M1667" s="15" t="str">
        <f t="shared" si="191"/>
        <v>PTO-1822|MAT|6</v>
      </c>
      <c r="N1667" s="47">
        <f>IFERROR(VLOOKUP(A1667,PARTIDAS!A:F,6,FALSE()),0)</f>
        <v>1</v>
      </c>
      <c r="O1667" s="247">
        <f t="shared" ref="O1667:O1730" si="192">+IF(C1667="ALB",G1667/N1667,G1667)</f>
        <v>60</v>
      </c>
      <c r="P1667" s="247">
        <f>+_xlfn.XLOOKUP(A1667,PPTO_GENERADOR!Q:Q,PPTO_GENERADOR!E:E,"-",0)</f>
        <v>1</v>
      </c>
      <c r="Q1667" s="247">
        <f t="shared" ref="Q1667:Q1730" si="193">IFERROR(P1667*O1667,0)</f>
        <v>60</v>
      </c>
      <c r="R1667" s="259">
        <f>+_xlfn.XLOOKUP(A1667,PPTO_GENERADOR!$Q:$Q,PPTO_GENERADOR!A:A,"-",0)</f>
        <v>18.22</v>
      </c>
    </row>
    <row r="1668" spans="1:18" ht="14.25" customHeight="1" x14ac:dyDescent="0.35">
      <c r="A1668" s="38" t="s">
        <v>296</v>
      </c>
      <c r="B1668" s="38" t="s">
        <v>2774</v>
      </c>
      <c r="C1668" s="38" t="s">
        <v>2775</v>
      </c>
      <c r="D1668" s="38" t="s">
        <v>1437</v>
      </c>
      <c r="E1668" s="44" t="str">
        <f>IFERROR(VLOOKUP(D1668,MATERIALES!A:B,2,FALSE()),"?")</f>
        <v>CAJA DE CONEXION 30X40X10 CH20</v>
      </c>
      <c r="F1668" s="44" t="str">
        <f>IFERROR(VLOOKUP(D1668,MATERIALES!A:C,3,FALSE()),"?")</f>
        <v>u</v>
      </c>
      <c r="G1668" s="45">
        <v>10</v>
      </c>
      <c r="H1668" s="46">
        <v>0</v>
      </c>
      <c r="I1668" s="47">
        <f>IFERROR(VLOOKUP(D1668,MATERIALES!A:D,4,FALSE()),0)</f>
        <v>16656.23</v>
      </c>
      <c r="J1668" s="42">
        <f t="shared" si="189"/>
        <v>166562.29999999999</v>
      </c>
      <c r="K1668" s="15" t="str">
        <f t="shared" si="190"/>
        <v>PTO-1822|MAT</v>
      </c>
      <c r="L1668" s="15">
        <f>COUNTIFS($K$2:K1668,K1668)</f>
        <v>7</v>
      </c>
      <c r="M1668" s="15" t="str">
        <f t="shared" si="191"/>
        <v>PTO-1822|MAT|7</v>
      </c>
      <c r="N1668" s="47">
        <f>IFERROR(VLOOKUP(A1668,PARTIDAS!A:F,6,FALSE()),0)</f>
        <v>1</v>
      </c>
      <c r="O1668" s="247">
        <f t="shared" si="192"/>
        <v>10</v>
      </c>
      <c r="P1668" s="247">
        <f>+_xlfn.XLOOKUP(A1668,PPTO_GENERADOR!Q:Q,PPTO_GENERADOR!E:E,"-",0)</f>
        <v>1</v>
      </c>
      <c r="Q1668" s="247">
        <f t="shared" si="193"/>
        <v>10</v>
      </c>
      <c r="R1668" s="259">
        <f>+_xlfn.XLOOKUP(A1668,PPTO_GENERADOR!$Q:$Q,PPTO_GENERADOR!A:A,"-",0)</f>
        <v>18.22</v>
      </c>
    </row>
    <row r="1669" spans="1:18" ht="14.25" customHeight="1" x14ac:dyDescent="0.35">
      <c r="A1669" s="38" t="s">
        <v>296</v>
      </c>
      <c r="B1669" s="38" t="s">
        <v>2774</v>
      </c>
      <c r="C1669" s="38" t="s">
        <v>2775</v>
      </c>
      <c r="D1669" s="38" t="s">
        <v>1439</v>
      </c>
      <c r="E1669" s="44" t="str">
        <f>IFERROR(VLOOKUP(D1669,MATERIALES!A:B,2,FALSE()),"?")</f>
        <v>CONECTOR 25MM PVC RIG IP54 TUBE</v>
      </c>
      <c r="F1669" s="44" t="str">
        <f>IFERROR(VLOOKUP(D1669,MATERIALES!A:C,3,FALSE()),"?")</f>
        <v>u</v>
      </c>
      <c r="G1669" s="45">
        <v>300</v>
      </c>
      <c r="H1669" s="46">
        <v>0</v>
      </c>
      <c r="I1669" s="47">
        <f>IFERROR(VLOOKUP(D1669,MATERIALES!A:D,4,FALSE()),0)</f>
        <v>237.27</v>
      </c>
      <c r="J1669" s="42">
        <f t="shared" si="189"/>
        <v>71181</v>
      </c>
      <c r="K1669" s="15" t="str">
        <f t="shared" si="190"/>
        <v>PTO-1822|MAT</v>
      </c>
      <c r="L1669" s="15">
        <f>COUNTIFS($K$2:K1669,K1669)</f>
        <v>8</v>
      </c>
      <c r="M1669" s="15" t="str">
        <f t="shared" si="191"/>
        <v>PTO-1822|MAT|8</v>
      </c>
      <c r="N1669" s="47">
        <f>IFERROR(VLOOKUP(A1669,PARTIDAS!A:F,6,FALSE()),0)</f>
        <v>1</v>
      </c>
      <c r="O1669" s="247">
        <f t="shared" si="192"/>
        <v>300</v>
      </c>
      <c r="P1669" s="247">
        <f>+_xlfn.XLOOKUP(A1669,PPTO_GENERADOR!Q:Q,PPTO_GENERADOR!E:E,"-",0)</f>
        <v>1</v>
      </c>
      <c r="Q1669" s="247">
        <f t="shared" si="193"/>
        <v>300</v>
      </c>
      <c r="R1669" s="259">
        <f>+_xlfn.XLOOKUP(A1669,PPTO_GENERADOR!$Q:$Q,PPTO_GENERADOR!A:A,"-",0)</f>
        <v>18.22</v>
      </c>
    </row>
    <row r="1670" spans="1:18" ht="14.25" customHeight="1" x14ac:dyDescent="0.35">
      <c r="A1670" s="38" t="s">
        <v>296</v>
      </c>
      <c r="B1670" s="38" t="s">
        <v>2774</v>
      </c>
      <c r="C1670" s="38" t="s">
        <v>2775</v>
      </c>
      <c r="D1670" s="38" t="s">
        <v>1449</v>
      </c>
      <c r="E1670" s="44" t="str">
        <f>IFERROR(VLOOKUP(D1670,MATERIALES!A:B,2,FALSE()),"?")</f>
        <v>RLLOX100M 1X 1,5MM NEGRO N.IRAM (Cable testigo)</v>
      </c>
      <c r="F1670" s="44" t="str">
        <f>IFERROR(VLOOKUP(D1670,MATERIALES!A:C,3,FALSE()),"?")</f>
        <v>rol</v>
      </c>
      <c r="G1670" s="45">
        <v>0.9</v>
      </c>
      <c r="H1670" s="46">
        <v>0</v>
      </c>
      <c r="I1670" s="47">
        <f>IFERROR(VLOOKUP(D1670,MATERIALES!A:D,4,FALSE()),0)</f>
        <v>26467.32</v>
      </c>
      <c r="J1670" s="42">
        <f t="shared" si="189"/>
        <v>23820.588</v>
      </c>
      <c r="K1670" s="15" t="str">
        <f t="shared" si="190"/>
        <v>PTO-1822|MAT</v>
      </c>
      <c r="L1670" s="15">
        <f>COUNTIFS($K$2:K1670,K1670)</f>
        <v>9</v>
      </c>
      <c r="M1670" s="15" t="str">
        <f t="shared" si="191"/>
        <v>PTO-1822|MAT|9</v>
      </c>
      <c r="N1670" s="47">
        <f>IFERROR(VLOOKUP(A1670,PARTIDAS!A:F,6,FALSE()),0)</f>
        <v>1</v>
      </c>
      <c r="O1670" s="247">
        <f t="shared" si="192"/>
        <v>0.9</v>
      </c>
      <c r="P1670" s="247">
        <f>+_xlfn.XLOOKUP(A1670,PPTO_GENERADOR!Q:Q,PPTO_GENERADOR!E:E,"-",0)</f>
        <v>1</v>
      </c>
      <c r="Q1670" s="247">
        <f t="shared" si="193"/>
        <v>0.9</v>
      </c>
      <c r="R1670" s="259">
        <f>+_xlfn.XLOOKUP(A1670,PPTO_GENERADOR!$Q:$Q,PPTO_GENERADOR!A:A,"-",0)</f>
        <v>18.22</v>
      </c>
    </row>
    <row r="1671" spans="1:18" ht="14.25" customHeight="1" x14ac:dyDescent="0.35">
      <c r="A1671" s="38" t="s">
        <v>296</v>
      </c>
      <c r="B1671" s="38" t="s">
        <v>2776</v>
      </c>
      <c r="C1671" s="38" t="s">
        <v>2777</v>
      </c>
      <c r="D1671" s="237" t="s">
        <v>1568</v>
      </c>
      <c r="E1671" s="44" t="str">
        <f>IFERROR(VLOOKUP(D1671,MANO_DE_OBRA!A:B,2,FALSE()),"?")</f>
        <v>ESPECIALIZADO</v>
      </c>
      <c r="F1671" s="44" t="s">
        <v>2778</v>
      </c>
      <c r="G1671" s="45">
        <v>5</v>
      </c>
      <c r="H1671" s="46">
        <v>0</v>
      </c>
      <c r="I1671" s="47">
        <f>IFERROR(VLOOKUP(D1671,MANO_DE_OBRA!A:C,3,FALSE()),0)</f>
        <v>85927.097156571996</v>
      </c>
      <c r="J1671" s="42">
        <f t="shared" ref="J1671:J1689" si="194">G1671*I1671</f>
        <v>429635.48578285996</v>
      </c>
      <c r="K1671" s="15" t="str">
        <f t="shared" si="190"/>
        <v>PTO-1822|MO</v>
      </c>
      <c r="L1671" s="15">
        <f>COUNTIFS($K$2:K1671,K1671)</f>
        <v>1</v>
      </c>
      <c r="M1671" s="15" t="str">
        <f t="shared" si="191"/>
        <v>PTO-1822|MO|1</v>
      </c>
      <c r="N1671" s="47">
        <f>IFERROR(VLOOKUP(A1671,PARTIDAS!A:F,6,FALSE()),0)</f>
        <v>1</v>
      </c>
      <c r="O1671" s="247">
        <f t="shared" si="192"/>
        <v>5</v>
      </c>
      <c r="P1671" s="247">
        <f>+_xlfn.XLOOKUP(A1671,PPTO_GENERADOR!Q:Q,PPTO_GENERADOR!E:E,"-",0)</f>
        <v>1</v>
      </c>
      <c r="Q1671" s="247">
        <f t="shared" si="193"/>
        <v>5</v>
      </c>
      <c r="R1671" s="259">
        <f>+_xlfn.XLOOKUP(A1671,PPTO_GENERADOR!$Q:$Q,PPTO_GENERADOR!A:A,"-",0)</f>
        <v>18.22</v>
      </c>
    </row>
    <row r="1672" spans="1:18" ht="14.25" customHeight="1" x14ac:dyDescent="0.35">
      <c r="A1672" s="38" t="s">
        <v>296</v>
      </c>
      <c r="B1672" s="38" t="s">
        <v>2776</v>
      </c>
      <c r="C1672" s="38" t="s">
        <v>2777</v>
      </c>
      <c r="D1672" s="237" t="s">
        <v>1574</v>
      </c>
      <c r="E1672" s="44" t="str">
        <f>IFERROR(VLOOKUP(D1672,MANO_DE_OBRA!A:B,2,FALSE()),"?")</f>
        <v>MEDIO OFICIAL</v>
      </c>
      <c r="F1672" s="44" t="s">
        <v>2778</v>
      </c>
      <c r="G1672" s="45">
        <v>5</v>
      </c>
      <c r="H1672" s="46">
        <v>0</v>
      </c>
      <c r="I1672" s="47">
        <f>IFERROR(VLOOKUP(D1672,MANO_DE_OBRA!A:C,3,FALSE()),0)</f>
        <v>65493.071636572</v>
      </c>
      <c r="J1672" s="42">
        <f t="shared" si="194"/>
        <v>327465.35818286001</v>
      </c>
      <c r="K1672" s="15" t="str">
        <f t="shared" si="190"/>
        <v>PTO-1822|MO</v>
      </c>
      <c r="L1672" s="15">
        <f>COUNTIFS($K$2:K1672,K1672)</f>
        <v>2</v>
      </c>
      <c r="M1672" s="15" t="str">
        <f t="shared" si="191"/>
        <v>PTO-1822|MO|2</v>
      </c>
      <c r="N1672" s="47">
        <f>IFERROR(VLOOKUP(A1672,PARTIDAS!A:F,6,FALSE()),0)</f>
        <v>1</v>
      </c>
      <c r="O1672" s="247">
        <f t="shared" si="192"/>
        <v>5</v>
      </c>
      <c r="P1672" s="247">
        <f>+_xlfn.XLOOKUP(A1672,PPTO_GENERADOR!Q:Q,PPTO_GENERADOR!E:E,"-",0)</f>
        <v>1</v>
      </c>
      <c r="Q1672" s="247">
        <f t="shared" si="193"/>
        <v>5</v>
      </c>
      <c r="R1672" s="259">
        <f>+_xlfn.XLOOKUP(A1672,PPTO_GENERADOR!$Q:$Q,PPTO_GENERADOR!A:A,"-",0)</f>
        <v>18.22</v>
      </c>
    </row>
    <row r="1673" spans="1:18" ht="14.25" customHeight="1" x14ac:dyDescent="0.35">
      <c r="A1673" s="38" t="s">
        <v>298</v>
      </c>
      <c r="B1673" s="38" t="s">
        <v>2773</v>
      </c>
      <c r="C1673" s="38"/>
      <c r="D1673" s="38" t="s">
        <v>1923</v>
      </c>
      <c r="E1673" s="44" t="str">
        <f>IFERROR(VLOOKUP(D1673,EQUIPOS!A:B,2,FALSE()),"?")</f>
        <v>Herramientas menores y consumibles - Colocación de sensor de movimiento - Provisión a c</v>
      </c>
      <c r="F1673" s="44"/>
      <c r="G1673" s="45">
        <v>1</v>
      </c>
      <c r="H1673" s="46">
        <v>0</v>
      </c>
      <c r="I1673" s="47">
        <f>IFERROR(VLOOKUP(D1673,EQUIPOS!A:F,6,FALSE()),0)</f>
        <v>177.24</v>
      </c>
      <c r="J1673" s="42">
        <f t="shared" si="194"/>
        <v>177.24</v>
      </c>
      <c r="K1673" s="15" t="str">
        <f t="shared" si="190"/>
        <v>PTO-1823|EQ</v>
      </c>
      <c r="L1673" s="15">
        <f>COUNTIFS($K$2:K1673,K1673)</f>
        <v>1</v>
      </c>
      <c r="M1673" s="15" t="str">
        <f t="shared" si="191"/>
        <v>PTO-1823|EQ|1</v>
      </c>
      <c r="N1673" s="47">
        <f>IFERROR(VLOOKUP(A1673,PARTIDAS!A:F,6,FALSE()),0)</f>
        <v>1</v>
      </c>
      <c r="O1673" s="247">
        <f t="shared" si="192"/>
        <v>1</v>
      </c>
      <c r="P1673" s="247">
        <f>+_xlfn.XLOOKUP(A1673,PPTO_GENERADOR!Q:Q,PPTO_GENERADOR!E:E,"-",0)</f>
        <v>16</v>
      </c>
      <c r="Q1673" s="247">
        <f t="shared" si="193"/>
        <v>16</v>
      </c>
      <c r="R1673" s="259">
        <f>+_xlfn.XLOOKUP(A1673,PPTO_GENERADOR!$Q:$Q,PPTO_GENERADOR!A:A,"-",0)</f>
        <v>18.23</v>
      </c>
    </row>
    <row r="1674" spans="1:18" ht="14.25" customHeight="1" x14ac:dyDescent="0.35">
      <c r="A1674" s="38" t="s">
        <v>298</v>
      </c>
      <c r="B1674" s="38" t="s">
        <v>2776</v>
      </c>
      <c r="C1674" s="38" t="s">
        <v>2775</v>
      </c>
      <c r="D1674" s="38" t="s">
        <v>2315</v>
      </c>
      <c r="E1674" s="44" t="str">
        <f>IFERROR(VLOOKUP(D1674,SUBCONTRATOS_PRY!A:B,2,FALSE()),"?")</f>
        <v>MO Colocación de sensor de movimiento - Provisión a cargo del comitente [SUBCONTRATOS]</v>
      </c>
      <c r="F1674" s="44" t="s">
        <v>2778</v>
      </c>
      <c r="G1674" s="45">
        <v>1</v>
      </c>
      <c r="H1674" s="46">
        <v>0</v>
      </c>
      <c r="I1674" s="47">
        <f>IFERROR(VLOOKUP(D1674,SUBCONTRATOS_PRY!A:D,4,FALSE()),0)</f>
        <v>11816</v>
      </c>
      <c r="J1674" s="42">
        <f t="shared" si="194"/>
        <v>11816</v>
      </c>
      <c r="K1674" s="15" t="str">
        <f t="shared" si="190"/>
        <v>PTO-1823|MO</v>
      </c>
      <c r="L1674" s="15">
        <f>COUNTIFS($K$2:K1674,K1674)</f>
        <v>1</v>
      </c>
      <c r="M1674" s="15" t="str">
        <f t="shared" si="191"/>
        <v>PTO-1823|MO|1</v>
      </c>
      <c r="N1674" s="47">
        <f>IFERROR(VLOOKUP(A1674,PARTIDAS!A:F,6,FALSE()),0)</f>
        <v>1</v>
      </c>
      <c r="O1674" s="247">
        <f t="shared" si="192"/>
        <v>1</v>
      </c>
      <c r="P1674" s="247">
        <f>+_xlfn.XLOOKUP(A1674,PPTO_GENERADOR!Q:Q,PPTO_GENERADOR!E:E,"-",0)</f>
        <v>16</v>
      </c>
      <c r="Q1674" s="247">
        <f t="shared" si="193"/>
        <v>16</v>
      </c>
      <c r="R1674" s="259">
        <f>+_xlfn.XLOOKUP(A1674,PPTO_GENERADOR!$Q:$Q,PPTO_GENERADOR!A:A,"-",0)</f>
        <v>18.23</v>
      </c>
    </row>
    <row r="1675" spans="1:18" ht="14.25" customHeight="1" x14ac:dyDescent="0.35">
      <c r="A1675" s="38" t="s">
        <v>300</v>
      </c>
      <c r="B1675" s="38" t="s">
        <v>2773</v>
      </c>
      <c r="C1675" s="38"/>
      <c r="D1675" s="38" t="s">
        <v>1926</v>
      </c>
      <c r="E1675" s="44" t="str">
        <f>IFERROR(VLOOKUP(D1675,EQUIPOS!A:B,2,FALSE()),"?")</f>
        <v>Herramientas menores y consumibles - Colocación de teclas simples y/o combinadas, pulsa</v>
      </c>
      <c r="F1675" s="44"/>
      <c r="G1675" s="45">
        <v>1</v>
      </c>
      <c r="H1675" s="46">
        <v>0</v>
      </c>
      <c r="I1675" s="47">
        <f>IFERROR(VLOOKUP(D1675,EQUIPOS!A:F,6,FALSE()),0)</f>
        <v>115.5</v>
      </c>
      <c r="J1675" s="42">
        <f t="shared" si="194"/>
        <v>115.5</v>
      </c>
      <c r="K1675" s="15" t="str">
        <f t="shared" si="190"/>
        <v>PTO-1824|EQ</v>
      </c>
      <c r="L1675" s="15">
        <f>COUNTIFS($K$2:K1675,K1675)</f>
        <v>1</v>
      </c>
      <c r="M1675" s="15" t="str">
        <f t="shared" si="191"/>
        <v>PTO-1824|EQ|1</v>
      </c>
      <c r="N1675" s="47">
        <f>IFERROR(VLOOKUP(A1675,PARTIDAS!A:F,6,FALSE()),0)</f>
        <v>1</v>
      </c>
      <c r="O1675" s="247">
        <f t="shared" si="192"/>
        <v>1</v>
      </c>
      <c r="P1675" s="247">
        <f>+_xlfn.XLOOKUP(A1675,PPTO_GENERADOR!Q:Q,PPTO_GENERADOR!E:E,"-",0)</f>
        <v>140</v>
      </c>
      <c r="Q1675" s="247">
        <f t="shared" si="193"/>
        <v>140</v>
      </c>
      <c r="R1675" s="259">
        <f>+_xlfn.XLOOKUP(A1675,PPTO_GENERADOR!$Q:$Q,PPTO_GENERADOR!A:A,"-",0)</f>
        <v>18.239999999999998</v>
      </c>
    </row>
    <row r="1676" spans="1:18" ht="14.25" customHeight="1" x14ac:dyDescent="0.35">
      <c r="A1676" s="38" t="s">
        <v>300</v>
      </c>
      <c r="B1676" s="38" t="s">
        <v>2776</v>
      </c>
      <c r="C1676" s="38" t="s">
        <v>2775</v>
      </c>
      <c r="D1676" s="38" t="s">
        <v>2317</v>
      </c>
      <c r="E1676" s="44" t="str">
        <f>IFERROR(VLOOKUP(D1676,SUBCONTRATOS_PRY!A:B,2,FALSE()),"?")</f>
        <v>MO Colocación de teclas simples y/o combinadas, pulsadores - Provisión a cargo del comitente [SUBCONTRATOS]</v>
      </c>
      <c r="F1676" s="44" t="s">
        <v>2778</v>
      </c>
      <c r="G1676" s="45">
        <v>1</v>
      </c>
      <c r="H1676" s="46">
        <v>0</v>
      </c>
      <c r="I1676" s="47">
        <f>IFERROR(VLOOKUP(D1676,SUBCONTRATOS_PRY!A:D,4,FALSE()),0)</f>
        <v>7700</v>
      </c>
      <c r="J1676" s="42">
        <f t="shared" si="194"/>
        <v>7700</v>
      </c>
      <c r="K1676" s="15" t="str">
        <f t="shared" si="190"/>
        <v>PTO-1824|MO</v>
      </c>
      <c r="L1676" s="15">
        <f>COUNTIFS($K$2:K1676,K1676)</f>
        <v>1</v>
      </c>
      <c r="M1676" s="15" t="str">
        <f t="shared" si="191"/>
        <v>PTO-1824|MO|1</v>
      </c>
      <c r="N1676" s="47">
        <f>IFERROR(VLOOKUP(A1676,PARTIDAS!A:F,6,FALSE()),0)</f>
        <v>1</v>
      </c>
      <c r="O1676" s="247">
        <f t="shared" si="192"/>
        <v>1</v>
      </c>
      <c r="P1676" s="247">
        <f>+_xlfn.XLOOKUP(A1676,PPTO_GENERADOR!Q:Q,PPTO_GENERADOR!E:E,"-",0)</f>
        <v>140</v>
      </c>
      <c r="Q1676" s="247">
        <f t="shared" si="193"/>
        <v>140</v>
      </c>
      <c r="R1676" s="259">
        <f>+_xlfn.XLOOKUP(A1676,PPTO_GENERADOR!$Q:$Q,PPTO_GENERADOR!A:A,"-",0)</f>
        <v>18.239999999999998</v>
      </c>
    </row>
    <row r="1677" spans="1:18" ht="14.25" customHeight="1" x14ac:dyDescent="0.35">
      <c r="A1677" s="38" t="s">
        <v>302</v>
      </c>
      <c r="B1677" s="38" t="s">
        <v>2773</v>
      </c>
      <c r="C1677" s="38"/>
      <c r="D1677" s="38" t="s">
        <v>1929</v>
      </c>
      <c r="E1677" s="44" t="str">
        <f>IFERROR(VLOOKUP(D1677,EQUIPOS!A:B,2,FALSE()),"?")</f>
        <v xml:space="preserve">Herramientas menores y consumibles - Colocación de tomas simples/dobles/encapsulados - </v>
      </c>
      <c r="F1677" s="44"/>
      <c r="G1677" s="45">
        <v>1</v>
      </c>
      <c r="H1677" s="46">
        <v>0</v>
      </c>
      <c r="I1677" s="47">
        <f>IFERROR(VLOOKUP(D1677,EQUIPOS!A:F,6,FALSE()),0)</f>
        <v>115.5</v>
      </c>
      <c r="J1677" s="42">
        <f t="shared" si="194"/>
        <v>115.5</v>
      </c>
      <c r="K1677" s="15" t="str">
        <f t="shared" si="190"/>
        <v>PTO-1825|EQ</v>
      </c>
      <c r="L1677" s="15">
        <f>COUNTIFS($K$2:K1677,K1677)</f>
        <v>1</v>
      </c>
      <c r="M1677" s="15" t="str">
        <f t="shared" si="191"/>
        <v>PTO-1825|EQ|1</v>
      </c>
      <c r="N1677" s="47">
        <f>IFERROR(VLOOKUP(A1677,PARTIDAS!A:F,6,FALSE()),0)</f>
        <v>1</v>
      </c>
      <c r="O1677" s="247">
        <f t="shared" si="192"/>
        <v>1</v>
      </c>
      <c r="P1677" s="247">
        <f>+_xlfn.XLOOKUP(A1677,PPTO_GENERADOR!Q:Q,PPTO_GENERADOR!E:E,"-",0)</f>
        <v>226</v>
      </c>
      <c r="Q1677" s="247">
        <f t="shared" si="193"/>
        <v>226</v>
      </c>
      <c r="R1677" s="259">
        <f>+_xlfn.XLOOKUP(A1677,PPTO_GENERADOR!$Q:$Q,PPTO_GENERADOR!A:A,"-",0)</f>
        <v>18.25</v>
      </c>
    </row>
    <row r="1678" spans="1:18" ht="14.25" customHeight="1" x14ac:dyDescent="0.35">
      <c r="A1678" s="38" t="s">
        <v>302</v>
      </c>
      <c r="B1678" s="38" t="s">
        <v>2776</v>
      </c>
      <c r="C1678" s="38" t="s">
        <v>2775</v>
      </c>
      <c r="D1678" s="38" t="s">
        <v>2319</v>
      </c>
      <c r="E1678" s="44" t="str">
        <f>IFERROR(VLOOKUP(D1678,SUBCONTRATOS_PRY!A:B,2,FALSE()),"?")</f>
        <v>MO Colocación de tomas simples/dobles/encapsulados - Provisión a cargo del comitente [SUBCONTRATOS]</v>
      </c>
      <c r="F1678" s="44" t="s">
        <v>2778</v>
      </c>
      <c r="G1678" s="45">
        <v>1</v>
      </c>
      <c r="H1678" s="46">
        <v>0</v>
      </c>
      <c r="I1678" s="47">
        <f>IFERROR(VLOOKUP(D1678,SUBCONTRATOS_PRY!A:D,4,FALSE()),0)</f>
        <v>7700</v>
      </c>
      <c r="J1678" s="42">
        <f t="shared" si="194"/>
        <v>7700</v>
      </c>
      <c r="K1678" s="15" t="str">
        <f t="shared" si="190"/>
        <v>PTO-1825|MO</v>
      </c>
      <c r="L1678" s="15">
        <f>COUNTIFS($K$2:K1678,K1678)</f>
        <v>1</v>
      </c>
      <c r="M1678" s="15" t="str">
        <f t="shared" si="191"/>
        <v>PTO-1825|MO|1</v>
      </c>
      <c r="N1678" s="47">
        <f>IFERROR(VLOOKUP(A1678,PARTIDAS!A:F,6,FALSE()),0)</f>
        <v>1</v>
      </c>
      <c r="O1678" s="247">
        <f t="shared" si="192"/>
        <v>1</v>
      </c>
      <c r="P1678" s="247">
        <f>+_xlfn.XLOOKUP(A1678,PPTO_GENERADOR!Q:Q,PPTO_GENERADOR!E:E,"-",0)</f>
        <v>226</v>
      </c>
      <c r="Q1678" s="247">
        <f t="shared" si="193"/>
        <v>226</v>
      </c>
      <c r="R1678" s="259">
        <f>+_xlfn.XLOOKUP(A1678,PPTO_GENERADOR!$Q:$Q,PPTO_GENERADOR!A:A,"-",0)</f>
        <v>18.25</v>
      </c>
    </row>
    <row r="1679" spans="1:18" ht="14.25" customHeight="1" x14ac:dyDescent="0.35">
      <c r="A1679" s="38" t="s">
        <v>304</v>
      </c>
      <c r="B1679" s="38" t="s">
        <v>2773</v>
      </c>
      <c r="C1679" s="38"/>
      <c r="D1679" s="38" t="s">
        <v>1932</v>
      </c>
      <c r="E1679" s="44" t="str">
        <f>IFERROR(VLOOKUP(D1679,EQUIPOS!A:B,2,FALSE()),"?")</f>
        <v xml:space="preserve">Herramientas menores y consumibles - Colocación de campanilla/zumbadores - Provisión a </v>
      </c>
      <c r="F1679" s="44"/>
      <c r="G1679" s="45">
        <v>1</v>
      </c>
      <c r="H1679" s="46">
        <v>0</v>
      </c>
      <c r="I1679" s="47">
        <f>IFERROR(VLOOKUP(D1679,EQUIPOS!A:F,6,FALSE()),0)</f>
        <v>281.39999999999998</v>
      </c>
      <c r="J1679" s="42">
        <f t="shared" si="194"/>
        <v>281.39999999999998</v>
      </c>
      <c r="K1679" s="15" t="str">
        <f t="shared" si="190"/>
        <v>PTO-1826|EQ</v>
      </c>
      <c r="L1679" s="15">
        <f>COUNTIFS($K$2:K1679,K1679)</f>
        <v>1</v>
      </c>
      <c r="M1679" s="15" t="str">
        <f t="shared" si="191"/>
        <v>PTO-1826|EQ|1</v>
      </c>
      <c r="N1679" s="47">
        <f>IFERROR(VLOOKUP(A1679,PARTIDAS!A:F,6,FALSE()),0)</f>
        <v>1</v>
      </c>
      <c r="O1679" s="247">
        <f t="shared" si="192"/>
        <v>1</v>
      </c>
      <c r="P1679" s="247">
        <f>+_xlfn.XLOOKUP(A1679,PPTO_GENERADOR!Q:Q,PPTO_GENERADOR!E:E,"-",0)</f>
        <v>8</v>
      </c>
      <c r="Q1679" s="247">
        <f t="shared" si="193"/>
        <v>8</v>
      </c>
      <c r="R1679" s="259">
        <f>+_xlfn.XLOOKUP(A1679,PPTO_GENERADOR!$Q:$Q,PPTO_GENERADOR!A:A,"-",0)</f>
        <v>18.260000000000002</v>
      </c>
    </row>
    <row r="1680" spans="1:18" ht="14.25" customHeight="1" x14ac:dyDescent="0.35">
      <c r="A1680" s="38" t="s">
        <v>304</v>
      </c>
      <c r="B1680" s="38" t="s">
        <v>2776</v>
      </c>
      <c r="C1680" s="38" t="s">
        <v>2775</v>
      </c>
      <c r="D1680" s="38" t="s">
        <v>2321</v>
      </c>
      <c r="E1680" s="44" t="str">
        <f>IFERROR(VLOOKUP(D1680,SUBCONTRATOS_PRY!A:B,2,FALSE()),"?")</f>
        <v>MO Colocación de campanilla/zumbadores - Provisión a cargo del comitente [SUBCONTRATOS]</v>
      </c>
      <c r="F1680" s="44" t="s">
        <v>2778</v>
      </c>
      <c r="G1680" s="45">
        <v>1</v>
      </c>
      <c r="H1680" s="46">
        <v>0</v>
      </c>
      <c r="I1680" s="47">
        <f>IFERROR(VLOOKUP(D1680,SUBCONTRATOS_PRY!A:D,4,FALSE()),0)</f>
        <v>18760</v>
      </c>
      <c r="J1680" s="42">
        <f t="shared" si="194"/>
        <v>18760</v>
      </c>
      <c r="K1680" s="15" t="str">
        <f t="shared" si="190"/>
        <v>PTO-1826|MO</v>
      </c>
      <c r="L1680" s="15">
        <f>COUNTIFS($K$2:K1680,K1680)</f>
        <v>1</v>
      </c>
      <c r="M1680" s="15" t="str">
        <f t="shared" si="191"/>
        <v>PTO-1826|MO|1</v>
      </c>
      <c r="N1680" s="47">
        <f>IFERROR(VLOOKUP(A1680,PARTIDAS!A:F,6,FALSE()),0)</f>
        <v>1</v>
      </c>
      <c r="O1680" s="247">
        <f t="shared" si="192"/>
        <v>1</v>
      </c>
      <c r="P1680" s="247">
        <f>+_xlfn.XLOOKUP(A1680,PPTO_GENERADOR!Q:Q,PPTO_GENERADOR!E:E,"-",0)</f>
        <v>8</v>
      </c>
      <c r="Q1680" s="247">
        <f t="shared" si="193"/>
        <v>8</v>
      </c>
      <c r="R1680" s="259">
        <f>+_xlfn.XLOOKUP(A1680,PPTO_GENERADOR!$Q:$Q,PPTO_GENERADOR!A:A,"-",0)</f>
        <v>18.260000000000002</v>
      </c>
    </row>
    <row r="1681" spans="1:18" ht="14.25" customHeight="1" x14ac:dyDescent="0.35">
      <c r="A1681" s="38" t="s">
        <v>306</v>
      </c>
      <c r="B1681" s="38" t="s">
        <v>2773</v>
      </c>
      <c r="C1681" s="38"/>
      <c r="D1681" s="38" t="s">
        <v>1935</v>
      </c>
      <c r="E1681" s="44" t="str">
        <f>IFERROR(VLOOKUP(D1681,EQUIPOS!A:B,2,FALSE()),"?")</f>
        <v>Herramientas menores y consumibles - Colocación de extractor de baño - Provisión a carg</v>
      </c>
      <c r="F1681" s="44"/>
      <c r="G1681" s="45">
        <v>1</v>
      </c>
      <c r="H1681" s="46">
        <v>0</v>
      </c>
      <c r="I1681" s="47">
        <f>IFERROR(VLOOKUP(D1681,EQUIPOS!A:F,6,FALSE()),0)</f>
        <v>1032.1500000000001</v>
      </c>
      <c r="J1681" s="42">
        <f t="shared" si="194"/>
        <v>1032.1500000000001</v>
      </c>
      <c r="K1681" s="15" t="str">
        <f t="shared" si="190"/>
        <v>PTO-1827|EQ</v>
      </c>
      <c r="L1681" s="15">
        <f>COUNTIFS($K$2:K1681,K1681)</f>
        <v>1</v>
      </c>
      <c r="M1681" s="15" t="str">
        <f t="shared" si="191"/>
        <v>PTO-1827|EQ|1</v>
      </c>
      <c r="N1681" s="47">
        <f>IFERROR(VLOOKUP(A1681,PARTIDAS!A:F,6,FALSE()),0)</f>
        <v>1</v>
      </c>
      <c r="O1681" s="247">
        <f t="shared" si="192"/>
        <v>1</v>
      </c>
      <c r="P1681" s="247">
        <f>+_xlfn.XLOOKUP(A1681,PPTO_GENERADOR!Q:Q,PPTO_GENERADOR!E:E,"-",0)</f>
        <v>24</v>
      </c>
      <c r="Q1681" s="247">
        <f t="shared" si="193"/>
        <v>24</v>
      </c>
      <c r="R1681" s="259">
        <f>+_xlfn.XLOOKUP(A1681,PPTO_GENERADOR!$Q:$Q,PPTO_GENERADOR!A:A,"-",0)</f>
        <v>18.27</v>
      </c>
    </row>
    <row r="1682" spans="1:18" ht="14.25" customHeight="1" x14ac:dyDescent="0.35">
      <c r="A1682" s="38" t="s">
        <v>306</v>
      </c>
      <c r="B1682" s="38" t="s">
        <v>2776</v>
      </c>
      <c r="C1682" s="38" t="s">
        <v>2775</v>
      </c>
      <c r="D1682" s="38" t="s">
        <v>2323</v>
      </c>
      <c r="E1682" s="44" t="str">
        <f>IFERROR(VLOOKUP(D1682,SUBCONTRATOS_PRY!A:B,2,FALSE()),"?")</f>
        <v>MO Colocación de extractor de baño - Provisión a cargo del comitente [SUBCONTRATOS]</v>
      </c>
      <c r="F1682" s="44" t="s">
        <v>2778</v>
      </c>
      <c r="G1682" s="45">
        <v>1</v>
      </c>
      <c r="H1682" s="46">
        <v>0</v>
      </c>
      <c r="I1682" s="47">
        <f>IFERROR(VLOOKUP(D1682,SUBCONTRATOS_PRY!A:D,4,FALSE()),0)</f>
        <v>68810</v>
      </c>
      <c r="J1682" s="42">
        <f t="shared" si="194"/>
        <v>68810</v>
      </c>
      <c r="K1682" s="15" t="str">
        <f t="shared" si="190"/>
        <v>PTO-1827|MO</v>
      </c>
      <c r="L1682" s="15">
        <f>COUNTIFS($K$2:K1682,K1682)</f>
        <v>1</v>
      </c>
      <c r="M1682" s="15" t="str">
        <f t="shared" si="191"/>
        <v>PTO-1827|MO|1</v>
      </c>
      <c r="N1682" s="47">
        <f>IFERROR(VLOOKUP(A1682,PARTIDAS!A:F,6,FALSE()),0)</f>
        <v>1</v>
      </c>
      <c r="O1682" s="247">
        <f t="shared" si="192"/>
        <v>1</v>
      </c>
      <c r="P1682" s="247">
        <f>+_xlfn.XLOOKUP(A1682,PPTO_GENERADOR!Q:Q,PPTO_GENERADOR!E:E,"-",0)</f>
        <v>24</v>
      </c>
      <c r="Q1682" s="247">
        <f t="shared" si="193"/>
        <v>24</v>
      </c>
      <c r="R1682" s="259">
        <f>+_xlfn.XLOOKUP(A1682,PPTO_GENERADOR!$Q:$Q,PPTO_GENERADOR!A:A,"-",0)</f>
        <v>18.27</v>
      </c>
    </row>
    <row r="1683" spans="1:18" ht="14.25" customHeight="1" x14ac:dyDescent="0.35">
      <c r="A1683" s="38" t="s">
        <v>308</v>
      </c>
      <c r="B1683" s="38" t="s">
        <v>2773</v>
      </c>
      <c r="C1683" s="38"/>
      <c r="D1683" s="38" t="s">
        <v>1938</v>
      </c>
      <c r="E1683" s="44" t="str">
        <f>IFERROR(VLOOKUP(D1683,EQUIPOS!A:B,2,FALSE()),"?")</f>
        <v>Herramientas menores y consumibles - Colocación de luz de emergencia - Provisión a carg</v>
      </c>
      <c r="F1683" s="44"/>
      <c r="G1683" s="45">
        <v>1</v>
      </c>
      <c r="H1683" s="46">
        <v>0</v>
      </c>
      <c r="I1683" s="47">
        <f>IFERROR(VLOOKUP(D1683,EQUIPOS!A:F,6,FALSE()),0)</f>
        <v>281.39999999999998</v>
      </c>
      <c r="J1683" s="42">
        <f t="shared" si="194"/>
        <v>281.39999999999998</v>
      </c>
      <c r="K1683" s="15" t="str">
        <f t="shared" si="190"/>
        <v>PTO-1828|EQ</v>
      </c>
      <c r="L1683" s="15">
        <f>COUNTIFS($K$2:K1683,K1683)</f>
        <v>1</v>
      </c>
      <c r="M1683" s="15" t="str">
        <f t="shared" si="191"/>
        <v>PTO-1828|EQ|1</v>
      </c>
      <c r="N1683" s="47">
        <f>IFERROR(VLOOKUP(A1683,PARTIDAS!A:F,6,FALSE()),0)</f>
        <v>1</v>
      </c>
      <c r="O1683" s="247">
        <f t="shared" si="192"/>
        <v>1</v>
      </c>
      <c r="P1683" s="247">
        <f>+_xlfn.XLOOKUP(A1683,PPTO_GENERADOR!Q:Q,PPTO_GENERADOR!E:E,"-",0)</f>
        <v>12</v>
      </c>
      <c r="Q1683" s="247">
        <f t="shared" si="193"/>
        <v>12</v>
      </c>
      <c r="R1683" s="259">
        <f>+_xlfn.XLOOKUP(A1683,PPTO_GENERADOR!$Q:$Q,PPTO_GENERADOR!A:A,"-",0)</f>
        <v>18.28</v>
      </c>
    </row>
    <row r="1684" spans="1:18" ht="14.25" customHeight="1" x14ac:dyDescent="0.35">
      <c r="A1684" s="38" t="s">
        <v>308</v>
      </c>
      <c r="B1684" s="38" t="s">
        <v>2776</v>
      </c>
      <c r="C1684" s="38" t="s">
        <v>2775</v>
      </c>
      <c r="D1684" s="38" t="s">
        <v>2325</v>
      </c>
      <c r="E1684" s="44" t="str">
        <f>IFERROR(VLOOKUP(D1684,SUBCONTRATOS_PRY!A:B,2,FALSE()),"?")</f>
        <v>MO Colocación de luz de emergencia - Provisión a cargo del comitente [SUBCONTRATOS]</v>
      </c>
      <c r="F1684" s="44" t="s">
        <v>2778</v>
      </c>
      <c r="G1684" s="45">
        <v>1</v>
      </c>
      <c r="H1684" s="46">
        <v>0</v>
      </c>
      <c r="I1684" s="47">
        <f>IFERROR(VLOOKUP(D1684,SUBCONTRATOS_PRY!A:D,4,FALSE()),0)</f>
        <v>18760</v>
      </c>
      <c r="J1684" s="42">
        <f t="shared" si="194"/>
        <v>18760</v>
      </c>
      <c r="K1684" s="15" t="str">
        <f t="shared" si="190"/>
        <v>PTO-1828|MO</v>
      </c>
      <c r="L1684" s="15">
        <f>COUNTIFS($K$2:K1684,K1684)</f>
        <v>1</v>
      </c>
      <c r="M1684" s="15" t="str">
        <f t="shared" si="191"/>
        <v>PTO-1828|MO|1</v>
      </c>
      <c r="N1684" s="47">
        <f>IFERROR(VLOOKUP(A1684,PARTIDAS!A:F,6,FALSE()),0)</f>
        <v>1</v>
      </c>
      <c r="O1684" s="247">
        <f t="shared" si="192"/>
        <v>1</v>
      </c>
      <c r="P1684" s="247">
        <f>+_xlfn.XLOOKUP(A1684,PPTO_GENERADOR!Q:Q,PPTO_GENERADOR!E:E,"-",0)</f>
        <v>12</v>
      </c>
      <c r="Q1684" s="247">
        <f t="shared" si="193"/>
        <v>12</v>
      </c>
      <c r="R1684" s="259">
        <f>+_xlfn.XLOOKUP(A1684,PPTO_GENERADOR!$Q:$Q,PPTO_GENERADOR!A:A,"-",0)</f>
        <v>18.28</v>
      </c>
    </row>
    <row r="1685" spans="1:18" ht="14.25" customHeight="1" x14ac:dyDescent="0.35">
      <c r="A1685" s="38" t="s">
        <v>310</v>
      </c>
      <c r="B1685" s="38" t="s">
        <v>2773</v>
      </c>
      <c r="C1685" s="38"/>
      <c r="D1685" s="38" t="s">
        <v>1941</v>
      </c>
      <c r="E1685" s="44" t="str">
        <f>IFERROR(VLOOKUP(D1685,EQUIPOS!A:B,2,FALSE()),"?")</f>
        <v>Herramientas menores y consumibles - Colocación de semáforo - Provisión a cargo del com</v>
      </c>
      <c r="F1685" s="44"/>
      <c r="G1685" s="45">
        <v>1</v>
      </c>
      <c r="H1685" s="46">
        <v>0</v>
      </c>
      <c r="I1685" s="47">
        <f>IFERROR(VLOOKUP(D1685,EQUIPOS!A:F,6,FALSE()),0)</f>
        <v>281.39999999999998</v>
      </c>
      <c r="J1685" s="42">
        <f t="shared" si="194"/>
        <v>281.39999999999998</v>
      </c>
      <c r="K1685" s="15" t="str">
        <f t="shared" si="190"/>
        <v>PTO-1829|EQ</v>
      </c>
      <c r="L1685" s="15">
        <f>COUNTIFS($K$2:K1685,K1685)</f>
        <v>1</v>
      </c>
      <c r="M1685" s="15" t="str">
        <f t="shared" si="191"/>
        <v>PTO-1829|EQ|1</v>
      </c>
      <c r="N1685" s="47">
        <f>IFERROR(VLOOKUP(A1685,PARTIDAS!A:F,6,FALSE()),0)</f>
        <v>1</v>
      </c>
      <c r="O1685" s="247">
        <f t="shared" si="192"/>
        <v>1</v>
      </c>
      <c r="P1685" s="247">
        <f>+_xlfn.XLOOKUP(A1685,PPTO_GENERADOR!Q:Q,PPTO_GENERADOR!E:E,"-",0)</f>
        <v>1</v>
      </c>
      <c r="Q1685" s="247">
        <f t="shared" si="193"/>
        <v>1</v>
      </c>
      <c r="R1685" s="259">
        <f>+_xlfn.XLOOKUP(A1685,PPTO_GENERADOR!$Q:$Q,PPTO_GENERADOR!A:A,"-",0)</f>
        <v>18.29</v>
      </c>
    </row>
    <row r="1686" spans="1:18" ht="14.25" customHeight="1" x14ac:dyDescent="0.35">
      <c r="A1686" s="38" t="s">
        <v>310</v>
      </c>
      <c r="B1686" s="38" t="s">
        <v>2776</v>
      </c>
      <c r="C1686" s="38" t="s">
        <v>2775</v>
      </c>
      <c r="D1686" s="38" t="s">
        <v>2327</v>
      </c>
      <c r="E1686" s="44" t="str">
        <f>IFERROR(VLOOKUP(D1686,SUBCONTRATOS_PRY!A:B,2,FALSE()),"?")</f>
        <v>MO Colocación de semáforo - Provisión a cargo del comitente [SUBCONTRATOS]</v>
      </c>
      <c r="F1686" s="44" t="s">
        <v>2778</v>
      </c>
      <c r="G1686" s="45">
        <v>1</v>
      </c>
      <c r="H1686" s="46">
        <v>0</v>
      </c>
      <c r="I1686" s="47">
        <f>IFERROR(VLOOKUP(D1686,SUBCONTRATOS_PRY!A:D,4,FALSE()),0)</f>
        <v>18760</v>
      </c>
      <c r="J1686" s="42">
        <f t="shared" si="194"/>
        <v>18760</v>
      </c>
      <c r="K1686" s="15" t="str">
        <f t="shared" si="190"/>
        <v>PTO-1829|MO</v>
      </c>
      <c r="L1686" s="15">
        <f>COUNTIFS($K$2:K1686,K1686)</f>
        <v>1</v>
      </c>
      <c r="M1686" s="15" t="str">
        <f t="shared" si="191"/>
        <v>PTO-1829|MO|1</v>
      </c>
      <c r="N1686" s="47">
        <f>IFERROR(VLOOKUP(A1686,PARTIDAS!A:F,6,FALSE()),0)</f>
        <v>1</v>
      </c>
      <c r="O1686" s="247">
        <f t="shared" si="192"/>
        <v>1</v>
      </c>
      <c r="P1686" s="247">
        <f>+_xlfn.XLOOKUP(A1686,PPTO_GENERADOR!Q:Q,PPTO_GENERADOR!E:E,"-",0)</f>
        <v>1</v>
      </c>
      <c r="Q1686" s="247">
        <f t="shared" si="193"/>
        <v>1</v>
      </c>
      <c r="R1686" s="259">
        <f>+_xlfn.XLOOKUP(A1686,PPTO_GENERADOR!$Q:$Q,PPTO_GENERADOR!A:A,"-",0)</f>
        <v>18.29</v>
      </c>
    </row>
    <row r="1687" spans="1:18" ht="14.25" customHeight="1" x14ac:dyDescent="0.35">
      <c r="A1687" s="38" t="s">
        <v>312</v>
      </c>
      <c r="B1687" s="38" t="s">
        <v>2773</v>
      </c>
      <c r="C1687" s="38"/>
      <c r="D1687" s="38" t="s">
        <v>1944</v>
      </c>
      <c r="E1687" s="44" t="str">
        <f>IFERROR(VLOOKUP(D1687,EQUIPOS!A:B,2,FALSE()),"?")</f>
        <v>Herramientas menores y consumibles - Colocación artefactos en espacios comunes y balcon</v>
      </c>
      <c r="F1687" s="44"/>
      <c r="G1687" s="45">
        <v>1</v>
      </c>
      <c r="H1687" s="46">
        <v>0</v>
      </c>
      <c r="I1687" s="47">
        <f>IFERROR(VLOOKUP(D1687,EQUIPOS!A:F,6,FALSE()),0)</f>
        <v>177.24</v>
      </c>
      <c r="J1687" s="42">
        <f t="shared" si="194"/>
        <v>177.24</v>
      </c>
      <c r="K1687" s="15" t="str">
        <f t="shared" si="190"/>
        <v>PTO-1830|EQ</v>
      </c>
      <c r="L1687" s="15">
        <f>COUNTIFS($K$2:K1687,K1687)</f>
        <v>1</v>
      </c>
      <c r="M1687" s="15" t="str">
        <f t="shared" si="191"/>
        <v>PTO-1830|EQ|1</v>
      </c>
      <c r="N1687" s="47">
        <f>IFERROR(VLOOKUP(A1687,PARTIDAS!A:F,6,FALSE()),0)</f>
        <v>1</v>
      </c>
      <c r="O1687" s="247">
        <f t="shared" si="192"/>
        <v>1</v>
      </c>
      <c r="P1687" s="247">
        <f>+_xlfn.XLOOKUP(A1687,PPTO_GENERADOR!Q:Q,PPTO_GENERADOR!E:E,"-",0)</f>
        <v>109</v>
      </c>
      <c r="Q1687" s="247">
        <f t="shared" si="193"/>
        <v>109</v>
      </c>
      <c r="R1687" s="259">
        <f>+_xlfn.XLOOKUP(A1687,PPTO_GENERADOR!$Q:$Q,PPTO_GENERADOR!A:A,"-",0)</f>
        <v>18.3</v>
      </c>
    </row>
    <row r="1688" spans="1:18" ht="14.25" customHeight="1" x14ac:dyDescent="0.35">
      <c r="A1688" s="38" t="s">
        <v>312</v>
      </c>
      <c r="B1688" s="38" t="s">
        <v>2776</v>
      </c>
      <c r="C1688" s="38" t="s">
        <v>2775</v>
      </c>
      <c r="D1688" s="38" t="s">
        <v>2329</v>
      </c>
      <c r="E1688" s="44" t="str">
        <f>IFERROR(VLOOKUP(D1688,SUBCONTRATOS_PRY!A:B,2,FALSE()),"?")</f>
        <v>MO Colocación artefactos en espacios comunes y balcones - Provisión a cargo del comitente. NO incluye provisión, ni colocación de artefactos en interior de UF [SUBCONTRATOS]</v>
      </c>
      <c r="F1688" s="44" t="s">
        <v>2778</v>
      </c>
      <c r="G1688" s="45">
        <v>1</v>
      </c>
      <c r="H1688" s="46">
        <v>0</v>
      </c>
      <c r="I1688" s="47">
        <f>IFERROR(VLOOKUP(D1688,SUBCONTRATOS_PRY!A:D,4,FALSE()),0)</f>
        <v>11816</v>
      </c>
      <c r="J1688" s="42">
        <f t="shared" si="194"/>
        <v>11816</v>
      </c>
      <c r="K1688" s="15" t="str">
        <f t="shared" si="190"/>
        <v>PTO-1830|MO</v>
      </c>
      <c r="L1688" s="15">
        <f>COUNTIFS($K$2:K1688,K1688)</f>
        <v>1</v>
      </c>
      <c r="M1688" s="15" t="str">
        <f t="shared" si="191"/>
        <v>PTO-1830|MO|1</v>
      </c>
      <c r="N1688" s="47">
        <f>IFERROR(VLOOKUP(A1688,PARTIDAS!A:F,6,FALSE()),0)</f>
        <v>1</v>
      </c>
      <c r="O1688" s="247">
        <f t="shared" si="192"/>
        <v>1</v>
      </c>
      <c r="P1688" s="247">
        <f>+_xlfn.XLOOKUP(A1688,PPTO_GENERADOR!Q:Q,PPTO_GENERADOR!E:E,"-",0)</f>
        <v>109</v>
      </c>
      <c r="Q1688" s="247">
        <f t="shared" si="193"/>
        <v>109</v>
      </c>
      <c r="R1688" s="259">
        <f>+_xlfn.XLOOKUP(A1688,PPTO_GENERADOR!$Q:$Q,PPTO_GENERADOR!A:A,"-",0)</f>
        <v>18.3</v>
      </c>
    </row>
    <row r="1689" spans="1:18" ht="14.25" customHeight="1" x14ac:dyDescent="0.35">
      <c r="A1689" s="38" t="s">
        <v>314</v>
      </c>
      <c r="B1689" s="38" t="s">
        <v>2773</v>
      </c>
      <c r="C1689" s="38"/>
      <c r="D1689" s="38" t="s">
        <v>2037</v>
      </c>
      <c r="E1689" s="44" t="str">
        <f>IFERROR(VLOOKUP(D1689,EQUIPOS!A:B,2,FALSE()),"?")</f>
        <v>Herramientas y consumibles - PTO-1831 ACOMETIDA</v>
      </c>
      <c r="F1689" s="44"/>
      <c r="G1689" s="45">
        <v>1</v>
      </c>
      <c r="H1689" s="46">
        <v>0</v>
      </c>
      <c r="I1689" s="47">
        <f>IFERROR(VLOOKUP(D1689,EQUIPOS!A:F,6,FALSE()),0)</f>
        <v>61176.021690000001</v>
      </c>
      <c r="J1689" s="42">
        <f t="shared" si="194"/>
        <v>61176.021690000001</v>
      </c>
      <c r="K1689" s="15" t="str">
        <f t="shared" si="190"/>
        <v>PTO-1831|EQ</v>
      </c>
      <c r="L1689" s="15">
        <f>COUNTIFS($K$2:K1689,K1689)</f>
        <v>1</v>
      </c>
      <c r="M1689" s="15" t="str">
        <f t="shared" si="191"/>
        <v>PTO-1831|EQ|1</v>
      </c>
      <c r="N1689" s="47">
        <f>IFERROR(VLOOKUP(A1689,PARTIDAS!A:F,6,FALSE()),0)</f>
        <v>1</v>
      </c>
      <c r="O1689" s="247">
        <f t="shared" si="192"/>
        <v>1</v>
      </c>
      <c r="P1689" s="247">
        <f>+_xlfn.XLOOKUP(A1689,PPTO_GENERADOR!Q:Q,PPTO_GENERADOR!E:E,"-",0)</f>
        <v>1</v>
      </c>
      <c r="Q1689" s="247">
        <f t="shared" si="193"/>
        <v>1</v>
      </c>
      <c r="R1689" s="259">
        <f>+_xlfn.XLOOKUP(A1689,PPTO_GENERADOR!$Q:$Q,PPTO_GENERADOR!A:A,"-",0)</f>
        <v>18.309999999999999</v>
      </c>
    </row>
    <row r="1690" spans="1:18" ht="14.25" customHeight="1" x14ac:dyDescent="0.35">
      <c r="A1690" s="38" t="s">
        <v>314</v>
      </c>
      <c r="B1690" s="38" t="s">
        <v>2774</v>
      </c>
      <c r="C1690" s="38" t="s">
        <v>2775</v>
      </c>
      <c r="D1690" s="38" t="s">
        <v>1361</v>
      </c>
      <c r="E1690" s="44" t="str">
        <f>IFERROR(VLOOKUP(D1690,MATERIALES!A:B,2,FALSE()),"?")</f>
        <v>Consumibles</v>
      </c>
      <c r="F1690" s="44" t="str">
        <f>IFERROR(VLOOKUP(D1690,MATERIALES!A:C,3,FALSE()),"?")</f>
        <v>gl</v>
      </c>
      <c r="G1690" s="45">
        <v>401194.20600000001</v>
      </c>
      <c r="H1690" s="46">
        <v>0</v>
      </c>
      <c r="I1690" s="47">
        <f>IFERROR(VLOOKUP(D1690,MATERIALES!A:D,4,FALSE()),0)</f>
        <v>1</v>
      </c>
      <c r="J1690" s="42">
        <f t="shared" ref="J1690:J1696" si="195">G1690*I1690*(1+H1690)</f>
        <v>401194.20600000001</v>
      </c>
      <c r="K1690" s="15" t="str">
        <f t="shared" si="190"/>
        <v>PTO-1831|MAT</v>
      </c>
      <c r="L1690" s="15">
        <f>COUNTIFS($K$2:K1690,K1690)</f>
        <v>1</v>
      </c>
      <c r="M1690" s="15" t="str">
        <f t="shared" si="191"/>
        <v>PTO-1831|MAT|1</v>
      </c>
      <c r="N1690" s="47">
        <f>IFERROR(VLOOKUP(A1690,PARTIDAS!A:F,6,FALSE()),0)</f>
        <v>1</v>
      </c>
      <c r="O1690" s="247">
        <f t="shared" si="192"/>
        <v>401194.20600000001</v>
      </c>
      <c r="P1690" s="247">
        <f>+_xlfn.XLOOKUP(A1690,PPTO_GENERADOR!Q:Q,PPTO_GENERADOR!E:E,"-",0)</f>
        <v>1</v>
      </c>
      <c r="Q1690" s="247">
        <f t="shared" si="193"/>
        <v>401194.20600000001</v>
      </c>
      <c r="R1690" s="259">
        <f>+_xlfn.XLOOKUP(A1690,PPTO_GENERADOR!$Q:$Q,PPTO_GENERADOR!A:A,"-",0)</f>
        <v>18.309999999999999</v>
      </c>
    </row>
    <row r="1691" spans="1:18" ht="14.25" customHeight="1" x14ac:dyDescent="0.35">
      <c r="A1691" s="38" t="s">
        <v>314</v>
      </c>
      <c r="B1691" s="38" t="s">
        <v>2774</v>
      </c>
      <c r="C1691" s="38" t="s">
        <v>2775</v>
      </c>
      <c r="D1691" s="38" t="s">
        <v>1452</v>
      </c>
      <c r="E1691" s="44" t="str">
        <f>IFERROR(VLOOKUP(D1691,MATERIALES!A:B,2,FALSE()),"?")</f>
        <v>M SUBTERRANEO N IRAM 1X 120MM2 (1 x 120)</v>
      </c>
      <c r="F1691" s="44" t="str">
        <f>IFERROR(VLOOKUP(D1691,MATERIALES!A:C,3,FALSE()),"?")</f>
        <v>ml</v>
      </c>
      <c r="G1691" s="45">
        <v>10</v>
      </c>
      <c r="H1691" s="46">
        <v>0</v>
      </c>
      <c r="I1691" s="47">
        <f>IFERROR(VLOOKUP(D1691,MATERIALES!A:D,4,FALSE()),0)</f>
        <v>20537.45</v>
      </c>
      <c r="J1691" s="42">
        <f t="shared" si="195"/>
        <v>205374.5</v>
      </c>
      <c r="K1691" s="15" t="str">
        <f t="shared" si="190"/>
        <v>PTO-1831|MAT</v>
      </c>
      <c r="L1691" s="15">
        <f>COUNTIFS($K$2:K1691,K1691)</f>
        <v>2</v>
      </c>
      <c r="M1691" s="15" t="str">
        <f t="shared" si="191"/>
        <v>PTO-1831|MAT|2</v>
      </c>
      <c r="N1691" s="47">
        <f>IFERROR(VLOOKUP(A1691,PARTIDAS!A:F,6,FALSE()),0)</f>
        <v>1</v>
      </c>
      <c r="O1691" s="247">
        <f t="shared" si="192"/>
        <v>10</v>
      </c>
      <c r="P1691" s="247">
        <f>+_xlfn.XLOOKUP(A1691,PPTO_GENERADOR!Q:Q,PPTO_GENERADOR!E:E,"-",0)</f>
        <v>1</v>
      </c>
      <c r="Q1691" s="247">
        <f t="shared" si="193"/>
        <v>10</v>
      </c>
      <c r="R1691" s="259">
        <f>+_xlfn.XLOOKUP(A1691,PPTO_GENERADOR!$Q:$Q,PPTO_GENERADOR!A:A,"-",0)</f>
        <v>18.309999999999999</v>
      </c>
    </row>
    <row r="1692" spans="1:18" ht="14.25" customHeight="1" x14ac:dyDescent="0.35">
      <c r="A1692" s="38" t="s">
        <v>314</v>
      </c>
      <c r="B1692" s="38" t="s">
        <v>2774</v>
      </c>
      <c r="C1692" s="38" t="s">
        <v>2775</v>
      </c>
      <c r="D1692" s="38" t="s">
        <v>1455</v>
      </c>
      <c r="E1692" s="44" t="str">
        <f>IFERROR(VLOOKUP(D1692,MATERIALES!A:B,2,FALSE()),"?")</f>
        <v>[66039162] GAB 4 MED TRIF C/TM + DIF (EDENOR)</v>
      </c>
      <c r="F1692" s="44" t="str">
        <f>IFERROR(VLOOKUP(D1692,MATERIALES!A:C,3,FALSE()),"?")</f>
        <v>u</v>
      </c>
      <c r="G1692" s="45">
        <v>2</v>
      </c>
      <c r="H1692" s="46">
        <v>0</v>
      </c>
      <c r="I1692" s="47">
        <f>IFERROR(VLOOKUP(D1692,MATERIALES!A:D,4,FALSE()),0)</f>
        <v>832346.42</v>
      </c>
      <c r="J1692" s="42">
        <f t="shared" si="195"/>
        <v>1664692.84</v>
      </c>
      <c r="K1692" s="15" t="str">
        <f t="shared" si="190"/>
        <v>PTO-1831|MAT</v>
      </c>
      <c r="L1692" s="15">
        <f>COUNTIFS($K$2:K1692,K1692)</f>
        <v>3</v>
      </c>
      <c r="M1692" s="15" t="str">
        <f t="shared" si="191"/>
        <v>PTO-1831|MAT|3</v>
      </c>
      <c r="N1692" s="47">
        <f>IFERROR(VLOOKUP(A1692,PARTIDAS!A:F,6,FALSE()),0)</f>
        <v>1</v>
      </c>
      <c r="O1692" s="247">
        <f t="shared" si="192"/>
        <v>2</v>
      </c>
      <c r="P1692" s="247">
        <f>+_xlfn.XLOOKUP(A1692,PPTO_GENERADOR!Q:Q,PPTO_GENERADOR!E:E,"-",0)</f>
        <v>1</v>
      </c>
      <c r="Q1692" s="247">
        <f t="shared" si="193"/>
        <v>2</v>
      </c>
      <c r="R1692" s="259">
        <f>+_xlfn.XLOOKUP(A1692,PPTO_GENERADOR!$Q:$Q,PPTO_GENERADOR!A:A,"-",0)</f>
        <v>18.309999999999999</v>
      </c>
    </row>
    <row r="1693" spans="1:18" ht="14.25" customHeight="1" x14ac:dyDescent="0.35">
      <c r="A1693" s="38" t="s">
        <v>314</v>
      </c>
      <c r="B1693" s="38" t="s">
        <v>2774</v>
      </c>
      <c r="C1693" s="38" t="s">
        <v>2775</v>
      </c>
      <c r="D1693" s="38" t="s">
        <v>1457</v>
      </c>
      <c r="E1693" s="44" t="str">
        <f>IFERROR(VLOOKUP(D1693,MATERIALES!A:B,2,FALSE()),"?")</f>
        <v>[66039155] GAB 1 MED TRIF C/TM + DIF (EDENOR)</v>
      </c>
      <c r="F1693" s="44" t="str">
        <f>IFERROR(VLOOKUP(D1693,MATERIALES!A:C,3,FALSE()),"?")</f>
        <v>u</v>
      </c>
      <c r="G1693" s="45">
        <v>1</v>
      </c>
      <c r="H1693" s="46">
        <v>0</v>
      </c>
      <c r="I1693" s="47">
        <f>IFERROR(VLOOKUP(D1693,MATERIALES!A:D,4,FALSE()),0)</f>
        <v>210583.05</v>
      </c>
      <c r="J1693" s="42">
        <f t="shared" si="195"/>
        <v>210583.05</v>
      </c>
      <c r="K1693" s="15" t="str">
        <f t="shared" si="190"/>
        <v>PTO-1831|MAT</v>
      </c>
      <c r="L1693" s="15">
        <f>COUNTIFS($K$2:K1693,K1693)</f>
        <v>4</v>
      </c>
      <c r="M1693" s="15" t="str">
        <f t="shared" si="191"/>
        <v>PTO-1831|MAT|4</v>
      </c>
      <c r="N1693" s="47">
        <f>IFERROR(VLOOKUP(A1693,PARTIDAS!A:F,6,FALSE()),0)</f>
        <v>1</v>
      </c>
      <c r="O1693" s="247">
        <f t="shared" si="192"/>
        <v>1</v>
      </c>
      <c r="P1693" s="247">
        <f>+_xlfn.XLOOKUP(A1693,PPTO_GENERADOR!Q:Q,PPTO_GENERADOR!E:E,"-",0)</f>
        <v>1</v>
      </c>
      <c r="Q1693" s="247">
        <f t="shared" si="193"/>
        <v>1</v>
      </c>
      <c r="R1693" s="259">
        <f>+_xlfn.XLOOKUP(A1693,PPTO_GENERADOR!$Q:$Q,PPTO_GENERADOR!A:A,"-",0)</f>
        <v>18.309999999999999</v>
      </c>
    </row>
    <row r="1694" spans="1:18" ht="14.25" customHeight="1" x14ac:dyDescent="0.35">
      <c r="A1694" s="38" t="s">
        <v>314</v>
      </c>
      <c r="B1694" s="38" t="s">
        <v>2774</v>
      </c>
      <c r="C1694" s="38" t="s">
        <v>2775</v>
      </c>
      <c r="D1694" s="38" t="s">
        <v>1459</v>
      </c>
      <c r="E1694" s="44" t="str">
        <f>IFERROR(VLOOKUP(D1694,MATERIALES!A:B,2,FALSE()),"?")</f>
        <v>[62009010] CAJA TOMA 500A C/ 6 BASES NH (EDENOR)</v>
      </c>
      <c r="F1694" s="44" t="str">
        <f>IFERROR(VLOOKUP(D1694,MATERIALES!A:C,3,FALSE()),"?")</f>
        <v>u</v>
      </c>
      <c r="G1694" s="45">
        <v>1</v>
      </c>
      <c r="H1694" s="46">
        <v>0</v>
      </c>
      <c r="I1694" s="47">
        <f>IFERROR(VLOOKUP(D1694,MATERIALES!A:D,4,FALSE()),0)</f>
        <v>462872.16</v>
      </c>
      <c r="J1694" s="42">
        <f t="shared" si="195"/>
        <v>462872.16</v>
      </c>
      <c r="K1694" s="15" t="str">
        <f t="shared" si="190"/>
        <v>PTO-1831|MAT</v>
      </c>
      <c r="L1694" s="15">
        <f>COUNTIFS($K$2:K1694,K1694)</f>
        <v>5</v>
      </c>
      <c r="M1694" s="15" t="str">
        <f t="shared" si="191"/>
        <v>PTO-1831|MAT|5</v>
      </c>
      <c r="N1694" s="47">
        <f>IFERROR(VLOOKUP(A1694,PARTIDAS!A:F,6,FALSE()),0)</f>
        <v>1</v>
      </c>
      <c r="O1694" s="247">
        <f t="shared" si="192"/>
        <v>1</v>
      </c>
      <c r="P1694" s="247">
        <f>+_xlfn.XLOOKUP(A1694,PPTO_GENERADOR!Q:Q,PPTO_GENERADOR!E:E,"-",0)</f>
        <v>1</v>
      </c>
      <c r="Q1694" s="247">
        <f t="shared" si="193"/>
        <v>1</v>
      </c>
      <c r="R1694" s="259">
        <f>+_xlfn.XLOOKUP(A1694,PPTO_GENERADOR!$Q:$Q,PPTO_GENERADOR!A:A,"-",0)</f>
        <v>18.309999999999999</v>
      </c>
    </row>
    <row r="1695" spans="1:18" ht="14.25" customHeight="1" x14ac:dyDescent="0.35">
      <c r="A1695" s="38" t="s">
        <v>314</v>
      </c>
      <c r="B1695" s="38" t="s">
        <v>2774</v>
      </c>
      <c r="C1695" s="38" t="s">
        <v>2775</v>
      </c>
      <c r="D1695" s="38" t="s">
        <v>1461</v>
      </c>
      <c r="E1695" s="44" t="str">
        <f>IFERROR(VLOOKUP(D1695,MATERIALES!A:B,2,FALSE()),"?")</f>
        <v>Fusible NH 00 63 A</v>
      </c>
      <c r="F1695" s="44" t="str">
        <f>IFERROR(VLOOKUP(D1695,MATERIALES!A:C,3,FALSE()),"?")</f>
        <v>u</v>
      </c>
      <c r="G1695" s="45">
        <v>27</v>
      </c>
      <c r="H1695" s="46">
        <v>0</v>
      </c>
      <c r="I1695" s="47">
        <f>IFERROR(VLOOKUP(D1695,MATERIALES!A:D,4,FALSE()),0)</f>
        <v>3784.33</v>
      </c>
      <c r="J1695" s="42">
        <f t="shared" si="195"/>
        <v>102176.91</v>
      </c>
      <c r="K1695" s="15" t="str">
        <f t="shared" si="190"/>
        <v>PTO-1831|MAT</v>
      </c>
      <c r="L1695" s="15">
        <f>COUNTIFS($K$2:K1695,K1695)</f>
        <v>6</v>
      </c>
      <c r="M1695" s="15" t="str">
        <f t="shared" si="191"/>
        <v>PTO-1831|MAT|6</v>
      </c>
      <c r="N1695" s="47">
        <f>IFERROR(VLOOKUP(A1695,PARTIDAS!A:F,6,FALSE()),0)</f>
        <v>1</v>
      </c>
      <c r="O1695" s="247">
        <f t="shared" si="192"/>
        <v>27</v>
      </c>
      <c r="P1695" s="247">
        <f>+_xlfn.XLOOKUP(A1695,PPTO_GENERADOR!Q:Q,PPTO_GENERADOR!E:E,"-",0)</f>
        <v>1</v>
      </c>
      <c r="Q1695" s="247">
        <f t="shared" si="193"/>
        <v>27</v>
      </c>
      <c r="R1695" s="259">
        <f>+_xlfn.XLOOKUP(A1695,PPTO_GENERADOR!$Q:$Q,PPTO_GENERADOR!A:A,"-",0)</f>
        <v>18.309999999999999</v>
      </c>
    </row>
    <row r="1696" spans="1:18" ht="14.25" customHeight="1" x14ac:dyDescent="0.35">
      <c r="A1696" s="38" t="s">
        <v>314</v>
      </c>
      <c r="B1696" s="38" t="s">
        <v>2774</v>
      </c>
      <c r="C1696" s="38" t="s">
        <v>2775</v>
      </c>
      <c r="D1696" s="38" t="s">
        <v>1463</v>
      </c>
      <c r="E1696" s="44" t="str">
        <f>IFERROR(VLOOKUP(D1696,MATERIALES!A:B,2,FALSE()),"?")</f>
        <v>Fusible NH 02 a 125 A</v>
      </c>
      <c r="F1696" s="44" t="str">
        <f>IFERROR(VLOOKUP(D1696,MATERIALES!A:C,3,FALSE()),"?")</f>
        <v>u</v>
      </c>
      <c r="G1696" s="45">
        <v>3</v>
      </c>
      <c r="H1696" s="46">
        <v>0</v>
      </c>
      <c r="I1696" s="47">
        <f>IFERROR(VLOOKUP(D1696,MATERIALES!A:D,4,FALSE()),0)</f>
        <v>9642.86</v>
      </c>
      <c r="J1696" s="42">
        <f t="shared" si="195"/>
        <v>28928.58</v>
      </c>
      <c r="K1696" s="15" t="str">
        <f t="shared" si="190"/>
        <v>PTO-1831|MAT</v>
      </c>
      <c r="L1696" s="15">
        <f>COUNTIFS($K$2:K1696,K1696)</f>
        <v>7</v>
      </c>
      <c r="M1696" s="15" t="str">
        <f t="shared" si="191"/>
        <v>PTO-1831|MAT|7</v>
      </c>
      <c r="N1696" s="47">
        <f>IFERROR(VLOOKUP(A1696,PARTIDAS!A:F,6,FALSE()),0)</f>
        <v>1</v>
      </c>
      <c r="O1696" s="247">
        <f t="shared" si="192"/>
        <v>3</v>
      </c>
      <c r="P1696" s="247">
        <f>+_xlfn.XLOOKUP(A1696,PPTO_GENERADOR!Q:Q,PPTO_GENERADOR!E:E,"-",0)</f>
        <v>1</v>
      </c>
      <c r="Q1696" s="247">
        <f t="shared" si="193"/>
        <v>3</v>
      </c>
      <c r="R1696" s="259">
        <f>+_xlfn.XLOOKUP(A1696,PPTO_GENERADOR!$Q:$Q,PPTO_GENERADOR!A:A,"-",0)</f>
        <v>18.309999999999999</v>
      </c>
    </row>
    <row r="1697" spans="1:18" ht="14.25" customHeight="1" x14ac:dyDescent="0.35">
      <c r="A1697" s="38" t="s">
        <v>314</v>
      </c>
      <c r="B1697" s="38" t="s">
        <v>2776</v>
      </c>
      <c r="C1697" s="38" t="s">
        <v>2775</v>
      </c>
      <c r="D1697" s="38" t="s">
        <v>2196</v>
      </c>
      <c r="E1697" s="44" t="str">
        <f>IFERROR(VLOOKUP(D1697,SUBCONTRATOS_PRY!A:B,2,FALSE()),"?")</f>
        <v>Caño de acometida</v>
      </c>
      <c r="F1697" s="44" t="s">
        <v>2778</v>
      </c>
      <c r="G1697" s="45">
        <v>1</v>
      </c>
      <c r="H1697" s="46">
        <v>0</v>
      </c>
      <c r="I1697" s="47">
        <f>IFERROR(VLOOKUP(D1697,SUBCONTRATOS_PRY!A:D,4,FALSE()),0)</f>
        <v>90526.8</v>
      </c>
      <c r="J1697" s="42">
        <f>G1697*I1697</f>
        <v>90526.8</v>
      </c>
      <c r="K1697" s="15" t="str">
        <f t="shared" si="190"/>
        <v>PTO-1831|MO</v>
      </c>
      <c r="L1697" s="15">
        <f>COUNTIFS($K$2:K1697,K1697)</f>
        <v>1</v>
      </c>
      <c r="M1697" s="15" t="str">
        <f t="shared" si="191"/>
        <v>PTO-1831|MO|1</v>
      </c>
      <c r="N1697" s="47">
        <f>IFERROR(VLOOKUP(A1697,PARTIDAS!A:F,6,FALSE()),0)</f>
        <v>1</v>
      </c>
      <c r="O1697" s="247">
        <f t="shared" si="192"/>
        <v>1</v>
      </c>
      <c r="P1697" s="247">
        <f>+_xlfn.XLOOKUP(A1697,PPTO_GENERADOR!Q:Q,PPTO_GENERADOR!E:E,"-",0)</f>
        <v>1</v>
      </c>
      <c r="Q1697" s="247">
        <f t="shared" si="193"/>
        <v>1</v>
      </c>
      <c r="R1697" s="259">
        <f>+_xlfn.XLOOKUP(A1697,PPTO_GENERADOR!$Q:$Q,PPTO_GENERADOR!A:A,"-",0)</f>
        <v>18.309999999999999</v>
      </c>
    </row>
    <row r="1698" spans="1:18" ht="14.25" customHeight="1" x14ac:dyDescent="0.35">
      <c r="A1698" s="38" t="s">
        <v>314</v>
      </c>
      <c r="B1698" s="38" t="s">
        <v>2776</v>
      </c>
      <c r="C1698" s="38" t="s">
        <v>2775</v>
      </c>
      <c r="D1698" s="38" t="s">
        <v>2198</v>
      </c>
      <c r="E1698" s="44" t="str">
        <f>IFERROR(VLOOKUP(D1698,SUBCONTRATOS_PRY!A:B,2,FALSE()),"?")</f>
        <v>Caja de toma</v>
      </c>
      <c r="F1698" s="44" t="s">
        <v>2778</v>
      </c>
      <c r="G1698" s="45">
        <v>1</v>
      </c>
      <c r="H1698" s="46">
        <v>0</v>
      </c>
      <c r="I1698" s="47">
        <f>IFERROR(VLOOKUP(D1698,SUBCONTRATOS_PRY!A:D,4,FALSE()),0)</f>
        <v>129373.3</v>
      </c>
      <c r="J1698" s="42">
        <f>G1698*I1698</f>
        <v>129373.3</v>
      </c>
      <c r="K1698" s="15" t="str">
        <f t="shared" si="190"/>
        <v>PTO-1831|MO</v>
      </c>
      <c r="L1698" s="15">
        <f>COUNTIFS($K$2:K1698,K1698)</f>
        <v>2</v>
      </c>
      <c r="M1698" s="15" t="str">
        <f t="shared" si="191"/>
        <v>PTO-1831|MO|2</v>
      </c>
      <c r="N1698" s="47">
        <f>IFERROR(VLOOKUP(A1698,PARTIDAS!A:F,6,FALSE()),0)</f>
        <v>1</v>
      </c>
      <c r="O1698" s="247">
        <f t="shared" si="192"/>
        <v>1</v>
      </c>
      <c r="P1698" s="247">
        <f>+_xlfn.XLOOKUP(A1698,PPTO_GENERADOR!Q:Q,PPTO_GENERADOR!E:E,"-",0)</f>
        <v>1</v>
      </c>
      <c r="Q1698" s="247">
        <f t="shared" si="193"/>
        <v>1</v>
      </c>
      <c r="R1698" s="259">
        <f>+_xlfn.XLOOKUP(A1698,PPTO_GENERADOR!$Q:$Q,PPTO_GENERADOR!A:A,"-",0)</f>
        <v>18.309999999999999</v>
      </c>
    </row>
    <row r="1699" spans="1:18" ht="14.25" customHeight="1" x14ac:dyDescent="0.35">
      <c r="A1699" s="38" t="s">
        <v>314</v>
      </c>
      <c r="B1699" s="38" t="s">
        <v>2776</v>
      </c>
      <c r="C1699" s="38" t="s">
        <v>2775</v>
      </c>
      <c r="D1699" s="38" t="s">
        <v>2331</v>
      </c>
      <c r="E1699" s="44" t="str">
        <f>IFERROR(VLOOKUP(D1699,SUBCONTRATOS_PRY!A:B,2,FALSE()),"?")</f>
        <v xml:space="preserve">Gabinete columna 4 modulos trifasico Edesur </v>
      </c>
      <c r="F1699" s="44" t="s">
        <v>2778</v>
      </c>
      <c r="G1699" s="45">
        <v>2</v>
      </c>
      <c r="H1699" s="46">
        <v>0</v>
      </c>
      <c r="I1699" s="47">
        <f>IFERROR(VLOOKUP(D1699,SUBCONTRATOS_PRY!A:D,4,FALSE()),0)</f>
        <v>344928.5</v>
      </c>
      <c r="J1699" s="42">
        <f>G1699*I1699</f>
        <v>689857</v>
      </c>
      <c r="K1699" s="15" t="str">
        <f t="shared" si="190"/>
        <v>PTO-1831|MO</v>
      </c>
      <c r="L1699" s="15">
        <f>COUNTIFS($K$2:K1699,K1699)</f>
        <v>3</v>
      </c>
      <c r="M1699" s="15" t="str">
        <f t="shared" si="191"/>
        <v>PTO-1831|MO|3</v>
      </c>
      <c r="N1699" s="47">
        <f>IFERROR(VLOOKUP(A1699,PARTIDAS!A:F,6,FALSE()),0)</f>
        <v>1</v>
      </c>
      <c r="O1699" s="247">
        <f t="shared" si="192"/>
        <v>2</v>
      </c>
      <c r="P1699" s="247">
        <f>+_xlfn.XLOOKUP(A1699,PPTO_GENERADOR!Q:Q,PPTO_GENERADOR!E:E,"-",0)</f>
        <v>1</v>
      </c>
      <c r="Q1699" s="247">
        <f t="shared" si="193"/>
        <v>2</v>
      </c>
      <c r="R1699" s="259">
        <f>+_xlfn.XLOOKUP(A1699,PPTO_GENERADOR!$Q:$Q,PPTO_GENERADOR!A:A,"-",0)</f>
        <v>18.309999999999999</v>
      </c>
    </row>
    <row r="1700" spans="1:18" ht="14.25" customHeight="1" x14ac:dyDescent="0.35">
      <c r="A1700" s="38" t="s">
        <v>314</v>
      </c>
      <c r="B1700" s="38" t="s">
        <v>2776</v>
      </c>
      <c r="C1700" s="38" t="s">
        <v>2775</v>
      </c>
      <c r="D1700" s="38" t="s">
        <v>2334</v>
      </c>
      <c r="E1700" s="44" t="str">
        <f>IFERROR(VLOOKUP(D1700,SUBCONTRATOS_PRY!A:B,2,FALSE()),"?")</f>
        <v xml:space="preserve">Gabinete columna 2 modulos trifasico Edesur </v>
      </c>
      <c r="F1700" s="44" t="s">
        <v>2778</v>
      </c>
      <c r="G1700" s="45">
        <v>1</v>
      </c>
      <c r="H1700" s="46">
        <v>0</v>
      </c>
      <c r="I1700" s="47">
        <f>IFERROR(VLOOKUP(D1700,SUBCONTRATOS_PRY!A:D,4,FALSE()),0)</f>
        <v>92822.1</v>
      </c>
      <c r="J1700" s="42">
        <f>G1700*I1700</f>
        <v>92822.1</v>
      </c>
      <c r="K1700" s="15" t="str">
        <f t="shared" si="190"/>
        <v>PTO-1831|MO</v>
      </c>
      <c r="L1700" s="15">
        <f>COUNTIFS($K$2:K1700,K1700)</f>
        <v>4</v>
      </c>
      <c r="M1700" s="15" t="str">
        <f t="shared" si="191"/>
        <v>PTO-1831|MO|4</v>
      </c>
      <c r="N1700" s="47">
        <f>IFERROR(VLOOKUP(A1700,PARTIDAS!A:F,6,FALSE()),0)</f>
        <v>1</v>
      </c>
      <c r="O1700" s="247">
        <f t="shared" si="192"/>
        <v>1</v>
      </c>
      <c r="P1700" s="247">
        <f>+_xlfn.XLOOKUP(A1700,PPTO_GENERADOR!Q:Q,PPTO_GENERADOR!E:E,"-",0)</f>
        <v>1</v>
      </c>
      <c r="Q1700" s="247">
        <f t="shared" si="193"/>
        <v>1</v>
      </c>
      <c r="R1700" s="259">
        <f>+_xlfn.XLOOKUP(A1700,PPTO_GENERADOR!$Q:$Q,PPTO_GENERADOR!A:A,"-",0)</f>
        <v>18.309999999999999</v>
      </c>
    </row>
    <row r="1701" spans="1:18" ht="14.25" customHeight="1" x14ac:dyDescent="0.35">
      <c r="A1701" s="38" t="s">
        <v>316</v>
      </c>
      <c r="B1701" s="38" t="s">
        <v>2773</v>
      </c>
      <c r="C1701" s="38"/>
      <c r="D1701" s="38" t="s">
        <v>2040</v>
      </c>
      <c r="E1701" s="44" t="str">
        <f>IFERROR(VLOOKUP(D1701,EQUIPOS!A:B,2,FALSE()),"?")</f>
        <v>Herramientas y consumibles - PTO-1832 Puesta tierra</v>
      </c>
      <c r="F1701" s="44"/>
      <c r="G1701" s="45">
        <v>1</v>
      </c>
      <c r="H1701" s="46">
        <v>0</v>
      </c>
      <c r="I1701" s="47">
        <f>IFERROR(VLOOKUP(D1701,EQUIPOS!A:F,6,FALSE()),0)</f>
        <v>10618.1041956769</v>
      </c>
      <c r="J1701" s="42">
        <f>G1701*I1701</f>
        <v>10618.1041956769</v>
      </c>
      <c r="K1701" s="15" t="str">
        <f t="shared" si="190"/>
        <v>PTO-1832|EQ</v>
      </c>
      <c r="L1701" s="15">
        <f>COUNTIFS($K$2:K1701,K1701)</f>
        <v>1</v>
      </c>
      <c r="M1701" s="15" t="str">
        <f t="shared" si="191"/>
        <v>PTO-1832|EQ|1</v>
      </c>
      <c r="N1701" s="47">
        <f>IFERROR(VLOOKUP(A1701,PARTIDAS!A:F,6,FALSE()),0)</f>
        <v>1</v>
      </c>
      <c r="O1701" s="247">
        <f t="shared" si="192"/>
        <v>1</v>
      </c>
      <c r="P1701" s="247">
        <f>+_xlfn.XLOOKUP(A1701,PPTO_GENERADOR!Q:Q,PPTO_GENERADOR!E:E,"-",0)</f>
        <v>1</v>
      </c>
      <c r="Q1701" s="247">
        <f t="shared" si="193"/>
        <v>1</v>
      </c>
      <c r="R1701" s="259">
        <f>+_xlfn.XLOOKUP(A1701,PPTO_GENERADOR!$Q:$Q,PPTO_GENERADOR!A:A,"-",0)</f>
        <v>18.32</v>
      </c>
    </row>
    <row r="1702" spans="1:18" ht="14.25" customHeight="1" x14ac:dyDescent="0.35">
      <c r="A1702" s="38" t="s">
        <v>316</v>
      </c>
      <c r="B1702" s="38" t="s">
        <v>2774</v>
      </c>
      <c r="C1702" s="38" t="s">
        <v>2775</v>
      </c>
      <c r="D1702" s="38" t="s">
        <v>1361</v>
      </c>
      <c r="E1702" s="44" t="str">
        <f>IFERROR(VLOOKUP(D1702,MATERIALES!A:B,2,FALSE()),"?")</f>
        <v>Consumibles</v>
      </c>
      <c r="F1702" s="44" t="str">
        <f>IFERROR(VLOOKUP(D1702,MATERIALES!A:C,3,FALSE()),"?")</f>
        <v>gl</v>
      </c>
      <c r="G1702" s="45">
        <v>95009.658800000005</v>
      </c>
      <c r="H1702" s="46">
        <v>0</v>
      </c>
      <c r="I1702" s="47">
        <f>IFERROR(VLOOKUP(D1702,MATERIALES!A:D,4,FALSE()),0)</f>
        <v>1</v>
      </c>
      <c r="J1702" s="42">
        <f>G1702*I1702*(1+H1702)</f>
        <v>95009.658800000005</v>
      </c>
      <c r="K1702" s="15" t="str">
        <f t="shared" si="190"/>
        <v>PTO-1832|MAT</v>
      </c>
      <c r="L1702" s="15">
        <f>COUNTIFS($K$2:K1702,K1702)</f>
        <v>1</v>
      </c>
      <c r="M1702" s="15" t="str">
        <f t="shared" si="191"/>
        <v>PTO-1832|MAT|1</v>
      </c>
      <c r="N1702" s="47">
        <f>IFERROR(VLOOKUP(A1702,PARTIDAS!A:F,6,FALSE()),0)</f>
        <v>1</v>
      </c>
      <c r="O1702" s="247">
        <f t="shared" si="192"/>
        <v>95009.658800000005</v>
      </c>
      <c r="P1702" s="247">
        <f>+_xlfn.XLOOKUP(A1702,PPTO_GENERADOR!Q:Q,PPTO_GENERADOR!E:E,"-",0)</f>
        <v>1</v>
      </c>
      <c r="Q1702" s="247">
        <f t="shared" si="193"/>
        <v>95009.658800000005</v>
      </c>
      <c r="R1702" s="259">
        <f>+_xlfn.XLOOKUP(A1702,PPTO_GENERADOR!$Q:$Q,PPTO_GENERADOR!A:A,"-",0)</f>
        <v>18.32</v>
      </c>
    </row>
    <row r="1703" spans="1:18" ht="14.25" customHeight="1" x14ac:dyDescent="0.35">
      <c r="A1703" s="38" t="s">
        <v>316</v>
      </c>
      <c r="B1703" s="38" t="s">
        <v>2774</v>
      </c>
      <c r="C1703" s="38" t="s">
        <v>2775</v>
      </c>
      <c r="D1703" s="38" t="s">
        <v>1465</v>
      </c>
      <c r="E1703" s="44" t="str">
        <f>IFERROR(VLOOKUP(D1703,MATERIALES!A:B,2,FALSE()),"?")</f>
        <v>M COBRE DESNUDO 7H 25MM (1 x 25 desnudo)</v>
      </c>
      <c r="F1703" s="44" t="str">
        <f>IFERROR(VLOOKUP(D1703,MATERIALES!A:C,3,FALSE()),"?")</f>
        <v>ml</v>
      </c>
      <c r="G1703" s="45">
        <v>75</v>
      </c>
      <c r="H1703" s="46">
        <v>0</v>
      </c>
      <c r="I1703" s="47">
        <f>IFERROR(VLOOKUP(D1703,MATERIALES!A:D,4,FALSE()),0)</f>
        <v>4462.8099173553701</v>
      </c>
      <c r="J1703" s="42">
        <f>G1703*I1703*(1+H1703)</f>
        <v>334710.74380165274</v>
      </c>
      <c r="K1703" s="15" t="str">
        <f t="shared" si="190"/>
        <v>PTO-1832|MAT</v>
      </c>
      <c r="L1703" s="15">
        <f>COUNTIFS($K$2:K1703,K1703)</f>
        <v>2</v>
      </c>
      <c r="M1703" s="15" t="str">
        <f t="shared" si="191"/>
        <v>PTO-1832|MAT|2</v>
      </c>
      <c r="N1703" s="47">
        <f>IFERROR(VLOOKUP(A1703,PARTIDAS!A:F,6,FALSE()),0)</f>
        <v>1</v>
      </c>
      <c r="O1703" s="247">
        <f t="shared" si="192"/>
        <v>75</v>
      </c>
      <c r="P1703" s="247">
        <f>+_xlfn.XLOOKUP(A1703,PPTO_GENERADOR!Q:Q,PPTO_GENERADOR!E:E,"-",0)</f>
        <v>1</v>
      </c>
      <c r="Q1703" s="247">
        <f t="shared" si="193"/>
        <v>75</v>
      </c>
      <c r="R1703" s="259">
        <f>+_xlfn.XLOOKUP(A1703,PPTO_GENERADOR!$Q:$Q,PPTO_GENERADOR!A:A,"-",0)</f>
        <v>18.32</v>
      </c>
    </row>
    <row r="1704" spans="1:18" ht="14.25" customHeight="1" x14ac:dyDescent="0.35">
      <c r="A1704" s="38" t="s">
        <v>316</v>
      </c>
      <c r="B1704" s="38" t="s">
        <v>2774</v>
      </c>
      <c r="C1704" s="38" t="s">
        <v>2775</v>
      </c>
      <c r="D1704" s="38" t="s">
        <v>1468</v>
      </c>
      <c r="E1704" s="44" t="str">
        <f>IFERROR(VLOOKUP(D1704,MATERIALES!A:B,2,FALSE()),"?")</f>
        <v>CONDUWELD JAB ST 3/4 1.5M (Jabalina 3/4" x 1,5 m)</v>
      </c>
      <c r="F1704" s="44" t="str">
        <f>IFERROR(VLOOKUP(D1704,MATERIALES!A:C,3,FALSE()),"?")</f>
        <v>u</v>
      </c>
      <c r="G1704" s="45">
        <v>5</v>
      </c>
      <c r="H1704" s="46">
        <v>0</v>
      </c>
      <c r="I1704" s="47">
        <f>IFERROR(VLOOKUP(D1704,MATERIALES!A:D,4,FALSE()),0)</f>
        <v>26981.95</v>
      </c>
      <c r="J1704" s="42">
        <f>G1704*I1704*(1+H1704)</f>
        <v>134909.75</v>
      </c>
      <c r="K1704" s="15" t="str">
        <f t="shared" si="190"/>
        <v>PTO-1832|MAT</v>
      </c>
      <c r="L1704" s="15">
        <f>COUNTIFS($K$2:K1704,K1704)</f>
        <v>3</v>
      </c>
      <c r="M1704" s="15" t="str">
        <f t="shared" si="191"/>
        <v>PTO-1832|MAT|3</v>
      </c>
      <c r="N1704" s="47">
        <f>IFERROR(VLOOKUP(A1704,PARTIDAS!A:F,6,FALSE()),0)</f>
        <v>1</v>
      </c>
      <c r="O1704" s="247">
        <f t="shared" si="192"/>
        <v>5</v>
      </c>
      <c r="P1704" s="247">
        <f>+_xlfn.XLOOKUP(A1704,PPTO_GENERADOR!Q:Q,PPTO_GENERADOR!E:E,"-",0)</f>
        <v>1</v>
      </c>
      <c r="Q1704" s="247">
        <f t="shared" si="193"/>
        <v>5</v>
      </c>
      <c r="R1704" s="259">
        <f>+_xlfn.XLOOKUP(A1704,PPTO_GENERADOR!$Q:$Q,PPTO_GENERADOR!A:A,"-",0)</f>
        <v>18.32</v>
      </c>
    </row>
    <row r="1705" spans="1:18" ht="14.25" customHeight="1" x14ac:dyDescent="0.35">
      <c r="A1705" s="38" t="s">
        <v>316</v>
      </c>
      <c r="B1705" s="38" t="s">
        <v>2774</v>
      </c>
      <c r="C1705" s="38" t="s">
        <v>2775</v>
      </c>
      <c r="D1705" s="38" t="s">
        <v>1470</v>
      </c>
      <c r="E1705" s="44" t="str">
        <f>IFERROR(VLOOKUP(D1705,MATERIALES!A:B,2,FALSE()),"?")</f>
        <v>CAJA INSPECCION 15 x 15 PVC</v>
      </c>
      <c r="F1705" s="44" t="str">
        <f>IFERROR(VLOOKUP(D1705,MATERIALES!A:C,3,FALSE()),"?")</f>
        <v>u</v>
      </c>
      <c r="G1705" s="45">
        <v>5</v>
      </c>
      <c r="H1705" s="46">
        <v>0</v>
      </c>
      <c r="I1705" s="47">
        <f>IFERROR(VLOOKUP(D1705,MATERIALES!A:D,4,FALSE()),0)</f>
        <v>1085.56</v>
      </c>
      <c r="J1705" s="42">
        <f>G1705*I1705*(1+H1705)</f>
        <v>5427.7999999999993</v>
      </c>
      <c r="K1705" s="15" t="str">
        <f t="shared" si="190"/>
        <v>PTO-1832|MAT</v>
      </c>
      <c r="L1705" s="15">
        <f>COUNTIFS($K$2:K1705,K1705)</f>
        <v>4</v>
      </c>
      <c r="M1705" s="15" t="str">
        <f t="shared" si="191"/>
        <v>PTO-1832|MAT|4</v>
      </c>
      <c r="N1705" s="47">
        <f>IFERROR(VLOOKUP(A1705,PARTIDAS!A:F,6,FALSE()),0)</f>
        <v>1</v>
      </c>
      <c r="O1705" s="247">
        <f t="shared" si="192"/>
        <v>5</v>
      </c>
      <c r="P1705" s="247">
        <f>+_xlfn.XLOOKUP(A1705,PPTO_GENERADOR!Q:Q,PPTO_GENERADOR!E:E,"-",0)</f>
        <v>1</v>
      </c>
      <c r="Q1705" s="247">
        <f t="shared" si="193"/>
        <v>5</v>
      </c>
      <c r="R1705" s="259">
        <f>+_xlfn.XLOOKUP(A1705,PPTO_GENERADOR!$Q:$Q,PPTO_GENERADOR!A:A,"-",0)</f>
        <v>18.32</v>
      </c>
    </row>
    <row r="1706" spans="1:18" ht="14.25" customHeight="1" x14ac:dyDescent="0.35">
      <c r="A1706" s="38" t="s">
        <v>316</v>
      </c>
      <c r="B1706" s="38" t="s">
        <v>2776</v>
      </c>
      <c r="C1706" s="38" t="s">
        <v>2775</v>
      </c>
      <c r="D1706" s="38" t="s">
        <v>2200</v>
      </c>
      <c r="E1706" s="44" t="str">
        <f>IFERROR(VLOOKUP(D1706,SUBCONTRATOS_PRY!A:B,2,FALSE()),"?")</f>
        <v>PAT de Servicio</v>
      </c>
      <c r="F1706" s="44" t="s">
        <v>2778</v>
      </c>
      <c r="G1706" s="45">
        <v>5</v>
      </c>
      <c r="H1706" s="46">
        <v>0</v>
      </c>
      <c r="I1706" s="47">
        <f>IFERROR(VLOOKUP(D1706,SUBCONTRATOS_PRY!A:D,4,FALSE()),0)</f>
        <v>64652.7</v>
      </c>
      <c r="J1706" s="42">
        <f>G1706*I1706</f>
        <v>323263.5</v>
      </c>
      <c r="K1706" s="15" t="str">
        <f t="shared" si="190"/>
        <v>PTO-1832|MO</v>
      </c>
      <c r="L1706" s="15">
        <f>COUNTIFS($K$2:K1706,K1706)</f>
        <v>1</v>
      </c>
      <c r="M1706" s="15" t="str">
        <f t="shared" si="191"/>
        <v>PTO-1832|MO|1</v>
      </c>
      <c r="N1706" s="47">
        <f>IFERROR(VLOOKUP(A1706,PARTIDAS!A:F,6,FALSE()),0)</f>
        <v>1</v>
      </c>
      <c r="O1706" s="247">
        <f t="shared" si="192"/>
        <v>5</v>
      </c>
      <c r="P1706" s="247">
        <f>+_xlfn.XLOOKUP(A1706,PPTO_GENERADOR!Q:Q,PPTO_GENERADOR!E:E,"-",0)</f>
        <v>1</v>
      </c>
      <c r="Q1706" s="247">
        <f t="shared" si="193"/>
        <v>5</v>
      </c>
      <c r="R1706" s="259">
        <f>+_xlfn.XLOOKUP(A1706,PPTO_GENERADOR!$Q:$Q,PPTO_GENERADOR!A:A,"-",0)</f>
        <v>18.32</v>
      </c>
    </row>
    <row r="1707" spans="1:18" ht="14.25" customHeight="1" x14ac:dyDescent="0.35">
      <c r="A1707" s="38" t="s">
        <v>319</v>
      </c>
      <c r="B1707" s="38" t="s">
        <v>2776</v>
      </c>
      <c r="C1707" s="38" t="s">
        <v>2775</v>
      </c>
      <c r="D1707" s="38" t="s">
        <v>2339</v>
      </c>
      <c r="E1707" s="44" t="str">
        <f>IFERROR(VLOOKUP(D1707,SUBCONTRATOS_PRY!A:B,2,FALSE()),"?")</f>
        <v>MO Certificado DCI para servicios generales [SUBCONTRATOS]</v>
      </c>
      <c r="F1707" s="44" t="s">
        <v>2778</v>
      </c>
      <c r="G1707" s="45">
        <v>1</v>
      </c>
      <c r="H1707" s="46">
        <v>0</v>
      </c>
      <c r="I1707" s="47">
        <f>IFERROR(VLOOKUP(D1707,SUBCONTRATOS_PRY!A:D,4,FALSE()),0)</f>
        <v>107023.598877166</v>
      </c>
      <c r="J1707" s="42">
        <f>G1707*I1707</f>
        <v>107023.598877166</v>
      </c>
      <c r="K1707" s="15" t="str">
        <f t="shared" si="190"/>
        <v>PTO-1833|MO</v>
      </c>
      <c r="L1707" s="15">
        <f>COUNTIFS($K$2:K1707,K1707)</f>
        <v>1</v>
      </c>
      <c r="M1707" s="15" t="str">
        <f t="shared" si="191"/>
        <v>PTO-1833|MO|1</v>
      </c>
      <c r="N1707" s="47">
        <f>IFERROR(VLOOKUP(A1707,PARTIDAS!A:F,6,FALSE()),0)</f>
        <v>1</v>
      </c>
      <c r="O1707" s="247">
        <f t="shared" si="192"/>
        <v>1</v>
      </c>
      <c r="P1707" s="247">
        <f>+_xlfn.XLOOKUP(A1707,PPTO_GENERADOR!Q:Q,PPTO_GENERADOR!E:E,"-",0)</f>
        <v>1</v>
      </c>
      <c r="Q1707" s="247">
        <f t="shared" si="193"/>
        <v>1</v>
      </c>
      <c r="R1707" s="259">
        <f>+_xlfn.XLOOKUP(A1707,PPTO_GENERADOR!$Q:$Q,PPTO_GENERADOR!A:A,"-",0)</f>
        <v>18.329999999999998</v>
      </c>
    </row>
    <row r="1708" spans="1:18" ht="14.25" customHeight="1" x14ac:dyDescent="0.35">
      <c r="A1708" s="38" t="s">
        <v>321</v>
      </c>
      <c r="B1708" s="38" t="s">
        <v>2773</v>
      </c>
      <c r="C1708" s="38"/>
      <c r="D1708" s="38" t="s">
        <v>1953</v>
      </c>
      <c r="E1708" s="44" t="str">
        <f>IFERROR(VLOOKUP(D1708,EQUIPOS!A:B,2,FALSE()),"?")</f>
        <v>Herramientas menores y consumibles - Tendido caño cloacal en planta baja</v>
      </c>
      <c r="F1708" s="44"/>
      <c r="G1708" s="45">
        <v>1</v>
      </c>
      <c r="H1708" s="46">
        <v>0</v>
      </c>
      <c r="I1708" s="47">
        <f>IFERROR(VLOOKUP(D1708,EQUIPOS!A:F,6,FALSE()),0)</f>
        <v>75335.457966240298</v>
      </c>
      <c r="J1708" s="42">
        <f>G1708*I1708</f>
        <v>75335.457966240298</v>
      </c>
      <c r="K1708" s="15" t="str">
        <f t="shared" si="190"/>
        <v>PTO-1901|EQ</v>
      </c>
      <c r="L1708" s="15">
        <f>COUNTIFS($K$2:K1708,K1708)</f>
        <v>1</v>
      </c>
      <c r="M1708" s="15" t="str">
        <f t="shared" si="191"/>
        <v>PTO-1901|EQ|1</v>
      </c>
      <c r="N1708" s="47">
        <f>IFERROR(VLOOKUP(A1708,PARTIDAS!A:F,6,FALSE()),0)</f>
        <v>1</v>
      </c>
      <c r="O1708" s="247">
        <f t="shared" si="192"/>
        <v>1</v>
      </c>
      <c r="P1708" s="247">
        <f>+_xlfn.XLOOKUP(A1708,PPTO_GENERADOR!Q:Q,PPTO_GENERADOR!E:E,"-",0)</f>
        <v>1</v>
      </c>
      <c r="Q1708" s="247">
        <f t="shared" si="193"/>
        <v>1</v>
      </c>
      <c r="R1708" s="259">
        <f>+_xlfn.XLOOKUP(A1708,PPTO_GENERADOR!$Q:$Q,PPTO_GENERADOR!A:A,"-",0)</f>
        <v>19.010000000000002</v>
      </c>
    </row>
    <row r="1709" spans="1:18" ht="14.25" customHeight="1" x14ac:dyDescent="0.35">
      <c r="A1709" s="38" t="s">
        <v>321</v>
      </c>
      <c r="B1709" s="38" t="s">
        <v>2774</v>
      </c>
      <c r="C1709" s="38" t="s">
        <v>2775</v>
      </c>
      <c r="D1709" s="38" t="s">
        <v>1283</v>
      </c>
      <c r="E1709" s="44" t="str">
        <f>IFERROR(VLOOKUP(D1709,MATERIALES!A:B,2,FALSE()),"?")</f>
        <v>Tendido caño cloacal en planta baja [CLOACAL]</v>
      </c>
      <c r="F1709" s="44" t="str">
        <f>IFERROR(VLOOKUP(D1709,MATERIALES!A:C,3,FALSE()),"?")</f>
        <v>gl</v>
      </c>
      <c r="G1709" s="45">
        <v>1</v>
      </c>
      <c r="H1709" s="46">
        <v>0</v>
      </c>
      <c r="I1709" s="47">
        <f>IFERROR(VLOOKUP(D1709,MATERIALES!A:D,4,FALSE()),0)</f>
        <v>2201631.50655</v>
      </c>
      <c r="J1709" s="42">
        <f>G1709*I1709*(1+H1709)</f>
        <v>2201631.50655</v>
      </c>
      <c r="K1709" s="15" t="str">
        <f t="shared" si="190"/>
        <v>PTO-1901|MAT</v>
      </c>
      <c r="L1709" s="15">
        <f>COUNTIFS($K$2:K1709,K1709)</f>
        <v>1</v>
      </c>
      <c r="M1709" s="15" t="str">
        <f t="shared" si="191"/>
        <v>PTO-1901|MAT|1</v>
      </c>
      <c r="N1709" s="47">
        <f>IFERROR(VLOOKUP(A1709,PARTIDAS!A:F,6,FALSE()),0)</f>
        <v>1</v>
      </c>
      <c r="O1709" s="247">
        <f t="shared" si="192"/>
        <v>1</v>
      </c>
      <c r="P1709" s="247">
        <f>+_xlfn.XLOOKUP(A1709,PPTO_GENERADOR!Q:Q,PPTO_GENERADOR!E:E,"-",0)</f>
        <v>1</v>
      </c>
      <c r="Q1709" s="247">
        <f t="shared" si="193"/>
        <v>1</v>
      </c>
      <c r="R1709" s="259">
        <f>+_xlfn.XLOOKUP(A1709,PPTO_GENERADOR!$Q:$Q,PPTO_GENERADOR!A:A,"-",0)</f>
        <v>19.010000000000002</v>
      </c>
    </row>
    <row r="1710" spans="1:18" ht="14.25" customHeight="1" x14ac:dyDescent="0.35">
      <c r="A1710" s="38" t="s">
        <v>321</v>
      </c>
      <c r="B1710" s="38" t="s">
        <v>2776</v>
      </c>
      <c r="C1710" s="38" t="s">
        <v>2775</v>
      </c>
      <c r="D1710" s="38" t="s">
        <v>2341</v>
      </c>
      <c r="E1710" s="44" t="str">
        <f>IFERROR(VLOOKUP(D1710,SUBCONTRATOS_PRY!A:B,2,FALSE()),"?")</f>
        <v>MO Tendido caño cloacal en planta baja [CLOACAL]</v>
      </c>
      <c r="F1710" s="44" t="s">
        <v>2778</v>
      </c>
      <c r="G1710" s="45">
        <v>1</v>
      </c>
      <c r="H1710" s="46">
        <v>0</v>
      </c>
      <c r="I1710" s="47">
        <f>IFERROR(VLOOKUP(D1710,SUBCONTRATOS_PRY!A:D,4,FALSE()),0)</f>
        <v>2820732.3578660199</v>
      </c>
      <c r="J1710" s="42">
        <f>G1710*I1710</f>
        <v>2820732.3578660199</v>
      </c>
      <c r="K1710" s="15" t="str">
        <f t="shared" si="190"/>
        <v>PTO-1901|MO</v>
      </c>
      <c r="L1710" s="15">
        <f>COUNTIFS($K$2:K1710,K1710)</f>
        <v>1</v>
      </c>
      <c r="M1710" s="15" t="str">
        <f t="shared" si="191"/>
        <v>PTO-1901|MO|1</v>
      </c>
      <c r="N1710" s="47">
        <f>IFERROR(VLOOKUP(A1710,PARTIDAS!A:F,6,FALSE()),0)</f>
        <v>1</v>
      </c>
      <c r="O1710" s="247">
        <f t="shared" si="192"/>
        <v>1</v>
      </c>
      <c r="P1710" s="247">
        <f>+_xlfn.XLOOKUP(A1710,PPTO_GENERADOR!Q:Q,PPTO_GENERADOR!E:E,"-",0)</f>
        <v>1</v>
      </c>
      <c r="Q1710" s="247">
        <f t="shared" si="193"/>
        <v>1</v>
      </c>
      <c r="R1710" s="259">
        <f>+_xlfn.XLOOKUP(A1710,PPTO_GENERADOR!$Q:$Q,PPTO_GENERADOR!A:A,"-",0)</f>
        <v>19.010000000000002</v>
      </c>
    </row>
    <row r="1711" spans="1:18" ht="14.25" customHeight="1" x14ac:dyDescent="0.35">
      <c r="A1711" s="38" t="s">
        <v>323</v>
      </c>
      <c r="B1711" s="38" t="s">
        <v>2773</v>
      </c>
      <c r="C1711" s="38"/>
      <c r="D1711" s="38" t="s">
        <v>1956</v>
      </c>
      <c r="E1711" s="44" t="str">
        <f>IFERROR(VLOOKUP(D1711,EQUIPOS!A:B,2,FALSE()),"?")</f>
        <v>Herramientas menores y consumibles - Por armar CDV en planta tipo</v>
      </c>
      <c r="F1711" s="44"/>
      <c r="G1711" s="45">
        <v>1</v>
      </c>
      <c r="H1711" s="46">
        <v>0</v>
      </c>
      <c r="I1711" s="47">
        <f>IFERROR(VLOOKUP(D1711,EQUIPOS!A:F,6,FALSE()),0)</f>
        <v>105926.51424973601</v>
      </c>
      <c r="J1711" s="42">
        <f>G1711*I1711</f>
        <v>105926.51424973601</v>
      </c>
      <c r="K1711" s="15" t="str">
        <f t="shared" si="190"/>
        <v>PTO-1902|EQ</v>
      </c>
      <c r="L1711" s="15">
        <f>COUNTIFS($K$2:K1711,K1711)</f>
        <v>1</v>
      </c>
      <c r="M1711" s="15" t="str">
        <f t="shared" si="191"/>
        <v>PTO-1902|EQ|1</v>
      </c>
      <c r="N1711" s="47">
        <f>IFERROR(VLOOKUP(A1711,PARTIDAS!A:F,6,FALSE()),0)</f>
        <v>1</v>
      </c>
      <c r="O1711" s="247">
        <f t="shared" si="192"/>
        <v>1</v>
      </c>
      <c r="P1711" s="247">
        <f>+_xlfn.XLOOKUP(A1711,PPTO_GENERADOR!Q:Q,PPTO_GENERADOR!E:E,"-",0)</f>
        <v>1</v>
      </c>
      <c r="Q1711" s="247">
        <f t="shared" si="193"/>
        <v>1</v>
      </c>
      <c r="R1711" s="259">
        <f>+_xlfn.XLOOKUP(A1711,PPTO_GENERADOR!$Q:$Q,PPTO_GENERADOR!A:A,"-",0)</f>
        <v>19.02</v>
      </c>
    </row>
    <row r="1712" spans="1:18" ht="14.25" customHeight="1" x14ac:dyDescent="0.35">
      <c r="A1712" s="38" t="s">
        <v>323</v>
      </c>
      <c r="B1712" s="38" t="s">
        <v>2774</v>
      </c>
      <c r="C1712" s="38" t="s">
        <v>2775</v>
      </c>
      <c r="D1712" s="38" t="s">
        <v>1286</v>
      </c>
      <c r="E1712" s="44" t="str">
        <f>IFERROR(VLOOKUP(D1712,MATERIALES!A:B,2,FALSE()),"?")</f>
        <v>Por armar CDV en planta tipo [CLOACAL]</v>
      </c>
      <c r="F1712" s="44" t="str">
        <f>IFERROR(VLOOKUP(D1712,MATERIALES!A:C,3,FALSE()),"?")</f>
        <v>gl</v>
      </c>
      <c r="G1712" s="45">
        <v>1</v>
      </c>
      <c r="H1712" s="46">
        <v>0</v>
      </c>
      <c r="I1712" s="47">
        <f>IFERROR(VLOOKUP(D1712,MATERIALES!A:D,4,FALSE()),0)</f>
        <v>2830669.0798499999</v>
      </c>
      <c r="J1712" s="42">
        <f>G1712*I1712*(1+H1712)</f>
        <v>2830669.0798499999</v>
      </c>
      <c r="K1712" s="15" t="str">
        <f t="shared" si="190"/>
        <v>PTO-1902|MAT</v>
      </c>
      <c r="L1712" s="15">
        <f>COUNTIFS($K$2:K1712,K1712)</f>
        <v>1</v>
      </c>
      <c r="M1712" s="15" t="str">
        <f t="shared" si="191"/>
        <v>PTO-1902|MAT|1</v>
      </c>
      <c r="N1712" s="47">
        <f>IFERROR(VLOOKUP(A1712,PARTIDAS!A:F,6,FALSE()),0)</f>
        <v>1</v>
      </c>
      <c r="O1712" s="247">
        <f t="shared" si="192"/>
        <v>1</v>
      </c>
      <c r="P1712" s="247">
        <f>+_xlfn.XLOOKUP(A1712,PPTO_GENERADOR!Q:Q,PPTO_GENERADOR!E:E,"-",0)</f>
        <v>1</v>
      </c>
      <c r="Q1712" s="247">
        <f t="shared" si="193"/>
        <v>1</v>
      </c>
      <c r="R1712" s="259">
        <f>+_xlfn.XLOOKUP(A1712,PPTO_GENERADOR!$Q:$Q,PPTO_GENERADOR!A:A,"-",0)</f>
        <v>19.02</v>
      </c>
    </row>
    <row r="1713" spans="1:18" ht="14.25" customHeight="1" x14ac:dyDescent="0.35">
      <c r="A1713" s="38" t="s">
        <v>323</v>
      </c>
      <c r="B1713" s="38" t="s">
        <v>2776</v>
      </c>
      <c r="C1713" s="38" t="s">
        <v>2775</v>
      </c>
      <c r="D1713" s="38" t="s">
        <v>2343</v>
      </c>
      <c r="E1713" s="44" t="str">
        <f>IFERROR(VLOOKUP(D1713,SUBCONTRATOS_PRY!A:B,2,FALSE()),"?")</f>
        <v>MO Por armar CDV en planta tipo [CLOACAL]</v>
      </c>
      <c r="F1713" s="44" t="s">
        <v>2778</v>
      </c>
      <c r="G1713" s="45">
        <v>1</v>
      </c>
      <c r="H1713" s="46">
        <v>0</v>
      </c>
      <c r="I1713" s="47">
        <f>IFERROR(VLOOKUP(D1713,SUBCONTRATOS_PRY!A:D,4,FALSE()),0)</f>
        <v>4231098.5367990304</v>
      </c>
      <c r="J1713" s="42">
        <f>G1713*I1713</f>
        <v>4231098.5367990304</v>
      </c>
      <c r="K1713" s="15" t="str">
        <f t="shared" si="190"/>
        <v>PTO-1902|MO</v>
      </c>
      <c r="L1713" s="15">
        <f>COUNTIFS($K$2:K1713,K1713)</f>
        <v>1</v>
      </c>
      <c r="M1713" s="15" t="str">
        <f t="shared" si="191"/>
        <v>PTO-1902|MO|1</v>
      </c>
      <c r="N1713" s="47">
        <f>IFERROR(VLOOKUP(A1713,PARTIDAS!A:F,6,FALSE()),0)</f>
        <v>1</v>
      </c>
      <c r="O1713" s="247">
        <f t="shared" si="192"/>
        <v>1</v>
      </c>
      <c r="P1713" s="247">
        <f>+_xlfn.XLOOKUP(A1713,PPTO_GENERADOR!Q:Q,PPTO_GENERADOR!E:E,"-",0)</f>
        <v>1</v>
      </c>
      <c r="Q1713" s="247">
        <f t="shared" si="193"/>
        <v>1</v>
      </c>
      <c r="R1713" s="259">
        <f>+_xlfn.XLOOKUP(A1713,PPTO_GENERADOR!$Q:$Q,PPTO_GENERADOR!A:A,"-",0)</f>
        <v>19.02</v>
      </c>
    </row>
    <row r="1714" spans="1:18" ht="14.25" customHeight="1" x14ac:dyDescent="0.35">
      <c r="A1714" s="38" t="s">
        <v>325</v>
      </c>
      <c r="B1714" s="38" t="s">
        <v>2773</v>
      </c>
      <c r="C1714" s="38"/>
      <c r="D1714" s="38" t="s">
        <v>1959</v>
      </c>
      <c r="E1714" s="44" t="str">
        <f>IFERROR(VLOOKUP(D1714,EQUIPOS!A:B,2,FALSE()),"?")</f>
        <v>Herramientas menores y consumibles - Montantes, remate y ventilación a los 4 vientos</v>
      </c>
      <c r="F1714" s="44"/>
      <c r="G1714" s="45">
        <v>1</v>
      </c>
      <c r="H1714" s="46">
        <v>0</v>
      </c>
      <c r="I1714" s="47">
        <f>IFERROR(VLOOKUP(D1714,EQUIPOS!A:F,6,FALSE()),0)</f>
        <v>54130.281672325298</v>
      </c>
      <c r="J1714" s="42">
        <f>G1714*I1714</f>
        <v>54130.281672325298</v>
      </c>
      <c r="K1714" s="15" t="str">
        <f t="shared" si="190"/>
        <v>PTO-1903|EQ</v>
      </c>
      <c r="L1714" s="15">
        <f>COUNTIFS($K$2:K1714,K1714)</f>
        <v>1</v>
      </c>
      <c r="M1714" s="15" t="str">
        <f t="shared" si="191"/>
        <v>PTO-1903|EQ|1</v>
      </c>
      <c r="N1714" s="47">
        <f>IFERROR(VLOOKUP(A1714,PARTIDAS!A:F,6,FALSE()),0)</f>
        <v>1</v>
      </c>
      <c r="O1714" s="247">
        <f t="shared" si="192"/>
        <v>1</v>
      </c>
      <c r="P1714" s="247">
        <f>+_xlfn.XLOOKUP(A1714,PPTO_GENERADOR!Q:Q,PPTO_GENERADOR!E:E,"-",0)</f>
        <v>1</v>
      </c>
      <c r="Q1714" s="247">
        <f t="shared" si="193"/>
        <v>1</v>
      </c>
      <c r="R1714" s="259">
        <f>+_xlfn.XLOOKUP(A1714,PPTO_GENERADOR!$Q:$Q,PPTO_GENERADOR!A:A,"-",0)</f>
        <v>19.03</v>
      </c>
    </row>
    <row r="1715" spans="1:18" ht="14.25" customHeight="1" x14ac:dyDescent="0.35">
      <c r="A1715" s="38" t="s">
        <v>325</v>
      </c>
      <c r="B1715" s="38" t="s">
        <v>2774</v>
      </c>
      <c r="C1715" s="38" t="s">
        <v>2775</v>
      </c>
      <c r="D1715" s="38" t="s">
        <v>1288</v>
      </c>
      <c r="E1715" s="44" t="str">
        <f>IFERROR(VLOOKUP(D1715,MATERIALES!A:B,2,FALSE()),"?")</f>
        <v>Montantes, remate y ventilación a los 4 vientos [CLOACAL]</v>
      </c>
      <c r="F1715" s="44" t="str">
        <f>IFERROR(VLOOKUP(D1715,MATERIALES!A:C,3,FALSE()),"?")</f>
        <v>gl</v>
      </c>
      <c r="G1715" s="45">
        <v>1</v>
      </c>
      <c r="H1715" s="46">
        <v>0</v>
      </c>
      <c r="I1715" s="47">
        <f>IFERROR(VLOOKUP(D1715,MATERIALES!A:D,4,FALSE()),0)</f>
        <v>1258075.1466000001</v>
      </c>
      <c r="J1715" s="42">
        <f>G1715*I1715*(1+H1715)</f>
        <v>1258075.1466000001</v>
      </c>
      <c r="K1715" s="15" t="str">
        <f t="shared" si="190"/>
        <v>PTO-1903|MAT</v>
      </c>
      <c r="L1715" s="15">
        <f>COUNTIFS($K$2:K1715,K1715)</f>
        <v>1</v>
      </c>
      <c r="M1715" s="15" t="str">
        <f t="shared" si="191"/>
        <v>PTO-1903|MAT|1</v>
      </c>
      <c r="N1715" s="47">
        <f>IFERROR(VLOOKUP(A1715,PARTIDAS!A:F,6,FALSE()),0)</f>
        <v>1</v>
      </c>
      <c r="O1715" s="247">
        <f t="shared" si="192"/>
        <v>1</v>
      </c>
      <c r="P1715" s="247">
        <f>+_xlfn.XLOOKUP(A1715,PPTO_GENERADOR!Q:Q,PPTO_GENERADOR!E:E,"-",0)</f>
        <v>1</v>
      </c>
      <c r="Q1715" s="247">
        <f t="shared" si="193"/>
        <v>1</v>
      </c>
      <c r="R1715" s="259">
        <f>+_xlfn.XLOOKUP(A1715,PPTO_GENERADOR!$Q:$Q,PPTO_GENERADOR!A:A,"-",0)</f>
        <v>19.03</v>
      </c>
    </row>
    <row r="1716" spans="1:18" ht="14.25" customHeight="1" x14ac:dyDescent="0.35">
      <c r="A1716" s="38" t="s">
        <v>325</v>
      </c>
      <c r="B1716" s="38" t="s">
        <v>2776</v>
      </c>
      <c r="C1716" s="38" t="s">
        <v>2775</v>
      </c>
      <c r="D1716" s="38" t="s">
        <v>2345</v>
      </c>
      <c r="E1716" s="44" t="str">
        <f>IFERROR(VLOOKUP(D1716,SUBCONTRATOS_PRY!A:B,2,FALSE()),"?")</f>
        <v>MO Montantes, remate y ventilación a los 4 vientos [CLOACAL]</v>
      </c>
      <c r="F1716" s="44" t="s">
        <v>2778</v>
      </c>
      <c r="G1716" s="45">
        <v>1</v>
      </c>
      <c r="H1716" s="46">
        <v>0</v>
      </c>
      <c r="I1716" s="47">
        <f>IFERROR(VLOOKUP(D1716,SUBCONTRATOS_PRY!A:D,4,FALSE()),0)</f>
        <v>2350610.2982216901</v>
      </c>
      <c r="J1716" s="42">
        <f>G1716*I1716</f>
        <v>2350610.2982216901</v>
      </c>
      <c r="K1716" s="15" t="str">
        <f t="shared" si="190"/>
        <v>PTO-1903|MO</v>
      </c>
      <c r="L1716" s="15">
        <f>COUNTIFS($K$2:K1716,K1716)</f>
        <v>1</v>
      </c>
      <c r="M1716" s="15" t="str">
        <f t="shared" si="191"/>
        <v>PTO-1903|MO|1</v>
      </c>
      <c r="N1716" s="47">
        <f>IFERROR(VLOOKUP(A1716,PARTIDAS!A:F,6,FALSE()),0)</f>
        <v>1</v>
      </c>
      <c r="O1716" s="247">
        <f t="shared" si="192"/>
        <v>1</v>
      </c>
      <c r="P1716" s="247">
        <f>+_xlfn.XLOOKUP(A1716,PPTO_GENERADOR!Q:Q,PPTO_GENERADOR!E:E,"-",0)</f>
        <v>1</v>
      </c>
      <c r="Q1716" s="247">
        <f t="shared" si="193"/>
        <v>1</v>
      </c>
      <c r="R1716" s="259">
        <f>+_xlfn.XLOOKUP(A1716,PPTO_GENERADOR!$Q:$Q,PPTO_GENERADOR!A:A,"-",0)</f>
        <v>19.03</v>
      </c>
    </row>
    <row r="1717" spans="1:18" ht="14.25" customHeight="1" x14ac:dyDescent="0.35">
      <c r="A1717" s="38" t="s">
        <v>327</v>
      </c>
      <c r="B1717" s="38" t="s">
        <v>2773</v>
      </c>
      <c r="C1717" s="38"/>
      <c r="D1717" s="38" t="s">
        <v>1962</v>
      </c>
      <c r="E1717" s="44" t="str">
        <f>IFERROR(VLOOKUP(D1717,EQUIPOS!A:B,2,FALSE()),"?")</f>
        <v xml:space="preserve">Herramientas menores y consumibles - Tendido caño pluvial en planta baja </v>
      </c>
      <c r="F1717" s="44"/>
      <c r="G1717" s="45">
        <v>1</v>
      </c>
      <c r="H1717" s="46">
        <v>0</v>
      </c>
      <c r="I1717" s="47">
        <f>IFERROR(VLOOKUP(D1717,EQUIPOS!A:F,6,FALSE()),0)</f>
        <v>27462.429620301798</v>
      </c>
      <c r="J1717" s="42">
        <f>G1717*I1717</f>
        <v>27462.429620301798</v>
      </c>
      <c r="K1717" s="15" t="str">
        <f t="shared" si="190"/>
        <v>PTO-1904|EQ</v>
      </c>
      <c r="L1717" s="15">
        <f>COUNTIFS($K$2:K1717,K1717)</f>
        <v>1</v>
      </c>
      <c r="M1717" s="15" t="str">
        <f t="shared" si="191"/>
        <v>PTO-1904|EQ|1</v>
      </c>
      <c r="N1717" s="47">
        <f>IFERROR(VLOOKUP(A1717,PARTIDAS!A:F,6,FALSE()),0)</f>
        <v>1</v>
      </c>
      <c r="O1717" s="247">
        <f t="shared" si="192"/>
        <v>1</v>
      </c>
      <c r="P1717" s="247">
        <f>+_xlfn.XLOOKUP(A1717,PPTO_GENERADOR!Q:Q,PPTO_GENERADOR!E:E,"-",0)</f>
        <v>1</v>
      </c>
      <c r="Q1717" s="247">
        <f t="shared" si="193"/>
        <v>1</v>
      </c>
      <c r="R1717" s="259">
        <f>+_xlfn.XLOOKUP(A1717,PPTO_GENERADOR!$Q:$Q,PPTO_GENERADOR!A:A,"-",0)</f>
        <v>19.04</v>
      </c>
    </row>
    <row r="1718" spans="1:18" ht="14.25" customHeight="1" x14ac:dyDescent="0.35">
      <c r="A1718" s="38" t="s">
        <v>327</v>
      </c>
      <c r="B1718" s="38" t="s">
        <v>2774</v>
      </c>
      <c r="C1718" s="38" t="s">
        <v>2775</v>
      </c>
      <c r="D1718" s="38" t="s">
        <v>1290</v>
      </c>
      <c r="E1718" s="44" t="str">
        <f>IFERROR(VLOOKUP(D1718,MATERIALES!A:B,2,FALSE()),"?")</f>
        <v>Tendido caño pluvial en planta baja  [CLOACAL]</v>
      </c>
      <c r="F1718" s="44" t="str">
        <f>IFERROR(VLOOKUP(D1718,MATERIALES!A:C,3,FALSE()),"?")</f>
        <v>gl</v>
      </c>
      <c r="G1718" s="45">
        <v>1</v>
      </c>
      <c r="H1718" s="46">
        <v>0</v>
      </c>
      <c r="I1718" s="47">
        <f>IFERROR(VLOOKUP(D1718,MATERIALES!A:D,4,FALSE()),0)</f>
        <v>733877.16885000002</v>
      </c>
      <c r="J1718" s="42">
        <f>G1718*I1718*(1+H1718)</f>
        <v>733877.16885000002</v>
      </c>
      <c r="K1718" s="15" t="str">
        <f t="shared" si="190"/>
        <v>PTO-1904|MAT</v>
      </c>
      <c r="L1718" s="15">
        <f>COUNTIFS($K$2:K1718,K1718)</f>
        <v>1</v>
      </c>
      <c r="M1718" s="15" t="str">
        <f t="shared" si="191"/>
        <v>PTO-1904|MAT|1</v>
      </c>
      <c r="N1718" s="47">
        <f>IFERROR(VLOOKUP(A1718,PARTIDAS!A:F,6,FALSE()),0)</f>
        <v>1</v>
      </c>
      <c r="O1718" s="247">
        <f t="shared" si="192"/>
        <v>1</v>
      </c>
      <c r="P1718" s="247">
        <f>+_xlfn.XLOOKUP(A1718,PPTO_GENERADOR!Q:Q,PPTO_GENERADOR!E:E,"-",0)</f>
        <v>1</v>
      </c>
      <c r="Q1718" s="247">
        <f t="shared" si="193"/>
        <v>1</v>
      </c>
      <c r="R1718" s="259">
        <f>+_xlfn.XLOOKUP(A1718,PPTO_GENERADOR!$Q:$Q,PPTO_GENERADOR!A:A,"-",0)</f>
        <v>19.04</v>
      </c>
    </row>
    <row r="1719" spans="1:18" ht="14.25" customHeight="1" x14ac:dyDescent="0.35">
      <c r="A1719" s="38" t="s">
        <v>327</v>
      </c>
      <c r="B1719" s="38" t="s">
        <v>2776</v>
      </c>
      <c r="C1719" s="38" t="s">
        <v>2775</v>
      </c>
      <c r="D1719" s="38" t="s">
        <v>2347</v>
      </c>
      <c r="E1719" s="44" t="str">
        <f>IFERROR(VLOOKUP(D1719,SUBCONTRATOS_PRY!A:B,2,FALSE()),"?")</f>
        <v>MO Tendido caño pluvial en planta baja  [CLOACAL]</v>
      </c>
      <c r="F1719" s="44" t="s">
        <v>2778</v>
      </c>
      <c r="G1719" s="45">
        <v>1</v>
      </c>
      <c r="H1719" s="46">
        <v>0</v>
      </c>
      <c r="I1719" s="47">
        <f>IFERROR(VLOOKUP(D1719,SUBCONTRATOS_PRY!A:D,4,FALSE()),0)</f>
        <v>1096951.47250345</v>
      </c>
      <c r="J1719" s="42">
        <f>G1719*I1719</f>
        <v>1096951.47250345</v>
      </c>
      <c r="K1719" s="15" t="str">
        <f t="shared" si="190"/>
        <v>PTO-1904|MO</v>
      </c>
      <c r="L1719" s="15">
        <f>COUNTIFS($K$2:K1719,K1719)</f>
        <v>1</v>
      </c>
      <c r="M1719" s="15" t="str">
        <f t="shared" si="191"/>
        <v>PTO-1904|MO|1</v>
      </c>
      <c r="N1719" s="47">
        <f>IFERROR(VLOOKUP(A1719,PARTIDAS!A:F,6,FALSE()),0)</f>
        <v>1</v>
      </c>
      <c r="O1719" s="247">
        <f t="shared" si="192"/>
        <v>1</v>
      </c>
      <c r="P1719" s="247">
        <f>+_xlfn.XLOOKUP(A1719,PPTO_GENERADOR!Q:Q,PPTO_GENERADOR!E:E,"-",0)</f>
        <v>1</v>
      </c>
      <c r="Q1719" s="247">
        <f t="shared" si="193"/>
        <v>1</v>
      </c>
      <c r="R1719" s="259">
        <f>+_xlfn.XLOOKUP(A1719,PPTO_GENERADOR!$Q:$Q,PPTO_GENERADOR!A:A,"-",0)</f>
        <v>19.04</v>
      </c>
    </row>
    <row r="1720" spans="1:18" ht="14.25" customHeight="1" x14ac:dyDescent="0.35">
      <c r="A1720" s="38" t="s">
        <v>329</v>
      </c>
      <c r="B1720" s="38" t="s">
        <v>2773</v>
      </c>
      <c r="C1720" s="38"/>
      <c r="D1720" s="38" t="s">
        <v>1965</v>
      </c>
      <c r="E1720" s="44" t="str">
        <f>IFERROR(VLOOKUP(D1720,EQUIPOS!A:B,2,FALSE()),"?")</f>
        <v>Herramientas menores y consumibles - Tendido caño pluvial por pisos</v>
      </c>
      <c r="F1720" s="44"/>
      <c r="G1720" s="45">
        <v>1</v>
      </c>
      <c r="H1720" s="46">
        <v>0</v>
      </c>
      <c r="I1720" s="47">
        <f>IFERROR(VLOOKUP(D1720,EQUIPOS!A:F,6,FALSE()),0)</f>
        <v>39232.042314716797</v>
      </c>
      <c r="J1720" s="42">
        <f>G1720*I1720</f>
        <v>39232.042314716797</v>
      </c>
      <c r="K1720" s="15" t="str">
        <f t="shared" si="190"/>
        <v>PTO-1905|EQ</v>
      </c>
      <c r="L1720" s="15">
        <f>COUNTIFS($K$2:K1720,K1720)</f>
        <v>1</v>
      </c>
      <c r="M1720" s="15" t="str">
        <f t="shared" si="191"/>
        <v>PTO-1905|EQ|1</v>
      </c>
      <c r="N1720" s="47">
        <f>IFERROR(VLOOKUP(A1720,PARTIDAS!A:F,6,FALSE()),0)</f>
        <v>1</v>
      </c>
      <c r="O1720" s="247">
        <f t="shared" si="192"/>
        <v>1</v>
      </c>
      <c r="P1720" s="247">
        <f>+_xlfn.XLOOKUP(A1720,PPTO_GENERADOR!Q:Q,PPTO_GENERADOR!E:E,"-",0)</f>
        <v>1</v>
      </c>
      <c r="Q1720" s="247">
        <f t="shared" si="193"/>
        <v>1</v>
      </c>
      <c r="R1720" s="259">
        <f>+_xlfn.XLOOKUP(A1720,PPTO_GENERADOR!$Q:$Q,PPTO_GENERADOR!A:A,"-",0)</f>
        <v>19.05</v>
      </c>
    </row>
    <row r="1721" spans="1:18" ht="14.25" customHeight="1" x14ac:dyDescent="0.35">
      <c r="A1721" s="38" t="s">
        <v>329</v>
      </c>
      <c r="B1721" s="38" t="s">
        <v>2774</v>
      </c>
      <c r="C1721" s="38" t="s">
        <v>2775</v>
      </c>
      <c r="D1721" s="38" t="s">
        <v>1292</v>
      </c>
      <c r="E1721" s="44" t="str">
        <f>IFERROR(VLOOKUP(D1721,MATERIALES!A:B,2,FALSE()),"?")</f>
        <v>Tendido caño pluvial por pisos [CLOACAL]</v>
      </c>
      <c r="F1721" s="44" t="str">
        <f>IFERROR(VLOOKUP(D1721,MATERIALES!A:C,3,FALSE()),"?")</f>
        <v>gl</v>
      </c>
      <c r="G1721" s="45">
        <v>1</v>
      </c>
      <c r="H1721" s="46">
        <v>0</v>
      </c>
      <c r="I1721" s="47">
        <f>IFERROR(VLOOKUP(D1721,MATERIALES!A:D,4,FALSE()),0)</f>
        <v>1048395.9555</v>
      </c>
      <c r="J1721" s="42">
        <f>G1721*I1721*(1+H1721)</f>
        <v>1048395.9555</v>
      </c>
      <c r="K1721" s="15" t="str">
        <f t="shared" si="190"/>
        <v>PTO-1905|MAT</v>
      </c>
      <c r="L1721" s="15">
        <f>COUNTIFS($K$2:K1721,K1721)</f>
        <v>1</v>
      </c>
      <c r="M1721" s="15" t="str">
        <f t="shared" si="191"/>
        <v>PTO-1905|MAT|1</v>
      </c>
      <c r="N1721" s="47">
        <f>IFERROR(VLOOKUP(A1721,PARTIDAS!A:F,6,FALSE()),0)</f>
        <v>1</v>
      </c>
      <c r="O1721" s="247">
        <f t="shared" si="192"/>
        <v>1</v>
      </c>
      <c r="P1721" s="247">
        <f>+_xlfn.XLOOKUP(A1721,PPTO_GENERADOR!Q:Q,PPTO_GENERADOR!E:E,"-",0)</f>
        <v>1</v>
      </c>
      <c r="Q1721" s="247">
        <f t="shared" si="193"/>
        <v>1</v>
      </c>
      <c r="R1721" s="259">
        <f>+_xlfn.XLOOKUP(A1721,PPTO_GENERADOR!$Q:$Q,PPTO_GENERADOR!A:A,"-",0)</f>
        <v>19.05</v>
      </c>
    </row>
    <row r="1722" spans="1:18" ht="14.25" customHeight="1" x14ac:dyDescent="0.35">
      <c r="A1722" s="38" t="s">
        <v>329</v>
      </c>
      <c r="B1722" s="38" t="s">
        <v>2776</v>
      </c>
      <c r="C1722" s="38" t="s">
        <v>2775</v>
      </c>
      <c r="D1722" s="38" t="s">
        <v>2349</v>
      </c>
      <c r="E1722" s="44" t="str">
        <f>IFERROR(VLOOKUP(D1722,SUBCONTRATOS_PRY!A:B,2,FALSE()),"?")</f>
        <v>MO Tendido caño pluvial por pisos [CLOACAL]</v>
      </c>
      <c r="F1722" s="44" t="s">
        <v>2778</v>
      </c>
      <c r="G1722" s="45">
        <v>1</v>
      </c>
      <c r="H1722" s="46">
        <v>0</v>
      </c>
      <c r="I1722" s="47">
        <f>IFERROR(VLOOKUP(D1722,SUBCONTRATOS_PRY!A:D,4,FALSE()),0)</f>
        <v>1567073.5321477901</v>
      </c>
      <c r="J1722" s="42">
        <f>G1722*I1722</f>
        <v>1567073.5321477901</v>
      </c>
      <c r="K1722" s="15" t="str">
        <f t="shared" si="190"/>
        <v>PTO-1905|MO</v>
      </c>
      <c r="L1722" s="15">
        <f>COUNTIFS($K$2:K1722,K1722)</f>
        <v>1</v>
      </c>
      <c r="M1722" s="15" t="str">
        <f t="shared" si="191"/>
        <v>PTO-1905|MO|1</v>
      </c>
      <c r="N1722" s="47">
        <f>IFERROR(VLOOKUP(A1722,PARTIDAS!A:F,6,FALSE()),0)</f>
        <v>1</v>
      </c>
      <c r="O1722" s="247">
        <f t="shared" si="192"/>
        <v>1</v>
      </c>
      <c r="P1722" s="247">
        <f>+_xlfn.XLOOKUP(A1722,PPTO_GENERADOR!Q:Q,PPTO_GENERADOR!E:E,"-",0)</f>
        <v>1</v>
      </c>
      <c r="Q1722" s="247">
        <f t="shared" si="193"/>
        <v>1</v>
      </c>
      <c r="R1722" s="259">
        <f>+_xlfn.XLOOKUP(A1722,PPTO_GENERADOR!$Q:$Q,PPTO_GENERADOR!A:A,"-",0)</f>
        <v>19.05</v>
      </c>
    </row>
    <row r="1723" spans="1:18" ht="14.25" customHeight="1" x14ac:dyDescent="0.35">
      <c r="A1723" s="38" t="s">
        <v>331</v>
      </c>
      <c r="B1723" s="38" t="s">
        <v>2773</v>
      </c>
      <c r="C1723" s="38"/>
      <c r="D1723" s="38" t="s">
        <v>1968</v>
      </c>
      <c r="E1723" s="44" t="str">
        <f>IFERROR(VLOOKUP(D1723,EQUIPOS!A:B,2,FALSE()),"?")</f>
        <v>Herramientas menores y consumibles - Instalación tanque de recupero y bombeo pluvial</v>
      </c>
      <c r="F1723" s="44"/>
      <c r="G1723" s="45">
        <v>1</v>
      </c>
      <c r="H1723" s="46">
        <v>0</v>
      </c>
      <c r="I1723" s="47">
        <f>IFERROR(VLOOKUP(D1723,EQUIPOS!A:F,6,FALSE()),0)</f>
        <v>11769.6126944151</v>
      </c>
      <c r="J1723" s="42">
        <f>G1723*I1723</f>
        <v>11769.6126944151</v>
      </c>
      <c r="K1723" s="15" t="str">
        <f t="shared" si="190"/>
        <v>PTO-1906|EQ</v>
      </c>
      <c r="L1723" s="15">
        <f>COUNTIFS($K$2:K1723,K1723)</f>
        <v>1</v>
      </c>
      <c r="M1723" s="15" t="str">
        <f t="shared" si="191"/>
        <v>PTO-1906|EQ|1</v>
      </c>
      <c r="N1723" s="47">
        <f>IFERROR(VLOOKUP(A1723,PARTIDAS!A:F,6,FALSE()),0)</f>
        <v>1</v>
      </c>
      <c r="O1723" s="247">
        <f t="shared" si="192"/>
        <v>1</v>
      </c>
      <c r="P1723" s="247">
        <f>+_xlfn.XLOOKUP(A1723,PPTO_GENERADOR!Q:Q,PPTO_GENERADOR!E:E,"-",0)</f>
        <v>1</v>
      </c>
      <c r="Q1723" s="247">
        <f t="shared" si="193"/>
        <v>1</v>
      </c>
      <c r="R1723" s="259">
        <f>+_xlfn.XLOOKUP(A1723,PPTO_GENERADOR!$Q:$Q,PPTO_GENERADOR!A:A,"-",0)</f>
        <v>19.059999999999999</v>
      </c>
    </row>
    <row r="1724" spans="1:18" ht="14.25" customHeight="1" x14ac:dyDescent="0.35">
      <c r="A1724" s="38" t="s">
        <v>331</v>
      </c>
      <c r="B1724" s="38" t="s">
        <v>2774</v>
      </c>
      <c r="C1724" s="38" t="s">
        <v>2775</v>
      </c>
      <c r="D1724" s="38" t="s">
        <v>1294</v>
      </c>
      <c r="E1724" s="44" t="str">
        <f>IFERROR(VLOOKUP(D1724,MATERIALES!A:B,2,FALSE()),"?")</f>
        <v>Instalación tanque de recupero y bombeo pluvial [CLOACAL]</v>
      </c>
      <c r="F1724" s="44" t="str">
        <f>IFERROR(VLOOKUP(D1724,MATERIALES!A:C,3,FALSE()),"?")</f>
        <v>gl</v>
      </c>
      <c r="G1724" s="45">
        <v>1</v>
      </c>
      <c r="H1724" s="46">
        <v>0</v>
      </c>
      <c r="I1724" s="47">
        <f>IFERROR(VLOOKUP(D1724,MATERIALES!A:D,4,FALSE()),0)</f>
        <v>314518.78665000002</v>
      </c>
      <c r="J1724" s="42">
        <f>G1724*I1724*(1+H1724)</f>
        <v>314518.78665000002</v>
      </c>
      <c r="K1724" s="15" t="str">
        <f t="shared" si="190"/>
        <v>PTO-1906|MAT</v>
      </c>
      <c r="L1724" s="15">
        <f>COUNTIFS($K$2:K1724,K1724)</f>
        <v>1</v>
      </c>
      <c r="M1724" s="15" t="str">
        <f t="shared" si="191"/>
        <v>PTO-1906|MAT|1</v>
      </c>
      <c r="N1724" s="47">
        <f>IFERROR(VLOOKUP(A1724,PARTIDAS!A:F,6,FALSE()),0)</f>
        <v>1</v>
      </c>
      <c r="O1724" s="247">
        <f t="shared" si="192"/>
        <v>1</v>
      </c>
      <c r="P1724" s="247">
        <f>+_xlfn.XLOOKUP(A1724,PPTO_GENERADOR!Q:Q,PPTO_GENERADOR!E:E,"-",0)</f>
        <v>1</v>
      </c>
      <c r="Q1724" s="247">
        <f t="shared" si="193"/>
        <v>1</v>
      </c>
      <c r="R1724" s="259">
        <f>+_xlfn.XLOOKUP(A1724,PPTO_GENERADOR!$Q:$Q,PPTO_GENERADOR!A:A,"-",0)</f>
        <v>19.059999999999999</v>
      </c>
    </row>
    <row r="1725" spans="1:18" ht="14.25" customHeight="1" x14ac:dyDescent="0.35">
      <c r="A1725" s="38" t="s">
        <v>331</v>
      </c>
      <c r="B1725" s="38" t="s">
        <v>2776</v>
      </c>
      <c r="C1725" s="38" t="s">
        <v>2775</v>
      </c>
      <c r="D1725" s="38" t="s">
        <v>2351</v>
      </c>
      <c r="E1725" s="44" t="str">
        <f>IFERROR(VLOOKUP(D1725,SUBCONTRATOS_PRY!A:B,2,FALSE()),"?")</f>
        <v>MO Instalación tanque de recupero y bombeo pluvial [CLOACAL]</v>
      </c>
      <c r="F1725" s="44" t="s">
        <v>2778</v>
      </c>
      <c r="G1725" s="45">
        <v>1</v>
      </c>
      <c r="H1725" s="46">
        <v>0</v>
      </c>
      <c r="I1725" s="47">
        <f>IFERROR(VLOOKUP(D1725,SUBCONTRATOS_PRY!A:D,4,FALSE()),0)</f>
        <v>470122.05964433699</v>
      </c>
      <c r="J1725" s="42">
        <f>G1725*I1725</f>
        <v>470122.05964433699</v>
      </c>
      <c r="K1725" s="15" t="str">
        <f t="shared" si="190"/>
        <v>PTO-1906|MO</v>
      </c>
      <c r="L1725" s="15">
        <f>COUNTIFS($K$2:K1725,K1725)</f>
        <v>1</v>
      </c>
      <c r="M1725" s="15" t="str">
        <f t="shared" si="191"/>
        <v>PTO-1906|MO|1</v>
      </c>
      <c r="N1725" s="47">
        <f>IFERROR(VLOOKUP(A1725,PARTIDAS!A:F,6,FALSE()),0)</f>
        <v>1</v>
      </c>
      <c r="O1725" s="247">
        <f t="shared" si="192"/>
        <v>1</v>
      </c>
      <c r="P1725" s="247">
        <f>+_xlfn.XLOOKUP(A1725,PPTO_GENERADOR!Q:Q,PPTO_GENERADOR!E:E,"-",0)</f>
        <v>1</v>
      </c>
      <c r="Q1725" s="247">
        <f t="shared" si="193"/>
        <v>1</v>
      </c>
      <c r="R1725" s="259">
        <f>+_xlfn.XLOOKUP(A1725,PPTO_GENERADOR!$Q:$Q,PPTO_GENERADOR!A:A,"-",0)</f>
        <v>19.059999999999999</v>
      </c>
    </row>
    <row r="1726" spans="1:18" ht="14.25" customHeight="1" x14ac:dyDescent="0.35">
      <c r="A1726" s="38" t="s">
        <v>333</v>
      </c>
      <c r="B1726" s="38" t="s">
        <v>2773</v>
      </c>
      <c r="C1726" s="38"/>
      <c r="D1726" s="38" t="s">
        <v>1971</v>
      </c>
      <c r="E1726" s="44" t="str">
        <f>IFERROR(VLOOKUP(D1726,EQUIPOS!A:B,2,FALSE()),"?")</f>
        <v>Herramientas menores y consumibles - Tendido caño de agua hasta TB. Colocación de TB, a</v>
      </c>
      <c r="F1726" s="44"/>
      <c r="G1726" s="45">
        <v>1</v>
      </c>
      <c r="H1726" s="46">
        <v>0</v>
      </c>
      <c r="I1726" s="47">
        <f>IFERROR(VLOOKUP(D1726,EQUIPOS!A:F,6,FALSE()),0)</f>
        <v>36185.167983590203</v>
      </c>
      <c r="J1726" s="42">
        <f>G1726*I1726</f>
        <v>36185.167983590203</v>
      </c>
      <c r="K1726" s="15" t="str">
        <f t="shared" si="190"/>
        <v>PTO-1907|EQ</v>
      </c>
      <c r="L1726" s="15">
        <f>COUNTIFS($K$2:K1726,K1726)</f>
        <v>1</v>
      </c>
      <c r="M1726" s="15" t="str">
        <f t="shared" si="191"/>
        <v>PTO-1907|EQ|1</v>
      </c>
      <c r="N1726" s="47">
        <f>IFERROR(VLOOKUP(A1726,PARTIDAS!A:F,6,FALSE()),0)</f>
        <v>1</v>
      </c>
      <c r="O1726" s="247">
        <f t="shared" si="192"/>
        <v>1</v>
      </c>
      <c r="P1726" s="247">
        <f>+_xlfn.XLOOKUP(A1726,PPTO_GENERADOR!Q:Q,PPTO_GENERADOR!E:E,"-",0)</f>
        <v>1</v>
      </c>
      <c r="Q1726" s="247">
        <f t="shared" si="193"/>
        <v>1</v>
      </c>
      <c r="R1726" s="259">
        <f>+_xlfn.XLOOKUP(A1726,PPTO_GENERADOR!$Q:$Q,PPTO_GENERADOR!A:A,"-",0)</f>
        <v>19.07</v>
      </c>
    </row>
    <row r="1727" spans="1:18" ht="14.25" customHeight="1" x14ac:dyDescent="0.35">
      <c r="A1727" s="38" t="s">
        <v>333</v>
      </c>
      <c r="B1727" s="38" t="s">
        <v>2774</v>
      </c>
      <c r="C1727" s="38" t="s">
        <v>2775</v>
      </c>
      <c r="D1727" s="38" t="s">
        <v>1296</v>
      </c>
      <c r="E1727" s="44" t="str">
        <f>IFERROR(VLOOKUP(D1727,MATERIALES!A:B,2,FALSE()),"?")</f>
        <v>Tendido caño de agua hasta TB. Colocación de TB, armado de colector y cuadro de bombas [AF.AC]</v>
      </c>
      <c r="F1727" s="44" t="str">
        <f>IFERROR(VLOOKUP(D1727,MATERIALES!A:C,3,FALSE()),"?")</f>
        <v>gl</v>
      </c>
      <c r="G1727" s="45">
        <v>1</v>
      </c>
      <c r="H1727" s="46">
        <v>0</v>
      </c>
      <c r="I1727" s="47">
        <f>IFERROR(VLOOKUP(D1727,MATERIALES!A:D,4,FALSE()),0)</f>
        <v>892886.95565999998</v>
      </c>
      <c r="J1727" s="42">
        <f>G1727*I1727*(1+H1727)</f>
        <v>892886.95565999998</v>
      </c>
      <c r="K1727" s="15" t="str">
        <f t="shared" si="190"/>
        <v>PTO-1907|MAT</v>
      </c>
      <c r="L1727" s="15">
        <f>COUNTIFS($K$2:K1727,K1727)</f>
        <v>1</v>
      </c>
      <c r="M1727" s="15" t="str">
        <f t="shared" si="191"/>
        <v>PTO-1907|MAT|1</v>
      </c>
      <c r="N1727" s="47">
        <f>IFERROR(VLOOKUP(A1727,PARTIDAS!A:F,6,FALSE()),0)</f>
        <v>1</v>
      </c>
      <c r="O1727" s="247">
        <f t="shared" si="192"/>
        <v>1</v>
      </c>
      <c r="P1727" s="247">
        <f>+_xlfn.XLOOKUP(A1727,PPTO_GENERADOR!Q:Q,PPTO_GENERADOR!E:E,"-",0)</f>
        <v>1</v>
      </c>
      <c r="Q1727" s="247">
        <f t="shared" si="193"/>
        <v>1</v>
      </c>
      <c r="R1727" s="259">
        <f>+_xlfn.XLOOKUP(A1727,PPTO_GENERADOR!$Q:$Q,PPTO_GENERADOR!A:A,"-",0)</f>
        <v>19.07</v>
      </c>
    </row>
    <row r="1728" spans="1:18" ht="14.25" customHeight="1" x14ac:dyDescent="0.35">
      <c r="A1728" s="38" t="s">
        <v>333</v>
      </c>
      <c r="B1728" s="38" t="s">
        <v>2776</v>
      </c>
      <c r="C1728" s="38" t="s">
        <v>2775</v>
      </c>
      <c r="D1728" s="38" t="s">
        <v>2353</v>
      </c>
      <c r="E1728" s="44" t="str">
        <f>IFERROR(VLOOKUP(D1728,SUBCONTRATOS_PRY!A:B,2,FALSE()),"?")</f>
        <v>MO Tendido caño de agua hasta TB. Colocación de TB, armado de colector y cuadro de bombas [AF.AC]</v>
      </c>
      <c r="F1728" s="44" t="s">
        <v>2778</v>
      </c>
      <c r="G1728" s="45">
        <v>1</v>
      </c>
      <c r="H1728" s="46">
        <v>0</v>
      </c>
      <c r="I1728" s="47">
        <f>IFERROR(VLOOKUP(D1728,SUBCONTRATOS_PRY!A:D,4,FALSE()),0)</f>
        <v>1519457.57657935</v>
      </c>
      <c r="J1728" s="42">
        <f>G1728*I1728</f>
        <v>1519457.57657935</v>
      </c>
      <c r="K1728" s="15" t="str">
        <f t="shared" si="190"/>
        <v>PTO-1907|MO</v>
      </c>
      <c r="L1728" s="15">
        <f>COUNTIFS($K$2:K1728,K1728)</f>
        <v>1</v>
      </c>
      <c r="M1728" s="15" t="str">
        <f t="shared" si="191"/>
        <v>PTO-1907|MO|1</v>
      </c>
      <c r="N1728" s="47">
        <f>IFERROR(VLOOKUP(A1728,PARTIDAS!A:F,6,FALSE()),0)</f>
        <v>1</v>
      </c>
      <c r="O1728" s="247">
        <f t="shared" si="192"/>
        <v>1</v>
      </c>
      <c r="P1728" s="247">
        <f>+_xlfn.XLOOKUP(A1728,PPTO_GENERADOR!Q:Q,PPTO_GENERADOR!E:E,"-",0)</f>
        <v>1</v>
      </c>
      <c r="Q1728" s="247">
        <f t="shared" si="193"/>
        <v>1</v>
      </c>
      <c r="R1728" s="259">
        <f>+_xlfn.XLOOKUP(A1728,PPTO_GENERADOR!$Q:$Q,PPTO_GENERADOR!A:A,"-",0)</f>
        <v>19.07</v>
      </c>
    </row>
    <row r="1729" spans="1:18" ht="14.25" customHeight="1" x14ac:dyDescent="0.35">
      <c r="A1729" s="38" t="s">
        <v>335</v>
      </c>
      <c r="B1729" s="38" t="s">
        <v>2773</v>
      </c>
      <c r="C1729" s="38"/>
      <c r="D1729" s="38" t="s">
        <v>1974</v>
      </c>
      <c r="E1729" s="44" t="str">
        <f>IFERROR(VLOOKUP(D1729,EQUIPOS!A:B,2,FALSE()),"?")</f>
        <v>Herramientas menores y consumibles - Armado de colector, subida y bajadas de AF</v>
      </c>
      <c r="F1729" s="44"/>
      <c r="G1729" s="45">
        <v>1</v>
      </c>
      <c r="H1729" s="46">
        <v>0</v>
      </c>
      <c r="I1729" s="47">
        <f>IFERROR(VLOOKUP(D1729,EQUIPOS!A:F,6,FALSE()),0)</f>
        <v>40649.602761890201</v>
      </c>
      <c r="J1729" s="42">
        <f>G1729*I1729</f>
        <v>40649.602761890201</v>
      </c>
      <c r="K1729" s="15" t="str">
        <f t="shared" si="190"/>
        <v>PTO-1908|EQ</v>
      </c>
      <c r="L1729" s="15">
        <f>COUNTIFS($K$2:K1729,K1729)</f>
        <v>1</v>
      </c>
      <c r="M1729" s="15" t="str">
        <f t="shared" si="191"/>
        <v>PTO-1908|EQ|1</v>
      </c>
      <c r="N1729" s="47">
        <f>IFERROR(VLOOKUP(A1729,PARTIDAS!A:F,6,FALSE()),0)</f>
        <v>1</v>
      </c>
      <c r="O1729" s="247">
        <f t="shared" si="192"/>
        <v>1</v>
      </c>
      <c r="P1729" s="247">
        <f>+_xlfn.XLOOKUP(A1729,PPTO_GENERADOR!Q:Q,PPTO_GENERADOR!E:E,"-",0)</f>
        <v>1</v>
      </c>
      <c r="Q1729" s="247">
        <f t="shared" si="193"/>
        <v>1</v>
      </c>
      <c r="R1729" s="259">
        <f>+_xlfn.XLOOKUP(A1729,PPTO_GENERADOR!$Q:$Q,PPTO_GENERADOR!A:A,"-",0)</f>
        <v>19.079999999999998</v>
      </c>
    </row>
    <row r="1730" spans="1:18" ht="14.25" customHeight="1" x14ac:dyDescent="0.35">
      <c r="A1730" s="38" t="s">
        <v>335</v>
      </c>
      <c r="B1730" s="38" t="s">
        <v>2774</v>
      </c>
      <c r="C1730" s="38" t="s">
        <v>2775</v>
      </c>
      <c r="D1730" s="38" t="s">
        <v>1299</v>
      </c>
      <c r="E1730" s="44" t="str">
        <f>IFERROR(VLOOKUP(D1730,MATERIALES!A:B,2,FALSE()),"?")</f>
        <v>Armado de colector, subida y bajadas de AF [AF.AC]</v>
      </c>
      <c r="F1730" s="44" t="str">
        <f>IFERROR(VLOOKUP(D1730,MATERIALES!A:C,3,FALSE()),"?")</f>
        <v>gl</v>
      </c>
      <c r="G1730" s="45">
        <v>1</v>
      </c>
      <c r="H1730" s="46">
        <v>0</v>
      </c>
      <c r="I1730" s="47">
        <f>IFERROR(VLOOKUP(D1730,MATERIALES!A:D,4,FALSE()),0)</f>
        <v>1190515.9408799999</v>
      </c>
      <c r="J1730" s="42">
        <f>G1730*I1730*(1+H1730)</f>
        <v>1190515.9408799999</v>
      </c>
      <c r="K1730" s="15" t="str">
        <f t="shared" ref="K1730:K1793" si="196">A1730&amp;"|"&amp;B1730</f>
        <v>PTO-1908|MAT</v>
      </c>
      <c r="L1730" s="15">
        <f>COUNTIFS($K$2:K1730,K1730)</f>
        <v>1</v>
      </c>
      <c r="M1730" s="15" t="str">
        <f t="shared" ref="M1730:M1793" si="197">K1730&amp;"|"&amp;L1730</f>
        <v>PTO-1908|MAT|1</v>
      </c>
      <c r="N1730" s="47">
        <f>IFERROR(VLOOKUP(A1730,PARTIDAS!A:F,6,FALSE()),0)</f>
        <v>1</v>
      </c>
      <c r="O1730" s="247">
        <f t="shared" si="192"/>
        <v>1</v>
      </c>
      <c r="P1730" s="247">
        <f>+_xlfn.XLOOKUP(A1730,PPTO_GENERADOR!Q:Q,PPTO_GENERADOR!E:E,"-",0)</f>
        <v>1</v>
      </c>
      <c r="Q1730" s="247">
        <f t="shared" si="193"/>
        <v>1</v>
      </c>
      <c r="R1730" s="259">
        <f>+_xlfn.XLOOKUP(A1730,PPTO_GENERADOR!$Q:$Q,PPTO_GENERADOR!A:A,"-",0)</f>
        <v>19.079999999999998</v>
      </c>
    </row>
    <row r="1731" spans="1:18" ht="14.25" customHeight="1" x14ac:dyDescent="0.35">
      <c r="A1731" s="38" t="s">
        <v>335</v>
      </c>
      <c r="B1731" s="38" t="s">
        <v>2776</v>
      </c>
      <c r="C1731" s="38" t="s">
        <v>2775</v>
      </c>
      <c r="D1731" s="38" t="s">
        <v>2355</v>
      </c>
      <c r="E1731" s="44" t="str">
        <f>IFERROR(VLOOKUP(D1731,SUBCONTRATOS_PRY!A:B,2,FALSE()),"?")</f>
        <v>MO Armado de colector, subida y bajadas de AF [AF.AC]</v>
      </c>
      <c r="F1731" s="44" t="s">
        <v>2778</v>
      </c>
      <c r="G1731" s="45">
        <v>1</v>
      </c>
      <c r="H1731" s="46">
        <v>0</v>
      </c>
      <c r="I1731" s="47">
        <f>IFERROR(VLOOKUP(D1731,SUBCONTRATOS_PRY!A:D,4,FALSE()),0)</f>
        <v>1519457.57657935</v>
      </c>
      <c r="J1731" s="42">
        <f>G1731*I1731</f>
        <v>1519457.57657935</v>
      </c>
      <c r="K1731" s="15" t="str">
        <f t="shared" si="196"/>
        <v>PTO-1908|MO</v>
      </c>
      <c r="L1731" s="15">
        <f>COUNTIFS($K$2:K1731,K1731)</f>
        <v>1</v>
      </c>
      <c r="M1731" s="15" t="str">
        <f t="shared" si="197"/>
        <v>PTO-1908|MO|1</v>
      </c>
      <c r="N1731" s="47">
        <f>IFERROR(VLOOKUP(A1731,PARTIDAS!A:F,6,FALSE()),0)</f>
        <v>1</v>
      </c>
      <c r="O1731" s="247">
        <f t="shared" ref="O1731:O1794" si="198">+IF(C1731="ALB",G1731/N1731,G1731)</f>
        <v>1</v>
      </c>
      <c r="P1731" s="247">
        <f>+_xlfn.XLOOKUP(A1731,PPTO_GENERADOR!Q:Q,PPTO_GENERADOR!E:E,"-",0)</f>
        <v>1</v>
      </c>
      <c r="Q1731" s="247">
        <f t="shared" ref="Q1731:Q1794" si="199">IFERROR(P1731*O1731,0)</f>
        <v>1</v>
      </c>
      <c r="R1731" s="259">
        <f>+_xlfn.XLOOKUP(A1731,PPTO_GENERADOR!$Q:$Q,PPTO_GENERADOR!A:A,"-",0)</f>
        <v>19.079999999999998</v>
      </c>
    </row>
    <row r="1732" spans="1:18" ht="14.25" customHeight="1" x14ac:dyDescent="0.35">
      <c r="A1732" s="38" t="s">
        <v>337</v>
      </c>
      <c r="B1732" s="38" t="s">
        <v>2773</v>
      </c>
      <c r="C1732" s="38"/>
      <c r="D1732" s="38" t="s">
        <v>1977</v>
      </c>
      <c r="E1732" s="44" t="str">
        <f>IFERROR(VLOOKUP(D1732,EQUIPOS!A:B,2,FALSE()),"?")</f>
        <v>Herramientas menores y consumibles - Colocación de bomba presurizadora, armado de colec</v>
      </c>
      <c r="F1732" s="44"/>
      <c r="G1732" s="45">
        <v>1</v>
      </c>
      <c r="H1732" s="46">
        <v>0</v>
      </c>
      <c r="I1732" s="47">
        <f>IFERROR(VLOOKUP(D1732,EQUIPOS!A:F,6,FALSE()),0)</f>
        <v>36185.167983590203</v>
      </c>
      <c r="J1732" s="42">
        <f>G1732*I1732</f>
        <v>36185.167983590203</v>
      </c>
      <c r="K1732" s="15" t="str">
        <f t="shared" si="196"/>
        <v>PTO-1909|EQ</v>
      </c>
      <c r="L1732" s="15">
        <f>COUNTIFS($K$2:K1732,K1732)</f>
        <v>1</v>
      </c>
      <c r="M1732" s="15" t="str">
        <f t="shared" si="197"/>
        <v>PTO-1909|EQ|1</v>
      </c>
      <c r="N1732" s="47">
        <f>IFERROR(VLOOKUP(A1732,PARTIDAS!A:F,6,FALSE()),0)</f>
        <v>1</v>
      </c>
      <c r="O1732" s="247">
        <f t="shared" si="198"/>
        <v>1</v>
      </c>
      <c r="P1732" s="247">
        <f>+_xlfn.XLOOKUP(A1732,PPTO_GENERADOR!Q:Q,PPTO_GENERADOR!E:E,"-",0)</f>
        <v>1</v>
      </c>
      <c r="Q1732" s="247">
        <f t="shared" si="199"/>
        <v>1</v>
      </c>
      <c r="R1732" s="259">
        <f>+_xlfn.XLOOKUP(A1732,PPTO_GENERADOR!$Q:$Q,PPTO_GENERADOR!A:A,"-",0)</f>
        <v>19.09</v>
      </c>
    </row>
    <row r="1733" spans="1:18" ht="14.25" customHeight="1" x14ac:dyDescent="0.35">
      <c r="A1733" s="38" t="s">
        <v>337</v>
      </c>
      <c r="B1733" s="38" t="s">
        <v>2774</v>
      </c>
      <c r="C1733" s="38" t="s">
        <v>2775</v>
      </c>
      <c r="D1733" s="38" t="s">
        <v>1301</v>
      </c>
      <c r="E1733" s="44" t="str">
        <f>IFERROR(VLOOKUP(D1733,MATERIALES!A:B,2,FALSE()),"?")</f>
        <v>Colocación de bomba presurizadora, armado de colector y montantes presurizadas (ultimo piso 4°) AF [AF.AC]</v>
      </c>
      <c r="F1733" s="44" t="str">
        <f>IFERROR(VLOOKUP(D1733,MATERIALES!A:C,3,FALSE()),"?")</f>
        <v>gl</v>
      </c>
      <c r="G1733" s="45">
        <v>1</v>
      </c>
      <c r="H1733" s="46">
        <v>0</v>
      </c>
      <c r="I1733" s="47">
        <f>IFERROR(VLOOKUP(D1733,MATERIALES!A:D,4,FALSE()),0)</f>
        <v>892886.95565999998</v>
      </c>
      <c r="J1733" s="42">
        <f>G1733*I1733*(1+H1733)</f>
        <v>892886.95565999998</v>
      </c>
      <c r="K1733" s="15" t="str">
        <f t="shared" si="196"/>
        <v>PTO-1909|MAT</v>
      </c>
      <c r="L1733" s="15">
        <f>COUNTIFS($K$2:K1733,K1733)</f>
        <v>1</v>
      </c>
      <c r="M1733" s="15" t="str">
        <f t="shared" si="197"/>
        <v>PTO-1909|MAT|1</v>
      </c>
      <c r="N1733" s="47">
        <f>IFERROR(VLOOKUP(A1733,PARTIDAS!A:F,6,FALSE()),0)</f>
        <v>1</v>
      </c>
      <c r="O1733" s="247">
        <f t="shared" si="198"/>
        <v>1</v>
      </c>
      <c r="P1733" s="247">
        <f>+_xlfn.XLOOKUP(A1733,PPTO_GENERADOR!Q:Q,PPTO_GENERADOR!E:E,"-",0)</f>
        <v>1</v>
      </c>
      <c r="Q1733" s="247">
        <f t="shared" si="199"/>
        <v>1</v>
      </c>
      <c r="R1733" s="259">
        <f>+_xlfn.XLOOKUP(A1733,PPTO_GENERADOR!$Q:$Q,PPTO_GENERADOR!A:A,"-",0)</f>
        <v>19.09</v>
      </c>
    </row>
    <row r="1734" spans="1:18" ht="14.25" customHeight="1" x14ac:dyDescent="0.35">
      <c r="A1734" s="38" t="s">
        <v>337</v>
      </c>
      <c r="B1734" s="38" t="s">
        <v>2776</v>
      </c>
      <c r="C1734" s="38" t="s">
        <v>2775</v>
      </c>
      <c r="D1734" s="38" t="s">
        <v>2357</v>
      </c>
      <c r="E1734" s="44" t="str">
        <f>IFERROR(VLOOKUP(D1734,SUBCONTRATOS_PRY!A:B,2,FALSE()),"?")</f>
        <v>MO Colocación de bomba presurizadora, armado de colector y montantes presurizadas (ultimo piso 4°) AF [AF.AC]</v>
      </c>
      <c r="F1734" s="44" t="s">
        <v>2778</v>
      </c>
      <c r="G1734" s="45">
        <v>1</v>
      </c>
      <c r="H1734" s="46">
        <v>0</v>
      </c>
      <c r="I1734" s="47">
        <f>IFERROR(VLOOKUP(D1734,SUBCONTRATOS_PRY!A:D,4,FALSE()),0)</f>
        <v>1519457.57657935</v>
      </c>
      <c r="J1734" s="42">
        <f>G1734*I1734</f>
        <v>1519457.57657935</v>
      </c>
      <c r="K1734" s="15" t="str">
        <f t="shared" si="196"/>
        <v>PTO-1909|MO</v>
      </c>
      <c r="L1734" s="15">
        <f>COUNTIFS($K$2:K1734,K1734)</f>
        <v>1</v>
      </c>
      <c r="M1734" s="15" t="str">
        <f t="shared" si="197"/>
        <v>PTO-1909|MO|1</v>
      </c>
      <c r="N1734" s="47">
        <f>IFERROR(VLOOKUP(A1734,PARTIDAS!A:F,6,FALSE()),0)</f>
        <v>1</v>
      </c>
      <c r="O1734" s="247">
        <f t="shared" si="198"/>
        <v>1</v>
      </c>
      <c r="P1734" s="247">
        <f>+_xlfn.XLOOKUP(A1734,PPTO_GENERADOR!Q:Q,PPTO_GENERADOR!E:E,"-",0)</f>
        <v>1</v>
      </c>
      <c r="Q1734" s="247">
        <f t="shared" si="199"/>
        <v>1</v>
      </c>
      <c r="R1734" s="259">
        <f>+_xlfn.XLOOKUP(A1734,PPTO_GENERADOR!$Q:$Q,PPTO_GENERADOR!A:A,"-",0)</f>
        <v>19.09</v>
      </c>
    </row>
    <row r="1735" spans="1:18" ht="14.25" customHeight="1" x14ac:dyDescent="0.35">
      <c r="A1735" s="38" t="s">
        <v>339</v>
      </c>
      <c r="B1735" s="38" t="s">
        <v>2773</v>
      </c>
      <c r="C1735" s="38"/>
      <c r="D1735" s="38" t="s">
        <v>1980</v>
      </c>
      <c r="E1735" s="44" t="str">
        <f>IFERROR(VLOOKUP(D1735,EQUIPOS!A:B,2,FALSE()),"?")</f>
        <v>Herramientas menores y consumibles - Distribución agua fria y caliente en planta tipo</v>
      </c>
      <c r="F1735" s="44"/>
      <c r="G1735" s="45">
        <v>1</v>
      </c>
      <c r="H1735" s="46">
        <v>0</v>
      </c>
      <c r="I1735" s="47">
        <f>IFERROR(VLOOKUP(D1735,EQUIPOS!A:F,6,FALSE()),0)</f>
        <v>204187.39332383199</v>
      </c>
      <c r="J1735" s="42">
        <f>G1735*I1735</f>
        <v>204187.39332383199</v>
      </c>
      <c r="K1735" s="15" t="str">
        <f t="shared" si="196"/>
        <v>PTO-1910|EQ</v>
      </c>
      <c r="L1735" s="15">
        <f>COUNTIFS($K$2:K1735,K1735)</f>
        <v>1</v>
      </c>
      <c r="M1735" s="15" t="str">
        <f t="shared" si="197"/>
        <v>PTO-1910|EQ|1</v>
      </c>
      <c r="N1735" s="47">
        <f>IFERROR(VLOOKUP(A1735,PARTIDAS!A:F,6,FALSE()),0)</f>
        <v>1</v>
      </c>
      <c r="O1735" s="247">
        <f t="shared" si="198"/>
        <v>1</v>
      </c>
      <c r="P1735" s="247">
        <f>+_xlfn.XLOOKUP(A1735,PPTO_GENERADOR!Q:Q,PPTO_GENERADOR!E:E,"-",0)</f>
        <v>1</v>
      </c>
      <c r="Q1735" s="247">
        <f t="shared" si="199"/>
        <v>1</v>
      </c>
      <c r="R1735" s="259">
        <f>+_xlfn.XLOOKUP(A1735,PPTO_GENERADOR!$Q:$Q,PPTO_GENERADOR!A:A,"-",0)</f>
        <v>19.100000000000001</v>
      </c>
    </row>
    <row r="1736" spans="1:18" ht="14.25" customHeight="1" x14ac:dyDescent="0.35">
      <c r="A1736" s="38" t="s">
        <v>339</v>
      </c>
      <c r="B1736" s="38" t="s">
        <v>2774</v>
      </c>
      <c r="C1736" s="38" t="s">
        <v>2775</v>
      </c>
      <c r="D1736" s="38" t="s">
        <v>1303</v>
      </c>
      <c r="E1736" s="44" t="str">
        <f>IFERROR(VLOOKUP(D1736,MATERIALES!A:B,2,FALSE()),"?")</f>
        <v>Distribución agua fria y caliente en planta tipo [AF.AC]</v>
      </c>
      <c r="F1736" s="44" t="str">
        <f>IFERROR(VLOOKUP(D1736,MATERIALES!A:C,3,FALSE()),"?")</f>
        <v>gl</v>
      </c>
      <c r="G1736" s="45">
        <v>1</v>
      </c>
      <c r="H1736" s="46">
        <v>0</v>
      </c>
      <c r="I1736" s="47">
        <f>IFERROR(VLOOKUP(D1736,MATERIALES!A:D,4,FALSE()),0)</f>
        <v>2976289.8522000001</v>
      </c>
      <c r="J1736" s="42">
        <f>G1736*I1736*(1+H1736)</f>
        <v>2976289.8522000001</v>
      </c>
      <c r="K1736" s="15" t="str">
        <f t="shared" si="196"/>
        <v>PTO-1910|MAT</v>
      </c>
      <c r="L1736" s="15">
        <f>COUNTIFS($K$2:K1736,K1736)</f>
        <v>1</v>
      </c>
      <c r="M1736" s="15" t="str">
        <f t="shared" si="197"/>
        <v>PTO-1910|MAT|1</v>
      </c>
      <c r="N1736" s="47">
        <f>IFERROR(VLOOKUP(A1736,PARTIDAS!A:F,6,FALSE()),0)</f>
        <v>1</v>
      </c>
      <c r="O1736" s="247">
        <f t="shared" si="198"/>
        <v>1</v>
      </c>
      <c r="P1736" s="247">
        <f>+_xlfn.XLOOKUP(A1736,PPTO_GENERADOR!Q:Q,PPTO_GENERADOR!E:E,"-",0)</f>
        <v>1</v>
      </c>
      <c r="Q1736" s="247">
        <f t="shared" si="199"/>
        <v>1</v>
      </c>
      <c r="R1736" s="259">
        <f>+_xlfn.XLOOKUP(A1736,PPTO_GENERADOR!$Q:$Q,PPTO_GENERADOR!A:A,"-",0)</f>
        <v>19.100000000000001</v>
      </c>
    </row>
    <row r="1737" spans="1:18" ht="14.25" customHeight="1" x14ac:dyDescent="0.35">
      <c r="A1737" s="38" t="s">
        <v>339</v>
      </c>
      <c r="B1737" s="38" t="s">
        <v>2776</v>
      </c>
      <c r="C1737" s="38" t="s">
        <v>2775</v>
      </c>
      <c r="D1737" s="38" t="s">
        <v>2359</v>
      </c>
      <c r="E1737" s="44" t="str">
        <f>IFERROR(VLOOKUP(D1737,SUBCONTRATOS_PRY!A:B,2,FALSE()),"?")</f>
        <v>MO Distribución agua fria y caliente en planta tipo [AF.AC]</v>
      </c>
      <c r="F1737" s="44" t="s">
        <v>2778</v>
      </c>
      <c r="G1737" s="45">
        <v>1</v>
      </c>
      <c r="H1737" s="46">
        <v>0</v>
      </c>
      <c r="I1737" s="47">
        <f>IFERROR(VLOOKUP(D1737,SUBCONTRATOS_PRY!A:D,4,FALSE()),0)</f>
        <v>10636203.036055399</v>
      </c>
      <c r="J1737" s="42">
        <f>G1737*I1737</f>
        <v>10636203.036055399</v>
      </c>
      <c r="K1737" s="15" t="str">
        <f t="shared" si="196"/>
        <v>PTO-1910|MO</v>
      </c>
      <c r="L1737" s="15">
        <f>COUNTIFS($K$2:K1737,K1737)</f>
        <v>1</v>
      </c>
      <c r="M1737" s="15" t="str">
        <f t="shared" si="197"/>
        <v>PTO-1910|MO|1</v>
      </c>
      <c r="N1737" s="47">
        <f>IFERROR(VLOOKUP(A1737,PARTIDAS!A:F,6,FALSE()),0)</f>
        <v>1</v>
      </c>
      <c r="O1737" s="247">
        <f t="shared" si="198"/>
        <v>1</v>
      </c>
      <c r="P1737" s="247">
        <f>+_xlfn.XLOOKUP(A1737,PPTO_GENERADOR!Q:Q,PPTO_GENERADOR!E:E,"-",0)</f>
        <v>1</v>
      </c>
      <c r="Q1737" s="247">
        <f t="shared" si="199"/>
        <v>1</v>
      </c>
      <c r="R1737" s="259">
        <f>+_xlfn.XLOOKUP(A1737,PPTO_GENERADOR!$Q:$Q,PPTO_GENERADOR!A:A,"-",0)</f>
        <v>19.100000000000001</v>
      </c>
    </row>
    <row r="1738" spans="1:18" ht="14.25" customHeight="1" x14ac:dyDescent="0.35">
      <c r="A1738" s="38" t="s">
        <v>341</v>
      </c>
      <c r="B1738" s="38" t="s">
        <v>2773</v>
      </c>
      <c r="C1738" s="38"/>
      <c r="D1738" s="38" t="s">
        <v>1983</v>
      </c>
      <c r="E1738" s="44" t="str">
        <f>IFERROR(VLOOKUP(D1738,EQUIPOS!A:B,2,FALSE()),"?")</f>
        <v>Herramientas menores y consumibles - Colocación de artefactos y griferias</v>
      </c>
      <c r="F1738" s="44"/>
      <c r="G1738" s="45">
        <v>1</v>
      </c>
      <c r="H1738" s="46">
        <v>0</v>
      </c>
      <c r="I1738" s="47">
        <f>IFERROR(VLOOKUP(D1738,EQUIPOS!A:F,6,FALSE()),0)</f>
        <v>69010.743634148894</v>
      </c>
      <c r="J1738" s="42">
        <f>G1738*I1738</f>
        <v>69010.743634148894</v>
      </c>
      <c r="K1738" s="15" t="str">
        <f t="shared" si="196"/>
        <v>PTO-1911|EQ</v>
      </c>
      <c r="L1738" s="15">
        <f>COUNTIFS($K$2:K1738,K1738)</f>
        <v>1</v>
      </c>
      <c r="M1738" s="15" t="str">
        <f t="shared" si="197"/>
        <v>PTO-1911|EQ|1</v>
      </c>
      <c r="N1738" s="47">
        <f>IFERROR(VLOOKUP(A1738,PARTIDAS!A:F,6,FALSE()),0)</f>
        <v>1</v>
      </c>
      <c r="O1738" s="247">
        <f t="shared" si="198"/>
        <v>1</v>
      </c>
      <c r="P1738" s="247">
        <f>+_xlfn.XLOOKUP(A1738,PPTO_GENERADOR!Q:Q,PPTO_GENERADOR!E:E,"-",0)</f>
        <v>1</v>
      </c>
      <c r="Q1738" s="247">
        <f t="shared" si="199"/>
        <v>1</v>
      </c>
      <c r="R1738" s="259">
        <f>+_xlfn.XLOOKUP(A1738,PPTO_GENERADOR!$Q:$Q,PPTO_GENERADOR!A:A,"-",0)</f>
        <v>19.11</v>
      </c>
    </row>
    <row r="1739" spans="1:18" ht="14.25" customHeight="1" x14ac:dyDescent="0.35">
      <c r="A1739" s="38" t="s">
        <v>341</v>
      </c>
      <c r="B1739" s="38" t="s">
        <v>2774</v>
      </c>
      <c r="C1739" s="38" t="s">
        <v>2775</v>
      </c>
      <c r="D1739" s="38" t="s">
        <v>1305</v>
      </c>
      <c r="E1739" s="44" t="str">
        <f>IFERROR(VLOOKUP(D1739,MATERIALES!A:B,2,FALSE()),"?")</f>
        <v>Colocación de artefactos y griferias [AF.AC]</v>
      </c>
      <c r="F1739" s="44" t="str">
        <f>IFERROR(VLOOKUP(D1739,MATERIALES!A:C,3,FALSE()),"?")</f>
        <v>gl</v>
      </c>
      <c r="G1739" s="45">
        <v>1</v>
      </c>
      <c r="H1739" s="46">
        <v>0</v>
      </c>
      <c r="I1739" s="47">
        <f>IFERROR(VLOOKUP(D1739,MATERIALES!A:D,4,FALSE()),0)</f>
        <v>2023467.36</v>
      </c>
      <c r="J1739" s="42">
        <f>G1739*I1739*(1+H1739)</f>
        <v>2023467.36</v>
      </c>
      <c r="K1739" s="15" t="str">
        <f t="shared" si="196"/>
        <v>PTO-1911|MAT</v>
      </c>
      <c r="L1739" s="15">
        <f>COUNTIFS($K$2:K1739,K1739)</f>
        <v>1</v>
      </c>
      <c r="M1739" s="15" t="str">
        <f t="shared" si="197"/>
        <v>PTO-1911|MAT|1</v>
      </c>
      <c r="N1739" s="47">
        <f>IFERROR(VLOOKUP(A1739,PARTIDAS!A:F,6,FALSE()),0)</f>
        <v>1</v>
      </c>
      <c r="O1739" s="247">
        <f t="shared" si="198"/>
        <v>1</v>
      </c>
      <c r="P1739" s="247">
        <f>+_xlfn.XLOOKUP(A1739,PPTO_GENERADOR!Q:Q,PPTO_GENERADOR!E:E,"-",0)</f>
        <v>1</v>
      </c>
      <c r="Q1739" s="247">
        <f t="shared" si="199"/>
        <v>1</v>
      </c>
      <c r="R1739" s="259">
        <f>+_xlfn.XLOOKUP(A1739,PPTO_GENERADOR!$Q:$Q,PPTO_GENERADOR!A:A,"-",0)</f>
        <v>19.11</v>
      </c>
    </row>
    <row r="1740" spans="1:18" ht="14.25" customHeight="1" x14ac:dyDescent="0.35">
      <c r="A1740" s="38" t="s">
        <v>341</v>
      </c>
      <c r="B1740" s="38" t="s">
        <v>2776</v>
      </c>
      <c r="C1740" s="38" t="s">
        <v>2775</v>
      </c>
      <c r="D1740" s="38" t="s">
        <v>2361</v>
      </c>
      <c r="E1740" s="44" t="str">
        <f>IFERROR(VLOOKUP(D1740,SUBCONTRATOS_PRY!A:B,2,FALSE()),"?")</f>
        <v>MO Colocación de artefactos y griferias [AF.AC]</v>
      </c>
      <c r="F1740" s="44" t="s">
        <v>2778</v>
      </c>
      <c r="G1740" s="45">
        <v>1</v>
      </c>
      <c r="H1740" s="46">
        <v>0</v>
      </c>
      <c r="I1740" s="47">
        <f>IFERROR(VLOOKUP(D1740,SUBCONTRATOS_PRY!A:D,4,FALSE()),0)</f>
        <v>2577248.88227659</v>
      </c>
      <c r="J1740" s="42">
        <f>G1740*I1740</f>
        <v>2577248.88227659</v>
      </c>
      <c r="K1740" s="15" t="str">
        <f t="shared" si="196"/>
        <v>PTO-1911|MO</v>
      </c>
      <c r="L1740" s="15">
        <f>COUNTIFS($K$2:K1740,K1740)</f>
        <v>1</v>
      </c>
      <c r="M1740" s="15" t="str">
        <f t="shared" si="197"/>
        <v>PTO-1911|MO|1</v>
      </c>
      <c r="N1740" s="47">
        <f>IFERROR(VLOOKUP(A1740,PARTIDAS!A:F,6,FALSE()),0)</f>
        <v>1</v>
      </c>
      <c r="O1740" s="247">
        <f t="shared" si="198"/>
        <v>1</v>
      </c>
      <c r="P1740" s="247">
        <f>+_xlfn.XLOOKUP(A1740,PPTO_GENERADOR!Q:Q,PPTO_GENERADOR!E:E,"-",0)</f>
        <v>1</v>
      </c>
      <c r="Q1740" s="247">
        <f t="shared" si="199"/>
        <v>1</v>
      </c>
      <c r="R1740" s="259">
        <f>+_xlfn.XLOOKUP(A1740,PPTO_GENERADOR!$Q:$Q,PPTO_GENERADOR!A:A,"-",0)</f>
        <v>19.11</v>
      </c>
    </row>
    <row r="1741" spans="1:18" ht="14.25" customHeight="1" x14ac:dyDescent="0.35">
      <c r="A1741" s="38" t="s">
        <v>343</v>
      </c>
      <c r="B1741" s="38" t="s">
        <v>2773</v>
      </c>
      <c r="C1741" s="38"/>
      <c r="D1741" s="38" t="s">
        <v>1752</v>
      </c>
      <c r="E1741" s="44" t="str">
        <f>IFERROR(VLOOKUP(D1741,EQUIPOS!A:B,2,FALSE()),"?")</f>
        <v>Herramientas y consumibles Armado y conexionado de desagües AA.CC</v>
      </c>
      <c r="F1741" s="44"/>
      <c r="G1741" s="45">
        <v>1</v>
      </c>
      <c r="H1741" s="46">
        <v>0</v>
      </c>
      <c r="I1741" s="47">
        <f>IFERROR(VLOOKUP(D1741,EQUIPOS!A:F,6,FALSE()),0)</f>
        <v>29250</v>
      </c>
      <c r="J1741" s="42">
        <f>G1741*I1741</f>
        <v>29250</v>
      </c>
      <c r="K1741" s="15" t="str">
        <f t="shared" si="196"/>
        <v>PTO-1912|EQ</v>
      </c>
      <c r="L1741" s="15">
        <f>COUNTIFS($K$2:K1741,K1741)</f>
        <v>1</v>
      </c>
      <c r="M1741" s="15" t="str">
        <f t="shared" si="197"/>
        <v>PTO-1912|EQ|1</v>
      </c>
      <c r="N1741" s="47">
        <f>IFERROR(VLOOKUP(A1741,PARTIDAS!A:F,6,FALSE()),0)</f>
        <v>1</v>
      </c>
      <c r="O1741" s="247">
        <f t="shared" si="198"/>
        <v>1</v>
      </c>
      <c r="P1741" s="247">
        <f>+_xlfn.XLOOKUP(A1741,PPTO_GENERADOR!Q:Q,PPTO_GENERADOR!E:E,"-",0)</f>
        <v>1</v>
      </c>
      <c r="Q1741" s="247">
        <f t="shared" si="199"/>
        <v>1</v>
      </c>
      <c r="R1741" s="259">
        <f>+_xlfn.XLOOKUP(A1741,PPTO_GENERADOR!$Q:$Q,PPTO_GENERADOR!A:A,"-",0)</f>
        <v>19.12</v>
      </c>
    </row>
    <row r="1742" spans="1:18" ht="14.25" customHeight="1" x14ac:dyDescent="0.35">
      <c r="A1742" s="38" t="s">
        <v>343</v>
      </c>
      <c r="B1742" s="38" t="s">
        <v>2774</v>
      </c>
      <c r="C1742" s="38" t="s">
        <v>2775</v>
      </c>
      <c r="D1742" s="38" t="s">
        <v>1307</v>
      </c>
      <c r="E1742" s="44" t="str">
        <f>IFERROR(VLOOKUP(D1742,MATERIALES!A:B,2,FALSE()),"?")</f>
        <v>Armado y conexionado de desagües AA.CC</v>
      </c>
      <c r="F1742" s="44" t="str">
        <f>IFERROR(VLOOKUP(D1742,MATERIALES!A:C,3,FALSE()),"?")</f>
        <v>gl</v>
      </c>
      <c r="G1742" s="45">
        <v>1</v>
      </c>
      <c r="H1742" s="46">
        <v>0</v>
      </c>
      <c r="I1742" s="47">
        <f>IFERROR(VLOOKUP(D1742,MATERIALES!A:D,4,FALSE()),0)</f>
        <v>450000</v>
      </c>
      <c r="J1742" s="42">
        <f>G1742*I1742*(1+H1742)</f>
        <v>450000</v>
      </c>
      <c r="K1742" s="15" t="str">
        <f t="shared" si="196"/>
        <v>PTO-1912|MAT</v>
      </c>
      <c r="L1742" s="15">
        <f>COUNTIFS($K$2:K1742,K1742)</f>
        <v>1</v>
      </c>
      <c r="M1742" s="15" t="str">
        <f t="shared" si="197"/>
        <v>PTO-1912|MAT|1</v>
      </c>
      <c r="N1742" s="47">
        <f>IFERROR(VLOOKUP(A1742,PARTIDAS!A:F,6,FALSE()),0)</f>
        <v>1</v>
      </c>
      <c r="O1742" s="247">
        <f t="shared" si="198"/>
        <v>1</v>
      </c>
      <c r="P1742" s="247">
        <f>+_xlfn.XLOOKUP(A1742,PPTO_GENERADOR!Q:Q,PPTO_GENERADOR!E:E,"-",0)</f>
        <v>1</v>
      </c>
      <c r="Q1742" s="247">
        <f t="shared" si="199"/>
        <v>1</v>
      </c>
      <c r="R1742" s="259">
        <f>+_xlfn.XLOOKUP(A1742,PPTO_GENERADOR!$Q:$Q,PPTO_GENERADOR!A:A,"-",0)</f>
        <v>19.12</v>
      </c>
    </row>
    <row r="1743" spans="1:18" ht="14.25" customHeight="1" x14ac:dyDescent="0.35">
      <c r="A1743" s="38" t="s">
        <v>343</v>
      </c>
      <c r="B1743" s="38" t="s">
        <v>2776</v>
      </c>
      <c r="C1743" s="38" t="s">
        <v>2775</v>
      </c>
      <c r="D1743" s="38" t="s">
        <v>2363</v>
      </c>
      <c r="E1743" s="44" t="str">
        <f>IFERROR(VLOOKUP(D1743,SUBCONTRATOS_PRY!A:B,2,FALSE()),"?")</f>
        <v>MO Armado y conexionado de desagües AA.CC</v>
      </c>
      <c r="F1743" s="44" t="s">
        <v>2778</v>
      </c>
      <c r="G1743" s="45">
        <v>1</v>
      </c>
      <c r="H1743" s="46">
        <v>0</v>
      </c>
      <c r="I1743" s="47">
        <f>IFERROR(VLOOKUP(D1743,SUBCONTRATOS_PRY!A:D,4,FALSE()),0)</f>
        <v>1500000</v>
      </c>
      <c r="J1743" s="42">
        <f>G1743*I1743</f>
        <v>1500000</v>
      </c>
      <c r="K1743" s="15" t="str">
        <f t="shared" si="196"/>
        <v>PTO-1912|MO</v>
      </c>
      <c r="L1743" s="15">
        <f>COUNTIFS($K$2:K1743,K1743)</f>
        <v>1</v>
      </c>
      <c r="M1743" s="15" t="str">
        <f t="shared" si="197"/>
        <v>PTO-1912|MO|1</v>
      </c>
      <c r="N1743" s="47">
        <f>IFERROR(VLOOKUP(A1743,PARTIDAS!A:F,6,FALSE()),0)</f>
        <v>1</v>
      </c>
      <c r="O1743" s="247">
        <f t="shared" si="198"/>
        <v>1</v>
      </c>
      <c r="P1743" s="247">
        <f>+_xlfn.XLOOKUP(A1743,PPTO_GENERADOR!Q:Q,PPTO_GENERADOR!E:E,"-",0)</f>
        <v>1</v>
      </c>
      <c r="Q1743" s="247">
        <f t="shared" si="199"/>
        <v>1</v>
      </c>
      <c r="R1743" s="259">
        <f>+_xlfn.XLOOKUP(A1743,PPTO_GENERADOR!$Q:$Q,PPTO_GENERADOR!A:A,"-",0)</f>
        <v>19.12</v>
      </c>
    </row>
    <row r="1744" spans="1:18" ht="14.25" customHeight="1" x14ac:dyDescent="0.35">
      <c r="A1744" s="38" t="s">
        <v>345</v>
      </c>
      <c r="B1744" s="38" t="s">
        <v>2773</v>
      </c>
      <c r="C1744" s="38"/>
      <c r="D1744" s="38" t="s">
        <v>1986</v>
      </c>
      <c r="E1744" s="44" t="str">
        <f>IFERROR(VLOOKUP(D1744,EQUIPOS!A:B,2,FALSE()),"?")</f>
        <v>Herramientas menores y consumibles - Tendido de cañerías de piso radiante - Colectores,</v>
      </c>
      <c r="F1744" s="44"/>
      <c r="G1744" s="45">
        <v>1</v>
      </c>
      <c r="H1744" s="46">
        <v>0</v>
      </c>
      <c r="I1744" s="47">
        <f>IFERROR(VLOOKUP(D1744,EQUIPOS!A:F,6,FALSE()),0)</f>
        <v>399227.87518155301</v>
      </c>
      <c r="J1744" s="42">
        <f>G1744*I1744</f>
        <v>399227.87518155301</v>
      </c>
      <c r="K1744" s="15" t="str">
        <f t="shared" si="196"/>
        <v>PTO-1913|EQ</v>
      </c>
      <c r="L1744" s="15">
        <f>COUNTIFS($K$2:K1744,K1744)</f>
        <v>1</v>
      </c>
      <c r="M1744" s="15" t="str">
        <f t="shared" si="197"/>
        <v>PTO-1913|EQ|1</v>
      </c>
      <c r="N1744" s="47">
        <f>IFERROR(VLOOKUP(A1744,PARTIDAS!A:F,6,FALSE()),0)</f>
        <v>1</v>
      </c>
      <c r="O1744" s="247">
        <f t="shared" si="198"/>
        <v>1</v>
      </c>
      <c r="P1744" s="247">
        <f>+_xlfn.XLOOKUP(A1744,PPTO_GENERADOR!Q:Q,PPTO_GENERADOR!E:E,"-",0)</f>
        <v>1</v>
      </c>
      <c r="Q1744" s="247">
        <f t="shared" si="199"/>
        <v>1</v>
      </c>
      <c r="R1744" s="259">
        <f>+_xlfn.XLOOKUP(A1744,PPTO_GENERADOR!$Q:$Q,PPTO_GENERADOR!A:A,"-",0)</f>
        <v>19.13</v>
      </c>
    </row>
    <row r="1745" spans="1:18" ht="14.25" customHeight="1" x14ac:dyDescent="0.35">
      <c r="A1745" s="38" t="s">
        <v>345</v>
      </c>
      <c r="B1745" s="38" t="s">
        <v>2774</v>
      </c>
      <c r="C1745" s="38" t="s">
        <v>2775</v>
      </c>
      <c r="D1745" s="38" t="s">
        <v>1472</v>
      </c>
      <c r="E1745" s="44" t="str">
        <f>IFERROR(VLOOKUP(D1745,MATERIALES!A:B,2,FALSE()),"?")</f>
        <v>Tubo Ø 16 mm PEX, rollo por 240 m - HidroFlex Saladillo</v>
      </c>
      <c r="F1745" s="44" t="str">
        <f>IFERROR(VLOOKUP(D1745,MATERIALES!A:C,3,FALSE()),"?")</f>
        <v>rol</v>
      </c>
      <c r="G1745" s="45">
        <v>13</v>
      </c>
      <c r="H1745" s="46">
        <v>0</v>
      </c>
      <c r="I1745" s="47">
        <f>IFERROR(VLOOKUP(D1745,MATERIALES!A:D,4,FALSE()),0)</f>
        <v>190020.54</v>
      </c>
      <c r="J1745" s="42">
        <f t="shared" ref="J1745:J1755" si="200">G1745*I1745*(1+H1745)</f>
        <v>2470267.02</v>
      </c>
      <c r="K1745" s="15" t="str">
        <f t="shared" si="196"/>
        <v>PTO-1913|MAT</v>
      </c>
      <c r="L1745" s="15">
        <f>COUNTIFS($K$2:K1745,K1745)</f>
        <v>1</v>
      </c>
      <c r="M1745" s="15" t="str">
        <f t="shared" si="197"/>
        <v>PTO-1913|MAT|1</v>
      </c>
      <c r="N1745" s="47">
        <f>IFERROR(VLOOKUP(A1745,PARTIDAS!A:F,6,FALSE()),0)</f>
        <v>1</v>
      </c>
      <c r="O1745" s="247">
        <f t="shared" si="198"/>
        <v>13</v>
      </c>
      <c r="P1745" s="247">
        <f>+_xlfn.XLOOKUP(A1745,PPTO_GENERADOR!Q:Q,PPTO_GENERADOR!E:E,"-",0)</f>
        <v>1</v>
      </c>
      <c r="Q1745" s="247">
        <f t="shared" si="199"/>
        <v>13</v>
      </c>
      <c r="R1745" s="259">
        <f>+_xlfn.XLOOKUP(A1745,PPTO_GENERADOR!$Q:$Q,PPTO_GENERADOR!A:A,"-",0)</f>
        <v>19.13</v>
      </c>
    </row>
    <row r="1746" spans="1:18" ht="14.25" customHeight="1" x14ac:dyDescent="0.35">
      <c r="A1746" s="38" t="s">
        <v>345</v>
      </c>
      <c r="B1746" s="38" t="s">
        <v>2774</v>
      </c>
      <c r="C1746" s="38" t="s">
        <v>2775</v>
      </c>
      <c r="D1746" s="38" t="s">
        <v>1474</v>
      </c>
      <c r="E1746" s="44" t="str">
        <f>IFERROR(VLOOKUP(D1746,MATERIALES!A:B,2,FALSE()),"?")</f>
        <v>Membrana térmica HidroFlex, rollo 1x20 m, e: 10 mm - HidroFlex Saladillo</v>
      </c>
      <c r="F1746" s="44" t="str">
        <f>IFERROR(VLOOKUP(D1746,MATERIALES!A:C,3,FALSE()),"?")</f>
        <v>rol</v>
      </c>
      <c r="G1746" s="45">
        <v>34</v>
      </c>
      <c r="H1746" s="46">
        <v>0</v>
      </c>
      <c r="I1746" s="47">
        <f>IFERROR(VLOOKUP(D1746,MATERIALES!A:D,4,FALSE()),0)</f>
        <v>56674.81</v>
      </c>
      <c r="J1746" s="42">
        <f t="shared" si="200"/>
        <v>1926943.54</v>
      </c>
      <c r="K1746" s="15" t="str">
        <f t="shared" si="196"/>
        <v>PTO-1913|MAT</v>
      </c>
      <c r="L1746" s="15">
        <f>COUNTIFS($K$2:K1746,K1746)</f>
        <v>2</v>
      </c>
      <c r="M1746" s="15" t="str">
        <f t="shared" si="197"/>
        <v>PTO-1913|MAT|2</v>
      </c>
      <c r="N1746" s="47">
        <f>IFERROR(VLOOKUP(A1746,PARTIDAS!A:F,6,FALSE()),0)</f>
        <v>1</v>
      </c>
      <c r="O1746" s="247">
        <f t="shared" si="198"/>
        <v>34</v>
      </c>
      <c r="P1746" s="247">
        <f>+_xlfn.XLOOKUP(A1746,PPTO_GENERADOR!Q:Q,PPTO_GENERADOR!E:E,"-",0)</f>
        <v>1</v>
      </c>
      <c r="Q1746" s="247">
        <f t="shared" si="199"/>
        <v>34</v>
      </c>
      <c r="R1746" s="259">
        <f>+_xlfn.XLOOKUP(A1746,PPTO_GENERADOR!$Q:$Q,PPTO_GENERADOR!A:A,"-",0)</f>
        <v>19.13</v>
      </c>
    </row>
    <row r="1747" spans="1:18" ht="14.25" customHeight="1" x14ac:dyDescent="0.35">
      <c r="A1747" s="38" t="s">
        <v>345</v>
      </c>
      <c r="B1747" s="38" t="s">
        <v>2774</v>
      </c>
      <c r="C1747" s="38" t="s">
        <v>2775</v>
      </c>
      <c r="D1747" s="38" t="s">
        <v>1476</v>
      </c>
      <c r="E1747" s="44" t="str">
        <f>IFERROR(VLOOKUP(D1747,MATERIALES!A:B,2,FALSE()),"?")</f>
        <v>Curva tubos Ø 16 mm - HidroFlex Saladillo</v>
      </c>
      <c r="F1747" s="44" t="str">
        <f>IFERROR(VLOOKUP(D1747,MATERIALES!A:C,3,FALSE()),"?")</f>
        <v>u</v>
      </c>
      <c r="G1747" s="45">
        <v>39</v>
      </c>
      <c r="H1747" s="46">
        <v>0</v>
      </c>
      <c r="I1747" s="47">
        <f>IFERROR(VLOOKUP(D1747,MATERIALES!A:D,4,FALSE()),0)</f>
        <v>1234.1199999999999</v>
      </c>
      <c r="J1747" s="42">
        <f t="shared" si="200"/>
        <v>48130.679999999993</v>
      </c>
      <c r="K1747" s="15" t="str">
        <f t="shared" si="196"/>
        <v>PTO-1913|MAT</v>
      </c>
      <c r="L1747" s="15">
        <f>COUNTIFS($K$2:K1747,K1747)</f>
        <v>3</v>
      </c>
      <c r="M1747" s="15" t="str">
        <f t="shared" si="197"/>
        <v>PTO-1913|MAT|3</v>
      </c>
      <c r="N1747" s="47">
        <f>IFERROR(VLOOKUP(A1747,PARTIDAS!A:F,6,FALSE()),0)</f>
        <v>1</v>
      </c>
      <c r="O1747" s="247">
        <f t="shared" si="198"/>
        <v>39</v>
      </c>
      <c r="P1747" s="247">
        <f>+_xlfn.XLOOKUP(A1747,PPTO_GENERADOR!Q:Q,PPTO_GENERADOR!E:E,"-",0)</f>
        <v>1</v>
      </c>
      <c r="Q1747" s="247">
        <f t="shared" si="199"/>
        <v>39</v>
      </c>
      <c r="R1747" s="259">
        <f>+_xlfn.XLOOKUP(A1747,PPTO_GENERADOR!$Q:$Q,PPTO_GENERADOR!A:A,"-",0)</f>
        <v>19.13</v>
      </c>
    </row>
    <row r="1748" spans="1:18" ht="14.25" customHeight="1" x14ac:dyDescent="0.35">
      <c r="A1748" s="38" t="s">
        <v>345</v>
      </c>
      <c r="B1748" s="38" t="s">
        <v>2774</v>
      </c>
      <c r="C1748" s="38" t="s">
        <v>2775</v>
      </c>
      <c r="D1748" s="38" t="s">
        <v>1478</v>
      </c>
      <c r="E1748" s="44" t="str">
        <f>IFERROR(VLOOKUP(D1748,MATERIALES!A:B,2,FALSE()),"?")</f>
        <v>Precintos 200 mm x paquete</v>
      </c>
      <c r="F1748" s="44" t="str">
        <f>IFERROR(VLOOKUP(D1748,MATERIALES!A:C,3,FALSE()),"?")</f>
        <v>paq</v>
      </c>
      <c r="G1748" s="45">
        <v>28</v>
      </c>
      <c r="H1748" s="46">
        <v>0</v>
      </c>
      <c r="I1748" s="47">
        <f>IFERROR(VLOOKUP(D1748,MATERIALES!A:D,4,FALSE()),0)</f>
        <v>4158.84</v>
      </c>
      <c r="J1748" s="42">
        <f t="shared" si="200"/>
        <v>116447.52</v>
      </c>
      <c r="K1748" s="15" t="str">
        <f t="shared" si="196"/>
        <v>PTO-1913|MAT</v>
      </c>
      <c r="L1748" s="15">
        <f>COUNTIFS($K$2:K1748,K1748)</f>
        <v>4</v>
      </c>
      <c r="M1748" s="15" t="str">
        <f t="shared" si="197"/>
        <v>PTO-1913|MAT|4</v>
      </c>
      <c r="N1748" s="47">
        <f>IFERROR(VLOOKUP(A1748,PARTIDAS!A:F,6,FALSE()),0)</f>
        <v>1</v>
      </c>
      <c r="O1748" s="247">
        <f t="shared" si="198"/>
        <v>28</v>
      </c>
      <c r="P1748" s="247">
        <f>+_xlfn.XLOOKUP(A1748,PPTO_GENERADOR!Q:Q,PPTO_GENERADOR!E:E,"-",0)</f>
        <v>1</v>
      </c>
      <c r="Q1748" s="247">
        <f t="shared" si="199"/>
        <v>28</v>
      </c>
      <c r="R1748" s="259">
        <f>+_xlfn.XLOOKUP(A1748,PPTO_GENERADOR!$Q:$Q,PPTO_GENERADOR!A:A,"-",0)</f>
        <v>19.13</v>
      </c>
    </row>
    <row r="1749" spans="1:18" ht="14.25" customHeight="1" x14ac:dyDescent="0.35">
      <c r="A1749" s="38" t="s">
        <v>345</v>
      </c>
      <c r="B1749" s="38" t="s">
        <v>2774</v>
      </c>
      <c r="C1749" s="38" t="s">
        <v>2775</v>
      </c>
      <c r="D1749" s="38" t="s">
        <v>1480</v>
      </c>
      <c r="E1749" s="44" t="str">
        <f>IFERROR(VLOOKUP(D1749,MATERIALES!A:B,2,FALSE()),"?")</f>
        <v>Codo c/rosca 3/4"</v>
      </c>
      <c r="F1749" s="44" t="str">
        <f>IFERROR(VLOOKUP(D1749,MATERIALES!A:C,3,FALSE()),"?")</f>
        <v>u</v>
      </c>
      <c r="G1749" s="45">
        <v>16</v>
      </c>
      <c r="H1749" s="46">
        <v>0</v>
      </c>
      <c r="I1749" s="47">
        <f>IFERROR(VLOOKUP(D1749,MATERIALES!A:D,4,FALSE()),0)</f>
        <v>1943.21</v>
      </c>
      <c r="J1749" s="42">
        <f t="shared" si="200"/>
        <v>31091.360000000001</v>
      </c>
      <c r="K1749" s="15" t="str">
        <f t="shared" si="196"/>
        <v>PTO-1913|MAT</v>
      </c>
      <c r="L1749" s="15">
        <f>COUNTIFS($K$2:K1749,K1749)</f>
        <v>5</v>
      </c>
      <c r="M1749" s="15" t="str">
        <f t="shared" si="197"/>
        <v>PTO-1913|MAT|5</v>
      </c>
      <c r="N1749" s="47">
        <f>IFERROR(VLOOKUP(A1749,PARTIDAS!A:F,6,FALSE()),0)</f>
        <v>1</v>
      </c>
      <c r="O1749" s="247">
        <f t="shared" si="198"/>
        <v>16</v>
      </c>
      <c r="P1749" s="247">
        <f>+_xlfn.XLOOKUP(A1749,PPTO_GENERADOR!Q:Q,PPTO_GENERADOR!E:E,"-",0)</f>
        <v>1</v>
      </c>
      <c r="Q1749" s="247">
        <f t="shared" si="199"/>
        <v>16</v>
      </c>
      <c r="R1749" s="259">
        <f>+_xlfn.XLOOKUP(A1749,PPTO_GENERADOR!$Q:$Q,PPTO_GENERADOR!A:A,"-",0)</f>
        <v>19.13</v>
      </c>
    </row>
    <row r="1750" spans="1:18" ht="14.25" customHeight="1" x14ac:dyDescent="0.35">
      <c r="A1750" s="38" t="s">
        <v>345</v>
      </c>
      <c r="B1750" s="38" t="s">
        <v>2774</v>
      </c>
      <c r="C1750" s="38" t="s">
        <v>2775</v>
      </c>
      <c r="D1750" s="38" t="s">
        <v>1482</v>
      </c>
      <c r="E1750" s="44" t="str">
        <f>IFERROR(VLOOKUP(D1750,MATERIALES!A:B,2,FALSE()),"?")</f>
        <v>H-3 TUBO AGUA CALIENTE 19X3.9X6</v>
      </c>
      <c r="F1750" s="44" t="str">
        <f>IFERROR(VLOOKUP(D1750,MATERIALES!A:C,3,FALSE()),"?")</f>
        <v>tira</v>
      </c>
      <c r="G1750" s="45">
        <v>16</v>
      </c>
      <c r="H1750" s="46">
        <v>0</v>
      </c>
      <c r="I1750" s="47">
        <f>IFERROR(VLOOKUP(D1750,MATERIALES!A:D,4,FALSE()),0)</f>
        <v>10449.84</v>
      </c>
      <c r="J1750" s="42">
        <f t="shared" si="200"/>
        <v>167197.44</v>
      </c>
      <c r="K1750" s="15" t="str">
        <f t="shared" si="196"/>
        <v>PTO-1913|MAT</v>
      </c>
      <c r="L1750" s="15">
        <f>COUNTIFS($K$2:K1750,K1750)</f>
        <v>6</v>
      </c>
      <c r="M1750" s="15" t="str">
        <f t="shared" si="197"/>
        <v>PTO-1913|MAT|6</v>
      </c>
      <c r="N1750" s="47">
        <f>IFERROR(VLOOKUP(A1750,PARTIDAS!A:F,6,FALSE()),0)</f>
        <v>1</v>
      </c>
      <c r="O1750" s="247">
        <f t="shared" si="198"/>
        <v>16</v>
      </c>
      <c r="P1750" s="247">
        <f>+_xlfn.XLOOKUP(A1750,PPTO_GENERADOR!Q:Q,PPTO_GENERADOR!E:E,"-",0)</f>
        <v>1</v>
      </c>
      <c r="Q1750" s="247">
        <f t="shared" si="199"/>
        <v>16</v>
      </c>
      <c r="R1750" s="259">
        <f>+_xlfn.XLOOKUP(A1750,PPTO_GENERADOR!$Q:$Q,PPTO_GENERADOR!A:A,"-",0)</f>
        <v>19.13</v>
      </c>
    </row>
    <row r="1751" spans="1:18" ht="14.25" customHeight="1" x14ac:dyDescent="0.35">
      <c r="A1751" s="38" t="s">
        <v>345</v>
      </c>
      <c r="B1751" s="38" t="s">
        <v>2774</v>
      </c>
      <c r="C1751" s="38" t="s">
        <v>2775</v>
      </c>
      <c r="D1751" s="38" t="s">
        <v>1485</v>
      </c>
      <c r="E1751" s="44" t="str">
        <f>IFERROR(VLOOKUP(D1751,MATERIALES!A:B,2,FALSE()),"?")</f>
        <v>Codo 3/4"</v>
      </c>
      <c r="F1751" s="44" t="str">
        <f>IFERROR(VLOOKUP(D1751,MATERIALES!A:C,3,FALSE()),"?")</f>
        <v>u</v>
      </c>
      <c r="G1751" s="45">
        <v>32</v>
      </c>
      <c r="H1751" s="46">
        <v>0</v>
      </c>
      <c r="I1751" s="47">
        <f>IFERROR(VLOOKUP(D1751,MATERIALES!A:D,4,FALSE()),0)</f>
        <v>429.89</v>
      </c>
      <c r="J1751" s="42">
        <f t="shared" si="200"/>
        <v>13756.48</v>
      </c>
      <c r="K1751" s="15" t="str">
        <f t="shared" si="196"/>
        <v>PTO-1913|MAT</v>
      </c>
      <c r="L1751" s="15">
        <f>COUNTIFS($K$2:K1751,K1751)</f>
        <v>7</v>
      </c>
      <c r="M1751" s="15" t="str">
        <f t="shared" si="197"/>
        <v>PTO-1913|MAT|7</v>
      </c>
      <c r="N1751" s="47">
        <f>IFERROR(VLOOKUP(A1751,PARTIDAS!A:F,6,FALSE()),0)</f>
        <v>1</v>
      </c>
      <c r="O1751" s="247">
        <f t="shared" si="198"/>
        <v>32</v>
      </c>
      <c r="P1751" s="247">
        <f>+_xlfn.XLOOKUP(A1751,PPTO_GENERADOR!Q:Q,PPTO_GENERADOR!E:E,"-",0)</f>
        <v>1</v>
      </c>
      <c r="Q1751" s="247">
        <f t="shared" si="199"/>
        <v>32</v>
      </c>
      <c r="R1751" s="259">
        <f>+_xlfn.XLOOKUP(A1751,PPTO_GENERADOR!$Q:$Q,PPTO_GENERADOR!A:A,"-",0)</f>
        <v>19.13</v>
      </c>
    </row>
    <row r="1752" spans="1:18" ht="14.25" customHeight="1" x14ac:dyDescent="0.35">
      <c r="A1752" s="38" t="s">
        <v>345</v>
      </c>
      <c r="B1752" s="38" t="s">
        <v>2774</v>
      </c>
      <c r="C1752" s="38" t="s">
        <v>2775</v>
      </c>
      <c r="D1752" s="38" t="s">
        <v>1487</v>
      </c>
      <c r="E1752" s="44" t="str">
        <f>IFERROR(VLOOKUP(D1752,MATERIALES!A:B,2,FALSE()),"?")</f>
        <v>Coverthor blanco 3/8" (Ø 16mm) - Coverthor Saladillo</v>
      </c>
      <c r="F1752" s="44" t="str">
        <f>IFERROR(VLOOKUP(D1752,MATERIALES!A:C,3,FALSE()),"?")</f>
        <v>tira</v>
      </c>
      <c r="G1752" s="45">
        <v>32</v>
      </c>
      <c r="H1752" s="46">
        <v>0</v>
      </c>
      <c r="I1752" s="47">
        <f>IFERROR(VLOOKUP(D1752,MATERIALES!A:D,4,FALSE()),0)</f>
        <v>852.41</v>
      </c>
      <c r="J1752" s="42">
        <f t="shared" si="200"/>
        <v>27277.119999999999</v>
      </c>
      <c r="K1752" s="15" t="str">
        <f t="shared" si="196"/>
        <v>PTO-1913|MAT</v>
      </c>
      <c r="L1752" s="15">
        <f>COUNTIFS($K$2:K1752,K1752)</f>
        <v>8</v>
      </c>
      <c r="M1752" s="15" t="str">
        <f t="shared" si="197"/>
        <v>PTO-1913|MAT|8</v>
      </c>
      <c r="N1752" s="47">
        <f>IFERROR(VLOOKUP(A1752,PARTIDAS!A:F,6,FALSE()),0)</f>
        <v>1</v>
      </c>
      <c r="O1752" s="247">
        <f t="shared" si="198"/>
        <v>32</v>
      </c>
      <c r="P1752" s="247">
        <f>+_xlfn.XLOOKUP(A1752,PPTO_GENERADOR!Q:Q,PPTO_GENERADOR!E:E,"-",0)</f>
        <v>1</v>
      </c>
      <c r="Q1752" s="247">
        <f t="shared" si="199"/>
        <v>32</v>
      </c>
      <c r="R1752" s="259">
        <f>+_xlfn.XLOOKUP(A1752,PPTO_GENERADOR!$Q:$Q,PPTO_GENERADOR!A:A,"-",0)</f>
        <v>19.13</v>
      </c>
    </row>
    <row r="1753" spans="1:18" ht="14.25" customHeight="1" x14ac:dyDescent="0.35">
      <c r="A1753" s="38" t="s">
        <v>345</v>
      </c>
      <c r="B1753" s="38" t="s">
        <v>2774</v>
      </c>
      <c r="C1753" s="38" t="s">
        <v>2775</v>
      </c>
      <c r="D1753" s="38" t="s">
        <v>1202</v>
      </c>
      <c r="E1753" s="44" t="str">
        <f>IFERROR(VLOOKUP(D1753,MATERIALES!A:B,2,FALSE()),"?")</f>
        <v>Rollo Polietileno negro 2x50 mt x 200mic</v>
      </c>
      <c r="F1753" s="44" t="str">
        <f>IFERROR(VLOOKUP(D1753,MATERIALES!A:C,3,FALSE()),"?")</f>
        <v>rol</v>
      </c>
      <c r="G1753" s="45">
        <v>4</v>
      </c>
      <c r="H1753" s="46">
        <v>0</v>
      </c>
      <c r="I1753" s="47">
        <f>IFERROR(VLOOKUP(D1753,MATERIALES!A:D,4,FALSE()),0)</f>
        <v>27000</v>
      </c>
      <c r="J1753" s="42">
        <f t="shared" si="200"/>
        <v>108000</v>
      </c>
      <c r="K1753" s="15" t="str">
        <f t="shared" si="196"/>
        <v>PTO-1913|MAT</v>
      </c>
      <c r="L1753" s="15">
        <f>COUNTIFS($K$2:K1753,K1753)</f>
        <v>9</v>
      </c>
      <c r="M1753" s="15" t="str">
        <f t="shared" si="197"/>
        <v>PTO-1913|MAT|9</v>
      </c>
      <c r="N1753" s="47">
        <f>IFERROR(VLOOKUP(A1753,PARTIDAS!A:F,6,FALSE()),0)</f>
        <v>1</v>
      </c>
      <c r="O1753" s="247">
        <f t="shared" si="198"/>
        <v>4</v>
      </c>
      <c r="P1753" s="247">
        <f>+_xlfn.XLOOKUP(A1753,PPTO_GENERADOR!Q:Q,PPTO_GENERADOR!E:E,"-",0)</f>
        <v>1</v>
      </c>
      <c r="Q1753" s="247">
        <f t="shared" si="199"/>
        <v>4</v>
      </c>
      <c r="R1753" s="259">
        <f>+_xlfn.XLOOKUP(A1753,PPTO_GENERADOR!$Q:$Q,PPTO_GENERADOR!A:A,"-",0)</f>
        <v>19.13</v>
      </c>
    </row>
    <row r="1754" spans="1:18" ht="14.25" customHeight="1" x14ac:dyDescent="0.35">
      <c r="A1754" s="38" t="s">
        <v>345</v>
      </c>
      <c r="B1754" s="38" t="s">
        <v>2774</v>
      </c>
      <c r="C1754" s="38" t="s">
        <v>2775</v>
      </c>
      <c r="D1754" s="38" t="s">
        <v>1489</v>
      </c>
      <c r="E1754" s="44" t="str">
        <f>IFERROR(VLOOKUP(D1754,MATERIALES!A:B,2,FALSE()),"?")</f>
        <v>Malla N° 4 Liv 15x15 3x2 mt</v>
      </c>
      <c r="F1754" s="44" t="str">
        <f>IFERROR(VLOOKUP(D1754,MATERIALES!A:C,3,FALSE()),"?")</f>
        <v>un</v>
      </c>
      <c r="G1754" s="45">
        <v>114</v>
      </c>
      <c r="H1754" s="46">
        <v>0</v>
      </c>
      <c r="I1754" s="47">
        <f>IFERROR(VLOOKUP(D1754,MATERIALES!A:D,4,FALSE()),0)</f>
        <v>10695.63</v>
      </c>
      <c r="J1754" s="42">
        <f t="shared" si="200"/>
        <v>1219301.8199999998</v>
      </c>
      <c r="K1754" s="15" t="str">
        <f t="shared" si="196"/>
        <v>PTO-1913|MAT</v>
      </c>
      <c r="L1754" s="15">
        <f>COUNTIFS($K$2:K1754,K1754)</f>
        <v>10</v>
      </c>
      <c r="M1754" s="15" t="str">
        <f t="shared" si="197"/>
        <v>PTO-1913|MAT|10</v>
      </c>
      <c r="N1754" s="47">
        <f>IFERROR(VLOOKUP(A1754,PARTIDAS!A:F,6,FALSE()),0)</f>
        <v>1</v>
      </c>
      <c r="O1754" s="247">
        <f t="shared" si="198"/>
        <v>114</v>
      </c>
      <c r="P1754" s="247">
        <f>+_xlfn.XLOOKUP(A1754,PPTO_GENERADOR!Q:Q,PPTO_GENERADOR!E:E,"-",0)</f>
        <v>1</v>
      </c>
      <c r="Q1754" s="247">
        <f t="shared" si="199"/>
        <v>114</v>
      </c>
      <c r="R1754" s="259">
        <f>+_xlfn.XLOOKUP(A1754,PPTO_GENERADOR!$Q:$Q,PPTO_GENERADOR!A:A,"-",0)</f>
        <v>19.13</v>
      </c>
    </row>
    <row r="1755" spans="1:18" ht="14.25" customHeight="1" x14ac:dyDescent="0.35">
      <c r="A1755" s="38" t="s">
        <v>345</v>
      </c>
      <c r="B1755" s="38" t="s">
        <v>2774</v>
      </c>
      <c r="C1755" s="38" t="s">
        <v>2775</v>
      </c>
      <c r="D1755" s="38" t="s">
        <v>1361</v>
      </c>
      <c r="E1755" s="44" t="str">
        <f>IFERROR(VLOOKUP(D1755,MATERIALES!A:B,2,FALSE()),"?")</f>
        <v>Consumibles</v>
      </c>
      <c r="F1755" s="44" t="str">
        <f>IFERROR(VLOOKUP(D1755,MATERIALES!A:C,3,FALSE()),"?")</f>
        <v>gl</v>
      </c>
      <c r="G1755" s="45">
        <v>736366.674</v>
      </c>
      <c r="H1755" s="46">
        <v>0</v>
      </c>
      <c r="I1755" s="47">
        <f>IFERROR(VLOOKUP(D1755,MATERIALES!A:D,4,FALSE()),0)</f>
        <v>1</v>
      </c>
      <c r="J1755" s="42">
        <f t="shared" si="200"/>
        <v>736366.674</v>
      </c>
      <c r="K1755" s="15" t="str">
        <f t="shared" si="196"/>
        <v>PTO-1913|MAT</v>
      </c>
      <c r="L1755" s="15">
        <f>COUNTIFS($K$2:K1755,K1755)</f>
        <v>11</v>
      </c>
      <c r="M1755" s="15" t="str">
        <f t="shared" si="197"/>
        <v>PTO-1913|MAT|11</v>
      </c>
      <c r="N1755" s="47">
        <f>IFERROR(VLOOKUP(A1755,PARTIDAS!A:F,6,FALSE()),0)</f>
        <v>1</v>
      </c>
      <c r="O1755" s="247">
        <f t="shared" si="198"/>
        <v>736366.674</v>
      </c>
      <c r="P1755" s="247">
        <f>+_xlfn.XLOOKUP(A1755,PPTO_GENERADOR!Q:Q,PPTO_GENERADOR!E:E,"-",0)</f>
        <v>1</v>
      </c>
      <c r="Q1755" s="247">
        <f t="shared" si="199"/>
        <v>736366.674</v>
      </c>
      <c r="R1755" s="259">
        <f>+_xlfn.XLOOKUP(A1755,PPTO_GENERADOR!$Q:$Q,PPTO_GENERADOR!A:A,"-",0)</f>
        <v>19.13</v>
      </c>
    </row>
    <row r="1756" spans="1:18" ht="14.25" customHeight="1" x14ac:dyDescent="0.35">
      <c r="A1756" s="38" t="s">
        <v>345</v>
      </c>
      <c r="B1756" s="38" t="s">
        <v>2776</v>
      </c>
      <c r="C1756" s="38" t="s">
        <v>2775</v>
      </c>
      <c r="D1756" s="38" t="s">
        <v>2365</v>
      </c>
      <c r="E1756" s="44" t="str">
        <f>IFERROR(VLOOKUP(D1756,SUBCONTRATOS_PRY!A:B,2,FALSE()),"?")</f>
        <v>MO Tendido de cañerías de piso radiante - Colectores, gabinetes y termostatos a cargo del comitente [SUBCONTRATOS]</v>
      </c>
      <c r="F1756" s="44" t="s">
        <v>2778</v>
      </c>
      <c r="G1756" s="45">
        <v>1</v>
      </c>
      <c r="H1756" s="46">
        <v>0</v>
      </c>
      <c r="I1756" s="47">
        <f>IFERROR(VLOOKUP(D1756,SUBCONTRATOS_PRY!A:D,4,FALSE()),0)</f>
        <v>19750412.0247702</v>
      </c>
      <c r="J1756" s="42">
        <f>G1756*I1756</f>
        <v>19750412.0247702</v>
      </c>
      <c r="K1756" s="15" t="str">
        <f t="shared" si="196"/>
        <v>PTO-1913|MO</v>
      </c>
      <c r="L1756" s="15">
        <f>COUNTIFS($K$2:K1756,K1756)</f>
        <v>1</v>
      </c>
      <c r="M1756" s="15" t="str">
        <f t="shared" si="197"/>
        <v>PTO-1913|MO|1</v>
      </c>
      <c r="N1756" s="47">
        <f>IFERROR(VLOOKUP(A1756,PARTIDAS!A:F,6,FALSE()),0)</f>
        <v>1</v>
      </c>
      <c r="O1756" s="247">
        <f t="shared" si="198"/>
        <v>1</v>
      </c>
      <c r="P1756" s="247">
        <f>+_xlfn.XLOOKUP(A1756,PPTO_GENERADOR!Q:Q,PPTO_GENERADOR!E:E,"-",0)</f>
        <v>1</v>
      </c>
      <c r="Q1756" s="247">
        <f t="shared" si="199"/>
        <v>1</v>
      </c>
      <c r="R1756" s="259">
        <f>+_xlfn.XLOOKUP(A1756,PPTO_GENERADOR!$Q:$Q,PPTO_GENERADOR!A:A,"-",0)</f>
        <v>19.13</v>
      </c>
    </row>
    <row r="1757" spans="1:18" ht="14.25" customHeight="1" x14ac:dyDescent="0.35">
      <c r="A1757" s="38" t="s">
        <v>347</v>
      </c>
      <c r="B1757" s="38" t="s">
        <v>2773</v>
      </c>
      <c r="C1757" s="38"/>
      <c r="D1757" s="38" t="s">
        <v>1989</v>
      </c>
      <c r="E1757" s="44" t="str">
        <f>IFERROR(VLOOKUP(D1757,EQUIPOS!A:B,2,FALSE()),"?")</f>
        <v xml:space="preserve">Herramientas menores y consumibles - Montaje de caldera y puesta en marcha - Provisión </v>
      </c>
      <c r="F1757" s="44"/>
      <c r="G1757" s="45">
        <v>1</v>
      </c>
      <c r="H1757" s="46">
        <v>0</v>
      </c>
      <c r="I1757" s="47">
        <f>IFERROR(VLOOKUP(D1757,EQUIPOS!A:F,6,FALSE()),0)</f>
        <v>41934.478574617002</v>
      </c>
      <c r="J1757" s="42">
        <f>G1757*I1757</f>
        <v>41934.478574617002</v>
      </c>
      <c r="K1757" s="15" t="str">
        <f t="shared" si="196"/>
        <v>PTO-1914|EQ</v>
      </c>
      <c r="L1757" s="15">
        <f>COUNTIFS($K$2:K1757,K1757)</f>
        <v>1</v>
      </c>
      <c r="M1757" s="15" t="str">
        <f t="shared" si="197"/>
        <v>PTO-1914|EQ|1</v>
      </c>
      <c r="N1757" s="47">
        <f>IFERROR(VLOOKUP(A1757,PARTIDAS!A:F,6,FALSE()),0)</f>
        <v>1</v>
      </c>
      <c r="O1757" s="247">
        <f t="shared" si="198"/>
        <v>1</v>
      </c>
      <c r="P1757" s="247">
        <f>+_xlfn.XLOOKUP(A1757,PPTO_GENERADOR!Q:Q,PPTO_GENERADOR!E:E,"-",0)</f>
        <v>1</v>
      </c>
      <c r="Q1757" s="247">
        <f t="shared" si="199"/>
        <v>1</v>
      </c>
      <c r="R1757" s="259">
        <f>+_xlfn.XLOOKUP(A1757,PPTO_GENERADOR!$Q:$Q,PPTO_GENERADOR!A:A,"-",0)</f>
        <v>19.14</v>
      </c>
    </row>
    <row r="1758" spans="1:18" ht="14.25" customHeight="1" x14ac:dyDescent="0.35">
      <c r="A1758" s="38" t="s">
        <v>347</v>
      </c>
      <c r="B1758" s="38" t="s">
        <v>2774</v>
      </c>
      <c r="C1758" s="38" t="s">
        <v>2775</v>
      </c>
      <c r="D1758" s="38" t="s">
        <v>1491</v>
      </c>
      <c r="E1758" s="44" t="str">
        <f>IFERROR(VLOOKUP(D1758,MATERIALES!A:B,2,FALSE()),"?")</f>
        <v>Kit flexible caldera</v>
      </c>
      <c r="F1758" s="44" t="str">
        <f>IFERROR(VLOOKUP(D1758,MATERIALES!A:C,3,FALSE()),"?")</f>
        <v>u</v>
      </c>
      <c r="G1758" s="45">
        <v>8</v>
      </c>
      <c r="H1758" s="46">
        <v>0</v>
      </c>
      <c r="I1758" s="47">
        <f>IFERROR(VLOOKUP(D1758,MATERIALES!A:D,4,FALSE()),0)</f>
        <v>75142.710000000006</v>
      </c>
      <c r="J1758" s="42">
        <f>G1758*I1758*(1+H1758)</f>
        <v>601141.68000000005</v>
      </c>
      <c r="K1758" s="15" t="str">
        <f t="shared" si="196"/>
        <v>PTO-1914|MAT</v>
      </c>
      <c r="L1758" s="15">
        <f>COUNTIFS($K$2:K1758,K1758)</f>
        <v>1</v>
      </c>
      <c r="M1758" s="15" t="str">
        <f t="shared" si="197"/>
        <v>PTO-1914|MAT|1</v>
      </c>
      <c r="N1758" s="47">
        <f>IFERROR(VLOOKUP(A1758,PARTIDAS!A:F,6,FALSE()),0)</f>
        <v>1</v>
      </c>
      <c r="O1758" s="247">
        <f t="shared" si="198"/>
        <v>8</v>
      </c>
      <c r="P1758" s="247">
        <f>+_xlfn.XLOOKUP(A1758,PPTO_GENERADOR!Q:Q,PPTO_GENERADOR!E:E,"-",0)</f>
        <v>1</v>
      </c>
      <c r="Q1758" s="247">
        <f t="shared" si="199"/>
        <v>8</v>
      </c>
      <c r="R1758" s="259">
        <f>+_xlfn.XLOOKUP(A1758,PPTO_GENERADOR!$Q:$Q,PPTO_GENERADOR!A:A,"-",0)</f>
        <v>19.14</v>
      </c>
    </row>
    <row r="1759" spans="1:18" ht="14.25" customHeight="1" x14ac:dyDescent="0.35">
      <c r="A1759" s="38" t="s">
        <v>347</v>
      </c>
      <c r="B1759" s="38" t="s">
        <v>2776</v>
      </c>
      <c r="C1759" s="38" t="s">
        <v>2775</v>
      </c>
      <c r="D1759" s="38" t="s">
        <v>2367</v>
      </c>
      <c r="E1759" s="44" t="str">
        <f>IFERROR(VLOOKUP(D1759,SUBCONTRATOS_PRY!A:B,2,FALSE()),"?")</f>
        <v>MO Montaje de caldera y puesta en marcha - Provisión a cargo del comitente, incluida las ventilaciones [SUBCONTRATOS]</v>
      </c>
      <c r="F1759" s="44" t="s">
        <v>2778</v>
      </c>
      <c r="G1759" s="45">
        <v>1</v>
      </c>
      <c r="H1759" s="46">
        <v>0</v>
      </c>
      <c r="I1759" s="47">
        <f>IFERROR(VLOOKUP(D1759,SUBCONTRATOS_PRY!A:D,4,FALSE()),0)</f>
        <v>2194490.2249744702</v>
      </c>
      <c r="J1759" s="42">
        <f>G1759*I1759</f>
        <v>2194490.2249744702</v>
      </c>
      <c r="K1759" s="15" t="str">
        <f t="shared" si="196"/>
        <v>PTO-1914|MO</v>
      </c>
      <c r="L1759" s="15">
        <f>COUNTIFS($K$2:K1759,K1759)</f>
        <v>1</v>
      </c>
      <c r="M1759" s="15" t="str">
        <f t="shared" si="197"/>
        <v>PTO-1914|MO|1</v>
      </c>
      <c r="N1759" s="47">
        <f>IFERROR(VLOOKUP(A1759,PARTIDAS!A:F,6,FALSE()),0)</f>
        <v>1</v>
      </c>
      <c r="O1759" s="247">
        <f t="shared" si="198"/>
        <v>1</v>
      </c>
      <c r="P1759" s="247">
        <f>+_xlfn.XLOOKUP(A1759,PPTO_GENERADOR!Q:Q,PPTO_GENERADOR!E:E,"-",0)</f>
        <v>1</v>
      </c>
      <c r="Q1759" s="247">
        <f t="shared" si="199"/>
        <v>1</v>
      </c>
      <c r="R1759" s="259">
        <f>+_xlfn.XLOOKUP(A1759,PPTO_GENERADOR!$Q:$Q,PPTO_GENERADOR!A:A,"-",0)</f>
        <v>19.14</v>
      </c>
    </row>
    <row r="1760" spans="1:18" ht="14.25" customHeight="1" x14ac:dyDescent="0.35">
      <c r="A1760" s="38" t="s">
        <v>349</v>
      </c>
      <c r="B1760" s="38" t="s">
        <v>2773</v>
      </c>
      <c r="C1760" s="38"/>
      <c r="D1760" s="38" t="s">
        <v>1992</v>
      </c>
      <c r="E1760" s="44" t="str">
        <f>IFERROR(VLOOKUP(D1760,EQUIPOS!A:B,2,FALSE()),"?")</f>
        <v>Herramientas menores y consumibles - Tendido cañeria de incendio - Gabinetes, tapas, ma</v>
      </c>
      <c r="F1760" s="44"/>
      <c r="G1760" s="45">
        <v>1</v>
      </c>
      <c r="H1760" s="46">
        <v>0</v>
      </c>
      <c r="I1760" s="47">
        <f>IFERROR(VLOOKUP(D1760,EQUIPOS!A:F,6,FALSE()),0)</f>
        <v>71400.7442527518</v>
      </c>
      <c r="J1760" s="42">
        <f>G1760*I1760</f>
        <v>71400.7442527518</v>
      </c>
      <c r="K1760" s="15" t="str">
        <f t="shared" si="196"/>
        <v>PTO-1915|EQ</v>
      </c>
      <c r="L1760" s="15">
        <f>COUNTIFS($K$2:K1760,K1760)</f>
        <v>1</v>
      </c>
      <c r="M1760" s="15" t="str">
        <f t="shared" si="197"/>
        <v>PTO-1915|EQ|1</v>
      </c>
      <c r="N1760" s="47">
        <f>IFERROR(VLOOKUP(A1760,PARTIDAS!A:F,6,FALSE()),0)</f>
        <v>1</v>
      </c>
      <c r="O1760" s="247">
        <f t="shared" si="198"/>
        <v>1</v>
      </c>
      <c r="P1760" s="247">
        <f>+_xlfn.XLOOKUP(A1760,PPTO_GENERADOR!Q:Q,PPTO_GENERADOR!E:E,"-",0)</f>
        <v>1</v>
      </c>
      <c r="Q1760" s="247">
        <f t="shared" si="199"/>
        <v>1</v>
      </c>
      <c r="R1760" s="259">
        <f>+_xlfn.XLOOKUP(A1760,PPTO_GENERADOR!$Q:$Q,PPTO_GENERADOR!A:A,"-",0)</f>
        <v>19.149999999999999</v>
      </c>
    </row>
    <row r="1761" spans="1:18" ht="14.25" customHeight="1" x14ac:dyDescent="0.35">
      <c r="A1761" s="38" t="s">
        <v>349</v>
      </c>
      <c r="B1761" s="38" t="s">
        <v>2776</v>
      </c>
      <c r="C1761" s="38" t="s">
        <v>2775</v>
      </c>
      <c r="D1761" s="38" t="s">
        <v>2421</v>
      </c>
      <c r="E1761" s="44" t="str">
        <f>IFERROR(VLOOKUP(D1761,SUBCONTRATOS_PRY!A:B,2,FALSE()),"?")</f>
        <v>MO Incendio</v>
      </c>
      <c r="F1761" s="44" t="s">
        <v>2778</v>
      </c>
      <c r="G1761" s="45">
        <v>1</v>
      </c>
      <c r="H1761" s="46">
        <v>0</v>
      </c>
      <c r="I1761" s="47">
        <f>IFERROR(VLOOKUP(D1761,SUBCONTRATOS_PRY!A:D,4,FALSE()),0)</f>
        <v>1816615.8408501199</v>
      </c>
      <c r="J1761" s="42">
        <f>G1761*I1761</f>
        <v>1816615.8408501199</v>
      </c>
      <c r="K1761" s="15" t="str">
        <f t="shared" si="196"/>
        <v>PTO-1915|MO</v>
      </c>
      <c r="L1761" s="15">
        <f>COUNTIFS($K$2:K1761,K1761)</f>
        <v>1</v>
      </c>
      <c r="M1761" s="15" t="str">
        <f t="shared" si="197"/>
        <v>PTO-1915|MO|1</v>
      </c>
      <c r="N1761" s="47">
        <f>IFERROR(VLOOKUP(A1761,PARTIDAS!A:F,6,FALSE()),0)</f>
        <v>1</v>
      </c>
      <c r="O1761" s="247">
        <f t="shared" si="198"/>
        <v>1</v>
      </c>
      <c r="P1761" s="247">
        <f>+_xlfn.XLOOKUP(A1761,PPTO_GENERADOR!Q:Q,PPTO_GENERADOR!E:E,"-",0)</f>
        <v>1</v>
      </c>
      <c r="Q1761" s="247">
        <f t="shared" si="199"/>
        <v>1</v>
      </c>
      <c r="R1761" s="259">
        <f>+_xlfn.XLOOKUP(A1761,PPTO_GENERADOR!$Q:$Q,PPTO_GENERADOR!A:A,"-",0)</f>
        <v>19.149999999999999</v>
      </c>
    </row>
    <row r="1762" spans="1:18" ht="14.25" customHeight="1" x14ac:dyDescent="0.35">
      <c r="A1762" s="38" t="s">
        <v>349</v>
      </c>
      <c r="B1762" s="38" t="s">
        <v>2774</v>
      </c>
      <c r="C1762" s="38" t="s">
        <v>2775</v>
      </c>
      <c r="D1762" s="38" t="s">
        <v>1493</v>
      </c>
      <c r="E1762" s="44" t="str">
        <f>IFERROR(VLOOKUP(D1762,MATERIALES!A:B,2,FALSE()),"?")</f>
        <v>Caño HG sin cupla 2 1/2 x 6,40 mts</v>
      </c>
      <c r="F1762" s="44" t="str">
        <f>IFERROR(VLOOKUP(D1762,MATERIALES!A:C,3,FALSE()),"?")</f>
        <v>u</v>
      </c>
      <c r="G1762" s="45">
        <v>7</v>
      </c>
      <c r="H1762" s="46">
        <v>0</v>
      </c>
      <c r="I1762" s="47">
        <f>IFERROR(VLOOKUP(D1762,MATERIALES!A:D,4,FALSE()),0)</f>
        <v>226738.89</v>
      </c>
      <c r="J1762" s="42">
        <f t="shared" ref="J1762:J1770" si="201">G1762*I1762*(1+H1762)</f>
        <v>1587172.23</v>
      </c>
      <c r="K1762" s="15" t="str">
        <f t="shared" si="196"/>
        <v>PTO-1915|MAT</v>
      </c>
      <c r="L1762" s="15">
        <f>COUNTIFS($K$2:K1762,K1762)</f>
        <v>1</v>
      </c>
      <c r="M1762" s="15" t="str">
        <f t="shared" si="197"/>
        <v>PTO-1915|MAT|1</v>
      </c>
      <c r="N1762" s="47">
        <f>IFERROR(VLOOKUP(A1762,PARTIDAS!A:F,6,FALSE()),0)</f>
        <v>1</v>
      </c>
      <c r="O1762" s="247">
        <f t="shared" si="198"/>
        <v>7</v>
      </c>
      <c r="P1762" s="247">
        <f>+_xlfn.XLOOKUP(A1762,PPTO_GENERADOR!Q:Q,PPTO_GENERADOR!E:E,"-",0)</f>
        <v>1</v>
      </c>
      <c r="Q1762" s="247">
        <f t="shared" si="199"/>
        <v>7</v>
      </c>
      <c r="R1762" s="259">
        <f>+_xlfn.XLOOKUP(A1762,PPTO_GENERADOR!$Q:$Q,PPTO_GENERADOR!A:A,"-",0)</f>
        <v>19.149999999999999</v>
      </c>
    </row>
    <row r="1763" spans="1:18" ht="14.25" customHeight="1" x14ac:dyDescent="0.35">
      <c r="A1763" s="38" t="s">
        <v>349</v>
      </c>
      <c r="B1763" s="38" t="s">
        <v>2774</v>
      </c>
      <c r="C1763" s="38" t="s">
        <v>2775</v>
      </c>
      <c r="D1763" s="38" t="s">
        <v>1495</v>
      </c>
      <c r="E1763" s="44" t="str">
        <f>IFERROR(VLOOKUP(D1763,MATERIALES!A:B,2,FALSE()),"?")</f>
        <v>Codo HG a 90 HH 2 1/2</v>
      </c>
      <c r="F1763" s="44" t="str">
        <f>IFERROR(VLOOKUP(D1763,MATERIALES!A:C,3,FALSE()),"?")</f>
        <v>u</v>
      </c>
      <c r="G1763" s="45">
        <v>15</v>
      </c>
      <c r="H1763" s="46">
        <v>0</v>
      </c>
      <c r="I1763" s="47">
        <f>IFERROR(VLOOKUP(D1763,MATERIALES!A:D,4,FALSE()),0)</f>
        <v>16952.66</v>
      </c>
      <c r="J1763" s="42">
        <f t="shared" si="201"/>
        <v>254289.9</v>
      </c>
      <c r="K1763" s="15" t="str">
        <f t="shared" si="196"/>
        <v>PTO-1915|MAT</v>
      </c>
      <c r="L1763" s="15">
        <f>COUNTIFS($K$2:K1763,K1763)</f>
        <v>2</v>
      </c>
      <c r="M1763" s="15" t="str">
        <f t="shared" si="197"/>
        <v>PTO-1915|MAT|2</v>
      </c>
      <c r="N1763" s="47">
        <f>IFERROR(VLOOKUP(A1763,PARTIDAS!A:F,6,FALSE()),0)</f>
        <v>1</v>
      </c>
      <c r="O1763" s="247">
        <f t="shared" si="198"/>
        <v>15</v>
      </c>
      <c r="P1763" s="247">
        <f>+_xlfn.XLOOKUP(A1763,PPTO_GENERADOR!Q:Q,PPTO_GENERADOR!E:E,"-",0)</f>
        <v>1</v>
      </c>
      <c r="Q1763" s="247">
        <f t="shared" si="199"/>
        <v>15</v>
      </c>
      <c r="R1763" s="259">
        <f>+_xlfn.XLOOKUP(A1763,PPTO_GENERADOR!$Q:$Q,PPTO_GENERADOR!A:A,"-",0)</f>
        <v>19.149999999999999</v>
      </c>
    </row>
    <row r="1764" spans="1:18" ht="14.25" customHeight="1" x14ac:dyDescent="0.35">
      <c r="A1764" s="38" t="s">
        <v>349</v>
      </c>
      <c r="B1764" s="38" t="s">
        <v>2774</v>
      </c>
      <c r="C1764" s="38" t="s">
        <v>2775</v>
      </c>
      <c r="D1764" s="38" t="s">
        <v>1497</v>
      </c>
      <c r="E1764" s="44" t="str">
        <f>IFERROR(VLOOKUP(D1764,MATERIALES!A:B,2,FALSE()),"?")</f>
        <v>Rosca con tuerca de 2 1/2</v>
      </c>
      <c r="F1764" s="44" t="str">
        <f>IFERROR(VLOOKUP(D1764,MATERIALES!A:C,3,FALSE()),"?")</f>
        <v>u</v>
      </c>
      <c r="G1764" s="45">
        <v>6</v>
      </c>
      <c r="H1764" s="46">
        <v>0</v>
      </c>
      <c r="I1764" s="47">
        <f>IFERROR(VLOOKUP(D1764,MATERIALES!A:D,4,FALSE()),0)</f>
        <v>9333.2000000000007</v>
      </c>
      <c r="J1764" s="42">
        <f t="shared" si="201"/>
        <v>55999.200000000004</v>
      </c>
      <c r="K1764" s="15" t="str">
        <f t="shared" si="196"/>
        <v>PTO-1915|MAT</v>
      </c>
      <c r="L1764" s="15">
        <f>COUNTIFS($K$2:K1764,K1764)</f>
        <v>3</v>
      </c>
      <c r="M1764" s="15" t="str">
        <f t="shared" si="197"/>
        <v>PTO-1915|MAT|3</v>
      </c>
      <c r="N1764" s="47">
        <f>IFERROR(VLOOKUP(A1764,PARTIDAS!A:F,6,FALSE()),0)</f>
        <v>1</v>
      </c>
      <c r="O1764" s="247">
        <f t="shared" si="198"/>
        <v>6</v>
      </c>
      <c r="P1764" s="247">
        <f>+_xlfn.XLOOKUP(A1764,PPTO_GENERADOR!Q:Q,PPTO_GENERADOR!E:E,"-",0)</f>
        <v>1</v>
      </c>
      <c r="Q1764" s="247">
        <f t="shared" si="199"/>
        <v>6</v>
      </c>
      <c r="R1764" s="259">
        <f>+_xlfn.XLOOKUP(A1764,PPTO_GENERADOR!$Q:$Q,PPTO_GENERADOR!A:A,"-",0)</f>
        <v>19.149999999999999</v>
      </c>
    </row>
    <row r="1765" spans="1:18" ht="14.25" customHeight="1" x14ac:dyDescent="0.35">
      <c r="A1765" s="38" t="s">
        <v>349</v>
      </c>
      <c r="B1765" s="38" t="s">
        <v>2774</v>
      </c>
      <c r="C1765" s="38" t="s">
        <v>2775</v>
      </c>
      <c r="D1765" s="38" t="s">
        <v>1499</v>
      </c>
      <c r="E1765" s="44" t="str">
        <f>IFERROR(VLOOKUP(D1765,MATERIALES!A:B,2,FALSE()),"?")</f>
        <v>Cupla HG 2 1/2</v>
      </c>
      <c r="F1765" s="44" t="str">
        <f>IFERROR(VLOOKUP(D1765,MATERIALES!A:C,3,FALSE()),"?")</f>
        <v>u</v>
      </c>
      <c r="G1765" s="45">
        <v>6</v>
      </c>
      <c r="H1765" s="46">
        <v>0</v>
      </c>
      <c r="I1765" s="47">
        <f>IFERROR(VLOOKUP(D1765,MATERIALES!A:D,4,FALSE()),0)</f>
        <v>15339.5</v>
      </c>
      <c r="J1765" s="42">
        <f t="shared" si="201"/>
        <v>92037</v>
      </c>
      <c r="K1765" s="15" t="str">
        <f t="shared" si="196"/>
        <v>PTO-1915|MAT</v>
      </c>
      <c r="L1765" s="15">
        <f>COUNTIFS($K$2:K1765,K1765)</f>
        <v>4</v>
      </c>
      <c r="M1765" s="15" t="str">
        <f t="shared" si="197"/>
        <v>PTO-1915|MAT|4</v>
      </c>
      <c r="N1765" s="47">
        <f>IFERROR(VLOOKUP(A1765,PARTIDAS!A:F,6,FALSE()),0)</f>
        <v>1</v>
      </c>
      <c r="O1765" s="247">
        <f t="shared" si="198"/>
        <v>6</v>
      </c>
      <c r="P1765" s="247">
        <f>+_xlfn.XLOOKUP(A1765,PPTO_GENERADOR!Q:Q,PPTO_GENERADOR!E:E,"-",0)</f>
        <v>1</v>
      </c>
      <c r="Q1765" s="247">
        <f t="shared" si="199"/>
        <v>6</v>
      </c>
      <c r="R1765" s="259">
        <f>+_xlfn.XLOOKUP(A1765,PPTO_GENERADOR!$Q:$Q,PPTO_GENERADOR!A:A,"-",0)</f>
        <v>19.149999999999999</v>
      </c>
    </row>
    <row r="1766" spans="1:18" ht="14.25" customHeight="1" x14ac:dyDescent="0.35">
      <c r="A1766" s="38" t="s">
        <v>349</v>
      </c>
      <c r="B1766" s="38" t="s">
        <v>2774</v>
      </c>
      <c r="C1766" s="38" t="s">
        <v>2775</v>
      </c>
      <c r="D1766" s="38" t="s">
        <v>1501</v>
      </c>
      <c r="E1766" s="44" t="str">
        <f>IFERROR(VLOOKUP(D1766,MATERIALES!A:B,2,FALSE()),"?")</f>
        <v>Tee reduccion HG 2 1/2 x 2</v>
      </c>
      <c r="F1766" s="44" t="str">
        <f>IFERROR(VLOOKUP(D1766,MATERIALES!A:C,3,FALSE()),"?")</f>
        <v>u</v>
      </c>
      <c r="G1766" s="45">
        <v>5</v>
      </c>
      <c r="H1766" s="46">
        <v>0</v>
      </c>
      <c r="I1766" s="47">
        <f>IFERROR(VLOOKUP(D1766,MATERIALES!A:D,4,FALSE()),0)</f>
        <v>21808.23</v>
      </c>
      <c r="J1766" s="42">
        <f t="shared" si="201"/>
        <v>109041.15</v>
      </c>
      <c r="K1766" s="15" t="str">
        <f t="shared" si="196"/>
        <v>PTO-1915|MAT</v>
      </c>
      <c r="L1766" s="15">
        <f>COUNTIFS($K$2:K1766,K1766)</f>
        <v>5</v>
      </c>
      <c r="M1766" s="15" t="str">
        <f t="shared" si="197"/>
        <v>PTO-1915|MAT|5</v>
      </c>
      <c r="N1766" s="47">
        <f>IFERROR(VLOOKUP(A1766,PARTIDAS!A:F,6,FALSE()),0)</f>
        <v>1</v>
      </c>
      <c r="O1766" s="247">
        <f t="shared" si="198"/>
        <v>5</v>
      </c>
      <c r="P1766" s="247">
        <f>+_xlfn.XLOOKUP(A1766,PPTO_GENERADOR!Q:Q,PPTO_GENERADOR!E:E,"-",0)</f>
        <v>1</v>
      </c>
      <c r="Q1766" s="247">
        <f t="shared" si="199"/>
        <v>5</v>
      </c>
      <c r="R1766" s="259">
        <f>+_xlfn.XLOOKUP(A1766,PPTO_GENERADOR!$Q:$Q,PPTO_GENERADOR!A:A,"-",0)</f>
        <v>19.149999999999999</v>
      </c>
    </row>
    <row r="1767" spans="1:18" ht="14.25" customHeight="1" x14ac:dyDescent="0.35">
      <c r="A1767" s="38" t="s">
        <v>349</v>
      </c>
      <c r="B1767" s="38" t="s">
        <v>2774</v>
      </c>
      <c r="C1767" s="38" t="s">
        <v>2775</v>
      </c>
      <c r="D1767" s="38" t="s">
        <v>1503</v>
      </c>
      <c r="E1767" s="44" t="str">
        <f>IFERROR(VLOOKUP(D1767,MATERIALES!A:B,2,FALSE()),"?")</f>
        <v>Valvula teatro 2 x 1 3/4</v>
      </c>
      <c r="F1767" s="44" t="str">
        <f>IFERROR(VLOOKUP(D1767,MATERIALES!A:C,3,FALSE()),"?")</f>
        <v>u</v>
      </c>
      <c r="G1767" s="45">
        <v>5</v>
      </c>
      <c r="H1767" s="46">
        <v>0</v>
      </c>
      <c r="I1767" s="47">
        <f>IFERROR(VLOOKUP(D1767,MATERIALES!A:D,4,FALSE()),0)</f>
        <v>39120</v>
      </c>
      <c r="J1767" s="42">
        <f t="shared" si="201"/>
        <v>195600</v>
      </c>
      <c r="K1767" s="15" t="str">
        <f t="shared" si="196"/>
        <v>PTO-1915|MAT</v>
      </c>
      <c r="L1767" s="15">
        <f>COUNTIFS($K$2:K1767,K1767)</f>
        <v>6</v>
      </c>
      <c r="M1767" s="15" t="str">
        <f t="shared" si="197"/>
        <v>PTO-1915|MAT|6</v>
      </c>
      <c r="N1767" s="47">
        <f>IFERROR(VLOOKUP(A1767,PARTIDAS!A:F,6,FALSE()),0)</f>
        <v>1</v>
      </c>
      <c r="O1767" s="247">
        <f t="shared" si="198"/>
        <v>5</v>
      </c>
      <c r="P1767" s="247">
        <f>+_xlfn.XLOOKUP(A1767,PPTO_GENERADOR!Q:Q,PPTO_GENERADOR!E:E,"-",0)</f>
        <v>1</v>
      </c>
      <c r="Q1767" s="247">
        <f t="shared" si="199"/>
        <v>5</v>
      </c>
      <c r="R1767" s="259">
        <f>+_xlfn.XLOOKUP(A1767,PPTO_GENERADOR!$Q:$Q,PPTO_GENERADOR!A:A,"-",0)</f>
        <v>19.149999999999999</v>
      </c>
    </row>
    <row r="1768" spans="1:18" ht="14.25" customHeight="1" x14ac:dyDescent="0.35">
      <c r="A1768" s="38" t="s">
        <v>349</v>
      </c>
      <c r="B1768" s="38" t="s">
        <v>2774</v>
      </c>
      <c r="C1768" s="38" t="s">
        <v>2775</v>
      </c>
      <c r="D1768" s="38" t="s">
        <v>1505</v>
      </c>
      <c r="E1768" s="44" t="str">
        <f>IFERROR(VLOOKUP(D1768,MATERIALES!A:B,2,FALSE()),"?")</f>
        <v>Valvula de impulsion de 2 1/2</v>
      </c>
      <c r="F1768" s="44" t="str">
        <f>IFERROR(VLOOKUP(D1768,MATERIALES!A:C,3,FALSE()),"?")</f>
        <v>u</v>
      </c>
      <c r="G1768" s="45">
        <v>1</v>
      </c>
      <c r="H1768" s="46">
        <v>0</v>
      </c>
      <c r="I1768" s="47">
        <f>IFERROR(VLOOKUP(D1768,MATERIALES!A:D,4,FALSE()),0)</f>
        <v>79361</v>
      </c>
      <c r="J1768" s="42">
        <f t="shared" si="201"/>
        <v>79361</v>
      </c>
      <c r="K1768" s="15" t="str">
        <f t="shared" si="196"/>
        <v>PTO-1915|MAT</v>
      </c>
      <c r="L1768" s="15">
        <f>COUNTIFS($K$2:K1768,K1768)</f>
        <v>7</v>
      </c>
      <c r="M1768" s="15" t="str">
        <f t="shared" si="197"/>
        <v>PTO-1915|MAT|7</v>
      </c>
      <c r="N1768" s="47">
        <f>IFERROR(VLOOKUP(A1768,PARTIDAS!A:F,6,FALSE()),0)</f>
        <v>1</v>
      </c>
      <c r="O1768" s="247">
        <f t="shared" si="198"/>
        <v>1</v>
      </c>
      <c r="P1768" s="247">
        <f>+_xlfn.XLOOKUP(A1768,PPTO_GENERADOR!Q:Q,PPTO_GENERADOR!E:E,"-",0)</f>
        <v>1</v>
      </c>
      <c r="Q1768" s="247">
        <f t="shared" si="199"/>
        <v>1</v>
      </c>
      <c r="R1768" s="259">
        <f>+_xlfn.XLOOKUP(A1768,PPTO_GENERADOR!$Q:$Q,PPTO_GENERADOR!A:A,"-",0)</f>
        <v>19.149999999999999</v>
      </c>
    </row>
    <row r="1769" spans="1:18" ht="14.25" customHeight="1" x14ac:dyDescent="0.35">
      <c r="A1769" s="38" t="s">
        <v>349</v>
      </c>
      <c r="B1769" s="38" t="s">
        <v>2774</v>
      </c>
      <c r="C1769" s="38" t="s">
        <v>2775</v>
      </c>
      <c r="D1769" s="38" t="s">
        <v>1507</v>
      </c>
      <c r="E1769" s="44" t="str">
        <f>IFERROR(VLOOKUP(D1769,MATERIALES!A:B,2,FALSE()),"?")</f>
        <v>VR 2 1/2 BR</v>
      </c>
      <c r="F1769" s="44" t="str">
        <f>IFERROR(VLOOKUP(D1769,MATERIALES!A:C,3,FALSE()),"?")</f>
        <v>u</v>
      </c>
      <c r="G1769" s="45">
        <v>1</v>
      </c>
      <c r="H1769" s="46">
        <v>0</v>
      </c>
      <c r="I1769" s="47">
        <f>IFERROR(VLOOKUP(D1769,MATERIALES!A:D,4,FALSE()),0)</f>
        <v>79361</v>
      </c>
      <c r="J1769" s="42">
        <f t="shared" si="201"/>
        <v>79361</v>
      </c>
      <c r="K1769" s="15" t="str">
        <f t="shared" si="196"/>
        <v>PTO-1915|MAT</v>
      </c>
      <c r="L1769" s="15">
        <f>COUNTIFS($K$2:K1769,K1769)</f>
        <v>8</v>
      </c>
      <c r="M1769" s="15" t="str">
        <f t="shared" si="197"/>
        <v>PTO-1915|MAT|8</v>
      </c>
      <c r="N1769" s="47">
        <f>IFERROR(VLOOKUP(A1769,PARTIDAS!A:F,6,FALSE()),0)</f>
        <v>1</v>
      </c>
      <c r="O1769" s="247">
        <f t="shared" si="198"/>
        <v>1</v>
      </c>
      <c r="P1769" s="247">
        <f>+_xlfn.XLOOKUP(A1769,PPTO_GENERADOR!Q:Q,PPTO_GENERADOR!E:E,"-",0)</f>
        <v>1</v>
      </c>
      <c r="Q1769" s="247">
        <f t="shared" si="199"/>
        <v>1</v>
      </c>
      <c r="R1769" s="259">
        <f>+_xlfn.XLOOKUP(A1769,PPTO_GENERADOR!$Q:$Q,PPTO_GENERADOR!A:A,"-",0)</f>
        <v>19.149999999999999</v>
      </c>
    </row>
    <row r="1770" spans="1:18" ht="14.25" customHeight="1" x14ac:dyDescent="0.35">
      <c r="A1770" s="38" t="s">
        <v>349</v>
      </c>
      <c r="B1770" s="38" t="s">
        <v>2774</v>
      </c>
      <c r="C1770" s="38" t="s">
        <v>2775</v>
      </c>
      <c r="D1770" s="38" t="s">
        <v>1361</v>
      </c>
      <c r="E1770" s="44" t="str">
        <f>IFERROR(VLOOKUP(D1770,MATERIALES!A:B,2,FALSE()),"?")</f>
        <v>Consumibles</v>
      </c>
      <c r="F1770" s="44" t="str">
        <f>IFERROR(VLOOKUP(D1770,MATERIALES!A:C,3,FALSE()),"?")</f>
        <v>gl</v>
      </c>
      <c r="G1770" s="45">
        <v>490572.29599999997</v>
      </c>
      <c r="H1770" s="46">
        <v>0</v>
      </c>
      <c r="I1770" s="47">
        <f>IFERROR(VLOOKUP(D1770,MATERIALES!A:D,4,FALSE()),0)</f>
        <v>1</v>
      </c>
      <c r="J1770" s="42">
        <f t="shared" si="201"/>
        <v>490572.29599999997</v>
      </c>
      <c r="K1770" s="15" t="str">
        <f t="shared" si="196"/>
        <v>PTO-1915|MAT</v>
      </c>
      <c r="L1770" s="15">
        <f>COUNTIFS($K$2:K1770,K1770)</f>
        <v>9</v>
      </c>
      <c r="M1770" s="15" t="str">
        <f t="shared" si="197"/>
        <v>PTO-1915|MAT|9</v>
      </c>
      <c r="N1770" s="47">
        <f>IFERROR(VLOOKUP(A1770,PARTIDAS!A:F,6,FALSE()),0)</f>
        <v>1</v>
      </c>
      <c r="O1770" s="247">
        <f t="shared" si="198"/>
        <v>490572.29599999997</v>
      </c>
      <c r="P1770" s="247">
        <f>+_xlfn.XLOOKUP(A1770,PPTO_GENERADOR!Q:Q,PPTO_GENERADOR!E:E,"-",0)</f>
        <v>1</v>
      </c>
      <c r="Q1770" s="247">
        <f t="shared" si="199"/>
        <v>490572.29599999997</v>
      </c>
      <c r="R1770" s="259">
        <f>+_xlfn.XLOOKUP(A1770,PPTO_GENERADOR!$Q:$Q,PPTO_GENERADOR!A:A,"-",0)</f>
        <v>19.149999999999999</v>
      </c>
    </row>
    <row r="1771" spans="1:18" ht="14.25" customHeight="1" x14ac:dyDescent="0.35">
      <c r="A1771" s="38" t="s">
        <v>351</v>
      </c>
      <c r="B1771" s="38" t="s">
        <v>2776</v>
      </c>
      <c r="C1771" s="38" t="s">
        <v>2775</v>
      </c>
      <c r="D1771" s="38" t="s">
        <v>2424</v>
      </c>
      <c r="E1771" s="44" t="str">
        <f>IFERROR(VLOOKUP(D1771,SUBCONTRATOS_PRY!A:B,2,FALSE()),"?")</f>
        <v>MO Provisión y tendido de cañerías de gas a cada UF</v>
      </c>
      <c r="F1771" s="44" t="s">
        <v>2778</v>
      </c>
      <c r="G1771" s="45">
        <v>1</v>
      </c>
      <c r="H1771" s="46">
        <v>0</v>
      </c>
      <c r="I1771" s="47">
        <f>IFERROR(VLOOKUP(D1771,SUBCONTRATOS_PRY!A:D,4,FALSE()),0)</f>
        <v>15641236.6044</v>
      </c>
      <c r="J1771" s="42">
        <f>G1771*I1771</f>
        <v>15641236.6044</v>
      </c>
      <c r="K1771" s="15" t="str">
        <f t="shared" si="196"/>
        <v>PTO-1916|MO</v>
      </c>
      <c r="L1771" s="15">
        <f>COUNTIFS($K$2:K1771,K1771)</f>
        <v>1</v>
      </c>
      <c r="M1771" s="15" t="str">
        <f t="shared" si="197"/>
        <v>PTO-1916|MO|1</v>
      </c>
      <c r="N1771" s="47">
        <f>IFERROR(VLOOKUP(A1771,PARTIDAS!A:F,6,FALSE()),0)</f>
        <v>1</v>
      </c>
      <c r="O1771" s="247">
        <f t="shared" si="198"/>
        <v>1</v>
      </c>
      <c r="P1771" s="247">
        <f>+_xlfn.XLOOKUP(A1771,PPTO_GENERADOR!Q:Q,PPTO_GENERADOR!E:E,"-",0)</f>
        <v>1</v>
      </c>
      <c r="Q1771" s="247">
        <f t="shared" si="199"/>
        <v>1</v>
      </c>
      <c r="R1771" s="259">
        <f>+_xlfn.XLOOKUP(A1771,PPTO_GENERADOR!$Q:$Q,PPTO_GENERADOR!A:A,"-",0)</f>
        <v>19.16</v>
      </c>
    </row>
    <row r="1772" spans="1:18" ht="14.25" customHeight="1" x14ac:dyDescent="0.35">
      <c r="A1772" s="38" t="s">
        <v>351</v>
      </c>
      <c r="B1772" s="38" t="s">
        <v>2774</v>
      </c>
      <c r="C1772" s="38" t="s">
        <v>2775</v>
      </c>
      <c r="D1772" s="38" t="s">
        <v>1509</v>
      </c>
      <c r="E1772" s="44" t="str">
        <f>IFERROR(VLOOKUP(D1772,MATERIALES!A:B,2,FALSE()),"?")</f>
        <v>Llave de paso esférica de 20mm</v>
      </c>
      <c r="F1772" s="44" t="str">
        <f>IFERROR(VLOOKUP(D1772,MATERIALES!A:C,3,FALSE()),"?")</f>
        <v>u</v>
      </c>
      <c r="G1772" s="45">
        <v>8</v>
      </c>
      <c r="H1772" s="46">
        <v>0</v>
      </c>
      <c r="I1772" s="47">
        <f>IFERROR(VLOOKUP(D1772,MATERIALES!A:D,4,FALSE()),0)</f>
        <v>18420.5</v>
      </c>
      <c r="J1772" s="42">
        <f t="shared" ref="J1772:J1792" si="202">G1772*I1772*(1+H1772)</f>
        <v>147364</v>
      </c>
      <c r="K1772" s="15" t="str">
        <f t="shared" si="196"/>
        <v>PTO-1916|MAT</v>
      </c>
      <c r="L1772" s="15">
        <f>COUNTIFS($K$2:K1772,K1772)</f>
        <v>1</v>
      </c>
      <c r="M1772" s="15" t="str">
        <f t="shared" si="197"/>
        <v>PTO-1916|MAT|1</v>
      </c>
      <c r="N1772" s="47">
        <f>IFERROR(VLOOKUP(A1772,PARTIDAS!A:F,6,FALSE()),0)</f>
        <v>1</v>
      </c>
      <c r="O1772" s="247">
        <f t="shared" si="198"/>
        <v>8</v>
      </c>
      <c r="P1772" s="247">
        <f>+_xlfn.XLOOKUP(A1772,PPTO_GENERADOR!Q:Q,PPTO_GENERADOR!E:E,"-",0)</f>
        <v>1</v>
      </c>
      <c r="Q1772" s="247">
        <f t="shared" si="199"/>
        <v>8</v>
      </c>
      <c r="R1772" s="259">
        <f>+_xlfn.XLOOKUP(A1772,PPTO_GENERADOR!$Q:$Q,PPTO_GENERADOR!A:A,"-",0)</f>
        <v>19.16</v>
      </c>
    </row>
    <row r="1773" spans="1:18" ht="14.25" customHeight="1" x14ac:dyDescent="0.35">
      <c r="A1773" s="38" t="s">
        <v>351</v>
      </c>
      <c r="B1773" s="38" t="s">
        <v>2774</v>
      </c>
      <c r="C1773" s="38" t="s">
        <v>2775</v>
      </c>
      <c r="D1773" s="38" t="s">
        <v>1511</v>
      </c>
      <c r="E1773" s="44" t="str">
        <f>IFERROR(VLOOKUP(D1773,MATERIALES!A:B,2,FALSE()),"?")</f>
        <v>Llave de paso esférica de 32mm</v>
      </c>
      <c r="F1773" s="44" t="str">
        <f>IFERROR(VLOOKUP(D1773,MATERIALES!A:C,3,FALSE()),"?")</f>
        <v>u</v>
      </c>
      <c r="G1773" s="45">
        <v>8</v>
      </c>
      <c r="H1773" s="46">
        <v>0</v>
      </c>
      <c r="I1773" s="47">
        <f>IFERROR(VLOOKUP(D1773,MATERIALES!A:D,4,FALSE()),0)</f>
        <v>40497.366000000002</v>
      </c>
      <c r="J1773" s="42">
        <f t="shared" si="202"/>
        <v>323978.92800000001</v>
      </c>
      <c r="K1773" s="15" t="str">
        <f t="shared" si="196"/>
        <v>PTO-1916|MAT</v>
      </c>
      <c r="L1773" s="15">
        <f>COUNTIFS($K$2:K1773,K1773)</f>
        <v>2</v>
      </c>
      <c r="M1773" s="15" t="str">
        <f t="shared" si="197"/>
        <v>PTO-1916|MAT|2</v>
      </c>
      <c r="N1773" s="47">
        <f>IFERROR(VLOOKUP(A1773,PARTIDAS!A:F,6,FALSE()),0)</f>
        <v>1</v>
      </c>
      <c r="O1773" s="247">
        <f t="shared" si="198"/>
        <v>8</v>
      </c>
      <c r="P1773" s="247">
        <f>+_xlfn.XLOOKUP(A1773,PPTO_GENERADOR!Q:Q,PPTO_GENERADOR!E:E,"-",0)</f>
        <v>1</v>
      </c>
      <c r="Q1773" s="247">
        <f t="shared" si="199"/>
        <v>8</v>
      </c>
      <c r="R1773" s="259">
        <f>+_xlfn.XLOOKUP(A1773,PPTO_GENERADOR!$Q:$Q,PPTO_GENERADOR!A:A,"-",0)</f>
        <v>19.16</v>
      </c>
    </row>
    <row r="1774" spans="1:18" ht="14.25" customHeight="1" x14ac:dyDescent="0.35">
      <c r="A1774" s="38" t="s">
        <v>351</v>
      </c>
      <c r="B1774" s="38" t="s">
        <v>2774</v>
      </c>
      <c r="C1774" s="38" t="s">
        <v>2775</v>
      </c>
      <c r="D1774" s="38" t="s">
        <v>1513</v>
      </c>
      <c r="E1774" s="44" t="str">
        <f>IFERROR(VLOOKUP(D1774,MATERIALES!A:B,2,FALSE()),"?")</f>
        <v>Codo a 90° de 20mm</v>
      </c>
      <c r="F1774" s="44" t="str">
        <f>IFERROR(VLOOKUP(D1774,MATERIALES!A:C,3,FALSE()),"?")</f>
        <v>u</v>
      </c>
      <c r="G1774" s="45">
        <v>26</v>
      </c>
      <c r="H1774" s="46">
        <v>0</v>
      </c>
      <c r="I1774" s="47">
        <f>IFERROR(VLOOKUP(D1774,MATERIALES!A:D,4,FALSE()),0)</f>
        <v>2140.61</v>
      </c>
      <c r="J1774" s="42">
        <f t="shared" si="202"/>
        <v>55655.86</v>
      </c>
      <c r="K1774" s="15" t="str">
        <f t="shared" si="196"/>
        <v>PTO-1916|MAT</v>
      </c>
      <c r="L1774" s="15">
        <f>COUNTIFS($K$2:K1774,K1774)</f>
        <v>3</v>
      </c>
      <c r="M1774" s="15" t="str">
        <f t="shared" si="197"/>
        <v>PTO-1916|MAT|3</v>
      </c>
      <c r="N1774" s="47">
        <f>IFERROR(VLOOKUP(A1774,PARTIDAS!A:F,6,FALSE()),0)</f>
        <v>1</v>
      </c>
      <c r="O1774" s="247">
        <f t="shared" si="198"/>
        <v>26</v>
      </c>
      <c r="P1774" s="247">
        <f>+_xlfn.XLOOKUP(A1774,PPTO_GENERADOR!Q:Q,PPTO_GENERADOR!E:E,"-",0)</f>
        <v>1</v>
      </c>
      <c r="Q1774" s="247">
        <f t="shared" si="199"/>
        <v>26</v>
      </c>
      <c r="R1774" s="259">
        <f>+_xlfn.XLOOKUP(A1774,PPTO_GENERADOR!$Q:$Q,PPTO_GENERADOR!A:A,"-",0)</f>
        <v>19.16</v>
      </c>
    </row>
    <row r="1775" spans="1:18" ht="14.25" customHeight="1" x14ac:dyDescent="0.35">
      <c r="A1775" s="38" t="s">
        <v>351</v>
      </c>
      <c r="B1775" s="38" t="s">
        <v>2774</v>
      </c>
      <c r="C1775" s="38" t="s">
        <v>2775</v>
      </c>
      <c r="D1775" s="38" t="s">
        <v>1515</v>
      </c>
      <c r="E1775" s="44" t="str">
        <f>IFERROR(VLOOKUP(D1775,MATERIALES!A:B,2,FALSE()),"?")</f>
        <v>Codo a 90° de 32mm</v>
      </c>
      <c r="F1775" s="44" t="str">
        <f>IFERROR(VLOOKUP(D1775,MATERIALES!A:C,3,FALSE()),"?")</f>
        <v>u</v>
      </c>
      <c r="G1775" s="45">
        <v>126</v>
      </c>
      <c r="H1775" s="46">
        <v>0</v>
      </c>
      <c r="I1775" s="47">
        <f>IFERROR(VLOOKUP(D1775,MATERIALES!A:D,4,FALSE()),0)</f>
        <v>3659.23</v>
      </c>
      <c r="J1775" s="42">
        <f t="shared" si="202"/>
        <v>461062.98</v>
      </c>
      <c r="K1775" s="15" t="str">
        <f t="shared" si="196"/>
        <v>PTO-1916|MAT</v>
      </c>
      <c r="L1775" s="15">
        <f>COUNTIFS($K$2:K1775,K1775)</f>
        <v>4</v>
      </c>
      <c r="M1775" s="15" t="str">
        <f t="shared" si="197"/>
        <v>PTO-1916|MAT|4</v>
      </c>
      <c r="N1775" s="47">
        <f>IFERROR(VLOOKUP(A1775,PARTIDAS!A:F,6,FALSE()),0)</f>
        <v>1</v>
      </c>
      <c r="O1775" s="247">
        <f t="shared" si="198"/>
        <v>126</v>
      </c>
      <c r="P1775" s="247">
        <f>+_xlfn.XLOOKUP(A1775,PPTO_GENERADOR!Q:Q,PPTO_GENERADOR!E:E,"-",0)</f>
        <v>1</v>
      </c>
      <c r="Q1775" s="247">
        <f t="shared" si="199"/>
        <v>126</v>
      </c>
      <c r="R1775" s="259">
        <f>+_xlfn.XLOOKUP(A1775,PPTO_GENERADOR!$Q:$Q,PPTO_GENERADOR!A:A,"-",0)</f>
        <v>19.16</v>
      </c>
    </row>
    <row r="1776" spans="1:18" ht="14.25" customHeight="1" x14ac:dyDescent="0.35">
      <c r="A1776" s="38" t="s">
        <v>351</v>
      </c>
      <c r="B1776" s="38" t="s">
        <v>2774</v>
      </c>
      <c r="C1776" s="38" t="s">
        <v>2775</v>
      </c>
      <c r="D1776" s="38" t="s">
        <v>1517</v>
      </c>
      <c r="E1776" s="44" t="str">
        <f>IFERROR(VLOOKUP(D1776,MATERIALES!A:B,2,FALSE()),"?")</f>
        <v>Cupla de reduccion de 32x20mm</v>
      </c>
      <c r="F1776" s="44" t="str">
        <f>IFERROR(VLOOKUP(D1776,MATERIALES!A:C,3,FALSE()),"?")</f>
        <v>u</v>
      </c>
      <c r="G1776" s="45">
        <v>5</v>
      </c>
      <c r="H1776" s="46">
        <v>0</v>
      </c>
      <c r="I1776" s="47">
        <f>IFERROR(VLOOKUP(D1776,MATERIALES!A:D,4,FALSE()),0)</f>
        <v>1826.31</v>
      </c>
      <c r="J1776" s="42">
        <f t="shared" si="202"/>
        <v>9131.5499999999993</v>
      </c>
      <c r="K1776" s="15" t="str">
        <f t="shared" si="196"/>
        <v>PTO-1916|MAT</v>
      </c>
      <c r="L1776" s="15">
        <f>COUNTIFS($K$2:K1776,K1776)</f>
        <v>5</v>
      </c>
      <c r="M1776" s="15" t="str">
        <f t="shared" si="197"/>
        <v>PTO-1916|MAT|5</v>
      </c>
      <c r="N1776" s="47">
        <f>IFERROR(VLOOKUP(A1776,PARTIDAS!A:F,6,FALSE()),0)</f>
        <v>1</v>
      </c>
      <c r="O1776" s="247">
        <f t="shared" si="198"/>
        <v>5</v>
      </c>
      <c r="P1776" s="247">
        <f>+_xlfn.XLOOKUP(A1776,PPTO_GENERADOR!Q:Q,PPTO_GENERADOR!E:E,"-",0)</f>
        <v>1</v>
      </c>
      <c r="Q1776" s="247">
        <f t="shared" si="199"/>
        <v>5</v>
      </c>
      <c r="R1776" s="259">
        <f>+_xlfn.XLOOKUP(A1776,PPTO_GENERADOR!$Q:$Q,PPTO_GENERADOR!A:A,"-",0)</f>
        <v>19.16</v>
      </c>
    </row>
    <row r="1777" spans="1:18" ht="14.25" customHeight="1" x14ac:dyDescent="0.35">
      <c r="A1777" s="38" t="s">
        <v>351</v>
      </c>
      <c r="B1777" s="38" t="s">
        <v>2774</v>
      </c>
      <c r="C1777" s="38" t="s">
        <v>2775</v>
      </c>
      <c r="D1777" s="38" t="s">
        <v>1519</v>
      </c>
      <c r="E1777" s="44" t="str">
        <f>IFERROR(VLOOKUP(D1777,MATERIALES!A:B,2,FALSE()),"?")</f>
        <v>Niple corto con tope 32mm</v>
      </c>
      <c r="F1777" s="44" t="str">
        <f>IFERROR(VLOOKUP(D1777,MATERIALES!A:C,3,FALSE()),"?")</f>
        <v>u</v>
      </c>
      <c r="G1777" s="45">
        <v>5</v>
      </c>
      <c r="H1777" s="46">
        <v>0</v>
      </c>
      <c r="I1777" s="47">
        <f>IFERROR(VLOOKUP(D1777,MATERIALES!A:D,4,FALSE()),0)</f>
        <v>1291.29</v>
      </c>
      <c r="J1777" s="42">
        <f t="shared" si="202"/>
        <v>6456.45</v>
      </c>
      <c r="K1777" s="15" t="str">
        <f t="shared" si="196"/>
        <v>PTO-1916|MAT</v>
      </c>
      <c r="L1777" s="15">
        <f>COUNTIFS($K$2:K1777,K1777)</f>
        <v>6</v>
      </c>
      <c r="M1777" s="15" t="str">
        <f t="shared" si="197"/>
        <v>PTO-1916|MAT|6</v>
      </c>
      <c r="N1777" s="47">
        <f>IFERROR(VLOOKUP(A1777,PARTIDAS!A:F,6,FALSE()),0)</f>
        <v>1</v>
      </c>
      <c r="O1777" s="247">
        <f t="shared" si="198"/>
        <v>5</v>
      </c>
      <c r="P1777" s="247">
        <f>+_xlfn.XLOOKUP(A1777,PPTO_GENERADOR!Q:Q,PPTO_GENERADOR!E:E,"-",0)</f>
        <v>1</v>
      </c>
      <c r="Q1777" s="247">
        <f t="shared" si="199"/>
        <v>5</v>
      </c>
      <c r="R1777" s="259">
        <f>+_xlfn.XLOOKUP(A1777,PPTO_GENERADOR!$Q:$Q,PPTO_GENERADOR!A:A,"-",0)</f>
        <v>19.16</v>
      </c>
    </row>
    <row r="1778" spans="1:18" ht="14.25" customHeight="1" x14ac:dyDescent="0.35">
      <c r="A1778" s="38" t="s">
        <v>351</v>
      </c>
      <c r="B1778" s="38" t="s">
        <v>2774</v>
      </c>
      <c r="C1778" s="38" t="s">
        <v>2775</v>
      </c>
      <c r="D1778" s="38" t="s">
        <v>1521</v>
      </c>
      <c r="E1778" s="44" t="str">
        <f>IFERROR(VLOOKUP(D1778,MATERIALES!A:B,2,FALSE()),"?")</f>
        <v>Te de reduccion central de 32x20mm</v>
      </c>
      <c r="F1778" s="44" t="str">
        <f>IFERROR(VLOOKUP(D1778,MATERIALES!A:C,3,FALSE()),"?")</f>
        <v>u</v>
      </c>
      <c r="G1778" s="45">
        <v>3</v>
      </c>
      <c r="H1778" s="46">
        <v>0</v>
      </c>
      <c r="I1778" s="47">
        <f>IFERROR(VLOOKUP(D1778,MATERIALES!A:D,4,FALSE()),0)</f>
        <v>4980.91</v>
      </c>
      <c r="J1778" s="42">
        <f t="shared" si="202"/>
        <v>14942.73</v>
      </c>
      <c r="K1778" s="15" t="str">
        <f t="shared" si="196"/>
        <v>PTO-1916|MAT</v>
      </c>
      <c r="L1778" s="15">
        <f>COUNTIFS($K$2:K1778,K1778)</f>
        <v>7</v>
      </c>
      <c r="M1778" s="15" t="str">
        <f t="shared" si="197"/>
        <v>PTO-1916|MAT|7</v>
      </c>
      <c r="N1778" s="47">
        <f>IFERROR(VLOOKUP(A1778,PARTIDAS!A:F,6,FALSE()),0)</f>
        <v>1</v>
      </c>
      <c r="O1778" s="247">
        <f t="shared" si="198"/>
        <v>3</v>
      </c>
      <c r="P1778" s="247">
        <f>+_xlfn.XLOOKUP(A1778,PPTO_GENERADOR!Q:Q,PPTO_GENERADOR!E:E,"-",0)</f>
        <v>1</v>
      </c>
      <c r="Q1778" s="247">
        <f t="shared" si="199"/>
        <v>3</v>
      </c>
      <c r="R1778" s="259">
        <f>+_xlfn.XLOOKUP(A1778,PPTO_GENERADOR!$Q:$Q,PPTO_GENERADOR!A:A,"-",0)</f>
        <v>19.16</v>
      </c>
    </row>
    <row r="1779" spans="1:18" ht="14.25" customHeight="1" x14ac:dyDescent="0.35">
      <c r="A1779" s="38" t="s">
        <v>351</v>
      </c>
      <c r="B1779" s="38" t="s">
        <v>2774</v>
      </c>
      <c r="C1779" s="38" t="s">
        <v>2775</v>
      </c>
      <c r="D1779" s="38" t="s">
        <v>1523</v>
      </c>
      <c r="E1779" s="44" t="str">
        <f>IFERROR(VLOOKUP(D1779,MATERIALES!A:B,2,FALSE()),"?")</f>
        <v>Te normal de 32mm</v>
      </c>
      <c r="F1779" s="44" t="str">
        <f>IFERROR(VLOOKUP(D1779,MATERIALES!A:C,3,FALSE()),"?")</f>
        <v>u</v>
      </c>
      <c r="G1779" s="45">
        <v>3</v>
      </c>
      <c r="H1779" s="46">
        <v>0</v>
      </c>
      <c r="I1779" s="47">
        <f>IFERROR(VLOOKUP(D1779,MATERIALES!A:D,4,FALSE()),0)</f>
        <v>5575.48</v>
      </c>
      <c r="J1779" s="42">
        <f t="shared" si="202"/>
        <v>16726.439999999999</v>
      </c>
      <c r="K1779" s="15" t="str">
        <f t="shared" si="196"/>
        <v>PTO-1916|MAT</v>
      </c>
      <c r="L1779" s="15">
        <f>COUNTIFS($K$2:K1779,K1779)</f>
        <v>8</v>
      </c>
      <c r="M1779" s="15" t="str">
        <f t="shared" si="197"/>
        <v>PTO-1916|MAT|8</v>
      </c>
      <c r="N1779" s="47">
        <f>IFERROR(VLOOKUP(A1779,PARTIDAS!A:F,6,FALSE()),0)</f>
        <v>1</v>
      </c>
      <c r="O1779" s="247">
        <f t="shared" si="198"/>
        <v>3</v>
      </c>
      <c r="P1779" s="247">
        <f>+_xlfn.XLOOKUP(A1779,PPTO_GENERADOR!Q:Q,PPTO_GENERADOR!E:E,"-",0)</f>
        <v>1</v>
      </c>
      <c r="Q1779" s="247">
        <f t="shared" si="199"/>
        <v>3</v>
      </c>
      <c r="R1779" s="259">
        <f>+_xlfn.XLOOKUP(A1779,PPTO_GENERADOR!$Q:$Q,PPTO_GENERADOR!A:A,"-",0)</f>
        <v>19.16</v>
      </c>
    </row>
    <row r="1780" spans="1:18" ht="14.25" customHeight="1" x14ac:dyDescent="0.35">
      <c r="A1780" s="38" t="s">
        <v>351</v>
      </c>
      <c r="B1780" s="38" t="s">
        <v>2774</v>
      </c>
      <c r="C1780" s="38" t="s">
        <v>2775</v>
      </c>
      <c r="D1780" s="38" t="s">
        <v>1525</v>
      </c>
      <c r="E1780" s="44" t="str">
        <f>IFERROR(VLOOKUP(D1780,MATERIALES!A:B,2,FALSE()),"?")</f>
        <v>Tubo acero polietileno de 20mm L=4m</v>
      </c>
      <c r="F1780" s="44" t="str">
        <f>IFERROR(VLOOKUP(D1780,MATERIALES!A:C,3,FALSE()),"?")</f>
        <v>u</v>
      </c>
      <c r="G1780" s="45">
        <v>3</v>
      </c>
      <c r="H1780" s="46">
        <v>0</v>
      </c>
      <c r="I1780" s="47">
        <f>IFERROR(VLOOKUP(D1780,MATERIALES!A:D,4,FALSE()),0)</f>
        <v>18516.939999999999</v>
      </c>
      <c r="J1780" s="42">
        <f t="shared" si="202"/>
        <v>55550.819999999992</v>
      </c>
      <c r="K1780" s="15" t="str">
        <f t="shared" si="196"/>
        <v>PTO-1916|MAT</v>
      </c>
      <c r="L1780" s="15">
        <f>COUNTIFS($K$2:K1780,K1780)</f>
        <v>9</v>
      </c>
      <c r="M1780" s="15" t="str">
        <f t="shared" si="197"/>
        <v>PTO-1916|MAT|9</v>
      </c>
      <c r="N1780" s="47">
        <f>IFERROR(VLOOKUP(A1780,PARTIDAS!A:F,6,FALSE()),0)</f>
        <v>1</v>
      </c>
      <c r="O1780" s="247">
        <f t="shared" si="198"/>
        <v>3</v>
      </c>
      <c r="P1780" s="247">
        <f>+_xlfn.XLOOKUP(A1780,PPTO_GENERADOR!Q:Q,PPTO_GENERADOR!E:E,"-",0)</f>
        <v>1</v>
      </c>
      <c r="Q1780" s="247">
        <f t="shared" si="199"/>
        <v>3</v>
      </c>
      <c r="R1780" s="259">
        <f>+_xlfn.XLOOKUP(A1780,PPTO_GENERADOR!$Q:$Q,PPTO_GENERADOR!A:A,"-",0)</f>
        <v>19.16</v>
      </c>
    </row>
    <row r="1781" spans="1:18" ht="14.25" customHeight="1" x14ac:dyDescent="0.35">
      <c r="A1781" s="38" t="s">
        <v>351</v>
      </c>
      <c r="B1781" s="38" t="s">
        <v>2774</v>
      </c>
      <c r="C1781" s="38" t="s">
        <v>2775</v>
      </c>
      <c r="D1781" s="38" t="s">
        <v>1527</v>
      </c>
      <c r="E1781" s="44" t="str">
        <f>IFERROR(VLOOKUP(D1781,MATERIALES!A:B,2,FALSE()),"?")</f>
        <v>Tubo acero polietileno de 32mm L=4m</v>
      </c>
      <c r="F1781" s="44" t="str">
        <f>IFERROR(VLOOKUP(D1781,MATERIALES!A:C,3,FALSE()),"?")</f>
        <v>u</v>
      </c>
      <c r="G1781" s="45">
        <v>71</v>
      </c>
      <c r="H1781" s="46">
        <v>0</v>
      </c>
      <c r="I1781" s="47">
        <f>IFERROR(VLOOKUP(D1781,MATERIALES!A:D,4,FALSE()),0)</f>
        <v>36584.29</v>
      </c>
      <c r="J1781" s="42">
        <f t="shared" si="202"/>
        <v>2597484.59</v>
      </c>
      <c r="K1781" s="15" t="str">
        <f t="shared" si="196"/>
        <v>PTO-1916|MAT</v>
      </c>
      <c r="L1781" s="15">
        <f>COUNTIFS($K$2:K1781,K1781)</f>
        <v>10</v>
      </c>
      <c r="M1781" s="15" t="str">
        <f t="shared" si="197"/>
        <v>PTO-1916|MAT|10</v>
      </c>
      <c r="N1781" s="47">
        <f>IFERROR(VLOOKUP(A1781,PARTIDAS!A:F,6,FALSE()),0)</f>
        <v>1</v>
      </c>
      <c r="O1781" s="247">
        <f t="shared" si="198"/>
        <v>71</v>
      </c>
      <c r="P1781" s="247">
        <f>+_xlfn.XLOOKUP(A1781,PPTO_GENERADOR!Q:Q,PPTO_GENERADOR!E:E,"-",0)</f>
        <v>1</v>
      </c>
      <c r="Q1781" s="247">
        <f t="shared" si="199"/>
        <v>71</v>
      </c>
      <c r="R1781" s="259">
        <f>+_xlfn.XLOOKUP(A1781,PPTO_GENERADOR!$Q:$Q,PPTO_GENERADOR!A:A,"-",0)</f>
        <v>19.16</v>
      </c>
    </row>
    <row r="1782" spans="1:18" ht="14.25" customHeight="1" x14ac:dyDescent="0.35">
      <c r="A1782" s="38" t="s">
        <v>351</v>
      </c>
      <c r="B1782" s="38" t="s">
        <v>2774</v>
      </c>
      <c r="C1782" s="38" t="s">
        <v>2775</v>
      </c>
      <c r="D1782" s="38" t="s">
        <v>1529</v>
      </c>
      <c r="E1782" s="44" t="str">
        <f>IFERROR(VLOOKUP(D1782,MATERIALES!A:B,2,FALSE()),"?")</f>
        <v>Codo a 90° de 20mm c/RH 1/2"</v>
      </c>
      <c r="F1782" s="44" t="str">
        <f>IFERROR(VLOOKUP(D1782,MATERIALES!A:C,3,FALSE()),"?")</f>
        <v>u</v>
      </c>
      <c r="G1782" s="45">
        <v>18</v>
      </c>
      <c r="H1782" s="46">
        <v>0</v>
      </c>
      <c r="I1782" s="47">
        <f>IFERROR(VLOOKUP(D1782,MATERIALES!A:D,4,FALSE()),0)</f>
        <v>4181</v>
      </c>
      <c r="J1782" s="42">
        <f t="shared" si="202"/>
        <v>75258</v>
      </c>
      <c r="K1782" s="15" t="str">
        <f t="shared" si="196"/>
        <v>PTO-1916|MAT</v>
      </c>
      <c r="L1782" s="15">
        <f>COUNTIFS($K$2:K1782,K1782)</f>
        <v>11</v>
      </c>
      <c r="M1782" s="15" t="str">
        <f t="shared" si="197"/>
        <v>PTO-1916|MAT|11</v>
      </c>
      <c r="N1782" s="47">
        <f>IFERROR(VLOOKUP(A1782,PARTIDAS!A:F,6,FALSE()),0)</f>
        <v>1</v>
      </c>
      <c r="O1782" s="247">
        <f t="shared" si="198"/>
        <v>18</v>
      </c>
      <c r="P1782" s="247">
        <f>+_xlfn.XLOOKUP(A1782,PPTO_GENERADOR!Q:Q,PPTO_GENERADOR!E:E,"-",0)</f>
        <v>1</v>
      </c>
      <c r="Q1782" s="247">
        <f t="shared" si="199"/>
        <v>18</v>
      </c>
      <c r="R1782" s="259">
        <f>+_xlfn.XLOOKUP(A1782,PPTO_GENERADOR!$Q:$Q,PPTO_GENERADOR!A:A,"-",0)</f>
        <v>19.16</v>
      </c>
    </row>
    <row r="1783" spans="1:18" ht="14.25" customHeight="1" x14ac:dyDescent="0.35">
      <c r="A1783" s="38" t="s">
        <v>351</v>
      </c>
      <c r="B1783" s="38" t="s">
        <v>2774</v>
      </c>
      <c r="C1783" s="38" t="s">
        <v>2775</v>
      </c>
      <c r="D1783" s="38" t="s">
        <v>1531</v>
      </c>
      <c r="E1783" s="44" t="str">
        <f>IFERROR(VLOOKUP(D1783,MATERIALES!A:B,2,FALSE()),"?")</f>
        <v>Codo a 90° de 32mm c/RH 3/4"</v>
      </c>
      <c r="F1783" s="44" t="str">
        <f>IFERROR(VLOOKUP(D1783,MATERIALES!A:C,3,FALSE()),"?")</f>
        <v>u</v>
      </c>
      <c r="G1783" s="45">
        <v>8</v>
      </c>
      <c r="H1783" s="46">
        <v>0</v>
      </c>
      <c r="I1783" s="47">
        <f>IFERROR(VLOOKUP(D1783,MATERIALES!A:D,4,FALSE()),0)</f>
        <v>8559</v>
      </c>
      <c r="J1783" s="42">
        <f t="shared" si="202"/>
        <v>68472</v>
      </c>
      <c r="K1783" s="15" t="str">
        <f t="shared" si="196"/>
        <v>PTO-1916|MAT</v>
      </c>
      <c r="L1783" s="15">
        <f>COUNTIFS($K$2:K1783,K1783)</f>
        <v>12</v>
      </c>
      <c r="M1783" s="15" t="str">
        <f t="shared" si="197"/>
        <v>PTO-1916|MAT|12</v>
      </c>
      <c r="N1783" s="47">
        <f>IFERROR(VLOOKUP(A1783,PARTIDAS!A:F,6,FALSE()),0)</f>
        <v>1</v>
      </c>
      <c r="O1783" s="247">
        <f t="shared" si="198"/>
        <v>8</v>
      </c>
      <c r="P1783" s="247">
        <f>+_xlfn.XLOOKUP(A1783,PPTO_GENERADOR!Q:Q,PPTO_GENERADOR!E:E,"-",0)</f>
        <v>1</v>
      </c>
      <c r="Q1783" s="247">
        <f t="shared" si="199"/>
        <v>8</v>
      </c>
      <c r="R1783" s="259">
        <f>+_xlfn.XLOOKUP(A1783,PPTO_GENERADOR!$Q:$Q,PPTO_GENERADOR!A:A,"-",0)</f>
        <v>19.16</v>
      </c>
    </row>
    <row r="1784" spans="1:18" ht="14.25" customHeight="1" x14ac:dyDescent="0.35">
      <c r="A1784" s="38" t="s">
        <v>351</v>
      </c>
      <c r="B1784" s="38" t="s">
        <v>2774</v>
      </c>
      <c r="C1784" s="38" t="s">
        <v>2775</v>
      </c>
      <c r="D1784" s="38" t="s">
        <v>1533</v>
      </c>
      <c r="E1784" s="44" t="str">
        <f>IFERROR(VLOOKUP(D1784,MATERIALES!A:B,2,FALSE()),"?")</f>
        <v>CAÑO EPOXI 1 1/4 x 6,40</v>
      </c>
      <c r="F1784" s="44" t="str">
        <f>IFERROR(VLOOKUP(D1784,MATERIALES!A:C,3,FALSE()),"?")</f>
        <v>tira</v>
      </c>
      <c r="G1784" s="45">
        <v>1</v>
      </c>
      <c r="H1784" s="46">
        <v>0</v>
      </c>
      <c r="I1784" s="47">
        <f>IFERROR(VLOOKUP(D1784,MATERIALES!A:D,4,FALSE()),0)</f>
        <v>79820.73</v>
      </c>
      <c r="J1784" s="42">
        <f t="shared" si="202"/>
        <v>79820.73</v>
      </c>
      <c r="K1784" s="15" t="str">
        <f t="shared" si="196"/>
        <v>PTO-1916|MAT</v>
      </c>
      <c r="L1784" s="15">
        <f>COUNTIFS($K$2:K1784,K1784)</f>
        <v>13</v>
      </c>
      <c r="M1784" s="15" t="str">
        <f t="shared" si="197"/>
        <v>PTO-1916|MAT|13</v>
      </c>
      <c r="N1784" s="47">
        <f>IFERROR(VLOOKUP(A1784,PARTIDAS!A:F,6,FALSE()),0)</f>
        <v>1</v>
      </c>
      <c r="O1784" s="247">
        <f t="shared" si="198"/>
        <v>1</v>
      </c>
      <c r="P1784" s="247">
        <f>+_xlfn.XLOOKUP(A1784,PPTO_GENERADOR!Q:Q,PPTO_GENERADOR!E:E,"-",0)</f>
        <v>1</v>
      </c>
      <c r="Q1784" s="247">
        <f t="shared" si="199"/>
        <v>1</v>
      </c>
      <c r="R1784" s="259">
        <f>+_xlfn.XLOOKUP(A1784,PPTO_GENERADOR!$Q:$Q,PPTO_GENERADOR!A:A,"-",0)</f>
        <v>19.16</v>
      </c>
    </row>
    <row r="1785" spans="1:18" ht="14.25" customHeight="1" x14ac:dyDescent="0.35">
      <c r="A1785" s="38" t="s">
        <v>351</v>
      </c>
      <c r="B1785" s="38" t="s">
        <v>2774</v>
      </c>
      <c r="C1785" s="38" t="s">
        <v>2775</v>
      </c>
      <c r="D1785" s="38" t="s">
        <v>1535</v>
      </c>
      <c r="E1785" s="44" t="str">
        <f>IFERROR(VLOOKUP(D1785,MATERIALES!A:B,2,FALSE()),"?")</f>
        <v>EPOXI TEE 1 1/4</v>
      </c>
      <c r="F1785" s="44" t="str">
        <f>IFERROR(VLOOKUP(D1785,MATERIALES!A:C,3,FALSE()),"?")</f>
        <v>u</v>
      </c>
      <c r="G1785" s="45">
        <v>4</v>
      </c>
      <c r="H1785" s="46">
        <v>0</v>
      </c>
      <c r="I1785" s="47">
        <f>IFERROR(VLOOKUP(D1785,MATERIALES!A:D,4,FALSE()),0)</f>
        <v>5026.22</v>
      </c>
      <c r="J1785" s="42">
        <f t="shared" si="202"/>
        <v>20104.88</v>
      </c>
      <c r="K1785" s="15" t="str">
        <f t="shared" si="196"/>
        <v>PTO-1916|MAT</v>
      </c>
      <c r="L1785" s="15">
        <f>COUNTIFS($K$2:K1785,K1785)</f>
        <v>14</v>
      </c>
      <c r="M1785" s="15" t="str">
        <f t="shared" si="197"/>
        <v>PTO-1916|MAT|14</v>
      </c>
      <c r="N1785" s="47">
        <f>IFERROR(VLOOKUP(A1785,PARTIDAS!A:F,6,FALSE()),0)</f>
        <v>1</v>
      </c>
      <c r="O1785" s="247">
        <f t="shared" si="198"/>
        <v>4</v>
      </c>
      <c r="P1785" s="247">
        <f>+_xlfn.XLOOKUP(A1785,PPTO_GENERADOR!Q:Q,PPTO_GENERADOR!E:E,"-",0)</f>
        <v>1</v>
      </c>
      <c r="Q1785" s="247">
        <f t="shared" si="199"/>
        <v>4</v>
      </c>
      <c r="R1785" s="259">
        <f>+_xlfn.XLOOKUP(A1785,PPTO_GENERADOR!$Q:$Q,PPTO_GENERADOR!A:A,"-",0)</f>
        <v>19.16</v>
      </c>
    </row>
    <row r="1786" spans="1:18" ht="14.25" customHeight="1" x14ac:dyDescent="0.35">
      <c r="A1786" s="38" t="s">
        <v>351</v>
      </c>
      <c r="B1786" s="38" t="s">
        <v>2774</v>
      </c>
      <c r="C1786" s="38" t="s">
        <v>2775</v>
      </c>
      <c r="D1786" s="38" t="s">
        <v>1537</v>
      </c>
      <c r="E1786" s="44" t="str">
        <f>IFERROR(VLOOKUP(D1786,MATERIALES!A:B,2,FALSE()),"?")</f>
        <v>EPOXI CODO 90 HH 1 1/4</v>
      </c>
      <c r="F1786" s="44" t="str">
        <f>IFERROR(VLOOKUP(D1786,MATERIALES!A:C,3,FALSE()),"?")</f>
        <v>u</v>
      </c>
      <c r="G1786" s="45">
        <v>16</v>
      </c>
      <c r="H1786" s="46">
        <v>0</v>
      </c>
      <c r="I1786" s="47">
        <f>IFERROR(VLOOKUP(D1786,MATERIALES!A:D,4,FALSE()),0)</f>
        <v>3592.22</v>
      </c>
      <c r="J1786" s="42">
        <f t="shared" si="202"/>
        <v>57475.519999999997</v>
      </c>
      <c r="K1786" s="15" t="str">
        <f t="shared" si="196"/>
        <v>PTO-1916|MAT</v>
      </c>
      <c r="L1786" s="15">
        <f>COUNTIFS($K$2:K1786,K1786)</f>
        <v>15</v>
      </c>
      <c r="M1786" s="15" t="str">
        <f t="shared" si="197"/>
        <v>PTO-1916|MAT|15</v>
      </c>
      <c r="N1786" s="47">
        <f>IFERROR(VLOOKUP(A1786,PARTIDAS!A:F,6,FALSE()),0)</f>
        <v>1</v>
      </c>
      <c r="O1786" s="247">
        <f t="shared" si="198"/>
        <v>16</v>
      </c>
      <c r="P1786" s="247">
        <f>+_xlfn.XLOOKUP(A1786,PPTO_GENERADOR!Q:Q,PPTO_GENERADOR!E:E,"-",0)</f>
        <v>1</v>
      </c>
      <c r="Q1786" s="247">
        <f t="shared" si="199"/>
        <v>16</v>
      </c>
      <c r="R1786" s="259">
        <f>+_xlfn.XLOOKUP(A1786,PPTO_GENERADOR!$Q:$Q,PPTO_GENERADOR!A:A,"-",0)</f>
        <v>19.16</v>
      </c>
    </row>
    <row r="1787" spans="1:18" ht="14.25" customHeight="1" x14ac:dyDescent="0.35">
      <c r="A1787" s="38" t="s">
        <v>351</v>
      </c>
      <c r="B1787" s="38" t="s">
        <v>2774</v>
      </c>
      <c r="C1787" s="38" t="s">
        <v>2775</v>
      </c>
      <c r="D1787" s="38" t="s">
        <v>1539</v>
      </c>
      <c r="E1787" s="44" t="str">
        <f>IFERROR(VLOOKUP(D1787,MATERIALES!A:B,2,FALSE()),"?")</f>
        <v>BRONCE BUJE RED 1 1/4 x 1</v>
      </c>
      <c r="F1787" s="44" t="str">
        <f>IFERROR(VLOOKUP(D1787,MATERIALES!A:C,3,FALSE()),"?")</f>
        <v>u</v>
      </c>
      <c r="G1787" s="45">
        <v>4</v>
      </c>
      <c r="H1787" s="46">
        <v>0</v>
      </c>
      <c r="I1787" s="47">
        <f>IFERROR(VLOOKUP(D1787,MATERIALES!A:D,4,FALSE()),0)</f>
        <v>4009.17</v>
      </c>
      <c r="J1787" s="42">
        <f t="shared" si="202"/>
        <v>16036.68</v>
      </c>
      <c r="K1787" s="15" t="str">
        <f t="shared" si="196"/>
        <v>PTO-1916|MAT</v>
      </c>
      <c r="L1787" s="15">
        <f>COUNTIFS($K$2:K1787,K1787)</f>
        <v>16</v>
      </c>
      <c r="M1787" s="15" t="str">
        <f t="shared" si="197"/>
        <v>PTO-1916|MAT|16</v>
      </c>
      <c r="N1787" s="47">
        <f>IFERROR(VLOOKUP(A1787,PARTIDAS!A:F,6,FALSE()),0)</f>
        <v>1</v>
      </c>
      <c r="O1787" s="247">
        <f t="shared" si="198"/>
        <v>4</v>
      </c>
      <c r="P1787" s="247">
        <f>+_xlfn.XLOOKUP(A1787,PPTO_GENERADOR!Q:Q,PPTO_GENERADOR!E:E,"-",0)</f>
        <v>1</v>
      </c>
      <c r="Q1787" s="247">
        <f t="shared" si="199"/>
        <v>4</v>
      </c>
      <c r="R1787" s="259">
        <f>+_xlfn.XLOOKUP(A1787,PPTO_GENERADOR!$Q:$Q,PPTO_GENERADOR!A:A,"-",0)</f>
        <v>19.16</v>
      </c>
    </row>
    <row r="1788" spans="1:18" ht="14.25" customHeight="1" x14ac:dyDescent="0.35">
      <c r="A1788" s="38" t="s">
        <v>351</v>
      </c>
      <c r="B1788" s="38" t="s">
        <v>2774</v>
      </c>
      <c r="C1788" s="38" t="s">
        <v>2775</v>
      </c>
      <c r="D1788" s="38" t="s">
        <v>1541</v>
      </c>
      <c r="E1788" s="44" t="str">
        <f>IFERROR(VLOOKUP(D1788,MATERIALES!A:B,2,FALSE()),"?")</f>
        <v>SUYAI ESFERICA P/GAS FORJADA 1 1/4</v>
      </c>
      <c r="F1788" s="44" t="str">
        <f>IFERROR(VLOOKUP(D1788,MATERIALES!A:C,3,FALSE()),"?")</f>
        <v>u</v>
      </c>
      <c r="G1788" s="45">
        <v>5</v>
      </c>
      <c r="H1788" s="46">
        <v>0</v>
      </c>
      <c r="I1788" s="47">
        <f>IFERROR(VLOOKUP(D1788,MATERIALES!A:D,4,FALSE()),0)</f>
        <v>88241.07</v>
      </c>
      <c r="J1788" s="42">
        <f t="shared" si="202"/>
        <v>441205.35000000003</v>
      </c>
      <c r="K1788" s="15" t="str">
        <f t="shared" si="196"/>
        <v>PTO-1916|MAT</v>
      </c>
      <c r="L1788" s="15">
        <f>COUNTIFS($K$2:K1788,K1788)</f>
        <v>17</v>
      </c>
      <c r="M1788" s="15" t="str">
        <f t="shared" si="197"/>
        <v>PTO-1916|MAT|17</v>
      </c>
      <c r="N1788" s="47">
        <f>IFERROR(VLOOKUP(A1788,PARTIDAS!A:F,6,FALSE()),0)</f>
        <v>1</v>
      </c>
      <c r="O1788" s="247">
        <f t="shared" si="198"/>
        <v>5</v>
      </c>
      <c r="P1788" s="247">
        <f>+_xlfn.XLOOKUP(A1788,PPTO_GENERADOR!Q:Q,PPTO_GENERADOR!E:E,"-",0)</f>
        <v>1</v>
      </c>
      <c r="Q1788" s="247">
        <f t="shared" si="199"/>
        <v>5</v>
      </c>
      <c r="R1788" s="259">
        <f>+_xlfn.XLOOKUP(A1788,PPTO_GENERADOR!$Q:$Q,PPTO_GENERADOR!A:A,"-",0)</f>
        <v>19.16</v>
      </c>
    </row>
    <row r="1789" spans="1:18" ht="14.25" customHeight="1" x14ac:dyDescent="0.35">
      <c r="A1789" s="38" t="s">
        <v>351</v>
      </c>
      <c r="B1789" s="38" t="s">
        <v>2774</v>
      </c>
      <c r="C1789" s="38" t="s">
        <v>2775</v>
      </c>
      <c r="D1789" s="38" t="s">
        <v>1543</v>
      </c>
      <c r="E1789" s="44" t="str">
        <f>IFERROR(VLOOKUP(D1789,MATERIALES!A:B,2,FALSE()),"?")</f>
        <v>FUSIOGAS TRANSICION HEMBRA 32 x 1</v>
      </c>
      <c r="F1789" s="44" t="str">
        <f>IFERROR(VLOOKUP(D1789,MATERIALES!A:C,3,FALSE()),"?")</f>
        <v>u</v>
      </c>
      <c r="G1789" s="45">
        <v>8</v>
      </c>
      <c r="H1789" s="46">
        <v>0</v>
      </c>
      <c r="I1789" s="47">
        <f>IFERROR(VLOOKUP(D1789,MATERIALES!A:D,4,FALSE()),0)</f>
        <v>4114.5200000000004</v>
      </c>
      <c r="J1789" s="42">
        <f t="shared" si="202"/>
        <v>32916.160000000003</v>
      </c>
      <c r="K1789" s="15" t="str">
        <f t="shared" si="196"/>
        <v>PTO-1916|MAT</v>
      </c>
      <c r="L1789" s="15">
        <f>COUNTIFS($K$2:K1789,K1789)</f>
        <v>18</v>
      </c>
      <c r="M1789" s="15" t="str">
        <f t="shared" si="197"/>
        <v>PTO-1916|MAT|18</v>
      </c>
      <c r="N1789" s="47">
        <f>IFERROR(VLOOKUP(A1789,PARTIDAS!A:F,6,FALSE()),0)</f>
        <v>1</v>
      </c>
      <c r="O1789" s="247">
        <f t="shared" si="198"/>
        <v>8</v>
      </c>
      <c r="P1789" s="247">
        <f>+_xlfn.XLOOKUP(A1789,PPTO_GENERADOR!Q:Q,PPTO_GENERADOR!E:E,"-",0)</f>
        <v>1</v>
      </c>
      <c r="Q1789" s="247">
        <f t="shared" si="199"/>
        <v>8</v>
      </c>
      <c r="R1789" s="259">
        <f>+_xlfn.XLOOKUP(A1789,PPTO_GENERADOR!$Q:$Q,PPTO_GENERADOR!A:A,"-",0)</f>
        <v>19.16</v>
      </c>
    </row>
    <row r="1790" spans="1:18" ht="14.25" customHeight="1" x14ac:dyDescent="0.35">
      <c r="A1790" s="38" t="s">
        <v>351</v>
      </c>
      <c r="B1790" s="38" t="s">
        <v>2774</v>
      </c>
      <c r="C1790" s="38" t="s">
        <v>2775</v>
      </c>
      <c r="D1790" s="38" t="s">
        <v>1545</v>
      </c>
      <c r="E1790" s="44" t="str">
        <f>IFERROR(VLOOKUP(D1790,MATERIALES!A:B,2,FALSE()),"?")</f>
        <v>REGULADOR GAS GS-25 N/M3H</v>
      </c>
      <c r="F1790" s="44" t="str">
        <f>IFERROR(VLOOKUP(D1790,MATERIALES!A:C,3,FALSE()),"?")</f>
        <v>u</v>
      </c>
      <c r="G1790" s="45">
        <v>2</v>
      </c>
      <c r="H1790" s="46">
        <v>0</v>
      </c>
      <c r="I1790" s="47">
        <f>IFERROR(VLOOKUP(D1790,MATERIALES!A:D,4,FALSE()),0)</f>
        <v>130062.5</v>
      </c>
      <c r="J1790" s="42">
        <f t="shared" si="202"/>
        <v>260125</v>
      </c>
      <c r="K1790" s="15" t="str">
        <f t="shared" si="196"/>
        <v>PTO-1916|MAT</v>
      </c>
      <c r="L1790" s="15">
        <f>COUNTIFS($K$2:K1790,K1790)</f>
        <v>19</v>
      </c>
      <c r="M1790" s="15" t="str">
        <f t="shared" si="197"/>
        <v>PTO-1916|MAT|19</v>
      </c>
      <c r="N1790" s="47">
        <f>IFERROR(VLOOKUP(A1790,PARTIDAS!A:F,6,FALSE()),0)</f>
        <v>1</v>
      </c>
      <c r="O1790" s="247">
        <f t="shared" si="198"/>
        <v>2</v>
      </c>
      <c r="P1790" s="247">
        <f>+_xlfn.XLOOKUP(A1790,PPTO_GENERADOR!Q:Q,PPTO_GENERADOR!E:E,"-",0)</f>
        <v>1</v>
      </c>
      <c r="Q1790" s="247">
        <f t="shared" si="199"/>
        <v>2</v>
      </c>
      <c r="R1790" s="259">
        <f>+_xlfn.XLOOKUP(A1790,PPTO_GENERADOR!$Q:$Q,PPTO_GENERADOR!A:A,"-",0)</f>
        <v>19.16</v>
      </c>
    </row>
    <row r="1791" spans="1:18" ht="14.25" customHeight="1" x14ac:dyDescent="0.35">
      <c r="A1791" s="38" t="s">
        <v>351</v>
      </c>
      <c r="B1791" s="38" t="s">
        <v>2774</v>
      </c>
      <c r="C1791" s="38" t="s">
        <v>2775</v>
      </c>
      <c r="D1791" s="38" t="s">
        <v>1361</v>
      </c>
      <c r="E1791" s="44" t="str">
        <f>IFERROR(VLOOKUP(D1791,MATERIALES!A:B,2,FALSE()),"?")</f>
        <v>Consumibles</v>
      </c>
      <c r="F1791" s="44" t="str">
        <f>IFERROR(VLOOKUP(D1791,MATERIALES!A:C,3,FALSE()),"?")</f>
        <v>gl</v>
      </c>
      <c r="G1791" s="45">
        <v>473976.86700000003</v>
      </c>
      <c r="H1791" s="46">
        <v>0</v>
      </c>
      <c r="I1791" s="47">
        <f>IFERROR(VLOOKUP(D1791,MATERIALES!A:D,4,FALSE()),0)</f>
        <v>1</v>
      </c>
      <c r="J1791" s="42">
        <f t="shared" si="202"/>
        <v>473976.86700000003</v>
      </c>
      <c r="K1791" s="15" t="str">
        <f t="shared" si="196"/>
        <v>PTO-1916|MAT</v>
      </c>
      <c r="L1791" s="15">
        <f>COUNTIFS($K$2:K1791,K1791)</f>
        <v>20</v>
      </c>
      <c r="M1791" s="15" t="str">
        <f t="shared" si="197"/>
        <v>PTO-1916|MAT|20</v>
      </c>
      <c r="N1791" s="47">
        <f>IFERROR(VLOOKUP(A1791,PARTIDAS!A:F,6,FALSE()),0)</f>
        <v>1</v>
      </c>
      <c r="O1791" s="247">
        <f t="shared" si="198"/>
        <v>473976.86700000003</v>
      </c>
      <c r="P1791" s="247">
        <f>+_xlfn.XLOOKUP(A1791,PPTO_GENERADOR!Q:Q,PPTO_GENERADOR!E:E,"-",0)</f>
        <v>1</v>
      </c>
      <c r="Q1791" s="247">
        <f t="shared" si="199"/>
        <v>473976.86700000003</v>
      </c>
      <c r="R1791" s="259">
        <f>+_xlfn.XLOOKUP(A1791,PPTO_GENERADOR!$Q:$Q,PPTO_GENERADOR!A:A,"-",0)</f>
        <v>19.16</v>
      </c>
    </row>
    <row r="1792" spans="1:18" ht="14.25" customHeight="1" x14ac:dyDescent="0.35">
      <c r="A1792" s="38" t="s">
        <v>353</v>
      </c>
      <c r="B1792" s="38" t="s">
        <v>2774</v>
      </c>
      <c r="C1792" s="38" t="s">
        <v>2775</v>
      </c>
      <c r="D1792" s="38" t="s">
        <v>1323</v>
      </c>
      <c r="E1792" s="44" t="str">
        <f>IFERROR(VLOOKUP(D1792,MATERIALES!A:B,2,FALSE()),"?")</f>
        <v>Colocación de anafes - Provisión a cargo del comitente</v>
      </c>
      <c r="F1792" s="44" t="str">
        <f>IFERROR(VLOOKUP(D1792,MATERIALES!A:C,3,FALSE()),"?")</f>
        <v>u</v>
      </c>
      <c r="G1792" s="45">
        <v>1</v>
      </c>
      <c r="H1792" s="46">
        <v>0</v>
      </c>
      <c r="I1792" s="47">
        <f>IFERROR(VLOOKUP(D1792,MATERIALES!A:D,4,FALSE()),0)</f>
        <v>15000</v>
      </c>
      <c r="J1792" s="42">
        <f t="shared" si="202"/>
        <v>15000</v>
      </c>
      <c r="K1792" s="15" t="str">
        <f t="shared" si="196"/>
        <v>PTO-1917|MAT</v>
      </c>
      <c r="L1792" s="15">
        <f>COUNTIFS($K$2:K1792,K1792)</f>
        <v>1</v>
      </c>
      <c r="M1792" s="15" t="str">
        <f t="shared" si="197"/>
        <v>PTO-1917|MAT|1</v>
      </c>
      <c r="N1792" s="47">
        <f>IFERROR(VLOOKUP(A1792,PARTIDAS!A:F,6,FALSE()),0)</f>
        <v>1</v>
      </c>
      <c r="O1792" s="247">
        <f t="shared" si="198"/>
        <v>1</v>
      </c>
      <c r="P1792" s="247">
        <f>+_xlfn.XLOOKUP(A1792,PPTO_GENERADOR!Q:Q,PPTO_GENERADOR!E:E,"-",0)</f>
        <v>8</v>
      </c>
      <c r="Q1792" s="247">
        <f t="shared" si="199"/>
        <v>8</v>
      </c>
      <c r="R1792" s="259">
        <f>+_xlfn.XLOOKUP(A1792,PPTO_GENERADOR!$Q:$Q,PPTO_GENERADOR!A:A,"-",0)</f>
        <v>19.170000000000002</v>
      </c>
    </row>
    <row r="1793" spans="1:18" ht="14.25" customHeight="1" x14ac:dyDescent="0.35">
      <c r="A1793" s="38" t="s">
        <v>353</v>
      </c>
      <c r="B1793" s="38" t="s">
        <v>2776</v>
      </c>
      <c r="C1793" s="38" t="s">
        <v>2775</v>
      </c>
      <c r="D1793" s="38" t="s">
        <v>2369</v>
      </c>
      <c r="E1793" s="44" t="str">
        <f>IFERROR(VLOOKUP(D1793,SUBCONTRATOS_PRY!A:B,2,FALSE()),"?")</f>
        <v>MO Colocación de anafes - Provisión a cargo del comitente</v>
      </c>
      <c r="F1793" s="44" t="s">
        <v>2778</v>
      </c>
      <c r="G1793" s="45">
        <v>1</v>
      </c>
      <c r="H1793" s="46">
        <v>0</v>
      </c>
      <c r="I1793" s="47">
        <f>IFERROR(VLOOKUP(D1793,SUBCONTRATOS_PRY!A:D,4,FALSE()),0)</f>
        <v>30000</v>
      </c>
      <c r="J1793" s="42">
        <f>G1793*I1793</f>
        <v>30000</v>
      </c>
      <c r="K1793" s="15" t="str">
        <f t="shared" si="196"/>
        <v>PTO-1917|MO</v>
      </c>
      <c r="L1793" s="15">
        <f>COUNTIFS($K$2:K1793,K1793)</f>
        <v>1</v>
      </c>
      <c r="M1793" s="15" t="str">
        <f t="shared" si="197"/>
        <v>PTO-1917|MO|1</v>
      </c>
      <c r="N1793" s="47">
        <f>IFERROR(VLOOKUP(A1793,PARTIDAS!A:F,6,FALSE()),0)</f>
        <v>1</v>
      </c>
      <c r="O1793" s="247">
        <f t="shared" si="198"/>
        <v>1</v>
      </c>
      <c r="P1793" s="247">
        <f>+_xlfn.XLOOKUP(A1793,PPTO_GENERADOR!Q:Q,PPTO_GENERADOR!E:E,"-",0)</f>
        <v>8</v>
      </c>
      <c r="Q1793" s="247">
        <f t="shared" si="199"/>
        <v>8</v>
      </c>
      <c r="R1793" s="259">
        <f>+_xlfn.XLOOKUP(A1793,PPTO_GENERADOR!$Q:$Q,PPTO_GENERADOR!A:A,"-",0)</f>
        <v>19.170000000000002</v>
      </c>
    </row>
    <row r="1794" spans="1:18" ht="14.25" customHeight="1" x14ac:dyDescent="0.35">
      <c r="A1794" s="38" t="s">
        <v>355</v>
      </c>
      <c r="B1794" s="38" t="s">
        <v>2774</v>
      </c>
      <c r="C1794" s="38" t="s">
        <v>2775</v>
      </c>
      <c r="D1794" s="38" t="s">
        <v>1325</v>
      </c>
      <c r="E1794" s="44" t="str">
        <f>IFERROR(VLOOKUP(D1794,MATERIALES!A:B,2,FALSE()),"?")</f>
        <v>Provisión y amure de rejillas de ventilación homologadas</v>
      </c>
      <c r="F1794" s="44" t="str">
        <f>IFERROR(VLOOKUP(D1794,MATERIALES!A:C,3,FALSE()),"?")</f>
        <v>gl</v>
      </c>
      <c r="G1794" s="45">
        <v>1</v>
      </c>
      <c r="H1794" s="46">
        <v>0</v>
      </c>
      <c r="I1794" s="47">
        <f>IFERROR(VLOOKUP(D1794,MATERIALES!A:D,4,FALSE()),0)</f>
        <v>1500</v>
      </c>
      <c r="J1794" s="42">
        <f>G1794*I1794*(1+H1794)</f>
        <v>1500</v>
      </c>
      <c r="K1794" s="15" t="str">
        <f t="shared" ref="K1794:K1857" si="203">A1794&amp;"|"&amp;B1794</f>
        <v>PTO-1918|MAT</v>
      </c>
      <c r="L1794" s="15">
        <f>COUNTIFS($K$2:K1794,K1794)</f>
        <v>1</v>
      </c>
      <c r="M1794" s="15" t="str">
        <f t="shared" ref="M1794:M1857" si="204">K1794&amp;"|"&amp;L1794</f>
        <v>PTO-1918|MAT|1</v>
      </c>
      <c r="N1794" s="47">
        <f>IFERROR(VLOOKUP(A1794,PARTIDAS!A:F,6,FALSE()),0)</f>
        <v>1</v>
      </c>
      <c r="O1794" s="247">
        <f t="shared" si="198"/>
        <v>1</v>
      </c>
      <c r="P1794" s="247">
        <f>+_xlfn.XLOOKUP(A1794,PPTO_GENERADOR!Q:Q,PPTO_GENERADOR!E:E,"-",0)</f>
        <v>8</v>
      </c>
      <c r="Q1794" s="247">
        <f t="shared" si="199"/>
        <v>8</v>
      </c>
      <c r="R1794" s="259">
        <f>+_xlfn.XLOOKUP(A1794,PPTO_GENERADOR!$Q:$Q,PPTO_GENERADOR!A:A,"-",0)</f>
        <v>19.18</v>
      </c>
    </row>
    <row r="1795" spans="1:18" ht="14.25" customHeight="1" x14ac:dyDescent="0.35">
      <c r="A1795" s="38" t="s">
        <v>355</v>
      </c>
      <c r="B1795" s="38" t="s">
        <v>2776</v>
      </c>
      <c r="C1795" s="38" t="s">
        <v>2775</v>
      </c>
      <c r="D1795" s="38" t="s">
        <v>2371</v>
      </c>
      <c r="E1795" s="44" t="str">
        <f>IFERROR(VLOOKUP(D1795,SUBCONTRATOS_PRY!A:B,2,FALSE()),"?")</f>
        <v>MO Provisión y amure de rejillas de ventilación homologadas</v>
      </c>
      <c r="F1795" s="44" t="s">
        <v>2778</v>
      </c>
      <c r="G1795" s="45">
        <v>1</v>
      </c>
      <c r="H1795" s="46">
        <v>0</v>
      </c>
      <c r="I1795" s="47">
        <f>IFERROR(VLOOKUP(D1795,SUBCONTRATOS_PRY!A:D,4,FALSE()),0)</f>
        <v>19238.769926642999</v>
      </c>
      <c r="J1795" s="42">
        <f>G1795*I1795</f>
        <v>19238.769926642999</v>
      </c>
      <c r="K1795" s="15" t="str">
        <f t="shared" si="203"/>
        <v>PTO-1918|MO</v>
      </c>
      <c r="L1795" s="15">
        <f>COUNTIFS($K$2:K1795,K1795)</f>
        <v>1</v>
      </c>
      <c r="M1795" s="15" t="str">
        <f t="shared" si="204"/>
        <v>PTO-1918|MO|1</v>
      </c>
      <c r="N1795" s="47">
        <f>IFERROR(VLOOKUP(A1795,PARTIDAS!A:F,6,FALSE()),0)</f>
        <v>1</v>
      </c>
      <c r="O1795" s="247">
        <f t="shared" ref="O1795:O1858" si="205">+IF(C1795="ALB",G1795/N1795,G1795)</f>
        <v>1</v>
      </c>
      <c r="P1795" s="247">
        <f>+_xlfn.XLOOKUP(A1795,PPTO_GENERADOR!Q:Q,PPTO_GENERADOR!E:E,"-",0)</f>
        <v>8</v>
      </c>
      <c r="Q1795" s="247">
        <f t="shared" ref="Q1795:Q1858" si="206">IFERROR(P1795*O1795,0)</f>
        <v>8</v>
      </c>
      <c r="R1795" s="259">
        <f>+_xlfn.XLOOKUP(A1795,PPTO_GENERADOR!$Q:$Q,PPTO_GENERADOR!A:A,"-",0)</f>
        <v>19.18</v>
      </c>
    </row>
    <row r="1796" spans="1:18" ht="14.25" customHeight="1" x14ac:dyDescent="0.35">
      <c r="A1796" s="38" t="s">
        <v>357</v>
      </c>
      <c r="B1796" s="38" t="s">
        <v>2776</v>
      </c>
      <c r="C1796" s="38" t="s">
        <v>2775</v>
      </c>
      <c r="D1796" s="38" t="s">
        <v>2373</v>
      </c>
      <c r="E1796" s="44" t="str">
        <f>IFERROR(VLOOKUP(D1796,SUBCONTRATOS_PRY!A:B,2,FALSE()),"?")</f>
        <v>MO Tramites gas - Prefactibilidad, inspección parcial, final</v>
      </c>
      <c r="F1796" s="44" t="s">
        <v>2778</v>
      </c>
      <c r="G1796" s="45">
        <v>1</v>
      </c>
      <c r="H1796" s="46">
        <v>0</v>
      </c>
      <c r="I1796" s="47">
        <f>IFERROR(VLOOKUP(D1796,SUBCONTRATOS_PRY!A:D,4,FALSE()),0)</f>
        <v>3510000</v>
      </c>
      <c r="J1796" s="42">
        <f>G1796*I1796</f>
        <v>3510000</v>
      </c>
      <c r="K1796" s="15" t="str">
        <f t="shared" si="203"/>
        <v>PTO-1919|MO</v>
      </c>
      <c r="L1796" s="15">
        <f>COUNTIFS($K$2:K1796,K1796)</f>
        <v>1</v>
      </c>
      <c r="M1796" s="15" t="str">
        <f t="shared" si="204"/>
        <v>PTO-1919|MO|1</v>
      </c>
      <c r="N1796" s="47">
        <f>IFERROR(VLOOKUP(A1796,PARTIDAS!A:F,6,FALSE()),0)</f>
        <v>1</v>
      </c>
      <c r="O1796" s="247">
        <f t="shared" si="205"/>
        <v>1</v>
      </c>
      <c r="P1796" s="247">
        <f>+_xlfn.XLOOKUP(A1796,PPTO_GENERADOR!Q:Q,PPTO_GENERADOR!E:E,"-",0)</f>
        <v>1</v>
      </c>
      <c r="Q1796" s="247">
        <f t="shared" si="206"/>
        <v>1</v>
      </c>
      <c r="R1796" s="259">
        <f>+_xlfn.XLOOKUP(A1796,PPTO_GENERADOR!$Q:$Q,PPTO_GENERADOR!A:A,"-",0)</f>
        <v>19.190000000000001</v>
      </c>
    </row>
    <row r="1797" spans="1:18" ht="14.25" customHeight="1" x14ac:dyDescent="0.35">
      <c r="A1797" s="38" t="s">
        <v>365</v>
      </c>
      <c r="B1797" s="38" t="s">
        <v>2776</v>
      </c>
      <c r="C1797" s="38" t="s">
        <v>2775</v>
      </c>
      <c r="D1797" s="38" t="s">
        <v>2376</v>
      </c>
      <c r="E1797" s="44" t="str">
        <f>IFERROR(VLOOKUP(D1797,SUBCONTRATOS_PRY!A:B,2,FALSE()),"?")</f>
        <v>MO Instalación de artefactos de cocina, hornos - Provisión a cargo del comitente [SUBCONTRATOS]</v>
      </c>
      <c r="F1797" s="44" t="s">
        <v>2778</v>
      </c>
      <c r="G1797" s="45">
        <v>1</v>
      </c>
      <c r="H1797" s="46">
        <v>0</v>
      </c>
      <c r="I1797" s="47">
        <f>IFERROR(VLOOKUP(D1797,SUBCONTRATOS_PRY!A:D,4,FALSE()),0)</f>
        <v>68810</v>
      </c>
      <c r="J1797" s="42">
        <f>G1797*I1797</f>
        <v>68810</v>
      </c>
      <c r="K1797" s="15" t="str">
        <f t="shared" si="203"/>
        <v>PTO-2201|MO</v>
      </c>
      <c r="L1797" s="15">
        <f>COUNTIFS($K$2:K1797,K1797)</f>
        <v>1</v>
      </c>
      <c r="M1797" s="15" t="str">
        <f t="shared" si="204"/>
        <v>PTO-2201|MO|1</v>
      </c>
      <c r="N1797" s="47">
        <f>IFERROR(VLOOKUP(A1797,PARTIDAS!A:F,6,FALSE()),0)</f>
        <v>1</v>
      </c>
      <c r="O1797" s="247">
        <f t="shared" si="205"/>
        <v>1</v>
      </c>
      <c r="P1797" s="247">
        <f>+_xlfn.XLOOKUP(A1797,PPTO_GENERADOR!Q:Q,PPTO_GENERADOR!E:E,"-",0)</f>
        <v>8</v>
      </c>
      <c r="Q1797" s="247">
        <f t="shared" si="206"/>
        <v>8</v>
      </c>
      <c r="R1797" s="259">
        <f>+_xlfn.XLOOKUP(A1797,PPTO_GENERADOR!$Q:$Q,PPTO_GENERADOR!A:A,"-",0)</f>
        <v>22.01</v>
      </c>
    </row>
    <row r="1798" spans="1:18" ht="14.25" customHeight="1" x14ac:dyDescent="0.35">
      <c r="A1798" s="38" t="s">
        <v>367</v>
      </c>
      <c r="B1798" s="38" t="s">
        <v>2776</v>
      </c>
      <c r="C1798" s="38" t="s">
        <v>2775</v>
      </c>
      <c r="D1798" s="38" t="s">
        <v>2378</v>
      </c>
      <c r="E1798" s="44" t="str">
        <f>IFERROR(VLOOKUP(D1798,SUBCONTRATOS_PRY!A:B,2,FALSE()),"?")</f>
        <v>MO Instalacion de extractores de baños - Provisión a cargo del comitente [SUBCONTRATOS]</v>
      </c>
      <c r="F1798" s="44" t="s">
        <v>2778</v>
      </c>
      <c r="G1798" s="45">
        <v>1</v>
      </c>
      <c r="H1798" s="46">
        <v>0</v>
      </c>
      <c r="I1798" s="47">
        <f>IFERROR(VLOOKUP(D1798,SUBCONTRATOS_PRY!A:D,4,FALSE()),0)</f>
        <v>68810</v>
      </c>
      <c r="J1798" s="42">
        <f>G1798*I1798</f>
        <v>68810</v>
      </c>
      <c r="K1798" s="15" t="str">
        <f t="shared" si="203"/>
        <v>PTO-2202|MO</v>
      </c>
      <c r="L1798" s="15">
        <f>COUNTIFS($K$2:K1798,K1798)</f>
        <v>1</v>
      </c>
      <c r="M1798" s="15" t="str">
        <f t="shared" si="204"/>
        <v>PTO-2202|MO|1</v>
      </c>
      <c r="N1798" s="47">
        <f>IFERROR(VLOOKUP(A1798,PARTIDAS!A:F,6,FALSE()),0)</f>
        <v>1</v>
      </c>
      <c r="O1798" s="247">
        <f t="shared" si="205"/>
        <v>1</v>
      </c>
      <c r="P1798" s="247">
        <f>+_xlfn.XLOOKUP(A1798,PPTO_GENERADOR!Q:Q,PPTO_GENERADOR!E:E,"-",0)</f>
        <v>24</v>
      </c>
      <c r="Q1798" s="247">
        <f t="shared" si="206"/>
        <v>24</v>
      </c>
      <c r="R1798" s="259">
        <f>+_xlfn.XLOOKUP(A1798,PPTO_GENERADOR!$Q:$Q,PPTO_GENERADOR!A:A,"-",0)</f>
        <v>22.02</v>
      </c>
    </row>
    <row r="1799" spans="1:18" ht="14.25" customHeight="1" x14ac:dyDescent="0.35">
      <c r="A1799" s="38" t="s">
        <v>370</v>
      </c>
      <c r="B1799" s="38" t="s">
        <v>2773</v>
      </c>
      <c r="C1799" s="38"/>
      <c r="D1799" s="38" t="s">
        <v>1995</v>
      </c>
      <c r="E1799" s="44" t="str">
        <f>IFERROR(VLOOKUP(D1799,EQUIPOS!A:B,2,FALSE()),"?")</f>
        <v xml:space="preserve">Herramientas menores y consumibles - Albañilería parrilla completa - Losa y muros </v>
      </c>
      <c r="F1799" s="44"/>
      <c r="G1799" s="45">
        <v>1</v>
      </c>
      <c r="H1799" s="46">
        <v>0</v>
      </c>
      <c r="I1799" s="47">
        <f>IFERROR(VLOOKUP(D1799,EQUIPOS!A:F,6,FALSE()),0)</f>
        <v>2872.6870049034101</v>
      </c>
      <c r="J1799" s="42">
        <f>G1799*I1799</f>
        <v>2872.6870049034101</v>
      </c>
      <c r="K1799" s="15" t="str">
        <f t="shared" si="203"/>
        <v>PTO-2301|EQ</v>
      </c>
      <c r="L1799" s="15">
        <f>COUNTIFS($K$2:K1799,K1799)</f>
        <v>1</v>
      </c>
      <c r="M1799" s="15" t="str">
        <f t="shared" si="204"/>
        <v>PTO-2301|EQ|1</v>
      </c>
      <c r="N1799" s="47">
        <f>IFERROR(VLOOKUP(A1799,PARTIDAS!A:F,6,FALSE()),0)</f>
        <v>1</v>
      </c>
      <c r="O1799" s="247">
        <f t="shared" si="205"/>
        <v>1</v>
      </c>
      <c r="P1799" s="247">
        <f>+_xlfn.XLOOKUP(A1799,PPTO_GENERADOR!Q:Q,PPTO_GENERADOR!E:E,"-",0)</f>
        <v>6</v>
      </c>
      <c r="Q1799" s="247">
        <f t="shared" si="206"/>
        <v>6</v>
      </c>
      <c r="R1799" s="259">
        <f>+_xlfn.XLOOKUP(A1799,PPTO_GENERADOR!$Q:$Q,PPTO_GENERADOR!A:A,"-",0)</f>
        <v>23.01</v>
      </c>
    </row>
    <row r="1800" spans="1:18" ht="14.25" customHeight="1" x14ac:dyDescent="0.35">
      <c r="A1800" s="38" t="s">
        <v>370</v>
      </c>
      <c r="B1800" s="38" t="s">
        <v>2774</v>
      </c>
      <c r="C1800" s="38" t="s">
        <v>2779</v>
      </c>
      <c r="D1800" s="38" t="s">
        <v>1327</v>
      </c>
      <c r="E1800" s="44" t="str">
        <f>IFERROR(VLOOKUP(D1800,MATERIALES!A:B,2,FALSE()),"?")</f>
        <v>Mmaposteria</v>
      </c>
      <c r="F1800" s="44" t="str">
        <f>IFERROR(VLOOKUP(D1800,MATERIALES!A:C,3,FALSE()),"?")</f>
        <v>gl</v>
      </c>
      <c r="G1800" s="45">
        <v>0.16666666666666699</v>
      </c>
      <c r="H1800" s="46">
        <v>0</v>
      </c>
      <c r="I1800" s="47">
        <f>IFERROR(VLOOKUP(D1800,MATERIALES!A:D,4,FALSE()),0)</f>
        <v>100000</v>
      </c>
      <c r="J1800" s="42">
        <f t="shared" ref="J1800:J1805" si="207">G1800*I1800*(1+H1800)</f>
        <v>16666.666666666701</v>
      </c>
      <c r="K1800" s="15" t="str">
        <f t="shared" si="203"/>
        <v>PTO-2301|MAT</v>
      </c>
      <c r="L1800" s="15">
        <f>COUNTIFS($K$2:K1800,K1800)</f>
        <v>1</v>
      </c>
      <c r="M1800" s="15" t="str">
        <f t="shared" si="204"/>
        <v>PTO-2301|MAT|1</v>
      </c>
      <c r="N1800" s="47">
        <f>IFERROR(VLOOKUP(A1800,PARTIDAS!A:F,6,FALSE()),0)</f>
        <v>1</v>
      </c>
      <c r="O1800" s="247">
        <f t="shared" si="205"/>
        <v>0.16666666666666699</v>
      </c>
      <c r="P1800" s="247">
        <f>+_xlfn.XLOOKUP(A1800,PPTO_GENERADOR!Q:Q,PPTO_GENERADOR!E:E,"-",0)</f>
        <v>6</v>
      </c>
      <c r="Q1800" s="247">
        <f t="shared" si="206"/>
        <v>1.000000000000002</v>
      </c>
      <c r="R1800" s="259">
        <f>+_xlfn.XLOOKUP(A1800,PPTO_GENERADOR!$Q:$Q,PPTO_GENERADOR!A:A,"-",0)</f>
        <v>23.01</v>
      </c>
    </row>
    <row r="1801" spans="1:18" ht="14.25" customHeight="1" x14ac:dyDescent="0.35">
      <c r="A1801" s="38" t="s">
        <v>370</v>
      </c>
      <c r="B1801" s="38" t="s">
        <v>2774</v>
      </c>
      <c r="C1801" s="38" t="s">
        <v>2779</v>
      </c>
      <c r="D1801" s="38" t="s">
        <v>1330</v>
      </c>
      <c r="E1801" s="44" t="str">
        <f>IFERROR(VLOOKUP(D1801,MATERIALES!A:B,2,FALSE()),"?")</f>
        <v>Revoque</v>
      </c>
      <c r="F1801" s="44" t="str">
        <f>IFERROR(VLOOKUP(D1801,MATERIALES!A:C,3,FALSE()),"?")</f>
        <v>gl</v>
      </c>
      <c r="G1801" s="45">
        <v>0.16666666666666699</v>
      </c>
      <c r="H1801" s="46">
        <v>0</v>
      </c>
      <c r="I1801" s="47">
        <f>IFERROR(VLOOKUP(D1801,MATERIALES!A:D,4,FALSE()),0)</f>
        <v>50000</v>
      </c>
      <c r="J1801" s="42">
        <f t="shared" si="207"/>
        <v>8333.3333333333503</v>
      </c>
      <c r="K1801" s="15" t="str">
        <f t="shared" si="203"/>
        <v>PTO-2301|MAT</v>
      </c>
      <c r="L1801" s="15">
        <f>COUNTIFS($K$2:K1801,K1801)</f>
        <v>2</v>
      </c>
      <c r="M1801" s="15" t="str">
        <f t="shared" si="204"/>
        <v>PTO-2301|MAT|2</v>
      </c>
      <c r="N1801" s="47">
        <f>IFERROR(VLOOKUP(A1801,PARTIDAS!A:F,6,FALSE()),0)</f>
        <v>1</v>
      </c>
      <c r="O1801" s="247">
        <f t="shared" si="205"/>
        <v>0.16666666666666699</v>
      </c>
      <c r="P1801" s="247">
        <f>+_xlfn.XLOOKUP(A1801,PPTO_GENERADOR!Q:Q,PPTO_GENERADOR!E:E,"-",0)</f>
        <v>6</v>
      </c>
      <c r="Q1801" s="247">
        <f t="shared" si="206"/>
        <v>1.000000000000002</v>
      </c>
      <c r="R1801" s="259">
        <f>+_xlfn.XLOOKUP(A1801,PPTO_GENERADOR!$Q:$Q,PPTO_GENERADOR!A:A,"-",0)</f>
        <v>23.01</v>
      </c>
    </row>
    <row r="1802" spans="1:18" ht="14.25" customHeight="1" x14ac:dyDescent="0.35">
      <c r="A1802" s="38" t="s">
        <v>370</v>
      </c>
      <c r="B1802" s="38" t="s">
        <v>2774</v>
      </c>
      <c r="C1802" s="38" t="s">
        <v>2775</v>
      </c>
      <c r="D1802" s="38" t="s">
        <v>1361</v>
      </c>
      <c r="E1802" s="44" t="str">
        <f>IFERROR(VLOOKUP(D1802,MATERIALES!A:B,2,FALSE()),"?")</f>
        <v>Consumibles</v>
      </c>
      <c r="F1802" s="44" t="str">
        <f>IFERROR(VLOOKUP(D1802,MATERIALES!A:C,3,FALSE()),"?")</f>
        <v>gl</v>
      </c>
      <c r="G1802" s="45">
        <v>4166.6666666700003</v>
      </c>
      <c r="H1802" s="46">
        <v>0</v>
      </c>
      <c r="I1802" s="47">
        <f>IFERROR(VLOOKUP(D1802,MATERIALES!A:D,4,FALSE()),0)</f>
        <v>1</v>
      </c>
      <c r="J1802" s="42">
        <f t="shared" si="207"/>
        <v>4166.6666666700003</v>
      </c>
      <c r="K1802" s="15" t="str">
        <f t="shared" si="203"/>
        <v>PTO-2301|MAT</v>
      </c>
      <c r="L1802" s="15">
        <f>COUNTIFS($K$2:K1802,K1802)</f>
        <v>3</v>
      </c>
      <c r="M1802" s="15" t="str">
        <f t="shared" si="204"/>
        <v>PTO-2301|MAT|3</v>
      </c>
      <c r="N1802" s="47">
        <f>IFERROR(VLOOKUP(A1802,PARTIDAS!A:F,6,FALSE()),0)</f>
        <v>1</v>
      </c>
      <c r="O1802" s="247">
        <f t="shared" si="205"/>
        <v>4166.6666666700003</v>
      </c>
      <c r="P1802" s="247">
        <f>+_xlfn.XLOOKUP(A1802,PPTO_GENERADOR!Q:Q,PPTO_GENERADOR!E:E,"-",0)</f>
        <v>6</v>
      </c>
      <c r="Q1802" s="247">
        <f t="shared" si="206"/>
        <v>25000.000000020002</v>
      </c>
      <c r="R1802" s="259">
        <f>+_xlfn.XLOOKUP(A1802,PPTO_GENERADOR!$Q:$Q,PPTO_GENERADOR!A:A,"-",0)</f>
        <v>23.01</v>
      </c>
    </row>
    <row r="1803" spans="1:18" ht="14.25" customHeight="1" x14ac:dyDescent="0.35">
      <c r="A1803" s="38" t="s">
        <v>370</v>
      </c>
      <c r="B1803" s="38" t="s">
        <v>2774</v>
      </c>
      <c r="C1803" s="38" t="s">
        <v>2775</v>
      </c>
      <c r="D1803" s="38" t="s">
        <v>1154</v>
      </c>
      <c r="E1803" s="44" t="str">
        <f>IFERROR(VLOOKUP(D1803,MATERIALES!A:B,2,FALSE()),"?")</f>
        <v>H30 6.20</v>
      </c>
      <c r="F1803" s="44" t="str">
        <f>IFERROR(VLOOKUP(D1803,MATERIALES!A:C,3,FALSE()),"?")</f>
        <v>m3</v>
      </c>
      <c r="G1803" s="45">
        <v>0.1125</v>
      </c>
      <c r="H1803" s="46">
        <v>0</v>
      </c>
      <c r="I1803" s="47">
        <f>IFERROR(VLOOKUP(D1803,MATERIALES!A:D,4,FALSE()),0)</f>
        <v>125000</v>
      </c>
      <c r="J1803" s="42">
        <f t="shared" si="207"/>
        <v>14062.5</v>
      </c>
      <c r="K1803" s="15" t="str">
        <f t="shared" si="203"/>
        <v>PTO-2301|MAT</v>
      </c>
      <c r="L1803" s="15">
        <f>COUNTIFS($K$2:K1803,K1803)</f>
        <v>4</v>
      </c>
      <c r="M1803" s="15" t="str">
        <f t="shared" si="204"/>
        <v>PTO-2301|MAT|4</v>
      </c>
      <c r="N1803" s="47">
        <f>IFERROR(VLOOKUP(A1803,PARTIDAS!A:F,6,FALSE()),0)</f>
        <v>1</v>
      </c>
      <c r="O1803" s="247">
        <f t="shared" si="205"/>
        <v>0.1125</v>
      </c>
      <c r="P1803" s="247">
        <f>+_xlfn.XLOOKUP(A1803,PPTO_GENERADOR!Q:Q,PPTO_GENERADOR!E:E,"-",0)</f>
        <v>6</v>
      </c>
      <c r="Q1803" s="247">
        <f t="shared" si="206"/>
        <v>0.67500000000000004</v>
      </c>
      <c r="R1803" s="259">
        <f>+_xlfn.XLOOKUP(A1803,PPTO_GENERADOR!$Q:$Q,PPTO_GENERADOR!A:A,"-",0)</f>
        <v>23.01</v>
      </c>
    </row>
    <row r="1804" spans="1:18" ht="14.25" customHeight="1" x14ac:dyDescent="0.35">
      <c r="A1804" s="38" t="s">
        <v>370</v>
      </c>
      <c r="B1804" s="38" t="s">
        <v>2774</v>
      </c>
      <c r="C1804" s="38" t="s">
        <v>2775</v>
      </c>
      <c r="D1804" s="38" t="s">
        <v>1205</v>
      </c>
      <c r="E1804" s="44" t="str">
        <f>IFERROR(VLOOKUP(D1804,MATERIALES!A:B,2,FALSE()),"?")</f>
        <v>Malla Q188 15 x 15 6 mm 6x2,40</v>
      </c>
      <c r="F1804" s="44" t="str">
        <f>IFERROR(VLOOKUP(D1804,MATERIALES!A:C,3,FALSE()),"?")</f>
        <v>un</v>
      </c>
      <c r="G1804" s="45">
        <v>7.8125E-2</v>
      </c>
      <c r="H1804" s="46">
        <v>0</v>
      </c>
      <c r="I1804" s="47">
        <f>IFERROR(VLOOKUP(D1804,MATERIALES!A:D,4,FALSE()),0)</f>
        <v>69985.789999999994</v>
      </c>
      <c r="J1804" s="42">
        <f t="shared" si="207"/>
        <v>5467.6398437499993</v>
      </c>
      <c r="K1804" s="15" t="str">
        <f t="shared" si="203"/>
        <v>PTO-2301|MAT</v>
      </c>
      <c r="L1804" s="15">
        <f>COUNTIFS($K$2:K1804,K1804)</f>
        <v>5</v>
      </c>
      <c r="M1804" s="15" t="str">
        <f t="shared" si="204"/>
        <v>PTO-2301|MAT|5</v>
      </c>
      <c r="N1804" s="47">
        <f>IFERROR(VLOOKUP(A1804,PARTIDAS!A:F,6,FALSE()),0)</f>
        <v>1</v>
      </c>
      <c r="O1804" s="247">
        <f t="shared" si="205"/>
        <v>7.8125E-2</v>
      </c>
      <c r="P1804" s="247">
        <f>+_xlfn.XLOOKUP(A1804,PPTO_GENERADOR!Q:Q,PPTO_GENERADOR!E:E,"-",0)</f>
        <v>6</v>
      </c>
      <c r="Q1804" s="247">
        <f t="shared" si="206"/>
        <v>0.46875</v>
      </c>
      <c r="R1804" s="259">
        <f>+_xlfn.XLOOKUP(A1804,PPTO_GENERADOR!$Q:$Q,PPTO_GENERADOR!A:A,"-",0)</f>
        <v>23.01</v>
      </c>
    </row>
    <row r="1805" spans="1:18" ht="14.25" customHeight="1" x14ac:dyDescent="0.35">
      <c r="A1805" s="38" t="s">
        <v>370</v>
      </c>
      <c r="B1805" s="38" t="s">
        <v>2774</v>
      </c>
      <c r="C1805" s="38" t="s">
        <v>2775</v>
      </c>
      <c r="D1805" s="38" t="s">
        <v>1332</v>
      </c>
      <c r="E1805" s="44" t="str">
        <f>IFERROR(VLOOKUP(D1805,MATERIALES!A:B,2,FALSE()),"?")</f>
        <v xml:space="preserve">Dintel </v>
      </c>
      <c r="F1805" s="44" t="str">
        <f>IFERROR(VLOOKUP(D1805,MATERIALES!A:C,3,FALSE()),"?")</f>
        <v>gl</v>
      </c>
      <c r="G1805" s="45">
        <v>0.16666666666666699</v>
      </c>
      <c r="H1805" s="46">
        <v>0</v>
      </c>
      <c r="I1805" s="47">
        <f>IFERROR(VLOOKUP(D1805,MATERIALES!A:D,4,FALSE()),0)</f>
        <v>30000</v>
      </c>
      <c r="J1805" s="42">
        <f t="shared" si="207"/>
        <v>5000.00000000001</v>
      </c>
      <c r="K1805" s="15" t="str">
        <f t="shared" si="203"/>
        <v>PTO-2301|MAT</v>
      </c>
      <c r="L1805" s="15">
        <f>COUNTIFS($K$2:K1805,K1805)</f>
        <v>6</v>
      </c>
      <c r="M1805" s="15" t="str">
        <f t="shared" si="204"/>
        <v>PTO-2301|MAT|6</v>
      </c>
      <c r="N1805" s="47">
        <f>IFERROR(VLOOKUP(A1805,PARTIDAS!A:F,6,FALSE()),0)</f>
        <v>1</v>
      </c>
      <c r="O1805" s="247">
        <f t="shared" si="205"/>
        <v>0.16666666666666699</v>
      </c>
      <c r="P1805" s="247">
        <f>+_xlfn.XLOOKUP(A1805,PPTO_GENERADOR!Q:Q,PPTO_GENERADOR!E:E,"-",0)</f>
        <v>6</v>
      </c>
      <c r="Q1805" s="247">
        <f t="shared" si="206"/>
        <v>1.000000000000002</v>
      </c>
      <c r="R1805" s="259">
        <f>+_xlfn.XLOOKUP(A1805,PPTO_GENERADOR!$Q:$Q,PPTO_GENERADOR!A:A,"-",0)</f>
        <v>23.01</v>
      </c>
    </row>
    <row r="1806" spans="1:18" ht="14.25" customHeight="1" x14ac:dyDescent="0.35">
      <c r="A1806" s="38" t="s">
        <v>370</v>
      </c>
      <c r="B1806" s="38" t="s">
        <v>2776</v>
      </c>
      <c r="C1806" s="38" t="s">
        <v>2777</v>
      </c>
      <c r="D1806" s="38" t="s">
        <v>1577</v>
      </c>
      <c r="E1806" s="44" t="str">
        <f>IFERROR(VLOOKUP(D1806,MANO_DE_OBRA!A:B,2,FALSE()),"?")</f>
        <v>AYUDANTE</v>
      </c>
      <c r="F1806" s="44" t="s">
        <v>2778</v>
      </c>
      <c r="G1806" s="45">
        <v>1</v>
      </c>
      <c r="H1806" s="46">
        <v>0</v>
      </c>
      <c r="I1806" s="47">
        <f>IFERROR(VLOOKUP(D1806,MANO_DE_OBRA!A:C,3,FALSE()),0)</f>
        <v>60860.580776572002</v>
      </c>
      <c r="J1806" s="42">
        <f>G1806*I1806</f>
        <v>60860.580776572002</v>
      </c>
      <c r="K1806" s="15" t="str">
        <f t="shared" si="203"/>
        <v>PTO-2301|MO</v>
      </c>
      <c r="L1806" s="15">
        <f>COUNTIFS($K$2:K1806,K1806)</f>
        <v>1</v>
      </c>
      <c r="M1806" s="15" t="str">
        <f t="shared" si="204"/>
        <v>PTO-2301|MO|1</v>
      </c>
      <c r="N1806" s="47">
        <f>IFERROR(VLOOKUP(A1806,PARTIDAS!A:F,6,FALSE()),0)</f>
        <v>1</v>
      </c>
      <c r="O1806" s="247">
        <f t="shared" si="205"/>
        <v>1</v>
      </c>
      <c r="P1806" s="247">
        <f>+_xlfn.XLOOKUP(A1806,PPTO_GENERADOR!Q:Q,PPTO_GENERADOR!E:E,"-",0)</f>
        <v>6</v>
      </c>
      <c r="Q1806" s="247">
        <f t="shared" si="206"/>
        <v>6</v>
      </c>
      <c r="R1806" s="259">
        <f>+_xlfn.XLOOKUP(A1806,PPTO_GENERADOR!$Q:$Q,PPTO_GENERADOR!A:A,"-",0)</f>
        <v>23.01</v>
      </c>
    </row>
    <row r="1807" spans="1:18" ht="14.25" customHeight="1" x14ac:dyDescent="0.35">
      <c r="A1807" s="38" t="s">
        <v>370</v>
      </c>
      <c r="B1807" s="38" t="s">
        <v>2776</v>
      </c>
      <c r="C1807" s="38" t="s">
        <v>2777</v>
      </c>
      <c r="D1807" s="237" t="s">
        <v>1571</v>
      </c>
      <c r="E1807" s="44" t="str">
        <f>IFERROR(VLOOKUP(D1807,MANO_DE_OBRA!A:B,2,FALSE()),"?")</f>
        <v>OFICIAL</v>
      </c>
      <c r="F1807" s="44" t="s">
        <v>2778</v>
      </c>
      <c r="G1807" s="45">
        <v>1</v>
      </c>
      <c r="H1807" s="46">
        <v>0</v>
      </c>
      <c r="I1807" s="47">
        <f>IFERROR(VLOOKUP(D1807,MANO_DE_OBRA!A:C,3,FALSE()),0)</f>
        <v>76955.079706571996</v>
      </c>
      <c r="J1807" s="42">
        <f>G1807*I1807</f>
        <v>76955.079706571996</v>
      </c>
      <c r="K1807" s="15" t="str">
        <f t="shared" si="203"/>
        <v>PTO-2301|MO</v>
      </c>
      <c r="L1807" s="15">
        <f>COUNTIFS($K$2:K1807,K1807)</f>
        <v>2</v>
      </c>
      <c r="M1807" s="15" t="str">
        <f t="shared" si="204"/>
        <v>PTO-2301|MO|2</v>
      </c>
      <c r="N1807" s="47">
        <f>IFERROR(VLOOKUP(A1807,PARTIDAS!A:F,6,FALSE()),0)</f>
        <v>1</v>
      </c>
      <c r="O1807" s="247">
        <f t="shared" si="205"/>
        <v>1</v>
      </c>
      <c r="P1807" s="247">
        <f>+_xlfn.XLOOKUP(A1807,PPTO_GENERADOR!Q:Q,PPTO_GENERADOR!E:E,"-",0)</f>
        <v>6</v>
      </c>
      <c r="Q1807" s="247">
        <f t="shared" si="206"/>
        <v>6</v>
      </c>
      <c r="R1807" s="259">
        <f>+_xlfn.XLOOKUP(A1807,PPTO_GENERADOR!$Q:$Q,PPTO_GENERADOR!A:A,"-",0)</f>
        <v>23.01</v>
      </c>
    </row>
    <row r="1808" spans="1:18" ht="14.25" customHeight="1" x14ac:dyDescent="0.35">
      <c r="A1808" s="38" t="s">
        <v>372</v>
      </c>
      <c r="B1808" s="38" t="s">
        <v>2773</v>
      </c>
      <c r="C1808" s="38"/>
      <c r="D1808" s="38" t="s">
        <v>1998</v>
      </c>
      <c r="E1808" s="44" t="str">
        <f>IFERROR(VLOOKUP(D1808,EQUIPOS!A:B,2,FALSE()),"?")</f>
        <v>Herramientas menores y consumibles - Amure de tapas para pleno eléctricos y gas en pali</v>
      </c>
      <c r="F1808" s="44"/>
      <c r="G1808" s="45">
        <v>1</v>
      </c>
      <c r="H1808" s="46">
        <v>0</v>
      </c>
      <c r="I1808" s="47">
        <f>IFERROR(VLOOKUP(D1808,EQUIPOS!A:F,6,FALSE()),0)</f>
        <v>8803.9027571143397</v>
      </c>
      <c r="J1808" s="42">
        <f>G1808*I1808</f>
        <v>8803.9027571143397</v>
      </c>
      <c r="K1808" s="15" t="str">
        <f t="shared" si="203"/>
        <v>PTO-2302|EQ</v>
      </c>
      <c r="L1808" s="15">
        <f>COUNTIFS($K$2:K1808,K1808)</f>
        <v>1</v>
      </c>
      <c r="M1808" s="15" t="str">
        <f t="shared" si="204"/>
        <v>PTO-2302|EQ|1</v>
      </c>
      <c r="N1808" s="47">
        <f>IFERROR(VLOOKUP(A1808,PARTIDAS!A:F,6,FALSE()),0)</f>
        <v>1</v>
      </c>
      <c r="O1808" s="247">
        <f t="shared" si="205"/>
        <v>1</v>
      </c>
      <c r="P1808" s="247">
        <f>+_xlfn.XLOOKUP(A1808,PPTO_GENERADOR!Q:Q,PPTO_GENERADOR!E:E,"-",0)</f>
        <v>1</v>
      </c>
      <c r="Q1808" s="247">
        <f t="shared" si="206"/>
        <v>1</v>
      </c>
      <c r="R1808" s="259">
        <f>+_xlfn.XLOOKUP(A1808,PPTO_GENERADOR!$Q:$Q,PPTO_GENERADOR!A:A,"-",0)</f>
        <v>23.02</v>
      </c>
    </row>
    <row r="1809" spans="1:18" ht="14.25" customHeight="1" x14ac:dyDescent="0.35">
      <c r="A1809" s="38" t="s">
        <v>372</v>
      </c>
      <c r="B1809" s="38" t="s">
        <v>2774</v>
      </c>
      <c r="C1809" s="38" t="s">
        <v>2779</v>
      </c>
      <c r="D1809" s="38" t="s">
        <v>1336</v>
      </c>
      <c r="E1809" s="44" t="str">
        <f>IFERROR(VLOOKUP(D1809,MATERIALES!A:B,2,FALSE()),"?")</f>
        <v>M.Obra</v>
      </c>
      <c r="F1809" s="44" t="str">
        <f>IFERROR(VLOOKUP(D1809,MATERIALES!A:C,3,FALSE()),"?")</f>
        <v>d</v>
      </c>
      <c r="G1809" s="45">
        <v>5</v>
      </c>
      <c r="H1809" s="46">
        <v>0</v>
      </c>
      <c r="I1809" s="47">
        <f>IFERROR(VLOOKUP(D1809,MATERIALES!A:D,4,FALSE()),0)</f>
        <v>10000</v>
      </c>
      <c r="J1809" s="42">
        <f>G1809*I1809*(1+H1809)</f>
        <v>50000</v>
      </c>
      <c r="K1809" s="15" t="str">
        <f t="shared" si="203"/>
        <v>PTO-2302|MAT</v>
      </c>
      <c r="L1809" s="15">
        <f>COUNTIFS($K$2:K1809,K1809)</f>
        <v>1</v>
      </c>
      <c r="M1809" s="15" t="str">
        <f t="shared" si="204"/>
        <v>PTO-2302|MAT|1</v>
      </c>
      <c r="N1809" s="47">
        <f>IFERROR(VLOOKUP(A1809,PARTIDAS!A:F,6,FALSE()),0)</f>
        <v>1</v>
      </c>
      <c r="O1809" s="247">
        <f t="shared" si="205"/>
        <v>5</v>
      </c>
      <c r="P1809" s="247">
        <f>+_xlfn.XLOOKUP(A1809,PPTO_GENERADOR!Q:Q,PPTO_GENERADOR!E:E,"-",0)</f>
        <v>1</v>
      </c>
      <c r="Q1809" s="247">
        <f t="shared" si="206"/>
        <v>5</v>
      </c>
      <c r="R1809" s="259">
        <f>+_xlfn.XLOOKUP(A1809,PPTO_GENERADOR!$Q:$Q,PPTO_GENERADOR!A:A,"-",0)</f>
        <v>23.02</v>
      </c>
    </row>
    <row r="1810" spans="1:18" ht="14.25" customHeight="1" x14ac:dyDescent="0.35">
      <c r="A1810" s="38" t="s">
        <v>372</v>
      </c>
      <c r="B1810" s="38" t="s">
        <v>2776</v>
      </c>
      <c r="C1810" s="38" t="s">
        <v>2777</v>
      </c>
      <c r="D1810" s="38" t="s">
        <v>1577</v>
      </c>
      <c r="E1810" s="44" t="str">
        <f>IFERROR(VLOOKUP(D1810,MANO_DE_OBRA!A:B,2,FALSE()),"?")</f>
        <v>AYUDANTE</v>
      </c>
      <c r="F1810" s="44" t="s">
        <v>2778</v>
      </c>
      <c r="G1810" s="45">
        <v>2.5</v>
      </c>
      <c r="H1810" s="46">
        <v>0</v>
      </c>
      <c r="I1810" s="47">
        <f>IFERROR(VLOOKUP(D1810,MANO_DE_OBRA!A:C,3,FALSE()),0)</f>
        <v>60860.580776572002</v>
      </c>
      <c r="J1810" s="42">
        <f>G1810*I1810</f>
        <v>152151.45194143002</v>
      </c>
      <c r="K1810" s="15" t="str">
        <f t="shared" si="203"/>
        <v>PTO-2302|MO</v>
      </c>
      <c r="L1810" s="15">
        <f>COUNTIFS($K$2:K1810,K1810)</f>
        <v>1</v>
      </c>
      <c r="M1810" s="15" t="str">
        <f t="shared" si="204"/>
        <v>PTO-2302|MO|1</v>
      </c>
      <c r="N1810" s="47">
        <f>IFERROR(VLOOKUP(A1810,PARTIDAS!A:F,6,FALSE()),0)</f>
        <v>1</v>
      </c>
      <c r="O1810" s="247">
        <f t="shared" si="205"/>
        <v>2.5</v>
      </c>
      <c r="P1810" s="247">
        <f>+_xlfn.XLOOKUP(A1810,PPTO_GENERADOR!Q:Q,PPTO_GENERADOR!E:E,"-",0)</f>
        <v>1</v>
      </c>
      <c r="Q1810" s="247">
        <f t="shared" si="206"/>
        <v>2.5</v>
      </c>
      <c r="R1810" s="259">
        <f>+_xlfn.XLOOKUP(A1810,PPTO_GENERADOR!$Q:$Q,PPTO_GENERADOR!A:A,"-",0)</f>
        <v>23.02</v>
      </c>
    </row>
    <row r="1811" spans="1:18" ht="14.25" customHeight="1" x14ac:dyDescent="0.35">
      <c r="A1811" s="38" t="s">
        <v>372</v>
      </c>
      <c r="B1811" s="38" t="s">
        <v>2776</v>
      </c>
      <c r="C1811" s="38" t="s">
        <v>2777</v>
      </c>
      <c r="D1811" s="237" t="s">
        <v>1571</v>
      </c>
      <c r="E1811" s="44" t="str">
        <f>IFERROR(VLOOKUP(D1811,MANO_DE_OBRA!A:B,2,FALSE()),"?")</f>
        <v>OFICIAL</v>
      </c>
      <c r="F1811" s="44" t="s">
        <v>2778</v>
      </c>
      <c r="G1811" s="45">
        <v>5</v>
      </c>
      <c r="H1811" s="46">
        <v>0</v>
      </c>
      <c r="I1811" s="47">
        <f>IFERROR(VLOOKUP(D1811,MANO_DE_OBRA!A:C,3,FALSE()),0)</f>
        <v>76955.079706571996</v>
      </c>
      <c r="J1811" s="42">
        <f>G1811*I1811</f>
        <v>384775.39853285998</v>
      </c>
      <c r="K1811" s="15" t="str">
        <f t="shared" si="203"/>
        <v>PTO-2302|MO</v>
      </c>
      <c r="L1811" s="15">
        <f>COUNTIFS($K$2:K1811,K1811)</f>
        <v>2</v>
      </c>
      <c r="M1811" s="15" t="str">
        <f t="shared" si="204"/>
        <v>PTO-2302|MO|2</v>
      </c>
      <c r="N1811" s="47">
        <f>IFERROR(VLOOKUP(A1811,PARTIDAS!A:F,6,FALSE()),0)</f>
        <v>1</v>
      </c>
      <c r="O1811" s="247">
        <f t="shared" si="205"/>
        <v>5</v>
      </c>
      <c r="P1811" s="247">
        <f>+_xlfn.XLOOKUP(A1811,PPTO_GENERADOR!Q:Q,PPTO_GENERADOR!E:E,"-",0)</f>
        <v>1</v>
      </c>
      <c r="Q1811" s="247">
        <f t="shared" si="206"/>
        <v>5</v>
      </c>
      <c r="R1811" s="259">
        <f>+_xlfn.XLOOKUP(A1811,PPTO_GENERADOR!$Q:$Q,PPTO_GENERADOR!A:A,"-",0)</f>
        <v>23.02</v>
      </c>
    </row>
    <row r="1812" spans="1:18" ht="14.25" customHeight="1" x14ac:dyDescent="0.35">
      <c r="A1812" s="38" t="s">
        <v>374</v>
      </c>
      <c r="B1812" s="38" t="s">
        <v>2773</v>
      </c>
      <c r="C1812" s="38"/>
      <c r="D1812" s="38" t="s">
        <v>2001</v>
      </c>
      <c r="E1812" s="44" t="str">
        <f>IFERROR(VLOOKUP(D1812,EQUIPOS!A:B,2,FALSE()),"?")</f>
        <v>Herramientas menores y consumibles - Demolición de vereda</v>
      </c>
      <c r="F1812" s="44"/>
      <c r="G1812" s="45">
        <v>1</v>
      </c>
      <c r="H1812" s="46">
        <v>0</v>
      </c>
      <c r="I1812" s="47">
        <f>IFERROR(VLOOKUP(D1812,EQUIPOS!A:F,6,FALSE()),0)</f>
        <v>300.22927085357298</v>
      </c>
      <c r="J1812" s="42">
        <f>G1812*I1812</f>
        <v>300.22927085357298</v>
      </c>
      <c r="K1812" s="15" t="str">
        <f t="shared" si="203"/>
        <v>PTO-2303|EQ</v>
      </c>
      <c r="L1812" s="15">
        <f>COUNTIFS($K$2:K1812,K1812)</f>
        <v>1</v>
      </c>
      <c r="M1812" s="15" t="str">
        <f t="shared" si="204"/>
        <v>PTO-2303|EQ|1</v>
      </c>
      <c r="N1812" s="47">
        <f>IFERROR(VLOOKUP(A1812,PARTIDAS!A:F,6,FALSE()),0)</f>
        <v>1</v>
      </c>
      <c r="O1812" s="247">
        <f t="shared" si="205"/>
        <v>1</v>
      </c>
      <c r="P1812" s="247">
        <f>+_xlfn.XLOOKUP(A1812,PPTO_GENERADOR!Q:Q,PPTO_GENERADOR!E:E,"-",0)</f>
        <v>26</v>
      </c>
      <c r="Q1812" s="247">
        <f t="shared" si="206"/>
        <v>26</v>
      </c>
      <c r="R1812" s="259">
        <f>+_xlfn.XLOOKUP(A1812,PPTO_GENERADOR!$Q:$Q,PPTO_GENERADOR!A:A,"-",0)</f>
        <v>23.03</v>
      </c>
    </row>
    <row r="1813" spans="1:18" ht="14.25" customHeight="1" x14ac:dyDescent="0.35">
      <c r="A1813" s="38" t="s">
        <v>374</v>
      </c>
      <c r="B1813" s="38" t="s">
        <v>2774</v>
      </c>
      <c r="C1813" s="38" t="s">
        <v>2775</v>
      </c>
      <c r="D1813" s="38" t="s">
        <v>1361</v>
      </c>
      <c r="E1813" s="44" t="str">
        <f>IFERROR(VLOOKUP(D1813,MATERIALES!A:B,2,FALSE()),"?")</f>
        <v>Consumibles</v>
      </c>
      <c r="F1813" s="44" t="str">
        <f>IFERROR(VLOOKUP(D1813,MATERIALES!A:C,3,FALSE()),"?")</f>
        <v>gl</v>
      </c>
      <c r="G1813" s="45">
        <v>3846.1538461499999</v>
      </c>
      <c r="H1813" s="46">
        <v>0</v>
      </c>
      <c r="I1813" s="47">
        <f>IFERROR(VLOOKUP(D1813,MATERIALES!A:D,4,FALSE()),0)</f>
        <v>1</v>
      </c>
      <c r="J1813" s="42">
        <f>G1813*I1813*(1+H1813)</f>
        <v>3846.1538461499999</v>
      </c>
      <c r="K1813" s="15" t="str">
        <f t="shared" si="203"/>
        <v>PTO-2303|MAT</v>
      </c>
      <c r="L1813" s="15">
        <f>COUNTIFS($K$2:K1813,K1813)</f>
        <v>1</v>
      </c>
      <c r="M1813" s="15" t="str">
        <f t="shared" si="204"/>
        <v>PTO-2303|MAT|1</v>
      </c>
      <c r="N1813" s="47">
        <f>IFERROR(VLOOKUP(A1813,PARTIDAS!A:F,6,FALSE()),0)</f>
        <v>1</v>
      </c>
      <c r="O1813" s="247">
        <f t="shared" si="205"/>
        <v>3846.1538461499999</v>
      </c>
      <c r="P1813" s="247">
        <f>+_xlfn.XLOOKUP(A1813,PPTO_GENERADOR!Q:Q,PPTO_GENERADOR!E:E,"-",0)</f>
        <v>26</v>
      </c>
      <c r="Q1813" s="247">
        <f t="shared" si="206"/>
        <v>99999.999999899999</v>
      </c>
      <c r="R1813" s="259">
        <f>+_xlfn.XLOOKUP(A1813,PPTO_GENERADOR!$Q:$Q,PPTO_GENERADOR!A:A,"-",0)</f>
        <v>23.03</v>
      </c>
    </row>
    <row r="1814" spans="1:18" ht="14.25" customHeight="1" x14ac:dyDescent="0.35">
      <c r="A1814" s="38" t="s">
        <v>374</v>
      </c>
      <c r="B1814" s="38" t="s">
        <v>2774</v>
      </c>
      <c r="C1814" s="38" t="s">
        <v>2775</v>
      </c>
      <c r="D1814" s="38" t="s">
        <v>1172</v>
      </c>
      <c r="E1814" s="44" t="str">
        <f>IFERROR(VLOOKUP(D1814,MATERIALES!A:B,2,FALSE()),"?")</f>
        <v>Volquete</v>
      </c>
      <c r="F1814" s="44" t="str">
        <f>IFERROR(VLOOKUP(D1814,MATERIALES!A:C,3,FALSE()),"?")</f>
        <v>u</v>
      </c>
      <c r="G1814" s="45">
        <v>3.8461538461538498E-2</v>
      </c>
      <c r="H1814" s="46">
        <v>0</v>
      </c>
      <c r="I1814" s="47">
        <f>IFERROR(VLOOKUP(D1814,MATERIALES!A:D,4,FALSE()),0)</f>
        <v>100000</v>
      </c>
      <c r="J1814" s="42">
        <f>G1814*I1814*(1+H1814)</f>
        <v>3846.1538461538498</v>
      </c>
      <c r="K1814" s="15" t="str">
        <f t="shared" si="203"/>
        <v>PTO-2303|MAT</v>
      </c>
      <c r="L1814" s="15">
        <f>COUNTIFS($K$2:K1814,K1814)</f>
        <v>2</v>
      </c>
      <c r="M1814" s="15" t="str">
        <f t="shared" si="204"/>
        <v>PTO-2303|MAT|2</v>
      </c>
      <c r="N1814" s="47">
        <f>IFERROR(VLOOKUP(A1814,PARTIDAS!A:F,6,FALSE()),0)</f>
        <v>1</v>
      </c>
      <c r="O1814" s="247">
        <f t="shared" si="205"/>
        <v>3.8461538461538498E-2</v>
      </c>
      <c r="P1814" s="247">
        <f>+_xlfn.XLOOKUP(A1814,PPTO_GENERADOR!Q:Q,PPTO_GENERADOR!E:E,"-",0)</f>
        <v>26</v>
      </c>
      <c r="Q1814" s="247">
        <f t="shared" si="206"/>
        <v>1.0000000000000009</v>
      </c>
      <c r="R1814" s="259">
        <f>+_xlfn.XLOOKUP(A1814,PPTO_GENERADOR!$Q:$Q,PPTO_GENERADOR!A:A,"-",0)</f>
        <v>23.03</v>
      </c>
    </row>
    <row r="1815" spans="1:18" ht="14.25" customHeight="1" x14ac:dyDescent="0.35">
      <c r="A1815" s="38" t="s">
        <v>374</v>
      </c>
      <c r="B1815" s="38" t="s">
        <v>2776</v>
      </c>
      <c r="C1815" s="38" t="s">
        <v>2777</v>
      </c>
      <c r="D1815" s="38" t="s">
        <v>1577</v>
      </c>
      <c r="E1815" s="44" t="str">
        <f>IFERROR(VLOOKUP(D1815,MANO_DE_OBRA!A:B,2,FALSE()),"?")</f>
        <v>AYUDANTE</v>
      </c>
      <c r="F1815" s="44" t="s">
        <v>2778</v>
      </c>
      <c r="G1815" s="45">
        <v>0.15384615384615399</v>
      </c>
      <c r="H1815" s="46">
        <v>0</v>
      </c>
      <c r="I1815" s="47">
        <f>IFERROR(VLOOKUP(D1815,MANO_DE_OBRA!A:C,3,FALSE()),0)</f>
        <v>60860.580776572002</v>
      </c>
      <c r="J1815" s="42">
        <f>G1815*I1815</f>
        <v>9363.1662733187786</v>
      </c>
      <c r="K1815" s="15" t="str">
        <f t="shared" si="203"/>
        <v>PTO-2303|MO</v>
      </c>
      <c r="L1815" s="15">
        <f>COUNTIFS($K$2:K1815,K1815)</f>
        <v>1</v>
      </c>
      <c r="M1815" s="15" t="str">
        <f t="shared" si="204"/>
        <v>PTO-2303|MO|1</v>
      </c>
      <c r="N1815" s="47">
        <f>IFERROR(VLOOKUP(A1815,PARTIDAS!A:F,6,FALSE()),0)</f>
        <v>1</v>
      </c>
      <c r="O1815" s="247">
        <f t="shared" si="205"/>
        <v>0.15384615384615399</v>
      </c>
      <c r="P1815" s="247">
        <f>+_xlfn.XLOOKUP(A1815,PPTO_GENERADOR!Q:Q,PPTO_GENERADOR!E:E,"-",0)</f>
        <v>26</v>
      </c>
      <c r="Q1815" s="247">
        <f t="shared" si="206"/>
        <v>4.0000000000000036</v>
      </c>
      <c r="R1815" s="259">
        <f>+_xlfn.XLOOKUP(A1815,PPTO_GENERADOR!$Q:$Q,PPTO_GENERADOR!A:A,"-",0)</f>
        <v>23.03</v>
      </c>
    </row>
    <row r="1816" spans="1:18" ht="14.25" customHeight="1" x14ac:dyDescent="0.35">
      <c r="A1816" s="38" t="s">
        <v>374</v>
      </c>
      <c r="B1816" s="38" t="s">
        <v>2776</v>
      </c>
      <c r="C1816" s="38" t="s">
        <v>2777</v>
      </c>
      <c r="D1816" s="237" t="s">
        <v>1571</v>
      </c>
      <c r="E1816" s="44" t="str">
        <f>IFERROR(VLOOKUP(D1816,MANO_DE_OBRA!A:B,2,FALSE()),"?")</f>
        <v>OFICIAL</v>
      </c>
      <c r="F1816" s="44" t="s">
        <v>2778</v>
      </c>
      <c r="G1816" s="45">
        <v>3.8461538461538498E-2</v>
      </c>
      <c r="H1816" s="46">
        <v>0</v>
      </c>
      <c r="I1816" s="47">
        <f>IFERROR(VLOOKUP(D1816,MANO_DE_OBRA!A:C,3,FALSE()),0)</f>
        <v>76955.079706571996</v>
      </c>
      <c r="J1816" s="42">
        <f>G1816*I1816</f>
        <v>2959.8107579450798</v>
      </c>
      <c r="K1816" s="15" t="str">
        <f t="shared" si="203"/>
        <v>PTO-2303|MO</v>
      </c>
      <c r="L1816" s="15">
        <f>COUNTIFS($K$2:K1816,K1816)</f>
        <v>2</v>
      </c>
      <c r="M1816" s="15" t="str">
        <f t="shared" si="204"/>
        <v>PTO-2303|MO|2</v>
      </c>
      <c r="N1816" s="47">
        <f>IFERROR(VLOOKUP(A1816,PARTIDAS!A:F,6,FALSE()),0)</f>
        <v>1</v>
      </c>
      <c r="O1816" s="247">
        <f t="shared" si="205"/>
        <v>3.8461538461538498E-2</v>
      </c>
      <c r="P1816" s="247">
        <f>+_xlfn.XLOOKUP(A1816,PPTO_GENERADOR!Q:Q,PPTO_GENERADOR!E:E,"-",0)</f>
        <v>26</v>
      </c>
      <c r="Q1816" s="247">
        <f t="shared" si="206"/>
        <v>1.0000000000000009</v>
      </c>
      <c r="R1816" s="259">
        <f>+_xlfn.XLOOKUP(A1816,PPTO_GENERADOR!$Q:$Q,PPTO_GENERADOR!A:A,"-",0)</f>
        <v>23.03</v>
      </c>
    </row>
    <row r="1817" spans="1:18" ht="14.25" customHeight="1" x14ac:dyDescent="0.35">
      <c r="A1817" s="38" t="s">
        <v>376</v>
      </c>
      <c r="B1817" s="38" t="s">
        <v>2773</v>
      </c>
      <c r="C1817" s="38"/>
      <c r="D1817" s="38" t="s">
        <v>1744</v>
      </c>
      <c r="E1817" s="44" t="str">
        <f>IFERROR(VLOOKUP(D1817,EQUIPOS!A:B,2,FALSE()),"?")</f>
        <v>EQUIPO DE CONSTRUCCION EN SECO</v>
      </c>
      <c r="F1817" s="44"/>
      <c r="G1817" s="45">
        <v>1</v>
      </c>
      <c r="H1817" s="46">
        <v>0</v>
      </c>
      <c r="I1817" s="47">
        <f>IFERROR(VLOOKUP(D1817,EQUIPOS!A:F,6,FALSE()),0)</f>
        <v>2365.2381485799501</v>
      </c>
      <c r="J1817" s="42">
        <f>G1817*I1817</f>
        <v>2365.2381485799501</v>
      </c>
      <c r="K1817" s="15" t="str">
        <f t="shared" si="203"/>
        <v>PTO-2304|EQ</v>
      </c>
      <c r="L1817" s="15">
        <f>COUNTIFS($K$2:K1817,K1817)</f>
        <v>1</v>
      </c>
      <c r="M1817" s="15" t="str">
        <f t="shared" si="204"/>
        <v>PTO-2304|EQ|1</v>
      </c>
      <c r="N1817" s="47">
        <f>IFERROR(VLOOKUP(A1817,PARTIDAS!A:F,6,FALSE()),0)</f>
        <v>7</v>
      </c>
      <c r="O1817" s="247">
        <f t="shared" si="205"/>
        <v>1</v>
      </c>
      <c r="P1817" s="247">
        <f>+_xlfn.XLOOKUP(A1817,PPTO_GENERADOR!Q:Q,PPTO_GENERADOR!E:E,"-",0)</f>
        <v>231</v>
      </c>
      <c r="Q1817" s="247">
        <f t="shared" si="206"/>
        <v>231</v>
      </c>
      <c r="R1817" s="259">
        <f>+_xlfn.XLOOKUP(A1817,PPTO_GENERADOR!$Q:$Q,PPTO_GENERADOR!A:A,"-",0)</f>
        <v>23.04</v>
      </c>
    </row>
    <row r="1818" spans="1:18" ht="14.25" customHeight="1" x14ac:dyDescent="0.35">
      <c r="A1818" s="38" t="s">
        <v>376</v>
      </c>
      <c r="B1818" s="38" t="s">
        <v>2773</v>
      </c>
      <c r="C1818" s="38"/>
      <c r="D1818" s="38" t="s">
        <v>1622</v>
      </c>
      <c r="E1818" s="44" t="str">
        <f>IFERROR(VLOOKUP(D1818,EQUIPOS!A:B,2,FALSE()),"?")</f>
        <v>ESCALERA GLOSS ALUMINIO ARTICULADA 4 X 4 ESCALONES HASTA 150KG</v>
      </c>
      <c r="F1818" s="44"/>
      <c r="G1818" s="45">
        <v>0.5</v>
      </c>
      <c r="H1818" s="46">
        <v>0</v>
      </c>
      <c r="I1818" s="47">
        <f>IFERROR(VLOOKUP(D1818,EQUIPOS!A:F,6,FALSE()),0)</f>
        <v>140.19809259430903</v>
      </c>
      <c r="J1818" s="42">
        <f>G1818*I1818</f>
        <v>70.099046297154516</v>
      </c>
      <c r="K1818" s="15" t="str">
        <f t="shared" si="203"/>
        <v>PTO-2304|EQ</v>
      </c>
      <c r="L1818" s="15">
        <f>COUNTIFS($K$2:K1818,K1818)</f>
        <v>2</v>
      </c>
      <c r="M1818" s="15" t="str">
        <f t="shared" si="204"/>
        <v>PTO-2304|EQ|2</v>
      </c>
      <c r="N1818" s="47">
        <f>IFERROR(VLOOKUP(A1818,PARTIDAS!A:F,6,FALSE()),0)</f>
        <v>7</v>
      </c>
      <c r="O1818" s="247">
        <f t="shared" si="205"/>
        <v>0.5</v>
      </c>
      <c r="P1818" s="247">
        <f>+_xlfn.XLOOKUP(A1818,PPTO_GENERADOR!Q:Q,PPTO_GENERADOR!E:E,"-",0)</f>
        <v>231</v>
      </c>
      <c r="Q1818" s="247">
        <f t="shared" si="206"/>
        <v>115.5</v>
      </c>
      <c r="R1818" s="259">
        <f>+_xlfn.XLOOKUP(A1818,PPTO_GENERADOR!$Q:$Q,PPTO_GENERADOR!A:A,"-",0)</f>
        <v>23.04</v>
      </c>
    </row>
    <row r="1819" spans="1:18" ht="14.25" customHeight="1" x14ac:dyDescent="0.35">
      <c r="A1819" s="38" t="s">
        <v>376</v>
      </c>
      <c r="B1819" s="38" t="s">
        <v>2774</v>
      </c>
      <c r="C1819" s="38" t="s">
        <v>2775</v>
      </c>
      <c r="D1819" s="38" t="s">
        <v>740</v>
      </c>
      <c r="E1819" s="44" t="str">
        <f>IFERROR(VLOOKUP(D1819,MATERIALES!A:B,2,FALSE()),"?")</f>
        <v>Solera 70mm x 2.60m</v>
      </c>
      <c r="F1819" s="44" t="str">
        <f>IFERROR(VLOOKUP(D1819,MATERIALES!A:C,3,FALSE()),"?")</f>
        <v>u</v>
      </c>
      <c r="G1819" s="45">
        <v>0.46153846153846201</v>
      </c>
      <c r="H1819" s="46">
        <v>0.1</v>
      </c>
      <c r="I1819" s="47">
        <f>IFERROR(VLOOKUP(D1819,MATERIALES!A:D,4,FALSE()),0)</f>
        <v>2932.93</v>
      </c>
      <c r="J1819" s="42">
        <f t="shared" ref="J1819:J1827" si="208">G1819*I1819*(1+H1819)</f>
        <v>1489.0260000000014</v>
      </c>
      <c r="K1819" s="15" t="str">
        <f t="shared" si="203"/>
        <v>PTO-2304|MAT</v>
      </c>
      <c r="L1819" s="15">
        <f>COUNTIFS($K$2:K1819,K1819)</f>
        <v>1</v>
      </c>
      <c r="M1819" s="15" t="str">
        <f t="shared" si="204"/>
        <v>PTO-2304|MAT|1</v>
      </c>
      <c r="N1819" s="47">
        <f>IFERROR(VLOOKUP(A1819,PARTIDAS!A:F,6,FALSE()),0)</f>
        <v>7</v>
      </c>
      <c r="O1819" s="247">
        <f t="shared" si="205"/>
        <v>0.46153846153846201</v>
      </c>
      <c r="P1819" s="247">
        <f>+_xlfn.XLOOKUP(A1819,PPTO_GENERADOR!Q:Q,PPTO_GENERADOR!E:E,"-",0)</f>
        <v>231</v>
      </c>
      <c r="Q1819" s="247">
        <f t="shared" si="206"/>
        <v>106.61538461538473</v>
      </c>
      <c r="R1819" s="259">
        <f>+_xlfn.XLOOKUP(A1819,PPTO_GENERADOR!$Q:$Q,PPTO_GENERADOR!A:A,"-",0)</f>
        <v>23.04</v>
      </c>
    </row>
    <row r="1820" spans="1:18" ht="14.25" customHeight="1" x14ac:dyDescent="0.35">
      <c r="A1820" s="38" t="s">
        <v>376</v>
      </c>
      <c r="B1820" s="38" t="s">
        <v>2774</v>
      </c>
      <c r="C1820" s="38" t="s">
        <v>2775</v>
      </c>
      <c r="D1820" s="38" t="s">
        <v>743</v>
      </c>
      <c r="E1820" s="44" t="str">
        <f>IFERROR(VLOOKUP(D1820,MATERIALES!A:B,2,FALSE()),"?")</f>
        <v>Montante 69mm x 2.60m</v>
      </c>
      <c r="F1820" s="44" t="str">
        <f>IFERROR(VLOOKUP(D1820,MATERIALES!A:C,3,FALSE()),"?")</f>
        <v>u</v>
      </c>
      <c r="G1820" s="45">
        <v>1.15384615384615</v>
      </c>
      <c r="H1820" s="46">
        <v>0.1</v>
      </c>
      <c r="I1820" s="47">
        <f>IFERROR(VLOOKUP(D1820,MATERIALES!A:D,4,FALSE()),0)</f>
        <v>3295.47</v>
      </c>
      <c r="J1820" s="42">
        <f t="shared" si="208"/>
        <v>4182.7119230769085</v>
      </c>
      <c r="K1820" s="15" t="str">
        <f t="shared" si="203"/>
        <v>PTO-2304|MAT</v>
      </c>
      <c r="L1820" s="15">
        <f>COUNTIFS($K$2:K1820,K1820)</f>
        <v>2</v>
      </c>
      <c r="M1820" s="15" t="str">
        <f t="shared" si="204"/>
        <v>PTO-2304|MAT|2</v>
      </c>
      <c r="N1820" s="47">
        <f>IFERROR(VLOOKUP(A1820,PARTIDAS!A:F,6,FALSE()),0)</f>
        <v>7</v>
      </c>
      <c r="O1820" s="247">
        <f t="shared" si="205"/>
        <v>1.15384615384615</v>
      </c>
      <c r="P1820" s="247">
        <f>+_xlfn.XLOOKUP(A1820,PPTO_GENERADOR!Q:Q,PPTO_GENERADOR!E:E,"-",0)</f>
        <v>231</v>
      </c>
      <c r="Q1820" s="247">
        <f t="shared" si="206"/>
        <v>266.53846153846064</v>
      </c>
      <c r="R1820" s="259">
        <f>+_xlfn.XLOOKUP(A1820,PPTO_GENERADOR!$Q:$Q,PPTO_GENERADOR!A:A,"-",0)</f>
        <v>23.04</v>
      </c>
    </row>
    <row r="1821" spans="1:18" ht="14.25" customHeight="1" x14ac:dyDescent="0.35">
      <c r="A1821" s="38" t="s">
        <v>376</v>
      </c>
      <c r="B1821" s="38" t="s">
        <v>2774</v>
      </c>
      <c r="C1821" s="38" t="s">
        <v>2775</v>
      </c>
      <c r="D1821" s="38" t="s">
        <v>763</v>
      </c>
      <c r="E1821" s="44" t="str">
        <f>IFERROR(VLOOKUP(D1821,MATERIALES!A:B,2,FALSE()),"?")</f>
        <v>Masilla x 32kg</v>
      </c>
      <c r="F1821" s="44" t="str">
        <f>IFERROR(VLOOKUP(D1821,MATERIALES!A:C,3,FALSE()),"?")</f>
        <v>u</v>
      </c>
      <c r="G1821" s="45">
        <v>5.6300000000000003E-2</v>
      </c>
      <c r="H1821" s="46">
        <v>0.05</v>
      </c>
      <c r="I1821" s="47">
        <f>IFERROR(VLOOKUP(D1821,MATERIALES!A:D,4,FALSE()),0)</f>
        <v>26872.02</v>
      </c>
      <c r="J1821" s="42">
        <f t="shared" si="208"/>
        <v>1588.5394623</v>
      </c>
      <c r="K1821" s="15" t="str">
        <f t="shared" si="203"/>
        <v>PTO-2304|MAT</v>
      </c>
      <c r="L1821" s="15">
        <f>COUNTIFS($K$2:K1821,K1821)</f>
        <v>3</v>
      </c>
      <c r="M1821" s="15" t="str">
        <f t="shared" si="204"/>
        <v>PTO-2304|MAT|3</v>
      </c>
      <c r="N1821" s="47">
        <f>IFERROR(VLOOKUP(A1821,PARTIDAS!A:F,6,FALSE()),0)</f>
        <v>7</v>
      </c>
      <c r="O1821" s="247">
        <f t="shared" si="205"/>
        <v>5.6300000000000003E-2</v>
      </c>
      <c r="P1821" s="247">
        <f>+_xlfn.XLOOKUP(A1821,PPTO_GENERADOR!Q:Q,PPTO_GENERADOR!E:E,"-",0)</f>
        <v>231</v>
      </c>
      <c r="Q1821" s="247">
        <f t="shared" si="206"/>
        <v>13.0053</v>
      </c>
      <c r="R1821" s="259">
        <f>+_xlfn.XLOOKUP(A1821,PPTO_GENERADOR!$Q:$Q,PPTO_GENERADOR!A:A,"-",0)</f>
        <v>23.04</v>
      </c>
    </row>
    <row r="1822" spans="1:18" ht="14.25" customHeight="1" x14ac:dyDescent="0.35">
      <c r="A1822" s="38" t="s">
        <v>376</v>
      </c>
      <c r="B1822" s="38" t="s">
        <v>2774</v>
      </c>
      <c r="C1822" s="38" t="s">
        <v>2775</v>
      </c>
      <c r="D1822" s="38" t="s">
        <v>749</v>
      </c>
      <c r="E1822" s="44" t="str">
        <f>IFERROR(VLOOKUP(D1822,MATERIALES!A:B,2,FALSE()),"?")</f>
        <v>Tornillo T1 - Aguja</v>
      </c>
      <c r="F1822" s="44" t="str">
        <f>IFERROR(VLOOKUP(D1822,MATERIALES!A:C,3,FALSE()),"?")</f>
        <v>u</v>
      </c>
      <c r="G1822" s="45">
        <v>10</v>
      </c>
      <c r="H1822" s="46">
        <v>0.05</v>
      </c>
      <c r="I1822" s="47">
        <f>IFERROR(VLOOKUP(D1822,MATERIALES!A:D,4,FALSE()),0)</f>
        <v>32.707173553719002</v>
      </c>
      <c r="J1822" s="42">
        <f t="shared" si="208"/>
        <v>343.42532231404954</v>
      </c>
      <c r="K1822" s="15" t="str">
        <f t="shared" si="203"/>
        <v>PTO-2304|MAT</v>
      </c>
      <c r="L1822" s="15">
        <f>COUNTIFS($K$2:K1822,K1822)</f>
        <v>4</v>
      </c>
      <c r="M1822" s="15" t="str">
        <f t="shared" si="204"/>
        <v>PTO-2304|MAT|4</v>
      </c>
      <c r="N1822" s="47">
        <f>IFERROR(VLOOKUP(A1822,PARTIDAS!A:F,6,FALSE()),0)</f>
        <v>7</v>
      </c>
      <c r="O1822" s="247">
        <f t="shared" si="205"/>
        <v>10</v>
      </c>
      <c r="P1822" s="247">
        <f>+_xlfn.XLOOKUP(A1822,PPTO_GENERADOR!Q:Q,PPTO_GENERADOR!E:E,"-",0)</f>
        <v>231</v>
      </c>
      <c r="Q1822" s="247">
        <f t="shared" si="206"/>
        <v>2310</v>
      </c>
      <c r="R1822" s="259">
        <f>+_xlfn.XLOOKUP(A1822,PPTO_GENERADOR!$Q:$Q,PPTO_GENERADOR!A:A,"-",0)</f>
        <v>23.04</v>
      </c>
    </row>
    <row r="1823" spans="1:18" ht="14.25" customHeight="1" x14ac:dyDescent="0.35">
      <c r="A1823" s="38" t="s">
        <v>376</v>
      </c>
      <c r="B1823" s="38" t="s">
        <v>2774</v>
      </c>
      <c r="C1823" s="38" t="s">
        <v>2775</v>
      </c>
      <c r="D1823" s="38" t="s">
        <v>752</v>
      </c>
      <c r="E1823" s="44" t="str">
        <f>IFERROR(VLOOKUP(D1823,MATERIALES!A:B,2,FALSE()),"?")</f>
        <v>Tornillo T2 - Aguja</v>
      </c>
      <c r="F1823" s="44" t="str">
        <f>IFERROR(VLOOKUP(D1823,MATERIALES!A:C,3,FALSE()),"?")</f>
        <v>u</v>
      </c>
      <c r="G1823" s="45">
        <v>30</v>
      </c>
      <c r="H1823" s="46">
        <v>0.05</v>
      </c>
      <c r="I1823" s="47">
        <f>IFERROR(VLOOKUP(D1823,MATERIALES!A:D,4,FALSE()),0)</f>
        <v>17.1963177226814</v>
      </c>
      <c r="J1823" s="42">
        <f t="shared" si="208"/>
        <v>541.68400826446418</v>
      </c>
      <c r="K1823" s="15" t="str">
        <f t="shared" si="203"/>
        <v>PTO-2304|MAT</v>
      </c>
      <c r="L1823" s="15">
        <f>COUNTIFS($K$2:K1823,K1823)</f>
        <v>5</v>
      </c>
      <c r="M1823" s="15" t="str">
        <f t="shared" si="204"/>
        <v>PTO-2304|MAT|5</v>
      </c>
      <c r="N1823" s="47">
        <f>IFERROR(VLOOKUP(A1823,PARTIDAS!A:F,6,FALSE()),0)</f>
        <v>7</v>
      </c>
      <c r="O1823" s="247">
        <f t="shared" si="205"/>
        <v>30</v>
      </c>
      <c r="P1823" s="247">
        <f>+_xlfn.XLOOKUP(A1823,PPTO_GENERADOR!Q:Q,PPTO_GENERADOR!E:E,"-",0)</f>
        <v>231</v>
      </c>
      <c r="Q1823" s="247">
        <f t="shared" si="206"/>
        <v>6930</v>
      </c>
      <c r="R1823" s="259">
        <f>+_xlfn.XLOOKUP(A1823,PPTO_GENERADOR!$Q:$Q,PPTO_GENERADOR!A:A,"-",0)</f>
        <v>23.04</v>
      </c>
    </row>
    <row r="1824" spans="1:18" ht="14.25" customHeight="1" x14ac:dyDescent="0.35">
      <c r="A1824" s="38" t="s">
        <v>376</v>
      </c>
      <c r="B1824" s="38" t="s">
        <v>2774</v>
      </c>
      <c r="C1824" s="38" t="s">
        <v>2775</v>
      </c>
      <c r="D1824" s="38" t="s">
        <v>756</v>
      </c>
      <c r="E1824" s="44" t="str">
        <f>IFERROR(VLOOKUP(D1824,MATERIALES!A:B,2,FALSE()),"?")</f>
        <v>Fijacion completa del 8</v>
      </c>
      <c r="F1824" s="44" t="str">
        <f>IFERROR(VLOOKUP(D1824,MATERIALES!A:C,3,FALSE()),"?")</f>
        <v>u</v>
      </c>
      <c r="G1824" s="45">
        <v>3.5</v>
      </c>
      <c r="H1824" s="46">
        <v>0.05</v>
      </c>
      <c r="I1824" s="47">
        <f>IFERROR(VLOOKUP(D1824,MATERIALES!A:D,4,FALSE()),0)</f>
        <v>65.919008264462803</v>
      </c>
      <c r="J1824" s="42">
        <f t="shared" si="208"/>
        <v>242.25235537190079</v>
      </c>
      <c r="K1824" s="15" t="str">
        <f t="shared" si="203"/>
        <v>PTO-2304|MAT</v>
      </c>
      <c r="L1824" s="15">
        <f>COUNTIFS($K$2:K1824,K1824)</f>
        <v>6</v>
      </c>
      <c r="M1824" s="15" t="str">
        <f t="shared" si="204"/>
        <v>PTO-2304|MAT|6</v>
      </c>
      <c r="N1824" s="47">
        <f>IFERROR(VLOOKUP(A1824,PARTIDAS!A:F,6,FALSE()),0)</f>
        <v>7</v>
      </c>
      <c r="O1824" s="247">
        <f t="shared" si="205"/>
        <v>3.5</v>
      </c>
      <c r="P1824" s="247">
        <f>+_xlfn.XLOOKUP(A1824,PPTO_GENERADOR!Q:Q,PPTO_GENERADOR!E:E,"-",0)</f>
        <v>231</v>
      </c>
      <c r="Q1824" s="247">
        <f t="shared" si="206"/>
        <v>808.5</v>
      </c>
      <c r="R1824" s="259">
        <f>+_xlfn.XLOOKUP(A1824,PPTO_GENERADOR!$Q:$Q,PPTO_GENERADOR!A:A,"-",0)</f>
        <v>23.04</v>
      </c>
    </row>
    <row r="1825" spans="1:18" ht="14.25" customHeight="1" x14ac:dyDescent="0.35">
      <c r="A1825" s="38" t="s">
        <v>376</v>
      </c>
      <c r="B1825" s="38" t="s">
        <v>2774</v>
      </c>
      <c r="C1825" s="38" t="s">
        <v>2775</v>
      </c>
      <c r="D1825" s="38" t="s">
        <v>758</v>
      </c>
      <c r="E1825" s="44" t="str">
        <f>IFERROR(VLOOKUP(D1825,MATERIALES!A:B,2,FALSE()),"?")</f>
        <v>Cinta Entramada - 90m</v>
      </c>
      <c r="F1825" s="44" t="str">
        <f>IFERROR(VLOOKUP(D1825,MATERIALES!A:C,3,FALSE()),"?")</f>
        <v>u</v>
      </c>
      <c r="G1825" s="45">
        <v>0.04</v>
      </c>
      <c r="H1825" s="46">
        <v>0.05</v>
      </c>
      <c r="I1825" s="47">
        <f>IFERROR(VLOOKUP(D1825,MATERIALES!A:D,4,FALSE()),0)</f>
        <v>4042.71</v>
      </c>
      <c r="J1825" s="42">
        <f t="shared" si="208"/>
        <v>169.79382000000001</v>
      </c>
      <c r="K1825" s="15" t="str">
        <f t="shared" si="203"/>
        <v>PTO-2304|MAT</v>
      </c>
      <c r="L1825" s="15">
        <f>COUNTIFS($K$2:K1825,K1825)</f>
        <v>7</v>
      </c>
      <c r="M1825" s="15" t="str">
        <f t="shared" si="204"/>
        <v>PTO-2304|MAT|7</v>
      </c>
      <c r="N1825" s="47">
        <f>IFERROR(VLOOKUP(A1825,PARTIDAS!A:F,6,FALSE()),0)</f>
        <v>7</v>
      </c>
      <c r="O1825" s="247">
        <f t="shared" si="205"/>
        <v>0.04</v>
      </c>
      <c r="P1825" s="247">
        <f>+_xlfn.XLOOKUP(A1825,PPTO_GENERADOR!Q:Q,PPTO_GENERADOR!E:E,"-",0)</f>
        <v>231</v>
      </c>
      <c r="Q1825" s="247">
        <f t="shared" si="206"/>
        <v>9.24</v>
      </c>
      <c r="R1825" s="259">
        <f>+_xlfn.XLOOKUP(A1825,PPTO_GENERADOR!$Q:$Q,PPTO_GENERADOR!A:A,"-",0)</f>
        <v>23.04</v>
      </c>
    </row>
    <row r="1826" spans="1:18" ht="14.25" customHeight="1" x14ac:dyDescent="0.35">
      <c r="A1826" s="38" t="s">
        <v>376</v>
      </c>
      <c r="B1826" s="38" t="s">
        <v>2774</v>
      </c>
      <c r="C1826" s="38" t="s">
        <v>2775</v>
      </c>
      <c r="D1826" s="38" t="s">
        <v>765</v>
      </c>
      <c r="E1826" s="44" t="str">
        <f>IFERROR(VLOOKUP(D1826,MATERIALES!A:B,2,FALSE()),"?")</f>
        <v>Placa Roca de Yeso 1220 x 2440 - 12.5mm - STD</v>
      </c>
      <c r="F1826" s="44" t="str">
        <f>IFERROR(VLOOKUP(D1826,MATERIALES!A:C,3,FALSE()),"?")</f>
        <v>u</v>
      </c>
      <c r="G1826" s="45">
        <v>0.71</v>
      </c>
      <c r="H1826" s="46">
        <v>0.1</v>
      </c>
      <c r="I1826" s="47">
        <f>IFERROR(VLOOKUP(D1826,MATERIALES!A:D,4,FALSE()),0)</f>
        <v>10022.959999999999</v>
      </c>
      <c r="J1826" s="42">
        <f t="shared" si="208"/>
        <v>7827.9317599999995</v>
      </c>
      <c r="K1826" s="15" t="str">
        <f t="shared" si="203"/>
        <v>PTO-2304|MAT</v>
      </c>
      <c r="L1826" s="15">
        <f>COUNTIFS($K$2:K1826,K1826)</f>
        <v>8</v>
      </c>
      <c r="M1826" s="15" t="str">
        <f t="shared" si="204"/>
        <v>PTO-2304|MAT|8</v>
      </c>
      <c r="N1826" s="47">
        <f>IFERROR(VLOOKUP(A1826,PARTIDAS!A:F,6,FALSE()),0)</f>
        <v>7</v>
      </c>
      <c r="O1826" s="247">
        <f t="shared" si="205"/>
        <v>0.71</v>
      </c>
      <c r="P1826" s="247">
        <f>+_xlfn.XLOOKUP(A1826,PPTO_GENERADOR!Q:Q,PPTO_GENERADOR!E:E,"-",0)</f>
        <v>231</v>
      </c>
      <c r="Q1826" s="247">
        <f t="shared" si="206"/>
        <v>164.01</v>
      </c>
      <c r="R1826" s="259">
        <f>+_xlfn.XLOOKUP(A1826,PPTO_GENERADOR!$Q:$Q,PPTO_GENERADOR!A:A,"-",0)</f>
        <v>23.04</v>
      </c>
    </row>
    <row r="1827" spans="1:18" ht="14.25" customHeight="1" x14ac:dyDescent="0.35">
      <c r="A1827" s="38" t="s">
        <v>376</v>
      </c>
      <c r="B1827" s="38" t="s">
        <v>2774</v>
      </c>
      <c r="C1827" s="38" t="s">
        <v>2777</v>
      </c>
      <c r="D1827" s="38" t="s">
        <v>1045</v>
      </c>
      <c r="E1827" s="44" t="str">
        <f>IFERROR(VLOOKUP(D1827,MATERIALES!A:B,2,FALSE()),"?")</f>
        <v xml:space="preserve">Materiales varios </v>
      </c>
      <c r="F1827" s="44" t="str">
        <f>IFERROR(VLOOKUP(D1827,MATERIALES!A:C,3,FALSE()),"?")</f>
        <v>gl</v>
      </c>
      <c r="G1827" s="45">
        <v>8192.6823256636708</v>
      </c>
      <c r="H1827" s="46">
        <v>0</v>
      </c>
      <c r="I1827" s="47">
        <f>IFERROR(VLOOKUP(D1827,MATERIALES!A:D,4,FALSE()),0)</f>
        <v>1</v>
      </c>
      <c r="J1827" s="42">
        <f t="shared" si="208"/>
        <v>8192.6823256636708</v>
      </c>
      <c r="K1827" s="15" t="str">
        <f t="shared" si="203"/>
        <v>PTO-2304|MAT</v>
      </c>
      <c r="L1827" s="15">
        <f>COUNTIFS($K$2:K1827,K1827)</f>
        <v>9</v>
      </c>
      <c r="M1827" s="15" t="str">
        <f t="shared" si="204"/>
        <v>PTO-2304|MAT|9</v>
      </c>
      <c r="N1827" s="47">
        <f>IFERROR(VLOOKUP(A1827,PARTIDAS!A:F,6,FALSE()),0)</f>
        <v>7</v>
      </c>
      <c r="O1827" s="247">
        <f t="shared" si="205"/>
        <v>1170.3831893805243</v>
      </c>
      <c r="P1827" s="247">
        <f>+_xlfn.XLOOKUP(A1827,PPTO_GENERADOR!Q:Q,PPTO_GENERADOR!E:E,"-",0)</f>
        <v>231</v>
      </c>
      <c r="Q1827" s="247">
        <f t="shared" si="206"/>
        <v>270358.51674690109</v>
      </c>
      <c r="R1827" s="259">
        <f>+_xlfn.XLOOKUP(A1827,PPTO_GENERADOR!$Q:$Q,PPTO_GENERADOR!A:A,"-",0)</f>
        <v>23.04</v>
      </c>
    </row>
    <row r="1828" spans="1:18" ht="14.25" customHeight="1" x14ac:dyDescent="0.35">
      <c r="A1828" s="38" t="s">
        <v>376</v>
      </c>
      <c r="B1828" s="38" t="s">
        <v>2776</v>
      </c>
      <c r="C1828" s="38" t="s">
        <v>2775</v>
      </c>
      <c r="D1828" s="38" t="s">
        <v>2427</v>
      </c>
      <c r="E1828" s="44" t="str">
        <f>IFERROR(VLOOKUP(D1828,SUBCONTRATOS_PRY!A:B,2,FALSE()),"?")</f>
        <v>MO Tabique divisorio dormitorios</v>
      </c>
      <c r="F1828" s="44" t="s">
        <v>2778</v>
      </c>
      <c r="G1828" s="45">
        <v>7</v>
      </c>
      <c r="H1828" s="46">
        <v>0</v>
      </c>
      <c r="I1828" s="47">
        <f>IFERROR(VLOOKUP(D1828,SUBCONTRATOS_PRY!A:D,4,FALSE()),0)</f>
        <v>5407.8631711837097</v>
      </c>
      <c r="J1828" s="42">
        <f t="shared" ref="J1828:J1834" si="209">G1828*I1828</f>
        <v>37855.04219828597</v>
      </c>
      <c r="K1828" s="15" t="str">
        <f t="shared" si="203"/>
        <v>PTO-2304|MO</v>
      </c>
      <c r="L1828" s="15">
        <f>COUNTIFS($K$2:K1828,K1828)</f>
        <v>1</v>
      </c>
      <c r="M1828" s="15" t="str">
        <f t="shared" si="204"/>
        <v>PTO-2304|MO|1</v>
      </c>
      <c r="N1828" s="47">
        <f>IFERROR(VLOOKUP(A1828,PARTIDAS!A:F,6,FALSE()),0)</f>
        <v>7</v>
      </c>
      <c r="O1828" s="247">
        <f t="shared" si="205"/>
        <v>7</v>
      </c>
      <c r="P1828" s="247">
        <f>+_xlfn.XLOOKUP(A1828,PPTO_GENERADOR!Q:Q,PPTO_GENERADOR!E:E,"-",0)</f>
        <v>231</v>
      </c>
      <c r="Q1828" s="247">
        <f t="shared" si="206"/>
        <v>1617</v>
      </c>
      <c r="R1828" s="259">
        <f>+_xlfn.XLOOKUP(A1828,PPTO_GENERADOR!$Q:$Q,PPTO_GENERADOR!A:A,"-",0)</f>
        <v>23.04</v>
      </c>
    </row>
    <row r="1829" spans="1:18" ht="14.25" customHeight="1" x14ac:dyDescent="0.35">
      <c r="A1829" s="38" t="s">
        <v>376</v>
      </c>
      <c r="B1829" s="38" t="s">
        <v>2776</v>
      </c>
      <c r="C1829" s="38" t="s">
        <v>2777</v>
      </c>
      <c r="D1829" s="237" t="s">
        <v>1574</v>
      </c>
      <c r="E1829" s="44" t="str">
        <f>IFERROR(VLOOKUP(D1829,MANO_DE_OBRA!A:B,2,FALSE()),"?")</f>
        <v>MEDIO OFICIAL</v>
      </c>
      <c r="F1829" s="44" t="s">
        <v>2778</v>
      </c>
      <c r="G1829" s="45">
        <v>1</v>
      </c>
      <c r="H1829" s="46">
        <v>0</v>
      </c>
      <c r="I1829" s="47">
        <f>IFERROR(VLOOKUP(D1829,MANO_DE_OBRA!A:C,3,FALSE()),0)</f>
        <v>65493.071636572</v>
      </c>
      <c r="J1829" s="42">
        <f t="shared" si="209"/>
        <v>65493.071636572</v>
      </c>
      <c r="K1829" s="15" t="str">
        <f t="shared" si="203"/>
        <v>PTO-2304|MO</v>
      </c>
      <c r="L1829" s="15">
        <f>COUNTIFS($K$2:K1829,K1829)</f>
        <v>2</v>
      </c>
      <c r="M1829" s="15" t="str">
        <f t="shared" si="204"/>
        <v>PTO-2304|MO|2</v>
      </c>
      <c r="N1829" s="47">
        <f>IFERROR(VLOOKUP(A1829,PARTIDAS!A:F,6,FALSE()),0)</f>
        <v>7</v>
      </c>
      <c r="O1829" s="247">
        <f t="shared" si="205"/>
        <v>0.14285714285714285</v>
      </c>
      <c r="P1829" s="247">
        <f>+_xlfn.XLOOKUP(A1829,PPTO_GENERADOR!Q:Q,PPTO_GENERADOR!E:E,"-",0)</f>
        <v>231</v>
      </c>
      <c r="Q1829" s="247">
        <f t="shared" si="206"/>
        <v>33</v>
      </c>
      <c r="R1829" s="259">
        <f>+_xlfn.XLOOKUP(A1829,PPTO_GENERADOR!$Q:$Q,PPTO_GENERADOR!A:A,"-",0)</f>
        <v>23.04</v>
      </c>
    </row>
    <row r="1830" spans="1:18" ht="14.25" customHeight="1" x14ac:dyDescent="0.35">
      <c r="A1830" s="38" t="s">
        <v>376</v>
      </c>
      <c r="B1830" s="38" t="s">
        <v>2776</v>
      </c>
      <c r="C1830" s="38" t="s">
        <v>2777</v>
      </c>
      <c r="D1830" s="237" t="s">
        <v>1568</v>
      </c>
      <c r="E1830" s="44" t="str">
        <f>IFERROR(VLOOKUP(D1830,MANO_DE_OBRA!A:B,2,FALSE()),"?")</f>
        <v>ESPECIALIZADO</v>
      </c>
      <c r="F1830" s="44" t="s">
        <v>2778</v>
      </c>
      <c r="G1830" s="45">
        <v>1</v>
      </c>
      <c r="H1830" s="46">
        <v>0</v>
      </c>
      <c r="I1830" s="47">
        <f>IFERROR(VLOOKUP(D1830,MANO_DE_OBRA!A:C,3,FALSE()),0)</f>
        <v>85927.097156571996</v>
      </c>
      <c r="J1830" s="42">
        <f t="shared" si="209"/>
        <v>85927.097156571996</v>
      </c>
      <c r="K1830" s="15" t="str">
        <f t="shared" si="203"/>
        <v>PTO-2304|MO</v>
      </c>
      <c r="L1830" s="15">
        <f>COUNTIFS($K$2:K1830,K1830)</f>
        <v>3</v>
      </c>
      <c r="M1830" s="15" t="str">
        <f t="shared" si="204"/>
        <v>PTO-2304|MO|3</v>
      </c>
      <c r="N1830" s="47">
        <f>IFERROR(VLOOKUP(A1830,PARTIDAS!A:F,6,FALSE()),0)</f>
        <v>7</v>
      </c>
      <c r="O1830" s="247">
        <f t="shared" si="205"/>
        <v>0.14285714285714285</v>
      </c>
      <c r="P1830" s="247">
        <f>+_xlfn.XLOOKUP(A1830,PPTO_GENERADOR!Q:Q,PPTO_GENERADOR!E:E,"-",0)</f>
        <v>231</v>
      </c>
      <c r="Q1830" s="247">
        <f t="shared" si="206"/>
        <v>33</v>
      </c>
      <c r="R1830" s="259">
        <f>+_xlfn.XLOOKUP(A1830,PPTO_GENERADOR!$Q:$Q,PPTO_GENERADOR!A:A,"-",0)</f>
        <v>23.04</v>
      </c>
    </row>
    <row r="1831" spans="1:18" ht="14.25" customHeight="1" x14ac:dyDescent="0.35">
      <c r="A1831" s="38" t="s">
        <v>378</v>
      </c>
      <c r="B1831" s="38" t="s">
        <v>2776</v>
      </c>
      <c r="C1831" s="38" t="s">
        <v>2775</v>
      </c>
      <c r="D1831" s="38" t="s">
        <v>2380</v>
      </c>
      <c r="E1831" s="44" t="str">
        <f>IFERROR(VLOOKUP(D1831,SUBCONTRATOS_PRY!A:B,2,FALSE()),"?")</f>
        <v>MO Sereno</v>
      </c>
      <c r="F1831" s="44" t="s">
        <v>2778</v>
      </c>
      <c r="G1831" s="45">
        <v>1</v>
      </c>
      <c r="H1831" s="46">
        <v>0</v>
      </c>
      <c r="I1831" s="47">
        <f>IFERROR(VLOOKUP(D1831,SUBCONTRATOS_PRY!A:D,4,FALSE()),0)</f>
        <v>730326.96931886405</v>
      </c>
      <c r="J1831" s="42">
        <f t="shared" si="209"/>
        <v>730326.96931886405</v>
      </c>
      <c r="K1831" s="15" t="str">
        <f t="shared" si="203"/>
        <v>PTO-2401|MO</v>
      </c>
      <c r="L1831" s="15">
        <f>COUNTIFS($K$2:K1831,K1831)</f>
        <v>1</v>
      </c>
      <c r="M1831" s="15" t="str">
        <f t="shared" si="204"/>
        <v>PTO-2401|MO|1</v>
      </c>
      <c r="N1831" s="47">
        <f>IFERROR(VLOOKUP(A1831,PARTIDAS!A:F,6,FALSE()),0)</f>
        <v>1</v>
      </c>
      <c r="O1831" s="247">
        <f t="shared" si="205"/>
        <v>1</v>
      </c>
      <c r="P1831" s="247">
        <f>+_xlfn.XLOOKUP(A1831,PPTO_GENERADOR!Q:Q,PPTO_GENERADOR!E:E,"-",0)</f>
        <v>17</v>
      </c>
      <c r="Q1831" s="247">
        <f t="shared" si="206"/>
        <v>17</v>
      </c>
      <c r="R1831" s="259">
        <f>+_xlfn.XLOOKUP(A1831,PPTO_GENERADOR!$Q:$Q,PPTO_GENERADOR!A:A,"-",0)</f>
        <v>24.01</v>
      </c>
    </row>
    <row r="1832" spans="1:18" ht="14.25" customHeight="1" x14ac:dyDescent="0.35">
      <c r="A1832" s="38" t="s">
        <v>380</v>
      </c>
      <c r="B1832" s="38" t="s">
        <v>2776</v>
      </c>
      <c r="C1832" s="38" t="s">
        <v>2775</v>
      </c>
      <c r="D1832" s="38" t="s">
        <v>2383</v>
      </c>
      <c r="E1832" s="44" t="str">
        <f>IFERROR(VLOOKUP(D1832,SUBCONTRATOS_PRY!A:B,2,FALSE()),"?")</f>
        <v>MO Tecnico de seguridad &amp; higiene permanente en Obra</v>
      </c>
      <c r="F1832" s="44" t="s">
        <v>2778</v>
      </c>
      <c r="G1832" s="45">
        <v>1</v>
      </c>
      <c r="H1832" s="46">
        <v>0</v>
      </c>
      <c r="I1832" s="47">
        <f>IFERROR(VLOOKUP(D1832,SUBCONTRATOS_PRY!A:D,4,FALSE()),0)</f>
        <v>1504670.291</v>
      </c>
      <c r="J1832" s="42">
        <f t="shared" si="209"/>
        <v>1504670.291</v>
      </c>
      <c r="K1832" s="15" t="str">
        <f t="shared" si="203"/>
        <v>PTO-2402|MO</v>
      </c>
      <c r="L1832" s="15">
        <f>COUNTIFS($K$2:K1832,K1832)</f>
        <v>1</v>
      </c>
      <c r="M1832" s="15" t="str">
        <f t="shared" si="204"/>
        <v>PTO-2402|MO|1</v>
      </c>
      <c r="N1832" s="47">
        <f>IFERROR(VLOOKUP(A1832,PARTIDAS!A:F,6,FALSE()),0)</f>
        <v>1</v>
      </c>
      <c r="O1832" s="247">
        <f t="shared" si="205"/>
        <v>1</v>
      </c>
      <c r="P1832" s="247">
        <f>+_xlfn.XLOOKUP(A1832,PPTO_GENERADOR!Q:Q,PPTO_GENERADOR!E:E,"-",0)</f>
        <v>4</v>
      </c>
      <c r="Q1832" s="247">
        <f t="shared" si="206"/>
        <v>4</v>
      </c>
      <c r="R1832" s="259">
        <f>+_xlfn.XLOOKUP(A1832,PPTO_GENERADOR!$Q:$Q,PPTO_GENERADOR!A:A,"-",0)</f>
        <v>24.02</v>
      </c>
    </row>
    <row r="1833" spans="1:18" ht="14.25" customHeight="1" x14ac:dyDescent="0.35">
      <c r="A1833" s="38" t="s">
        <v>382</v>
      </c>
      <c r="B1833" s="38" t="s">
        <v>2776</v>
      </c>
      <c r="C1833" s="38" t="s">
        <v>2775</v>
      </c>
      <c r="D1833" s="38" t="s">
        <v>2386</v>
      </c>
      <c r="E1833" s="44" t="str">
        <f>IFERROR(VLOOKUP(D1833,SUBCONTRATOS_PRY!A:B,2,FALSE()),"?")</f>
        <v>MO Higiene y seguridad Res 51</v>
      </c>
      <c r="F1833" s="44" t="s">
        <v>2778</v>
      </c>
      <c r="G1833" s="45">
        <v>1</v>
      </c>
      <c r="H1833" s="46">
        <v>0</v>
      </c>
      <c r="I1833" s="47">
        <f>IFERROR(VLOOKUP(D1833,SUBCONTRATOS_PRY!A:D,4,FALSE()),0)</f>
        <v>150000</v>
      </c>
      <c r="J1833" s="42">
        <f t="shared" si="209"/>
        <v>150000</v>
      </c>
      <c r="K1833" s="15" t="str">
        <f t="shared" si="203"/>
        <v>PTO-2403|MO</v>
      </c>
      <c r="L1833" s="15">
        <f>COUNTIFS($K$2:K1833,K1833)</f>
        <v>1</v>
      </c>
      <c r="M1833" s="15" t="str">
        <f t="shared" si="204"/>
        <v>PTO-2403|MO|1</v>
      </c>
      <c r="N1833" s="47">
        <f>IFERROR(VLOOKUP(A1833,PARTIDAS!A:F,6,FALSE()),0)</f>
        <v>1</v>
      </c>
      <c r="O1833" s="247">
        <f t="shared" si="205"/>
        <v>1</v>
      </c>
      <c r="P1833" s="247">
        <f>+_xlfn.XLOOKUP(A1833,PPTO_GENERADOR!Q:Q,PPTO_GENERADOR!E:E,"-",0)</f>
        <v>17</v>
      </c>
      <c r="Q1833" s="247">
        <f t="shared" si="206"/>
        <v>17</v>
      </c>
      <c r="R1833" s="259">
        <f>+_xlfn.XLOOKUP(A1833,PPTO_GENERADOR!$Q:$Q,PPTO_GENERADOR!A:A,"-",0)</f>
        <v>24.03</v>
      </c>
    </row>
    <row r="1834" spans="1:18" ht="14.25" customHeight="1" x14ac:dyDescent="0.35">
      <c r="A1834" s="38" t="s">
        <v>384</v>
      </c>
      <c r="B1834" s="38" t="s">
        <v>2773</v>
      </c>
      <c r="C1834" s="38"/>
      <c r="D1834" s="38" t="s">
        <v>2004</v>
      </c>
      <c r="E1834" s="44" t="str">
        <f>IFERROR(VLOOKUP(D1834,EQUIPOS!A:B,2,FALSE()),"?")</f>
        <v>Herramientas menores y consumibles - Protecciones y defensas</v>
      </c>
      <c r="F1834" s="44"/>
      <c r="G1834" s="45">
        <v>1</v>
      </c>
      <c r="H1834" s="46">
        <v>0</v>
      </c>
      <c r="I1834" s="47">
        <f>IFERROR(VLOOKUP(D1834,EQUIPOS!A:F,6,FALSE()),0)</f>
        <v>69686.966825754498</v>
      </c>
      <c r="J1834" s="42">
        <f t="shared" si="209"/>
        <v>69686.966825754498</v>
      </c>
      <c r="K1834" s="15" t="str">
        <f t="shared" si="203"/>
        <v>PTO-2404|EQ</v>
      </c>
      <c r="L1834" s="15">
        <f>COUNTIFS($K$2:K1834,K1834)</f>
        <v>1</v>
      </c>
      <c r="M1834" s="15" t="str">
        <f t="shared" si="204"/>
        <v>PTO-2404|EQ|1</v>
      </c>
      <c r="N1834" s="47">
        <f>IFERROR(VLOOKUP(A1834,PARTIDAS!A:F,6,FALSE()),0)</f>
        <v>1</v>
      </c>
      <c r="O1834" s="247">
        <f t="shared" si="205"/>
        <v>1</v>
      </c>
      <c r="P1834" s="247">
        <f>+_xlfn.XLOOKUP(A1834,PPTO_GENERADOR!Q:Q,PPTO_GENERADOR!E:E,"-",0)</f>
        <v>1</v>
      </c>
      <c r="Q1834" s="247">
        <f t="shared" si="206"/>
        <v>1</v>
      </c>
      <c r="R1834" s="259">
        <f>+_xlfn.XLOOKUP(A1834,PPTO_GENERADOR!$Q:$Q,PPTO_GENERADOR!A:A,"-",0)</f>
        <v>24.04</v>
      </c>
    </row>
    <row r="1835" spans="1:18" ht="14.25" customHeight="1" x14ac:dyDescent="0.35">
      <c r="A1835" s="38" t="s">
        <v>384</v>
      </c>
      <c r="B1835" s="38" t="s">
        <v>2774</v>
      </c>
      <c r="C1835" s="38" t="s">
        <v>2775</v>
      </c>
      <c r="D1835" s="38" t="s">
        <v>1342</v>
      </c>
      <c r="E1835" s="44" t="str">
        <f>IFERROR(VLOOKUP(D1835,MATERIALES!A:B,2,FALSE()),"?")</f>
        <v>Defensas</v>
      </c>
      <c r="F1835" s="44" t="str">
        <f>IFERROR(VLOOKUP(D1835,MATERIALES!A:C,3,FALSE()),"?")</f>
        <v>ml</v>
      </c>
      <c r="G1835" s="45">
        <v>82</v>
      </c>
      <c r="H1835" s="46">
        <v>0</v>
      </c>
      <c r="I1835" s="47">
        <f>IFERROR(VLOOKUP(D1835,MATERIALES!A:D,4,FALSE()),0)</f>
        <v>25783.917333333298</v>
      </c>
      <c r="J1835" s="42">
        <f>G1835*I1835*(1+H1835)</f>
        <v>2114281.2213333305</v>
      </c>
      <c r="K1835" s="15" t="str">
        <f t="shared" si="203"/>
        <v>PTO-2404|MAT</v>
      </c>
      <c r="L1835" s="15">
        <f>COUNTIFS($K$2:K1835,K1835)</f>
        <v>1</v>
      </c>
      <c r="M1835" s="15" t="str">
        <f t="shared" si="204"/>
        <v>PTO-2404|MAT|1</v>
      </c>
      <c r="N1835" s="47">
        <f>IFERROR(VLOOKUP(A1835,PARTIDAS!A:F,6,FALSE()),0)</f>
        <v>1</v>
      </c>
      <c r="O1835" s="247">
        <f t="shared" si="205"/>
        <v>82</v>
      </c>
      <c r="P1835" s="247">
        <f>+_xlfn.XLOOKUP(A1835,PPTO_GENERADOR!Q:Q,PPTO_GENERADOR!E:E,"-",0)</f>
        <v>1</v>
      </c>
      <c r="Q1835" s="247">
        <f t="shared" si="206"/>
        <v>82</v>
      </c>
      <c r="R1835" s="259">
        <f>+_xlfn.XLOOKUP(A1835,PPTO_GENERADOR!$Q:$Q,PPTO_GENERADOR!A:A,"-",0)</f>
        <v>24.04</v>
      </c>
    </row>
    <row r="1836" spans="1:18" ht="14.25" customHeight="1" x14ac:dyDescent="0.35">
      <c r="A1836" s="38" t="s">
        <v>384</v>
      </c>
      <c r="B1836" s="38" t="s">
        <v>2774</v>
      </c>
      <c r="C1836" s="38" t="s">
        <v>2775</v>
      </c>
      <c r="D1836" s="38" t="s">
        <v>1345</v>
      </c>
      <c r="E1836" s="44" t="str">
        <f>IFERROR(VLOOKUP(D1836,MATERIALES!A:B,2,FALSE()),"?")</f>
        <v>Tabla 4 x 1 x 3,6 Saligna bruto</v>
      </c>
      <c r="F1836" s="44" t="str">
        <f>IFERROR(VLOOKUP(D1836,MATERIALES!A:C,3,FALSE()),"?")</f>
        <v>u</v>
      </c>
      <c r="G1836" s="45">
        <v>75</v>
      </c>
      <c r="H1836" s="46">
        <v>0</v>
      </c>
      <c r="I1836" s="47">
        <f>IFERROR(VLOOKUP(D1836,MATERIALES!A:D,4,FALSE()),0)</f>
        <v>1294.6320000000001</v>
      </c>
      <c r="J1836" s="42">
        <f>G1836*I1836*(1+H1836)</f>
        <v>97097.400000000009</v>
      </c>
      <c r="K1836" s="15" t="str">
        <f t="shared" si="203"/>
        <v>PTO-2404|MAT</v>
      </c>
      <c r="L1836" s="15">
        <f>COUNTIFS($K$2:K1836,K1836)</f>
        <v>2</v>
      </c>
      <c r="M1836" s="15" t="str">
        <f t="shared" si="204"/>
        <v>PTO-2404|MAT|2</v>
      </c>
      <c r="N1836" s="47">
        <f>IFERROR(VLOOKUP(A1836,PARTIDAS!A:F,6,FALSE()),0)</f>
        <v>1</v>
      </c>
      <c r="O1836" s="247">
        <f t="shared" si="205"/>
        <v>75</v>
      </c>
      <c r="P1836" s="247">
        <f>+_xlfn.XLOOKUP(A1836,PPTO_GENERADOR!Q:Q,PPTO_GENERADOR!E:E,"-",0)</f>
        <v>1</v>
      </c>
      <c r="Q1836" s="247">
        <f t="shared" si="206"/>
        <v>75</v>
      </c>
      <c r="R1836" s="259">
        <f>+_xlfn.XLOOKUP(A1836,PPTO_GENERADOR!$Q:$Q,PPTO_GENERADOR!A:A,"-",0)</f>
        <v>24.04</v>
      </c>
    </row>
    <row r="1837" spans="1:18" ht="14.25" customHeight="1" x14ac:dyDescent="0.35">
      <c r="A1837" s="38" t="s">
        <v>384</v>
      </c>
      <c r="B1837" s="38" t="s">
        <v>2774</v>
      </c>
      <c r="C1837" s="38" t="s">
        <v>2775</v>
      </c>
      <c r="D1837" s="38" t="s">
        <v>1347</v>
      </c>
      <c r="E1837" s="44" t="str">
        <f>IFERROR(VLOOKUP(D1837,MATERIALES!A:B,2,FALSE()),"?")</f>
        <v>Tirante 3 x 3 x 3,6 Saligna bruto</v>
      </c>
      <c r="F1837" s="44" t="str">
        <f>IFERROR(VLOOKUP(D1837,MATERIALES!A:C,3,FALSE()),"?")</f>
        <v>u</v>
      </c>
      <c r="G1837" s="45">
        <v>32</v>
      </c>
      <c r="H1837" s="46">
        <v>0</v>
      </c>
      <c r="I1837" s="47">
        <f>IFERROR(VLOOKUP(D1837,MATERIALES!A:D,4,FALSE()),0)</f>
        <v>2912.9520000000002</v>
      </c>
      <c r="J1837" s="42">
        <f>G1837*I1837*(1+H1837)</f>
        <v>93214.464000000007</v>
      </c>
      <c r="K1837" s="15" t="str">
        <f t="shared" si="203"/>
        <v>PTO-2404|MAT</v>
      </c>
      <c r="L1837" s="15">
        <f>COUNTIFS($K$2:K1837,K1837)</f>
        <v>3</v>
      </c>
      <c r="M1837" s="15" t="str">
        <f t="shared" si="204"/>
        <v>PTO-2404|MAT|3</v>
      </c>
      <c r="N1837" s="47">
        <f>IFERROR(VLOOKUP(A1837,PARTIDAS!A:F,6,FALSE()),0)</f>
        <v>1</v>
      </c>
      <c r="O1837" s="247">
        <f t="shared" si="205"/>
        <v>32</v>
      </c>
      <c r="P1837" s="247">
        <f>+_xlfn.XLOOKUP(A1837,PPTO_GENERADOR!Q:Q,PPTO_GENERADOR!E:E,"-",0)</f>
        <v>1</v>
      </c>
      <c r="Q1837" s="247">
        <f t="shared" si="206"/>
        <v>32</v>
      </c>
      <c r="R1837" s="259">
        <f>+_xlfn.XLOOKUP(A1837,PPTO_GENERADOR!$Q:$Q,PPTO_GENERADOR!A:A,"-",0)</f>
        <v>24.04</v>
      </c>
    </row>
    <row r="1838" spans="1:18" ht="14.25" customHeight="1" x14ac:dyDescent="0.35">
      <c r="A1838" s="38" t="s">
        <v>384</v>
      </c>
      <c r="B1838" s="38" t="s">
        <v>2776</v>
      </c>
      <c r="C1838" s="38" t="s">
        <v>2777</v>
      </c>
      <c r="D1838" s="38" t="s">
        <v>1577</v>
      </c>
      <c r="E1838" s="44" t="str">
        <f>IFERROR(VLOOKUP(D1838,MANO_DE_OBRA!A:B,2,FALSE()),"?")</f>
        <v>AYUDANTE</v>
      </c>
      <c r="F1838" s="44" t="s">
        <v>2778</v>
      </c>
      <c r="G1838" s="45">
        <v>12</v>
      </c>
      <c r="H1838" s="46">
        <v>0</v>
      </c>
      <c r="I1838" s="47">
        <f>IFERROR(VLOOKUP(D1838,MANO_DE_OBRA!A:C,3,FALSE()),0)</f>
        <v>60860.580776572002</v>
      </c>
      <c r="J1838" s="42">
        <f>G1838*I1838</f>
        <v>730326.96931886405</v>
      </c>
      <c r="K1838" s="15" t="str">
        <f t="shared" si="203"/>
        <v>PTO-2404|MO</v>
      </c>
      <c r="L1838" s="15">
        <f>COUNTIFS($K$2:K1838,K1838)</f>
        <v>1</v>
      </c>
      <c r="M1838" s="15" t="str">
        <f t="shared" si="204"/>
        <v>PTO-2404|MO|1</v>
      </c>
      <c r="N1838" s="47">
        <f>IFERROR(VLOOKUP(A1838,PARTIDAS!A:F,6,FALSE()),0)</f>
        <v>1</v>
      </c>
      <c r="O1838" s="247">
        <f t="shared" si="205"/>
        <v>12</v>
      </c>
      <c r="P1838" s="247">
        <f>+_xlfn.XLOOKUP(A1838,PPTO_GENERADOR!Q:Q,PPTO_GENERADOR!E:E,"-",0)</f>
        <v>1</v>
      </c>
      <c r="Q1838" s="247">
        <f t="shared" si="206"/>
        <v>12</v>
      </c>
      <c r="R1838" s="259">
        <f>+_xlfn.XLOOKUP(A1838,PPTO_GENERADOR!$Q:$Q,PPTO_GENERADOR!A:A,"-",0)</f>
        <v>24.04</v>
      </c>
    </row>
    <row r="1839" spans="1:18" ht="14.25" customHeight="1" x14ac:dyDescent="0.35">
      <c r="A1839" s="38" t="s">
        <v>384</v>
      </c>
      <c r="B1839" s="38" t="s">
        <v>2776</v>
      </c>
      <c r="C1839" s="38" t="s">
        <v>2777</v>
      </c>
      <c r="D1839" s="237" t="s">
        <v>1568</v>
      </c>
      <c r="E1839" s="44" t="str">
        <f>IFERROR(VLOOKUP(D1839,MANO_DE_OBRA!A:B,2,FALSE()),"?")</f>
        <v>ESPECIALIZADO</v>
      </c>
      <c r="F1839" s="44" t="s">
        <v>2778</v>
      </c>
      <c r="G1839" s="45">
        <v>8</v>
      </c>
      <c r="H1839" s="46">
        <v>0</v>
      </c>
      <c r="I1839" s="47">
        <f>IFERROR(VLOOKUP(D1839,MANO_DE_OBRA!A:C,3,FALSE()),0)</f>
        <v>85927.097156571996</v>
      </c>
      <c r="J1839" s="42">
        <f>G1839*I1839</f>
        <v>687416.77725257596</v>
      </c>
      <c r="K1839" s="15" t="str">
        <f t="shared" si="203"/>
        <v>PTO-2404|MO</v>
      </c>
      <c r="L1839" s="15">
        <f>COUNTIFS($K$2:K1839,K1839)</f>
        <v>2</v>
      </c>
      <c r="M1839" s="15" t="str">
        <f t="shared" si="204"/>
        <v>PTO-2404|MO|2</v>
      </c>
      <c r="N1839" s="47">
        <f>IFERROR(VLOOKUP(A1839,PARTIDAS!A:F,6,FALSE()),0)</f>
        <v>1</v>
      </c>
      <c r="O1839" s="247">
        <f t="shared" si="205"/>
        <v>8</v>
      </c>
      <c r="P1839" s="247">
        <f>+_xlfn.XLOOKUP(A1839,PPTO_GENERADOR!Q:Q,PPTO_GENERADOR!E:E,"-",0)</f>
        <v>1</v>
      </c>
      <c r="Q1839" s="247">
        <f t="shared" si="206"/>
        <v>8</v>
      </c>
      <c r="R1839" s="259">
        <f>+_xlfn.XLOOKUP(A1839,PPTO_GENERADOR!$Q:$Q,PPTO_GENERADOR!A:A,"-",0)</f>
        <v>24.04</v>
      </c>
    </row>
    <row r="1840" spans="1:18" ht="14.25" customHeight="1" x14ac:dyDescent="0.35">
      <c r="A1840" s="38" t="s">
        <v>384</v>
      </c>
      <c r="B1840" s="38" t="s">
        <v>2776</v>
      </c>
      <c r="C1840" s="38" t="s">
        <v>2777</v>
      </c>
      <c r="D1840" s="237" t="s">
        <v>1571</v>
      </c>
      <c r="E1840" s="44" t="str">
        <f>IFERROR(VLOOKUP(D1840,MANO_DE_OBRA!A:B,2,FALSE()),"?")</f>
        <v>OFICIAL</v>
      </c>
      <c r="F1840" s="44" t="s">
        <v>2778</v>
      </c>
      <c r="G1840" s="45">
        <v>12</v>
      </c>
      <c r="H1840" s="46">
        <v>0</v>
      </c>
      <c r="I1840" s="47">
        <f>IFERROR(VLOOKUP(D1840,MANO_DE_OBRA!A:C,3,FALSE()),0)</f>
        <v>76955.079706571996</v>
      </c>
      <c r="J1840" s="42">
        <f>G1840*I1840</f>
        <v>923460.95647886395</v>
      </c>
      <c r="K1840" s="15" t="str">
        <f t="shared" si="203"/>
        <v>PTO-2404|MO</v>
      </c>
      <c r="L1840" s="15">
        <f>COUNTIFS($K$2:K1840,K1840)</f>
        <v>3</v>
      </c>
      <c r="M1840" s="15" t="str">
        <f t="shared" si="204"/>
        <v>PTO-2404|MO|3</v>
      </c>
      <c r="N1840" s="47">
        <f>IFERROR(VLOOKUP(A1840,PARTIDAS!A:F,6,FALSE()),0)</f>
        <v>1</v>
      </c>
      <c r="O1840" s="247">
        <f t="shared" si="205"/>
        <v>12</v>
      </c>
      <c r="P1840" s="247">
        <f>+_xlfn.XLOOKUP(A1840,PPTO_GENERADOR!Q:Q,PPTO_GENERADOR!E:E,"-",0)</f>
        <v>1</v>
      </c>
      <c r="Q1840" s="247">
        <f t="shared" si="206"/>
        <v>12</v>
      </c>
      <c r="R1840" s="259">
        <f>+_xlfn.XLOOKUP(A1840,PPTO_GENERADOR!$Q:$Q,PPTO_GENERADOR!A:A,"-",0)</f>
        <v>24.04</v>
      </c>
    </row>
    <row r="1841" spans="1:18" ht="14.25" customHeight="1" x14ac:dyDescent="0.35">
      <c r="A1841" s="38" t="s">
        <v>386</v>
      </c>
      <c r="B1841" s="38" t="s">
        <v>2773</v>
      </c>
      <c r="C1841" s="38"/>
      <c r="D1841" s="38" t="s">
        <v>2007</v>
      </c>
      <c r="E1841" s="44" t="str">
        <f>IFERROR(VLOOKUP(D1841,EQUIPOS!A:B,2,FALSE()),"?")</f>
        <v>Herramientas menores y consumibles - Ayuda de gremios</v>
      </c>
      <c r="F1841" s="44"/>
      <c r="G1841" s="45">
        <v>1</v>
      </c>
      <c r="H1841" s="46">
        <v>0</v>
      </c>
      <c r="I1841" s="47">
        <f>IFERROR(VLOOKUP(D1841,EQUIPOS!A:F,6,FALSE()),0)</f>
        <v>9690.4308566872205</v>
      </c>
      <c r="J1841" s="42">
        <f>G1841*I1841</f>
        <v>9690.4308566872205</v>
      </c>
      <c r="K1841" s="15" t="str">
        <f t="shared" si="203"/>
        <v>PTO-2405|EQ</v>
      </c>
      <c r="L1841" s="15">
        <f>COUNTIFS($K$2:K1841,K1841)</f>
        <v>1</v>
      </c>
      <c r="M1841" s="15" t="str">
        <f t="shared" si="204"/>
        <v>PTO-2405|EQ|1</v>
      </c>
      <c r="N1841" s="47">
        <f>IFERROR(VLOOKUP(A1841,PARTIDAS!A:F,6,FALSE()),0)</f>
        <v>1</v>
      </c>
      <c r="O1841" s="247">
        <f t="shared" si="205"/>
        <v>1</v>
      </c>
      <c r="P1841" s="247">
        <f>+_xlfn.XLOOKUP(A1841,PPTO_GENERADOR!Q:Q,PPTO_GENERADOR!E:E,"-",0)</f>
        <v>17</v>
      </c>
      <c r="Q1841" s="247">
        <f t="shared" si="206"/>
        <v>17</v>
      </c>
      <c r="R1841" s="259">
        <f>+_xlfn.XLOOKUP(A1841,PPTO_GENERADOR!$Q:$Q,PPTO_GENERADOR!A:A,"-",0)</f>
        <v>24.05</v>
      </c>
    </row>
    <row r="1842" spans="1:18" ht="14.25" customHeight="1" x14ac:dyDescent="0.35">
      <c r="A1842" s="38" t="s">
        <v>386</v>
      </c>
      <c r="B1842" s="38" t="s">
        <v>2774</v>
      </c>
      <c r="C1842" s="38" t="s">
        <v>2779</v>
      </c>
      <c r="D1842" s="38" t="s">
        <v>1349</v>
      </c>
      <c r="E1842" s="44" t="str">
        <f>IFERROR(VLOOKUP(D1842,MATERIALES!A:B,2,FALSE()),"?")</f>
        <v xml:space="preserve">Mat. </v>
      </c>
      <c r="F1842" s="44" t="str">
        <f>IFERROR(VLOOKUP(D1842,MATERIALES!A:C,3,FALSE()),"?")</f>
        <v>mes</v>
      </c>
      <c r="G1842" s="45">
        <v>1</v>
      </c>
      <c r="H1842" s="46">
        <v>0</v>
      </c>
      <c r="I1842" s="47">
        <f>IFERROR(VLOOKUP(D1842,MATERIALES!A:D,4,FALSE()),0)</f>
        <v>50000</v>
      </c>
      <c r="J1842" s="42">
        <f>G1842*I1842*(1+H1842)</f>
        <v>50000</v>
      </c>
      <c r="K1842" s="15" t="str">
        <f t="shared" si="203"/>
        <v>PTO-2405|MAT</v>
      </c>
      <c r="L1842" s="15">
        <f>COUNTIFS($K$2:K1842,K1842)</f>
        <v>1</v>
      </c>
      <c r="M1842" s="15" t="str">
        <f t="shared" si="204"/>
        <v>PTO-2405|MAT|1</v>
      </c>
      <c r="N1842" s="47">
        <f>IFERROR(VLOOKUP(A1842,PARTIDAS!A:F,6,FALSE()),0)</f>
        <v>1</v>
      </c>
      <c r="O1842" s="247">
        <f t="shared" si="205"/>
        <v>1</v>
      </c>
      <c r="P1842" s="247">
        <f>+_xlfn.XLOOKUP(A1842,PPTO_GENERADOR!Q:Q,PPTO_GENERADOR!E:E,"-",0)</f>
        <v>17</v>
      </c>
      <c r="Q1842" s="247">
        <f t="shared" si="206"/>
        <v>17</v>
      </c>
      <c r="R1842" s="259">
        <f>+_xlfn.XLOOKUP(A1842,PPTO_GENERADOR!$Q:$Q,PPTO_GENERADOR!A:A,"-",0)</f>
        <v>24.05</v>
      </c>
    </row>
    <row r="1843" spans="1:18" ht="14.25" customHeight="1" x14ac:dyDescent="0.35">
      <c r="A1843" s="38" t="s">
        <v>386</v>
      </c>
      <c r="B1843" s="38" t="s">
        <v>2776</v>
      </c>
      <c r="C1843" s="38" t="s">
        <v>2777</v>
      </c>
      <c r="D1843" s="38" t="s">
        <v>1577</v>
      </c>
      <c r="E1843" s="44" t="str">
        <f>IFERROR(VLOOKUP(D1843,MANO_DE_OBRA!A:B,2,FALSE()),"?")</f>
        <v>AYUDANTE</v>
      </c>
      <c r="F1843" s="44" t="s">
        <v>2778</v>
      </c>
      <c r="G1843" s="45">
        <v>6</v>
      </c>
      <c r="H1843" s="46">
        <v>0</v>
      </c>
      <c r="I1843" s="47">
        <f>IFERROR(VLOOKUP(D1843,MANO_DE_OBRA!A:C,3,FALSE()),0)</f>
        <v>60860.580776572002</v>
      </c>
      <c r="J1843" s="42">
        <f>G1843*I1843</f>
        <v>365163.48465943203</v>
      </c>
      <c r="K1843" s="15" t="str">
        <f t="shared" si="203"/>
        <v>PTO-2405|MO</v>
      </c>
      <c r="L1843" s="15">
        <f>COUNTIFS($K$2:K1843,K1843)</f>
        <v>1</v>
      </c>
      <c r="M1843" s="15" t="str">
        <f t="shared" si="204"/>
        <v>PTO-2405|MO|1</v>
      </c>
      <c r="N1843" s="47">
        <f>IFERROR(VLOOKUP(A1843,PARTIDAS!A:F,6,FALSE()),0)</f>
        <v>1</v>
      </c>
      <c r="O1843" s="247">
        <f t="shared" si="205"/>
        <v>6</v>
      </c>
      <c r="P1843" s="247">
        <f>+_xlfn.XLOOKUP(A1843,PPTO_GENERADOR!Q:Q,PPTO_GENERADOR!E:E,"-",0)</f>
        <v>17</v>
      </c>
      <c r="Q1843" s="247">
        <f t="shared" si="206"/>
        <v>102</v>
      </c>
      <c r="R1843" s="259">
        <f>+_xlfn.XLOOKUP(A1843,PPTO_GENERADOR!$Q:$Q,PPTO_GENERADOR!A:A,"-",0)</f>
        <v>24.05</v>
      </c>
    </row>
    <row r="1844" spans="1:18" ht="14.25" customHeight="1" x14ac:dyDescent="0.35">
      <c r="A1844" s="38" t="s">
        <v>386</v>
      </c>
      <c r="B1844" s="38" t="s">
        <v>2776</v>
      </c>
      <c r="C1844" s="38" t="s">
        <v>2777</v>
      </c>
      <c r="D1844" s="237" t="s">
        <v>1571</v>
      </c>
      <c r="E1844" s="44" t="str">
        <f>IFERROR(VLOOKUP(D1844,MANO_DE_OBRA!A:B,2,FALSE()),"?")</f>
        <v>OFICIAL</v>
      </c>
      <c r="F1844" s="44" t="s">
        <v>2778</v>
      </c>
      <c r="G1844" s="45">
        <v>3</v>
      </c>
      <c r="H1844" s="46">
        <v>0</v>
      </c>
      <c r="I1844" s="47">
        <f>IFERROR(VLOOKUP(D1844,MANO_DE_OBRA!A:C,3,FALSE()),0)</f>
        <v>76955.079706571996</v>
      </c>
      <c r="J1844" s="42">
        <f>G1844*I1844</f>
        <v>230865.23911971599</v>
      </c>
      <c r="K1844" s="15" t="str">
        <f t="shared" si="203"/>
        <v>PTO-2405|MO</v>
      </c>
      <c r="L1844" s="15">
        <f>COUNTIFS($K$2:K1844,K1844)</f>
        <v>2</v>
      </c>
      <c r="M1844" s="15" t="str">
        <f t="shared" si="204"/>
        <v>PTO-2405|MO|2</v>
      </c>
      <c r="N1844" s="47">
        <f>IFERROR(VLOOKUP(A1844,PARTIDAS!A:F,6,FALSE()),0)</f>
        <v>1</v>
      </c>
      <c r="O1844" s="247">
        <f t="shared" si="205"/>
        <v>3</v>
      </c>
      <c r="P1844" s="247">
        <f>+_xlfn.XLOOKUP(A1844,PPTO_GENERADOR!Q:Q,PPTO_GENERADOR!E:E,"-",0)</f>
        <v>17</v>
      </c>
      <c r="Q1844" s="247">
        <f t="shared" si="206"/>
        <v>51</v>
      </c>
      <c r="R1844" s="259">
        <f>+_xlfn.XLOOKUP(A1844,PPTO_GENERADOR!$Q:$Q,PPTO_GENERADOR!A:A,"-",0)</f>
        <v>24.05</v>
      </c>
    </row>
    <row r="1845" spans="1:18" ht="14.25" customHeight="1" x14ac:dyDescent="0.35">
      <c r="A1845" s="38" t="s">
        <v>388</v>
      </c>
      <c r="B1845" s="38" t="s">
        <v>2773</v>
      </c>
      <c r="C1845" s="38"/>
      <c r="D1845" s="38" t="s">
        <v>2010</v>
      </c>
      <c r="E1845" s="44" t="str">
        <f>IFERROR(VLOOKUP(D1845,EQUIPOS!A:B,2,FALSE()),"?")</f>
        <v xml:space="preserve">Herramientas menores y consumibles - Limpieza periodica </v>
      </c>
      <c r="F1845" s="44"/>
      <c r="G1845" s="45">
        <v>1</v>
      </c>
      <c r="H1845" s="46">
        <v>0</v>
      </c>
      <c r="I1845" s="47">
        <f>IFERROR(VLOOKUP(D1845,EQUIPOS!A:F,6,FALSE()),0)</f>
        <v>6400.1974968806198</v>
      </c>
      <c r="J1845" s="42">
        <f>G1845*I1845</f>
        <v>6400.1974968806198</v>
      </c>
      <c r="K1845" s="15" t="str">
        <f t="shared" si="203"/>
        <v>PTO-2406|EQ</v>
      </c>
      <c r="L1845" s="15">
        <f>COUNTIFS($K$2:K1845,K1845)</f>
        <v>1</v>
      </c>
      <c r="M1845" s="15" t="str">
        <f t="shared" si="204"/>
        <v>PTO-2406|EQ|1</v>
      </c>
      <c r="N1845" s="47">
        <f>IFERROR(VLOOKUP(A1845,PARTIDAS!A:F,6,FALSE()),0)</f>
        <v>1</v>
      </c>
      <c r="O1845" s="247">
        <f t="shared" si="205"/>
        <v>1</v>
      </c>
      <c r="P1845" s="247">
        <f>+_xlfn.XLOOKUP(A1845,PPTO_GENERADOR!Q:Q,PPTO_GENERADOR!E:E,"-",0)</f>
        <v>17</v>
      </c>
      <c r="Q1845" s="247">
        <f t="shared" si="206"/>
        <v>17</v>
      </c>
      <c r="R1845" s="259">
        <f>+_xlfn.XLOOKUP(A1845,PPTO_GENERADOR!$Q:$Q,PPTO_GENERADOR!A:A,"-",0)</f>
        <v>24.06</v>
      </c>
    </row>
    <row r="1846" spans="1:18" ht="14.25" customHeight="1" x14ac:dyDescent="0.35">
      <c r="A1846" s="38" t="s">
        <v>388</v>
      </c>
      <c r="B1846" s="38" t="s">
        <v>2774</v>
      </c>
      <c r="C1846" s="38" t="s">
        <v>2779</v>
      </c>
      <c r="D1846" s="38" t="s">
        <v>1349</v>
      </c>
      <c r="E1846" s="44" t="str">
        <f>IFERROR(VLOOKUP(D1846,MATERIALES!A:B,2,FALSE()),"?")</f>
        <v xml:space="preserve">Mat. </v>
      </c>
      <c r="F1846" s="44" t="str">
        <f>IFERROR(VLOOKUP(D1846,MATERIALES!A:C,3,FALSE()),"?")</f>
        <v>mes</v>
      </c>
      <c r="G1846" s="45">
        <v>0.5</v>
      </c>
      <c r="H1846" s="46">
        <v>0</v>
      </c>
      <c r="I1846" s="47">
        <f>IFERROR(VLOOKUP(D1846,MATERIALES!A:D,4,FALSE()),0)</f>
        <v>50000</v>
      </c>
      <c r="J1846" s="42">
        <f>G1846*I1846*(1+H1846)</f>
        <v>25000</v>
      </c>
      <c r="K1846" s="15" t="str">
        <f t="shared" si="203"/>
        <v>PTO-2406|MAT</v>
      </c>
      <c r="L1846" s="15">
        <f>COUNTIFS($K$2:K1846,K1846)</f>
        <v>1</v>
      </c>
      <c r="M1846" s="15" t="str">
        <f t="shared" si="204"/>
        <v>PTO-2406|MAT|1</v>
      </c>
      <c r="N1846" s="47">
        <f>IFERROR(VLOOKUP(A1846,PARTIDAS!A:F,6,FALSE()),0)</f>
        <v>1</v>
      </c>
      <c r="O1846" s="247">
        <f t="shared" si="205"/>
        <v>0.5</v>
      </c>
      <c r="P1846" s="247">
        <f>+_xlfn.XLOOKUP(A1846,PPTO_GENERADOR!Q:Q,PPTO_GENERADOR!E:E,"-",0)</f>
        <v>17</v>
      </c>
      <c r="Q1846" s="247">
        <f t="shared" si="206"/>
        <v>8.5</v>
      </c>
      <c r="R1846" s="259">
        <f>+_xlfn.XLOOKUP(A1846,PPTO_GENERADOR!$Q:$Q,PPTO_GENERADOR!A:A,"-",0)</f>
        <v>24.06</v>
      </c>
    </row>
    <row r="1847" spans="1:18" ht="14.25" customHeight="1" x14ac:dyDescent="0.35">
      <c r="A1847" s="38" t="s">
        <v>388</v>
      </c>
      <c r="B1847" s="38" t="s">
        <v>2776</v>
      </c>
      <c r="C1847" s="38" t="s">
        <v>2777</v>
      </c>
      <c r="D1847" s="38" t="s">
        <v>1577</v>
      </c>
      <c r="E1847" s="44" t="str">
        <f>IFERROR(VLOOKUP(D1847,MANO_DE_OBRA!A:B,2,FALSE()),"?")</f>
        <v>AYUDANTE</v>
      </c>
      <c r="F1847" s="44" t="s">
        <v>2778</v>
      </c>
      <c r="G1847" s="45">
        <v>6.6</v>
      </c>
      <c r="H1847" s="46">
        <v>0</v>
      </c>
      <c r="I1847" s="47">
        <f>IFERROR(VLOOKUP(D1847,MANO_DE_OBRA!A:C,3,FALSE()),0)</f>
        <v>60860.580776572002</v>
      </c>
      <c r="J1847" s="42">
        <f>G1847*I1847</f>
        <v>401679.83312537521</v>
      </c>
      <c r="K1847" s="15" t="str">
        <f t="shared" si="203"/>
        <v>PTO-2406|MO</v>
      </c>
      <c r="L1847" s="15">
        <f>COUNTIFS($K$2:K1847,K1847)</f>
        <v>1</v>
      </c>
      <c r="M1847" s="15" t="str">
        <f t="shared" si="204"/>
        <v>PTO-2406|MO|1</v>
      </c>
      <c r="N1847" s="47">
        <f>IFERROR(VLOOKUP(A1847,PARTIDAS!A:F,6,FALSE()),0)</f>
        <v>1</v>
      </c>
      <c r="O1847" s="247">
        <f t="shared" si="205"/>
        <v>6.6</v>
      </c>
      <c r="P1847" s="247">
        <f>+_xlfn.XLOOKUP(A1847,PPTO_GENERADOR!Q:Q,PPTO_GENERADOR!E:E,"-",0)</f>
        <v>17</v>
      </c>
      <c r="Q1847" s="247">
        <f t="shared" si="206"/>
        <v>112.19999999999999</v>
      </c>
      <c r="R1847" s="259">
        <f>+_xlfn.XLOOKUP(A1847,PPTO_GENERADOR!$Q:$Q,PPTO_GENERADOR!A:A,"-",0)</f>
        <v>24.06</v>
      </c>
    </row>
    <row r="1848" spans="1:18" ht="14.25" customHeight="1" x14ac:dyDescent="0.35">
      <c r="A1848" s="38" t="s">
        <v>390</v>
      </c>
      <c r="B1848" s="38" t="s">
        <v>2773</v>
      </c>
      <c r="C1848" s="38"/>
      <c r="D1848" s="38" t="s">
        <v>2013</v>
      </c>
      <c r="E1848" s="44" t="str">
        <f>IFERROR(VLOOKUP(D1848,EQUIPOS!A:B,2,FALSE()),"?")</f>
        <v>Herramientas menores y consumibles - Limpieza final de Obra</v>
      </c>
      <c r="F1848" s="44"/>
      <c r="G1848" s="45">
        <v>1</v>
      </c>
      <c r="H1848" s="46">
        <v>0</v>
      </c>
      <c r="I1848" s="47">
        <f>IFERROR(VLOOKUP(D1848,EQUIPOS!A:F,6,FALSE()),0)</f>
        <v>58524.5226989148</v>
      </c>
      <c r="J1848" s="42">
        <f>G1848*I1848</f>
        <v>58524.5226989148</v>
      </c>
      <c r="K1848" s="15" t="str">
        <f t="shared" si="203"/>
        <v>PTO-2407|EQ</v>
      </c>
      <c r="L1848" s="15">
        <f>COUNTIFS($K$2:K1848,K1848)</f>
        <v>1</v>
      </c>
      <c r="M1848" s="15" t="str">
        <f t="shared" si="204"/>
        <v>PTO-2407|EQ|1</v>
      </c>
      <c r="N1848" s="47">
        <f>IFERROR(VLOOKUP(A1848,PARTIDAS!A:F,6,FALSE()),0)</f>
        <v>1</v>
      </c>
      <c r="O1848" s="247">
        <f t="shared" si="205"/>
        <v>1</v>
      </c>
      <c r="P1848" s="247">
        <f>+_xlfn.XLOOKUP(A1848,PPTO_GENERADOR!Q:Q,PPTO_GENERADOR!E:E,"-",0)</f>
        <v>1</v>
      </c>
      <c r="Q1848" s="247">
        <f t="shared" si="206"/>
        <v>1</v>
      </c>
      <c r="R1848" s="259">
        <f>+_xlfn.XLOOKUP(A1848,PPTO_GENERADOR!$Q:$Q,PPTO_GENERADOR!A:A,"-",0)</f>
        <v>24.07</v>
      </c>
    </row>
    <row r="1849" spans="1:18" ht="14.25" customHeight="1" x14ac:dyDescent="0.35">
      <c r="A1849" s="38" t="s">
        <v>390</v>
      </c>
      <c r="B1849" s="38" t="s">
        <v>2774</v>
      </c>
      <c r="C1849" s="38" t="s">
        <v>2775</v>
      </c>
      <c r="D1849" s="38" t="s">
        <v>1349</v>
      </c>
      <c r="E1849" s="44" t="str">
        <f>IFERROR(VLOOKUP(D1849,MATERIALES!A:B,2,FALSE()),"?")</f>
        <v xml:space="preserve">Mat. </v>
      </c>
      <c r="F1849" s="44" t="str">
        <f>IFERROR(VLOOKUP(D1849,MATERIALES!A:C,3,FALSE()),"?")</f>
        <v>mes</v>
      </c>
      <c r="G1849" s="45">
        <v>5</v>
      </c>
      <c r="H1849" s="46">
        <v>0</v>
      </c>
      <c r="I1849" s="47">
        <f>IFERROR(VLOOKUP(D1849,MATERIALES!A:D,4,FALSE()),0)</f>
        <v>50000</v>
      </c>
      <c r="J1849" s="42">
        <f>G1849*I1849*(1+H1849)</f>
        <v>250000</v>
      </c>
      <c r="K1849" s="15" t="str">
        <f t="shared" si="203"/>
        <v>PTO-2407|MAT</v>
      </c>
      <c r="L1849" s="15">
        <f>COUNTIFS($K$2:K1849,K1849)</f>
        <v>1</v>
      </c>
      <c r="M1849" s="15" t="str">
        <f t="shared" si="204"/>
        <v>PTO-2407|MAT|1</v>
      </c>
      <c r="N1849" s="47">
        <f>IFERROR(VLOOKUP(A1849,PARTIDAS!A:F,6,FALSE()),0)</f>
        <v>1</v>
      </c>
      <c r="O1849" s="247">
        <f t="shared" si="205"/>
        <v>5</v>
      </c>
      <c r="P1849" s="247">
        <f>+_xlfn.XLOOKUP(A1849,PPTO_GENERADOR!Q:Q,PPTO_GENERADOR!E:E,"-",0)</f>
        <v>1</v>
      </c>
      <c r="Q1849" s="247">
        <f t="shared" si="206"/>
        <v>5</v>
      </c>
      <c r="R1849" s="259">
        <f>+_xlfn.XLOOKUP(A1849,PPTO_GENERADOR!$Q:$Q,PPTO_GENERADOR!A:A,"-",0)</f>
        <v>24.07</v>
      </c>
    </row>
    <row r="1850" spans="1:18" ht="14.25" customHeight="1" x14ac:dyDescent="0.35">
      <c r="A1850" s="38" t="s">
        <v>390</v>
      </c>
      <c r="B1850" s="38" t="s">
        <v>2776</v>
      </c>
      <c r="C1850" s="38" t="s">
        <v>2777</v>
      </c>
      <c r="D1850" s="38" t="s">
        <v>1577</v>
      </c>
      <c r="E1850" s="44" t="str">
        <f>IFERROR(VLOOKUP(D1850,MANO_DE_OBRA!A:B,2,FALSE()),"?")</f>
        <v>AYUDANTE</v>
      </c>
      <c r="F1850" s="44" t="s">
        <v>2778</v>
      </c>
      <c r="G1850" s="45">
        <v>60</v>
      </c>
      <c r="H1850" s="46">
        <v>0</v>
      </c>
      <c r="I1850" s="47">
        <f>IFERROR(VLOOKUP(D1850,MANO_DE_OBRA!A:C,3,FALSE()),0)</f>
        <v>60860.580776572002</v>
      </c>
      <c r="J1850" s="42">
        <f>G1850*I1850</f>
        <v>3651634.8465943201</v>
      </c>
      <c r="K1850" s="15" t="str">
        <f t="shared" si="203"/>
        <v>PTO-2407|MO</v>
      </c>
      <c r="L1850" s="15">
        <f>COUNTIFS($K$2:K1850,K1850)</f>
        <v>1</v>
      </c>
      <c r="M1850" s="15" t="str">
        <f t="shared" si="204"/>
        <v>PTO-2407|MO|1</v>
      </c>
      <c r="N1850" s="47">
        <f>IFERROR(VLOOKUP(A1850,PARTIDAS!A:F,6,FALSE()),0)</f>
        <v>1</v>
      </c>
      <c r="O1850" s="247">
        <f t="shared" si="205"/>
        <v>60</v>
      </c>
      <c r="P1850" s="247">
        <f>+_xlfn.XLOOKUP(A1850,PPTO_GENERADOR!Q:Q,PPTO_GENERADOR!E:E,"-",0)</f>
        <v>1</v>
      </c>
      <c r="Q1850" s="247">
        <f t="shared" si="206"/>
        <v>60</v>
      </c>
      <c r="R1850" s="259">
        <f>+_xlfn.XLOOKUP(A1850,PPTO_GENERADOR!$Q:$Q,PPTO_GENERADOR!A:A,"-",0)</f>
        <v>24.07</v>
      </c>
    </row>
    <row r="1851" spans="1:18" ht="14.25" customHeight="1" x14ac:dyDescent="0.35">
      <c r="A1851" s="38" t="s">
        <v>392</v>
      </c>
      <c r="B1851" s="38" t="s">
        <v>2776</v>
      </c>
      <c r="C1851" s="38" t="s">
        <v>2775</v>
      </c>
      <c r="D1851" s="38" t="s">
        <v>2389</v>
      </c>
      <c r="E1851" s="44" t="str">
        <f>IFERROR(VLOOKUP(D1851,SUBCONTRATOS_PRY!A:B,2,FALSE()),"?")</f>
        <v>MO Fletes</v>
      </c>
      <c r="F1851" s="44" t="s">
        <v>2778</v>
      </c>
      <c r="G1851" s="45">
        <v>1</v>
      </c>
      <c r="H1851" s="46">
        <v>0</v>
      </c>
      <c r="I1851" s="47">
        <f>IFERROR(VLOOKUP(D1851,SUBCONTRATOS_PRY!A:D,4,FALSE()),0)</f>
        <v>300000</v>
      </c>
      <c r="J1851" s="42">
        <f>G1851*I1851</f>
        <v>300000</v>
      </c>
      <c r="K1851" s="15" t="str">
        <f t="shared" si="203"/>
        <v>PTO-2408|MO</v>
      </c>
      <c r="L1851" s="15">
        <f>COUNTIFS($K$2:K1851,K1851)</f>
        <v>1</v>
      </c>
      <c r="M1851" s="15" t="str">
        <f t="shared" si="204"/>
        <v>PTO-2408|MO|1</v>
      </c>
      <c r="N1851" s="47">
        <f>IFERROR(VLOOKUP(A1851,PARTIDAS!A:F,6,FALSE()),0)</f>
        <v>1</v>
      </c>
      <c r="O1851" s="247">
        <f t="shared" si="205"/>
        <v>1</v>
      </c>
      <c r="P1851" s="247">
        <f>+_xlfn.XLOOKUP(A1851,PPTO_GENERADOR!Q:Q,PPTO_GENERADOR!E:E,"-",0)</f>
        <v>17</v>
      </c>
      <c r="Q1851" s="247">
        <f t="shared" si="206"/>
        <v>17</v>
      </c>
      <c r="R1851" s="259">
        <f>+_xlfn.XLOOKUP(A1851,PPTO_GENERADOR!$Q:$Q,PPTO_GENERADOR!A:A,"-",0)</f>
        <v>24.08</v>
      </c>
    </row>
    <row r="1852" spans="1:18" ht="14.25" customHeight="1" x14ac:dyDescent="0.35">
      <c r="A1852" s="38" t="s">
        <v>394</v>
      </c>
      <c r="B1852" s="38" t="s">
        <v>2774</v>
      </c>
      <c r="C1852" s="38" t="s">
        <v>2775</v>
      </c>
      <c r="D1852" s="38" t="s">
        <v>1150</v>
      </c>
      <c r="E1852" s="44" t="str">
        <f>IFERROR(VLOOKUP(D1852,MATERIALES!A:B,2,FALSE()),"?")</f>
        <v>Volquetes</v>
      </c>
      <c r="F1852" s="44" t="str">
        <f>IFERROR(VLOOKUP(D1852,MATERIALES!A:C,3,FALSE()),"?")</f>
        <v>u</v>
      </c>
      <c r="G1852" s="45">
        <v>2</v>
      </c>
      <c r="H1852" s="46">
        <v>0</v>
      </c>
      <c r="I1852" s="47">
        <f>IFERROR(VLOOKUP(D1852,MATERIALES!A:D,4,FALSE()),0)</f>
        <v>100000</v>
      </c>
      <c r="J1852" s="42">
        <f>G1852*I1852*(1+H1852)</f>
        <v>200000</v>
      </c>
      <c r="K1852" s="15" t="str">
        <f t="shared" si="203"/>
        <v>PTO-2409|MAT</v>
      </c>
      <c r="L1852" s="15">
        <f>COUNTIFS($K$2:K1852,K1852)</f>
        <v>1</v>
      </c>
      <c r="M1852" s="15" t="str">
        <f t="shared" si="204"/>
        <v>PTO-2409|MAT|1</v>
      </c>
      <c r="N1852" s="47">
        <f>IFERROR(VLOOKUP(A1852,PARTIDAS!A:F,6,FALSE()),0)</f>
        <v>1</v>
      </c>
      <c r="O1852" s="247">
        <f t="shared" si="205"/>
        <v>2</v>
      </c>
      <c r="P1852" s="247">
        <f>+_xlfn.XLOOKUP(A1852,PPTO_GENERADOR!Q:Q,PPTO_GENERADOR!E:E,"-",0)</f>
        <v>17</v>
      </c>
      <c r="Q1852" s="247">
        <f t="shared" si="206"/>
        <v>34</v>
      </c>
      <c r="R1852" s="259">
        <f>+_xlfn.XLOOKUP(A1852,PPTO_GENERADOR!$Q:$Q,PPTO_GENERADOR!A:A,"-",0)</f>
        <v>24.09</v>
      </c>
    </row>
    <row r="1853" spans="1:18" ht="14.25" customHeight="1" x14ac:dyDescent="0.35">
      <c r="A1853" s="38" t="s">
        <v>394</v>
      </c>
      <c r="B1853" s="38" t="s">
        <v>2776</v>
      </c>
      <c r="C1853" s="38" t="s">
        <v>2775</v>
      </c>
      <c r="D1853" s="38" t="s">
        <v>2392</v>
      </c>
      <c r="E1853" s="44" t="str">
        <f>IFERROR(VLOOKUP(D1853,SUBCONTRATOS_PRY!A:B,2,FALSE()),"?")</f>
        <v>MO Volquetes</v>
      </c>
      <c r="F1853" s="44" t="s">
        <v>2778</v>
      </c>
      <c r="G1853" s="45">
        <v>1</v>
      </c>
      <c r="H1853" s="46">
        <v>0</v>
      </c>
      <c r="I1853" s="47">
        <f>IFERROR(VLOOKUP(D1853,SUBCONTRATOS_PRY!A:D,4,FALSE()),0)</f>
        <v>60860.580776572002</v>
      </c>
      <c r="J1853" s="42">
        <f t="shared" ref="J1853:J1858" si="210">G1853*I1853</f>
        <v>60860.580776572002</v>
      </c>
      <c r="K1853" s="15" t="str">
        <f t="shared" si="203"/>
        <v>PTO-2409|MO</v>
      </c>
      <c r="L1853" s="15">
        <f>COUNTIFS($K$2:K1853,K1853)</f>
        <v>1</v>
      </c>
      <c r="M1853" s="15" t="str">
        <f t="shared" si="204"/>
        <v>PTO-2409|MO|1</v>
      </c>
      <c r="N1853" s="47">
        <f>IFERROR(VLOOKUP(A1853,PARTIDAS!A:F,6,FALSE()),0)</f>
        <v>1</v>
      </c>
      <c r="O1853" s="247">
        <f t="shared" si="205"/>
        <v>1</v>
      </c>
      <c r="P1853" s="247">
        <f>+_xlfn.XLOOKUP(A1853,PPTO_GENERADOR!Q:Q,PPTO_GENERADOR!E:E,"-",0)</f>
        <v>17</v>
      </c>
      <c r="Q1853" s="247">
        <f t="shared" si="206"/>
        <v>17</v>
      </c>
      <c r="R1853" s="259">
        <f>+_xlfn.XLOOKUP(A1853,PPTO_GENERADOR!$Q:$Q,PPTO_GENERADOR!A:A,"-",0)</f>
        <v>24.09</v>
      </c>
    </row>
    <row r="1854" spans="1:18" ht="14.25" customHeight="1" x14ac:dyDescent="0.35">
      <c r="A1854" s="38" t="s">
        <v>396</v>
      </c>
      <c r="B1854" s="38" t="s">
        <v>2776</v>
      </c>
      <c r="C1854" s="38" t="s">
        <v>2775</v>
      </c>
      <c r="D1854" s="38" t="s">
        <v>2395</v>
      </c>
      <c r="E1854" s="44" t="str">
        <f>IFERROR(VLOOKUP(D1854,SUBCONTRATOS_PRY!A:B,2,FALSE()),"?")</f>
        <v>MO Supervisión profesional de Obra</v>
      </c>
      <c r="F1854" s="44" t="s">
        <v>2778</v>
      </c>
      <c r="G1854" s="45">
        <v>1</v>
      </c>
      <c r="H1854" s="46">
        <v>0</v>
      </c>
      <c r="I1854" s="47">
        <f>IFERROR(VLOOKUP(D1854,SUBCONTRATOS_PRY!A:D,4,FALSE()),0)</f>
        <v>4372210.5820000004</v>
      </c>
      <c r="J1854" s="42">
        <f t="shared" si="210"/>
        <v>4372210.5820000004</v>
      </c>
      <c r="K1854" s="15" t="str">
        <f t="shared" si="203"/>
        <v>PTO-2501|MO</v>
      </c>
      <c r="L1854" s="15">
        <f>COUNTIFS($K$2:K1854,K1854)</f>
        <v>1</v>
      </c>
      <c r="M1854" s="15" t="str">
        <f t="shared" si="204"/>
        <v>PTO-2501|MO|1</v>
      </c>
      <c r="N1854" s="47">
        <f>IFERROR(VLOOKUP(A1854,PARTIDAS!A:F,6,FALSE()),0)</f>
        <v>1</v>
      </c>
      <c r="O1854" s="247">
        <f t="shared" si="205"/>
        <v>1</v>
      </c>
      <c r="P1854" s="247">
        <f>+_xlfn.XLOOKUP(A1854,PPTO_GENERADOR!Q:Q,PPTO_GENERADOR!E:E,"-",0)</f>
        <v>17</v>
      </c>
      <c r="Q1854" s="247">
        <f t="shared" si="206"/>
        <v>17</v>
      </c>
      <c r="R1854" s="259">
        <f>+_xlfn.XLOOKUP(A1854,PPTO_GENERADOR!$Q:$Q,PPTO_GENERADOR!A:A,"-",0)</f>
        <v>25.01</v>
      </c>
    </row>
    <row r="1855" spans="1:18" ht="14.25" customHeight="1" x14ac:dyDescent="0.35">
      <c r="A1855" s="38" t="s">
        <v>398</v>
      </c>
      <c r="B1855" s="38" t="s">
        <v>2776</v>
      </c>
      <c r="C1855" s="38" t="s">
        <v>2775</v>
      </c>
      <c r="D1855" s="38" t="s">
        <v>2398</v>
      </c>
      <c r="E1855" s="44" t="str">
        <f>IFERROR(VLOOKUP(D1855,SUBCONTRATOS_PRY!A:B,2,FALSE()),"?")</f>
        <v>MO Movilidad y viaticos</v>
      </c>
      <c r="F1855" s="44" t="s">
        <v>2778</v>
      </c>
      <c r="G1855" s="45">
        <v>1</v>
      </c>
      <c r="H1855" s="46">
        <v>0</v>
      </c>
      <c r="I1855" s="47">
        <f>IFERROR(VLOOKUP(D1855,SUBCONTRATOS_PRY!A:D,4,FALSE()),0)</f>
        <v>500000</v>
      </c>
      <c r="J1855" s="42">
        <f t="shared" si="210"/>
        <v>500000</v>
      </c>
      <c r="K1855" s="15" t="str">
        <f t="shared" si="203"/>
        <v>PTO-2502|MO</v>
      </c>
      <c r="L1855" s="15">
        <f>COUNTIFS($K$2:K1855,K1855)</f>
        <v>1</v>
      </c>
      <c r="M1855" s="15" t="str">
        <f t="shared" si="204"/>
        <v>PTO-2502|MO|1</v>
      </c>
      <c r="N1855" s="47">
        <f>IFERROR(VLOOKUP(A1855,PARTIDAS!A:F,6,FALSE()),0)</f>
        <v>1</v>
      </c>
      <c r="O1855" s="247">
        <f t="shared" si="205"/>
        <v>1</v>
      </c>
      <c r="P1855" s="247">
        <f>+_xlfn.XLOOKUP(A1855,PPTO_GENERADOR!Q:Q,PPTO_GENERADOR!E:E,"-",0)</f>
        <v>17</v>
      </c>
      <c r="Q1855" s="247">
        <f t="shared" si="206"/>
        <v>17</v>
      </c>
      <c r="R1855" s="259">
        <f>+_xlfn.XLOOKUP(A1855,PPTO_GENERADOR!$Q:$Q,PPTO_GENERADOR!A:A,"-",0)</f>
        <v>25.02</v>
      </c>
    </row>
    <row r="1856" spans="1:18" ht="14.25" customHeight="1" x14ac:dyDescent="0.35">
      <c r="A1856" s="38" t="s">
        <v>2558</v>
      </c>
      <c r="B1856" s="38" t="s">
        <v>2773</v>
      </c>
      <c r="C1856" s="38"/>
      <c r="D1856" s="38" t="s">
        <v>1592</v>
      </c>
      <c r="E1856" s="44" t="str">
        <f>IFERROR(VLOOKUP(D1856,EQUIPOS!A:B,2,FALSE()),"?")</f>
        <v>ANDAMIO TUBULAR DE UNO A TRES CUERPOS</v>
      </c>
      <c r="F1856" s="44"/>
      <c r="G1856" s="45">
        <v>1</v>
      </c>
      <c r="H1856" s="46">
        <v>0</v>
      </c>
      <c r="I1856" s="47">
        <f>IFERROR(VLOOKUP(D1856,EQUIPOS!A:F,6,FALSE()),0)</f>
        <v>571.1794909807611</v>
      </c>
      <c r="J1856" s="42">
        <f t="shared" si="210"/>
        <v>571.1794909807611</v>
      </c>
      <c r="K1856" s="15" t="str">
        <f t="shared" si="203"/>
        <v>REV-072|EQ</v>
      </c>
      <c r="L1856" s="15">
        <f>COUNTIFS($K$2:K1856,K1856)</f>
        <v>1</v>
      </c>
      <c r="M1856" s="15" t="str">
        <f t="shared" si="204"/>
        <v>REV-072|EQ|1</v>
      </c>
      <c r="N1856" s="47">
        <f>IFERROR(VLOOKUP(A1856,PARTIDAS!A:F,6,FALSE()),0)</f>
        <v>35</v>
      </c>
      <c r="O1856" s="247">
        <f t="shared" si="205"/>
        <v>1</v>
      </c>
      <c r="P1856" s="247" t="str">
        <f>+_xlfn.XLOOKUP(A1856,PPTO_GENERADOR!Q:Q,PPTO_GENERADOR!E:E,"-",0)</f>
        <v>-</v>
      </c>
      <c r="Q1856" s="247">
        <f t="shared" si="206"/>
        <v>0</v>
      </c>
      <c r="R1856" s="259" t="str">
        <f>+_xlfn.XLOOKUP(A1856,PPTO_GENERADOR!$Q:$Q,PPTO_GENERADOR!A:A,"-",0)</f>
        <v>-</v>
      </c>
    </row>
    <row r="1857" spans="1:18" ht="14.25" customHeight="1" x14ac:dyDescent="0.35">
      <c r="A1857" s="38" t="s">
        <v>2558</v>
      </c>
      <c r="B1857" s="38" t="s">
        <v>2773</v>
      </c>
      <c r="C1857" s="38"/>
      <c r="D1857" s="38" t="s">
        <v>1595</v>
      </c>
      <c r="E1857" s="44" t="str">
        <f>IFERROR(VLOOKUP(D1857,EQUIPOS!A:B,2,FALSE()),"?")</f>
        <v>EQUIPO DE ALBAÑILERIA, carpetas, ladrillo</v>
      </c>
      <c r="F1857" s="44"/>
      <c r="G1857" s="45">
        <v>1</v>
      </c>
      <c r="H1857" s="46">
        <v>0</v>
      </c>
      <c r="I1857" s="47">
        <f>IFERROR(VLOOKUP(D1857,EQUIPOS!A:F,6,FALSE()),0)</f>
        <v>2287.1357450968057</v>
      </c>
      <c r="J1857" s="42">
        <f t="shared" si="210"/>
        <v>2287.1357450968057</v>
      </c>
      <c r="K1857" s="15" t="str">
        <f t="shared" si="203"/>
        <v>REV-072|EQ</v>
      </c>
      <c r="L1857" s="15">
        <f>COUNTIFS($K$2:K1857,K1857)</f>
        <v>2</v>
      </c>
      <c r="M1857" s="15" t="str">
        <f t="shared" si="204"/>
        <v>REV-072|EQ|2</v>
      </c>
      <c r="N1857" s="47">
        <f>IFERROR(VLOOKUP(A1857,PARTIDAS!A:F,6,FALSE()),0)</f>
        <v>35</v>
      </c>
      <c r="O1857" s="247">
        <f t="shared" si="205"/>
        <v>1</v>
      </c>
      <c r="P1857" s="247" t="str">
        <f>+_xlfn.XLOOKUP(A1857,PPTO_GENERADOR!Q:Q,PPTO_GENERADOR!E:E,"-",0)</f>
        <v>-</v>
      </c>
      <c r="Q1857" s="247">
        <f t="shared" si="206"/>
        <v>0</v>
      </c>
      <c r="R1857" s="259" t="str">
        <f>+_xlfn.XLOOKUP(A1857,PPTO_GENERADOR!$Q:$Q,PPTO_GENERADOR!A:A,"-",0)</f>
        <v>-</v>
      </c>
    </row>
    <row r="1858" spans="1:18" ht="14.25" customHeight="1" x14ac:dyDescent="0.35">
      <c r="A1858" s="38" t="s">
        <v>2558</v>
      </c>
      <c r="B1858" s="38" t="s">
        <v>2773</v>
      </c>
      <c r="C1858" s="38"/>
      <c r="D1858" s="38" t="s">
        <v>1651</v>
      </c>
      <c r="E1858" s="44" t="str">
        <f>IFERROR(VLOOKUP(D1858,EQUIPOS!A:B,2,FALSE()),"?")</f>
        <v>Maquina revocadora Revoque/Yeso - Alq. X mes</v>
      </c>
      <c r="F1858" s="44"/>
      <c r="G1858" s="45">
        <v>1</v>
      </c>
      <c r="H1858" s="46">
        <v>0</v>
      </c>
      <c r="I1858" s="47">
        <f>IFERROR(VLOOKUP(D1858,EQUIPOS!A:F,6,FALSE()),0)</f>
        <v>41000</v>
      </c>
      <c r="J1858" s="42">
        <f t="shared" si="210"/>
        <v>41000</v>
      </c>
      <c r="K1858" s="15" t="str">
        <f t="shared" ref="K1858:K1879" si="211">A1858&amp;"|"&amp;B1858</f>
        <v>REV-072|EQ</v>
      </c>
      <c r="L1858" s="15">
        <f>COUNTIFS($K$2:K1858,K1858)</f>
        <v>3</v>
      </c>
      <c r="M1858" s="15" t="str">
        <f t="shared" ref="M1858:M1879" si="212">K1858&amp;"|"&amp;L1858</f>
        <v>REV-072|EQ|3</v>
      </c>
      <c r="N1858" s="47">
        <f>IFERROR(VLOOKUP(A1858,PARTIDAS!A:F,6,FALSE()),0)</f>
        <v>35</v>
      </c>
      <c r="O1858" s="247">
        <f t="shared" si="205"/>
        <v>1</v>
      </c>
      <c r="P1858" s="247" t="str">
        <f>+_xlfn.XLOOKUP(A1858,PPTO_GENERADOR!Q:Q,PPTO_GENERADOR!E:E,"-",0)</f>
        <v>-</v>
      </c>
      <c r="Q1858" s="247">
        <f t="shared" si="206"/>
        <v>0</v>
      </c>
      <c r="R1858" s="259" t="str">
        <f>+_xlfn.XLOOKUP(A1858,PPTO_GENERADOR!$Q:$Q,PPTO_GENERADOR!A:A,"-",0)</f>
        <v>-</v>
      </c>
    </row>
    <row r="1859" spans="1:18" ht="14.25" customHeight="1" x14ac:dyDescent="0.35">
      <c r="A1859" s="38" t="s">
        <v>2558</v>
      </c>
      <c r="B1859" s="38" t="s">
        <v>2774</v>
      </c>
      <c r="C1859" s="38" t="s">
        <v>2775</v>
      </c>
      <c r="D1859" s="38" t="s">
        <v>588</v>
      </c>
      <c r="E1859" s="44" t="str">
        <f>IFERROR(VLOOKUP(D1859,MATERIALES!A:B,2,FALSE()),"?")</f>
        <v>ARENA LAVADA</v>
      </c>
      <c r="F1859" s="44" t="str">
        <f>IFERROR(VLOOKUP(D1859,MATERIALES!A:C,3,FALSE()),"?")</f>
        <v>m3</v>
      </c>
      <c r="G1859" s="45">
        <v>1.5</v>
      </c>
      <c r="H1859" s="46">
        <v>0.1</v>
      </c>
      <c r="I1859" s="47">
        <f>IFERROR(VLOOKUP(D1859,MATERIALES!A:D,4,FALSE()),0)</f>
        <v>32399.77</v>
      </c>
      <c r="J1859" s="42">
        <f>G1859*I1859*(1+H1859)</f>
        <v>53459.620500000005</v>
      </c>
      <c r="K1859" s="15" t="str">
        <f t="shared" si="211"/>
        <v>REV-072|MAT</v>
      </c>
      <c r="L1859" s="15">
        <f>COUNTIFS($K$2:K1859,K1859)</f>
        <v>1</v>
      </c>
      <c r="M1859" s="15" t="str">
        <f t="shared" si="212"/>
        <v>REV-072|MAT|1</v>
      </c>
      <c r="N1859" s="47">
        <f>IFERROR(VLOOKUP(A1859,PARTIDAS!A:F,6,FALSE()),0)</f>
        <v>35</v>
      </c>
      <c r="O1859" s="247">
        <f t="shared" ref="O1859:O1879" si="213">+IF(C1859="ALB",G1859/N1859,G1859)</f>
        <v>1.5</v>
      </c>
      <c r="P1859" s="247" t="str">
        <f>+_xlfn.XLOOKUP(A1859,PPTO_GENERADOR!Q:Q,PPTO_GENERADOR!E:E,"-",0)</f>
        <v>-</v>
      </c>
      <c r="Q1859" s="247">
        <f t="shared" ref="Q1859:Q1879" si="214">IFERROR(P1859*O1859,0)</f>
        <v>0</v>
      </c>
      <c r="R1859" s="259" t="str">
        <f>+_xlfn.XLOOKUP(A1859,PPTO_GENERADOR!$Q:$Q,PPTO_GENERADOR!A:A,"-",0)</f>
        <v>-</v>
      </c>
    </row>
    <row r="1860" spans="1:18" ht="14.25" customHeight="1" x14ac:dyDescent="0.35">
      <c r="A1860" s="38" t="s">
        <v>2558</v>
      </c>
      <c r="B1860" s="38" t="s">
        <v>2774</v>
      </c>
      <c r="C1860" s="38" t="s">
        <v>2775</v>
      </c>
      <c r="D1860" s="38" t="s">
        <v>988</v>
      </c>
      <c r="E1860" s="44" t="str">
        <f>IFERROR(VLOOKUP(D1860,MATERIALES!A:B,2,FALSE()),"?")</f>
        <v>Conjunto rotor estator Yeso ASE</v>
      </c>
      <c r="F1860" s="44" t="str">
        <f>IFERROR(VLOOKUP(D1860,MATERIALES!A:C,3,FALSE()),"?")</f>
        <v>gl</v>
      </c>
      <c r="G1860" s="45">
        <v>1E-3</v>
      </c>
      <c r="H1860" s="46">
        <v>0</v>
      </c>
      <c r="I1860" s="47">
        <f>IFERROR(VLOOKUP(D1860,MATERIALES!A:D,4,FALSE()),0)</f>
        <v>465850</v>
      </c>
      <c r="J1860" s="42">
        <f>G1860*I1860*(1+H1860)</f>
        <v>465.85</v>
      </c>
      <c r="K1860" s="15" t="str">
        <f t="shared" si="211"/>
        <v>REV-072|MAT</v>
      </c>
      <c r="L1860" s="15">
        <f>COUNTIFS($K$2:K1860,K1860)</f>
        <v>2</v>
      </c>
      <c r="M1860" s="15" t="str">
        <f t="shared" si="212"/>
        <v>REV-072|MAT|2</v>
      </c>
      <c r="N1860" s="47">
        <f>IFERROR(VLOOKUP(A1860,PARTIDAS!A:F,6,FALSE()),0)</f>
        <v>35</v>
      </c>
      <c r="O1860" s="247">
        <f t="shared" si="213"/>
        <v>1E-3</v>
      </c>
      <c r="P1860" s="247" t="str">
        <f>+_xlfn.XLOOKUP(A1860,PPTO_GENERADOR!Q:Q,PPTO_GENERADOR!E:E,"-",0)</f>
        <v>-</v>
      </c>
      <c r="Q1860" s="247">
        <f t="shared" si="214"/>
        <v>0</v>
      </c>
      <c r="R1860" s="259" t="str">
        <f>+_xlfn.XLOOKUP(A1860,PPTO_GENERADOR!$Q:$Q,PPTO_GENERADOR!A:A,"-",0)</f>
        <v>-</v>
      </c>
    </row>
    <row r="1861" spans="1:18" ht="14.25" customHeight="1" x14ac:dyDescent="0.35">
      <c r="A1861" s="38" t="s">
        <v>2558</v>
      </c>
      <c r="B1861" s="38" t="s">
        <v>2776</v>
      </c>
      <c r="C1861" s="38" t="s">
        <v>2777</v>
      </c>
      <c r="D1861" s="237" t="s">
        <v>1577</v>
      </c>
      <c r="E1861" s="44" t="str">
        <f>IFERROR(VLOOKUP(D1861,MANO_DE_OBRA!A:B,2,FALSE()),"?")</f>
        <v>AYUDANTE</v>
      </c>
      <c r="F1861" s="44" t="s">
        <v>2778</v>
      </c>
      <c r="G1861" s="45">
        <v>1.5</v>
      </c>
      <c r="H1861" s="46">
        <v>0</v>
      </c>
      <c r="I1861" s="47">
        <f>IFERROR(VLOOKUP(D1861,MANO_DE_OBRA!A:C,3,FALSE()),0)</f>
        <v>60860.580776572002</v>
      </c>
      <c r="J1861" s="42">
        <f t="shared" ref="J1861:J1866" si="215">G1861*I1861</f>
        <v>91290.871164858007</v>
      </c>
      <c r="K1861" s="15" t="str">
        <f t="shared" si="211"/>
        <v>REV-072|MO</v>
      </c>
      <c r="L1861" s="15">
        <f>COUNTIFS($K$2:K1861,K1861)</f>
        <v>1</v>
      </c>
      <c r="M1861" s="15" t="str">
        <f t="shared" si="212"/>
        <v>REV-072|MO|1</v>
      </c>
      <c r="N1861" s="47">
        <f>IFERROR(VLOOKUP(A1861,PARTIDAS!A:F,6,FALSE()),0)</f>
        <v>35</v>
      </c>
      <c r="O1861" s="247">
        <f t="shared" si="213"/>
        <v>4.2857142857142858E-2</v>
      </c>
      <c r="P1861" s="247" t="str">
        <f>+_xlfn.XLOOKUP(A1861,PPTO_GENERADOR!Q:Q,PPTO_GENERADOR!E:E,"-",0)</f>
        <v>-</v>
      </c>
      <c r="Q1861" s="247">
        <f t="shared" si="214"/>
        <v>0</v>
      </c>
      <c r="R1861" s="259" t="str">
        <f>+_xlfn.XLOOKUP(A1861,PPTO_GENERADOR!$Q:$Q,PPTO_GENERADOR!A:A,"-",0)</f>
        <v>-</v>
      </c>
    </row>
    <row r="1862" spans="1:18" ht="14.25" customHeight="1" x14ac:dyDescent="0.35">
      <c r="A1862" s="38" t="s">
        <v>2558</v>
      </c>
      <c r="B1862" s="38" t="s">
        <v>2776</v>
      </c>
      <c r="C1862" s="38" t="s">
        <v>2777</v>
      </c>
      <c r="D1862" s="237" t="s">
        <v>1574</v>
      </c>
      <c r="E1862" s="44" t="str">
        <f>IFERROR(VLOOKUP(D1862,MANO_DE_OBRA!A:B,2,FALSE()),"?")</f>
        <v>MEDIO OFICIAL</v>
      </c>
      <c r="F1862" s="44" t="s">
        <v>2778</v>
      </c>
      <c r="G1862" s="45">
        <v>1</v>
      </c>
      <c r="H1862" s="46">
        <v>0</v>
      </c>
      <c r="I1862" s="47">
        <f>IFERROR(VLOOKUP(D1862,MANO_DE_OBRA!A:C,3,FALSE()),0)</f>
        <v>65493.071636572</v>
      </c>
      <c r="J1862" s="42">
        <f t="shared" si="215"/>
        <v>65493.071636572</v>
      </c>
      <c r="K1862" s="15" t="str">
        <f t="shared" si="211"/>
        <v>REV-072|MO</v>
      </c>
      <c r="L1862" s="15">
        <f>COUNTIFS($K$2:K1862,K1862)</f>
        <v>2</v>
      </c>
      <c r="M1862" s="15" t="str">
        <f t="shared" si="212"/>
        <v>REV-072|MO|2</v>
      </c>
      <c r="N1862" s="47">
        <f>IFERROR(VLOOKUP(A1862,PARTIDAS!A:F,6,FALSE()),0)</f>
        <v>35</v>
      </c>
      <c r="O1862" s="247">
        <f t="shared" si="213"/>
        <v>2.8571428571428571E-2</v>
      </c>
      <c r="P1862" s="247" t="str">
        <f>+_xlfn.XLOOKUP(A1862,PPTO_GENERADOR!Q:Q,PPTO_GENERADOR!E:E,"-",0)</f>
        <v>-</v>
      </c>
      <c r="Q1862" s="247">
        <f t="shared" si="214"/>
        <v>0</v>
      </c>
      <c r="R1862" s="259" t="str">
        <f>+_xlfn.XLOOKUP(A1862,PPTO_GENERADOR!$Q:$Q,PPTO_GENERADOR!A:A,"-",0)</f>
        <v>-</v>
      </c>
    </row>
    <row r="1863" spans="1:18" ht="14.25" customHeight="1" x14ac:dyDescent="0.35">
      <c r="A1863" s="38" t="s">
        <v>2558</v>
      </c>
      <c r="B1863" s="38" t="s">
        <v>2776</v>
      </c>
      <c r="C1863" s="38" t="s">
        <v>2777</v>
      </c>
      <c r="D1863" s="237" t="s">
        <v>1568</v>
      </c>
      <c r="E1863" s="44" t="str">
        <f>IFERROR(VLOOKUP(D1863,MANO_DE_OBRA!A:B,2,FALSE()),"?")</f>
        <v>ESPECIALIZADO</v>
      </c>
      <c r="F1863" s="44" t="s">
        <v>2778</v>
      </c>
      <c r="G1863" s="45">
        <v>1</v>
      </c>
      <c r="H1863" s="46">
        <v>0</v>
      </c>
      <c r="I1863" s="47">
        <f>IFERROR(VLOOKUP(D1863,MANO_DE_OBRA!A:C,3,FALSE()),0)</f>
        <v>85927.097156571996</v>
      </c>
      <c r="J1863" s="42">
        <f t="shared" si="215"/>
        <v>85927.097156571996</v>
      </c>
      <c r="K1863" s="15" t="str">
        <f t="shared" si="211"/>
        <v>REV-072|MO</v>
      </c>
      <c r="L1863" s="15">
        <f>COUNTIFS($K$2:K1863,K1863)</f>
        <v>3</v>
      </c>
      <c r="M1863" s="15" t="str">
        <f t="shared" si="212"/>
        <v>REV-072|MO|3</v>
      </c>
      <c r="N1863" s="47">
        <f>IFERROR(VLOOKUP(A1863,PARTIDAS!A:F,6,FALSE()),0)</f>
        <v>35</v>
      </c>
      <c r="O1863" s="247">
        <f t="shared" si="213"/>
        <v>2.8571428571428571E-2</v>
      </c>
      <c r="P1863" s="247" t="str">
        <f>+_xlfn.XLOOKUP(A1863,PPTO_GENERADOR!Q:Q,PPTO_GENERADOR!E:E,"-",0)</f>
        <v>-</v>
      </c>
      <c r="Q1863" s="247">
        <f t="shared" si="214"/>
        <v>0</v>
      </c>
      <c r="R1863" s="259" t="str">
        <f>+_xlfn.XLOOKUP(A1863,PPTO_GENERADOR!$Q:$Q,PPTO_GENERADOR!A:A,"-",0)</f>
        <v>-</v>
      </c>
    </row>
    <row r="1864" spans="1:18" ht="14.25" customHeight="1" x14ac:dyDescent="0.35">
      <c r="A1864" s="38" t="s">
        <v>2644</v>
      </c>
      <c r="B1864" s="38" t="s">
        <v>2773</v>
      </c>
      <c r="C1864" s="38"/>
      <c r="D1864" s="38" t="s">
        <v>1592</v>
      </c>
      <c r="E1864" s="44" t="str">
        <f>IFERROR(VLOOKUP(D1864,EQUIPOS!A:B,2,FALSE()),"?")</f>
        <v>ANDAMIO TUBULAR DE UNO A TRES CUERPOS</v>
      </c>
      <c r="F1864" s="44"/>
      <c r="G1864" s="45">
        <v>1</v>
      </c>
      <c r="H1864" s="46">
        <v>0</v>
      </c>
      <c r="I1864" s="47">
        <f>IFERROR(VLOOKUP(D1864,EQUIPOS!A:F,6,FALSE()),0)</f>
        <v>571.1794909807611</v>
      </c>
      <c r="J1864" s="42">
        <f t="shared" si="215"/>
        <v>571.1794909807611</v>
      </c>
      <c r="K1864" s="15" t="str">
        <f t="shared" si="211"/>
        <v>REV-134|EQ</v>
      </c>
      <c r="L1864" s="15">
        <f>COUNTIFS($K$2:K1864,K1864)</f>
        <v>1</v>
      </c>
      <c r="M1864" s="15" t="str">
        <f t="shared" si="212"/>
        <v>REV-134|EQ|1</v>
      </c>
      <c r="N1864" s="47">
        <f>IFERROR(VLOOKUP(A1864,PARTIDAS!A:F,6,FALSE()),0)</f>
        <v>18</v>
      </c>
      <c r="O1864" s="247">
        <f t="shared" si="213"/>
        <v>1</v>
      </c>
      <c r="P1864" s="247" t="str">
        <f>+_xlfn.XLOOKUP(A1864,PPTO_GENERADOR!Q:Q,PPTO_GENERADOR!E:E,"-",0)</f>
        <v>-</v>
      </c>
      <c r="Q1864" s="247">
        <f t="shared" si="214"/>
        <v>0</v>
      </c>
      <c r="R1864" s="259" t="str">
        <f>+_xlfn.XLOOKUP(A1864,PPTO_GENERADOR!$Q:$Q,PPTO_GENERADOR!A:A,"-",0)</f>
        <v>-</v>
      </c>
    </row>
    <row r="1865" spans="1:18" ht="14.25" customHeight="1" x14ac:dyDescent="0.35">
      <c r="A1865" s="38" t="s">
        <v>2644</v>
      </c>
      <c r="B1865" s="38" t="s">
        <v>2773</v>
      </c>
      <c r="C1865" s="38"/>
      <c r="D1865" s="38" t="s">
        <v>1595</v>
      </c>
      <c r="E1865" s="44" t="str">
        <f>IFERROR(VLOOKUP(D1865,EQUIPOS!A:B,2,FALSE()),"?")</f>
        <v>EQUIPO DE ALBAÑILERIA, carpetas, ladrillo</v>
      </c>
      <c r="F1865" s="44"/>
      <c r="G1865" s="45">
        <v>1</v>
      </c>
      <c r="H1865" s="46">
        <v>0</v>
      </c>
      <c r="I1865" s="47">
        <f>IFERROR(VLOOKUP(D1865,EQUIPOS!A:F,6,FALSE()),0)</f>
        <v>2287.1357450968057</v>
      </c>
      <c r="J1865" s="42">
        <f t="shared" si="215"/>
        <v>2287.1357450968057</v>
      </c>
      <c r="K1865" s="15" t="str">
        <f t="shared" si="211"/>
        <v>REV-134|EQ</v>
      </c>
      <c r="L1865" s="15">
        <f>COUNTIFS($K$2:K1865,K1865)</f>
        <v>2</v>
      </c>
      <c r="M1865" s="15" t="str">
        <f t="shared" si="212"/>
        <v>REV-134|EQ|2</v>
      </c>
      <c r="N1865" s="47">
        <f>IFERROR(VLOOKUP(A1865,PARTIDAS!A:F,6,FALSE()),0)</f>
        <v>18</v>
      </c>
      <c r="O1865" s="247">
        <f t="shared" si="213"/>
        <v>1</v>
      </c>
      <c r="P1865" s="247" t="str">
        <f>+_xlfn.XLOOKUP(A1865,PPTO_GENERADOR!Q:Q,PPTO_GENERADOR!E:E,"-",0)</f>
        <v>-</v>
      </c>
      <c r="Q1865" s="247">
        <f t="shared" si="214"/>
        <v>0</v>
      </c>
      <c r="R1865" s="259" t="str">
        <f>+_xlfn.XLOOKUP(A1865,PPTO_GENERADOR!$Q:$Q,PPTO_GENERADOR!A:A,"-",0)</f>
        <v>-</v>
      </c>
    </row>
    <row r="1866" spans="1:18" ht="14.25" customHeight="1" x14ac:dyDescent="0.35">
      <c r="A1866" s="38" t="s">
        <v>2644</v>
      </c>
      <c r="B1866" s="38" t="s">
        <v>2773</v>
      </c>
      <c r="C1866" s="38"/>
      <c r="D1866" s="38" t="s">
        <v>1613</v>
      </c>
      <c r="E1866" s="44" t="str">
        <f>IFERROR(VLOOKUP(D1866,EQUIPOS!A:B,2,FALSE()),"?")</f>
        <v>Hormigonera De 150 Litros 1hp Con Rueda Maciza</v>
      </c>
      <c r="F1866" s="44"/>
      <c r="G1866" s="45">
        <v>1</v>
      </c>
      <c r="H1866" s="46">
        <v>0</v>
      </c>
      <c r="I1866" s="47">
        <f>IFERROR(VLOOKUP(D1866,EQUIPOS!A:F,6,FALSE()),0)</f>
        <v>957.25319614994726</v>
      </c>
      <c r="J1866" s="42">
        <f t="shared" si="215"/>
        <v>957.25319614994726</v>
      </c>
      <c r="K1866" s="15" t="str">
        <f t="shared" si="211"/>
        <v>REV-134|EQ</v>
      </c>
      <c r="L1866" s="15">
        <f>COUNTIFS($K$2:K1866,K1866)</f>
        <v>3</v>
      </c>
      <c r="M1866" s="15" t="str">
        <f t="shared" si="212"/>
        <v>REV-134|EQ|3</v>
      </c>
      <c r="N1866" s="47">
        <f>IFERROR(VLOOKUP(A1866,PARTIDAS!A:F,6,FALSE()),0)</f>
        <v>18</v>
      </c>
      <c r="O1866" s="247">
        <f t="shared" si="213"/>
        <v>1</v>
      </c>
      <c r="P1866" s="247" t="str">
        <f>+_xlfn.XLOOKUP(A1866,PPTO_GENERADOR!Q:Q,PPTO_GENERADOR!E:E,"-",0)</f>
        <v>-</v>
      </c>
      <c r="Q1866" s="247">
        <f t="shared" si="214"/>
        <v>0</v>
      </c>
      <c r="R1866" s="259" t="str">
        <f>+_xlfn.XLOOKUP(A1866,PPTO_GENERADOR!$Q:$Q,PPTO_GENERADOR!A:A,"-",0)</f>
        <v>-</v>
      </c>
    </row>
    <row r="1867" spans="1:18" ht="14.25" customHeight="1" x14ac:dyDescent="0.35">
      <c r="A1867" s="38" t="s">
        <v>2644</v>
      </c>
      <c r="B1867" s="38" t="s">
        <v>2774</v>
      </c>
      <c r="C1867" s="38" t="s">
        <v>2775</v>
      </c>
      <c r="D1867" s="38" t="s">
        <v>588</v>
      </c>
      <c r="E1867" s="44" t="str">
        <f>IFERROR(VLOOKUP(D1867,MATERIALES!A:B,2,FALSE()),"?")</f>
        <v>ARENA LAVADA</v>
      </c>
      <c r="F1867" s="44" t="str">
        <f>IFERROR(VLOOKUP(D1867,MATERIALES!A:C,3,FALSE()),"?")</f>
        <v>m3</v>
      </c>
      <c r="G1867" s="45">
        <v>1.7000000000000001E-2</v>
      </c>
      <c r="H1867" s="46">
        <v>0.1</v>
      </c>
      <c r="I1867" s="47">
        <f>IFERROR(VLOOKUP(D1867,MATERIALES!A:D,4,FALSE()),0)</f>
        <v>32399.77</v>
      </c>
      <c r="J1867" s="42">
        <f>G1867*I1867*(1+H1867)</f>
        <v>605.87569900000005</v>
      </c>
      <c r="K1867" s="15" t="str">
        <f t="shared" si="211"/>
        <v>REV-134|MAT</v>
      </c>
      <c r="L1867" s="15">
        <f>COUNTIFS($K$2:K1867,K1867)</f>
        <v>1</v>
      </c>
      <c r="M1867" s="15" t="str">
        <f t="shared" si="212"/>
        <v>REV-134|MAT|1</v>
      </c>
      <c r="N1867" s="47">
        <f>IFERROR(VLOOKUP(A1867,PARTIDAS!A:F,6,FALSE()),0)</f>
        <v>18</v>
      </c>
      <c r="O1867" s="247">
        <f t="shared" si="213"/>
        <v>1.7000000000000001E-2</v>
      </c>
      <c r="P1867" s="247" t="str">
        <f>+_xlfn.XLOOKUP(A1867,PPTO_GENERADOR!Q:Q,PPTO_GENERADOR!E:E,"-",0)</f>
        <v>-</v>
      </c>
      <c r="Q1867" s="247">
        <f t="shared" si="214"/>
        <v>0</v>
      </c>
      <c r="R1867" s="259" t="str">
        <f>+_xlfn.XLOOKUP(A1867,PPTO_GENERADOR!$Q:$Q,PPTO_GENERADOR!A:A,"-",0)</f>
        <v>-</v>
      </c>
    </row>
    <row r="1868" spans="1:18" ht="14.25" customHeight="1" x14ac:dyDescent="0.35">
      <c r="A1868" s="38" t="s">
        <v>2644</v>
      </c>
      <c r="B1868" s="38" t="s">
        <v>2774</v>
      </c>
      <c r="C1868" s="38" t="s">
        <v>2775</v>
      </c>
      <c r="D1868" s="38" t="s">
        <v>599</v>
      </c>
      <c r="E1868" s="44" t="str">
        <f>IFERROR(VLOOKUP(D1868,MATERIALES!A:B,2,FALSE()),"?")</f>
        <v>Cemento Portland x 50kg</v>
      </c>
      <c r="F1868" s="44" t="str">
        <f>IFERROR(VLOOKUP(D1868,MATERIALES!A:C,3,FALSE()),"?")</f>
        <v>Bol</v>
      </c>
      <c r="G1868" s="45">
        <v>3.6999999999999998E-2</v>
      </c>
      <c r="H1868" s="46">
        <v>0.1</v>
      </c>
      <c r="I1868" s="47">
        <f>IFERROR(VLOOKUP(D1868,MATERIALES!A:D,4,FALSE()),0)</f>
        <v>7809.48</v>
      </c>
      <c r="J1868" s="42">
        <f>G1868*I1868*(1+H1868)</f>
        <v>317.84583599999996</v>
      </c>
      <c r="K1868" s="15" t="str">
        <f t="shared" si="211"/>
        <v>REV-134|MAT</v>
      </c>
      <c r="L1868" s="15">
        <f>COUNTIFS($K$2:K1868,K1868)</f>
        <v>2</v>
      </c>
      <c r="M1868" s="15" t="str">
        <f t="shared" si="212"/>
        <v>REV-134|MAT|2</v>
      </c>
      <c r="N1868" s="47">
        <f>IFERROR(VLOOKUP(A1868,PARTIDAS!A:F,6,FALSE()),0)</f>
        <v>18</v>
      </c>
      <c r="O1868" s="247">
        <f t="shared" si="213"/>
        <v>3.6999999999999998E-2</v>
      </c>
      <c r="P1868" s="247" t="str">
        <f>+_xlfn.XLOOKUP(A1868,PPTO_GENERADOR!Q:Q,PPTO_GENERADOR!E:E,"-",0)</f>
        <v>-</v>
      </c>
      <c r="Q1868" s="247">
        <f t="shared" si="214"/>
        <v>0</v>
      </c>
      <c r="R1868" s="259" t="str">
        <f>+_xlfn.XLOOKUP(A1868,PPTO_GENERADOR!$Q:$Q,PPTO_GENERADOR!A:A,"-",0)</f>
        <v>-</v>
      </c>
    </row>
    <row r="1869" spans="1:18" ht="14.25" customHeight="1" x14ac:dyDescent="0.35">
      <c r="A1869" s="38" t="s">
        <v>2644</v>
      </c>
      <c r="B1869" s="38" t="s">
        <v>2774</v>
      </c>
      <c r="C1869" s="38" t="s">
        <v>2775</v>
      </c>
      <c r="D1869" s="38" t="s">
        <v>604</v>
      </c>
      <c r="E1869" s="44" t="str">
        <f>IFERROR(VLOOKUP(D1869,MATERIALES!A:B,2,FALSE()),"?")</f>
        <v>Cal Comun x 25kg</v>
      </c>
      <c r="F1869" s="44" t="str">
        <f>IFERROR(VLOOKUP(D1869,MATERIALES!A:C,3,FALSE()),"?")</f>
        <v>bol</v>
      </c>
      <c r="G1869" s="45">
        <v>0.14399999999999999</v>
      </c>
      <c r="H1869" s="46">
        <v>0.1</v>
      </c>
      <c r="I1869" s="47">
        <f>IFERROR(VLOOKUP(D1869,MATERIALES!A:D,4,FALSE()),0)</f>
        <v>3837.96</v>
      </c>
      <c r="J1869" s="42">
        <f>G1869*I1869*(1+H1869)</f>
        <v>607.93286400000011</v>
      </c>
      <c r="K1869" s="15" t="str">
        <f t="shared" si="211"/>
        <v>REV-134|MAT</v>
      </c>
      <c r="L1869" s="15">
        <f>COUNTIFS($K$2:K1869,K1869)</f>
        <v>3</v>
      </c>
      <c r="M1869" s="15" t="str">
        <f t="shared" si="212"/>
        <v>REV-134|MAT|3</v>
      </c>
      <c r="N1869" s="47">
        <f>IFERROR(VLOOKUP(A1869,PARTIDAS!A:F,6,FALSE()),0)</f>
        <v>18</v>
      </c>
      <c r="O1869" s="247">
        <f t="shared" si="213"/>
        <v>0.14399999999999999</v>
      </c>
      <c r="P1869" s="247" t="str">
        <f>+_xlfn.XLOOKUP(A1869,PPTO_GENERADOR!Q:Q,PPTO_GENERADOR!E:E,"-",0)</f>
        <v>-</v>
      </c>
      <c r="Q1869" s="247">
        <f t="shared" si="214"/>
        <v>0</v>
      </c>
      <c r="R1869" s="259" t="str">
        <f>+_xlfn.XLOOKUP(A1869,PPTO_GENERADOR!$Q:$Q,PPTO_GENERADOR!A:A,"-",0)</f>
        <v>-</v>
      </c>
    </row>
    <row r="1870" spans="1:18" ht="14.25" customHeight="1" x14ac:dyDescent="0.35">
      <c r="A1870" s="38" t="s">
        <v>2644</v>
      </c>
      <c r="B1870" s="38" t="s">
        <v>2776</v>
      </c>
      <c r="C1870" s="38" t="s">
        <v>2777</v>
      </c>
      <c r="D1870" s="237" t="s">
        <v>1577</v>
      </c>
      <c r="E1870" s="44" t="str">
        <f>IFERROR(VLOOKUP(D1870,MANO_DE_OBRA!A:B,2,FALSE()),"?")</f>
        <v>AYUDANTE</v>
      </c>
      <c r="F1870" s="44" t="s">
        <v>2778</v>
      </c>
      <c r="G1870" s="45">
        <v>0.75</v>
      </c>
      <c r="H1870" s="46">
        <v>0</v>
      </c>
      <c r="I1870" s="47">
        <f>IFERROR(VLOOKUP(D1870,MANO_DE_OBRA!A:C,3,FALSE()),0)</f>
        <v>60860.580776572002</v>
      </c>
      <c r="J1870" s="42">
        <f>G1870*I1870</f>
        <v>45645.435582429003</v>
      </c>
      <c r="K1870" s="15" t="str">
        <f t="shared" si="211"/>
        <v>REV-134|MO</v>
      </c>
      <c r="L1870" s="15">
        <f>COUNTIFS($K$2:K1870,K1870)</f>
        <v>1</v>
      </c>
      <c r="M1870" s="15" t="str">
        <f t="shared" si="212"/>
        <v>REV-134|MO|1</v>
      </c>
      <c r="N1870" s="47">
        <f>IFERROR(VLOOKUP(A1870,PARTIDAS!A:F,6,FALSE()),0)</f>
        <v>18</v>
      </c>
      <c r="O1870" s="247">
        <f t="shared" si="213"/>
        <v>4.1666666666666664E-2</v>
      </c>
      <c r="P1870" s="247" t="str">
        <f>+_xlfn.XLOOKUP(A1870,PPTO_GENERADOR!Q:Q,PPTO_GENERADOR!E:E,"-",0)</f>
        <v>-</v>
      </c>
      <c r="Q1870" s="247">
        <f t="shared" si="214"/>
        <v>0</v>
      </c>
      <c r="R1870" s="259" t="str">
        <f>+_xlfn.XLOOKUP(A1870,PPTO_GENERADOR!$Q:$Q,PPTO_GENERADOR!A:A,"-",0)</f>
        <v>-</v>
      </c>
    </row>
    <row r="1871" spans="1:18" ht="14.25" customHeight="1" x14ac:dyDescent="0.35">
      <c r="A1871" s="38" t="s">
        <v>2644</v>
      </c>
      <c r="B1871" s="38" t="s">
        <v>2776</v>
      </c>
      <c r="C1871" s="38" t="s">
        <v>2777</v>
      </c>
      <c r="D1871" s="237" t="s">
        <v>1568</v>
      </c>
      <c r="E1871" s="44" t="str">
        <f>IFERROR(VLOOKUP(D1871,MANO_DE_OBRA!A:B,2,FALSE()),"?")</f>
        <v>ESPECIALIZADO</v>
      </c>
      <c r="F1871" s="44" t="s">
        <v>2778</v>
      </c>
      <c r="G1871" s="45">
        <v>1</v>
      </c>
      <c r="H1871" s="46">
        <v>0</v>
      </c>
      <c r="I1871" s="47">
        <f>IFERROR(VLOOKUP(D1871,MANO_DE_OBRA!A:C,3,FALSE()),0)</f>
        <v>85927.097156571996</v>
      </c>
      <c r="J1871" s="42">
        <f>G1871*I1871</f>
        <v>85927.097156571996</v>
      </c>
      <c r="K1871" s="15" t="str">
        <f t="shared" si="211"/>
        <v>REV-134|MO</v>
      </c>
      <c r="L1871" s="15">
        <f>COUNTIFS($K$2:K1871,K1871)</f>
        <v>2</v>
      </c>
      <c r="M1871" s="15" t="str">
        <f t="shared" si="212"/>
        <v>REV-134|MO|2</v>
      </c>
      <c r="N1871" s="47">
        <f>IFERROR(VLOOKUP(A1871,PARTIDAS!A:F,6,FALSE()),0)</f>
        <v>18</v>
      </c>
      <c r="O1871" s="247">
        <f t="shared" si="213"/>
        <v>5.5555555555555552E-2</v>
      </c>
      <c r="P1871" s="247" t="str">
        <f>+_xlfn.XLOOKUP(A1871,PPTO_GENERADOR!Q:Q,PPTO_GENERADOR!E:E,"-",0)</f>
        <v>-</v>
      </c>
      <c r="Q1871" s="247">
        <f t="shared" si="214"/>
        <v>0</v>
      </c>
      <c r="R1871" s="259" t="str">
        <f>+_xlfn.XLOOKUP(A1871,PPTO_GENERADOR!$Q:$Q,PPTO_GENERADOR!A:A,"-",0)</f>
        <v>-</v>
      </c>
    </row>
    <row r="1872" spans="1:18" ht="14.25" customHeight="1" x14ac:dyDescent="0.35">
      <c r="A1872" s="38" t="s">
        <v>2647</v>
      </c>
      <c r="B1872" s="38" t="s">
        <v>2773</v>
      </c>
      <c r="C1872" s="38"/>
      <c r="D1872" s="38" t="s">
        <v>1592</v>
      </c>
      <c r="E1872" s="44" t="str">
        <f>IFERROR(VLOOKUP(D1872,EQUIPOS!A:B,2,FALSE()),"?")</f>
        <v>ANDAMIO TUBULAR DE UNO A TRES CUERPOS</v>
      </c>
      <c r="F1872" s="44"/>
      <c r="G1872" s="45">
        <v>1</v>
      </c>
      <c r="H1872" s="46">
        <v>0</v>
      </c>
      <c r="I1872" s="47">
        <f>IFERROR(VLOOKUP(D1872,EQUIPOS!A:F,6,FALSE()),0)</f>
        <v>571.1794909807611</v>
      </c>
      <c r="J1872" s="42">
        <f>G1872*I1872</f>
        <v>571.1794909807611</v>
      </c>
      <c r="K1872" s="15" t="str">
        <f t="shared" si="211"/>
        <v>REV-135|EQ</v>
      </c>
      <c r="L1872" s="15">
        <f>COUNTIFS($K$2:K1872,K1872)</f>
        <v>1</v>
      </c>
      <c r="M1872" s="15" t="str">
        <f t="shared" si="212"/>
        <v>REV-135|EQ|1</v>
      </c>
      <c r="N1872" s="47">
        <f>IFERROR(VLOOKUP(A1872,PARTIDAS!A:F,6,FALSE()),0)</f>
        <v>9</v>
      </c>
      <c r="O1872" s="247">
        <f t="shared" si="213"/>
        <v>1</v>
      </c>
      <c r="P1872" s="247" t="str">
        <f>+_xlfn.XLOOKUP(A1872,PPTO_GENERADOR!Q:Q,PPTO_GENERADOR!E:E,"-",0)</f>
        <v>-</v>
      </c>
      <c r="Q1872" s="247">
        <f t="shared" si="214"/>
        <v>0</v>
      </c>
      <c r="R1872" s="259" t="str">
        <f>+_xlfn.XLOOKUP(A1872,PPTO_GENERADOR!$Q:$Q,PPTO_GENERADOR!A:A,"-",0)</f>
        <v>-</v>
      </c>
    </row>
    <row r="1873" spans="1:18" ht="14.25" customHeight="1" x14ac:dyDescent="0.35">
      <c r="A1873" s="38" t="s">
        <v>2647</v>
      </c>
      <c r="B1873" s="38" t="s">
        <v>2773</v>
      </c>
      <c r="C1873" s="38"/>
      <c r="D1873" s="38" t="s">
        <v>1595</v>
      </c>
      <c r="E1873" s="44" t="str">
        <f>IFERROR(VLOOKUP(D1873,EQUIPOS!A:B,2,FALSE()),"?")</f>
        <v>EQUIPO DE ALBAÑILERIA, carpetas, ladrillo</v>
      </c>
      <c r="F1873" s="44"/>
      <c r="G1873" s="45">
        <v>1</v>
      </c>
      <c r="H1873" s="46">
        <v>0</v>
      </c>
      <c r="I1873" s="47">
        <f>IFERROR(VLOOKUP(D1873,EQUIPOS!A:F,6,FALSE()),0)</f>
        <v>2287.1357450968057</v>
      </c>
      <c r="J1873" s="42">
        <f>G1873*I1873</f>
        <v>2287.1357450968057</v>
      </c>
      <c r="K1873" s="15" t="str">
        <f t="shared" si="211"/>
        <v>REV-135|EQ</v>
      </c>
      <c r="L1873" s="15">
        <f>COUNTIFS($K$2:K1873,K1873)</f>
        <v>2</v>
      </c>
      <c r="M1873" s="15" t="str">
        <f t="shared" si="212"/>
        <v>REV-135|EQ|2</v>
      </c>
      <c r="N1873" s="47">
        <f>IFERROR(VLOOKUP(A1873,PARTIDAS!A:F,6,FALSE()),0)</f>
        <v>9</v>
      </c>
      <c r="O1873" s="247">
        <f t="shared" si="213"/>
        <v>1</v>
      </c>
      <c r="P1873" s="247" t="str">
        <f>+_xlfn.XLOOKUP(A1873,PPTO_GENERADOR!Q:Q,PPTO_GENERADOR!E:E,"-",0)</f>
        <v>-</v>
      </c>
      <c r="Q1873" s="247">
        <f t="shared" si="214"/>
        <v>0</v>
      </c>
      <c r="R1873" s="259" t="str">
        <f>+_xlfn.XLOOKUP(A1873,PPTO_GENERADOR!$Q:$Q,PPTO_GENERADOR!A:A,"-",0)</f>
        <v>-</v>
      </c>
    </row>
    <row r="1874" spans="1:18" ht="14.25" customHeight="1" x14ac:dyDescent="0.35">
      <c r="A1874" s="38" t="s">
        <v>2647</v>
      </c>
      <c r="B1874" s="38" t="s">
        <v>2773</v>
      </c>
      <c r="C1874" s="38"/>
      <c r="D1874" s="38" t="s">
        <v>1613</v>
      </c>
      <c r="E1874" s="44" t="str">
        <f>IFERROR(VLOOKUP(D1874,EQUIPOS!A:B,2,FALSE()),"?")</f>
        <v>Hormigonera De 150 Litros 1hp Con Rueda Maciza</v>
      </c>
      <c r="F1874" s="44"/>
      <c r="G1874" s="45">
        <v>1</v>
      </c>
      <c r="H1874" s="46">
        <v>0</v>
      </c>
      <c r="I1874" s="47">
        <f>IFERROR(VLOOKUP(D1874,EQUIPOS!A:F,6,FALSE()),0)</f>
        <v>957.25319614994726</v>
      </c>
      <c r="J1874" s="42">
        <f>G1874*I1874</f>
        <v>957.25319614994726</v>
      </c>
      <c r="K1874" s="15" t="str">
        <f t="shared" si="211"/>
        <v>REV-135|EQ</v>
      </c>
      <c r="L1874" s="15">
        <f>COUNTIFS($K$2:K1874,K1874)</f>
        <v>3</v>
      </c>
      <c r="M1874" s="15" t="str">
        <f t="shared" si="212"/>
        <v>REV-135|EQ|3</v>
      </c>
      <c r="N1874" s="47">
        <f>IFERROR(VLOOKUP(A1874,PARTIDAS!A:F,6,FALSE()),0)</f>
        <v>9</v>
      </c>
      <c r="O1874" s="247">
        <f t="shared" si="213"/>
        <v>1</v>
      </c>
      <c r="P1874" s="247" t="str">
        <f>+_xlfn.XLOOKUP(A1874,PPTO_GENERADOR!Q:Q,PPTO_GENERADOR!E:E,"-",0)</f>
        <v>-</v>
      </c>
      <c r="Q1874" s="247">
        <f t="shared" si="214"/>
        <v>0</v>
      </c>
      <c r="R1874" s="259" t="str">
        <f>+_xlfn.XLOOKUP(A1874,PPTO_GENERADOR!$Q:$Q,PPTO_GENERADOR!A:A,"-",0)</f>
        <v>-</v>
      </c>
    </row>
    <row r="1875" spans="1:18" ht="14.25" customHeight="1" x14ac:dyDescent="0.35">
      <c r="A1875" s="38" t="s">
        <v>2647</v>
      </c>
      <c r="B1875" s="38" t="s">
        <v>2774</v>
      </c>
      <c r="C1875" s="38" t="s">
        <v>2775</v>
      </c>
      <c r="D1875" s="38" t="s">
        <v>588</v>
      </c>
      <c r="E1875" s="44" t="str">
        <f>IFERROR(VLOOKUP(D1875,MATERIALES!A:B,2,FALSE()),"?")</f>
        <v>ARENA LAVADA</v>
      </c>
      <c r="F1875" s="44" t="str">
        <f>IFERROR(VLOOKUP(D1875,MATERIALES!A:C,3,FALSE()),"?")</f>
        <v>m3</v>
      </c>
      <c r="G1875" s="45">
        <v>0.01</v>
      </c>
      <c r="H1875" s="46">
        <v>0.1</v>
      </c>
      <c r="I1875" s="47">
        <f>IFERROR(VLOOKUP(D1875,MATERIALES!A:D,4,FALSE()),0)</f>
        <v>32399.77</v>
      </c>
      <c r="J1875" s="42">
        <f>G1875*I1875*(1+H1875)</f>
        <v>356.39747000000006</v>
      </c>
      <c r="K1875" s="15" t="str">
        <f t="shared" si="211"/>
        <v>REV-135|MAT</v>
      </c>
      <c r="L1875" s="15">
        <f>COUNTIFS($K$2:K1875,K1875)</f>
        <v>1</v>
      </c>
      <c r="M1875" s="15" t="str">
        <f t="shared" si="212"/>
        <v>REV-135|MAT|1</v>
      </c>
      <c r="N1875" s="47">
        <f>IFERROR(VLOOKUP(A1875,PARTIDAS!A:F,6,FALSE()),0)</f>
        <v>9</v>
      </c>
      <c r="O1875" s="247">
        <f t="shared" si="213"/>
        <v>0.01</v>
      </c>
      <c r="P1875" s="247" t="str">
        <f>+_xlfn.XLOOKUP(A1875,PPTO_GENERADOR!Q:Q,PPTO_GENERADOR!E:E,"-",0)</f>
        <v>-</v>
      </c>
      <c r="Q1875" s="247">
        <f t="shared" si="214"/>
        <v>0</v>
      </c>
      <c r="R1875" s="259" t="str">
        <f>+_xlfn.XLOOKUP(A1875,PPTO_GENERADOR!$Q:$Q,PPTO_GENERADOR!A:A,"-",0)</f>
        <v>-</v>
      </c>
    </row>
    <row r="1876" spans="1:18" ht="14.25" customHeight="1" x14ac:dyDescent="0.35">
      <c r="A1876" s="38" t="s">
        <v>2647</v>
      </c>
      <c r="B1876" s="38" t="s">
        <v>2774</v>
      </c>
      <c r="C1876" s="38" t="s">
        <v>2775</v>
      </c>
      <c r="D1876" s="38" t="s">
        <v>599</v>
      </c>
      <c r="E1876" s="44" t="str">
        <f>IFERROR(VLOOKUP(D1876,MATERIALES!A:B,2,FALSE()),"?")</f>
        <v>Cemento Portland x 50kg</v>
      </c>
      <c r="F1876" s="44" t="str">
        <f>IFERROR(VLOOKUP(D1876,MATERIALES!A:C,3,FALSE()),"?")</f>
        <v>Bol</v>
      </c>
      <c r="G1876" s="45">
        <v>8.9999999999999993E-3</v>
      </c>
      <c r="H1876" s="46">
        <v>0.1</v>
      </c>
      <c r="I1876" s="47">
        <f>IFERROR(VLOOKUP(D1876,MATERIALES!A:D,4,FALSE()),0)</f>
        <v>7809.48</v>
      </c>
      <c r="J1876" s="42">
        <f>G1876*I1876*(1+H1876)</f>
        <v>77.313851999999983</v>
      </c>
      <c r="K1876" s="15" t="str">
        <f t="shared" si="211"/>
        <v>REV-135|MAT</v>
      </c>
      <c r="L1876" s="15">
        <f>COUNTIFS($K$2:K1876,K1876)</f>
        <v>2</v>
      </c>
      <c r="M1876" s="15" t="str">
        <f t="shared" si="212"/>
        <v>REV-135|MAT|2</v>
      </c>
      <c r="N1876" s="47">
        <f>IFERROR(VLOOKUP(A1876,PARTIDAS!A:F,6,FALSE()),0)</f>
        <v>9</v>
      </c>
      <c r="O1876" s="247">
        <f t="shared" si="213"/>
        <v>8.9999999999999993E-3</v>
      </c>
      <c r="P1876" s="247" t="str">
        <f>+_xlfn.XLOOKUP(A1876,PPTO_GENERADOR!Q:Q,PPTO_GENERADOR!E:E,"-",0)</f>
        <v>-</v>
      </c>
      <c r="Q1876" s="247">
        <f t="shared" si="214"/>
        <v>0</v>
      </c>
      <c r="R1876" s="259" t="str">
        <f>+_xlfn.XLOOKUP(A1876,PPTO_GENERADOR!$Q:$Q,PPTO_GENERADOR!A:A,"-",0)</f>
        <v>-</v>
      </c>
    </row>
    <row r="1877" spans="1:18" ht="14.25" customHeight="1" x14ac:dyDescent="0.35">
      <c r="A1877" s="38" t="s">
        <v>2647</v>
      </c>
      <c r="B1877" s="38" t="s">
        <v>2774</v>
      </c>
      <c r="C1877" s="38" t="s">
        <v>2775</v>
      </c>
      <c r="D1877" s="38" t="s">
        <v>604</v>
      </c>
      <c r="E1877" s="44" t="str">
        <f>IFERROR(VLOOKUP(D1877,MATERIALES!A:B,2,FALSE()),"?")</f>
        <v>Cal Comun x 25kg</v>
      </c>
      <c r="F1877" s="44" t="str">
        <f>IFERROR(VLOOKUP(D1877,MATERIALES!A:C,3,FALSE()),"?")</f>
        <v>bol</v>
      </c>
      <c r="G1877" s="45">
        <v>6.4000000000000001E-2</v>
      </c>
      <c r="H1877" s="46">
        <v>0.1</v>
      </c>
      <c r="I1877" s="47">
        <f>IFERROR(VLOOKUP(D1877,MATERIALES!A:D,4,FALSE()),0)</f>
        <v>3837.96</v>
      </c>
      <c r="J1877" s="42">
        <f>G1877*I1877*(1+H1877)</f>
        <v>270.19238400000006</v>
      </c>
      <c r="K1877" s="15" t="str">
        <f t="shared" si="211"/>
        <v>REV-135|MAT</v>
      </c>
      <c r="L1877" s="15">
        <f>COUNTIFS($K$2:K1877,K1877)</f>
        <v>3</v>
      </c>
      <c r="M1877" s="15" t="str">
        <f t="shared" si="212"/>
        <v>REV-135|MAT|3</v>
      </c>
      <c r="N1877" s="47">
        <f>IFERROR(VLOOKUP(A1877,PARTIDAS!A:F,6,FALSE()),0)</f>
        <v>9</v>
      </c>
      <c r="O1877" s="247">
        <f t="shared" si="213"/>
        <v>6.4000000000000001E-2</v>
      </c>
      <c r="P1877" s="247" t="str">
        <f>+_xlfn.XLOOKUP(A1877,PPTO_GENERADOR!Q:Q,PPTO_GENERADOR!E:E,"-",0)</f>
        <v>-</v>
      </c>
      <c r="Q1877" s="247">
        <f t="shared" si="214"/>
        <v>0</v>
      </c>
      <c r="R1877" s="259" t="str">
        <f>+_xlfn.XLOOKUP(A1877,PPTO_GENERADOR!$Q:$Q,PPTO_GENERADOR!A:A,"-",0)</f>
        <v>-</v>
      </c>
    </row>
    <row r="1878" spans="1:18" ht="14.25" customHeight="1" x14ac:dyDescent="0.35">
      <c r="A1878" s="38" t="s">
        <v>2647</v>
      </c>
      <c r="B1878" s="38" t="s">
        <v>2776</v>
      </c>
      <c r="C1878" s="38" t="s">
        <v>2777</v>
      </c>
      <c r="D1878" s="237" t="s">
        <v>1577</v>
      </c>
      <c r="E1878" s="44" t="str">
        <f>IFERROR(VLOOKUP(D1878,MANO_DE_OBRA!A:B,2,FALSE()),"?")</f>
        <v>AYUDANTE</v>
      </c>
      <c r="F1878" s="44" t="s">
        <v>2778</v>
      </c>
      <c r="G1878" s="45">
        <v>0.6</v>
      </c>
      <c r="H1878" s="46">
        <v>0</v>
      </c>
      <c r="I1878" s="47">
        <f>IFERROR(VLOOKUP(D1878,MANO_DE_OBRA!A:C,3,FALSE()),0)</f>
        <v>60860.580776572002</v>
      </c>
      <c r="J1878" s="42">
        <f>G1878*I1878</f>
        <v>36516.3484659432</v>
      </c>
      <c r="K1878" s="15" t="str">
        <f t="shared" si="211"/>
        <v>REV-135|MO</v>
      </c>
      <c r="L1878" s="15">
        <f>COUNTIFS($K$2:K1878,K1878)</f>
        <v>1</v>
      </c>
      <c r="M1878" s="15" t="str">
        <f t="shared" si="212"/>
        <v>REV-135|MO|1</v>
      </c>
      <c r="N1878" s="47">
        <f>IFERROR(VLOOKUP(A1878,PARTIDAS!A:F,6,FALSE()),0)</f>
        <v>9</v>
      </c>
      <c r="O1878" s="247">
        <f t="shared" si="213"/>
        <v>6.6666666666666666E-2</v>
      </c>
      <c r="P1878" s="247" t="str">
        <f>+_xlfn.XLOOKUP(A1878,PPTO_GENERADOR!Q:Q,PPTO_GENERADOR!E:E,"-",0)</f>
        <v>-</v>
      </c>
      <c r="Q1878" s="247">
        <f t="shared" si="214"/>
        <v>0</v>
      </c>
      <c r="R1878" s="259" t="str">
        <f>+_xlfn.XLOOKUP(A1878,PPTO_GENERADOR!$Q:$Q,PPTO_GENERADOR!A:A,"-",0)</f>
        <v>-</v>
      </c>
    </row>
    <row r="1879" spans="1:18" ht="14.25" customHeight="1" x14ac:dyDescent="0.35">
      <c r="A1879" s="38" t="s">
        <v>2647</v>
      </c>
      <c r="B1879" s="38" t="s">
        <v>2776</v>
      </c>
      <c r="C1879" s="38" t="s">
        <v>2777</v>
      </c>
      <c r="D1879" s="237" t="s">
        <v>1568</v>
      </c>
      <c r="E1879" s="44" t="str">
        <f>IFERROR(VLOOKUP(D1879,MANO_DE_OBRA!A:B,2,FALSE()),"?")</f>
        <v>ESPECIALIZADO</v>
      </c>
      <c r="F1879" s="44" t="s">
        <v>2778</v>
      </c>
      <c r="G1879" s="45">
        <v>1</v>
      </c>
      <c r="H1879" s="46">
        <v>0</v>
      </c>
      <c r="I1879" s="47">
        <f>IFERROR(VLOOKUP(D1879,MANO_DE_OBRA!A:C,3,FALSE()),0)</f>
        <v>85927.097156571996</v>
      </c>
      <c r="J1879" s="42">
        <f>G1879*I1879</f>
        <v>85927.097156571996</v>
      </c>
      <c r="K1879" s="15" t="str">
        <f t="shared" si="211"/>
        <v>REV-135|MO</v>
      </c>
      <c r="L1879" s="15">
        <f>COUNTIFS($K$2:K1879,K1879)</f>
        <v>2</v>
      </c>
      <c r="M1879" s="15" t="str">
        <f t="shared" si="212"/>
        <v>REV-135|MO|2</v>
      </c>
      <c r="N1879" s="47">
        <f>IFERROR(VLOOKUP(A1879,PARTIDAS!A:F,6,FALSE()),0)</f>
        <v>9</v>
      </c>
      <c r="O1879" s="247">
        <f t="shared" si="213"/>
        <v>0.1111111111111111</v>
      </c>
      <c r="P1879" s="247" t="str">
        <f>+_xlfn.XLOOKUP(A1879,PPTO_GENERADOR!Q:Q,PPTO_GENERADOR!E:E,"-",0)</f>
        <v>-</v>
      </c>
      <c r="Q1879" s="247">
        <f t="shared" si="214"/>
        <v>0</v>
      </c>
      <c r="R1879" s="259" t="str">
        <f>+_xlfn.XLOOKUP(A1879,PPTO_GENERADOR!$Q:$Q,PPTO_GENERADOR!A:A,"-",0)</f>
        <v>-</v>
      </c>
    </row>
    <row r="1880" spans="1:18" x14ac:dyDescent="0.35"/>
    <row r="1881" spans="1:18" x14ac:dyDescent="0.35"/>
    <row r="1882" spans="1:18" x14ac:dyDescent="0.35"/>
    <row r="1883" spans="1:18" x14ac:dyDescent="0.35"/>
    <row r="1884" spans="1:18" x14ac:dyDescent="0.35"/>
    <row r="1885" spans="1:18" x14ac:dyDescent="0.35"/>
    <row r="1886" spans="1:18" x14ac:dyDescent="0.35"/>
    <row r="1887" spans="1:18" x14ac:dyDescent="0.35"/>
    <row r="1888" spans="1:1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</sheetData>
  <autoFilter ref="A1:R1879" xr:uid="{00000000-0001-0000-0800-000000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Z220"/>
  <sheetViews>
    <sheetView showGridLines="0" topLeftCell="C1" zoomScale="86" zoomScaleNormal="86" workbookViewId="0">
      <pane ySplit="3" topLeftCell="A197" activePane="bottomLeft" state="frozen"/>
      <selection pane="bottomLeft" activeCell="Q207" sqref="Q207"/>
    </sheetView>
  </sheetViews>
  <sheetFormatPr defaultColWidth="8.6328125" defaultRowHeight="14.5" outlineLevelCol="1" x14ac:dyDescent="0.35"/>
  <cols>
    <col min="1" max="1" width="5.453125" customWidth="1"/>
    <col min="2" max="2" width="31.26953125" bestFit="1" customWidth="1"/>
    <col min="3" max="3" width="54.453125" customWidth="1"/>
    <col min="4" max="4" width="3.90625" style="11" customWidth="1"/>
    <col min="5" max="5" width="7.453125" customWidth="1"/>
    <col min="6" max="6" width="11.7265625" customWidth="1"/>
    <col min="7" max="7" width="12.08984375" customWidth="1"/>
    <col min="8" max="8" width="12.90625" customWidth="1"/>
    <col min="9" max="9" width="9.36328125" customWidth="1"/>
    <col min="10" max="12" width="10.453125" customWidth="1"/>
    <col min="13" max="13" width="12.1796875" customWidth="1"/>
    <col min="14" max="14" width="12.36328125" hidden="1" customWidth="1" outlineLevel="1"/>
    <col min="15" max="15" width="12.36328125" style="48" customWidth="1" collapsed="1"/>
    <col min="16" max="16" width="12.36328125" style="48" customWidth="1"/>
    <col min="17" max="17" width="7.7265625" customWidth="1"/>
    <col min="18" max="18" width="4.36328125" style="11" customWidth="1"/>
    <col min="19" max="19" width="11.54296875" bestFit="1" customWidth="1"/>
    <col min="20" max="20" width="12.36328125" bestFit="1" customWidth="1"/>
    <col min="24" max="24" width="8.6328125" outlineLevel="1"/>
    <col min="25" max="25" width="13.81640625" style="49" customWidth="1" outlineLevel="1"/>
    <col min="26" max="26" width="16.36328125" style="49" customWidth="1" outlineLevel="1"/>
  </cols>
  <sheetData>
    <row r="1" spans="1:26" ht="17.25" customHeight="1" x14ac:dyDescent="0.45">
      <c r="A1" s="1" t="s">
        <v>0</v>
      </c>
      <c r="B1" s="1"/>
      <c r="C1" s="1"/>
      <c r="D1" s="50"/>
      <c r="E1" s="1"/>
      <c r="F1" s="1"/>
      <c r="G1" s="1"/>
      <c r="H1" s="1"/>
      <c r="I1" s="1"/>
      <c r="J1" s="1"/>
      <c r="K1" s="1"/>
      <c r="L1" s="1"/>
    </row>
    <row r="2" spans="1:26" ht="15" customHeight="1" thickBot="1" x14ac:dyDescent="0.4">
      <c r="A2" s="17" t="s">
        <v>1</v>
      </c>
      <c r="G2" s="17" t="s">
        <v>2</v>
      </c>
      <c r="H2" s="51" t="str">
        <f>CONFIG!B11</f>
        <v>Diciembre 2024</v>
      </c>
      <c r="M2" s="52" t="s">
        <v>3</v>
      </c>
      <c r="N2" s="53">
        <v>1.3327</v>
      </c>
    </row>
    <row r="3" spans="1:26" ht="23.25" customHeight="1" x14ac:dyDescent="0.35">
      <c r="A3" s="54" t="s">
        <v>4</v>
      </c>
      <c r="B3" s="55" t="s">
        <v>5</v>
      </c>
      <c r="C3" s="55" t="s">
        <v>6</v>
      </c>
      <c r="D3" s="55" t="s">
        <v>7</v>
      </c>
      <c r="E3" s="56" t="s">
        <v>8</v>
      </c>
      <c r="F3" s="54" t="s">
        <v>9</v>
      </c>
      <c r="G3" s="55" t="s">
        <v>10</v>
      </c>
      <c r="H3" s="55" t="s">
        <v>11</v>
      </c>
      <c r="I3" s="57" t="s">
        <v>12</v>
      </c>
      <c r="J3" s="54" t="s">
        <v>13</v>
      </c>
      <c r="K3" s="55" t="s">
        <v>14</v>
      </c>
      <c r="L3" s="55" t="s">
        <v>15</v>
      </c>
      <c r="M3" s="57" t="s">
        <v>16</v>
      </c>
      <c r="N3" s="58" t="s">
        <v>17</v>
      </c>
      <c r="O3" s="59"/>
      <c r="P3" s="55"/>
      <c r="Q3" s="55" t="s">
        <v>18</v>
      </c>
      <c r="R3" s="57" t="s">
        <v>19</v>
      </c>
      <c r="S3" s="249" t="s">
        <v>20</v>
      </c>
      <c r="T3" s="249" t="s">
        <v>3066</v>
      </c>
      <c r="X3" s="59" t="s">
        <v>21</v>
      </c>
      <c r="Y3" s="60" t="s">
        <v>22</v>
      </c>
      <c r="Z3" s="60" t="s">
        <v>21</v>
      </c>
    </row>
    <row r="4" spans="1:26" ht="15" customHeight="1" x14ac:dyDescent="0.35">
      <c r="A4" s="61">
        <v>1</v>
      </c>
      <c r="B4" s="62"/>
      <c r="C4" s="63" t="s">
        <v>3021</v>
      </c>
      <c r="D4" s="64"/>
      <c r="E4" s="65"/>
      <c r="F4" s="66"/>
      <c r="G4" s="67"/>
      <c r="H4" s="67"/>
      <c r="I4" s="68"/>
      <c r="J4" s="66"/>
      <c r="K4" s="67"/>
      <c r="L4" s="67"/>
      <c r="M4" s="68"/>
      <c r="N4" s="69"/>
      <c r="O4" s="70">
        <f>+SUM(M5:M11)</f>
        <v>15016567.131100364</v>
      </c>
      <c r="P4" s="71">
        <f>+SUM(N5:N11)</f>
        <v>20012579.015617453</v>
      </c>
      <c r="Q4" s="67"/>
      <c r="R4" s="253"/>
      <c r="S4" s="72"/>
      <c r="T4" s="72"/>
    </row>
    <row r="5" spans="1:26" ht="15" customHeight="1" x14ac:dyDescent="0.35">
      <c r="A5" s="73">
        <v>1.02</v>
      </c>
      <c r="B5" s="38" t="s">
        <v>3021</v>
      </c>
      <c r="C5" s="15" t="s">
        <v>23</v>
      </c>
      <c r="D5" s="20" t="s">
        <v>24</v>
      </c>
      <c r="E5" s="74">
        <v>3</v>
      </c>
      <c r="F5" s="75">
        <f>IF(Q5&lt;&gt;"",IFERROR(VLOOKUP(Q5,PARTIDAS!A:P,13,FALSE()),0),0)</f>
        <v>25000</v>
      </c>
      <c r="G5" s="47">
        <f>IF(Q5&lt;&gt;"",IFERROR(VLOOKUP(Q5,PARTIDAS!A:P,14,FALSE()),0),0)</f>
        <v>259597.42541293599</v>
      </c>
      <c r="H5" s="47">
        <f>IF(Q5&lt;&gt;"",IFERROR(VLOOKUP(Q5,PARTIDAS!A:P,15,FALSE()),0),0)</f>
        <v>4268.9613811940299</v>
      </c>
      <c r="I5" s="76">
        <f t="shared" ref="I5:I11" si="0">F5+G5+H5</f>
        <v>288866.38679413003</v>
      </c>
      <c r="J5" s="77">
        <f t="shared" ref="J5:J11" si="1">F5*E5</f>
        <v>75000</v>
      </c>
      <c r="K5" s="42">
        <f t="shared" ref="K5:K11" si="2">G5*E5</f>
        <v>778792.27623880794</v>
      </c>
      <c r="L5" s="42">
        <f t="shared" ref="L5:L11" si="3">H5*E5</f>
        <v>12806.88414358209</v>
      </c>
      <c r="M5" s="76">
        <f t="shared" ref="M5:M11" si="4">I5*E5</f>
        <v>866599.16038239002</v>
      </c>
      <c r="N5" s="78">
        <f t="shared" ref="N5:N11" si="5">M5*$N$2</f>
        <v>1154916.7010416111</v>
      </c>
      <c r="O5" s="79"/>
      <c r="P5" s="80"/>
      <c r="Q5" s="44" t="s">
        <v>25</v>
      </c>
      <c r="R5" s="254">
        <v>1</v>
      </c>
      <c r="S5" s="250" t="s">
        <v>26</v>
      </c>
      <c r="T5" s="257" t="str">
        <f>+_xlfn.XLOOKUP(A5,Sheet1!C:C,Sheet1!A:A,"-",0)</f>
        <v>Preliminares</v>
      </c>
      <c r="Y5" s="49">
        <v>866599.16038238886</v>
      </c>
      <c r="Z5" s="49">
        <f t="shared" ref="Z5:Z68" si="6">+M5-Y5</f>
        <v>1.1641532182693481E-9</v>
      </c>
    </row>
    <row r="6" spans="1:26" ht="15" customHeight="1" x14ac:dyDescent="0.35">
      <c r="A6" s="73">
        <v>1.04</v>
      </c>
      <c r="B6" s="38" t="s">
        <v>3021</v>
      </c>
      <c r="C6" s="15" t="s">
        <v>27</v>
      </c>
      <c r="D6" s="20" t="s">
        <v>28</v>
      </c>
      <c r="E6" s="74">
        <v>10</v>
      </c>
      <c r="F6" s="75">
        <f>IFERROR(VLOOKUP(Q6,PARTIDAS!A:M,13,FALSE()),0)</f>
        <v>88330.702809914539</v>
      </c>
      <c r="G6" s="47">
        <f>IFERROR(VLOOKUP(Q6,PARTIDAS!A:N,14,FALSE()),0)</f>
        <v>101654.366059858</v>
      </c>
      <c r="H6" s="47">
        <f>IFERROR(VLOOKUP(Q6,PARTIDAS!A:O,15,FALSE()),0)</f>
        <v>2849.7760330466299</v>
      </c>
      <c r="I6" s="76">
        <f t="shared" si="0"/>
        <v>192834.84490281917</v>
      </c>
      <c r="J6" s="77">
        <f t="shared" si="1"/>
        <v>883307.02809914539</v>
      </c>
      <c r="K6" s="42">
        <f t="shared" si="2"/>
        <v>1016543.66059858</v>
      </c>
      <c r="L6" s="42">
        <f t="shared" si="3"/>
        <v>28497.760330466299</v>
      </c>
      <c r="M6" s="76">
        <f t="shared" si="4"/>
        <v>1928348.4490281916</v>
      </c>
      <c r="N6" s="78">
        <f t="shared" si="5"/>
        <v>2569909.9780198708</v>
      </c>
      <c r="O6" s="79"/>
      <c r="P6" s="80"/>
      <c r="Q6" s="44" t="s">
        <v>29</v>
      </c>
      <c r="R6" s="254"/>
      <c r="S6" s="250" t="s">
        <v>26</v>
      </c>
      <c r="T6" s="257" t="str">
        <f>+_xlfn.XLOOKUP(A6,Sheet1!C:C,Sheet1!A:A,"-",0)</f>
        <v>Preliminares</v>
      </c>
      <c r="Y6" s="49">
        <v>1928348.4490282191</v>
      </c>
      <c r="Z6" s="49">
        <f t="shared" si="6"/>
        <v>-2.7474015951156616E-8</v>
      </c>
    </row>
    <row r="7" spans="1:26" ht="15" customHeight="1" x14ac:dyDescent="0.35">
      <c r="A7" s="73">
        <v>1.05</v>
      </c>
      <c r="B7" s="38" t="s">
        <v>3021</v>
      </c>
      <c r="C7" s="15" t="s">
        <v>30</v>
      </c>
      <c r="D7" s="20" t="s">
        <v>24</v>
      </c>
      <c r="E7" s="74">
        <v>1</v>
      </c>
      <c r="F7" s="75">
        <f>IFERROR(VLOOKUP(Q7,PARTIDAS!A:M,13,FALSE()),0)</f>
        <v>2078824.6995041324</v>
      </c>
      <c r="G7" s="47">
        <f>IFERROR(VLOOKUP(Q7,PARTIDAS!A:N,14,FALSE()),0)</f>
        <v>5174962.8553190362</v>
      </c>
      <c r="H7" s="47">
        <f>IFERROR(VLOOKUP(Q7,PARTIDAS!A:O,15,FALSE()),0)</f>
        <v>108806.813322348</v>
      </c>
      <c r="I7" s="76">
        <f t="shared" si="0"/>
        <v>7362594.3681455161</v>
      </c>
      <c r="J7" s="77">
        <f t="shared" si="1"/>
        <v>2078824.6995041324</v>
      </c>
      <c r="K7" s="42">
        <f t="shared" si="2"/>
        <v>5174962.8553190362</v>
      </c>
      <c r="L7" s="42">
        <f t="shared" si="3"/>
        <v>108806.813322348</v>
      </c>
      <c r="M7" s="76">
        <f t="shared" si="4"/>
        <v>7362594.3681455161</v>
      </c>
      <c r="N7" s="78">
        <f t="shared" si="5"/>
        <v>9812129.5144275296</v>
      </c>
      <c r="O7" s="79"/>
      <c r="P7" s="80"/>
      <c r="Q7" s="44" t="s">
        <v>31</v>
      </c>
      <c r="R7" s="254"/>
      <c r="S7" s="250" t="s">
        <v>26</v>
      </c>
      <c r="T7" s="257" t="str">
        <f>+_xlfn.XLOOKUP(A7,Sheet1!C:C,Sheet1!A:A,"-",0)</f>
        <v>Preliminares</v>
      </c>
      <c r="Y7" s="49">
        <v>7362594.3681455143</v>
      </c>
      <c r="Z7" s="49">
        <f t="shared" si="6"/>
        <v>0</v>
      </c>
    </row>
    <row r="8" spans="1:26" ht="15" customHeight="1" x14ac:dyDescent="0.35">
      <c r="A8" s="73">
        <v>1.06</v>
      </c>
      <c r="B8" s="38" t="s">
        <v>3021</v>
      </c>
      <c r="C8" s="15" t="s">
        <v>32</v>
      </c>
      <c r="D8" s="20" t="s">
        <v>33</v>
      </c>
      <c r="E8" s="74">
        <v>4</v>
      </c>
      <c r="F8" s="75">
        <f>IF(Q8&lt;&gt;"",IFERROR(VLOOKUP(Q8,PARTIDAS!A:P,13,FALSE()),0),0)</f>
        <v>0</v>
      </c>
      <c r="G8" s="47">
        <f>IF(Q8&lt;&gt;"",IFERROR(VLOOKUP(Q8,PARTIDAS!A:P,14,FALSE()),0),0)</f>
        <v>332285.5428914217</v>
      </c>
      <c r="H8" s="47">
        <f>IF(Q8&lt;&gt;"",IFERROR(VLOOKUP(Q8,PARTIDAS!A:P,15,FALSE()),0),0)</f>
        <v>0</v>
      </c>
      <c r="I8" s="76">
        <f t="shared" si="0"/>
        <v>332285.5428914217</v>
      </c>
      <c r="J8" s="77">
        <f t="shared" si="1"/>
        <v>0</v>
      </c>
      <c r="K8" s="42">
        <f t="shared" si="2"/>
        <v>1329142.1715656868</v>
      </c>
      <c r="L8" s="42">
        <f t="shared" si="3"/>
        <v>0</v>
      </c>
      <c r="M8" s="76">
        <f t="shared" si="4"/>
        <v>1329142.1715656868</v>
      </c>
      <c r="N8" s="78">
        <f t="shared" si="5"/>
        <v>1771347.7720455909</v>
      </c>
      <c r="O8" s="79"/>
      <c r="P8" s="80"/>
      <c r="Q8" s="44" t="s">
        <v>34</v>
      </c>
      <c r="R8" s="254">
        <v>1</v>
      </c>
      <c r="S8" s="250" t="s">
        <v>26</v>
      </c>
      <c r="T8" s="257" t="str">
        <f>+_xlfn.XLOOKUP(A8,Sheet1!C:C,Sheet1!A:A,"-",0)</f>
        <v>Preliminares</v>
      </c>
      <c r="Y8" s="49">
        <v>1329142.1715656871</v>
      </c>
      <c r="Z8" s="49">
        <f t="shared" si="6"/>
        <v>0</v>
      </c>
    </row>
    <row r="9" spans="1:26" ht="15" customHeight="1" x14ac:dyDescent="0.35">
      <c r="A9" s="73">
        <v>1.07</v>
      </c>
      <c r="B9" s="38" t="s">
        <v>3021</v>
      </c>
      <c r="C9" s="15" t="s">
        <v>35</v>
      </c>
      <c r="D9" s="20" t="s">
        <v>24</v>
      </c>
      <c r="E9" s="74">
        <v>1</v>
      </c>
      <c r="F9" s="75">
        <f>IF(Q9&lt;&gt;"",IFERROR(VLOOKUP(Q9,PARTIDAS!A:P,13,FALSE()),0),0)</f>
        <v>1090000</v>
      </c>
      <c r="G9" s="47">
        <f>IF(Q9&lt;&gt;"",IFERROR(VLOOKUP(Q9,PARTIDAS!A:P,14,FALSE()),0),0)</f>
        <v>601395.67469257605</v>
      </c>
      <c r="H9" s="47">
        <f>IF(Q9&lt;&gt;"",IFERROR(VLOOKUP(Q9,PARTIDAS!A:P,15,FALSE()),0),0)</f>
        <v>25370.9351203886</v>
      </c>
      <c r="I9" s="76">
        <f t="shared" si="0"/>
        <v>1716766.6098129647</v>
      </c>
      <c r="J9" s="77">
        <f t="shared" si="1"/>
        <v>1090000</v>
      </c>
      <c r="K9" s="42">
        <f t="shared" si="2"/>
        <v>601395.67469257605</v>
      </c>
      <c r="L9" s="42">
        <f t="shared" si="3"/>
        <v>25370.9351203886</v>
      </c>
      <c r="M9" s="76">
        <f t="shared" si="4"/>
        <v>1716766.6098129647</v>
      </c>
      <c r="N9" s="78">
        <f t="shared" si="5"/>
        <v>2287934.860897738</v>
      </c>
      <c r="O9" s="79"/>
      <c r="P9" s="80"/>
      <c r="Q9" s="44" t="s">
        <v>36</v>
      </c>
      <c r="R9" s="254">
        <v>1</v>
      </c>
      <c r="S9" s="250" t="s">
        <v>26</v>
      </c>
      <c r="T9" s="257" t="str">
        <f>+_xlfn.XLOOKUP(A9,Sheet1!C:C,Sheet1!A:A,"-",0)</f>
        <v>Preliminares</v>
      </c>
      <c r="Y9" s="49">
        <v>1716766.609812964</v>
      </c>
      <c r="Z9" s="49">
        <f t="shared" si="6"/>
        <v>0</v>
      </c>
    </row>
    <row r="10" spans="1:26" ht="15" customHeight="1" x14ac:dyDescent="0.35">
      <c r="A10" s="73">
        <v>1.08</v>
      </c>
      <c r="B10" s="38" t="s">
        <v>3021</v>
      </c>
      <c r="C10" s="15" t="s">
        <v>37</v>
      </c>
      <c r="D10" s="20" t="s">
        <v>24</v>
      </c>
      <c r="E10" s="74">
        <v>1</v>
      </c>
      <c r="F10" s="75">
        <f>IF(Q10&lt;&gt;"",IFERROR(VLOOKUP(Q10,PARTIDAS!A:P,13,FALSE()),0),0)</f>
        <v>685200</v>
      </c>
      <c r="G10" s="47">
        <f>IF(Q10&lt;&gt;"",IFERROR(VLOOKUP(Q10,PARTIDAS!A:P,14,FALSE()),0),0)</f>
        <v>651528.70745257591</v>
      </c>
      <c r="H10" s="47">
        <f>IF(Q10&lt;&gt;"",IFERROR(VLOOKUP(Q10,PARTIDAS!A:P,15,FALSE()),0),0)</f>
        <v>20050.930611788601</v>
      </c>
      <c r="I10" s="76">
        <f t="shared" si="0"/>
        <v>1356779.6380643644</v>
      </c>
      <c r="J10" s="77">
        <f t="shared" si="1"/>
        <v>685200</v>
      </c>
      <c r="K10" s="42">
        <f t="shared" si="2"/>
        <v>651528.70745257591</v>
      </c>
      <c r="L10" s="42">
        <f t="shared" si="3"/>
        <v>20050.930611788601</v>
      </c>
      <c r="M10" s="76">
        <f t="shared" si="4"/>
        <v>1356779.6380643644</v>
      </c>
      <c r="N10" s="78">
        <f t="shared" si="5"/>
        <v>1808180.2236483784</v>
      </c>
      <c r="O10" s="79"/>
      <c r="P10" s="80"/>
      <c r="Q10" s="44" t="s">
        <v>38</v>
      </c>
      <c r="R10" s="254">
        <v>1</v>
      </c>
      <c r="S10" s="250" t="s">
        <v>26</v>
      </c>
      <c r="T10" s="257" t="str">
        <f>+_xlfn.XLOOKUP(A10,Sheet1!C:C,Sheet1!A:A,"-",0)</f>
        <v>Preliminares</v>
      </c>
      <c r="Y10" s="49">
        <v>1356779.638064364</v>
      </c>
      <c r="Z10" s="49">
        <f t="shared" si="6"/>
        <v>0</v>
      </c>
    </row>
    <row r="11" spans="1:26" ht="15" customHeight="1" x14ac:dyDescent="0.35">
      <c r="A11" s="73">
        <v>1.0900000000000001</v>
      </c>
      <c r="B11" s="38" t="s">
        <v>3021</v>
      </c>
      <c r="C11" s="15" t="s">
        <v>39</v>
      </c>
      <c r="D11" s="20" t="s">
        <v>24</v>
      </c>
      <c r="E11" s="74">
        <v>1</v>
      </c>
      <c r="F11" s="75">
        <f>IF(Q11&lt;&gt;"",IFERROR(VLOOKUP(Q11,PARTIDAS!A:P,13,FALSE()),0),0)</f>
        <v>0</v>
      </c>
      <c r="G11" s="81">
        <f>IF(Q11&lt;&gt;"",IFERROR(VLOOKUP(Q11,PARTIDAS!A:P,14,FALSE()),0),0)</f>
        <v>456336.73410124914</v>
      </c>
      <c r="H11" s="47">
        <f>IF(Q11&lt;&gt;"",IFERROR(VLOOKUP(Q11,PARTIDAS!A:P,15,FALSE()),0),0)</f>
        <v>0</v>
      </c>
      <c r="I11" s="76">
        <f t="shared" si="0"/>
        <v>456336.73410124914</v>
      </c>
      <c r="J11" s="77">
        <f t="shared" si="1"/>
        <v>0</v>
      </c>
      <c r="K11" s="42">
        <f t="shared" si="2"/>
        <v>456336.73410124914</v>
      </c>
      <c r="L11" s="42">
        <f t="shared" si="3"/>
        <v>0</v>
      </c>
      <c r="M11" s="76">
        <f t="shared" si="4"/>
        <v>456336.73410124914</v>
      </c>
      <c r="N11" s="78">
        <f t="shared" si="5"/>
        <v>608159.96553673467</v>
      </c>
      <c r="O11" s="79"/>
      <c r="P11" s="80"/>
      <c r="Q11" s="44" t="s">
        <v>40</v>
      </c>
      <c r="R11" s="254">
        <v>1</v>
      </c>
      <c r="S11" s="250" t="s">
        <v>26</v>
      </c>
      <c r="T11" s="257" t="str">
        <f>+_xlfn.XLOOKUP(A11,Sheet1!C:C,Sheet1!A:A,"-",0)</f>
        <v>-</v>
      </c>
      <c r="X11" t="s">
        <v>41</v>
      </c>
      <c r="Y11" s="49">
        <v>362691.08508372848</v>
      </c>
      <c r="Z11" s="49">
        <f t="shared" si="6"/>
        <v>93645.649017520656</v>
      </c>
    </row>
    <row r="12" spans="1:26" ht="15" customHeight="1" x14ac:dyDescent="0.35">
      <c r="A12" s="61">
        <v>2</v>
      </c>
      <c r="B12" s="62"/>
      <c r="C12" s="63" t="s">
        <v>3023</v>
      </c>
      <c r="D12" s="64"/>
      <c r="E12" s="65"/>
      <c r="F12" s="66"/>
      <c r="G12" s="67"/>
      <c r="H12" s="67"/>
      <c r="I12" s="68"/>
      <c r="J12" s="66"/>
      <c r="K12" s="67"/>
      <c r="L12" s="67"/>
      <c r="M12" s="68"/>
      <c r="N12" s="69"/>
      <c r="O12" s="70">
        <f>+SUM(M13:M15)</f>
        <v>22247478.107879702</v>
      </c>
      <c r="P12" s="71">
        <f>+SUM(N13:N15)</f>
        <v>29649214.074371278</v>
      </c>
      <c r="Q12" s="67"/>
      <c r="R12" s="253"/>
      <c r="S12" s="251"/>
      <c r="T12" s="258"/>
      <c r="Y12" s="49">
        <v>0</v>
      </c>
      <c r="Z12" s="49">
        <f t="shared" si="6"/>
        <v>0</v>
      </c>
    </row>
    <row r="13" spans="1:26" ht="15" customHeight="1" x14ac:dyDescent="0.35">
      <c r="A13" s="73">
        <v>2.0099999999999998</v>
      </c>
      <c r="B13" s="38" t="s">
        <v>3023</v>
      </c>
      <c r="C13" s="15" t="s">
        <v>42</v>
      </c>
      <c r="D13" s="20" t="s">
        <v>43</v>
      </c>
      <c r="E13" s="74">
        <v>308</v>
      </c>
      <c r="F13" s="75">
        <f>IF(Q13&lt;&gt;"",IFERROR(VLOOKUP(Q13,PARTIDAS!A:P,13,FALSE()),0),0)</f>
        <v>0</v>
      </c>
      <c r="G13" s="47">
        <f>IF(Q13&lt;&gt;"",IFERROR(VLOOKUP(Q13,PARTIDAS!A:P,14,FALSE()),0),0)</f>
        <v>39520.776511775563</v>
      </c>
      <c r="H13" s="47">
        <f>IF(Q13&lt;&gt;"",IFERROR(VLOOKUP(Q13,PARTIDAS!A:P,15,FALSE()),0),0)</f>
        <v>97.811647676633498</v>
      </c>
      <c r="I13" s="76">
        <f>F13+G13+H13</f>
        <v>39618.588159452192</v>
      </c>
      <c r="J13" s="77">
        <f>F13*E13</f>
        <v>0</v>
      </c>
      <c r="K13" s="42">
        <f>G13*E13</f>
        <v>12172399.165626872</v>
      </c>
      <c r="L13" s="42">
        <f>H13*E13</f>
        <v>30125.987484403118</v>
      </c>
      <c r="M13" s="76">
        <f>I13*E13</f>
        <v>12202525.153111275</v>
      </c>
      <c r="N13" s="78">
        <f>M13*$N$2</f>
        <v>16262305.271551397</v>
      </c>
      <c r="O13" s="79"/>
      <c r="P13" s="80"/>
      <c r="Q13" s="44" t="s">
        <v>44</v>
      </c>
      <c r="R13" s="254">
        <v>1</v>
      </c>
      <c r="S13" s="250" t="s">
        <v>26</v>
      </c>
      <c r="T13" s="257" t="str">
        <f>+_xlfn.XLOOKUP(A13,Sheet1!C:C,Sheet1!A:A,"-",0)</f>
        <v>Hormigón</v>
      </c>
      <c r="Y13" s="49">
        <v>12202525.153111281</v>
      </c>
      <c r="Z13" s="49">
        <f t="shared" si="6"/>
        <v>0</v>
      </c>
    </row>
    <row r="14" spans="1:26" ht="15" customHeight="1" x14ac:dyDescent="0.35">
      <c r="A14" s="73">
        <v>2.02</v>
      </c>
      <c r="B14" s="38" t="s">
        <v>3023</v>
      </c>
      <c r="C14" s="15" t="s">
        <v>45</v>
      </c>
      <c r="D14" s="20" t="s">
        <v>24</v>
      </c>
      <c r="E14" s="74">
        <v>1</v>
      </c>
      <c r="F14" s="75">
        <f>IF(Q14&lt;&gt;"",IFERROR(VLOOKUP(Q14,PARTIDAS!A:P,13,FALSE()),0),0)</f>
        <v>105000</v>
      </c>
      <c r="G14" s="47">
        <f>IF(Q14&lt;&gt;"",IFERROR(VLOOKUP(Q14,PARTIDAS!A:P,14,FALSE()),0),0)</f>
        <v>8488596.6625075042</v>
      </c>
      <c r="H14" s="47">
        <f>IF(Q14&lt;&gt;"",IFERROR(VLOOKUP(Q14,PARTIDAS!A:P,15,FALSE()),0),0)</f>
        <v>128903.949937613</v>
      </c>
      <c r="I14" s="76">
        <f>F14+G14+H14</f>
        <v>8722500.6124451179</v>
      </c>
      <c r="J14" s="77">
        <f>F14*E14</f>
        <v>105000</v>
      </c>
      <c r="K14" s="42">
        <f>G14*E14</f>
        <v>8488596.6625075042</v>
      </c>
      <c r="L14" s="42">
        <f>H14*E14</f>
        <v>128903.949937613</v>
      </c>
      <c r="M14" s="76">
        <f>I14*E14</f>
        <v>8722500.6124451179</v>
      </c>
      <c r="N14" s="78">
        <f>M14*$N$2</f>
        <v>11624476.566205608</v>
      </c>
      <c r="O14" s="79"/>
      <c r="P14" s="80"/>
      <c r="Q14" s="44" t="s">
        <v>46</v>
      </c>
      <c r="R14" s="254">
        <v>1</v>
      </c>
      <c r="S14" s="250" t="s">
        <v>26</v>
      </c>
      <c r="T14" s="257" t="str">
        <f>+_xlfn.XLOOKUP(A14,Sheet1!C:C,Sheet1!A:A,"-",0)</f>
        <v>Preliminares</v>
      </c>
      <c r="Y14" s="49">
        <v>8722500.6124451123</v>
      </c>
      <c r="Z14" s="49">
        <f t="shared" si="6"/>
        <v>0</v>
      </c>
    </row>
    <row r="15" spans="1:26" ht="15" customHeight="1" x14ac:dyDescent="0.35">
      <c r="A15" s="73">
        <v>2.0299999999999998</v>
      </c>
      <c r="B15" s="38" t="s">
        <v>3023</v>
      </c>
      <c r="C15" s="15" t="s">
        <v>47</v>
      </c>
      <c r="D15" s="20" t="s">
        <v>43</v>
      </c>
      <c r="E15" s="74">
        <v>15</v>
      </c>
      <c r="F15" s="75">
        <f>IF(Q15&lt;&gt;"",IFERROR(VLOOKUP(Q15,PARTIDAS!A:P,13,FALSE()),0),0)</f>
        <v>26000</v>
      </c>
      <c r="G15" s="47">
        <f>IF(Q15&lt;&gt;"",IFERROR(VLOOKUP(Q15,PARTIDAS!A:P,14,FALSE()),0),0)</f>
        <v>60860.580776572002</v>
      </c>
      <c r="H15" s="47">
        <f>IF(Q15&lt;&gt;"",IFERROR(VLOOKUP(Q15,PARTIDAS!A:P,15,FALSE()),0),0)</f>
        <v>1302.90871164858</v>
      </c>
      <c r="I15" s="76">
        <f>F15+G15+H15</f>
        <v>88163.48948822057</v>
      </c>
      <c r="J15" s="77">
        <f>F15*E15</f>
        <v>390000</v>
      </c>
      <c r="K15" s="42">
        <f>G15*E15</f>
        <v>912908.71164858004</v>
      </c>
      <c r="L15" s="42">
        <f>H15*E15</f>
        <v>19543.630674728702</v>
      </c>
      <c r="M15" s="76">
        <f>I15*E15</f>
        <v>1322452.3423233086</v>
      </c>
      <c r="N15" s="78">
        <f>M15*$N$2</f>
        <v>1762432.2366142734</v>
      </c>
      <c r="O15" s="79"/>
      <c r="P15" s="80"/>
      <c r="Q15" s="44" t="s">
        <v>48</v>
      </c>
      <c r="R15" s="254">
        <v>1</v>
      </c>
      <c r="S15" s="250" t="s">
        <v>26</v>
      </c>
      <c r="T15" s="257" t="str">
        <f>+_xlfn.XLOOKUP(A15,Sheet1!C:C,Sheet1!A:A,"-",0)</f>
        <v>Preliminares</v>
      </c>
      <c r="Y15" s="49">
        <v>1322452.3423233081</v>
      </c>
      <c r="Z15" s="49">
        <f t="shared" si="6"/>
        <v>0</v>
      </c>
    </row>
    <row r="16" spans="1:26" ht="15" customHeight="1" x14ac:dyDescent="0.35">
      <c r="A16" s="61">
        <v>3</v>
      </c>
      <c r="B16" s="62"/>
      <c r="C16" s="63" t="s">
        <v>3024</v>
      </c>
      <c r="D16" s="64"/>
      <c r="E16" s="65"/>
      <c r="F16" s="66"/>
      <c r="G16" s="67"/>
      <c r="H16" s="67"/>
      <c r="I16" s="68"/>
      <c r="J16" s="66"/>
      <c r="K16" s="67"/>
      <c r="L16" s="67"/>
      <c r="M16" s="68"/>
      <c r="N16" s="69"/>
      <c r="O16" s="70">
        <f>+SUM(M17:M37)</f>
        <v>338680876.79410756</v>
      </c>
      <c r="P16" s="71">
        <f>+SUM(N17:N37)</f>
        <v>451360004.5035072</v>
      </c>
      <c r="Q16" s="67"/>
      <c r="R16" s="253"/>
      <c r="S16" s="251"/>
      <c r="T16" s="258"/>
      <c r="Y16" s="49">
        <v>0</v>
      </c>
      <c r="Z16" s="49">
        <f t="shared" si="6"/>
        <v>0</v>
      </c>
    </row>
    <row r="17" spans="1:26" ht="15" customHeight="1" x14ac:dyDescent="0.35">
      <c r="A17" s="73">
        <v>3.01</v>
      </c>
      <c r="B17" s="38" t="s">
        <v>3024</v>
      </c>
      <c r="C17" s="15" t="s">
        <v>50</v>
      </c>
      <c r="D17" s="20" t="s">
        <v>43</v>
      </c>
      <c r="E17" s="74">
        <v>13</v>
      </c>
      <c r="F17" s="75">
        <f>IF(Q17&lt;&gt;"",IFERROR(VLOOKUP(Q17,PARTIDAS!A:P,13,FALSE()),0),0)</f>
        <v>115100</v>
      </c>
      <c r="G17" s="47">
        <f>IF(Q17&lt;&gt;"",IFERROR(VLOOKUP(Q17,PARTIDAS!A:P,14,FALSE()),0),0)</f>
        <v>101603.58188318773</v>
      </c>
      <c r="H17" s="47">
        <f>IF(Q17&lt;&gt;"",IFERROR(VLOOKUP(Q17,PARTIDAS!A:P,15,FALSE()),0),0)</f>
        <v>3250.5537282478099</v>
      </c>
      <c r="I17" s="76">
        <f t="shared" ref="I17:I37" si="7">F17+G17+H17</f>
        <v>219954.13561143554</v>
      </c>
      <c r="J17" s="77">
        <f t="shared" ref="J17:J37" si="8">F17*E17</f>
        <v>1496300</v>
      </c>
      <c r="K17" s="42">
        <f t="shared" ref="K17:K37" si="9">G17*E17</f>
        <v>1320846.5644814405</v>
      </c>
      <c r="L17" s="42">
        <f t="shared" ref="L17:L37" si="10">H17*E17</f>
        <v>42257.198467221526</v>
      </c>
      <c r="M17" s="76">
        <f t="shared" ref="M17:M37" si="11">I17*E17</f>
        <v>2859403.762948662</v>
      </c>
      <c r="N17" s="78">
        <f t="shared" ref="N17:N37" si="12">M17*$N$2</f>
        <v>3810727.394881682</v>
      </c>
      <c r="O17" s="79"/>
      <c r="P17" s="80"/>
      <c r="Q17" s="44" t="s">
        <v>51</v>
      </c>
      <c r="R17" s="254">
        <v>1</v>
      </c>
      <c r="S17" s="250" t="s">
        <v>26</v>
      </c>
      <c r="T17" s="257" t="str">
        <f>+_xlfn.XLOOKUP(A17,Sheet1!C:C,Sheet1!A:A,"-",0)</f>
        <v>Hormigón</v>
      </c>
      <c r="Y17" s="49">
        <v>2859403.7629486611</v>
      </c>
      <c r="Z17" s="49">
        <f t="shared" si="6"/>
        <v>0</v>
      </c>
    </row>
    <row r="18" spans="1:26" ht="15" customHeight="1" x14ac:dyDescent="0.35">
      <c r="A18" s="73">
        <v>3.02</v>
      </c>
      <c r="B18" s="38" t="s">
        <v>3024</v>
      </c>
      <c r="C18" s="15" t="s">
        <v>52</v>
      </c>
      <c r="D18" s="20" t="s">
        <v>53</v>
      </c>
      <c r="E18" s="74">
        <v>18</v>
      </c>
      <c r="F18" s="75">
        <f>IF(Q18&lt;&gt;"",IFERROR(VLOOKUP(Q18,PARTIDAS!A:P,13,FALSE()),0),0)</f>
        <v>90570.796343999973</v>
      </c>
      <c r="G18" s="47">
        <f>IF(Q18&lt;&gt;"",IFERROR(VLOOKUP(Q18,PARTIDAS!A:P,14,FALSE()),0),0)</f>
        <v>250000.0000000002</v>
      </c>
      <c r="H18" s="47">
        <f>IF(Q18&lt;&gt;"",IFERROR(VLOOKUP(Q18,PARTIDAS!A:P,15,FALSE()),0),0)</f>
        <v>5108.5619451599996</v>
      </c>
      <c r="I18" s="76">
        <f t="shared" si="7"/>
        <v>345679.35828916013</v>
      </c>
      <c r="J18" s="77">
        <f t="shared" si="8"/>
        <v>1630274.3341919994</v>
      </c>
      <c r="K18" s="42">
        <f t="shared" si="9"/>
        <v>4500000.0000000037</v>
      </c>
      <c r="L18" s="42">
        <f t="shared" si="10"/>
        <v>91954.115012879993</v>
      </c>
      <c r="M18" s="76">
        <f t="shared" si="11"/>
        <v>6222228.4492048826</v>
      </c>
      <c r="N18" s="78">
        <f t="shared" si="12"/>
        <v>8292363.8542553466</v>
      </c>
      <c r="O18" s="79"/>
      <c r="P18" s="80"/>
      <c r="Q18" s="44" t="s">
        <v>54</v>
      </c>
      <c r="R18" s="254">
        <v>1</v>
      </c>
      <c r="S18" s="250" t="s">
        <v>26</v>
      </c>
      <c r="T18" s="257" t="str">
        <f>+_xlfn.XLOOKUP(A18,Sheet1!C:C,Sheet1!A:A,"-",0)</f>
        <v>-</v>
      </c>
      <c r="Y18" s="49">
        <v>6222228.4492048807</v>
      </c>
      <c r="Z18" s="49">
        <f t="shared" si="6"/>
        <v>0</v>
      </c>
    </row>
    <row r="19" spans="1:26" ht="15" customHeight="1" x14ac:dyDescent="0.35">
      <c r="A19" s="73">
        <v>3.03</v>
      </c>
      <c r="B19" s="38" t="s">
        <v>3024</v>
      </c>
      <c r="C19" s="15" t="s">
        <v>55</v>
      </c>
      <c r="D19" s="20" t="s">
        <v>43</v>
      </c>
      <c r="E19" s="74">
        <v>12</v>
      </c>
      <c r="F19" s="75">
        <f>IF(Q19&lt;&gt;"",IFERROR(VLOOKUP(Q19,PARTIDAS!A:P,13,FALSE()),0),0)</f>
        <v>402072.54172518197</v>
      </c>
      <c r="G19" s="47">
        <f>IF(Q19&lt;&gt;"",IFERROR(VLOOKUP(Q19,PARTIDAS!A:P,14,FALSE()),0),0)</f>
        <v>357640.8998745</v>
      </c>
      <c r="H19" s="47">
        <f>IF(Q19&lt;&gt;"",IFERROR(VLOOKUP(Q19,PARTIDAS!A:P,15,FALSE()),0),0)</f>
        <v>11395.701623995201</v>
      </c>
      <c r="I19" s="76">
        <f t="shared" si="7"/>
        <v>771109.14322367718</v>
      </c>
      <c r="J19" s="77">
        <f t="shared" si="8"/>
        <v>4824870.5007021837</v>
      </c>
      <c r="K19" s="42">
        <f t="shared" si="9"/>
        <v>4291690.798494</v>
      </c>
      <c r="L19" s="42">
        <f t="shared" si="10"/>
        <v>136748.41948794242</v>
      </c>
      <c r="M19" s="76">
        <f t="shared" si="11"/>
        <v>9253309.7186841257</v>
      </c>
      <c r="N19" s="78">
        <f t="shared" si="12"/>
        <v>12331885.862090334</v>
      </c>
      <c r="O19" s="79"/>
      <c r="P19" s="80"/>
      <c r="Q19" s="44" t="s">
        <v>56</v>
      </c>
      <c r="R19" s="254">
        <v>1</v>
      </c>
      <c r="S19" s="250" t="s">
        <v>26</v>
      </c>
      <c r="T19" s="257" t="str">
        <f>+_xlfn.XLOOKUP(A19,Sheet1!C:C,Sheet1!A:A,"-",0)</f>
        <v>-</v>
      </c>
      <c r="Y19" s="49">
        <v>9253309.7186841145</v>
      </c>
      <c r="Z19" s="49">
        <f t="shared" si="6"/>
        <v>0</v>
      </c>
    </row>
    <row r="20" spans="1:26" ht="15" customHeight="1" x14ac:dyDescent="0.35">
      <c r="A20" s="73">
        <v>3.04</v>
      </c>
      <c r="B20" s="38" t="s">
        <v>3024</v>
      </c>
      <c r="C20" s="15" t="s">
        <v>57</v>
      </c>
      <c r="D20" s="20" t="s">
        <v>43</v>
      </c>
      <c r="E20" s="74">
        <v>7</v>
      </c>
      <c r="F20" s="75">
        <f>IF(Q20&lt;&gt;"",IFERROR(VLOOKUP(Q20,PARTIDAS!A:P,13,FALSE()),0),0)</f>
        <v>428196.58025620203</v>
      </c>
      <c r="G20" s="47">
        <f>IF(Q20&lt;&gt;"",IFERROR(VLOOKUP(Q20,PARTIDAS!A:P,14,FALSE()),0),0)</f>
        <v>281633.96217538603</v>
      </c>
      <c r="H20" s="47">
        <f>IF(Q20&lt;&gt;"",IFERROR(VLOOKUP(Q20,PARTIDAS!A:P,15,FALSE()),0),0)</f>
        <v>10647.458136473801</v>
      </c>
      <c r="I20" s="76">
        <f t="shared" si="7"/>
        <v>720478.00056806183</v>
      </c>
      <c r="J20" s="77">
        <f t="shared" si="8"/>
        <v>2997376.0617934139</v>
      </c>
      <c r="K20" s="42">
        <f t="shared" si="9"/>
        <v>1971437.7352277022</v>
      </c>
      <c r="L20" s="42">
        <f t="shared" si="10"/>
        <v>74532.206955316607</v>
      </c>
      <c r="M20" s="76">
        <f t="shared" si="11"/>
        <v>5043346.0039764326</v>
      </c>
      <c r="N20" s="78">
        <f t="shared" si="12"/>
        <v>6721267.2194993915</v>
      </c>
      <c r="O20" s="79"/>
      <c r="P20" s="80"/>
      <c r="Q20" s="44" t="s">
        <v>58</v>
      </c>
      <c r="R20" s="254">
        <v>1</v>
      </c>
      <c r="S20" s="250" t="s">
        <v>26</v>
      </c>
      <c r="T20" s="257" t="str">
        <f>+_xlfn.XLOOKUP(A20,Sheet1!C:C,Sheet1!A:A,"-",0)</f>
        <v>-</v>
      </c>
      <c r="Y20" s="49">
        <v>5043346.0039764335</v>
      </c>
      <c r="Z20" s="49">
        <f t="shared" si="6"/>
        <v>0</v>
      </c>
    </row>
    <row r="21" spans="1:26" ht="15" customHeight="1" x14ac:dyDescent="0.35">
      <c r="A21" s="73">
        <v>3.05</v>
      </c>
      <c r="B21" s="38" t="s">
        <v>3024</v>
      </c>
      <c r="C21" s="15" t="s">
        <v>59</v>
      </c>
      <c r="D21" s="20" t="s">
        <v>43</v>
      </c>
      <c r="E21" s="74">
        <v>38</v>
      </c>
      <c r="F21" s="75">
        <f>IF(Q21&lt;&gt;"",IFERROR(VLOOKUP(Q21,PARTIDAS!A:P,13,FALSE()),0),0)</f>
        <v>333700.50579037803</v>
      </c>
      <c r="G21" s="47">
        <f>IF(Q21&lt;&gt;"",IFERROR(VLOOKUP(Q21,PARTIDAS!A:P,14,FALSE()),0),0)</f>
        <v>194327.43390101599</v>
      </c>
      <c r="H21" s="47">
        <f>IF(Q21&lt;&gt;"",IFERROR(VLOOKUP(Q21,PARTIDAS!A:P,15,FALSE()),0),0)</f>
        <v>7920.4190953709203</v>
      </c>
      <c r="I21" s="76">
        <f t="shared" si="7"/>
        <v>535948.3587867649</v>
      </c>
      <c r="J21" s="77">
        <f t="shared" si="8"/>
        <v>12680619.220034365</v>
      </c>
      <c r="K21" s="42">
        <f t="shared" si="9"/>
        <v>7384442.4882386075</v>
      </c>
      <c r="L21" s="42">
        <f t="shared" si="10"/>
        <v>300975.92562409496</v>
      </c>
      <c r="M21" s="76">
        <f t="shared" si="11"/>
        <v>20366037.633897066</v>
      </c>
      <c r="N21" s="78">
        <f t="shared" si="12"/>
        <v>27141818.35469462</v>
      </c>
      <c r="O21" s="79"/>
      <c r="P21" s="80"/>
      <c r="Q21" s="44" t="s">
        <v>60</v>
      </c>
      <c r="R21" s="254">
        <v>1</v>
      </c>
      <c r="S21" s="250" t="s">
        <v>26</v>
      </c>
      <c r="T21" s="257" t="str">
        <f>+_xlfn.XLOOKUP(A21,Sheet1!C:C,Sheet1!A:A,"-",0)</f>
        <v>-</v>
      </c>
      <c r="Y21" s="49">
        <v>20366037.633897081</v>
      </c>
      <c r="Z21" s="49">
        <f t="shared" si="6"/>
        <v>0</v>
      </c>
    </row>
    <row r="22" spans="1:26" ht="15" customHeight="1" x14ac:dyDescent="0.35">
      <c r="A22" s="73">
        <v>3.06</v>
      </c>
      <c r="B22" s="38" t="s">
        <v>3024</v>
      </c>
      <c r="C22" s="15" t="s">
        <v>61</v>
      </c>
      <c r="D22" s="20" t="s">
        <v>43</v>
      </c>
      <c r="E22" s="74">
        <v>51</v>
      </c>
      <c r="F22" s="75">
        <f>IF(Q22&lt;&gt;"",IFERROR(VLOOKUP(Q22,PARTIDAS!A:P,13,FALSE()),0),0)</f>
        <v>275042.37829037802</v>
      </c>
      <c r="G22" s="47">
        <f>IF(Q22&lt;&gt;"",IFERROR(VLOOKUP(Q22,PARTIDAS!A:P,14,FALSE()),0),0)</f>
        <v>194327.43390101599</v>
      </c>
      <c r="H22" s="47">
        <f>IF(Q22&lt;&gt;"",IFERROR(VLOOKUP(Q22,PARTIDAS!A:P,15,FALSE()),0),0)</f>
        <v>7040.5471828709196</v>
      </c>
      <c r="I22" s="76">
        <f t="shared" si="7"/>
        <v>476410.35937426495</v>
      </c>
      <c r="J22" s="77">
        <f t="shared" si="8"/>
        <v>14027161.29280928</v>
      </c>
      <c r="K22" s="42">
        <f t="shared" si="9"/>
        <v>9910699.1289518159</v>
      </c>
      <c r="L22" s="42">
        <f t="shared" si="10"/>
        <v>359067.90632641688</v>
      </c>
      <c r="M22" s="76">
        <f t="shared" si="11"/>
        <v>24296928.328087512</v>
      </c>
      <c r="N22" s="78">
        <f t="shared" si="12"/>
        <v>32380516.382842228</v>
      </c>
      <c r="O22" s="79"/>
      <c r="P22" s="80"/>
      <c r="Q22" s="44" t="s">
        <v>62</v>
      </c>
      <c r="R22" s="254">
        <v>1</v>
      </c>
      <c r="S22" s="250" t="s">
        <v>26</v>
      </c>
      <c r="T22" s="257" t="str">
        <f>+_xlfn.XLOOKUP(A22,Sheet1!C:C,Sheet1!A:A,"-",0)</f>
        <v>-</v>
      </c>
      <c r="Y22" s="49">
        <v>24296928.328087531</v>
      </c>
      <c r="Z22" s="49">
        <f t="shared" si="6"/>
        <v>0</v>
      </c>
    </row>
    <row r="23" spans="1:26" ht="15" customHeight="1" x14ac:dyDescent="0.35">
      <c r="A23" s="73">
        <v>3.07</v>
      </c>
      <c r="B23" s="38" t="s">
        <v>3024</v>
      </c>
      <c r="C23" s="15" t="s">
        <v>63</v>
      </c>
      <c r="D23" s="20" t="s">
        <v>43</v>
      </c>
      <c r="E23" s="74">
        <v>16</v>
      </c>
      <c r="F23" s="75">
        <f>IF(Q23&lt;&gt;"",IFERROR(VLOOKUP(Q23,PARTIDAS!A:P,13,FALSE()),0),0)</f>
        <v>635192.71722613997</v>
      </c>
      <c r="G23" s="47">
        <f>IF(Q23&lt;&gt;"",IFERROR(VLOOKUP(Q23,PARTIDAS!A:P,14,FALSE()),0),0)</f>
        <v>317914.04751247499</v>
      </c>
      <c r="H23" s="47">
        <f>IF(Q23&lt;&gt;"",IFERROR(VLOOKUP(Q23,PARTIDAS!A:P,15,FALSE()),0),0)</f>
        <v>14296.601471079201</v>
      </c>
      <c r="I23" s="76">
        <f t="shared" si="7"/>
        <v>967403.36620969407</v>
      </c>
      <c r="J23" s="77">
        <f t="shared" si="8"/>
        <v>10163083.475618239</v>
      </c>
      <c r="K23" s="42">
        <f t="shared" si="9"/>
        <v>5086624.7601995999</v>
      </c>
      <c r="L23" s="42">
        <f t="shared" si="10"/>
        <v>228745.62353726721</v>
      </c>
      <c r="M23" s="76">
        <f t="shared" si="11"/>
        <v>15478453.859355105</v>
      </c>
      <c r="N23" s="78">
        <f t="shared" si="12"/>
        <v>20628135.45836255</v>
      </c>
      <c r="O23" s="79"/>
      <c r="P23" s="80"/>
      <c r="Q23" s="44" t="s">
        <v>64</v>
      </c>
      <c r="R23" s="254">
        <v>1</v>
      </c>
      <c r="S23" s="250" t="s">
        <v>26</v>
      </c>
      <c r="T23" s="257" t="str">
        <f>+_xlfn.XLOOKUP(A23,Sheet1!C:C,Sheet1!A:A,"-",0)</f>
        <v>-</v>
      </c>
      <c r="Y23" s="49">
        <v>15478453.859355111</v>
      </c>
      <c r="Z23" s="49">
        <f t="shared" si="6"/>
        <v>0</v>
      </c>
    </row>
    <row r="24" spans="1:26" ht="15" customHeight="1" x14ac:dyDescent="0.35">
      <c r="A24" s="73">
        <v>3.08</v>
      </c>
      <c r="B24" s="38" t="s">
        <v>3024</v>
      </c>
      <c r="C24" s="15" t="s">
        <v>65</v>
      </c>
      <c r="D24" s="20" t="s">
        <v>43</v>
      </c>
      <c r="E24" s="74">
        <v>7</v>
      </c>
      <c r="F24" s="75">
        <f>IF(Q24&lt;&gt;"",IFERROR(VLOOKUP(Q24,PARTIDAS!A:P,13,FALSE()),0),0)</f>
        <v>528753.37025620299</v>
      </c>
      <c r="G24" s="47">
        <f>IF(Q24&lt;&gt;"",IFERROR(VLOOKUP(Q24,PARTIDAS!A:P,14,FALSE()),0),0)</f>
        <v>281633.96217538603</v>
      </c>
      <c r="H24" s="47">
        <f>IF(Q24&lt;&gt;"",IFERROR(VLOOKUP(Q24,PARTIDAS!A:P,15,FALSE()),0),0)</f>
        <v>12155.8099864738</v>
      </c>
      <c r="I24" s="76">
        <f t="shared" si="7"/>
        <v>822543.14241806278</v>
      </c>
      <c r="J24" s="77">
        <f t="shared" si="8"/>
        <v>3701273.5917934207</v>
      </c>
      <c r="K24" s="42">
        <f t="shared" si="9"/>
        <v>1971437.7352277022</v>
      </c>
      <c r="L24" s="42">
        <f t="shared" si="10"/>
        <v>85090.669905316594</v>
      </c>
      <c r="M24" s="76">
        <f t="shared" si="11"/>
        <v>5757801.9969264399</v>
      </c>
      <c r="N24" s="78">
        <f t="shared" si="12"/>
        <v>7673422.7213038662</v>
      </c>
      <c r="O24" s="79"/>
      <c r="P24" s="80"/>
      <c r="Q24" s="44" t="s">
        <v>66</v>
      </c>
      <c r="R24" s="254">
        <v>1</v>
      </c>
      <c r="S24" s="250" t="s">
        <v>26</v>
      </c>
      <c r="T24" s="257" t="str">
        <f>+_xlfn.XLOOKUP(A24,Sheet1!C:C,Sheet1!A:A,"-",0)</f>
        <v>-</v>
      </c>
      <c r="Y24" s="49">
        <v>5757801.9969264353</v>
      </c>
      <c r="Z24" s="49">
        <f t="shared" si="6"/>
        <v>0</v>
      </c>
    </row>
    <row r="25" spans="1:26" ht="15" customHeight="1" x14ac:dyDescent="0.35">
      <c r="A25" s="73">
        <v>3.09</v>
      </c>
      <c r="B25" s="38" t="s">
        <v>3024</v>
      </c>
      <c r="C25" s="15" t="s">
        <v>67</v>
      </c>
      <c r="D25" s="20" t="s">
        <v>43</v>
      </c>
      <c r="E25" s="74">
        <v>90</v>
      </c>
      <c r="F25" s="75">
        <f>IF(Q25&lt;&gt;"",IFERROR(VLOOKUP(Q25,PARTIDAS!A:P,13,FALSE()),0),0)</f>
        <v>372584.32994905498</v>
      </c>
      <c r="G25" s="47">
        <f>IF(Q25&lt;&gt;"",IFERROR(VLOOKUP(Q25,PARTIDAS!A:P,14,FALSE()),0),0)</f>
        <v>221790.794932641</v>
      </c>
      <c r="H25" s="47">
        <f>IF(Q25&lt;&gt;"",IFERROR(VLOOKUP(Q25,PARTIDAS!A:P,15,FALSE()),0),0)</f>
        <v>8915.6268732254393</v>
      </c>
      <c r="I25" s="76">
        <f t="shared" si="7"/>
        <v>603290.7517549214</v>
      </c>
      <c r="J25" s="77">
        <f t="shared" si="8"/>
        <v>33532589.695414949</v>
      </c>
      <c r="K25" s="42">
        <f t="shared" si="9"/>
        <v>19961171.543937691</v>
      </c>
      <c r="L25" s="42">
        <f t="shared" si="10"/>
        <v>802406.41859028954</v>
      </c>
      <c r="M25" s="76">
        <f t="shared" si="11"/>
        <v>54296167.657942928</v>
      </c>
      <c r="N25" s="78">
        <f t="shared" si="12"/>
        <v>72360502.637740538</v>
      </c>
      <c r="O25" s="79"/>
      <c r="P25" s="80"/>
      <c r="Q25" s="44" t="s">
        <v>68</v>
      </c>
      <c r="R25" s="254">
        <v>1</v>
      </c>
      <c r="S25" s="250" t="s">
        <v>26</v>
      </c>
      <c r="T25" s="257" t="str">
        <f>+_xlfn.XLOOKUP(A25,Sheet1!C:C,Sheet1!A:A,"-",0)</f>
        <v>-</v>
      </c>
      <c r="Y25" s="49">
        <v>54296167.657942951</v>
      </c>
      <c r="Z25" s="49">
        <f t="shared" si="6"/>
        <v>0</v>
      </c>
    </row>
    <row r="26" spans="1:26" ht="15" customHeight="1" x14ac:dyDescent="0.35">
      <c r="A26" s="73">
        <v>3.1</v>
      </c>
      <c r="B26" s="38" t="s">
        <v>3024</v>
      </c>
      <c r="C26" s="15" t="s">
        <v>69</v>
      </c>
      <c r="D26" s="20" t="s">
        <v>43</v>
      </c>
      <c r="E26" s="74">
        <v>32</v>
      </c>
      <c r="F26" s="75">
        <f>IF(Q26&lt;&gt;"",IFERROR(VLOOKUP(Q26,PARTIDAS!A:P,13,FALSE()),0),0)</f>
        <v>379758.83388002298</v>
      </c>
      <c r="G26" s="47">
        <f>IF(Q26&lt;&gt;"",IFERROR(VLOOKUP(Q26,PARTIDAS!A:P,14,FALSE()),0),0)</f>
        <v>277238.49366580101</v>
      </c>
      <c r="H26" s="47">
        <f>IF(Q26&lt;&gt;"",IFERROR(VLOOKUP(Q26,PARTIDAS!A:P,15,FALSE()),0),0)</f>
        <v>9854.9599131873692</v>
      </c>
      <c r="I26" s="76">
        <f t="shared" si="7"/>
        <v>666852.28745901142</v>
      </c>
      <c r="J26" s="77">
        <f t="shared" si="8"/>
        <v>12152282.684160735</v>
      </c>
      <c r="K26" s="42">
        <f t="shared" si="9"/>
        <v>8871631.7973056324</v>
      </c>
      <c r="L26" s="42">
        <f t="shared" si="10"/>
        <v>315358.71722199582</v>
      </c>
      <c r="M26" s="76">
        <f t="shared" si="11"/>
        <v>21339273.198688366</v>
      </c>
      <c r="N26" s="78">
        <f t="shared" si="12"/>
        <v>28438849.391891986</v>
      </c>
      <c r="O26" s="79"/>
      <c r="P26" s="80"/>
      <c r="Q26" s="44" t="s">
        <v>70</v>
      </c>
      <c r="R26" s="254">
        <v>1</v>
      </c>
      <c r="S26" s="250" t="s">
        <v>26</v>
      </c>
      <c r="T26" s="257" t="str">
        <f>+_xlfn.XLOOKUP(A26,Sheet1!C:C,Sheet1!A:A,"-",0)</f>
        <v>Hormigón</v>
      </c>
      <c r="Y26" s="49">
        <v>21339273.198688392</v>
      </c>
      <c r="Z26" s="49">
        <f t="shared" si="6"/>
        <v>0</v>
      </c>
    </row>
    <row r="27" spans="1:26" ht="15" customHeight="1" x14ac:dyDescent="0.35">
      <c r="A27" s="73">
        <v>3.11</v>
      </c>
      <c r="B27" s="38" t="s">
        <v>3024</v>
      </c>
      <c r="C27" s="15" t="s">
        <v>71</v>
      </c>
      <c r="D27" s="20" t="s">
        <v>43</v>
      </c>
      <c r="E27" s="74">
        <v>46</v>
      </c>
      <c r="F27" s="75">
        <f>IF(Q27&lt;&gt;"",IFERROR(VLOOKUP(Q27,PARTIDAS!A:P,13,FALSE()),0),0)</f>
        <v>567913.50664448505</v>
      </c>
      <c r="G27" s="47">
        <f>IF(Q27&lt;&gt;"",IFERROR(VLOOKUP(Q27,PARTIDAS!A:P,14,FALSE()),0),0)</f>
        <v>537036.80674123298</v>
      </c>
      <c r="H27" s="47">
        <f>IF(Q27&lt;&gt;"",IFERROR(VLOOKUP(Q27,PARTIDAS!A:P,15,FALSE()),0),0)</f>
        <v>16574.254700785801</v>
      </c>
      <c r="I27" s="76">
        <f t="shared" si="7"/>
        <v>1121524.5680865038</v>
      </c>
      <c r="J27" s="77">
        <f t="shared" si="8"/>
        <v>26124021.305646311</v>
      </c>
      <c r="K27" s="42">
        <f t="shared" si="9"/>
        <v>24703693.110096715</v>
      </c>
      <c r="L27" s="42">
        <f t="shared" si="10"/>
        <v>762415.71623614687</v>
      </c>
      <c r="M27" s="76">
        <f t="shared" si="11"/>
        <v>51590130.131979175</v>
      </c>
      <c r="N27" s="78">
        <f t="shared" si="12"/>
        <v>68754166.426888645</v>
      </c>
      <c r="O27" s="79"/>
      <c r="P27" s="80"/>
      <c r="Q27" s="44" t="s">
        <v>72</v>
      </c>
      <c r="R27" s="254">
        <v>1</v>
      </c>
      <c r="S27" s="250" t="s">
        <v>26</v>
      </c>
      <c r="T27" s="257" t="str">
        <f>+_xlfn.XLOOKUP(A27,Sheet1!C:C,Sheet1!A:A,"-",0)</f>
        <v>-</v>
      </c>
      <c r="Y27" s="49">
        <v>51590130.131979167</v>
      </c>
      <c r="Z27" s="49">
        <f t="shared" si="6"/>
        <v>0</v>
      </c>
    </row>
    <row r="28" spans="1:26" ht="15" customHeight="1" x14ac:dyDescent="0.35">
      <c r="A28" s="73">
        <v>3.12</v>
      </c>
      <c r="B28" s="38" t="s">
        <v>3024</v>
      </c>
      <c r="C28" s="15" t="s">
        <v>73</v>
      </c>
      <c r="D28" s="20" t="s">
        <v>43</v>
      </c>
      <c r="E28" s="74">
        <v>31</v>
      </c>
      <c r="F28" s="75">
        <f>IF(Q28&lt;&gt;"",IFERROR(VLOOKUP(Q28,PARTIDAS!A:P,13,FALSE()),0),0)</f>
        <v>565756.86506570596</v>
      </c>
      <c r="G28" s="47">
        <f>IF(Q28&lt;&gt;"",IFERROR(VLOOKUP(Q28,PARTIDAS!A:P,14,FALSE()),0),0)</f>
        <v>671296.008426541</v>
      </c>
      <c r="H28" s="47">
        <f>IF(Q28&lt;&gt;"",IFERROR(VLOOKUP(Q28,PARTIDAS!A:P,15,FALSE()),0),0)</f>
        <v>18555.793102383701</v>
      </c>
      <c r="I28" s="76">
        <f t="shared" si="7"/>
        <v>1255608.6665946306</v>
      </c>
      <c r="J28" s="77">
        <f t="shared" si="8"/>
        <v>17538462.817036886</v>
      </c>
      <c r="K28" s="42">
        <f t="shared" si="9"/>
        <v>20810176.261222772</v>
      </c>
      <c r="L28" s="42">
        <f t="shared" si="10"/>
        <v>575229.5861738947</v>
      </c>
      <c r="M28" s="76">
        <f t="shared" si="11"/>
        <v>38923868.664433546</v>
      </c>
      <c r="N28" s="78">
        <f t="shared" si="12"/>
        <v>51873839.769090585</v>
      </c>
      <c r="O28" s="79"/>
      <c r="P28" s="80"/>
      <c r="Q28" s="44" t="s">
        <v>74</v>
      </c>
      <c r="R28" s="254">
        <v>1</v>
      </c>
      <c r="S28" s="250" t="s">
        <v>26</v>
      </c>
      <c r="T28" s="257" t="str">
        <f>+_xlfn.XLOOKUP(A28,Sheet1!C:C,Sheet1!A:A,"-",0)</f>
        <v>Hormigón</v>
      </c>
      <c r="Y28" s="49">
        <v>38923868.664433546</v>
      </c>
      <c r="Z28" s="49">
        <f t="shared" si="6"/>
        <v>0</v>
      </c>
    </row>
    <row r="29" spans="1:26" ht="15" customHeight="1" x14ac:dyDescent="0.35">
      <c r="A29" s="73">
        <v>3.13</v>
      </c>
      <c r="B29" s="38" t="s">
        <v>3024</v>
      </c>
      <c r="C29" s="15" t="s">
        <v>75</v>
      </c>
      <c r="D29" s="20" t="s">
        <v>43</v>
      </c>
      <c r="E29" s="74">
        <v>24</v>
      </c>
      <c r="F29" s="75">
        <f>IF(Q29&lt;&gt;"",IFERROR(VLOOKUP(Q29,PARTIDAS!A:P,13,FALSE()),0),0)</f>
        <v>410452.27422518202</v>
      </c>
      <c r="G29" s="47">
        <f>IF(Q29&lt;&gt;"",IFERROR(VLOOKUP(Q29,PARTIDAS!A:P,14,FALSE()),0),0)</f>
        <v>357640.8998745</v>
      </c>
      <c r="H29" s="47">
        <f>IF(Q29&lt;&gt;"",IFERROR(VLOOKUP(Q29,PARTIDAS!A:P,15,FALSE()),0),0)</f>
        <v>11521.3976114952</v>
      </c>
      <c r="I29" s="76">
        <f t="shared" si="7"/>
        <v>779614.57171117724</v>
      </c>
      <c r="J29" s="77">
        <f t="shared" si="8"/>
        <v>9850854.5814043693</v>
      </c>
      <c r="K29" s="42">
        <f t="shared" si="9"/>
        <v>8583381.596988</v>
      </c>
      <c r="L29" s="42">
        <f t="shared" si="10"/>
        <v>276513.54267588479</v>
      </c>
      <c r="M29" s="76">
        <f t="shared" si="11"/>
        <v>18710749.721068256</v>
      </c>
      <c r="N29" s="78">
        <f t="shared" si="12"/>
        <v>24935816.153267663</v>
      </c>
      <c r="O29" s="79"/>
      <c r="P29" s="80"/>
      <c r="Q29" s="44" t="s">
        <v>76</v>
      </c>
      <c r="R29" s="254">
        <v>1</v>
      </c>
      <c r="S29" s="250" t="s">
        <v>26</v>
      </c>
      <c r="T29" s="257" t="str">
        <f>+_xlfn.XLOOKUP(A29,Sheet1!C:C,Sheet1!A:A,"-",0)</f>
        <v>-</v>
      </c>
      <c r="Y29" s="49">
        <v>18710749.72106823</v>
      </c>
      <c r="Z29" s="49">
        <f t="shared" si="6"/>
        <v>0</v>
      </c>
    </row>
    <row r="30" spans="1:26" ht="15" customHeight="1" x14ac:dyDescent="0.35">
      <c r="A30" s="73">
        <v>3.14</v>
      </c>
      <c r="B30" s="38" t="s">
        <v>3024</v>
      </c>
      <c r="C30" s="15" t="s">
        <v>77</v>
      </c>
      <c r="D30" s="20" t="s">
        <v>43</v>
      </c>
      <c r="E30" s="74">
        <v>39</v>
      </c>
      <c r="F30" s="75">
        <f>IF(Q30&lt;&gt;"",IFERROR(VLOOKUP(Q30,PARTIDAS!A:P,13,FALSE()),0),0)</f>
        <v>534635.92722614005</v>
      </c>
      <c r="G30" s="47">
        <f>IF(Q30&lt;&gt;"",IFERROR(VLOOKUP(Q30,PARTIDAS!A:P,14,FALSE()),0),0)</f>
        <v>317914.04751247499</v>
      </c>
      <c r="H30" s="47">
        <f>IF(Q30&lt;&gt;"",IFERROR(VLOOKUP(Q30,PARTIDAS!A:P,15,FALSE()),0),0)</f>
        <v>12788.2496210792</v>
      </c>
      <c r="I30" s="76">
        <f t="shared" si="7"/>
        <v>865338.22435969429</v>
      </c>
      <c r="J30" s="77">
        <f t="shared" si="8"/>
        <v>20850801.161819462</v>
      </c>
      <c r="K30" s="42">
        <f t="shared" si="9"/>
        <v>12398647.852986524</v>
      </c>
      <c r="L30" s="42">
        <f t="shared" si="10"/>
        <v>498741.73522208881</v>
      </c>
      <c r="M30" s="76">
        <f t="shared" si="11"/>
        <v>33748190.750028074</v>
      </c>
      <c r="N30" s="78">
        <f t="shared" si="12"/>
        <v>44976213.812562414</v>
      </c>
      <c r="O30" s="79"/>
      <c r="P30" s="80"/>
      <c r="Q30" s="44" t="s">
        <v>78</v>
      </c>
      <c r="R30" s="254">
        <v>1</v>
      </c>
      <c r="S30" s="250" t="s">
        <v>26</v>
      </c>
      <c r="T30" s="257" t="str">
        <f>+_xlfn.XLOOKUP(A30,Sheet1!C:C,Sheet1!A:A,"-",0)</f>
        <v>-</v>
      </c>
      <c r="Y30" s="49">
        <v>33748190.750028066</v>
      </c>
      <c r="Z30" s="49">
        <f t="shared" si="6"/>
        <v>0</v>
      </c>
    </row>
    <row r="31" spans="1:26" ht="15" customHeight="1" x14ac:dyDescent="0.35">
      <c r="A31" s="73">
        <v>3.16</v>
      </c>
      <c r="B31" s="38" t="s">
        <v>3024</v>
      </c>
      <c r="C31" s="15" t="s">
        <v>79</v>
      </c>
      <c r="D31" s="20" t="s">
        <v>43</v>
      </c>
      <c r="E31" s="74">
        <v>4</v>
      </c>
      <c r="F31" s="75">
        <f>IF(Q31&lt;&gt;"",IFERROR(VLOOKUP(Q31,PARTIDAS!A:P,13,FALSE()),0),0)</f>
        <v>543657.96059143299</v>
      </c>
      <c r="G31" s="47">
        <f>IF(Q31&lt;&gt;"",IFERROR(VLOOKUP(Q31,PARTIDAS!A:P,14,FALSE()),0),0)</f>
        <v>397392.55939059303</v>
      </c>
      <c r="H31" s="47">
        <f>IF(Q31&lt;&gt;"",IFERROR(VLOOKUP(Q31,PARTIDAS!A:P,15,FALSE()),0),0)</f>
        <v>0</v>
      </c>
      <c r="I31" s="76">
        <f t="shared" si="7"/>
        <v>941050.51998202596</v>
      </c>
      <c r="J31" s="77">
        <f t="shared" si="8"/>
        <v>2174631.842365732</v>
      </c>
      <c r="K31" s="42">
        <f t="shared" si="9"/>
        <v>1589570.2375623721</v>
      </c>
      <c r="L31" s="42">
        <f t="shared" si="10"/>
        <v>0</v>
      </c>
      <c r="M31" s="76">
        <f t="shared" si="11"/>
        <v>3764202.0799281038</v>
      </c>
      <c r="N31" s="78">
        <f t="shared" si="12"/>
        <v>5016552.1119201835</v>
      </c>
      <c r="O31" s="79"/>
      <c r="P31" s="80"/>
      <c r="Q31" s="44" t="s">
        <v>80</v>
      </c>
      <c r="R31" s="254">
        <v>1</v>
      </c>
      <c r="S31" s="250" t="s">
        <v>26</v>
      </c>
      <c r="T31" s="257" t="str">
        <f>+_xlfn.XLOOKUP(A31,Sheet1!C:C,Sheet1!A:A,"-",0)</f>
        <v>Hormigón</v>
      </c>
      <c r="Y31" s="49">
        <v>3764202.0799281038</v>
      </c>
      <c r="Z31" s="49">
        <f t="shared" si="6"/>
        <v>0</v>
      </c>
    </row>
    <row r="32" spans="1:26" ht="15" customHeight="1" x14ac:dyDescent="0.35">
      <c r="A32" s="73">
        <v>3.17</v>
      </c>
      <c r="B32" s="38" t="s">
        <v>3024</v>
      </c>
      <c r="C32" s="15" t="s">
        <v>81</v>
      </c>
      <c r="D32" s="20" t="s">
        <v>43</v>
      </c>
      <c r="E32" s="74">
        <v>10</v>
      </c>
      <c r="F32" s="75">
        <f>IF(Q32&lt;&gt;"",IFERROR(VLOOKUP(Q32,PARTIDAS!A:P,13,FALSE()),0),0)</f>
        <v>416173.60204176803</v>
      </c>
      <c r="G32" s="47">
        <f>IF(Q32&lt;&gt;"",IFERROR(VLOOKUP(Q32,PARTIDAS!A:P,14,FALSE()),0),0)</f>
        <v>405530.54369979398</v>
      </c>
      <c r="H32" s="47">
        <f>IF(Q32&lt;&gt;"",IFERROR(VLOOKUP(Q32,PARTIDAS!A:P,15,FALSE()),0),0)</f>
        <v>12325.562186123399</v>
      </c>
      <c r="I32" s="76">
        <f t="shared" si="7"/>
        <v>834029.70792768546</v>
      </c>
      <c r="J32" s="77">
        <f t="shared" si="8"/>
        <v>4161736.02041768</v>
      </c>
      <c r="K32" s="42">
        <f t="shared" si="9"/>
        <v>4055305.4369979398</v>
      </c>
      <c r="L32" s="42">
        <f t="shared" si="10"/>
        <v>123255.62186123399</v>
      </c>
      <c r="M32" s="76">
        <f t="shared" si="11"/>
        <v>8340297.0792768542</v>
      </c>
      <c r="N32" s="78">
        <f t="shared" si="12"/>
        <v>11115113.917552264</v>
      </c>
      <c r="O32" s="79"/>
      <c r="P32" s="80"/>
      <c r="Q32" s="44" t="s">
        <v>82</v>
      </c>
      <c r="R32" s="254">
        <v>1</v>
      </c>
      <c r="S32" s="250" t="s">
        <v>26</v>
      </c>
      <c r="T32" s="257" t="str">
        <f>+_xlfn.XLOOKUP(A32,Sheet1!C:C,Sheet1!A:A,"-",0)</f>
        <v>Hormigón</v>
      </c>
      <c r="Y32" s="49">
        <v>8340297.0792768542</v>
      </c>
      <c r="Z32" s="49">
        <f t="shared" si="6"/>
        <v>0</v>
      </c>
    </row>
    <row r="33" spans="1:26" ht="15" customHeight="1" x14ac:dyDescent="0.35">
      <c r="A33" s="73">
        <v>3.18</v>
      </c>
      <c r="B33" s="38" t="s">
        <v>3024</v>
      </c>
      <c r="C33" s="15" t="s">
        <v>83</v>
      </c>
      <c r="D33" s="20" t="s">
        <v>43</v>
      </c>
      <c r="E33" s="74">
        <v>6</v>
      </c>
      <c r="F33" s="75">
        <f>IF(Q33&lt;&gt;"",IFERROR(VLOOKUP(Q33,PARTIDAS!A:P,13,FALSE()),0),0)</f>
        <v>410452.27422518202</v>
      </c>
      <c r="G33" s="47">
        <f>IF(Q33&lt;&gt;"",IFERROR(VLOOKUP(Q33,PARTIDAS!A:P,14,FALSE()),0),0)</f>
        <v>357640.8998745</v>
      </c>
      <c r="H33" s="47">
        <f>IF(Q33&lt;&gt;"",IFERROR(VLOOKUP(Q33,PARTIDAS!A:P,15,FALSE()),0),0)</f>
        <v>11521.3976114952</v>
      </c>
      <c r="I33" s="76">
        <f t="shared" si="7"/>
        <v>779614.57171117724</v>
      </c>
      <c r="J33" s="77">
        <f t="shared" si="8"/>
        <v>2462713.6453510923</v>
      </c>
      <c r="K33" s="42">
        <f t="shared" si="9"/>
        <v>2145845.399247</v>
      </c>
      <c r="L33" s="42">
        <f t="shared" si="10"/>
        <v>69128.385668971197</v>
      </c>
      <c r="M33" s="76">
        <f t="shared" si="11"/>
        <v>4677687.4302670639</v>
      </c>
      <c r="N33" s="78">
        <f t="shared" si="12"/>
        <v>6233954.0383169157</v>
      </c>
      <c r="O33" s="79"/>
      <c r="P33" s="80"/>
      <c r="Q33" s="44" t="s">
        <v>84</v>
      </c>
      <c r="R33" s="254"/>
      <c r="S33" s="250" t="s">
        <v>26</v>
      </c>
      <c r="T33" s="257" t="str">
        <f>+_xlfn.XLOOKUP(A33,Sheet1!C:C,Sheet1!A:A,"-",0)</f>
        <v>-</v>
      </c>
      <c r="Y33" s="49">
        <v>4677687.4302670574</v>
      </c>
      <c r="Z33" s="49">
        <f t="shared" si="6"/>
        <v>0</v>
      </c>
    </row>
    <row r="34" spans="1:26" ht="15" customHeight="1" x14ac:dyDescent="0.35">
      <c r="A34" s="73">
        <v>3.19</v>
      </c>
      <c r="B34" s="38" t="s">
        <v>3024</v>
      </c>
      <c r="C34" s="15" t="s">
        <v>85</v>
      </c>
      <c r="D34" s="20" t="s">
        <v>24</v>
      </c>
      <c r="E34" s="74">
        <v>1</v>
      </c>
      <c r="F34" s="75">
        <f>IF(Q34&lt;&gt;"",IFERROR(VLOOKUP(Q34,PARTIDAS!A:P,13,FALSE()),0),0)</f>
        <v>0</v>
      </c>
      <c r="G34" s="47">
        <f>IF(Q34&lt;&gt;"",IFERROR(VLOOKUP(Q34,PARTIDAS!A:P,14,FALSE()),0),0)</f>
        <v>0</v>
      </c>
      <c r="H34" s="47">
        <f>IF(Q34&lt;&gt;"",IFERROR(VLOOKUP(Q34,PARTIDAS!A:P,15,FALSE()),0),0)</f>
        <v>8458556.625</v>
      </c>
      <c r="I34" s="76">
        <f t="shared" si="7"/>
        <v>8458556.625</v>
      </c>
      <c r="J34" s="77">
        <f t="shared" si="8"/>
        <v>0</v>
      </c>
      <c r="K34" s="42">
        <f t="shared" si="9"/>
        <v>0</v>
      </c>
      <c r="L34" s="42">
        <f t="shared" si="10"/>
        <v>8458556.625</v>
      </c>
      <c r="M34" s="76">
        <f t="shared" si="11"/>
        <v>8458556.625</v>
      </c>
      <c r="N34" s="78">
        <f t="shared" si="12"/>
        <v>11272718.414137499</v>
      </c>
      <c r="O34" s="79"/>
      <c r="P34" s="80"/>
      <c r="Q34" s="44" t="s">
        <v>86</v>
      </c>
      <c r="R34" s="254">
        <v>1</v>
      </c>
      <c r="S34" s="250" t="s">
        <v>26</v>
      </c>
      <c r="T34" s="257" t="str">
        <f>+_xlfn.XLOOKUP(A34,Sheet1!C:C,Sheet1!A:A,"-",0)</f>
        <v>-</v>
      </c>
      <c r="Y34" s="49">
        <v>8458556.625</v>
      </c>
      <c r="Z34" s="49">
        <f t="shared" si="6"/>
        <v>0</v>
      </c>
    </row>
    <row r="35" spans="1:26" ht="15" customHeight="1" x14ac:dyDescent="0.35">
      <c r="A35" s="73">
        <v>3.2</v>
      </c>
      <c r="B35" s="38" t="s">
        <v>3024</v>
      </c>
      <c r="C35" s="15" t="s">
        <v>87</v>
      </c>
      <c r="D35" s="20" t="s">
        <v>53</v>
      </c>
      <c r="E35" s="74">
        <v>15</v>
      </c>
      <c r="F35" s="75">
        <f>IF(Q35&lt;&gt;"",IFERROR(VLOOKUP(Q35,PARTIDAS!A:P,13,FALSE()),0),0)</f>
        <v>0</v>
      </c>
      <c r="G35" s="47">
        <f>IF(Q35&lt;&gt;"",IFERROR(VLOOKUP(Q35,PARTIDAS!A:P,14,FALSE()),0),0)</f>
        <v>228712</v>
      </c>
      <c r="H35" s="47">
        <f>IF(Q35&lt;&gt;"",IFERROR(VLOOKUP(Q35,PARTIDAS!A:P,15,FALSE()),0),0)</f>
        <v>0</v>
      </c>
      <c r="I35" s="76">
        <f t="shared" si="7"/>
        <v>228712</v>
      </c>
      <c r="J35" s="77">
        <f t="shared" si="8"/>
        <v>0</v>
      </c>
      <c r="K35" s="42">
        <f t="shared" si="9"/>
        <v>3430680</v>
      </c>
      <c r="L35" s="42">
        <f t="shared" si="10"/>
        <v>0</v>
      </c>
      <c r="M35" s="76">
        <f t="shared" si="11"/>
        <v>3430680</v>
      </c>
      <c r="N35" s="78">
        <f t="shared" si="12"/>
        <v>4572067.2359999996</v>
      </c>
      <c r="O35" s="79"/>
      <c r="P35" s="80"/>
      <c r="Q35" s="44" t="s">
        <v>88</v>
      </c>
      <c r="R35" s="254">
        <v>1</v>
      </c>
      <c r="S35" s="250" t="s">
        <v>26</v>
      </c>
      <c r="T35" s="257" t="str">
        <f>+_xlfn.XLOOKUP(A35,Sheet1!C:C,Sheet1!A:A,"-",0)</f>
        <v>-</v>
      </c>
      <c r="Y35" s="49">
        <v>3430680</v>
      </c>
      <c r="Z35" s="49">
        <f t="shared" si="6"/>
        <v>0</v>
      </c>
    </row>
    <row r="36" spans="1:26" ht="15" customHeight="1" x14ac:dyDescent="0.35">
      <c r="A36" s="73">
        <v>3.21</v>
      </c>
      <c r="B36" s="38" t="s">
        <v>3024</v>
      </c>
      <c r="C36" s="15" t="s">
        <v>89</v>
      </c>
      <c r="D36" s="20" t="s">
        <v>24</v>
      </c>
      <c r="E36" s="74">
        <v>3</v>
      </c>
      <c r="F36" s="75">
        <f>IF(Q36&lt;&gt;"",IFERROR(VLOOKUP(Q36,PARTIDAS!A:P,13,FALSE()),0),0)</f>
        <v>51239.669421487597</v>
      </c>
      <c r="G36" s="47">
        <f>IF(Q36&lt;&gt;"",IFERROR(VLOOKUP(Q36,PARTIDAS!A:P,14,FALSE()),0),0)</f>
        <v>0</v>
      </c>
      <c r="H36" s="47">
        <f>IF(Q36&lt;&gt;"",IFERROR(VLOOKUP(Q36,PARTIDAS!A:P,15,FALSE()),0),0)</f>
        <v>0</v>
      </c>
      <c r="I36" s="76">
        <f t="shared" si="7"/>
        <v>51239.669421487597</v>
      </c>
      <c r="J36" s="77">
        <f t="shared" si="8"/>
        <v>153719.00826446278</v>
      </c>
      <c r="K36" s="42">
        <f t="shared" si="9"/>
        <v>0</v>
      </c>
      <c r="L36" s="42">
        <f t="shared" si="10"/>
        <v>0</v>
      </c>
      <c r="M36" s="76">
        <f t="shared" si="11"/>
        <v>153719.00826446278</v>
      </c>
      <c r="N36" s="78">
        <f t="shared" si="12"/>
        <v>204861.32231404955</v>
      </c>
      <c r="O36" s="79"/>
      <c r="P36" s="80"/>
      <c r="Q36" s="44" t="s">
        <v>90</v>
      </c>
      <c r="R36" s="254">
        <v>1</v>
      </c>
      <c r="S36" s="250" t="s">
        <v>26</v>
      </c>
      <c r="T36" s="257" t="str">
        <f>+_xlfn.XLOOKUP(A36,Sheet1!C:C,Sheet1!A:A,"-",0)</f>
        <v>-</v>
      </c>
      <c r="Y36" s="49">
        <v>153719.00826446281</v>
      </c>
      <c r="Z36" s="49">
        <f t="shared" si="6"/>
        <v>0</v>
      </c>
    </row>
    <row r="37" spans="1:26" ht="15" customHeight="1" x14ac:dyDescent="0.35">
      <c r="A37" s="73">
        <v>3.22</v>
      </c>
      <c r="B37" s="38" t="s">
        <v>3024</v>
      </c>
      <c r="C37" s="15" t="s">
        <v>91</v>
      </c>
      <c r="D37" s="20" t="s">
        <v>92</v>
      </c>
      <c r="E37" s="74">
        <v>78</v>
      </c>
      <c r="F37" s="75">
        <f>IFERROR(VLOOKUP(Q37,PARTIDAS!A:M,13,FALSE()),0)</f>
        <v>7051.2820512851295</v>
      </c>
      <c r="G37" s="47">
        <f>IFERROR(VLOOKUP(Q37,PARTIDAS!A:N,14,FALSE()),0)</f>
        <v>17829.919087410439</v>
      </c>
      <c r="H37" s="47">
        <f>IFERROR(VLOOKUP(Q37,PARTIDAS!A:O,15,FALSE()),0)</f>
        <v>373.21801708038703</v>
      </c>
      <c r="I37" s="76">
        <f t="shared" si="7"/>
        <v>25254.419155775955</v>
      </c>
      <c r="J37" s="77">
        <f t="shared" si="8"/>
        <v>550000.00000024005</v>
      </c>
      <c r="K37" s="42">
        <f t="shared" si="9"/>
        <v>1390733.6888180142</v>
      </c>
      <c r="L37" s="42">
        <f t="shared" si="10"/>
        <v>29111.00533227019</v>
      </c>
      <c r="M37" s="76">
        <f t="shared" si="11"/>
        <v>1969844.6941505244</v>
      </c>
      <c r="N37" s="78">
        <f t="shared" si="12"/>
        <v>2625212.0238944041</v>
      </c>
      <c r="O37" s="79"/>
      <c r="P37" s="80"/>
      <c r="Q37" s="44" t="s">
        <v>93</v>
      </c>
      <c r="R37" s="254"/>
      <c r="S37" s="250" t="s">
        <v>26</v>
      </c>
      <c r="T37" s="257" t="str">
        <f>+_xlfn.XLOOKUP(A37,Sheet1!C:C,Sheet1!A:A,"-",0)</f>
        <v>Hormigón</v>
      </c>
      <c r="Y37" s="49">
        <v>1969844.6941502809</v>
      </c>
      <c r="Z37" s="49">
        <f t="shared" si="6"/>
        <v>2.4354085326194763E-7</v>
      </c>
    </row>
    <row r="38" spans="1:26" ht="15" customHeight="1" x14ac:dyDescent="0.35">
      <c r="A38" s="61">
        <v>4</v>
      </c>
      <c r="B38" s="62"/>
      <c r="C38" s="63" t="s">
        <v>94</v>
      </c>
      <c r="D38" s="64"/>
      <c r="E38" s="65"/>
      <c r="F38" s="66"/>
      <c r="G38" s="67"/>
      <c r="H38" s="67"/>
      <c r="I38" s="68"/>
      <c r="J38" s="66"/>
      <c r="K38" s="67"/>
      <c r="L38" s="67"/>
      <c r="M38" s="68"/>
      <c r="N38" s="69"/>
      <c r="O38" s="70">
        <f>+SUM(M39:M52)</f>
        <v>38367857.528909318</v>
      </c>
      <c r="P38" s="71">
        <f>+SUM(N39:N52)</f>
        <v>51132843.728777438</v>
      </c>
      <c r="Q38" s="67"/>
      <c r="R38" s="253"/>
      <c r="S38" s="251"/>
      <c r="T38" s="258"/>
      <c r="Y38" s="49">
        <v>0</v>
      </c>
      <c r="Z38" s="49">
        <f t="shared" si="6"/>
        <v>0</v>
      </c>
    </row>
    <row r="39" spans="1:26" ht="15" customHeight="1" x14ac:dyDescent="0.35">
      <c r="A39" s="73">
        <v>4.01</v>
      </c>
      <c r="B39" s="38" t="s">
        <v>94</v>
      </c>
      <c r="C39" s="15" t="s">
        <v>95</v>
      </c>
      <c r="D39" s="20" t="s">
        <v>92</v>
      </c>
      <c r="E39" s="74">
        <v>621</v>
      </c>
      <c r="F39" s="75">
        <f>IF(Q39&lt;&gt;"",IFERROR(VLOOKUP(Q39,PARTIDAS!A:P,13,FALSE()),0),0)</f>
        <v>6590.9962250622002</v>
      </c>
      <c r="G39" s="47">
        <f>IF(Q39&lt;&gt;"",IFERROR(VLOOKUP(Q39,PARTIDAS!A:P,14,FALSE()),0),0)</f>
        <v>9785.8451955429337</v>
      </c>
      <c r="H39" s="47">
        <f>IF(Q39&lt;&gt;"",IFERROR(VLOOKUP(Q39,PARTIDAS!A:P,15,FALSE()),0),0)</f>
        <v>235.33191244914224</v>
      </c>
      <c r="I39" s="76">
        <f t="shared" ref="I39:I52" si="13">F39+G39+H39</f>
        <v>16612.173333054277</v>
      </c>
      <c r="J39" s="77">
        <f t="shared" ref="J39:J52" si="14">F39*E39</f>
        <v>4093008.6557636261</v>
      </c>
      <c r="K39" s="42">
        <f t="shared" ref="K39:K52" si="15">G39*E39</f>
        <v>6077009.866432162</v>
      </c>
      <c r="L39" s="42">
        <f t="shared" ref="L39:L52" si="16">H39*E39</f>
        <v>146141.11763091732</v>
      </c>
      <c r="M39" s="76">
        <f t="shared" ref="M39:M52" si="17">I39*E39</f>
        <v>10316159.639826706</v>
      </c>
      <c r="N39" s="78">
        <f t="shared" ref="N39:N52" si="18">M39*$N$2</f>
        <v>13748345.951997051</v>
      </c>
      <c r="O39" s="79"/>
      <c r="P39" s="80"/>
      <c r="Q39" s="44" t="s">
        <v>96</v>
      </c>
      <c r="R39" s="254">
        <v>2</v>
      </c>
      <c r="S39" s="250" t="s">
        <v>97</v>
      </c>
      <c r="T39" s="257" t="str">
        <f>+_xlfn.XLOOKUP(A39,Sheet1!C:C,Sheet1!A:A,"-",0)</f>
        <v>Albañilería</v>
      </c>
      <c r="Y39" s="49">
        <v>10316159.6398267</v>
      </c>
      <c r="Z39" s="49">
        <f t="shared" si="6"/>
        <v>0</v>
      </c>
    </row>
    <row r="40" spans="1:26" ht="15" customHeight="1" x14ac:dyDescent="0.35">
      <c r="A40" s="73">
        <v>4.0199999999999996</v>
      </c>
      <c r="B40" s="38" t="s">
        <v>94</v>
      </c>
      <c r="C40" s="15" t="s">
        <v>98</v>
      </c>
      <c r="D40" s="20" t="s">
        <v>92</v>
      </c>
      <c r="E40" s="74">
        <v>780</v>
      </c>
      <c r="F40" s="75">
        <f>IF(Q40&lt;&gt;"",IFERROR(VLOOKUP(Q40,PARTIDAS!A:P,13,FALSE()),0),0)</f>
        <v>8400.1373859768009</v>
      </c>
      <c r="G40" s="47">
        <f>IF(Q40&lt;&gt;"",IFERROR(VLOOKUP(Q40,PARTIDAS!A:P,14,FALSE()),0),0)</f>
        <v>9785.8451955429337</v>
      </c>
      <c r="H40" s="47">
        <f>IF(Q40&lt;&gt;"",IFERROR(VLOOKUP(Q40,PARTIDAS!A:P,15,FALSE()),0),0)</f>
        <v>235.33191244914224</v>
      </c>
      <c r="I40" s="76">
        <f t="shared" si="13"/>
        <v>18421.314493968875</v>
      </c>
      <c r="J40" s="77">
        <f t="shared" si="14"/>
        <v>6552107.1610619044</v>
      </c>
      <c r="K40" s="42">
        <f t="shared" si="15"/>
        <v>7632959.2525234884</v>
      </c>
      <c r="L40" s="42">
        <f t="shared" si="16"/>
        <v>183558.89171033094</v>
      </c>
      <c r="M40" s="76">
        <f t="shared" si="17"/>
        <v>14368625.305295723</v>
      </c>
      <c r="N40" s="78">
        <f t="shared" si="18"/>
        <v>19149066.94436761</v>
      </c>
      <c r="O40" s="79"/>
      <c r="P40" s="80"/>
      <c r="Q40" s="44" t="s">
        <v>99</v>
      </c>
      <c r="R40" s="254">
        <v>2</v>
      </c>
      <c r="S40" s="250" t="s">
        <v>97</v>
      </c>
      <c r="T40" s="257" t="str">
        <f>+_xlfn.XLOOKUP(A40,Sheet1!C:C,Sheet1!A:A,"-",0)</f>
        <v>Albañilería</v>
      </c>
      <c r="Y40" s="49">
        <v>14368625.305295721</v>
      </c>
      <c r="Z40" s="49">
        <f t="shared" si="6"/>
        <v>0</v>
      </c>
    </row>
    <row r="41" spans="1:26" ht="15" customHeight="1" x14ac:dyDescent="0.35">
      <c r="A41" s="73">
        <v>4.03</v>
      </c>
      <c r="B41" s="38" t="s">
        <v>94</v>
      </c>
      <c r="C41" s="15" t="s">
        <v>100</v>
      </c>
      <c r="D41" s="20" t="s">
        <v>92</v>
      </c>
      <c r="E41" s="74">
        <v>56</v>
      </c>
      <c r="F41" s="75">
        <f>IF(Q41&lt;&gt;"",IFERROR(VLOOKUP(Q41,PARTIDAS!A:P,13,FALSE()),0),0)</f>
        <v>6454.6901391632509</v>
      </c>
      <c r="G41" s="47">
        <f>IF(Q41&lt;&gt;"",IFERROR(VLOOKUP(Q41,PARTIDAS!A:P,14,FALSE()),0),0)</f>
        <v>10484.834138081715</v>
      </c>
      <c r="H41" s="47">
        <f>IF(Q41&lt;&gt;"",IFERROR(VLOOKUP(Q41,PARTIDAS!A:P,15,FALSE()),0),0)</f>
        <v>504.28266953387623</v>
      </c>
      <c r="I41" s="76">
        <f t="shared" si="13"/>
        <v>17443.806946778841</v>
      </c>
      <c r="J41" s="77">
        <f t="shared" si="14"/>
        <v>361462.64779314207</v>
      </c>
      <c r="K41" s="42">
        <f t="shared" si="15"/>
        <v>587150.71173257602</v>
      </c>
      <c r="L41" s="42">
        <f t="shared" si="16"/>
        <v>28239.829493897068</v>
      </c>
      <c r="M41" s="76">
        <f t="shared" si="17"/>
        <v>976853.18901961506</v>
      </c>
      <c r="N41" s="78">
        <f t="shared" si="18"/>
        <v>1301852.2450064409</v>
      </c>
      <c r="O41" s="79"/>
      <c r="P41" s="80"/>
      <c r="Q41" s="44" t="s">
        <v>101</v>
      </c>
      <c r="R41" s="254">
        <v>2</v>
      </c>
      <c r="S41" s="250" t="s">
        <v>26</v>
      </c>
      <c r="T41" s="257" t="str">
        <f>+_xlfn.XLOOKUP(A41,Sheet1!C:C,Sheet1!A:A,"-",0)</f>
        <v>Albañilería</v>
      </c>
      <c r="Y41" s="49">
        <v>976853.18901961483</v>
      </c>
      <c r="Z41" s="49">
        <f t="shared" si="6"/>
        <v>0</v>
      </c>
    </row>
    <row r="42" spans="1:26" ht="15" customHeight="1" x14ac:dyDescent="0.35">
      <c r="A42" s="73">
        <v>4.04</v>
      </c>
      <c r="B42" s="38" t="s">
        <v>94</v>
      </c>
      <c r="C42" s="15" t="s">
        <v>102</v>
      </c>
      <c r="D42" s="20" t="s">
        <v>92</v>
      </c>
      <c r="E42" s="74">
        <v>42</v>
      </c>
      <c r="F42" s="75">
        <f>IF(Q42&lt;&gt;"",IFERROR(VLOOKUP(Q42,PARTIDAS!A:P,13,FALSE()),0),0)</f>
        <v>11547.8937354768</v>
      </c>
      <c r="G42" s="47">
        <f>IF(Q42&lt;&gt;"",IFERROR(VLOOKUP(Q42,PARTIDAS!A:P,14,FALSE()),0),0)</f>
        <v>9785.8451955429337</v>
      </c>
      <c r="H42" s="47">
        <f>IF(Q42&lt;&gt;"",IFERROR(VLOOKUP(Q42,PARTIDAS!A:P,15,FALSE()),0),0)</f>
        <v>235.33191244914224</v>
      </c>
      <c r="I42" s="76">
        <f t="shared" si="13"/>
        <v>21569.070843468875</v>
      </c>
      <c r="J42" s="77">
        <f t="shared" si="14"/>
        <v>485011.5368900256</v>
      </c>
      <c r="K42" s="42">
        <f t="shared" si="15"/>
        <v>411005.49821280321</v>
      </c>
      <c r="L42" s="42">
        <f t="shared" si="16"/>
        <v>9883.9403228639749</v>
      </c>
      <c r="M42" s="76">
        <f t="shared" si="17"/>
        <v>905900.97542569274</v>
      </c>
      <c r="N42" s="78">
        <f t="shared" si="18"/>
        <v>1207294.2299498208</v>
      </c>
      <c r="O42" s="79"/>
      <c r="P42" s="80"/>
      <c r="Q42" s="44" t="s">
        <v>103</v>
      </c>
      <c r="R42" s="254">
        <v>2</v>
      </c>
      <c r="S42" s="250" t="s">
        <v>97</v>
      </c>
      <c r="T42" s="257" t="str">
        <f>+_xlfn.XLOOKUP(A42,Sheet1!C:C,Sheet1!A:A,"-",0)</f>
        <v>Albañilería</v>
      </c>
      <c r="Y42" s="49">
        <v>905900.97542569262</v>
      </c>
      <c r="Z42" s="49">
        <f t="shared" si="6"/>
        <v>0</v>
      </c>
    </row>
    <row r="43" spans="1:26" ht="15" customHeight="1" x14ac:dyDescent="0.35">
      <c r="A43" s="73">
        <v>4.05</v>
      </c>
      <c r="B43" s="38" t="s">
        <v>94</v>
      </c>
      <c r="C43" s="15" t="s">
        <v>104</v>
      </c>
      <c r="D43" s="20" t="s">
        <v>92</v>
      </c>
      <c r="E43" s="74">
        <v>70</v>
      </c>
      <c r="F43" s="75">
        <f>IF(Q43&lt;&gt;"",IFERROR(VLOOKUP(Q43,PARTIDAS!A:P,13,FALSE()),0),0)</f>
        <v>16817.940685718568</v>
      </c>
      <c r="G43" s="47">
        <f>IF(Q43&lt;&gt;"",IFERROR(VLOOKUP(Q43,PARTIDAS!A:P,14,FALSE()),0),0)</f>
        <v>10484.834138081709</v>
      </c>
      <c r="H43" s="47">
        <f>IF(Q43&lt;&gt;"",IFERROR(VLOOKUP(Q43,PARTIDAS!A:P,15,FALSE()),0),0)</f>
        <v>409.54162235694002</v>
      </c>
      <c r="I43" s="76">
        <f t="shared" si="13"/>
        <v>27712.316446157216</v>
      </c>
      <c r="J43" s="77">
        <f t="shared" si="14"/>
        <v>1177255.8480002997</v>
      </c>
      <c r="K43" s="42">
        <f t="shared" si="15"/>
        <v>733938.38966571959</v>
      </c>
      <c r="L43" s="42">
        <f t="shared" si="16"/>
        <v>28667.9135649858</v>
      </c>
      <c r="M43" s="76">
        <f t="shared" si="17"/>
        <v>1939862.1512310051</v>
      </c>
      <c r="N43" s="78">
        <f t="shared" si="18"/>
        <v>2585254.2889455603</v>
      </c>
      <c r="O43" s="79"/>
      <c r="P43" s="80"/>
      <c r="Q43" s="44" t="s">
        <v>105</v>
      </c>
      <c r="R43" s="254">
        <v>2</v>
      </c>
      <c r="S43" s="250" t="s">
        <v>26</v>
      </c>
      <c r="T43" s="257" t="str">
        <f>+_xlfn.XLOOKUP(A43,Sheet1!C:C,Sheet1!A:A,"-",0)</f>
        <v>Albañilería</v>
      </c>
      <c r="X43" s="82"/>
      <c r="Y43" s="49">
        <v>1939862.151230705</v>
      </c>
      <c r="Z43" s="49">
        <f t="shared" si="6"/>
        <v>3.0011869966983795E-7</v>
      </c>
    </row>
    <row r="44" spans="1:26" ht="15" customHeight="1" x14ac:dyDescent="0.35">
      <c r="A44" s="73">
        <v>4.0599999999999996</v>
      </c>
      <c r="B44" s="38" t="s">
        <v>94</v>
      </c>
      <c r="C44" s="15" t="s">
        <v>106</v>
      </c>
      <c r="D44" s="20" t="s">
        <v>92</v>
      </c>
      <c r="E44" s="74">
        <v>5</v>
      </c>
      <c r="F44" s="75">
        <f>IF(Q44&lt;&gt;"",IFERROR(VLOOKUP(Q44,PARTIDAS!A:P,13,FALSE()),0),0)</f>
        <v>11492.4403708914</v>
      </c>
      <c r="G44" s="47">
        <f>IF(Q44&lt;&gt;"",IFERROR(VLOOKUP(Q44,PARTIDAS!A:P,14,FALSE()),0),0)</f>
        <v>9785.8451955429337</v>
      </c>
      <c r="H44" s="47">
        <f>IF(Q44&lt;&gt;"",IFERROR(VLOOKUP(Q44,PARTIDAS!A:P,15,FALSE()),0),0)</f>
        <v>235.33191244914224</v>
      </c>
      <c r="I44" s="76">
        <f t="shared" si="13"/>
        <v>21513.617478883476</v>
      </c>
      <c r="J44" s="77">
        <f t="shared" si="14"/>
        <v>57462.201854457002</v>
      </c>
      <c r="K44" s="42">
        <f t="shared" si="15"/>
        <v>48929.225977714668</v>
      </c>
      <c r="L44" s="42">
        <f t="shared" si="16"/>
        <v>1176.6595622457112</v>
      </c>
      <c r="M44" s="76">
        <f t="shared" si="17"/>
        <v>107568.08739441738</v>
      </c>
      <c r="N44" s="78">
        <f t="shared" si="18"/>
        <v>143355.99007054005</v>
      </c>
      <c r="O44" s="79"/>
      <c r="P44" s="80"/>
      <c r="Q44" s="44" t="s">
        <v>107</v>
      </c>
      <c r="R44" s="254">
        <v>2</v>
      </c>
      <c r="S44" s="250" t="s">
        <v>97</v>
      </c>
      <c r="T44" s="257" t="str">
        <f>+_xlfn.XLOOKUP(A44,Sheet1!C:C,Sheet1!A:A,"-",0)</f>
        <v>Albañilería</v>
      </c>
      <c r="Y44" s="49">
        <v>107568.08739441739</v>
      </c>
      <c r="Z44" s="49">
        <f t="shared" si="6"/>
        <v>0</v>
      </c>
    </row>
    <row r="45" spans="1:26" ht="15" customHeight="1" x14ac:dyDescent="0.35">
      <c r="A45" s="73">
        <v>4.07</v>
      </c>
      <c r="B45" s="38" t="s">
        <v>94</v>
      </c>
      <c r="C45" s="15" t="s">
        <v>108</v>
      </c>
      <c r="D45" s="20" t="s">
        <v>92</v>
      </c>
      <c r="E45" s="74">
        <v>193</v>
      </c>
      <c r="F45" s="75">
        <f>IF(Q45&lt;&gt;"",IFERROR(VLOOKUP(Q45,PARTIDAS!A:P,13,FALSE()),0),0)</f>
        <v>3227.3450695816255</v>
      </c>
      <c r="G45" s="47">
        <f>IF(Q45&lt;&gt;"",IFERROR(VLOOKUP(Q45,PARTIDAS!A:P,14,FALSE()),0),0)</f>
        <v>10484.834138081715</v>
      </c>
      <c r="H45" s="47">
        <f>IF(Q45&lt;&gt;"",IFERROR(VLOOKUP(Q45,PARTIDAS!A:P,15,FALSE()),0),0)</f>
        <v>252.14133476693812</v>
      </c>
      <c r="I45" s="76">
        <f t="shared" si="13"/>
        <v>13964.320542430278</v>
      </c>
      <c r="J45" s="77">
        <f t="shared" si="14"/>
        <v>622877.59842925367</v>
      </c>
      <c r="K45" s="42">
        <f t="shared" si="15"/>
        <v>2023572.9886497709</v>
      </c>
      <c r="L45" s="42">
        <f t="shared" si="16"/>
        <v>48663.277610019053</v>
      </c>
      <c r="M45" s="76">
        <f t="shared" si="17"/>
        <v>2695113.8646890437</v>
      </c>
      <c r="N45" s="78">
        <f t="shared" si="18"/>
        <v>3591778.2474710885</v>
      </c>
      <c r="O45" s="79"/>
      <c r="P45" s="80"/>
      <c r="Q45" s="44" t="s">
        <v>109</v>
      </c>
      <c r="R45" s="254"/>
      <c r="S45" s="250" t="s">
        <v>26</v>
      </c>
      <c r="T45" s="257" t="str">
        <f>+_xlfn.XLOOKUP(A45,Sheet1!C:C,Sheet1!A:A,"-",0)</f>
        <v>Albañilería</v>
      </c>
      <c r="Y45" s="49">
        <v>2695113.8646890428</v>
      </c>
      <c r="Z45" s="49">
        <f t="shared" si="6"/>
        <v>0</v>
      </c>
    </row>
    <row r="46" spans="1:26" ht="15" customHeight="1" x14ac:dyDescent="0.35">
      <c r="A46" s="73">
        <v>4.08</v>
      </c>
      <c r="B46" s="38" t="s">
        <v>94</v>
      </c>
      <c r="C46" s="15" t="s">
        <v>110</v>
      </c>
      <c r="D46" s="20" t="s">
        <v>28</v>
      </c>
      <c r="E46" s="74">
        <v>61</v>
      </c>
      <c r="F46" s="75">
        <f>IF(Q46&lt;&gt;"",IFERROR(VLOOKUP(Q46,PARTIDAS!A:P,13,FALSE()),0),0)</f>
        <v>9093.986286885247</v>
      </c>
      <c r="G46" s="47">
        <f>IF(Q46&lt;&gt;"",IFERROR(VLOOKUP(Q46,PARTIDAS!A:P,14,FALSE()),0),0)</f>
        <v>12031.776879765903</v>
      </c>
      <c r="H46" s="47">
        <f>IF(Q46&lt;&gt;"",IFERROR(VLOOKUP(Q46,PARTIDAS!A:P,15,FALSE()),0),0)</f>
        <v>316.88644749976697</v>
      </c>
      <c r="I46" s="76">
        <f t="shared" si="13"/>
        <v>21442.64961415092</v>
      </c>
      <c r="J46" s="77">
        <f t="shared" si="14"/>
        <v>554733.16350000002</v>
      </c>
      <c r="K46" s="42">
        <f t="shared" si="15"/>
        <v>733938.38966572005</v>
      </c>
      <c r="L46" s="42">
        <f t="shared" si="16"/>
        <v>19330.073297485786</v>
      </c>
      <c r="M46" s="76">
        <f t="shared" si="17"/>
        <v>1308001.626463206</v>
      </c>
      <c r="N46" s="78">
        <f t="shared" si="18"/>
        <v>1743173.7675875146</v>
      </c>
      <c r="O46" s="79"/>
      <c r="P46" s="80"/>
      <c r="Q46" s="44" t="s">
        <v>111</v>
      </c>
      <c r="R46" s="254">
        <v>2</v>
      </c>
      <c r="S46" s="250" t="s">
        <v>26</v>
      </c>
      <c r="T46" s="257" t="str">
        <f>+_xlfn.XLOOKUP(A46,Sheet1!C:C,Sheet1!A:A,"-",0)</f>
        <v>Albañilería</v>
      </c>
      <c r="X46" s="82"/>
      <c r="Y46" s="49">
        <v>1308001.626463206</v>
      </c>
      <c r="Z46" s="49">
        <f t="shared" si="6"/>
        <v>0</v>
      </c>
    </row>
    <row r="47" spans="1:26" ht="15" customHeight="1" x14ac:dyDescent="0.35">
      <c r="A47" s="73">
        <v>4.09</v>
      </c>
      <c r="B47" s="38" t="s">
        <v>94</v>
      </c>
      <c r="C47" s="15" t="s">
        <v>112</v>
      </c>
      <c r="D47" s="20" t="s">
        <v>24</v>
      </c>
      <c r="E47" s="74">
        <v>1</v>
      </c>
      <c r="F47" s="75">
        <f>IF(Q47&lt;&gt;"",IFERROR(VLOOKUP(Q47,PARTIDAS!A:P,13,FALSE()),0),0)</f>
        <v>60811.031153399999</v>
      </c>
      <c r="G47" s="47">
        <f>IF(Q47&lt;&gt;"",IFERROR(VLOOKUP(Q47,PARTIDAS!A:P,14,FALSE()),0),0)</f>
        <v>146787.677933144</v>
      </c>
      <c r="H47" s="47">
        <f>IF(Q47&lt;&gt;"",IFERROR(VLOOKUP(Q47,PARTIDAS!A:P,15,FALSE()),0),0)</f>
        <v>3113.9806362981599</v>
      </c>
      <c r="I47" s="76">
        <f t="shared" si="13"/>
        <v>210712.68972284216</v>
      </c>
      <c r="J47" s="77">
        <f t="shared" si="14"/>
        <v>60811.031153399999</v>
      </c>
      <c r="K47" s="42">
        <f t="shared" si="15"/>
        <v>146787.677933144</v>
      </c>
      <c r="L47" s="42">
        <f t="shared" si="16"/>
        <v>3113.9806362981599</v>
      </c>
      <c r="M47" s="76">
        <f t="shared" si="17"/>
        <v>210712.68972284216</v>
      </c>
      <c r="N47" s="78">
        <f t="shared" si="18"/>
        <v>280816.80159363174</v>
      </c>
      <c r="O47" s="79"/>
      <c r="P47" s="80"/>
      <c r="Q47" s="44" t="s">
        <v>113</v>
      </c>
      <c r="R47" s="254">
        <v>2</v>
      </c>
      <c r="S47" s="250" t="s">
        <v>26</v>
      </c>
      <c r="T47" s="257" t="str">
        <f>+_xlfn.XLOOKUP(A47,Sheet1!C:C,Sheet1!A:A,"-",0)</f>
        <v>Albañilería</v>
      </c>
      <c r="X47" s="82"/>
      <c r="Y47" s="49">
        <v>210712.6897228421</v>
      </c>
      <c r="Z47" s="49">
        <f t="shared" si="6"/>
        <v>0</v>
      </c>
    </row>
    <row r="48" spans="1:26" ht="15" customHeight="1" x14ac:dyDescent="0.35">
      <c r="A48" s="73">
        <v>4.0999999999999996</v>
      </c>
      <c r="B48" s="38" t="s">
        <v>94</v>
      </c>
      <c r="C48" s="15" t="s">
        <v>114</v>
      </c>
      <c r="D48" s="20" t="s">
        <v>24</v>
      </c>
      <c r="E48" s="74">
        <v>1</v>
      </c>
      <c r="F48" s="75">
        <f>IF(Q48&lt;&gt;"",IFERROR(VLOOKUP(Q48,PARTIDAS!A:P,13,FALSE()),0),0)</f>
        <v>151935.62173020002</v>
      </c>
      <c r="G48" s="47">
        <f>IF(Q48&lt;&gt;"",IFERROR(VLOOKUP(Q48,PARTIDAS!A:P,14,FALSE()),0),0)</f>
        <v>440363.03379943199</v>
      </c>
      <c r="H48" s="47">
        <f>IF(Q48&lt;&gt;"",IFERROR(VLOOKUP(Q48,PARTIDAS!A:P,15,FALSE()),0),0)</f>
        <v>8884.4798329444802</v>
      </c>
      <c r="I48" s="76">
        <f t="shared" si="13"/>
        <v>601183.13536257646</v>
      </c>
      <c r="J48" s="77">
        <f t="shared" si="14"/>
        <v>151935.62173020002</v>
      </c>
      <c r="K48" s="42">
        <f t="shared" si="15"/>
        <v>440363.03379943199</v>
      </c>
      <c r="L48" s="42">
        <f t="shared" si="16"/>
        <v>8884.4798329444802</v>
      </c>
      <c r="M48" s="76">
        <f t="shared" si="17"/>
        <v>601183.13536257646</v>
      </c>
      <c r="N48" s="78">
        <f t="shared" si="18"/>
        <v>801196.76449770562</v>
      </c>
      <c r="O48" s="79"/>
      <c r="P48" s="80"/>
      <c r="Q48" s="44" t="s">
        <v>115</v>
      </c>
      <c r="R48" s="254">
        <v>2</v>
      </c>
      <c r="S48" s="250" t="s">
        <v>26</v>
      </c>
      <c r="T48" s="257" t="str">
        <f>+_xlfn.XLOOKUP(A48,Sheet1!C:C,Sheet1!A:A,"-",0)</f>
        <v>Albañilería</v>
      </c>
      <c r="X48" s="82"/>
      <c r="Y48" s="49">
        <v>601183.13536257646</v>
      </c>
      <c r="Z48" s="49">
        <f t="shared" si="6"/>
        <v>0</v>
      </c>
    </row>
    <row r="49" spans="1:26" ht="15" customHeight="1" x14ac:dyDescent="0.35">
      <c r="A49" s="73">
        <v>4.1100000000000003</v>
      </c>
      <c r="B49" s="38" t="s">
        <v>94</v>
      </c>
      <c r="C49" s="15" t="s">
        <v>116</v>
      </c>
      <c r="D49" s="20" t="s">
        <v>24</v>
      </c>
      <c r="E49" s="74">
        <v>1</v>
      </c>
      <c r="F49" s="75">
        <f>IF(Q49&lt;&gt;"",IFERROR(VLOOKUP(Q49,PARTIDAS!A:P,13,FALSE()),0),0)</f>
        <v>128742.89499999999</v>
      </c>
      <c r="G49" s="47">
        <f>IF(Q49&lt;&gt;"",IFERROR(VLOOKUP(Q49,PARTIDAS!A:P,14,FALSE()),0),0)</f>
        <v>259536.82203628801</v>
      </c>
      <c r="H49" s="47">
        <f>IF(Q49&lt;&gt;"",IFERROR(VLOOKUP(Q49,PARTIDAS!A:P,15,FALSE()),0),0)</f>
        <v>5824.1957555443196</v>
      </c>
      <c r="I49" s="76">
        <f t="shared" si="13"/>
        <v>394103.91279183229</v>
      </c>
      <c r="J49" s="77">
        <f t="shared" si="14"/>
        <v>128742.89499999999</v>
      </c>
      <c r="K49" s="42">
        <f t="shared" si="15"/>
        <v>259536.82203628801</v>
      </c>
      <c r="L49" s="42">
        <f t="shared" si="16"/>
        <v>5824.1957555443196</v>
      </c>
      <c r="M49" s="76">
        <f t="shared" si="17"/>
        <v>394103.91279183229</v>
      </c>
      <c r="N49" s="78">
        <f t="shared" si="18"/>
        <v>525222.28457767493</v>
      </c>
      <c r="O49" s="79"/>
      <c r="P49" s="80"/>
      <c r="Q49" s="44" t="s">
        <v>117</v>
      </c>
      <c r="R49" s="254">
        <v>2</v>
      </c>
      <c r="S49" s="250" t="s">
        <v>26</v>
      </c>
      <c r="T49" s="257" t="str">
        <f>+_xlfn.XLOOKUP(A49,Sheet1!C:C,Sheet1!A:A,"-",0)</f>
        <v>Albañilería</v>
      </c>
      <c r="X49" s="82"/>
      <c r="Y49" s="49">
        <v>394103.91279183212</v>
      </c>
      <c r="Z49" s="49">
        <f t="shared" si="6"/>
        <v>0</v>
      </c>
    </row>
    <row r="50" spans="1:26" ht="15" customHeight="1" x14ac:dyDescent="0.35">
      <c r="A50" s="73">
        <v>4.12</v>
      </c>
      <c r="B50" s="38" t="s">
        <v>94</v>
      </c>
      <c r="C50" s="15" t="s">
        <v>118</v>
      </c>
      <c r="D50" s="20" t="s">
        <v>53</v>
      </c>
      <c r="E50" s="74">
        <v>3</v>
      </c>
      <c r="F50" s="75">
        <f>IF(Q50&lt;&gt;"",IFERROR(VLOOKUP(Q50,PARTIDAS!A:P,13,FALSE()),0),0)</f>
        <v>121487.603305785</v>
      </c>
      <c r="G50" s="47">
        <f>IF(Q50&lt;&gt;"",IFERROR(VLOOKUP(Q50,PARTIDAS!A:P,14,FALSE()),0),0)</f>
        <v>54294.058954381275</v>
      </c>
      <c r="H50" s="47">
        <f>IF(Q50&lt;&gt;"",IFERROR(VLOOKUP(Q50,PARTIDAS!A:P,15,FALSE()),0),0)</f>
        <v>2636.7249339025002</v>
      </c>
      <c r="I50" s="76">
        <f t="shared" si="13"/>
        <v>178418.38719406878</v>
      </c>
      <c r="J50" s="77">
        <f t="shared" si="14"/>
        <v>364462.80991735501</v>
      </c>
      <c r="K50" s="42">
        <f t="shared" si="15"/>
        <v>162882.17686314383</v>
      </c>
      <c r="L50" s="42">
        <f t="shared" si="16"/>
        <v>7910.1748017075006</v>
      </c>
      <c r="M50" s="76">
        <f t="shared" si="17"/>
        <v>535255.16158220638</v>
      </c>
      <c r="N50" s="78">
        <f t="shared" si="18"/>
        <v>713334.55384060647</v>
      </c>
      <c r="O50" s="79"/>
      <c r="P50" s="80"/>
      <c r="Q50" s="44" t="s">
        <v>119</v>
      </c>
      <c r="R50" s="254">
        <v>2</v>
      </c>
      <c r="S50" s="250" t="s">
        <v>26</v>
      </c>
      <c r="T50" s="257" t="str">
        <f>+_xlfn.XLOOKUP(A50,Sheet1!C:C,Sheet1!A:A,"-",0)</f>
        <v>Albañilería</v>
      </c>
      <c r="X50" s="82"/>
      <c r="Y50" s="49">
        <v>535255.16158220684</v>
      </c>
      <c r="Z50" s="49">
        <f t="shared" si="6"/>
        <v>0</v>
      </c>
    </row>
    <row r="51" spans="1:26" ht="15" customHeight="1" x14ac:dyDescent="0.35">
      <c r="A51" s="73">
        <v>4.13</v>
      </c>
      <c r="B51" s="38" t="s">
        <v>94</v>
      </c>
      <c r="C51" s="15" t="s">
        <v>120</v>
      </c>
      <c r="D51" s="20" t="s">
        <v>28</v>
      </c>
      <c r="E51" s="74">
        <v>40</v>
      </c>
      <c r="F51" s="75">
        <f>IF(Q51&lt;&gt;"",IFERROR(VLOOKUP(Q51,PARTIDAS!A:P,13,FALSE()),0),0)</f>
        <v>36748.8825</v>
      </c>
      <c r="G51" s="47">
        <f>IF(Q51&lt;&gt;"",IFERROR(VLOOKUP(Q51,PARTIDAS!A:P,14,FALSE()),0),0)</f>
        <v>35716.756336364604</v>
      </c>
      <c r="H51" s="47">
        <f>IF(Q51&lt;&gt;"",IFERROR(VLOOKUP(Q51,PARTIDAS!A:P,15,FALSE()),0),0)</f>
        <v>1086.9845825454699</v>
      </c>
      <c r="I51" s="76">
        <f t="shared" si="13"/>
        <v>73552.62341891008</v>
      </c>
      <c r="J51" s="77">
        <f t="shared" si="14"/>
        <v>1469955.3</v>
      </c>
      <c r="K51" s="42">
        <f t="shared" si="15"/>
        <v>1428670.2534545842</v>
      </c>
      <c r="L51" s="42">
        <f t="shared" si="16"/>
        <v>43479.383301818802</v>
      </c>
      <c r="M51" s="76">
        <f t="shared" si="17"/>
        <v>2942104.9367564032</v>
      </c>
      <c r="N51" s="78">
        <f t="shared" si="18"/>
        <v>3920943.2492152583</v>
      </c>
      <c r="O51" s="79"/>
      <c r="P51" s="80"/>
      <c r="Q51" s="44" t="s">
        <v>121</v>
      </c>
      <c r="R51" s="254"/>
      <c r="S51" s="250" t="s">
        <v>26</v>
      </c>
      <c r="T51" s="257" t="str">
        <f>+_xlfn.XLOOKUP(A51,Sheet1!C:C,Sheet1!A:A,"-",0)</f>
        <v>Albañilería</v>
      </c>
      <c r="X51" s="82"/>
      <c r="Y51" s="49">
        <v>2942104.9367564018</v>
      </c>
      <c r="Z51" s="49">
        <f t="shared" si="6"/>
        <v>0</v>
      </c>
    </row>
    <row r="52" spans="1:26" ht="15" customHeight="1" x14ac:dyDescent="0.35">
      <c r="A52" s="73">
        <v>4.1399999999999997</v>
      </c>
      <c r="B52" s="38" t="s">
        <v>94</v>
      </c>
      <c r="C52" s="15" t="s">
        <v>122</v>
      </c>
      <c r="D52" s="20" t="s">
        <v>53</v>
      </c>
      <c r="E52" s="74">
        <v>8</v>
      </c>
      <c r="F52" s="75">
        <f>IF(Q52&lt;&gt;"",IFERROR(VLOOKUP(Q52,PARTIDAS!A:P,13,FALSE()),0),0)</f>
        <v>23946.262090861961</v>
      </c>
      <c r="G52" s="47">
        <f>IF(Q52&lt;&gt;"",IFERROR(VLOOKUP(Q52,PARTIDAS!A:P,14,FALSE()),0),0)</f>
        <v>107385.37009485799</v>
      </c>
      <c r="H52" s="47">
        <f>IF(Q52&lt;&gt;"",IFERROR(VLOOKUP(Q52,PARTIDAS!A:P,15,FALSE()),0),0)</f>
        <v>1969.9744827858201</v>
      </c>
      <c r="I52" s="76">
        <f t="shared" si="13"/>
        <v>133301.60666850579</v>
      </c>
      <c r="J52" s="77">
        <f t="shared" si="14"/>
        <v>191570.09672689569</v>
      </c>
      <c r="K52" s="42">
        <f t="shared" si="15"/>
        <v>859082.96075886395</v>
      </c>
      <c r="L52" s="42">
        <f t="shared" si="16"/>
        <v>15759.795862286561</v>
      </c>
      <c r="M52" s="76">
        <f t="shared" si="17"/>
        <v>1066412.8533480463</v>
      </c>
      <c r="N52" s="78">
        <f t="shared" si="18"/>
        <v>1421208.4096569414</v>
      </c>
      <c r="O52" s="79"/>
      <c r="P52" s="80"/>
      <c r="Q52" s="44" t="s">
        <v>123</v>
      </c>
      <c r="R52" s="254">
        <v>2</v>
      </c>
      <c r="S52" s="250" t="s">
        <v>26</v>
      </c>
      <c r="T52" s="257" t="str">
        <f>+_xlfn.XLOOKUP(A52,Sheet1!C:C,Sheet1!A:A,"-",0)</f>
        <v>Albañilería</v>
      </c>
      <c r="X52" s="82"/>
      <c r="Y52" s="49">
        <v>1066412.8533480549</v>
      </c>
      <c r="Z52" s="49">
        <f t="shared" si="6"/>
        <v>-8.6147338151931763E-9</v>
      </c>
    </row>
    <row r="53" spans="1:26" ht="15" customHeight="1" x14ac:dyDescent="0.35">
      <c r="A53" s="61">
        <v>5</v>
      </c>
      <c r="B53" s="62"/>
      <c r="C53" s="63" t="s">
        <v>3025</v>
      </c>
      <c r="D53" s="64"/>
      <c r="E53" s="65"/>
      <c r="F53" s="66"/>
      <c r="G53" s="67"/>
      <c r="H53" s="67"/>
      <c r="I53" s="68"/>
      <c r="J53" s="66"/>
      <c r="K53" s="67"/>
      <c r="L53" s="67"/>
      <c r="M53" s="68"/>
      <c r="N53" s="69"/>
      <c r="O53" s="70">
        <f>+SUM(M54:M60)</f>
        <v>14415155.247294523</v>
      </c>
      <c r="P53" s="71">
        <f>+SUM(N54:N60)</f>
        <v>19211077.398069408</v>
      </c>
      <c r="Q53" s="67"/>
      <c r="R53" s="253"/>
      <c r="S53" s="251"/>
      <c r="T53" s="258"/>
      <c r="Y53" s="49">
        <v>0</v>
      </c>
      <c r="Z53" s="49">
        <f t="shared" si="6"/>
        <v>0</v>
      </c>
    </row>
    <row r="54" spans="1:26" ht="15" customHeight="1" x14ac:dyDescent="0.35">
      <c r="A54" s="73">
        <v>5.01</v>
      </c>
      <c r="B54" s="38" t="s">
        <v>3025</v>
      </c>
      <c r="C54" s="15" t="s">
        <v>124</v>
      </c>
      <c r="D54" s="20" t="s">
        <v>28</v>
      </c>
      <c r="E54" s="74">
        <v>136</v>
      </c>
      <c r="F54" s="75">
        <f>IF(Q54&lt;&gt;"",IFERROR(VLOOKUP(Q54,PARTIDAS!A:P,13,FALSE()),0),0)</f>
        <v>809.61503399999992</v>
      </c>
      <c r="G54" s="47">
        <f>IF(Q54&lt;&gt;"",IFERROR(VLOOKUP(Q54,PARTIDAS!A:P,14,FALSE()),0),0)</f>
        <v>3938.2617666857427</v>
      </c>
      <c r="H54" s="47">
        <f>IF(Q54&lt;&gt;"",IFERROR(VLOOKUP(Q54,PARTIDAS!A:P,15,FALSE()),0),0)</f>
        <v>126.07066738346906</v>
      </c>
      <c r="I54" s="76">
        <f t="shared" ref="I54:I60" si="19">F54+G54+H54</f>
        <v>4873.9474680692119</v>
      </c>
      <c r="J54" s="77">
        <f t="shared" ref="J54:J60" si="20">F54*E54</f>
        <v>110107.64462399999</v>
      </c>
      <c r="K54" s="42">
        <f t="shared" ref="K54:K60" si="21">G54*E54</f>
        <v>535603.60026926105</v>
      </c>
      <c r="L54" s="42">
        <f t="shared" ref="L54:L60" si="22">H54*E54</f>
        <v>17145.610764151792</v>
      </c>
      <c r="M54" s="76">
        <f t="shared" ref="M54:M60" si="23">I54*E54</f>
        <v>662856.85565741279</v>
      </c>
      <c r="N54" s="78">
        <f t="shared" ref="N54:N60" si="24">M54*$N$2</f>
        <v>883389.331534634</v>
      </c>
      <c r="O54" s="79"/>
      <c r="P54" s="80"/>
      <c r="Q54" s="44" t="s">
        <v>125</v>
      </c>
      <c r="R54" s="254">
        <v>2</v>
      </c>
      <c r="S54" s="250" t="s">
        <v>26</v>
      </c>
      <c r="T54" s="257" t="str">
        <f>+_xlfn.XLOOKUP(A54,Sheet1!C:C,Sheet1!A:A,"-",0)</f>
        <v>Albañilería</v>
      </c>
      <c r="Y54" s="49">
        <v>662856.85565741267</v>
      </c>
      <c r="Z54" s="49">
        <f t="shared" si="6"/>
        <v>0</v>
      </c>
    </row>
    <row r="55" spans="1:26" ht="15" customHeight="1" x14ac:dyDescent="0.35">
      <c r="A55" s="73">
        <v>5.0199999999999996</v>
      </c>
      <c r="B55" s="38" t="s">
        <v>3025</v>
      </c>
      <c r="C55" s="15" t="s">
        <v>126</v>
      </c>
      <c r="D55" s="20" t="s">
        <v>92</v>
      </c>
      <c r="E55" s="74">
        <v>77</v>
      </c>
      <c r="F55" s="75">
        <f>IFERROR(VLOOKUP(Q55,PARTIDAS!A:M,13,FALSE()),0)</f>
        <v>13188.357601741736</v>
      </c>
      <c r="G55" s="47">
        <f>IFERROR(VLOOKUP(Q55,PARTIDAS!A:N,14,FALSE()),0)</f>
        <v>11743.01423465152</v>
      </c>
      <c r="H55" s="47">
        <f>IFERROR(VLOOKUP(Q55,PARTIDAS!A:O,15,FALSE()),0)</f>
        <v>32.180227486448004</v>
      </c>
      <c r="I55" s="76">
        <f t="shared" si="19"/>
        <v>24963.552063879706</v>
      </c>
      <c r="J55" s="77">
        <f t="shared" si="20"/>
        <v>1015503.5353341138</v>
      </c>
      <c r="K55" s="42">
        <f t="shared" si="21"/>
        <v>904212.09606816713</v>
      </c>
      <c r="L55" s="42">
        <f t="shared" si="22"/>
        <v>2477.8775164564963</v>
      </c>
      <c r="M55" s="76">
        <f t="shared" si="23"/>
        <v>1922193.5089187373</v>
      </c>
      <c r="N55" s="78">
        <f t="shared" si="24"/>
        <v>2561707.289336001</v>
      </c>
      <c r="O55" s="79"/>
      <c r="P55" s="80"/>
      <c r="Q55" s="44" t="s">
        <v>127</v>
      </c>
      <c r="R55" s="254"/>
      <c r="S55" s="250" t="s">
        <v>26</v>
      </c>
      <c r="T55" s="257" t="str">
        <f>+_xlfn.XLOOKUP(A55,Sheet1!C:C,Sheet1!A:A,"-",0)</f>
        <v>Albañilería</v>
      </c>
      <c r="Y55" s="49">
        <v>1922193.5089187371</v>
      </c>
      <c r="Z55" s="49">
        <f t="shared" si="6"/>
        <v>0</v>
      </c>
    </row>
    <row r="56" spans="1:26" ht="15" customHeight="1" x14ac:dyDescent="0.35">
      <c r="A56" s="73">
        <v>5.03</v>
      </c>
      <c r="B56" s="38" t="s">
        <v>3025</v>
      </c>
      <c r="C56" s="15" t="s">
        <v>128</v>
      </c>
      <c r="D56" s="20" t="s">
        <v>92</v>
      </c>
      <c r="E56" s="74">
        <v>107</v>
      </c>
      <c r="F56" s="75">
        <f>IFERROR(VLOOKUP(Q56,PARTIDAS!A:M,13,FALSE()),0)</f>
        <v>809.61503399999992</v>
      </c>
      <c r="G56" s="47">
        <f>IFERROR(VLOOKUP(Q56,PARTIDAS!A:N,14,FALSE()),0)</f>
        <v>3938.2617666857427</v>
      </c>
      <c r="H56" s="47">
        <f>IFERROR(VLOOKUP(Q56,PARTIDAS!A:O,15,FALSE()),0)</f>
        <v>126.07066738346906</v>
      </c>
      <c r="I56" s="76">
        <f t="shared" si="19"/>
        <v>4873.9474680692119</v>
      </c>
      <c r="J56" s="77">
        <f t="shared" si="20"/>
        <v>86628.808637999988</v>
      </c>
      <c r="K56" s="42">
        <f t="shared" si="21"/>
        <v>421394.00903537445</v>
      </c>
      <c r="L56" s="42">
        <f t="shared" si="22"/>
        <v>13489.561410031189</v>
      </c>
      <c r="M56" s="76">
        <f t="shared" si="23"/>
        <v>521512.37908340566</v>
      </c>
      <c r="N56" s="78">
        <f t="shared" si="24"/>
        <v>695019.54760445468</v>
      </c>
      <c r="O56" s="79"/>
      <c r="P56" s="80"/>
      <c r="Q56" s="44" t="s">
        <v>129</v>
      </c>
      <c r="R56" s="254"/>
      <c r="S56" s="250" t="s">
        <v>26</v>
      </c>
      <c r="T56" s="257" t="str">
        <f>+_xlfn.XLOOKUP(A56,Sheet1!C:C,Sheet1!A:A,"-",0)</f>
        <v>Albañilería</v>
      </c>
      <c r="Y56" s="49">
        <v>521512.37908340548</v>
      </c>
      <c r="Z56" s="49">
        <f t="shared" si="6"/>
        <v>0</v>
      </c>
    </row>
    <row r="57" spans="1:26" ht="15" customHeight="1" x14ac:dyDescent="0.35">
      <c r="A57" s="73">
        <v>5.04</v>
      </c>
      <c r="B57" s="38" t="s">
        <v>3025</v>
      </c>
      <c r="C57" s="15" t="s">
        <v>130</v>
      </c>
      <c r="D57" s="20" t="s">
        <v>92</v>
      </c>
      <c r="E57" s="74">
        <v>186</v>
      </c>
      <c r="F57" s="75">
        <f>IF(Q57&lt;&gt;"",IFERROR(VLOOKUP(Q57,PARTIDAS!A:P,13,FALSE()),0),0)</f>
        <v>3625.4</v>
      </c>
      <c r="G57" s="47">
        <f>IF(Q57&lt;&gt;"",IFERROR(VLOOKUP(Q57,PARTIDAS!A:P,14,FALSE()),0),0)</f>
        <v>0</v>
      </c>
      <c r="H57" s="47">
        <f>IF(Q57&lt;&gt;"",IFERROR(VLOOKUP(Q57,PARTIDAS!A:P,15,FALSE()),0),0)</f>
        <v>0</v>
      </c>
      <c r="I57" s="76">
        <f t="shared" si="19"/>
        <v>3625.4</v>
      </c>
      <c r="J57" s="77">
        <f t="shared" si="20"/>
        <v>674324.4</v>
      </c>
      <c r="K57" s="42">
        <f t="shared" si="21"/>
        <v>0</v>
      </c>
      <c r="L57" s="42">
        <f t="shared" si="22"/>
        <v>0</v>
      </c>
      <c r="M57" s="76">
        <f t="shared" si="23"/>
        <v>674324.4</v>
      </c>
      <c r="N57" s="78">
        <f t="shared" si="24"/>
        <v>898672.12788000004</v>
      </c>
      <c r="O57" s="79"/>
      <c r="P57" s="80"/>
      <c r="Q57" s="44" t="s">
        <v>131</v>
      </c>
      <c r="R57" s="254">
        <v>2</v>
      </c>
      <c r="S57" s="250" t="s">
        <v>26</v>
      </c>
      <c r="T57" s="257" t="str">
        <f>+_xlfn.XLOOKUP(A57,Sheet1!C:C,Sheet1!A:A,"-",0)</f>
        <v>-</v>
      </c>
      <c r="Y57" s="49">
        <v>674324.4</v>
      </c>
      <c r="Z57" s="49">
        <f t="shared" si="6"/>
        <v>0</v>
      </c>
    </row>
    <row r="58" spans="1:26" ht="15" customHeight="1" x14ac:dyDescent="0.35">
      <c r="A58" s="73">
        <v>5.05</v>
      </c>
      <c r="B58" s="38" t="s">
        <v>3025</v>
      </c>
      <c r="C58" s="15" t="s">
        <v>132</v>
      </c>
      <c r="D58" s="20" t="s">
        <v>92</v>
      </c>
      <c r="E58" s="74">
        <v>186</v>
      </c>
      <c r="F58" s="75">
        <f>IF(Q58&lt;&gt;"",IFERROR(VLOOKUP(Q58,PARTIDAS!A:P,13,FALSE()),0),0)</f>
        <v>1256.6125285555565</v>
      </c>
      <c r="G58" s="47">
        <f>IF(Q58&lt;&gt;"",IFERROR(VLOOKUP(Q58,PARTIDAS!A:P,14,FALSE()),0),0)</f>
        <v>1722.6957560392998</v>
      </c>
      <c r="H58" s="47">
        <f>IF(Q58&lt;&gt;"",IFERROR(VLOOKUP(Q58,PARTIDAS!A:P,15,FALSE()),0),0)</f>
        <v>10.056321089515</v>
      </c>
      <c r="I58" s="76">
        <f t="shared" si="19"/>
        <v>2989.3646056843718</v>
      </c>
      <c r="J58" s="77">
        <f t="shared" si="20"/>
        <v>233729.9303113335</v>
      </c>
      <c r="K58" s="42">
        <f t="shared" si="21"/>
        <v>320421.41062330978</v>
      </c>
      <c r="L58" s="42">
        <f t="shared" si="22"/>
        <v>1870.47572264979</v>
      </c>
      <c r="M58" s="76">
        <f t="shared" si="23"/>
        <v>556021.81665729312</v>
      </c>
      <c r="N58" s="78">
        <f t="shared" si="24"/>
        <v>741010.27505917451</v>
      </c>
      <c r="O58" s="79"/>
      <c r="P58" s="80"/>
      <c r="Q58" s="44" t="s">
        <v>133</v>
      </c>
      <c r="R58" s="254">
        <v>2</v>
      </c>
      <c r="S58" s="250" t="s">
        <v>97</v>
      </c>
      <c r="T58" s="257" t="str">
        <f>+_xlfn.XLOOKUP(A58,Sheet1!C:C,Sheet1!A:A,"-",0)</f>
        <v>Albañilería</v>
      </c>
      <c r="Y58" s="49">
        <v>576881.75722854282</v>
      </c>
      <c r="Z58" s="49">
        <f t="shared" si="6"/>
        <v>-20859.940571249695</v>
      </c>
    </row>
    <row r="59" spans="1:26" ht="15" customHeight="1" x14ac:dyDescent="0.35">
      <c r="A59" s="73">
        <v>5.0599999999999996</v>
      </c>
      <c r="B59" s="38" t="s">
        <v>3025</v>
      </c>
      <c r="C59" s="15" t="s">
        <v>134</v>
      </c>
      <c r="D59" s="20" t="s">
        <v>92</v>
      </c>
      <c r="E59" s="74">
        <v>390</v>
      </c>
      <c r="F59" s="75">
        <f>IF(Q59&lt;&gt;"",IFERROR(VLOOKUP(Q59,PARTIDAS!A:P,13,FALSE()),0),0)</f>
        <v>11722.984534881545</v>
      </c>
      <c r="G59" s="47">
        <f>IF(Q59&lt;&gt;"",IFERROR(VLOOKUP(Q59,PARTIDAS!A:P,14,FALSE()),0),0)</f>
        <v>9394.4113877212167</v>
      </c>
      <c r="H59" s="47">
        <f>IF(Q59&lt;&gt;"",IFERROR(VLOOKUP(Q59,PARTIDAS!A:P,15,FALSE()),0),0)</f>
        <v>32.180227486448004</v>
      </c>
      <c r="I59" s="76">
        <f t="shared" si="19"/>
        <v>21149.576150089211</v>
      </c>
      <c r="J59" s="77">
        <f t="shared" si="20"/>
        <v>4571963.9686038028</v>
      </c>
      <c r="K59" s="42">
        <f t="shared" si="21"/>
        <v>3663820.4412112744</v>
      </c>
      <c r="L59" s="42">
        <f t="shared" si="22"/>
        <v>12550.288719714721</v>
      </c>
      <c r="M59" s="76">
        <f t="shared" si="23"/>
        <v>8248334.6985347923</v>
      </c>
      <c r="N59" s="78">
        <f t="shared" si="24"/>
        <v>10992555.652737318</v>
      </c>
      <c r="O59" s="79"/>
      <c r="P59" s="80"/>
      <c r="Q59" s="44" t="s">
        <v>135</v>
      </c>
      <c r="R59" s="254"/>
      <c r="S59" s="250" t="s">
        <v>26</v>
      </c>
      <c r="T59" s="257" t="str">
        <f>+_xlfn.XLOOKUP(A59,Sheet1!C:C,Sheet1!A:A,"-",0)</f>
        <v>Albañilería</v>
      </c>
      <c r="Y59" s="49">
        <v>8248334.6985347914</v>
      </c>
      <c r="Z59" s="49">
        <f t="shared" si="6"/>
        <v>0</v>
      </c>
    </row>
    <row r="60" spans="1:26" ht="15" customHeight="1" x14ac:dyDescent="0.35">
      <c r="A60" s="73">
        <v>5.07</v>
      </c>
      <c r="B60" s="38" t="s">
        <v>3025</v>
      </c>
      <c r="C60" s="15" t="s">
        <v>136</v>
      </c>
      <c r="D60" s="20" t="s">
        <v>24</v>
      </c>
      <c r="E60" s="74">
        <v>1</v>
      </c>
      <c r="F60" s="75">
        <f>IF(Q60&lt;&gt;"",IFERROR(VLOOKUP(Q60,PARTIDAS!A:P,13,FALSE()),0),0)</f>
        <v>0</v>
      </c>
      <c r="G60" s="47">
        <f>IF(Q60&lt;&gt;"",IFERROR(VLOOKUP(Q60,PARTIDAS!A:P,14,FALSE()),0),0)</f>
        <v>1829911.58844288</v>
      </c>
      <c r="H60" s="47">
        <f>IF(Q60&lt;&gt;"",IFERROR(VLOOKUP(Q60,PARTIDAS!A:P,15,FALSE()),0),0)</f>
        <v>0</v>
      </c>
      <c r="I60" s="76">
        <f t="shared" si="19"/>
        <v>1829911.58844288</v>
      </c>
      <c r="J60" s="77">
        <f t="shared" si="20"/>
        <v>0</v>
      </c>
      <c r="K60" s="42">
        <f t="shared" si="21"/>
        <v>1829911.58844288</v>
      </c>
      <c r="L60" s="42">
        <f t="shared" si="22"/>
        <v>0</v>
      </c>
      <c r="M60" s="76">
        <f t="shared" si="23"/>
        <v>1829911.58844288</v>
      </c>
      <c r="N60" s="78">
        <f t="shared" si="24"/>
        <v>2438723.1739178263</v>
      </c>
      <c r="O60" s="79"/>
      <c r="P60" s="80"/>
      <c r="Q60" s="44" t="s">
        <v>137</v>
      </c>
      <c r="R60" s="254">
        <v>2</v>
      </c>
      <c r="S60" s="250" t="s">
        <v>26</v>
      </c>
      <c r="T60" s="257" t="str">
        <f>+_xlfn.XLOOKUP(A60,Sheet1!C:C,Sheet1!A:A,"-",0)</f>
        <v>-</v>
      </c>
      <c r="Y60" s="49">
        <v>1829911.588442879</v>
      </c>
      <c r="Z60" s="49">
        <f t="shared" si="6"/>
        <v>0</v>
      </c>
    </row>
    <row r="61" spans="1:26" ht="15" customHeight="1" x14ac:dyDescent="0.35">
      <c r="A61" s="61">
        <v>6</v>
      </c>
      <c r="B61" s="62"/>
      <c r="C61" s="63" t="s">
        <v>138</v>
      </c>
      <c r="D61" s="64"/>
      <c r="E61" s="65"/>
      <c r="F61" s="66"/>
      <c r="G61" s="67"/>
      <c r="H61" s="67"/>
      <c r="I61" s="68"/>
      <c r="J61" s="66"/>
      <c r="K61" s="67"/>
      <c r="L61" s="67"/>
      <c r="M61" s="68"/>
      <c r="N61" s="69"/>
      <c r="O61" s="70">
        <f>+SUM(M62:M62)</f>
        <v>1292728.504884481</v>
      </c>
      <c r="P61" s="71">
        <f>+SUM(N62:N62)</f>
        <v>1722819.2784595478</v>
      </c>
      <c r="Q61" s="67"/>
      <c r="R61" s="253"/>
      <c r="S61" s="251"/>
      <c r="T61" s="258"/>
      <c r="Y61" s="49">
        <v>0</v>
      </c>
      <c r="Z61" s="49">
        <f t="shared" si="6"/>
        <v>0</v>
      </c>
    </row>
    <row r="62" spans="1:26" ht="15" customHeight="1" x14ac:dyDescent="0.35">
      <c r="A62" s="73">
        <v>6.02</v>
      </c>
      <c r="B62" s="38" t="s">
        <v>138</v>
      </c>
      <c r="C62" s="15" t="s">
        <v>139</v>
      </c>
      <c r="D62" s="20" t="s">
        <v>28</v>
      </c>
      <c r="E62" s="74">
        <v>55</v>
      </c>
      <c r="F62" s="75">
        <f>IF(Q62&lt;&gt;"",IFERROR(VLOOKUP(Q62,PARTIDAS!A:P,13,FALSE()),0),0)</f>
        <v>14897.520661161881</v>
      </c>
      <c r="G62" s="47">
        <f>IF(Q62&lt;&gt;"",IFERROR(VLOOKUP(Q62,PARTIDAS!A:P,14,FALSE()),0),0)</f>
        <v>8259.281934171484</v>
      </c>
      <c r="H62" s="47">
        <f>IF(Q62&lt;&gt;"",IFERROR(VLOOKUP(Q62,PARTIDAS!A:P,15,FALSE()),0),0)</f>
        <v>347.35203892992803</v>
      </c>
      <c r="I62" s="76">
        <f>F62+G62+H62</f>
        <v>23504.15463426329</v>
      </c>
      <c r="J62" s="77">
        <f>F62*E62</f>
        <v>819363.63636390353</v>
      </c>
      <c r="K62" s="42">
        <f>G62*E62</f>
        <v>454260.50637943164</v>
      </c>
      <c r="L62" s="42">
        <f>H62*E62</f>
        <v>19104.362141146041</v>
      </c>
      <c r="M62" s="76">
        <f>I62*E62</f>
        <v>1292728.504884481</v>
      </c>
      <c r="N62" s="78">
        <f>M62*$N$2</f>
        <v>1722819.2784595478</v>
      </c>
      <c r="O62" s="79"/>
      <c r="P62" s="80"/>
      <c r="Q62" s="44" t="s">
        <v>140</v>
      </c>
      <c r="R62" s="254">
        <v>2</v>
      </c>
      <c r="S62" s="250" t="s">
        <v>26</v>
      </c>
      <c r="T62" s="257" t="str">
        <f>+_xlfn.XLOOKUP(A62,Sheet1!C:C,Sheet1!A:A,"-",0)</f>
        <v>Albañilería</v>
      </c>
      <c r="X62" s="82"/>
      <c r="Y62" s="49">
        <v>1292728.5048842139</v>
      </c>
      <c r="Z62" s="49">
        <f t="shared" si="6"/>
        <v>2.6705674827098846E-7</v>
      </c>
    </row>
    <row r="63" spans="1:26" ht="15" customHeight="1" x14ac:dyDescent="0.35">
      <c r="A63" s="61">
        <v>7</v>
      </c>
      <c r="B63" s="62"/>
      <c r="C63" s="63" t="s">
        <v>141</v>
      </c>
      <c r="D63" s="64"/>
      <c r="E63" s="65"/>
      <c r="F63" s="66"/>
      <c r="G63" s="67"/>
      <c r="H63" s="67"/>
      <c r="I63" s="68"/>
      <c r="J63" s="66"/>
      <c r="K63" s="67"/>
      <c r="L63" s="67"/>
      <c r="M63" s="68"/>
      <c r="N63" s="69"/>
      <c r="O63" s="70">
        <f>+SUM(M64:M69)</f>
        <v>69273282.538216472</v>
      </c>
      <c r="P63" s="71">
        <f>+SUM(N64:N69)</f>
        <v>92320503.638681084</v>
      </c>
      <c r="Q63" s="67"/>
      <c r="R63" s="253"/>
      <c r="S63" s="251"/>
      <c r="T63" s="258"/>
      <c r="Y63" s="49">
        <v>0</v>
      </c>
      <c r="Z63" s="49">
        <f t="shared" si="6"/>
        <v>0</v>
      </c>
    </row>
    <row r="64" spans="1:26" ht="15" customHeight="1" x14ac:dyDescent="0.35">
      <c r="A64" s="73">
        <v>7.01</v>
      </c>
      <c r="B64" s="38" t="s">
        <v>141</v>
      </c>
      <c r="C64" s="15" t="s">
        <v>142</v>
      </c>
      <c r="D64" s="20" t="s">
        <v>92</v>
      </c>
      <c r="E64" s="74">
        <v>879</v>
      </c>
      <c r="F64" s="75">
        <f>IF(Q64&lt;&gt;"",IFERROR(VLOOKUP(Q64,PARTIDAS!A:P,13,FALSE()),0),0)</f>
        <v>4009.2266139999997</v>
      </c>
      <c r="G64" s="47">
        <f>IF(Q64&lt;&gt;"",IFERROR(VLOOKUP(Q64,PARTIDAS!A:P,14,FALSE()),0),0)</f>
        <v>10647.256141088277</v>
      </c>
      <c r="H64" s="47">
        <f>IF(Q64&lt;&gt;"",IFERROR(VLOOKUP(Q64,PARTIDAS!A:P,15,FALSE()),0),0)</f>
        <v>306.95466841192467</v>
      </c>
      <c r="I64" s="76">
        <f t="shared" ref="I64:I69" si="25">F64+G64+H64</f>
        <v>14963.437423500201</v>
      </c>
      <c r="J64" s="77">
        <f t="shared" ref="J64:J69" si="26">F64*E64</f>
        <v>3524110.1937059998</v>
      </c>
      <c r="K64" s="42">
        <f t="shared" ref="K64:K69" si="27">G64*E64</f>
        <v>9358938.1480165962</v>
      </c>
      <c r="L64" s="42">
        <f t="shared" ref="L64:L69" si="28">H64*E64</f>
        <v>269813.15353408176</v>
      </c>
      <c r="M64" s="76">
        <f t="shared" ref="M64:M69" si="29">I64*E64</f>
        <v>13152861.495256677</v>
      </c>
      <c r="N64" s="78">
        <f t="shared" ref="N64:N69" si="30">M64*$N$2</f>
        <v>17528818.514728572</v>
      </c>
      <c r="O64" s="79"/>
      <c r="P64" s="80"/>
      <c r="Q64" s="44" t="s">
        <v>143</v>
      </c>
      <c r="R64" s="254">
        <v>2</v>
      </c>
      <c r="S64" s="250" t="s">
        <v>97</v>
      </c>
      <c r="T64" s="257" t="str">
        <f>+_xlfn.XLOOKUP(A64,Sheet1!C:C,Sheet1!A:A,"-",0)</f>
        <v>Albañilería</v>
      </c>
      <c r="Y64" s="49">
        <v>13152861.495256679</v>
      </c>
      <c r="Z64" s="49">
        <f t="shared" si="6"/>
        <v>0</v>
      </c>
    </row>
    <row r="65" spans="1:26" ht="15" customHeight="1" x14ac:dyDescent="0.35">
      <c r="A65" s="73">
        <v>7.02</v>
      </c>
      <c r="B65" s="38" t="s">
        <v>141</v>
      </c>
      <c r="C65" s="15" t="s">
        <v>144</v>
      </c>
      <c r="D65" s="20" t="s">
        <v>92</v>
      </c>
      <c r="E65" s="74">
        <v>716</v>
      </c>
      <c r="F65" s="75">
        <f>IF(Q65&lt;&gt;"",IFERROR(VLOOKUP(Q65,PARTIDAS!A:P,13,FALSE()),0),0)</f>
        <v>4009.2266139999997</v>
      </c>
      <c r="G65" s="47">
        <f>IF(Q65&lt;&gt;"",IFERROR(VLOOKUP(Q65,PARTIDAS!A:P,14,FALSE()),0),0)</f>
        <v>15305.430702814399</v>
      </c>
      <c r="H65" s="47">
        <f>IF(Q65&lt;&gt;"",IFERROR(VLOOKUP(Q65,PARTIDAS!A:P,15,FALSE()),0),0)</f>
        <v>769.31526348917748</v>
      </c>
      <c r="I65" s="76">
        <f t="shared" si="25"/>
        <v>20083.972580303576</v>
      </c>
      <c r="J65" s="77">
        <f t="shared" si="26"/>
        <v>2870606.255624</v>
      </c>
      <c r="K65" s="42">
        <f t="shared" si="27"/>
        <v>10958688.383215111</v>
      </c>
      <c r="L65" s="42">
        <f t="shared" si="28"/>
        <v>550829.72865825112</v>
      </c>
      <c r="M65" s="76">
        <f t="shared" si="29"/>
        <v>14380124.36749736</v>
      </c>
      <c r="N65" s="78">
        <f t="shared" si="30"/>
        <v>19164391.744563732</v>
      </c>
      <c r="O65" s="79"/>
      <c r="P65" s="80"/>
      <c r="Q65" s="44" t="s">
        <v>145</v>
      </c>
      <c r="R65" s="254"/>
      <c r="S65" s="250" t="s">
        <v>26</v>
      </c>
      <c r="T65" s="257" t="str">
        <f>+_xlfn.XLOOKUP(A65,Sheet1!C:C,Sheet1!A:A,"-",0)</f>
        <v>Albañilería</v>
      </c>
      <c r="Y65" s="49">
        <v>14380124.36749736</v>
      </c>
      <c r="Z65" s="49">
        <f t="shared" si="6"/>
        <v>0</v>
      </c>
    </row>
    <row r="66" spans="1:26" ht="15" customHeight="1" x14ac:dyDescent="0.35">
      <c r="A66" s="73">
        <v>7.03</v>
      </c>
      <c r="B66" s="38" t="s">
        <v>141</v>
      </c>
      <c r="C66" s="15" t="s">
        <v>146</v>
      </c>
      <c r="D66" s="20" t="s">
        <v>92</v>
      </c>
      <c r="E66" s="74">
        <v>1439</v>
      </c>
      <c r="F66" s="75">
        <f>IF(Q66&lt;&gt;"",IFERROR(VLOOKUP(Q66,PARTIDAS!A:P,13,FALSE()),0),0)</f>
        <v>5324.1714662960421</v>
      </c>
      <c r="G66" s="47">
        <f>IF(Q66&lt;&gt;"",IFERROR(VLOOKUP(Q66,PARTIDAS!A:P,14,FALSE()),0),0)</f>
        <v>11651.218312086001</v>
      </c>
      <c r="H66" s="47">
        <f>IF(Q66&lt;&gt;"",IFERROR(VLOOKUP(Q66,PARTIDAS!A:P,15,FALSE()),0),0)</f>
        <v>254.63084667573</v>
      </c>
      <c r="I66" s="76">
        <f t="shared" si="25"/>
        <v>17230.020625057772</v>
      </c>
      <c r="J66" s="77">
        <f t="shared" si="26"/>
        <v>7661482.7400000049</v>
      </c>
      <c r="K66" s="42">
        <f t="shared" si="27"/>
        <v>16766103.151091754</v>
      </c>
      <c r="L66" s="42">
        <f t="shared" si="28"/>
        <v>366413.78836637549</v>
      </c>
      <c r="M66" s="76">
        <f t="shared" si="29"/>
        <v>24793999.679458134</v>
      </c>
      <c r="N66" s="78">
        <f t="shared" si="30"/>
        <v>33042963.372813854</v>
      </c>
      <c r="O66" s="79"/>
      <c r="P66" s="80"/>
      <c r="Q66" s="44" t="s">
        <v>147</v>
      </c>
      <c r="R66" s="254">
        <v>2</v>
      </c>
      <c r="S66" s="250" t="s">
        <v>26</v>
      </c>
      <c r="T66" s="257" t="str">
        <f>+_xlfn.XLOOKUP(A66,Sheet1!C:C,Sheet1!A:A,"-",0)</f>
        <v>-</v>
      </c>
      <c r="Y66" s="49">
        <v>24793999.679458048</v>
      </c>
      <c r="Z66" s="49">
        <f t="shared" si="6"/>
        <v>8.5681676864624023E-8</v>
      </c>
    </row>
    <row r="67" spans="1:26" ht="15" customHeight="1" x14ac:dyDescent="0.35">
      <c r="A67" s="73">
        <v>7.04</v>
      </c>
      <c r="B67" s="38" t="s">
        <v>141</v>
      </c>
      <c r="C67" s="15" t="s">
        <v>148</v>
      </c>
      <c r="D67" s="20" t="s">
        <v>28</v>
      </c>
      <c r="E67" s="74">
        <v>347</v>
      </c>
      <c r="F67" s="75">
        <f>IF(Q67&lt;&gt;"",IFERROR(VLOOKUP(Q67,PARTIDAS!A:P,13,FALSE()),0),0)</f>
        <v>0</v>
      </c>
      <c r="G67" s="47">
        <f>IF(Q67&lt;&gt;"",IFERROR(VLOOKUP(Q67,PARTIDAS!A:P,14,FALSE()),0),0)</f>
        <v>12499.4731571067</v>
      </c>
      <c r="H67" s="47">
        <f>IF(Q67&lt;&gt;"",IFERROR(VLOOKUP(Q67,PARTIDAS!A:P,15,FALSE()),0),0)</f>
        <v>187.4920973566</v>
      </c>
      <c r="I67" s="76">
        <f t="shared" si="25"/>
        <v>12686.965254463301</v>
      </c>
      <c r="J67" s="77">
        <f t="shared" si="26"/>
        <v>0</v>
      </c>
      <c r="K67" s="42">
        <f t="shared" si="27"/>
        <v>4337317.1855160249</v>
      </c>
      <c r="L67" s="42">
        <f t="shared" si="28"/>
        <v>65059.757782740198</v>
      </c>
      <c r="M67" s="76">
        <f t="shared" si="29"/>
        <v>4402376.9432987655</v>
      </c>
      <c r="N67" s="78">
        <f t="shared" si="30"/>
        <v>5867047.752334265</v>
      </c>
      <c r="O67" s="79"/>
      <c r="P67" s="80"/>
      <c r="Q67" s="44" t="s">
        <v>149</v>
      </c>
      <c r="R67" s="254">
        <v>2</v>
      </c>
      <c r="S67" s="250" t="s">
        <v>26</v>
      </c>
      <c r="T67" s="257" t="str">
        <f>+_xlfn.XLOOKUP(A67,Sheet1!C:C,Sheet1!A:A,"-",0)</f>
        <v>-</v>
      </c>
      <c r="X67" s="82"/>
      <c r="Y67" s="49">
        <v>4402376.9432987627</v>
      </c>
      <c r="Z67" s="49">
        <f t="shared" si="6"/>
        <v>0</v>
      </c>
    </row>
    <row r="68" spans="1:26" ht="15" customHeight="1" x14ac:dyDescent="0.35">
      <c r="A68" s="73">
        <v>7.05</v>
      </c>
      <c r="B68" s="38" t="s">
        <v>141</v>
      </c>
      <c r="C68" s="15" t="s">
        <v>150</v>
      </c>
      <c r="D68" s="20" t="s">
        <v>151</v>
      </c>
      <c r="E68" s="74">
        <v>132</v>
      </c>
      <c r="F68" s="75">
        <f>IF(Q68&lt;&gt;"",IFERROR(VLOOKUP(Q68,PARTIDAS!A:P,13,FALSE()),0),0)</f>
        <v>1167.2735606060573</v>
      </c>
      <c r="G68" s="47">
        <f>IF(Q68&lt;&gt;"",IFERROR(VLOOKUP(Q68,PARTIDAS!A:P,14,FALSE()),0),0)</f>
        <v>13162.324006347171</v>
      </c>
      <c r="H68" s="47">
        <f>IF(Q68&lt;&gt;"",IFERROR(VLOOKUP(Q68,PARTIDAS!A:P,15,FALSE()),0),0)</f>
        <v>214.94396350429901</v>
      </c>
      <c r="I68" s="76">
        <f t="shared" si="25"/>
        <v>14544.541530457527</v>
      </c>
      <c r="J68" s="77">
        <f t="shared" si="26"/>
        <v>154080.10999999958</v>
      </c>
      <c r="K68" s="42">
        <f t="shared" si="27"/>
        <v>1737426.7688378266</v>
      </c>
      <c r="L68" s="42">
        <f t="shared" si="28"/>
        <v>28372.603182567469</v>
      </c>
      <c r="M68" s="76">
        <f t="shared" si="29"/>
        <v>1919879.4820203935</v>
      </c>
      <c r="N68" s="78">
        <f t="shared" si="30"/>
        <v>2558623.3856885782</v>
      </c>
      <c r="O68" s="79"/>
      <c r="P68" s="80"/>
      <c r="Q68" s="44" t="s">
        <v>152</v>
      </c>
      <c r="R68" s="254">
        <v>2</v>
      </c>
      <c r="S68" s="250" t="s">
        <v>26</v>
      </c>
      <c r="T68" s="257" t="str">
        <f>+_xlfn.XLOOKUP(A68,Sheet1!C:C,Sheet1!A:A,"-",0)</f>
        <v>-</v>
      </c>
      <c r="Y68" s="49">
        <v>1919879.4820203979</v>
      </c>
      <c r="Z68" s="49">
        <f t="shared" si="6"/>
        <v>-4.4237822294235229E-9</v>
      </c>
    </row>
    <row r="69" spans="1:26" ht="15" customHeight="1" x14ac:dyDescent="0.35">
      <c r="A69" s="73">
        <v>7.06</v>
      </c>
      <c r="B69" s="38" t="s">
        <v>141</v>
      </c>
      <c r="C69" s="15" t="s">
        <v>153</v>
      </c>
      <c r="D69" s="20" t="s">
        <v>92</v>
      </c>
      <c r="E69" s="74">
        <v>710</v>
      </c>
      <c r="F69" s="75">
        <f>IF(Q69&lt;&gt;"",IFERROR(VLOOKUP(Q69,PARTIDAS!A:P,13,FALSE()),0),0)</f>
        <v>4009.2266139999997</v>
      </c>
      <c r="G69" s="47">
        <f>IF(Q69&lt;&gt;"",IFERROR(VLOOKUP(Q69,PARTIDAS!A:P,14,FALSE()),0),0)</f>
        <v>10647.256141088277</v>
      </c>
      <c r="H69" s="47">
        <f>IF(Q69&lt;&gt;"",IFERROR(VLOOKUP(Q69,PARTIDAS!A:P,15,FALSE()),0),0)</f>
        <v>306.95466841192467</v>
      </c>
      <c r="I69" s="76">
        <f t="shared" si="25"/>
        <v>14963.437423500201</v>
      </c>
      <c r="J69" s="77">
        <f t="shared" si="26"/>
        <v>2846550.8959399997</v>
      </c>
      <c r="K69" s="42">
        <f t="shared" si="27"/>
        <v>7559551.8601726769</v>
      </c>
      <c r="L69" s="42">
        <f t="shared" si="28"/>
        <v>217937.81457246651</v>
      </c>
      <c r="M69" s="76">
        <f t="shared" si="29"/>
        <v>10624040.570685143</v>
      </c>
      <c r="N69" s="78">
        <f t="shared" si="30"/>
        <v>14158658.868552089</v>
      </c>
      <c r="O69" s="79"/>
      <c r="P69" s="80"/>
      <c r="Q69" s="44" t="s">
        <v>143</v>
      </c>
      <c r="R69" s="254">
        <v>2</v>
      </c>
      <c r="S69" s="250" t="s">
        <v>97</v>
      </c>
      <c r="T69" s="257" t="str">
        <f>+_xlfn.XLOOKUP(A69,Sheet1!C:C,Sheet1!A:A,"-",0)</f>
        <v>Albañilería</v>
      </c>
      <c r="Y69" s="49">
        <v>10624040.570685141</v>
      </c>
      <c r="Z69" s="49">
        <f t="shared" ref="Z69:Z132" si="31">+M69-Y69</f>
        <v>0</v>
      </c>
    </row>
    <row r="70" spans="1:26" ht="15" customHeight="1" x14ac:dyDescent="0.35">
      <c r="A70" s="61">
        <v>8</v>
      </c>
      <c r="B70" s="62"/>
      <c r="C70" s="63" t="s">
        <v>154</v>
      </c>
      <c r="D70" s="64"/>
      <c r="E70" s="65"/>
      <c r="F70" s="66"/>
      <c r="G70" s="67"/>
      <c r="H70" s="67"/>
      <c r="I70" s="68"/>
      <c r="J70" s="66"/>
      <c r="K70" s="67"/>
      <c r="L70" s="67"/>
      <c r="M70" s="68"/>
      <c r="N70" s="69"/>
      <c r="O70" s="70">
        <f>+SUM(M71:M78)</f>
        <v>37156873.258113265</v>
      </c>
      <c r="P70" s="71">
        <f>+SUM(N71:N78)</f>
        <v>49518964.991087556</v>
      </c>
      <c r="Q70" s="67"/>
      <c r="R70" s="253"/>
      <c r="S70" s="251"/>
      <c r="T70" s="258"/>
      <c r="Y70" s="49">
        <v>0</v>
      </c>
      <c r="Z70" s="49">
        <f t="shared" si="31"/>
        <v>0</v>
      </c>
    </row>
    <row r="71" spans="1:26" ht="15" customHeight="1" x14ac:dyDescent="0.35">
      <c r="A71" s="73">
        <v>8.01</v>
      </c>
      <c r="B71" s="38" t="s">
        <v>154</v>
      </c>
      <c r="C71" s="15" t="s">
        <v>155</v>
      </c>
      <c r="D71" s="20" t="s">
        <v>92</v>
      </c>
      <c r="E71" s="74">
        <v>107</v>
      </c>
      <c r="F71" s="75">
        <f>IF(Q71&lt;&gt;"",IFERROR(VLOOKUP(Q71,PARTIDAS!A:P,13,FALSE()),0),0)</f>
        <v>30940.006822429907</v>
      </c>
      <c r="G71" s="47">
        <f>IF(Q71&lt;&gt;"",IFERROR(VLOOKUP(Q71,PARTIDAS!A:P,14,FALSE()),0),0)</f>
        <v>12364.893372256425</v>
      </c>
      <c r="H71" s="47">
        <f>IF(Q71&lt;&gt;"",IFERROR(VLOOKUP(Q71,PARTIDAS!A:P,15,FALSE()),0),0)</f>
        <v>649.57350320066905</v>
      </c>
      <c r="I71" s="76">
        <f t="shared" ref="I71:I78" si="32">F71+G71+H71</f>
        <v>43954.473697886999</v>
      </c>
      <c r="J71" s="77">
        <f t="shared" ref="J71:J78" si="33">F71*E71</f>
        <v>3310580.73</v>
      </c>
      <c r="K71" s="42">
        <f t="shared" ref="K71:K78" si="34">G71*E71</f>
        <v>1323043.5908314376</v>
      </c>
      <c r="L71" s="42">
        <f t="shared" ref="L71:L78" si="35">H71*E71</f>
        <v>69504.364842471594</v>
      </c>
      <c r="M71" s="76">
        <f t="shared" ref="M71:M78" si="36">I71*E71</f>
        <v>4703128.6856739093</v>
      </c>
      <c r="N71" s="78">
        <f t="shared" ref="N71:N78" si="37">M71*$N$2</f>
        <v>6267859.5993976193</v>
      </c>
      <c r="O71" s="79"/>
      <c r="P71" s="80"/>
      <c r="Q71" s="44" t="s">
        <v>156</v>
      </c>
      <c r="R71" s="254">
        <v>2</v>
      </c>
      <c r="S71" s="250" t="s">
        <v>26</v>
      </c>
      <c r="T71" s="257" t="str">
        <f>+_xlfn.XLOOKUP(A71,Sheet1!C:C,Sheet1!A:A,"-",0)</f>
        <v>Albañilería</v>
      </c>
      <c r="X71" s="82"/>
      <c r="Y71" s="49">
        <v>4703128.6876739115</v>
      </c>
      <c r="Z71" s="49">
        <f t="shared" si="31"/>
        <v>-2.0000021904706955E-3</v>
      </c>
    </row>
    <row r="72" spans="1:26" ht="15" customHeight="1" x14ac:dyDescent="0.35">
      <c r="A72" s="73">
        <v>8.02</v>
      </c>
      <c r="B72" s="38" t="s">
        <v>154</v>
      </c>
      <c r="C72" s="15" t="s">
        <v>157</v>
      </c>
      <c r="D72" s="20" t="s">
        <v>92</v>
      </c>
      <c r="E72" s="74">
        <v>258</v>
      </c>
      <c r="F72" s="75">
        <f>IF(Q72&lt;&gt;"",IFERROR(VLOOKUP(Q72,PARTIDAS!A:P,13,FALSE()),0),0)</f>
        <v>22041.277519379899</v>
      </c>
      <c r="G72" s="47">
        <f>IF(Q72&lt;&gt;"",IFERROR(VLOOKUP(Q72,PARTIDAS!A:P,14,FALSE()),0),0)</f>
        <v>6588.4932897852095</v>
      </c>
      <c r="H72" s="47">
        <f>IF(Q72&lt;&gt;"",IFERROR(VLOOKUP(Q72,PARTIDAS!A:P,15,FALSE()),0),0)</f>
        <v>429.44656213747601</v>
      </c>
      <c r="I72" s="76">
        <f t="shared" si="32"/>
        <v>29059.217371302584</v>
      </c>
      <c r="J72" s="77">
        <f t="shared" si="33"/>
        <v>5686649.6000000136</v>
      </c>
      <c r="K72" s="42">
        <f t="shared" si="34"/>
        <v>1699831.2687645841</v>
      </c>
      <c r="L72" s="42">
        <f t="shared" si="35"/>
        <v>110797.21303146881</v>
      </c>
      <c r="M72" s="76">
        <f t="shared" si="36"/>
        <v>7497278.0817960668</v>
      </c>
      <c r="N72" s="78">
        <f t="shared" si="37"/>
        <v>9991622.4996096175</v>
      </c>
      <c r="O72" s="79"/>
      <c r="P72" s="80"/>
      <c r="Q72" s="44" t="s">
        <v>158</v>
      </c>
      <c r="R72" s="254">
        <v>2</v>
      </c>
      <c r="S72" s="250" t="s">
        <v>26</v>
      </c>
      <c r="T72" s="257" t="str">
        <f>+_xlfn.XLOOKUP(A72,Sheet1!C:C,Sheet1!A:A,"-",0)</f>
        <v>Albañilería</v>
      </c>
      <c r="X72" s="82"/>
      <c r="Y72" s="49">
        <v>7497278.0817960519</v>
      </c>
      <c r="Z72" s="49">
        <f t="shared" si="31"/>
        <v>1.4901161193847656E-8</v>
      </c>
    </row>
    <row r="73" spans="1:26" ht="15" customHeight="1" x14ac:dyDescent="0.35">
      <c r="A73" s="73">
        <v>8.0299999999999994</v>
      </c>
      <c r="B73" s="38" t="s">
        <v>154</v>
      </c>
      <c r="C73" s="15" t="s">
        <v>159</v>
      </c>
      <c r="D73" s="20" t="s">
        <v>92</v>
      </c>
      <c r="E73" s="74">
        <v>425</v>
      </c>
      <c r="F73" s="75">
        <f>IF(Q73&lt;&gt;"",IFERROR(VLOOKUP(Q73,PARTIDAS!A:P,13,FALSE()),0),0)</f>
        <v>6968.0306291446268</v>
      </c>
      <c r="G73" s="47">
        <f>IF(Q73&lt;&gt;"",IFERROR(VLOOKUP(Q73,PARTIDAS!A:P,14,FALSE()),0),0)</f>
        <v>10126.741046938858</v>
      </c>
      <c r="H73" s="47">
        <f>IF(Q73&lt;&gt;"",IFERROR(VLOOKUP(Q73,PARTIDAS!A:P,15,FALSE()),0),0)</f>
        <v>120.0469182113343</v>
      </c>
      <c r="I73" s="76">
        <f t="shared" si="32"/>
        <v>17214.818594294818</v>
      </c>
      <c r="J73" s="77">
        <f t="shared" si="33"/>
        <v>2961413.0173864663</v>
      </c>
      <c r="K73" s="42">
        <f t="shared" si="34"/>
        <v>4303864.944949015</v>
      </c>
      <c r="L73" s="42">
        <f t="shared" si="35"/>
        <v>51019.940239817079</v>
      </c>
      <c r="M73" s="76">
        <f t="shared" si="36"/>
        <v>7316297.9025752982</v>
      </c>
      <c r="N73" s="78">
        <f t="shared" si="37"/>
        <v>9750430.2147620991</v>
      </c>
      <c r="O73" s="79"/>
      <c r="P73" s="80"/>
      <c r="Q73" s="44" t="s">
        <v>160</v>
      </c>
      <c r="R73" s="254">
        <v>2</v>
      </c>
      <c r="S73" s="250" t="s">
        <v>26</v>
      </c>
      <c r="T73" s="257" t="str">
        <f>+_xlfn.XLOOKUP(A73,Sheet1!C:C,Sheet1!A:A,"-",0)</f>
        <v>Albañilería</v>
      </c>
      <c r="Y73" s="49">
        <v>7316297.9025752963</v>
      </c>
      <c r="Z73" s="49">
        <f t="shared" si="31"/>
        <v>0</v>
      </c>
    </row>
    <row r="74" spans="1:26" ht="15" customHeight="1" x14ac:dyDescent="0.35">
      <c r="A74" s="73">
        <v>8.0399999999999991</v>
      </c>
      <c r="B74" s="38" t="s">
        <v>154</v>
      </c>
      <c r="C74" s="15" t="s">
        <v>161</v>
      </c>
      <c r="D74" s="20" t="s">
        <v>92</v>
      </c>
      <c r="E74" s="74">
        <v>200</v>
      </c>
      <c r="F74" s="75">
        <f>IF(Q74&lt;&gt;"",IFERROR(VLOOKUP(Q74,PARTIDAS!A:P,13,FALSE()),0),0)</f>
        <v>24469.45</v>
      </c>
      <c r="G74" s="47">
        <f>IF(Q74&lt;&gt;"",IFERROR(VLOOKUP(Q74,PARTIDAS!A:P,14,FALSE()),0),0)</f>
        <v>5362.3939312257598</v>
      </c>
      <c r="H74" s="47">
        <f>IF(Q74&lt;&gt;"",IFERROR(VLOOKUP(Q74,PARTIDAS!A:P,15,FALSE()),0),0)</f>
        <v>447.47765896838598</v>
      </c>
      <c r="I74" s="76">
        <f t="shared" si="32"/>
        <v>30279.321590194148</v>
      </c>
      <c r="J74" s="77">
        <f t="shared" si="33"/>
        <v>4893890</v>
      </c>
      <c r="K74" s="42">
        <f t="shared" si="34"/>
        <v>1072478.7862451519</v>
      </c>
      <c r="L74" s="42">
        <f t="shared" si="35"/>
        <v>89495.53179367719</v>
      </c>
      <c r="M74" s="76">
        <f t="shared" si="36"/>
        <v>6055864.3180388296</v>
      </c>
      <c r="N74" s="78">
        <f t="shared" si="37"/>
        <v>8070650.3766503483</v>
      </c>
      <c r="O74" s="79"/>
      <c r="P74" s="80"/>
      <c r="Q74" s="44" t="s">
        <v>162</v>
      </c>
      <c r="R74" s="254">
        <v>2</v>
      </c>
      <c r="S74" s="250" t="s">
        <v>26</v>
      </c>
      <c r="T74" s="257" t="str">
        <f>+_xlfn.XLOOKUP(A74,Sheet1!C:C,Sheet1!A:A,"-",0)</f>
        <v>Albañilería</v>
      </c>
      <c r="X74" s="82"/>
      <c r="Y74" s="49">
        <v>6055864.3180388287</v>
      </c>
      <c r="Z74" s="49">
        <f t="shared" si="31"/>
        <v>0</v>
      </c>
    </row>
    <row r="75" spans="1:26" ht="15" customHeight="1" x14ac:dyDescent="0.35">
      <c r="A75" s="73">
        <v>8.0500000000000007</v>
      </c>
      <c r="B75" s="38" t="s">
        <v>154</v>
      </c>
      <c r="C75" s="15" t="s">
        <v>163</v>
      </c>
      <c r="D75" s="20" t="s">
        <v>92</v>
      </c>
      <c r="E75" s="74">
        <v>77</v>
      </c>
      <c r="F75" s="75">
        <f>IF(Q75&lt;&gt;"",IFERROR(VLOOKUP(Q75,PARTIDAS!A:P,13,FALSE()),0),0)</f>
        <v>8233.9594805194884</v>
      </c>
      <c r="G75" s="47">
        <f>IF(Q75&lt;&gt;"",IFERROR(VLOOKUP(Q75,PARTIDAS!A:P,14,FALSE()),0),0)</f>
        <v>15063.226619458404</v>
      </c>
      <c r="H75" s="47">
        <f>IF(Q75&lt;&gt;"",IFERROR(VLOOKUP(Q75,PARTIDAS!A:P,15,FALSE()),0),0)</f>
        <v>349.45779149966802</v>
      </c>
      <c r="I75" s="76">
        <f t="shared" si="32"/>
        <v>23646.643891477564</v>
      </c>
      <c r="J75" s="77">
        <f t="shared" si="33"/>
        <v>634014.88000000059</v>
      </c>
      <c r="K75" s="42">
        <f t="shared" si="34"/>
        <v>1159868.4496982971</v>
      </c>
      <c r="L75" s="42">
        <f t="shared" si="35"/>
        <v>26908.249945474439</v>
      </c>
      <c r="M75" s="76">
        <f t="shared" si="36"/>
        <v>1820791.5796437724</v>
      </c>
      <c r="N75" s="78">
        <f t="shared" si="37"/>
        <v>2426568.9381912556</v>
      </c>
      <c r="O75" s="79"/>
      <c r="P75" s="80"/>
      <c r="Q75" s="44" t="s">
        <v>164</v>
      </c>
      <c r="R75" s="254"/>
      <c r="S75" s="250" t="s">
        <v>26</v>
      </c>
      <c r="T75" s="257" t="str">
        <f>+_xlfn.XLOOKUP(A75,Sheet1!C:C,Sheet1!A:A,"-",0)</f>
        <v>Albañilería</v>
      </c>
      <c r="X75" s="82"/>
      <c r="Y75" s="49">
        <v>1820791.5796437699</v>
      </c>
      <c r="Z75" s="49">
        <f t="shared" si="31"/>
        <v>2.5611370801925659E-9</v>
      </c>
    </row>
    <row r="76" spans="1:26" ht="15" customHeight="1" x14ac:dyDescent="0.35">
      <c r="A76" s="73">
        <v>8.06</v>
      </c>
      <c r="B76" s="38" t="s">
        <v>154</v>
      </c>
      <c r="C76" s="15" t="s">
        <v>165</v>
      </c>
      <c r="D76" s="20" t="s">
        <v>92</v>
      </c>
      <c r="E76" s="74">
        <v>77</v>
      </c>
      <c r="F76" s="75">
        <f>IF(Q76&lt;&gt;"",IFERROR(VLOOKUP(Q76,PARTIDAS!A:P,13,FALSE()),0),0)</f>
        <v>7390.7910271569644</v>
      </c>
      <c r="G76" s="47">
        <f>IF(Q76&lt;&gt;"",IFERROR(VLOOKUP(Q76,PARTIDAS!A:P,14,FALSE()),0),0)</f>
        <v>7159.2550900334618</v>
      </c>
      <c r="H76" s="47">
        <f>IF(Q76&lt;&gt;"",IFERROR(VLOOKUP(Q76,PARTIDAS!A:P,15,FALSE()),0),0)</f>
        <v>218.25069175782201</v>
      </c>
      <c r="I76" s="76">
        <f t="shared" si="32"/>
        <v>14768.296808948247</v>
      </c>
      <c r="J76" s="77">
        <f t="shared" si="33"/>
        <v>569090.90909108624</v>
      </c>
      <c r="K76" s="42">
        <f t="shared" si="34"/>
        <v>551262.64193257655</v>
      </c>
      <c r="L76" s="42">
        <f t="shared" si="35"/>
        <v>16805.303265352293</v>
      </c>
      <c r="M76" s="76">
        <f t="shared" si="36"/>
        <v>1137158.8542890151</v>
      </c>
      <c r="N76" s="78">
        <f t="shared" si="37"/>
        <v>1515491.6051109703</v>
      </c>
      <c r="O76" s="79"/>
      <c r="P76" s="80"/>
      <c r="Q76" s="44" t="s">
        <v>166</v>
      </c>
      <c r="R76" s="254"/>
      <c r="S76" s="250" t="s">
        <v>26</v>
      </c>
      <c r="T76" s="257" t="str">
        <f>+_xlfn.XLOOKUP(A76,Sheet1!C:C,Sheet1!A:A,"-",0)</f>
        <v>Albañilería</v>
      </c>
      <c r="X76" s="82"/>
      <c r="Y76" s="49">
        <v>1137158.8542888369</v>
      </c>
      <c r="Z76" s="49">
        <f t="shared" si="31"/>
        <v>1.7811544239521027E-7</v>
      </c>
    </row>
    <row r="77" spans="1:26" ht="15" customHeight="1" x14ac:dyDescent="0.35">
      <c r="A77" s="73">
        <v>8.07</v>
      </c>
      <c r="B77" s="38" t="s">
        <v>154</v>
      </c>
      <c r="C77" s="15" t="s">
        <v>167</v>
      </c>
      <c r="D77" s="20" t="s">
        <v>92</v>
      </c>
      <c r="E77" s="74">
        <v>442</v>
      </c>
      <c r="F77" s="75">
        <f>IF(Q77&lt;&gt;"",IFERROR(VLOOKUP(Q77,PARTIDAS!A:P,13,FALSE()),0),0)</f>
        <v>2717.5178580000002</v>
      </c>
      <c r="G77" s="47">
        <f>IF(Q77&lt;&gt;"",IFERROR(VLOOKUP(Q77,PARTIDAS!A:P,14,FALSE()),0),0)</f>
        <v>7814.783345243407</v>
      </c>
      <c r="H77" s="47">
        <f>IF(Q77&lt;&gt;"",IFERROR(VLOOKUP(Q77,PARTIDAS!A:P,15,FALSE()),0),0)</f>
        <v>223.7509614652933</v>
      </c>
      <c r="I77" s="76">
        <f t="shared" si="32"/>
        <v>10756.052164708701</v>
      </c>
      <c r="J77" s="77">
        <f t="shared" si="33"/>
        <v>1201142.8932360001</v>
      </c>
      <c r="K77" s="42">
        <f t="shared" si="34"/>
        <v>3454134.2385975858</v>
      </c>
      <c r="L77" s="42">
        <f t="shared" si="35"/>
        <v>98897.924967659637</v>
      </c>
      <c r="M77" s="76">
        <f t="shared" si="36"/>
        <v>4754175.0568012455</v>
      </c>
      <c r="N77" s="78">
        <f t="shared" si="37"/>
        <v>6335889.0981990201</v>
      </c>
      <c r="O77" s="79"/>
      <c r="P77" s="80"/>
      <c r="Q77" s="44" t="s">
        <v>168</v>
      </c>
      <c r="R77" s="254">
        <v>2</v>
      </c>
      <c r="S77" s="250" t="s">
        <v>97</v>
      </c>
      <c r="T77" s="257" t="str">
        <f>+_xlfn.XLOOKUP(A77,Sheet1!C:C,Sheet1!A:A,"-",0)</f>
        <v>Albañilería</v>
      </c>
      <c r="Y77" s="49">
        <v>4754175.0568012446</v>
      </c>
      <c r="Z77" s="49">
        <f t="shared" si="31"/>
        <v>0</v>
      </c>
    </row>
    <row r="78" spans="1:26" ht="15" customHeight="1" x14ac:dyDescent="0.35">
      <c r="A78" s="73">
        <v>8.08</v>
      </c>
      <c r="B78" s="38" t="s">
        <v>154</v>
      </c>
      <c r="C78" s="15" t="s">
        <v>169</v>
      </c>
      <c r="D78" s="20" t="s">
        <v>92</v>
      </c>
      <c r="E78" s="74">
        <v>360</v>
      </c>
      <c r="F78" s="75">
        <f>IF(Q78&lt;&gt;"",IFERROR(VLOOKUP(Q78,PARTIDAS!A:P,13,FALSE()),0),0)</f>
        <v>2717.5178580000002</v>
      </c>
      <c r="G78" s="47">
        <f>IF(Q78&lt;&gt;"",IFERROR(VLOOKUP(Q78,PARTIDAS!A:P,14,FALSE()),0),0)</f>
        <v>7814.783345243407</v>
      </c>
      <c r="H78" s="47">
        <f>IF(Q78&lt;&gt;"",IFERROR(VLOOKUP(Q78,PARTIDAS!A:P,15,FALSE()),0),0)</f>
        <v>223.7509614652933</v>
      </c>
      <c r="I78" s="76">
        <f t="shared" si="32"/>
        <v>10756.052164708701</v>
      </c>
      <c r="J78" s="77">
        <f t="shared" si="33"/>
        <v>978306.42888000002</v>
      </c>
      <c r="K78" s="42">
        <f t="shared" si="34"/>
        <v>2813322.0042876266</v>
      </c>
      <c r="L78" s="42">
        <f t="shared" si="35"/>
        <v>80550.346127505589</v>
      </c>
      <c r="M78" s="76">
        <f t="shared" si="36"/>
        <v>3872178.7792951325</v>
      </c>
      <c r="N78" s="78">
        <f t="shared" si="37"/>
        <v>5160452.6591666229</v>
      </c>
      <c r="O78" s="79"/>
      <c r="P78" s="80"/>
      <c r="Q78" s="44" t="s">
        <v>168</v>
      </c>
      <c r="R78" s="254">
        <v>2</v>
      </c>
      <c r="S78" s="250" t="s">
        <v>97</v>
      </c>
      <c r="T78" s="257" t="str">
        <f>+_xlfn.XLOOKUP(A78,Sheet1!C:C,Sheet1!A:A,"-",0)</f>
        <v>Albañilería</v>
      </c>
      <c r="Y78" s="49">
        <v>3872178.7792951311</v>
      </c>
      <c r="Z78" s="49">
        <f t="shared" si="31"/>
        <v>0</v>
      </c>
    </row>
    <row r="79" spans="1:26" ht="15" customHeight="1" x14ac:dyDescent="0.35">
      <c r="A79" s="61">
        <v>9</v>
      </c>
      <c r="B79" s="62"/>
      <c r="C79" s="63" t="s">
        <v>170</v>
      </c>
      <c r="D79" s="64"/>
      <c r="E79" s="65"/>
      <c r="F79" s="66"/>
      <c r="G79" s="67"/>
      <c r="H79" s="67"/>
      <c r="I79" s="68"/>
      <c r="J79" s="66"/>
      <c r="K79" s="67"/>
      <c r="L79" s="67"/>
      <c r="M79" s="68"/>
      <c r="N79" s="69"/>
      <c r="O79" s="70">
        <f>+SUM(M80:M82)</f>
        <v>3641244.8155415799</v>
      </c>
      <c r="P79" s="71">
        <f>+SUM(N80:N82)</f>
        <v>4852686.9656722639</v>
      </c>
      <c r="Q79" s="67"/>
      <c r="R79" s="253"/>
      <c r="S79" s="251"/>
      <c r="T79" s="258"/>
      <c r="Y79" s="49">
        <v>0</v>
      </c>
      <c r="Z79" s="49">
        <f t="shared" si="31"/>
        <v>0</v>
      </c>
    </row>
    <row r="80" spans="1:26" ht="15" customHeight="1" x14ac:dyDescent="0.35">
      <c r="A80" s="73">
        <v>9.01</v>
      </c>
      <c r="B80" s="38" t="s">
        <v>170</v>
      </c>
      <c r="C80" s="15" t="s">
        <v>171</v>
      </c>
      <c r="D80" s="20" t="s">
        <v>24</v>
      </c>
      <c r="E80" s="74">
        <v>1</v>
      </c>
      <c r="F80" s="75">
        <f>IF(Q80&lt;&gt;"",IFERROR(VLOOKUP(Q80,PARTIDAS!A:P,13,FALSE()),0),0)</f>
        <v>181154.98207619999</v>
      </c>
      <c r="G80" s="47">
        <f>IF(Q80&lt;&gt;"",IFERROR(VLOOKUP(Q80,PARTIDAS!A:P,14,FALSE()),0),0)</f>
        <v>1378156.6048314399</v>
      </c>
      <c r="H80" s="47">
        <f>IF(Q80&lt;&gt;"",IFERROR(VLOOKUP(Q80,PARTIDAS!A:P,15,FALSE()),0),0)</f>
        <v>23389.673803614602</v>
      </c>
      <c r="I80" s="76">
        <f>F80+G80+H80</f>
        <v>1582701.2607112546</v>
      </c>
      <c r="J80" s="77">
        <f>F80*E80</f>
        <v>181154.98207619999</v>
      </c>
      <c r="K80" s="42">
        <f>G80*E80</f>
        <v>1378156.6048314399</v>
      </c>
      <c r="L80" s="42">
        <f>H80*E80</f>
        <v>23389.673803614602</v>
      </c>
      <c r="M80" s="76">
        <f>I80*E80</f>
        <v>1582701.2607112546</v>
      </c>
      <c r="N80" s="78">
        <f>M80*$N$2</f>
        <v>2109265.9701498891</v>
      </c>
      <c r="O80" s="79"/>
      <c r="P80" s="80"/>
      <c r="Q80" s="44" t="s">
        <v>172</v>
      </c>
      <c r="R80" s="254">
        <v>2</v>
      </c>
      <c r="S80" s="250" t="s">
        <v>26</v>
      </c>
      <c r="T80" s="257" t="str">
        <f>+_xlfn.XLOOKUP(A80,Sheet1!C:C,Sheet1!A:A,"-",0)</f>
        <v>Albañilería</v>
      </c>
      <c r="X80" s="82"/>
      <c r="Y80" s="49">
        <v>1582701.2607112541</v>
      </c>
      <c r="Z80" s="49">
        <f t="shared" si="31"/>
        <v>0</v>
      </c>
    </row>
    <row r="81" spans="1:26" ht="15" customHeight="1" x14ac:dyDescent="0.35">
      <c r="A81" s="73">
        <v>9.02</v>
      </c>
      <c r="B81" s="38" t="s">
        <v>170</v>
      </c>
      <c r="C81" s="15" t="s">
        <v>173</v>
      </c>
      <c r="D81" s="20" t="s">
        <v>151</v>
      </c>
      <c r="E81" s="74">
        <v>81</v>
      </c>
      <c r="F81" s="75">
        <f>IF(Q81&lt;&gt;"",IFERROR(VLOOKUP(Q81,PARTIDAS!A:P,13,FALSE()),0),0)</f>
        <v>2592.9773492500799</v>
      </c>
      <c r="G81" s="47">
        <f>IF(Q81&lt;&gt;"",IFERROR(VLOOKUP(Q81,PARTIDAS!A:P,14,FALSE()),0),0)</f>
        <v>18121.935547301757</v>
      </c>
      <c r="H81" s="47">
        <f>IF(Q81&lt;&gt;"",IFERROR(VLOOKUP(Q81,PARTIDAS!A:P,15,FALSE()),0),0)</f>
        <v>310.723693448277</v>
      </c>
      <c r="I81" s="76">
        <f>F81+G81+H81</f>
        <v>21025.636590000111</v>
      </c>
      <c r="J81" s="77">
        <f>F81*E81</f>
        <v>210031.16528925646</v>
      </c>
      <c r="K81" s="42">
        <f>G81*E81</f>
        <v>1467876.7793314422</v>
      </c>
      <c r="L81" s="42">
        <f>H81*E81</f>
        <v>25168.619169310437</v>
      </c>
      <c r="M81" s="76">
        <f>I81*E81</f>
        <v>1703076.5637900089</v>
      </c>
      <c r="N81" s="78">
        <f>M81*$N$2</f>
        <v>2269690.1365629449</v>
      </c>
      <c r="O81" s="79"/>
      <c r="P81" s="80"/>
      <c r="Q81" s="44" t="s">
        <v>174</v>
      </c>
      <c r="R81" s="254">
        <v>2</v>
      </c>
      <c r="S81" s="250" t="s">
        <v>26</v>
      </c>
      <c r="T81" s="257" t="str">
        <f>+_xlfn.XLOOKUP(A81,Sheet1!C:C,Sheet1!A:A,"-",0)</f>
        <v>Albañilería</v>
      </c>
      <c r="X81" s="82"/>
      <c r="Y81" s="49">
        <v>1703076.5637900061</v>
      </c>
      <c r="Z81" s="49">
        <f t="shared" si="31"/>
        <v>2.7939677238464355E-9</v>
      </c>
    </row>
    <row r="82" spans="1:26" ht="15" customHeight="1" x14ac:dyDescent="0.35">
      <c r="A82" s="73">
        <v>9.0299999999999994</v>
      </c>
      <c r="B82" s="38" t="s">
        <v>170</v>
      </c>
      <c r="C82" s="15" t="s">
        <v>175</v>
      </c>
      <c r="D82" s="20" t="s">
        <v>28</v>
      </c>
      <c r="E82" s="74">
        <v>46</v>
      </c>
      <c r="F82" s="75">
        <f>IF(Q82&lt;&gt;"",IFERROR(VLOOKUP(Q82,PARTIDAS!A:P,13,FALSE()),0),0)</f>
        <v>609.94943460000002</v>
      </c>
      <c r="G82" s="47">
        <f>IF(Q82&lt;&gt;"",IFERROR(VLOOKUP(Q82,PARTIDAS!A:P,14,FALSE()),0),0)</f>
        <v>7003.3937018385614</v>
      </c>
      <c r="H82" s="47">
        <f>IF(Q82&lt;&gt;"",IFERROR(VLOOKUP(Q82,PARTIDAS!A:P,15,FALSE()),0),0)</f>
        <v>114.200147046578</v>
      </c>
      <c r="I82" s="76">
        <f>F82+G82+H82</f>
        <v>7727.5432834851399</v>
      </c>
      <c r="J82" s="77">
        <f>F82*E82</f>
        <v>28057.673991600001</v>
      </c>
      <c r="K82" s="42">
        <f>G82*E82</f>
        <v>322156.11028457381</v>
      </c>
      <c r="L82" s="42">
        <f>H82*E82</f>
        <v>5253.2067641425874</v>
      </c>
      <c r="M82" s="76">
        <f>I82*E82</f>
        <v>355466.99104031641</v>
      </c>
      <c r="N82" s="78">
        <f>M82*$N$2</f>
        <v>473730.85895942966</v>
      </c>
      <c r="O82" s="79"/>
      <c r="P82" s="80"/>
      <c r="Q82" s="44" t="s">
        <v>176</v>
      </c>
      <c r="R82" s="254">
        <v>2</v>
      </c>
      <c r="S82" s="250" t="s">
        <v>26</v>
      </c>
      <c r="T82" s="257" t="str">
        <f>+_xlfn.XLOOKUP(A82,Sheet1!C:C,Sheet1!A:A,"-",0)</f>
        <v>Albañilería</v>
      </c>
      <c r="X82" s="82"/>
      <c r="Y82" s="49">
        <v>355466.99104031641</v>
      </c>
      <c r="Z82" s="49">
        <f t="shared" si="31"/>
        <v>0</v>
      </c>
    </row>
    <row r="83" spans="1:26" ht="15" customHeight="1" x14ac:dyDescent="0.35">
      <c r="A83" s="61">
        <v>10</v>
      </c>
      <c r="B83" s="62"/>
      <c r="C83" s="63" t="s">
        <v>3032</v>
      </c>
      <c r="D83" s="64"/>
      <c r="E83" s="65"/>
      <c r="F83" s="66"/>
      <c r="G83" s="67"/>
      <c r="H83" s="67"/>
      <c r="I83" s="68"/>
      <c r="J83" s="66"/>
      <c r="K83" s="67"/>
      <c r="L83" s="67"/>
      <c r="M83" s="68"/>
      <c r="N83" s="69"/>
      <c r="O83" s="70">
        <f>+SUM(M84:M87)</f>
        <v>3139907.7155186478</v>
      </c>
      <c r="P83" s="71">
        <f>+SUM(N84:N87)</f>
        <v>4184555.0124717019</v>
      </c>
      <c r="Q83" s="67"/>
      <c r="R83" s="253"/>
      <c r="S83" s="251"/>
      <c r="T83" s="258"/>
      <c r="Y83" s="49">
        <v>0</v>
      </c>
      <c r="Z83" s="49">
        <f t="shared" si="31"/>
        <v>0</v>
      </c>
    </row>
    <row r="84" spans="1:26" ht="15" customHeight="1" x14ac:dyDescent="0.35">
      <c r="A84" s="73">
        <v>10.01</v>
      </c>
      <c r="B84" s="38" t="s">
        <v>3032</v>
      </c>
      <c r="C84" s="15" t="s">
        <v>177</v>
      </c>
      <c r="D84" s="20" t="s">
        <v>24</v>
      </c>
      <c r="E84" s="74">
        <v>1</v>
      </c>
      <c r="F84" s="75">
        <f>IFERROR(VLOOKUP(Q84,PARTIDAS!A:M,13,FALSE()),0)</f>
        <v>200000</v>
      </c>
      <c r="G84" s="47">
        <f>IFERROR(VLOOKUP(Q84,PARTIDAS!A:N,14,FALSE()),0)</f>
        <v>1163573.8754485799</v>
      </c>
      <c r="H84" s="47">
        <f>IFERROR(VLOOKUP(Q84,PARTIDAS!A:O,15,FALSE()),0)</f>
        <v>20453.608131728699</v>
      </c>
      <c r="I84" s="76">
        <f>F84+G84+H84</f>
        <v>1384027.4835803085</v>
      </c>
      <c r="J84" s="77">
        <f>F84*E84</f>
        <v>200000</v>
      </c>
      <c r="K84" s="42">
        <f>G84*E84</f>
        <v>1163573.8754485799</v>
      </c>
      <c r="L84" s="42">
        <f>H84*E84</f>
        <v>20453.608131728699</v>
      </c>
      <c r="M84" s="76">
        <f>E84*I84</f>
        <v>1384027.4835803085</v>
      </c>
      <c r="N84" s="78">
        <f>M84*$N$2</f>
        <v>1844493.4273674772</v>
      </c>
      <c r="O84" s="79"/>
      <c r="P84" s="80"/>
      <c r="Q84" s="44" t="s">
        <v>178</v>
      </c>
      <c r="R84" s="254"/>
      <c r="S84" s="250" t="s">
        <v>26</v>
      </c>
      <c r="T84" s="257" t="str">
        <f>+_xlfn.XLOOKUP(A84,Sheet1!C:C,Sheet1!A:A,"-",0)</f>
        <v>Albañilería</v>
      </c>
      <c r="X84" s="82"/>
      <c r="Y84" s="49">
        <v>1384027.483580308</v>
      </c>
      <c r="Z84" s="49">
        <f t="shared" si="31"/>
        <v>0</v>
      </c>
    </row>
    <row r="85" spans="1:26" ht="15" customHeight="1" x14ac:dyDescent="0.35">
      <c r="A85" s="73">
        <v>10.02</v>
      </c>
      <c r="B85" s="38" t="s">
        <v>3032</v>
      </c>
      <c r="C85" s="15" t="s">
        <v>179</v>
      </c>
      <c r="D85" s="20" t="s">
        <v>24</v>
      </c>
      <c r="E85" s="74">
        <v>1</v>
      </c>
      <c r="F85" s="75">
        <f>IFERROR(VLOOKUP(Q85,PARTIDAS!A:M,13,FALSE()),0)</f>
        <v>200000</v>
      </c>
      <c r="G85" s="47">
        <f>IFERROR(VLOOKUP(Q85,PARTIDAS!A:N,14,FALSE()),0)</f>
        <v>698144.32526914799</v>
      </c>
      <c r="H85" s="47">
        <f>IFERROR(VLOOKUP(Q85,PARTIDAS!A:O,15,FALSE()),0)</f>
        <v>13472.1648790372</v>
      </c>
      <c r="I85" s="76">
        <f>F85+G85+H85</f>
        <v>911616.49014818517</v>
      </c>
      <c r="J85" s="77">
        <f>F85*E85</f>
        <v>200000</v>
      </c>
      <c r="K85" s="42">
        <f>G85*E85</f>
        <v>698144.32526914799</v>
      </c>
      <c r="L85" s="42">
        <f>H85*E85</f>
        <v>13472.1648790372</v>
      </c>
      <c r="M85" s="76">
        <f>E85*I85</f>
        <v>911616.49014818517</v>
      </c>
      <c r="N85" s="78">
        <f>M85*$N$2</f>
        <v>1214911.2964204864</v>
      </c>
      <c r="O85" s="79"/>
      <c r="P85" s="80"/>
      <c r="Q85" s="44" t="s">
        <v>180</v>
      </c>
      <c r="R85" s="254"/>
      <c r="S85" s="250" t="s">
        <v>26</v>
      </c>
      <c r="T85" s="257" t="str">
        <f>+_xlfn.XLOOKUP(A85,Sheet1!C:C,Sheet1!A:A,"-",0)</f>
        <v>Albañilería</v>
      </c>
      <c r="X85" s="82"/>
      <c r="Y85" s="49">
        <v>911616.49014818494</v>
      </c>
      <c r="Z85" s="49">
        <f t="shared" si="31"/>
        <v>0</v>
      </c>
    </row>
    <row r="86" spans="1:26" ht="15" customHeight="1" x14ac:dyDescent="0.35">
      <c r="A86" s="73">
        <v>10.029999999999999</v>
      </c>
      <c r="B86" s="38" t="s">
        <v>3032</v>
      </c>
      <c r="C86" s="15" t="s">
        <v>181</v>
      </c>
      <c r="D86" s="20" t="s">
        <v>24</v>
      </c>
      <c r="E86" s="74">
        <v>1</v>
      </c>
      <c r="F86" s="75">
        <f>IFERROR(VLOOKUP(Q86,PARTIDAS!A:M,13,FALSE()),0)</f>
        <v>50000</v>
      </c>
      <c r="G86" s="47">
        <f>IFERROR(VLOOKUP(Q86,PARTIDAS!A:N,14,FALSE()),0)</f>
        <v>349072.16263457399</v>
      </c>
      <c r="H86" s="47">
        <f>IFERROR(VLOOKUP(Q86,PARTIDAS!A:O,15,FALSE()),0)</f>
        <v>5986.08243951861</v>
      </c>
      <c r="I86" s="76">
        <f>F86+G86+H86</f>
        <v>405058.24507409259</v>
      </c>
      <c r="J86" s="77">
        <f>F86*E86</f>
        <v>50000</v>
      </c>
      <c r="K86" s="42">
        <f>G86*E86</f>
        <v>349072.16263457399</v>
      </c>
      <c r="L86" s="42">
        <f>H86*E86</f>
        <v>5986.08243951861</v>
      </c>
      <c r="M86" s="76">
        <f>E86*I86</f>
        <v>405058.24507409259</v>
      </c>
      <c r="N86" s="78">
        <f>M86*$N$2</f>
        <v>539821.12321024318</v>
      </c>
      <c r="O86" s="79"/>
      <c r="P86" s="80"/>
      <c r="Q86" s="44" t="s">
        <v>182</v>
      </c>
      <c r="R86" s="254"/>
      <c r="S86" s="250" t="s">
        <v>26</v>
      </c>
      <c r="T86" s="257" t="str">
        <f>+_xlfn.XLOOKUP(A86,Sheet1!C:C,Sheet1!A:A,"-",0)</f>
        <v>Albañilería</v>
      </c>
      <c r="X86" s="82"/>
      <c r="Y86" s="49">
        <v>405058.24507409253</v>
      </c>
      <c r="Z86" s="49">
        <f t="shared" si="31"/>
        <v>0</v>
      </c>
    </row>
    <row r="87" spans="1:26" ht="15" customHeight="1" x14ac:dyDescent="0.35">
      <c r="A87" s="73">
        <v>10.039999999999999</v>
      </c>
      <c r="B87" s="38" t="s">
        <v>3032</v>
      </c>
      <c r="C87" s="15" t="s">
        <v>183</v>
      </c>
      <c r="D87" s="20" t="s">
        <v>53</v>
      </c>
      <c r="E87" s="74">
        <v>10</v>
      </c>
      <c r="F87" s="75">
        <f>IFERROR(VLOOKUP(Q87,PARTIDAS!A:M,13,FALSE()),0)</f>
        <v>20000</v>
      </c>
      <c r="G87" s="47">
        <f>IFERROR(VLOOKUP(Q87,PARTIDAS!A:N,14,FALSE()),0)</f>
        <v>23271.477508971599</v>
      </c>
      <c r="H87" s="47">
        <f>IFERROR(VLOOKUP(Q87,PARTIDAS!A:O,15,FALSE()),0)</f>
        <v>649.07216263457406</v>
      </c>
      <c r="I87" s="76">
        <f>F87+G87+H87</f>
        <v>43920.549671606175</v>
      </c>
      <c r="J87" s="77">
        <f>F87*E87</f>
        <v>200000</v>
      </c>
      <c r="K87" s="42">
        <f>G87*E87</f>
        <v>232714.77508971599</v>
      </c>
      <c r="L87" s="42">
        <f>H87*E87</f>
        <v>6490.7216263457403</v>
      </c>
      <c r="M87" s="76">
        <f>E87*I87</f>
        <v>439205.49671606172</v>
      </c>
      <c r="N87" s="78">
        <f>M87*$N$2</f>
        <v>585329.16547349549</v>
      </c>
      <c r="O87" s="79"/>
      <c r="P87" s="80"/>
      <c r="Q87" s="44" t="s">
        <v>184</v>
      </c>
      <c r="R87" s="254"/>
      <c r="S87" s="250" t="s">
        <v>26</v>
      </c>
      <c r="T87" s="257" t="str">
        <f>+_xlfn.XLOOKUP(A87,Sheet1!C:C,Sheet1!A:A,"-",0)</f>
        <v>Albañilería</v>
      </c>
      <c r="X87" s="82"/>
      <c r="Y87" s="49">
        <v>439205.49671606172</v>
      </c>
      <c r="Z87" s="49">
        <f t="shared" si="31"/>
        <v>0</v>
      </c>
    </row>
    <row r="88" spans="1:26" ht="15" customHeight="1" x14ac:dyDescent="0.35">
      <c r="A88" s="61">
        <v>11</v>
      </c>
      <c r="B88" s="62"/>
      <c r="C88" s="63" t="s">
        <v>3030</v>
      </c>
      <c r="D88" s="64"/>
      <c r="E88" s="65"/>
      <c r="F88" s="66"/>
      <c r="G88" s="67"/>
      <c r="H88" s="67"/>
      <c r="I88" s="68"/>
      <c r="J88" s="66"/>
      <c r="K88" s="67"/>
      <c r="L88" s="67"/>
      <c r="M88" s="68"/>
      <c r="N88" s="69"/>
      <c r="O88" s="70">
        <f>+SUM(M89:M99)</f>
        <v>22729980.327462845</v>
      </c>
      <c r="P88" s="71">
        <f>+SUM(N89:N99)</f>
        <v>30292244.782409731</v>
      </c>
      <c r="Q88" s="67"/>
      <c r="R88" s="253"/>
      <c r="S88" s="251"/>
      <c r="T88" s="258"/>
      <c r="Y88" s="49">
        <v>0</v>
      </c>
      <c r="Z88" s="49">
        <f t="shared" si="31"/>
        <v>0</v>
      </c>
    </row>
    <row r="89" spans="1:26" ht="15" customHeight="1" x14ac:dyDescent="0.35">
      <c r="A89" s="83">
        <v>11.01</v>
      </c>
      <c r="B89" s="38" t="s">
        <v>3030</v>
      </c>
      <c r="C89" s="15" t="s">
        <v>185</v>
      </c>
      <c r="D89" s="20" t="s">
        <v>92</v>
      </c>
      <c r="E89" s="74">
        <v>0</v>
      </c>
      <c r="F89" s="75">
        <f>IF(Q89&lt;&gt;"",IFERROR(VLOOKUP(Q89,PARTIDAS!A:P,13,FALSE()),0),0)</f>
        <v>0</v>
      </c>
      <c r="G89" s="47">
        <f>IF(Q89&lt;&gt;"",IFERROR(VLOOKUP(Q89,PARTIDAS!A:P,14,FALSE()),0),0)</f>
        <v>0</v>
      </c>
      <c r="H89" s="47">
        <f>IF(Q89&lt;&gt;"",IFERROR(VLOOKUP(Q89,PARTIDAS!A:P,15,FALSE()),0),0)</f>
        <v>0</v>
      </c>
      <c r="I89" s="76">
        <f t="shared" ref="I89:I99" si="38">F89+G89+H89</f>
        <v>0</v>
      </c>
      <c r="J89" s="77">
        <f t="shared" ref="J89:J99" si="39">F89*E89</f>
        <v>0</v>
      </c>
      <c r="K89" s="42">
        <f t="shared" ref="K89:K99" si="40">G89*E89</f>
        <v>0</v>
      </c>
      <c r="L89" s="42">
        <f t="shared" ref="L89:L99" si="41">H89*E89</f>
        <v>0</v>
      </c>
      <c r="M89" s="76">
        <f t="shared" ref="M89:M99" si="42">I89*E89</f>
        <v>0</v>
      </c>
      <c r="N89" s="78">
        <f t="shared" ref="N89:N99" si="43">M89*$N$2</f>
        <v>0</v>
      </c>
      <c r="O89" s="79"/>
      <c r="P89" s="80"/>
      <c r="Q89" s="44" t="s">
        <v>186</v>
      </c>
      <c r="R89" s="254">
        <v>2</v>
      </c>
      <c r="S89" s="250" t="s">
        <v>26</v>
      </c>
      <c r="T89" s="257" t="str">
        <f>+_xlfn.XLOOKUP(A89,Sheet1!C:C,Sheet1!A:A,"-",0)</f>
        <v>-</v>
      </c>
      <c r="Y89" s="49">
        <v>0</v>
      </c>
      <c r="Z89" s="49">
        <f t="shared" si="31"/>
        <v>0</v>
      </c>
    </row>
    <row r="90" spans="1:26" ht="15" customHeight="1" x14ac:dyDescent="0.35">
      <c r="A90" s="83">
        <v>11.02</v>
      </c>
      <c r="B90" s="38" t="s">
        <v>3030</v>
      </c>
      <c r="C90" s="15" t="s">
        <v>187</v>
      </c>
      <c r="D90" s="20" t="s">
        <v>92</v>
      </c>
      <c r="E90" s="74">
        <v>39</v>
      </c>
      <c r="F90" s="75">
        <f>IF(Q90&lt;&gt;"",IFERROR(VLOOKUP(Q90,PARTIDAS!A:P,13,FALSE()),0),0)</f>
        <v>4066.3295639999997</v>
      </c>
      <c r="G90" s="47">
        <f>IF(Q90&lt;&gt;"",IFERROR(VLOOKUP(Q90,PARTIDAS!A:P,14,FALSE()),0),0)</f>
        <v>10118.033699552869</v>
      </c>
      <c r="H90" s="47">
        <f>IF(Q90&lt;&gt;"",IFERROR(VLOOKUP(Q90,PARTIDAS!A:P,15,FALSE()),0),0)</f>
        <v>282.12077749971763</v>
      </c>
      <c r="I90" s="76">
        <f t="shared" si="38"/>
        <v>14466.484041052587</v>
      </c>
      <c r="J90" s="77">
        <f t="shared" si="39"/>
        <v>158586.85299599997</v>
      </c>
      <c r="K90" s="42">
        <f t="shared" si="40"/>
        <v>394603.31428256189</v>
      </c>
      <c r="L90" s="42">
        <f t="shared" si="41"/>
        <v>11002.710322488987</v>
      </c>
      <c r="M90" s="76">
        <f t="shared" si="42"/>
        <v>564192.87760105089</v>
      </c>
      <c r="N90" s="78">
        <f t="shared" si="43"/>
        <v>751899.84797892056</v>
      </c>
      <c r="O90" s="79"/>
      <c r="P90" s="80"/>
      <c r="Q90" s="44" t="s">
        <v>188</v>
      </c>
      <c r="R90" s="254">
        <v>2</v>
      </c>
      <c r="S90" s="250" t="s">
        <v>26</v>
      </c>
      <c r="T90" s="257" t="str">
        <f>+_xlfn.XLOOKUP(A90,Sheet1!C:C,Sheet1!A:A,"-",0)</f>
        <v>Revestimiento</v>
      </c>
      <c r="Y90" s="49">
        <v>564192.87760105089</v>
      </c>
      <c r="Z90" s="49">
        <f t="shared" si="31"/>
        <v>0</v>
      </c>
    </row>
    <row r="91" spans="1:26" ht="15" customHeight="1" x14ac:dyDescent="0.35">
      <c r="A91" s="83">
        <v>11.03</v>
      </c>
      <c r="B91" s="38" t="s">
        <v>3030</v>
      </c>
      <c r="C91" s="15" t="s">
        <v>189</v>
      </c>
      <c r="D91" s="20" t="s">
        <v>92</v>
      </c>
      <c r="E91" s="74">
        <v>48</v>
      </c>
      <c r="F91" s="75">
        <f>IF(Q91&lt;&gt;"",IFERROR(VLOOKUP(Q91,PARTIDAS!A:P,13,FALSE()),0),0)</f>
        <v>7156.2986004793383</v>
      </c>
      <c r="G91" s="47">
        <f>IF(Q91&lt;&gt;"",IFERROR(VLOOKUP(Q91,PARTIDAS!A:P,14,FALSE()),0),0)</f>
        <v>10957.55010331877</v>
      </c>
      <c r="H91" s="47">
        <f>IF(Q91&lt;&gt;"",IFERROR(VLOOKUP(Q91,PARTIDAS!A:P,15,FALSE()),0),0)</f>
        <v>225.81274523621045</v>
      </c>
      <c r="I91" s="76">
        <f t="shared" si="38"/>
        <v>18339.66144903432</v>
      </c>
      <c r="J91" s="77">
        <f t="shared" si="39"/>
        <v>343502.33282300824</v>
      </c>
      <c r="K91" s="42">
        <f t="shared" si="40"/>
        <v>525962.404959301</v>
      </c>
      <c r="L91" s="42">
        <f t="shared" si="41"/>
        <v>10839.011771338101</v>
      </c>
      <c r="M91" s="76">
        <f t="shared" si="42"/>
        <v>880303.74955364736</v>
      </c>
      <c r="N91" s="78">
        <f t="shared" si="43"/>
        <v>1173180.8070301458</v>
      </c>
      <c r="O91" s="79"/>
      <c r="P91" s="80"/>
      <c r="Q91" s="44" t="s">
        <v>190</v>
      </c>
      <c r="R91" s="254"/>
      <c r="S91" s="250" t="s">
        <v>97</v>
      </c>
      <c r="T91" s="257" t="str">
        <f>+_xlfn.XLOOKUP(A91,Sheet1!C:C,Sheet1!A:A,"-",0)</f>
        <v>Revestimiento</v>
      </c>
      <c r="Y91" s="49">
        <v>913431.19859980105</v>
      </c>
      <c r="Z91" s="49">
        <f t="shared" si="31"/>
        <v>-33127.449046153692</v>
      </c>
    </row>
    <row r="92" spans="1:26" ht="15" customHeight="1" x14ac:dyDescent="0.35">
      <c r="A92" s="83">
        <v>11.04</v>
      </c>
      <c r="B92" s="38" t="s">
        <v>3030</v>
      </c>
      <c r="C92" s="15" t="s">
        <v>191</v>
      </c>
      <c r="D92" s="20" t="s">
        <v>92</v>
      </c>
      <c r="E92" s="74">
        <v>174</v>
      </c>
      <c r="F92" s="75">
        <f>IF(Q92&lt;&gt;"",IFERROR(VLOOKUP(Q92,PARTIDAS!A:P,13,FALSE()),0),0)</f>
        <v>1303.4390229885068</v>
      </c>
      <c r="G92" s="47">
        <f>IF(Q92&lt;&gt;"",IFERROR(VLOOKUP(Q92,PARTIDAS!A:P,14,FALSE()),0),0)</f>
        <v>12863.339870530473</v>
      </c>
      <c r="H92" s="47">
        <f>IF(Q92&lt;&gt;"",IFERROR(VLOOKUP(Q92,PARTIDAS!A:P,15,FALSE()),0),0)</f>
        <v>212.50168340278501</v>
      </c>
      <c r="I92" s="76">
        <f t="shared" si="38"/>
        <v>14379.280576921765</v>
      </c>
      <c r="J92" s="77">
        <f t="shared" si="39"/>
        <v>226798.39000000019</v>
      </c>
      <c r="K92" s="42">
        <f t="shared" si="40"/>
        <v>2238221.1374723022</v>
      </c>
      <c r="L92" s="42">
        <f t="shared" si="41"/>
        <v>36975.292912084587</v>
      </c>
      <c r="M92" s="76">
        <f t="shared" si="42"/>
        <v>2501994.8203843869</v>
      </c>
      <c r="N92" s="78">
        <f t="shared" si="43"/>
        <v>3334408.4971262724</v>
      </c>
      <c r="O92" s="79"/>
      <c r="P92" s="80"/>
      <c r="Q92" s="44" t="s">
        <v>192</v>
      </c>
      <c r="R92" s="254"/>
      <c r="S92" s="250" t="s">
        <v>26</v>
      </c>
      <c r="T92" s="257" t="str">
        <f>+_xlfn.XLOOKUP(A92,Sheet1!C:C,Sheet1!A:A,"-",0)</f>
        <v>Revestimiento</v>
      </c>
      <c r="X92" s="82"/>
      <c r="Y92" s="49">
        <v>2501994.820384386</v>
      </c>
      <c r="Z92" s="49">
        <f t="shared" si="31"/>
        <v>0</v>
      </c>
    </row>
    <row r="93" spans="1:26" ht="15" customHeight="1" x14ac:dyDescent="0.35">
      <c r="A93" s="83">
        <v>11.05</v>
      </c>
      <c r="B93" s="38" t="s">
        <v>3030</v>
      </c>
      <c r="C93" s="15" t="s">
        <v>193</v>
      </c>
      <c r="D93" s="20" t="s">
        <v>92</v>
      </c>
      <c r="E93" s="74">
        <v>92</v>
      </c>
      <c r="F93" s="75">
        <f>IF(Q93&lt;&gt;"",IFERROR(VLOOKUP(Q93,PARTIDAS!A:P,13,FALSE()),0),0)</f>
        <v>1303.4390229885068</v>
      </c>
      <c r="G93" s="47">
        <f>IF(Q93&lt;&gt;"",IFERROR(VLOOKUP(Q93,PARTIDAS!A:P,14,FALSE()),0),0)</f>
        <v>12863.339870530473</v>
      </c>
      <c r="H93" s="47">
        <f>IF(Q93&lt;&gt;"",IFERROR(VLOOKUP(Q93,PARTIDAS!A:P,15,FALSE()),0),0)</f>
        <v>212.50168340278501</v>
      </c>
      <c r="I93" s="76">
        <f t="shared" si="38"/>
        <v>14379.280576921765</v>
      </c>
      <c r="J93" s="77">
        <f t="shared" si="39"/>
        <v>119916.39011494262</v>
      </c>
      <c r="K93" s="42">
        <f t="shared" si="40"/>
        <v>1183427.2680888036</v>
      </c>
      <c r="L93" s="42">
        <f t="shared" si="41"/>
        <v>19550.154873056221</v>
      </c>
      <c r="M93" s="76">
        <f t="shared" si="42"/>
        <v>1322893.8130768023</v>
      </c>
      <c r="N93" s="78">
        <f t="shared" si="43"/>
        <v>1763020.5846874544</v>
      </c>
      <c r="O93" s="79"/>
      <c r="P93" s="80"/>
      <c r="Q93" s="44" t="s">
        <v>192</v>
      </c>
      <c r="R93" s="254"/>
      <c r="S93" s="250" t="s">
        <v>26</v>
      </c>
      <c r="T93" s="257" t="str">
        <f>+_xlfn.XLOOKUP(A93,Sheet1!C:C,Sheet1!A:A,"-",0)</f>
        <v>Revestimiento</v>
      </c>
      <c r="X93" s="82"/>
      <c r="Y93" s="49">
        <v>1322893.8130768021</v>
      </c>
      <c r="Z93" s="49">
        <f t="shared" si="31"/>
        <v>0</v>
      </c>
    </row>
    <row r="94" spans="1:26" ht="15" customHeight="1" x14ac:dyDescent="0.35">
      <c r="A94" s="83">
        <v>11.06</v>
      </c>
      <c r="B94" s="38" t="s">
        <v>3030</v>
      </c>
      <c r="C94" s="15" t="s">
        <v>194</v>
      </c>
      <c r="D94" s="20" t="s">
        <v>92</v>
      </c>
      <c r="E94" s="74">
        <v>8</v>
      </c>
      <c r="F94" s="75">
        <f>IF(Q94&lt;&gt;"",IFERROR(VLOOKUP(Q94,PARTIDAS!A:P,13,FALSE()),0),0)</f>
        <v>2773.0080000000003</v>
      </c>
      <c r="G94" s="47">
        <f>IF(Q94&lt;&gt;"",IFERROR(VLOOKUP(Q94,PARTIDAS!A:P,14,FALSE()),0),0)</f>
        <v>7607.5725970715002</v>
      </c>
      <c r="H94" s="47">
        <f>IF(Q94&lt;&gt;"",IFERROR(VLOOKUP(Q94,PARTIDAS!A:P,15,FALSE()),0),0)</f>
        <v>155.708708956072</v>
      </c>
      <c r="I94" s="76">
        <f t="shared" si="38"/>
        <v>10536.289306027573</v>
      </c>
      <c r="J94" s="77">
        <f t="shared" si="39"/>
        <v>22184.064000000002</v>
      </c>
      <c r="K94" s="42">
        <f t="shared" si="40"/>
        <v>60860.580776572002</v>
      </c>
      <c r="L94" s="42">
        <f t="shared" si="41"/>
        <v>1245.669671648576</v>
      </c>
      <c r="M94" s="76">
        <f t="shared" si="42"/>
        <v>84290.314448220583</v>
      </c>
      <c r="N94" s="78">
        <f t="shared" si="43"/>
        <v>112333.70206514357</v>
      </c>
      <c r="O94" s="79"/>
      <c r="P94" s="80"/>
      <c r="Q94" s="44" t="s">
        <v>195</v>
      </c>
      <c r="R94" s="254">
        <v>2</v>
      </c>
      <c r="S94" s="250" t="s">
        <v>26</v>
      </c>
      <c r="T94" s="257" t="str">
        <f>+_xlfn.XLOOKUP(A94,Sheet1!C:C,Sheet1!A:A,"-",0)</f>
        <v>Revestimiento</v>
      </c>
      <c r="X94" s="82"/>
      <c r="Y94" s="49">
        <v>84290.314448220539</v>
      </c>
      <c r="Z94" s="49">
        <f t="shared" si="31"/>
        <v>0</v>
      </c>
    </row>
    <row r="95" spans="1:26" ht="15" customHeight="1" x14ac:dyDescent="0.35">
      <c r="A95" s="83">
        <v>11.07</v>
      </c>
      <c r="B95" s="38" t="s">
        <v>3030</v>
      </c>
      <c r="C95" s="15" t="s">
        <v>196</v>
      </c>
      <c r="D95" s="20" t="s">
        <v>92</v>
      </c>
      <c r="E95" s="74">
        <v>46</v>
      </c>
      <c r="F95" s="75">
        <f>IF(Q95&lt;&gt;"",IFERROR(VLOOKUP(Q95,PARTIDAS!A:P,13,FALSE()),0),0)</f>
        <v>7701.7948919999963</v>
      </c>
      <c r="G95" s="47">
        <f>IF(Q95&lt;&gt;"",IFERROR(VLOOKUP(Q95,PARTIDAS!A:P,14,FALSE()),0),0)</f>
        <v>11983.970476795126</v>
      </c>
      <c r="H95" s="47">
        <f>IF(Q95&lt;&gt;"",IFERROR(VLOOKUP(Q95,PARTIDAS!A:P,15,FALSE()),0),0)</f>
        <v>295.286480531927</v>
      </c>
      <c r="I95" s="76">
        <f t="shared" si="38"/>
        <v>19981.05184932705</v>
      </c>
      <c r="J95" s="77">
        <f t="shared" si="39"/>
        <v>354282.56503199984</v>
      </c>
      <c r="K95" s="42">
        <f t="shared" si="40"/>
        <v>551262.64193257585</v>
      </c>
      <c r="L95" s="42">
        <f t="shared" si="41"/>
        <v>13583.178104468641</v>
      </c>
      <c r="M95" s="76">
        <f t="shared" si="42"/>
        <v>919128.38506904431</v>
      </c>
      <c r="N95" s="78">
        <f t="shared" si="43"/>
        <v>1224922.3987815154</v>
      </c>
      <c r="O95" s="79"/>
      <c r="P95" s="80"/>
      <c r="Q95" s="44" t="s">
        <v>197</v>
      </c>
      <c r="R95" s="254"/>
      <c r="S95" s="250" t="s">
        <v>26</v>
      </c>
      <c r="T95" s="257" t="str">
        <f>+_xlfn.XLOOKUP(A95,Sheet1!C:C,Sheet1!A:A,"-",0)</f>
        <v>Revestimiento</v>
      </c>
      <c r="X95" s="82"/>
      <c r="Y95" s="49">
        <v>919128.38506904431</v>
      </c>
      <c r="Z95" s="49">
        <f t="shared" si="31"/>
        <v>0</v>
      </c>
    </row>
    <row r="96" spans="1:26" ht="15" customHeight="1" x14ac:dyDescent="0.35">
      <c r="A96" s="83">
        <v>11.08</v>
      </c>
      <c r="B96" s="38" t="s">
        <v>3030</v>
      </c>
      <c r="C96" s="15" t="s">
        <v>198</v>
      </c>
      <c r="D96" s="20" t="s">
        <v>92</v>
      </c>
      <c r="E96" s="74">
        <v>562</v>
      </c>
      <c r="F96" s="75">
        <f>IF(Q96&lt;&gt;"",IFERROR(VLOOKUP(Q96,PARTIDAS!A:P,13,FALSE()),0),0)</f>
        <v>7156.2986004793383</v>
      </c>
      <c r="G96" s="47">
        <f>IF(Q96&lt;&gt;"",IFERROR(VLOOKUP(Q96,PARTIDAS!A:P,14,FALSE()),0),0)</f>
        <v>10957.55010331877</v>
      </c>
      <c r="H96" s="47">
        <f>IF(Q96&lt;&gt;"",IFERROR(VLOOKUP(Q96,PARTIDAS!A:P,15,FALSE()),0),0)</f>
        <v>225.81274523621045</v>
      </c>
      <c r="I96" s="76">
        <f t="shared" si="38"/>
        <v>18339.66144903432</v>
      </c>
      <c r="J96" s="77">
        <f t="shared" si="39"/>
        <v>4021839.8134693881</v>
      </c>
      <c r="K96" s="42">
        <f t="shared" si="40"/>
        <v>6158143.1580651486</v>
      </c>
      <c r="L96" s="42">
        <f t="shared" si="41"/>
        <v>126906.76282275027</v>
      </c>
      <c r="M96" s="76">
        <f t="shared" si="42"/>
        <v>10306889.734357288</v>
      </c>
      <c r="N96" s="78">
        <f t="shared" si="43"/>
        <v>13735991.948977958</v>
      </c>
      <c r="O96" s="79"/>
      <c r="P96" s="80"/>
      <c r="Q96" s="44" t="s">
        <v>190</v>
      </c>
      <c r="R96" s="254"/>
      <c r="S96" s="250" t="s">
        <v>97</v>
      </c>
      <c r="T96" s="257" t="str">
        <f>+_xlfn.XLOOKUP(A96,Sheet1!C:C,Sheet1!A:A,"-",0)</f>
        <v>Revestimiento</v>
      </c>
      <c r="Y96" s="49">
        <v>10694756.95027267</v>
      </c>
      <c r="Z96" s="49">
        <f t="shared" si="31"/>
        <v>-387867.21591538191</v>
      </c>
    </row>
    <row r="97" spans="1:26" ht="15" customHeight="1" x14ac:dyDescent="0.35">
      <c r="A97" s="83">
        <v>11.09</v>
      </c>
      <c r="B97" s="38" t="s">
        <v>3030</v>
      </c>
      <c r="C97" s="15" t="s">
        <v>199</v>
      </c>
      <c r="D97" s="20" t="s">
        <v>92</v>
      </c>
      <c r="E97" s="74">
        <v>73</v>
      </c>
      <c r="F97" s="75">
        <f>IF(Q97&lt;&gt;"",IFERROR(VLOOKUP(Q97,PARTIDAS!A:P,13,FALSE()),0),0)</f>
        <v>7156.2986004793383</v>
      </c>
      <c r="G97" s="47">
        <f>IF(Q97&lt;&gt;"",IFERROR(VLOOKUP(Q97,PARTIDAS!A:P,14,FALSE()),0),0)</f>
        <v>14244.815134314402</v>
      </c>
      <c r="H97" s="47">
        <f>IF(Q97&lt;&gt;"",IFERROR(VLOOKUP(Q97,PARTIDAS!A:P,15,FALSE()),0),0)</f>
        <v>293.55656880707357</v>
      </c>
      <c r="I97" s="76">
        <f t="shared" si="38"/>
        <v>21694.670303600815</v>
      </c>
      <c r="J97" s="77">
        <f t="shared" si="39"/>
        <v>522409.79783499171</v>
      </c>
      <c r="K97" s="42">
        <f t="shared" si="40"/>
        <v>1039871.5048049514</v>
      </c>
      <c r="L97" s="42">
        <f t="shared" si="41"/>
        <v>21429.62952291637</v>
      </c>
      <c r="M97" s="76">
        <f t="shared" si="42"/>
        <v>1583710.9321628595</v>
      </c>
      <c r="N97" s="78">
        <f t="shared" si="43"/>
        <v>2110611.5592934429</v>
      </c>
      <c r="O97" s="79"/>
      <c r="P97" s="80"/>
      <c r="Q97" s="44" t="s">
        <v>200</v>
      </c>
      <c r="R97" s="254"/>
      <c r="S97" s="250" t="s">
        <v>97</v>
      </c>
      <c r="T97" s="257" t="str">
        <f>+_xlfn.XLOOKUP(A97,Sheet1!C:C,Sheet1!A:A,"-",0)</f>
        <v>Revestimiento</v>
      </c>
      <c r="Y97" s="49">
        <v>1649206.6595478591</v>
      </c>
      <c r="Z97" s="49">
        <f t="shared" si="31"/>
        <v>-65495.727384999627</v>
      </c>
    </row>
    <row r="98" spans="1:26" ht="15" customHeight="1" x14ac:dyDescent="0.35">
      <c r="A98" s="83">
        <v>11.1</v>
      </c>
      <c r="B98" s="38" t="s">
        <v>3030</v>
      </c>
      <c r="C98" s="15" t="s">
        <v>201</v>
      </c>
      <c r="D98" s="20" t="s">
        <v>92</v>
      </c>
      <c r="E98" s="74">
        <v>143</v>
      </c>
      <c r="F98" s="75">
        <f>IF(Q98&lt;&gt;"",IFERROR(VLOOKUP(Q98,PARTIDAS!A:P,13,FALSE()),0),0)</f>
        <v>7156.2986004793383</v>
      </c>
      <c r="G98" s="47">
        <f>IF(Q98&lt;&gt;"",IFERROR(VLOOKUP(Q98,PARTIDAS!A:P,14,FALSE()),0),0)</f>
        <v>10957.55010331877</v>
      </c>
      <c r="H98" s="47">
        <f>IF(Q98&lt;&gt;"",IFERROR(VLOOKUP(Q98,PARTIDAS!A:P,15,FALSE()),0),0)</f>
        <v>225.81274523621045</v>
      </c>
      <c r="I98" s="76">
        <f t="shared" si="38"/>
        <v>18339.66144903432</v>
      </c>
      <c r="J98" s="77">
        <f t="shared" si="39"/>
        <v>1023350.6998685454</v>
      </c>
      <c r="K98" s="42">
        <f t="shared" si="40"/>
        <v>1566929.6647745841</v>
      </c>
      <c r="L98" s="42">
        <f t="shared" si="41"/>
        <v>32291.222568778096</v>
      </c>
      <c r="M98" s="76">
        <f t="shared" si="42"/>
        <v>2622571.5872119078</v>
      </c>
      <c r="N98" s="78">
        <f t="shared" si="43"/>
        <v>3495101.1542773098</v>
      </c>
      <c r="O98" s="79"/>
      <c r="P98" s="80"/>
      <c r="Q98" s="44" t="s">
        <v>190</v>
      </c>
      <c r="R98" s="254"/>
      <c r="S98" s="250" t="s">
        <v>97</v>
      </c>
      <c r="T98" s="257" t="str">
        <f>+_xlfn.XLOOKUP(A98,Sheet1!C:C,Sheet1!A:A,"-",0)</f>
        <v>Revestimiento</v>
      </c>
      <c r="Y98" s="49">
        <v>2721263.7791619068</v>
      </c>
      <c r="Z98" s="49">
        <f t="shared" si="31"/>
        <v>-98692.19194999896</v>
      </c>
    </row>
    <row r="99" spans="1:26" ht="15" customHeight="1" x14ac:dyDescent="0.35">
      <c r="A99" s="83">
        <v>11.11</v>
      </c>
      <c r="B99" s="38" t="s">
        <v>3030</v>
      </c>
      <c r="C99" s="15" t="s">
        <v>202</v>
      </c>
      <c r="D99" s="20" t="s">
        <v>92</v>
      </c>
      <c r="E99" s="74">
        <v>106</v>
      </c>
      <c r="F99" s="75">
        <f>IF(Q99&lt;&gt;"",IFERROR(VLOOKUP(Q99,PARTIDAS!A:P,13,FALSE()),0),0)</f>
        <v>7156.2986004793383</v>
      </c>
      <c r="G99" s="47">
        <f>IF(Q99&lt;&gt;"",IFERROR(VLOOKUP(Q99,PARTIDAS!A:P,14,FALSE()),0),0)</f>
        <v>10957.55010331877</v>
      </c>
      <c r="H99" s="47">
        <f>IF(Q99&lt;&gt;"",IFERROR(VLOOKUP(Q99,PARTIDAS!A:P,15,FALSE()),0),0)</f>
        <v>225.81274523621045</v>
      </c>
      <c r="I99" s="76">
        <f t="shared" si="38"/>
        <v>18339.66144903432</v>
      </c>
      <c r="J99" s="77">
        <f t="shared" si="39"/>
        <v>758567.65165080992</v>
      </c>
      <c r="K99" s="42">
        <f t="shared" si="40"/>
        <v>1161500.3109517896</v>
      </c>
      <c r="L99" s="42">
        <f t="shared" si="41"/>
        <v>23936.150995038308</v>
      </c>
      <c r="M99" s="76">
        <f t="shared" si="42"/>
        <v>1944004.113597638</v>
      </c>
      <c r="N99" s="78">
        <f t="shared" si="43"/>
        <v>2590774.2821915722</v>
      </c>
      <c r="O99" s="79"/>
      <c r="P99" s="80"/>
      <c r="Q99" s="44" t="s">
        <v>190</v>
      </c>
      <c r="R99" s="254"/>
      <c r="S99" s="250" t="s">
        <v>97</v>
      </c>
      <c r="T99" s="257" t="str">
        <f>+_xlfn.XLOOKUP(A99,Sheet1!C:C,Sheet1!A:A,"-",0)</f>
        <v>Revestimiento</v>
      </c>
      <c r="Y99" s="49">
        <v>2017160.5635745609</v>
      </c>
      <c r="Z99" s="49">
        <f t="shared" si="31"/>
        <v>-73156.449976922944</v>
      </c>
    </row>
    <row r="100" spans="1:26" ht="15" customHeight="1" x14ac:dyDescent="0.35">
      <c r="A100" s="61">
        <v>12</v>
      </c>
      <c r="B100" s="62"/>
      <c r="C100" s="63" t="s">
        <v>3036</v>
      </c>
      <c r="D100" s="64"/>
      <c r="E100" s="65"/>
      <c r="F100" s="66"/>
      <c r="G100" s="67"/>
      <c r="H100" s="67"/>
      <c r="I100" s="68"/>
      <c r="J100" s="66"/>
      <c r="K100" s="67"/>
      <c r="L100" s="67"/>
      <c r="M100" s="68"/>
      <c r="N100" s="69"/>
      <c r="O100" s="70">
        <f>+SUM(M101:M103)</f>
        <v>8877435.9642444775</v>
      </c>
      <c r="P100" s="71">
        <f>+SUM(N101:N103)</f>
        <v>11830958.909548614</v>
      </c>
      <c r="Q100" s="67"/>
      <c r="R100" s="253"/>
      <c r="S100" s="251"/>
      <c r="T100" s="258"/>
      <c r="Y100" s="49">
        <v>0</v>
      </c>
      <c r="Z100" s="49">
        <f t="shared" si="31"/>
        <v>0</v>
      </c>
    </row>
    <row r="101" spans="1:26" ht="15" customHeight="1" x14ac:dyDescent="0.35">
      <c r="A101" s="83">
        <v>12.01</v>
      </c>
      <c r="B101" s="38" t="s">
        <v>3036</v>
      </c>
      <c r="C101" s="15" t="s">
        <v>203</v>
      </c>
      <c r="D101" s="20" t="s">
        <v>28</v>
      </c>
      <c r="E101" s="74">
        <v>19</v>
      </c>
      <c r="F101" s="75">
        <f>IF(Q101&lt;&gt;"",IFERROR(VLOOKUP(Q101,PARTIDAS!A:P,13,FALSE()),0),0)</f>
        <v>809.61503399999992</v>
      </c>
      <c r="G101" s="47">
        <f>IF(Q101&lt;&gt;"",IFERROR(VLOOKUP(Q101,PARTIDAS!A:P,14,FALSE()),0),0)</f>
        <v>3938.2617666857427</v>
      </c>
      <c r="H101" s="47">
        <f>IF(Q101&lt;&gt;"",IFERROR(VLOOKUP(Q101,PARTIDAS!A:P,15,FALSE()),0),0)</f>
        <v>126.07066738346906</v>
      </c>
      <c r="I101" s="76">
        <f>F101+G101+H101</f>
        <v>4873.9474680692119</v>
      </c>
      <c r="J101" s="77">
        <f>F101*E101</f>
        <v>15382.685645999998</v>
      </c>
      <c r="K101" s="42">
        <f>G101*E101</f>
        <v>74826.973567029112</v>
      </c>
      <c r="L101" s="42">
        <f>H101*E101</f>
        <v>2395.3426802859121</v>
      </c>
      <c r="M101" s="76">
        <f>I101*E101</f>
        <v>92605.001893315028</v>
      </c>
      <c r="N101" s="78">
        <f>M101*$N$2</f>
        <v>123414.68602322094</v>
      </c>
      <c r="O101" s="79"/>
      <c r="P101" s="80"/>
      <c r="Q101" s="44" t="s">
        <v>204</v>
      </c>
      <c r="R101" s="254">
        <v>2</v>
      </c>
      <c r="S101" s="250" t="s">
        <v>26</v>
      </c>
      <c r="T101" s="257" t="str">
        <f>+_xlfn.XLOOKUP(A101,Sheet1!C:C,Sheet1!A:A,"-",0)</f>
        <v>Revestimiento</v>
      </c>
      <c r="Y101" s="49">
        <v>92605.001893314999</v>
      </c>
      <c r="Z101" s="49">
        <f t="shared" si="31"/>
        <v>0</v>
      </c>
    </row>
    <row r="102" spans="1:26" ht="15" customHeight="1" x14ac:dyDescent="0.35">
      <c r="A102" s="83">
        <v>12.02</v>
      </c>
      <c r="B102" s="38" t="s">
        <v>3036</v>
      </c>
      <c r="C102" s="15" t="s">
        <v>205</v>
      </c>
      <c r="D102" s="20" t="s">
        <v>28</v>
      </c>
      <c r="E102" s="74">
        <v>626</v>
      </c>
      <c r="F102" s="84">
        <f>IF(Q102&lt;&gt;"",IFERROR(VLOOKUP(Q102,PARTIDAS!A:P,13,FALSE()),0),0)</f>
        <v>7090.9090909091001</v>
      </c>
      <c r="G102" s="47">
        <f>IF(Q102&lt;&gt;"",IFERROR(VLOOKUP(Q102,PARTIDAS!A:P,14,FALSE()),0),0)</f>
        <v>3196.217368004588</v>
      </c>
      <c r="H102" s="47">
        <f>IF(Q102&lt;&gt;"",IFERROR(VLOOKUP(Q102,PARTIDAS!A:P,15,FALSE()),0),0)</f>
        <v>100.443260520069</v>
      </c>
      <c r="I102" s="76">
        <f>F102+G102+H102</f>
        <v>10387.569719433757</v>
      </c>
      <c r="J102" s="77">
        <f>F102*E102</f>
        <v>4438909.0909090964</v>
      </c>
      <c r="K102" s="42">
        <f>G102*E102</f>
        <v>2000832.0723708721</v>
      </c>
      <c r="L102" s="42">
        <f>H102*E102</f>
        <v>62877.481085563195</v>
      </c>
      <c r="M102" s="76">
        <f>I102*E102</f>
        <v>6502618.6443655323</v>
      </c>
      <c r="N102" s="78">
        <f>M102*$N$2</f>
        <v>8666039.867345944</v>
      </c>
      <c r="O102" s="79"/>
      <c r="P102" s="80"/>
      <c r="Q102" s="44" t="s">
        <v>206</v>
      </c>
      <c r="R102" s="254">
        <v>2</v>
      </c>
      <c r="S102" s="250" t="s">
        <v>26</v>
      </c>
      <c r="T102" s="257" t="str">
        <f>+_xlfn.XLOOKUP(A102,Sheet1!C:C,Sheet1!A:A,"-",0)</f>
        <v>Revestimiento</v>
      </c>
      <c r="X102" s="82" t="s">
        <v>207</v>
      </c>
      <c r="Y102" s="49">
        <v>4254709.553456434</v>
      </c>
      <c r="Z102" s="49">
        <f t="shared" si="31"/>
        <v>2247909.0909090983</v>
      </c>
    </row>
    <row r="103" spans="1:26" ht="15" customHeight="1" x14ac:dyDescent="0.35">
      <c r="A103" s="83">
        <v>12.03</v>
      </c>
      <c r="B103" s="38" t="s">
        <v>3036</v>
      </c>
      <c r="C103" s="15" t="s">
        <v>208</v>
      </c>
      <c r="D103" s="20" t="s">
        <v>28</v>
      </c>
      <c r="E103" s="74">
        <v>386</v>
      </c>
      <c r="F103" s="75">
        <f>IFERROR(VLOOKUP(Q103,PARTIDAS!A:M,13,FALSE()),0)</f>
        <v>1066.3432439999999</v>
      </c>
      <c r="G103" s="47">
        <f>IFERROR(VLOOKUP(Q103,PARTIDAS!A:N,14,FALSE()),0)</f>
        <v>4748.2717114381339</v>
      </c>
      <c r="H103" s="47">
        <f>IFERROR(VLOOKUP(Q103,PARTIDAS!A:O,15,FALSE()),0)</f>
        <v>97.852189602357853</v>
      </c>
      <c r="I103" s="76">
        <f>F103+G103+H103</f>
        <v>5912.4671450404912</v>
      </c>
      <c r="J103" s="77">
        <f>F103*E103</f>
        <v>411608.49218399997</v>
      </c>
      <c r="K103" s="42">
        <f>G103*E103</f>
        <v>1832832.8806151196</v>
      </c>
      <c r="L103" s="42">
        <f>H103*E103</f>
        <v>37770.945186510129</v>
      </c>
      <c r="M103" s="76">
        <f>I103*E103</f>
        <v>2282212.3179856297</v>
      </c>
      <c r="N103" s="78">
        <f>M103*$N$2</f>
        <v>3041504.3561794488</v>
      </c>
      <c r="O103" s="79"/>
      <c r="P103" s="80"/>
      <c r="Q103" s="44" t="s">
        <v>209</v>
      </c>
      <c r="R103" s="254"/>
      <c r="S103" s="250" t="s">
        <v>97</v>
      </c>
      <c r="T103" s="257" t="str">
        <f>+_xlfn.XLOOKUP(A103,Sheet1!C:C,Sheet1!A:A,"-",0)</f>
        <v>Revestimiento</v>
      </c>
      <c r="Y103" s="49">
        <v>2397652.275842296</v>
      </c>
      <c r="Z103" s="49">
        <f t="shared" si="31"/>
        <v>-115439.9578566663</v>
      </c>
    </row>
    <row r="104" spans="1:26" ht="15" customHeight="1" x14ac:dyDescent="0.35">
      <c r="A104" s="61">
        <v>13</v>
      </c>
      <c r="B104" s="62"/>
      <c r="C104" s="63" t="s">
        <v>3031</v>
      </c>
      <c r="D104" s="64"/>
      <c r="E104" s="65"/>
      <c r="F104" s="66"/>
      <c r="G104" s="67"/>
      <c r="H104" s="67"/>
      <c r="I104" s="68"/>
      <c r="J104" s="66"/>
      <c r="K104" s="67"/>
      <c r="L104" s="67"/>
      <c r="M104" s="68"/>
      <c r="N104" s="69"/>
      <c r="O104" s="70">
        <f>+SUM(M105:M108)</f>
        <v>10745498.213529637</v>
      </c>
      <c r="P104" s="85">
        <f>+SUM(N105:N108)</f>
        <v>14320525.469170945</v>
      </c>
      <c r="Q104" s="67"/>
      <c r="R104" s="253"/>
      <c r="S104" s="251"/>
      <c r="T104" s="258"/>
      <c r="Y104" s="49">
        <v>0</v>
      </c>
      <c r="Z104" s="49">
        <f t="shared" si="31"/>
        <v>0</v>
      </c>
    </row>
    <row r="105" spans="1:26" ht="15" customHeight="1" x14ac:dyDescent="0.35">
      <c r="A105" s="83">
        <v>13.01</v>
      </c>
      <c r="B105" s="38" t="s">
        <v>3031</v>
      </c>
      <c r="C105" s="15" t="s">
        <v>210</v>
      </c>
      <c r="D105" s="20" t="s">
        <v>92</v>
      </c>
      <c r="E105" s="74">
        <v>413</v>
      </c>
      <c r="F105" s="75">
        <f>IFERROR(VLOOKUP(Q105,PARTIDAS!A:M,13,FALSE()),0)</f>
        <v>7156.2986004793383</v>
      </c>
      <c r="G105" s="47">
        <f>IFERROR(VLOOKUP(Q105,PARTIDAS!A:N,14,FALSE()),0)</f>
        <v>14244.815134314402</v>
      </c>
      <c r="H105" s="47">
        <f>IFERROR(VLOOKUP(Q105,PARTIDAS!A:O,15,FALSE()),0)</f>
        <v>293.55656880707357</v>
      </c>
      <c r="I105" s="76">
        <f>F105+G105+H105</f>
        <v>21694.670303600815</v>
      </c>
      <c r="J105" s="77">
        <f>F105*E105</f>
        <v>2955551.3219979666</v>
      </c>
      <c r="K105" s="42">
        <f>G105*E105</f>
        <v>5883108.6504718475</v>
      </c>
      <c r="L105" s="42">
        <f>H105*E105</f>
        <v>121238.86291732138</v>
      </c>
      <c r="M105" s="76">
        <f>I105*E105</f>
        <v>8959898.8353871368</v>
      </c>
      <c r="N105" s="78">
        <f>M105*$N$2</f>
        <v>11940857.177920436</v>
      </c>
      <c r="O105" s="79"/>
      <c r="P105" s="80"/>
      <c r="Q105" s="44" t="s">
        <v>200</v>
      </c>
      <c r="R105" s="254"/>
      <c r="S105" s="250" t="s">
        <v>97</v>
      </c>
      <c r="T105" s="257" t="str">
        <f>+_xlfn.XLOOKUP(A105,Sheet1!C:C,Sheet1!A:A,"-",0)</f>
        <v>Revestimiento</v>
      </c>
      <c r="Y105" s="49">
        <v>9330443.1560721342</v>
      </c>
      <c r="Z105" s="49">
        <f t="shared" si="31"/>
        <v>-370544.32068499736</v>
      </c>
    </row>
    <row r="106" spans="1:26" ht="15" customHeight="1" x14ac:dyDescent="0.35">
      <c r="A106" s="83">
        <v>13.02</v>
      </c>
      <c r="B106" s="38" t="s">
        <v>3031</v>
      </c>
      <c r="C106" s="15" t="s">
        <v>211</v>
      </c>
      <c r="D106" s="20" t="s">
        <v>92</v>
      </c>
      <c r="E106" s="74">
        <v>18</v>
      </c>
      <c r="F106" s="75">
        <f>IFERROR(VLOOKUP(Q106,PARTIDAS!A:M,13,FALSE()),0)</f>
        <v>7156.2986004793383</v>
      </c>
      <c r="G106" s="47">
        <f>IFERROR(VLOOKUP(Q106,PARTIDAS!A:N,14,FALSE()),0)</f>
        <v>14244.815134314402</v>
      </c>
      <c r="H106" s="47">
        <f>IFERROR(VLOOKUP(Q106,PARTIDAS!A:O,15,FALSE()),0)</f>
        <v>293.55656880707357</v>
      </c>
      <c r="I106" s="76">
        <f>F106+G106+H106</f>
        <v>21694.670303600815</v>
      </c>
      <c r="J106" s="77">
        <f>F106*E106</f>
        <v>128813.37480862808</v>
      </c>
      <c r="K106" s="42">
        <f>G106*E106</f>
        <v>256406.67241765923</v>
      </c>
      <c r="L106" s="42">
        <f>H106*E106</f>
        <v>5284.0182385273247</v>
      </c>
      <c r="M106" s="76">
        <f>I106*E106</f>
        <v>390504.06546481466</v>
      </c>
      <c r="N106" s="78">
        <f>M106*$N$2</f>
        <v>520424.76804495847</v>
      </c>
      <c r="O106" s="79"/>
      <c r="P106" s="80"/>
      <c r="Q106" s="44" t="s">
        <v>200</v>
      </c>
      <c r="R106" s="254"/>
      <c r="S106" s="250" t="s">
        <v>97</v>
      </c>
      <c r="T106" s="257" t="str">
        <f>+_xlfn.XLOOKUP(A106,Sheet1!C:C,Sheet1!A:A,"-",0)</f>
        <v>Revestimiento</v>
      </c>
      <c r="Y106" s="49">
        <v>406653.69687481457</v>
      </c>
      <c r="Z106" s="49">
        <f t="shared" si="31"/>
        <v>-16149.631409999914</v>
      </c>
    </row>
    <row r="107" spans="1:26" ht="15" customHeight="1" x14ac:dyDescent="0.35">
      <c r="A107" s="83">
        <v>13.03</v>
      </c>
      <c r="B107" s="38" t="s">
        <v>3031</v>
      </c>
      <c r="C107" s="15" t="s">
        <v>212</v>
      </c>
      <c r="D107" s="20" t="s">
        <v>92</v>
      </c>
      <c r="E107" s="74">
        <v>20</v>
      </c>
      <c r="F107" s="75">
        <f>IFERROR(VLOOKUP(Q107,PARTIDAS!A:M,13,FALSE()),0)</f>
        <v>36508.296000000002</v>
      </c>
      <c r="G107" s="47">
        <f>IFERROR(VLOOKUP(Q107,PARTIDAS!A:N,14,FALSE()),0)</f>
        <v>32215.611028457399</v>
      </c>
      <c r="H107" s="47">
        <f>IFERROR(VLOOKUP(Q107,PARTIDAS!A:O,15,FALSE()),0)</f>
        <v>1030.8586054268601</v>
      </c>
      <c r="I107" s="76">
        <f>F107+G107+H107</f>
        <v>69754.765633884264</v>
      </c>
      <c r="J107" s="77">
        <f>F107*E107</f>
        <v>730165.92</v>
      </c>
      <c r="K107" s="42">
        <f>G107*E107</f>
        <v>644312.22056914796</v>
      </c>
      <c r="L107" s="42">
        <f>H107*E107</f>
        <v>20617.172108537201</v>
      </c>
      <c r="M107" s="76">
        <f>I107*E107</f>
        <v>1395095.3126776852</v>
      </c>
      <c r="N107" s="78">
        <f>M107*$N$2</f>
        <v>1859243.5232055511</v>
      </c>
      <c r="O107" s="79"/>
      <c r="P107" s="80"/>
      <c r="Q107" s="44" t="s">
        <v>213</v>
      </c>
      <c r="R107" s="254"/>
      <c r="S107" s="250" t="s">
        <v>26</v>
      </c>
      <c r="T107" s="257" t="str">
        <f>+_xlfn.XLOOKUP(A107,Sheet1!C:C,Sheet1!A:A,"-",0)</f>
        <v>Revestimiento</v>
      </c>
      <c r="X107" s="82"/>
      <c r="Y107" s="49">
        <v>1395095.3126776849</v>
      </c>
      <c r="Z107" s="49">
        <f t="shared" si="31"/>
        <v>0</v>
      </c>
    </row>
    <row r="108" spans="1:26" ht="15" customHeight="1" x14ac:dyDescent="0.35">
      <c r="A108" s="83">
        <v>13.04</v>
      </c>
      <c r="B108" s="38" t="s">
        <v>3031</v>
      </c>
      <c r="C108" s="15" t="s">
        <v>214</v>
      </c>
      <c r="D108" s="20" t="s">
        <v>92</v>
      </c>
      <c r="E108" s="74">
        <v>0</v>
      </c>
      <c r="F108" s="75">
        <f>IFERROR(VLOOKUP(Q108,PARTIDAS!A:M,13,FALSE()),0)</f>
        <v>0</v>
      </c>
      <c r="G108" s="47">
        <f>IFERROR(VLOOKUP(Q108,PARTIDAS!A:N,14,FALSE()),0)</f>
        <v>0</v>
      </c>
      <c r="H108" s="47">
        <f>IFERROR(VLOOKUP(Q108,PARTIDAS!A:O,15,FALSE()),0)</f>
        <v>0</v>
      </c>
      <c r="I108" s="76">
        <f>F108+G108+H108</f>
        <v>0</v>
      </c>
      <c r="J108" s="77">
        <f>F108*E108</f>
        <v>0</v>
      </c>
      <c r="K108" s="42">
        <f>G108*E108</f>
        <v>0</v>
      </c>
      <c r="L108" s="42">
        <f>H108*E108</f>
        <v>0</v>
      </c>
      <c r="M108" s="76">
        <f>I108*E108</f>
        <v>0</v>
      </c>
      <c r="N108" s="78">
        <f>M108*$N$2</f>
        <v>0</v>
      </c>
      <c r="O108" s="79"/>
      <c r="P108" s="80"/>
      <c r="Q108" s="44" t="s">
        <v>215</v>
      </c>
      <c r="R108" s="254"/>
      <c r="S108" s="250" t="s">
        <v>26</v>
      </c>
      <c r="T108" s="257" t="str">
        <f>+_xlfn.XLOOKUP(A108,Sheet1!C:C,Sheet1!A:A,"-",0)</f>
        <v>-</v>
      </c>
      <c r="Y108" s="49">
        <v>0</v>
      </c>
      <c r="Z108" s="49">
        <f t="shared" si="31"/>
        <v>0</v>
      </c>
    </row>
    <row r="109" spans="1:26" ht="15" customHeight="1" x14ac:dyDescent="0.35">
      <c r="A109" s="61">
        <v>14</v>
      </c>
      <c r="B109" s="62"/>
      <c r="C109" s="63" t="s">
        <v>3026</v>
      </c>
      <c r="D109" s="64"/>
      <c r="E109" s="65"/>
      <c r="F109" s="66"/>
      <c r="G109" s="67"/>
      <c r="H109" s="67"/>
      <c r="I109" s="68"/>
      <c r="J109" s="66"/>
      <c r="K109" s="67"/>
      <c r="L109" s="67"/>
      <c r="M109" s="68"/>
      <c r="N109" s="69"/>
      <c r="O109" s="70">
        <f>+SUM(M110:M116)</f>
        <v>25370890.720440239</v>
      </c>
      <c r="P109" s="71">
        <f>+SUM(N110:N116)</f>
        <v>33811786.063130699</v>
      </c>
      <c r="Q109" s="67"/>
      <c r="R109" s="253"/>
      <c r="S109" s="251"/>
      <c r="T109" s="258"/>
      <c r="Y109" s="49">
        <v>0</v>
      </c>
      <c r="Z109" s="49">
        <f t="shared" si="31"/>
        <v>0</v>
      </c>
    </row>
    <row r="110" spans="1:26" ht="15" customHeight="1" x14ac:dyDescent="0.35">
      <c r="A110" s="83">
        <v>14.01</v>
      </c>
      <c r="B110" s="38" t="s">
        <v>3026</v>
      </c>
      <c r="C110" s="15" t="s">
        <v>216</v>
      </c>
      <c r="D110" s="20" t="s">
        <v>92</v>
      </c>
      <c r="E110" s="74">
        <v>460</v>
      </c>
      <c r="F110" s="75">
        <f>IF(Q110&lt;&gt;"",IFERROR(VLOOKUP(Q110,PARTIDAS!A:P,13,FALSE()),0),0)</f>
        <v>5812.2328695652177</v>
      </c>
      <c r="G110" s="47">
        <f>IF(Q110&lt;&gt;"",IFERROR(VLOOKUP(Q110,PARTIDAS!A:P,14,FALSE()),0),0)</f>
        <v>11651.218312086001</v>
      </c>
      <c r="H110" s="47">
        <f>IF(Q110&lt;&gt;"",IFERROR(VLOOKUP(Q110,PARTIDAS!A:P,15,FALSE()),0),0)</f>
        <v>261.95176772476799</v>
      </c>
      <c r="I110" s="76">
        <f t="shared" ref="I110:I116" si="44">F110+G110+H110</f>
        <v>17725.402949375984</v>
      </c>
      <c r="J110" s="77">
        <f t="shared" ref="J110:J116" si="45">F110*E110</f>
        <v>2673627.12</v>
      </c>
      <c r="K110" s="42">
        <f t="shared" ref="K110:K116" si="46">G110*E110</f>
        <v>5359560.4235595604</v>
      </c>
      <c r="L110" s="42">
        <f t="shared" ref="L110:L116" si="47">H110*E110</f>
        <v>120497.81315339328</v>
      </c>
      <c r="M110" s="76">
        <f t="shared" ref="M110:M116" si="48">I110*E110</f>
        <v>8153685.3567129532</v>
      </c>
      <c r="N110" s="78">
        <f t="shared" ref="N110:N116" si="49">M110*$N$2</f>
        <v>10866416.474891353</v>
      </c>
      <c r="O110" s="79"/>
      <c r="P110" s="80"/>
      <c r="Q110" s="44" t="s">
        <v>217</v>
      </c>
      <c r="R110" s="254">
        <v>2</v>
      </c>
      <c r="S110" s="250" t="s">
        <v>26</v>
      </c>
      <c r="T110" s="257" t="str">
        <f>+_xlfn.XLOOKUP(A110,Sheet1!C:C,Sheet1!A:A,"-",0)</f>
        <v>-</v>
      </c>
      <c r="X110" s="82"/>
      <c r="Y110" s="49">
        <v>8153685.356712928</v>
      </c>
      <c r="Z110" s="49">
        <f t="shared" si="31"/>
        <v>2.514570951461792E-8</v>
      </c>
    </row>
    <row r="111" spans="1:26" ht="15" customHeight="1" x14ac:dyDescent="0.35">
      <c r="A111" s="83">
        <v>14.02</v>
      </c>
      <c r="B111" s="38" t="s">
        <v>3026</v>
      </c>
      <c r="C111" s="15" t="s">
        <v>218</v>
      </c>
      <c r="D111" s="20" t="s">
        <v>28</v>
      </c>
      <c r="E111" s="74">
        <v>434</v>
      </c>
      <c r="F111" s="75">
        <f>IF(Q111&lt;&gt;"",IFERROR(VLOOKUP(Q111,PARTIDAS!A:P,13,FALSE()),0),0)</f>
        <v>0</v>
      </c>
      <c r="G111" s="47">
        <f>IF(Q111&lt;&gt;"",IFERROR(VLOOKUP(Q111,PARTIDAS!A:P,14,FALSE()),0),0)</f>
        <v>12499.4731571067</v>
      </c>
      <c r="H111" s="47">
        <f>IF(Q111&lt;&gt;"",IFERROR(VLOOKUP(Q111,PARTIDAS!A:P,15,FALSE()),0),0)</f>
        <v>0</v>
      </c>
      <c r="I111" s="76">
        <f t="shared" si="44"/>
        <v>12499.4731571067</v>
      </c>
      <c r="J111" s="77">
        <f t="shared" si="45"/>
        <v>0</v>
      </c>
      <c r="K111" s="42">
        <f t="shared" si="46"/>
        <v>5424771.3501843084</v>
      </c>
      <c r="L111" s="42">
        <f t="shared" si="47"/>
        <v>0</v>
      </c>
      <c r="M111" s="76">
        <f t="shared" si="48"/>
        <v>5424771.3501843084</v>
      </c>
      <c r="N111" s="78">
        <f t="shared" si="49"/>
        <v>7229592.7783906274</v>
      </c>
      <c r="O111" s="79"/>
      <c r="P111" s="80"/>
      <c r="Q111" s="44" t="s">
        <v>219</v>
      </c>
      <c r="R111" s="254">
        <v>2</v>
      </c>
      <c r="S111" s="250" t="s">
        <v>26</v>
      </c>
      <c r="T111" s="257" t="str">
        <f>+_xlfn.XLOOKUP(A111,Sheet1!C:C,Sheet1!A:A,"-",0)</f>
        <v>-</v>
      </c>
      <c r="Y111" s="49">
        <v>5424771.3501843037</v>
      </c>
      <c r="Z111" s="49">
        <f t="shared" si="31"/>
        <v>0</v>
      </c>
    </row>
    <row r="112" spans="1:26" ht="15" customHeight="1" x14ac:dyDescent="0.35">
      <c r="A112" s="83">
        <v>14.03</v>
      </c>
      <c r="B112" s="38" t="s">
        <v>3026</v>
      </c>
      <c r="C112" s="15" t="s">
        <v>220</v>
      </c>
      <c r="D112" s="20" t="s">
        <v>92</v>
      </c>
      <c r="E112" s="74">
        <v>115</v>
      </c>
      <c r="F112" s="75">
        <f>IF(Q112&lt;&gt;"",IFERROR(VLOOKUP(Q112,PARTIDAS!A:P,13,FALSE()),0),0)</f>
        <v>10671.936802390734</v>
      </c>
      <c r="G112" s="47">
        <f>IF(Q112&lt;&gt;"",IFERROR(VLOOKUP(Q112,PARTIDAS!A:P,14,FALSE()),0),0)</f>
        <v>15938.965136120421</v>
      </c>
      <c r="H112" s="47">
        <f>IF(Q112&lt;&gt;"",IFERROR(VLOOKUP(Q112,PARTIDAS!A:P,15,FALSE()),0),0)</f>
        <v>263.73013064992199</v>
      </c>
      <c r="I112" s="76">
        <f t="shared" si="44"/>
        <v>26874.632069161074</v>
      </c>
      <c r="J112" s="77">
        <f t="shared" si="45"/>
        <v>1227272.7322749344</v>
      </c>
      <c r="K112" s="42">
        <f t="shared" si="46"/>
        <v>1832980.9906538485</v>
      </c>
      <c r="L112" s="42">
        <f t="shared" si="47"/>
        <v>30328.965024741028</v>
      </c>
      <c r="M112" s="76">
        <f t="shared" si="48"/>
        <v>3090582.6879535234</v>
      </c>
      <c r="N112" s="78">
        <f t="shared" si="49"/>
        <v>4118819.5482356604</v>
      </c>
      <c r="O112" s="79"/>
      <c r="P112" s="80"/>
      <c r="Q112" s="44" t="s">
        <v>221</v>
      </c>
      <c r="R112" s="254">
        <v>2</v>
      </c>
      <c r="S112" s="250" t="s">
        <v>26</v>
      </c>
      <c r="T112" s="257" t="str">
        <f>+_xlfn.XLOOKUP(A112,Sheet1!C:C,Sheet1!A:A,"-",0)</f>
        <v>-</v>
      </c>
      <c r="Y112" s="49">
        <v>3090582.6879535238</v>
      </c>
      <c r="Z112" s="49">
        <f t="shared" si="31"/>
        <v>0</v>
      </c>
    </row>
    <row r="113" spans="1:26" ht="15" customHeight="1" x14ac:dyDescent="0.35">
      <c r="A113" s="83">
        <v>14.04</v>
      </c>
      <c r="B113" s="38" t="s">
        <v>3026</v>
      </c>
      <c r="C113" s="15" t="s">
        <v>222</v>
      </c>
      <c r="D113" s="20" t="s">
        <v>92</v>
      </c>
      <c r="E113" s="74">
        <v>89</v>
      </c>
      <c r="F113" s="75">
        <f>IF(Q113&lt;&gt;"",IFERROR(VLOOKUP(Q113,PARTIDAS!A:P,13,FALSE()),0),0)</f>
        <v>14660.054765467656</v>
      </c>
      <c r="G113" s="47">
        <f>IF(Q113&lt;&gt;"",IFERROR(VLOOKUP(Q113,PARTIDAS!A:P,14,FALSE()),0),0)</f>
        <v>15938.965136120421</v>
      </c>
      <c r="H113" s="47">
        <f>IF(Q113&lt;&gt;"",IFERROR(VLOOKUP(Q113,PARTIDAS!A:P,15,FALSE()),0),0)</f>
        <v>263.73013064992199</v>
      </c>
      <c r="I113" s="76">
        <f t="shared" si="44"/>
        <v>30862.750032238</v>
      </c>
      <c r="J113" s="77">
        <f t="shared" si="45"/>
        <v>1304744.8741266213</v>
      </c>
      <c r="K113" s="42">
        <f t="shared" si="46"/>
        <v>1418567.8971147174</v>
      </c>
      <c r="L113" s="42">
        <f t="shared" si="47"/>
        <v>23471.981627843055</v>
      </c>
      <c r="M113" s="76">
        <f t="shared" si="48"/>
        <v>2746784.7528691818</v>
      </c>
      <c r="N113" s="78">
        <f t="shared" si="49"/>
        <v>3660640.0401487588</v>
      </c>
      <c r="O113" s="79"/>
      <c r="P113" s="80"/>
      <c r="Q113" s="44" t="s">
        <v>223</v>
      </c>
      <c r="R113" s="254">
        <v>2</v>
      </c>
      <c r="S113" s="250" t="s">
        <v>26</v>
      </c>
      <c r="T113" s="257" t="str">
        <f>+_xlfn.XLOOKUP(A113,Sheet1!C:C,Sheet1!A:A,"-",0)</f>
        <v>-</v>
      </c>
      <c r="Y113" s="49">
        <v>2746784.7528691818</v>
      </c>
      <c r="Z113" s="49">
        <f t="shared" si="31"/>
        <v>0</v>
      </c>
    </row>
    <row r="114" spans="1:26" ht="15" customHeight="1" x14ac:dyDescent="0.35">
      <c r="A114" s="83">
        <v>14.05</v>
      </c>
      <c r="B114" s="38" t="s">
        <v>3026</v>
      </c>
      <c r="C114" s="15" t="s">
        <v>224</v>
      </c>
      <c r="D114" s="20" t="s">
        <v>28</v>
      </c>
      <c r="E114" s="74">
        <v>530</v>
      </c>
      <c r="F114" s="75">
        <f>IF(Q114&lt;&gt;"",IFERROR(VLOOKUP(Q114,PARTIDAS!A:P,13,FALSE()),0),0)</f>
        <v>1062.8718108264466</v>
      </c>
      <c r="G114" s="47">
        <f>IF(Q114&lt;&gt;"",IFERROR(VLOOKUP(Q114,PARTIDAS!A:P,14,FALSE()),0),0)</f>
        <v>5728.4731437714663</v>
      </c>
      <c r="H114" s="47">
        <f>IF(Q114&lt;&gt;"",IFERROR(VLOOKUP(Q114,PARTIDAS!A:P,15,FALSE()),0),0)</f>
        <v>167.02908274495061</v>
      </c>
      <c r="I114" s="76">
        <f t="shared" si="44"/>
        <v>6958.3740373428636</v>
      </c>
      <c r="J114" s="77">
        <f t="shared" si="45"/>
        <v>563322.05973801669</v>
      </c>
      <c r="K114" s="42">
        <f t="shared" si="46"/>
        <v>3036090.7661988772</v>
      </c>
      <c r="L114" s="42">
        <f t="shared" si="47"/>
        <v>88525.413854823826</v>
      </c>
      <c r="M114" s="76">
        <f t="shared" si="48"/>
        <v>3687938.2397917178</v>
      </c>
      <c r="N114" s="78">
        <f t="shared" si="49"/>
        <v>4914915.2921704222</v>
      </c>
      <c r="O114" s="79"/>
      <c r="P114" s="80"/>
      <c r="Q114" s="44" t="s">
        <v>225</v>
      </c>
      <c r="R114" s="254">
        <v>2</v>
      </c>
      <c r="S114" s="250" t="s">
        <v>26</v>
      </c>
      <c r="T114" s="257" t="str">
        <f>+_xlfn.XLOOKUP(A114,Sheet1!C:C,Sheet1!A:A,"-",0)</f>
        <v>-</v>
      </c>
      <c r="Y114" s="49">
        <v>3687938.2397917169</v>
      </c>
      <c r="Z114" s="49">
        <f t="shared" si="31"/>
        <v>0</v>
      </c>
    </row>
    <row r="115" spans="1:26" ht="15" customHeight="1" x14ac:dyDescent="0.35">
      <c r="A115" s="83">
        <v>14.06</v>
      </c>
      <c r="B115" s="38" t="s">
        <v>3026</v>
      </c>
      <c r="C115" s="15" t="s">
        <v>226</v>
      </c>
      <c r="D115" s="20" t="s">
        <v>28</v>
      </c>
      <c r="E115" s="74">
        <v>56</v>
      </c>
      <c r="F115" s="75">
        <f>IF(Q115&lt;&gt;"",IFERROR(VLOOKUP(Q115,PARTIDAS!A:P,13,FALSE()),0),0)</f>
        <v>1062.8718108264466</v>
      </c>
      <c r="G115" s="47">
        <f>IF(Q115&lt;&gt;"",IFERROR(VLOOKUP(Q115,PARTIDAS!A:P,14,FALSE()),0),0)</f>
        <v>5728.4731437714663</v>
      </c>
      <c r="H115" s="47">
        <f>IF(Q115&lt;&gt;"",IFERROR(VLOOKUP(Q115,PARTIDAS!A:P,15,FALSE()),0),0)</f>
        <v>167.02908274495061</v>
      </c>
      <c r="I115" s="76">
        <f t="shared" si="44"/>
        <v>6958.3740373428636</v>
      </c>
      <c r="J115" s="77">
        <f t="shared" si="45"/>
        <v>59520.821406281008</v>
      </c>
      <c r="K115" s="42">
        <f t="shared" si="46"/>
        <v>320794.49605120212</v>
      </c>
      <c r="L115" s="42">
        <f t="shared" si="47"/>
        <v>9353.6286337172351</v>
      </c>
      <c r="M115" s="76">
        <f t="shared" si="48"/>
        <v>389668.94609120034</v>
      </c>
      <c r="N115" s="78">
        <f t="shared" si="49"/>
        <v>519311.80445574271</v>
      </c>
      <c r="O115" s="79"/>
      <c r="P115" s="80"/>
      <c r="Q115" s="44" t="s">
        <v>225</v>
      </c>
      <c r="R115" s="254">
        <v>2</v>
      </c>
      <c r="S115" s="250" t="s">
        <v>26</v>
      </c>
      <c r="T115" s="257" t="str">
        <f>+_xlfn.XLOOKUP(A115,Sheet1!C:C,Sheet1!A:A,"-",0)</f>
        <v>-</v>
      </c>
      <c r="Y115" s="49">
        <v>389668.94609120028</v>
      </c>
      <c r="Z115" s="49">
        <f t="shared" si="31"/>
        <v>0</v>
      </c>
    </row>
    <row r="116" spans="1:26" ht="15" customHeight="1" x14ac:dyDescent="0.35">
      <c r="A116" s="83">
        <v>14.07</v>
      </c>
      <c r="B116" s="38" t="s">
        <v>3026</v>
      </c>
      <c r="C116" s="15" t="s">
        <v>227</v>
      </c>
      <c r="D116" s="20" t="s">
        <v>92</v>
      </c>
      <c r="E116" s="74">
        <v>469</v>
      </c>
      <c r="F116" s="75">
        <f>IF(Q116&lt;&gt;"",IFERROR(VLOOKUP(Q116,PARTIDAS!A:P,13,FALSE()),0),0)</f>
        <v>1066.0980810234539</v>
      </c>
      <c r="G116" s="47">
        <f>IF(Q116&lt;&gt;"",IFERROR(VLOOKUP(Q116,PARTIDAS!A:P,14,FALSE()),0),0)</f>
        <v>2877.8543317977687</v>
      </c>
      <c r="H116" s="47">
        <f>IF(Q116&lt;&gt;"",IFERROR(VLOOKUP(Q116,PARTIDAS!A:P,15,FALSE()),0),0)</f>
        <v>59.159286192318298</v>
      </c>
      <c r="I116" s="76">
        <f t="shared" si="44"/>
        <v>4003.1116990135406</v>
      </c>
      <c r="J116" s="77">
        <f t="shared" si="45"/>
        <v>499999.99999999988</v>
      </c>
      <c r="K116" s="42">
        <f t="shared" si="46"/>
        <v>1349713.6816131535</v>
      </c>
      <c r="L116" s="42">
        <f t="shared" si="47"/>
        <v>27745.705224197281</v>
      </c>
      <c r="M116" s="76">
        <f t="shared" si="48"/>
        <v>1877459.3868373504</v>
      </c>
      <c r="N116" s="78">
        <f t="shared" si="49"/>
        <v>2502090.1248381371</v>
      </c>
      <c r="O116" s="79"/>
      <c r="P116" s="80"/>
      <c r="Q116" s="44" t="s">
        <v>228</v>
      </c>
      <c r="R116" s="254">
        <v>2</v>
      </c>
      <c r="S116" s="250" t="s">
        <v>26</v>
      </c>
      <c r="T116" s="257" t="str">
        <f>+_xlfn.XLOOKUP(A116,Sheet1!C:C,Sheet1!A:A,"-",0)</f>
        <v>Albañilería</v>
      </c>
      <c r="X116" s="82"/>
      <c r="Y116" s="49">
        <v>1877459.3868373509</v>
      </c>
      <c r="Z116" s="49">
        <f t="shared" si="31"/>
        <v>0</v>
      </c>
    </row>
    <row r="117" spans="1:26" ht="15" customHeight="1" x14ac:dyDescent="0.35">
      <c r="A117" s="61">
        <v>15</v>
      </c>
      <c r="B117" s="62"/>
      <c r="C117" s="63" t="s">
        <v>229</v>
      </c>
      <c r="D117" s="64"/>
      <c r="E117" s="65"/>
      <c r="F117" s="66"/>
      <c r="G117" s="67"/>
      <c r="H117" s="67"/>
      <c r="I117" s="68"/>
      <c r="J117" s="66"/>
      <c r="K117" s="67"/>
      <c r="L117" s="67"/>
      <c r="M117" s="68"/>
      <c r="N117" s="69"/>
      <c r="O117" s="70">
        <f>+SUM(M118:M129)</f>
        <v>61281924.124620147</v>
      </c>
      <c r="P117" s="71">
        <f>+SUM(N118:N129)</f>
        <v>81670420.280881271</v>
      </c>
      <c r="Q117" s="67"/>
      <c r="R117" s="253"/>
      <c r="S117" s="251"/>
      <c r="T117" s="258"/>
      <c r="Y117" s="49">
        <v>0</v>
      </c>
      <c r="Z117" s="49">
        <f t="shared" si="31"/>
        <v>0</v>
      </c>
    </row>
    <row r="118" spans="1:26" ht="15" customHeight="1" x14ac:dyDescent="0.35">
      <c r="A118" s="83">
        <v>15.01</v>
      </c>
      <c r="B118" s="38" t="s">
        <v>229</v>
      </c>
      <c r="C118" s="15" t="s">
        <v>231</v>
      </c>
      <c r="D118" s="20" t="s">
        <v>92</v>
      </c>
      <c r="E118" s="74">
        <v>739</v>
      </c>
      <c r="F118" s="75">
        <f>IFERROR(VLOOKUP(Q118,PARTIDAS!A:M,13,FALSE()),0)</f>
        <v>1824.9262730000005</v>
      </c>
      <c r="G118" s="47">
        <f>IFERROR(VLOOKUP(Q118,PARTIDAS!A:N,14,FALSE()),0)</f>
        <v>14504.129532884905</v>
      </c>
      <c r="H118" s="47">
        <f>IFERROR(VLOOKUP(Q118,PARTIDAS!A:O,15,FALSE()),0)</f>
        <v>234.44230749381202</v>
      </c>
      <c r="I118" s="76">
        <f t="shared" ref="I118:I129" si="50">F118+G118+H118</f>
        <v>16563.498113378719</v>
      </c>
      <c r="J118" s="77">
        <f t="shared" ref="J118:J129" si="51">F118*E118</f>
        <v>1348620.5157470005</v>
      </c>
      <c r="K118" s="42">
        <f t="shared" ref="K118:K129" si="52">G118*E118</f>
        <v>10718551.724801945</v>
      </c>
      <c r="L118" s="42">
        <f t="shared" ref="L118:L129" si="53">H118*E118</f>
        <v>173252.86523792709</v>
      </c>
      <c r="M118" s="76">
        <f>E118*I118</f>
        <v>12240425.105786873</v>
      </c>
      <c r="N118" s="78">
        <f t="shared" ref="N118:N129" si="54">M118*$N$2</f>
        <v>16312814.538482165</v>
      </c>
      <c r="O118" s="79"/>
      <c r="P118" s="80"/>
      <c r="Q118" s="44" t="s">
        <v>232</v>
      </c>
      <c r="R118" s="254"/>
      <c r="S118" s="250" t="s">
        <v>97</v>
      </c>
      <c r="T118" s="257" t="str">
        <f>+_xlfn.XLOOKUP(A118,Sheet1!C:C,Sheet1!A:A,"-",0)</f>
        <v>-</v>
      </c>
      <c r="Y118" s="49">
        <v>12240425.105786869</v>
      </c>
      <c r="Z118" s="49">
        <f t="shared" si="31"/>
        <v>0</v>
      </c>
    </row>
    <row r="119" spans="1:26" ht="15" customHeight="1" x14ac:dyDescent="0.35">
      <c r="A119" s="83">
        <v>15.02</v>
      </c>
      <c r="B119" s="38" t="s">
        <v>229</v>
      </c>
      <c r="C119" s="15" t="s">
        <v>233</v>
      </c>
      <c r="D119" s="20" t="s">
        <v>92</v>
      </c>
      <c r="E119" s="74">
        <v>1439</v>
      </c>
      <c r="F119" s="75">
        <f>IF(Q119&lt;&gt;"",IFERROR(VLOOKUP(Q119,PARTIDAS!A:P,13,FALSE()),0),0)</f>
        <v>2272.0787045000002</v>
      </c>
      <c r="G119" s="47">
        <f>IF(Q119&lt;&gt;"",IFERROR(VLOOKUP(Q119,PARTIDAS!A:P,14,FALSE()),0),0)</f>
        <v>4296.3548578286</v>
      </c>
      <c r="H119" s="47">
        <f>IF(Q119&lt;&gt;"",IFERROR(VLOOKUP(Q119,PARTIDAS!A:P,15,FALSE()),0),0)</f>
        <v>96.193951950972675</v>
      </c>
      <c r="I119" s="76">
        <f t="shared" si="50"/>
        <v>6664.627514279573</v>
      </c>
      <c r="J119" s="77">
        <f t="shared" si="51"/>
        <v>3269521.2557755001</v>
      </c>
      <c r="K119" s="42">
        <f t="shared" si="52"/>
        <v>6182454.6404153556</v>
      </c>
      <c r="L119" s="42">
        <f t="shared" si="53"/>
        <v>138423.09685744968</v>
      </c>
      <c r="M119" s="76">
        <f t="shared" ref="M119:M129" si="55">I119*E119</f>
        <v>9590398.9930483047</v>
      </c>
      <c r="N119" s="78">
        <f t="shared" si="54"/>
        <v>12781124.738035476</v>
      </c>
      <c r="O119" s="79"/>
      <c r="P119" s="80"/>
      <c r="Q119" s="44" t="s">
        <v>234</v>
      </c>
      <c r="R119" s="254">
        <v>2</v>
      </c>
      <c r="S119" s="250" t="s">
        <v>97</v>
      </c>
      <c r="T119" s="257" t="str">
        <f>+_xlfn.XLOOKUP(A119,Sheet1!C:C,Sheet1!A:A,"-",0)</f>
        <v>-</v>
      </c>
      <c r="Y119" s="49">
        <v>9590398.9930483028</v>
      </c>
      <c r="Z119" s="49">
        <f t="shared" si="31"/>
        <v>0</v>
      </c>
    </row>
    <row r="120" spans="1:26" ht="15" customHeight="1" x14ac:dyDescent="0.35">
      <c r="A120" s="83">
        <v>15.03</v>
      </c>
      <c r="B120" s="38" t="s">
        <v>229</v>
      </c>
      <c r="C120" s="15" t="s">
        <v>235</v>
      </c>
      <c r="D120" s="20" t="s">
        <v>92</v>
      </c>
      <c r="E120" s="74">
        <v>462</v>
      </c>
      <c r="F120" s="75">
        <f>IF(Q120&lt;&gt;"",IFERROR(VLOOKUP(Q120,PARTIDAS!A:P,13,FALSE()),0),0)</f>
        <v>2923.7665455000001</v>
      </c>
      <c r="G120" s="47">
        <f>IF(Q120&lt;&gt;"",IFERROR(VLOOKUP(Q120,PARTIDAS!A:P,14,FALSE()),0),0)</f>
        <v>7626.9743955585</v>
      </c>
      <c r="H120" s="47">
        <f>IF(Q120&lt;&gt;"",IFERROR(VLOOKUP(Q120,PARTIDAS!A:P,15,FALSE()),0),0)</f>
        <v>174.89809445631397</v>
      </c>
      <c r="I120" s="76">
        <f t="shared" si="50"/>
        <v>10725.639035514814</v>
      </c>
      <c r="J120" s="77">
        <f t="shared" si="51"/>
        <v>1350780.144021</v>
      </c>
      <c r="K120" s="42">
        <f t="shared" si="52"/>
        <v>3523662.170748027</v>
      </c>
      <c r="L120" s="42">
        <f t="shared" si="53"/>
        <v>80802.919638817053</v>
      </c>
      <c r="M120" s="76">
        <f t="shared" si="55"/>
        <v>4955245.234407844</v>
      </c>
      <c r="N120" s="78">
        <f t="shared" si="54"/>
        <v>6603855.3238953333</v>
      </c>
      <c r="O120" s="79"/>
      <c r="P120" s="80"/>
      <c r="Q120" s="44" t="s">
        <v>236</v>
      </c>
      <c r="R120" s="254">
        <v>2</v>
      </c>
      <c r="S120" s="250" t="s">
        <v>26</v>
      </c>
      <c r="T120" s="257" t="str">
        <f>+_xlfn.XLOOKUP(A120,Sheet1!C:C,Sheet1!A:A,"-",0)</f>
        <v>-</v>
      </c>
      <c r="Y120" s="49">
        <v>4955245.2344078431</v>
      </c>
      <c r="Z120" s="49">
        <f t="shared" si="31"/>
        <v>0</v>
      </c>
    </row>
    <row r="121" spans="1:26" ht="15" customHeight="1" x14ac:dyDescent="0.35">
      <c r="A121" s="83">
        <v>15.04</v>
      </c>
      <c r="B121" s="38" t="s">
        <v>229</v>
      </c>
      <c r="C121" s="15" t="s">
        <v>237</v>
      </c>
      <c r="D121" s="20" t="s">
        <v>92</v>
      </c>
      <c r="E121" s="74">
        <v>144</v>
      </c>
      <c r="F121" s="75">
        <f>IF(Q121&lt;&gt;"",IFERROR(VLOOKUP(Q121,PARTIDAS!A:P,13,FALSE()),0),0)</f>
        <v>2141.6929605</v>
      </c>
      <c r="G121" s="47">
        <f>IF(Q121&lt;&gt;"",IFERROR(VLOOKUP(Q121,PARTIDAS!A:P,14,FALSE()),0),0)</f>
        <v>3437.0838862628798</v>
      </c>
      <c r="H121" s="47">
        <f>IF(Q121&lt;&gt;"",IFERROR(VLOOKUP(Q121,PARTIDAS!A:P,15,FALSE()),0),0)</f>
        <v>76.955161560778137</v>
      </c>
      <c r="I121" s="76">
        <f t="shared" si="50"/>
        <v>5655.7320083236573</v>
      </c>
      <c r="J121" s="77">
        <f t="shared" si="51"/>
        <v>308403.78631200001</v>
      </c>
      <c r="K121" s="42">
        <f t="shared" si="52"/>
        <v>494940.0796218547</v>
      </c>
      <c r="L121" s="42">
        <f t="shared" si="53"/>
        <v>11081.543264752052</v>
      </c>
      <c r="M121" s="76">
        <f t="shared" si="55"/>
        <v>814425.40919860662</v>
      </c>
      <c r="N121" s="78">
        <f t="shared" si="54"/>
        <v>1085384.742838983</v>
      </c>
      <c r="O121" s="79"/>
      <c r="P121" s="80"/>
      <c r="Q121" s="44" t="s">
        <v>238</v>
      </c>
      <c r="R121" s="254"/>
      <c r="S121" s="250" t="s">
        <v>26</v>
      </c>
      <c r="T121" s="257" t="str">
        <f>+_xlfn.XLOOKUP(A121,Sheet1!C:C,Sheet1!A:A,"-",0)</f>
        <v>-</v>
      </c>
      <c r="Y121" s="49">
        <v>814425.40919860674</v>
      </c>
      <c r="Z121" s="49">
        <f t="shared" si="31"/>
        <v>0</v>
      </c>
    </row>
    <row r="122" spans="1:26" ht="15" customHeight="1" x14ac:dyDescent="0.35">
      <c r="A122" s="83">
        <v>15.05</v>
      </c>
      <c r="B122" s="38" t="s">
        <v>229</v>
      </c>
      <c r="C122" s="15" t="s">
        <v>239</v>
      </c>
      <c r="D122" s="20" t="s">
        <v>92</v>
      </c>
      <c r="E122" s="74">
        <v>460</v>
      </c>
      <c r="F122" s="75">
        <f>IF(Q122&lt;&gt;"",IFERROR(VLOOKUP(Q122,PARTIDAS!A:P,13,FALSE()),0),0)</f>
        <v>2272.0787045000002</v>
      </c>
      <c r="G122" s="47">
        <f>IF(Q122&lt;&gt;"",IFERROR(VLOOKUP(Q122,PARTIDAS!A:P,14,FALSE()),0),0)</f>
        <v>4296.3548578286</v>
      </c>
      <c r="H122" s="47">
        <f>IF(Q122&lt;&gt;"",IFERROR(VLOOKUP(Q122,PARTIDAS!A:P,15,FALSE()),0),0)</f>
        <v>96.193951950972675</v>
      </c>
      <c r="I122" s="76">
        <f t="shared" si="50"/>
        <v>6664.627514279573</v>
      </c>
      <c r="J122" s="77">
        <f t="shared" si="51"/>
        <v>1045156.2040700001</v>
      </c>
      <c r="K122" s="42">
        <f t="shared" si="52"/>
        <v>1976323.2346011561</v>
      </c>
      <c r="L122" s="42">
        <f t="shared" si="53"/>
        <v>44249.21789744743</v>
      </c>
      <c r="M122" s="76">
        <f t="shared" si="55"/>
        <v>3065728.6565686036</v>
      </c>
      <c r="N122" s="78">
        <f t="shared" si="54"/>
        <v>4085696.5806089779</v>
      </c>
      <c r="O122" s="79"/>
      <c r="P122" s="80"/>
      <c r="Q122" s="44" t="s">
        <v>234</v>
      </c>
      <c r="R122" s="254">
        <v>2</v>
      </c>
      <c r="S122" s="250" t="s">
        <v>97</v>
      </c>
      <c r="T122" s="257" t="str">
        <f>+_xlfn.XLOOKUP(A122,Sheet1!C:C,Sheet1!A:A,"-",0)</f>
        <v>-</v>
      </c>
      <c r="Y122" s="49">
        <v>3065728.6565686031</v>
      </c>
      <c r="Z122" s="49">
        <f t="shared" si="31"/>
        <v>0</v>
      </c>
    </row>
    <row r="123" spans="1:26" ht="15" customHeight="1" x14ac:dyDescent="0.35">
      <c r="A123" s="83">
        <v>15.06</v>
      </c>
      <c r="B123" s="38" t="s">
        <v>229</v>
      </c>
      <c r="C123" s="15" t="s">
        <v>240</v>
      </c>
      <c r="D123" s="20" t="s">
        <v>92</v>
      </c>
      <c r="E123" s="74">
        <v>204</v>
      </c>
      <c r="F123" s="75">
        <f>IF(Q123&lt;&gt;"",IFERROR(VLOOKUP(Q123,PARTIDAS!A:P,13,FALSE()),0),0)</f>
        <v>2923.7665455000001</v>
      </c>
      <c r="G123" s="47">
        <f>IF(Q123&lt;&gt;"",IFERROR(VLOOKUP(Q123,PARTIDAS!A:P,14,FALSE()),0),0)</f>
        <v>8652.5810738939417</v>
      </c>
      <c r="H123" s="47">
        <f>IF(Q123&lt;&gt;"",IFERROR(VLOOKUP(Q123,PARTIDAS!A:P,15,FALSE()),0),0)</f>
        <v>241.06768511742416</v>
      </c>
      <c r="I123" s="76">
        <f t="shared" si="50"/>
        <v>11817.415304511367</v>
      </c>
      <c r="J123" s="77">
        <f t="shared" si="51"/>
        <v>596448.37528200005</v>
      </c>
      <c r="K123" s="42">
        <f t="shared" si="52"/>
        <v>1765126.5390743641</v>
      </c>
      <c r="L123" s="42">
        <f t="shared" si="53"/>
        <v>49177.80776395453</v>
      </c>
      <c r="M123" s="76">
        <f t="shared" si="55"/>
        <v>2410752.722120319</v>
      </c>
      <c r="N123" s="78">
        <f t="shared" si="54"/>
        <v>3212810.1527697491</v>
      </c>
      <c r="O123" s="79"/>
      <c r="P123" s="80"/>
      <c r="Q123" s="44" t="s">
        <v>241</v>
      </c>
      <c r="R123" s="254">
        <v>2</v>
      </c>
      <c r="S123" s="250" t="s">
        <v>26</v>
      </c>
      <c r="T123" s="257" t="str">
        <f>+_xlfn.XLOOKUP(A123,Sheet1!C:C,Sheet1!A:A,"-",0)</f>
        <v>-</v>
      </c>
      <c r="Y123" s="49">
        <v>2410752.722120319</v>
      </c>
      <c r="Z123" s="49">
        <f t="shared" si="31"/>
        <v>0</v>
      </c>
    </row>
    <row r="124" spans="1:26" ht="15" customHeight="1" x14ac:dyDescent="0.35">
      <c r="A124" s="83">
        <v>15.07</v>
      </c>
      <c r="B124" s="38" t="s">
        <v>229</v>
      </c>
      <c r="C124" s="15" t="s">
        <v>242</v>
      </c>
      <c r="D124" s="20" t="s">
        <v>92</v>
      </c>
      <c r="E124" s="74">
        <v>262</v>
      </c>
      <c r="F124" s="75">
        <f>IF(Q124&lt;&gt;"",IFERROR(VLOOKUP(Q124,PARTIDAS!A:P,13,FALSE()),0),0)</f>
        <v>7633.5877862595398</v>
      </c>
      <c r="G124" s="47">
        <f>IF(Q124&lt;&gt;"",IFERROR(VLOOKUP(Q124,PARTIDAS!A:P,14,FALSE()),0),0)</f>
        <v>5047.3389597714668</v>
      </c>
      <c r="H124" s="47">
        <f>IF(Q124&lt;&gt;"",IFERROR(VLOOKUP(Q124,PARTIDAS!A:P,15,FALSE()),0),0)</f>
        <v>190.21390119046501</v>
      </c>
      <c r="I124" s="76">
        <f t="shared" si="50"/>
        <v>12871.140647221473</v>
      </c>
      <c r="J124" s="77">
        <f t="shared" si="51"/>
        <v>1999999.9999999995</v>
      </c>
      <c r="K124" s="42">
        <f t="shared" si="52"/>
        <v>1322402.8074601244</v>
      </c>
      <c r="L124" s="42">
        <f t="shared" si="53"/>
        <v>49836.042111901836</v>
      </c>
      <c r="M124" s="76">
        <f t="shared" si="55"/>
        <v>3372238.8495720262</v>
      </c>
      <c r="N124" s="78">
        <f t="shared" si="54"/>
        <v>4494182.7148246393</v>
      </c>
      <c r="O124" s="79"/>
      <c r="P124" s="80"/>
      <c r="Q124" s="44" t="s">
        <v>243</v>
      </c>
      <c r="R124" s="254">
        <v>2</v>
      </c>
      <c r="S124" s="250" t="s">
        <v>26</v>
      </c>
      <c r="T124" s="257" t="str">
        <f>+_xlfn.XLOOKUP(A124,Sheet1!C:C,Sheet1!A:A,"-",0)</f>
        <v>-</v>
      </c>
      <c r="Y124" s="49">
        <v>3372238.8495720262</v>
      </c>
      <c r="Z124" s="49">
        <f t="shared" si="31"/>
        <v>0</v>
      </c>
    </row>
    <row r="125" spans="1:26" ht="15" customHeight="1" x14ac:dyDescent="0.35">
      <c r="A125" s="83">
        <v>15.08</v>
      </c>
      <c r="B125" s="38" t="s">
        <v>229</v>
      </c>
      <c r="C125" s="15" t="s">
        <v>244</v>
      </c>
      <c r="D125" s="20" t="s">
        <v>92</v>
      </c>
      <c r="E125" s="74">
        <v>756</v>
      </c>
      <c r="F125" s="75">
        <f>IF(Q125&lt;&gt;"",IFERROR(VLOOKUP(Q125,PARTIDAS!A:P,13,FALSE()),0),0)</f>
        <v>10000</v>
      </c>
      <c r="G125" s="47">
        <f>IF(Q125&lt;&gt;"",IFERROR(VLOOKUP(Q125,PARTIDAS!A:P,14,FALSE()),0),0)</f>
        <v>9614.97935162053</v>
      </c>
      <c r="H125" s="47">
        <f>IF(Q125&lt;&gt;"",IFERROR(VLOOKUP(Q125,PARTIDAS!A:P,15,FALSE()),0),0)</f>
        <v>294.22469027430799</v>
      </c>
      <c r="I125" s="76">
        <f t="shared" si="50"/>
        <v>19909.204041894838</v>
      </c>
      <c r="J125" s="77">
        <f t="shared" si="51"/>
        <v>7560000</v>
      </c>
      <c r="K125" s="42">
        <f t="shared" si="52"/>
        <v>7268924.3898251206</v>
      </c>
      <c r="L125" s="42">
        <f t="shared" si="53"/>
        <v>222433.86584737684</v>
      </c>
      <c r="M125" s="76">
        <f t="shared" si="55"/>
        <v>15051358.255672498</v>
      </c>
      <c r="N125" s="78">
        <f t="shared" si="54"/>
        <v>20058945.147334736</v>
      </c>
      <c r="O125" s="79"/>
      <c r="P125" s="80"/>
      <c r="Q125" s="44" t="s">
        <v>245</v>
      </c>
      <c r="R125" s="254">
        <v>2</v>
      </c>
      <c r="S125" s="250" t="s">
        <v>26</v>
      </c>
      <c r="T125" s="257" t="str">
        <f>+_xlfn.XLOOKUP(A125,Sheet1!C:C,Sheet1!A:A,"-",0)</f>
        <v>-</v>
      </c>
      <c r="Y125" s="49">
        <v>15051358.2556725</v>
      </c>
      <c r="Z125" s="49">
        <f t="shared" si="31"/>
        <v>0</v>
      </c>
    </row>
    <row r="126" spans="1:26" ht="15" customHeight="1" x14ac:dyDescent="0.35">
      <c r="A126" s="83">
        <v>15.09</v>
      </c>
      <c r="B126" s="38" t="s">
        <v>229</v>
      </c>
      <c r="C126" s="15" t="s">
        <v>246</v>
      </c>
      <c r="D126" s="20" t="s">
        <v>92</v>
      </c>
      <c r="E126" s="74">
        <v>56</v>
      </c>
      <c r="F126" s="75">
        <f>IF(Q126&lt;&gt;"",IFERROR(VLOOKUP(Q126,PARTIDAS!A:P,13,FALSE()),0),0)</f>
        <v>10000</v>
      </c>
      <c r="G126" s="47">
        <f>IF(Q126&lt;&gt;"",IFERROR(VLOOKUP(Q126,PARTIDAS!A:P,14,FALSE()),0),0)</f>
        <v>13460.971092268701</v>
      </c>
      <c r="H126" s="47">
        <f>IF(Q126&lt;&gt;"",IFERROR(VLOOKUP(Q126,PARTIDAS!A:P,15,FALSE()),0),0)</f>
        <v>351.91456638403099</v>
      </c>
      <c r="I126" s="76">
        <f t="shared" si="50"/>
        <v>23812.885658652733</v>
      </c>
      <c r="J126" s="77">
        <f t="shared" si="51"/>
        <v>560000</v>
      </c>
      <c r="K126" s="42">
        <f t="shared" si="52"/>
        <v>753814.38116704719</v>
      </c>
      <c r="L126" s="42">
        <f t="shared" si="53"/>
        <v>19707.215717505736</v>
      </c>
      <c r="M126" s="76">
        <f t="shared" si="55"/>
        <v>1333521.5968845531</v>
      </c>
      <c r="N126" s="78">
        <f t="shared" si="54"/>
        <v>1777184.232168044</v>
      </c>
      <c r="O126" s="79"/>
      <c r="P126" s="80"/>
      <c r="Q126" s="44" t="s">
        <v>247</v>
      </c>
      <c r="R126" s="254">
        <v>2</v>
      </c>
      <c r="S126" s="250" t="s">
        <v>26</v>
      </c>
      <c r="T126" s="257" t="str">
        <f>+_xlfn.XLOOKUP(A126,Sheet1!C:C,Sheet1!A:A,"-",0)</f>
        <v>-</v>
      </c>
      <c r="Y126" s="49">
        <v>1333521.596884555</v>
      </c>
      <c r="Z126" s="49">
        <f t="shared" si="31"/>
        <v>-1.862645149230957E-9</v>
      </c>
    </row>
    <row r="127" spans="1:26" ht="15" customHeight="1" x14ac:dyDescent="0.35">
      <c r="A127" s="83">
        <v>15.1</v>
      </c>
      <c r="B127" s="38" t="s">
        <v>229</v>
      </c>
      <c r="C127" s="15" t="s">
        <v>248</v>
      </c>
      <c r="D127" s="20" t="s">
        <v>24</v>
      </c>
      <c r="E127" s="74">
        <v>1</v>
      </c>
      <c r="F127" s="75">
        <f>IF(Q127&lt;&gt;"",IFERROR(VLOOKUP(Q127,PARTIDAS!A:P,13,FALSE()),0),0)</f>
        <v>200000</v>
      </c>
      <c r="G127" s="47">
        <f>IF(Q127&lt;&gt;"",IFERROR(VLOOKUP(Q127,PARTIDAS!A:P,14,FALSE()),0),0)</f>
        <v>454260.50637943199</v>
      </c>
      <c r="H127" s="47">
        <f>IF(Q127&lt;&gt;"",IFERROR(VLOOKUP(Q127,PARTIDAS!A:P,15,FALSE()),0),0)</f>
        <v>9813.9075956914803</v>
      </c>
      <c r="I127" s="76">
        <f t="shared" si="50"/>
        <v>664074.41397512355</v>
      </c>
      <c r="J127" s="77">
        <f t="shared" si="51"/>
        <v>200000</v>
      </c>
      <c r="K127" s="42">
        <f t="shared" si="52"/>
        <v>454260.50637943199</v>
      </c>
      <c r="L127" s="42">
        <f t="shared" si="53"/>
        <v>9813.9075956914803</v>
      </c>
      <c r="M127" s="76">
        <f t="shared" si="55"/>
        <v>664074.41397512355</v>
      </c>
      <c r="N127" s="78">
        <f t="shared" si="54"/>
        <v>885011.97150464717</v>
      </c>
      <c r="O127" s="79"/>
      <c r="P127" s="80"/>
      <c r="Q127" s="44" t="s">
        <v>249</v>
      </c>
      <c r="R127" s="254">
        <v>2</v>
      </c>
      <c r="S127" s="250" t="s">
        <v>26</v>
      </c>
      <c r="T127" s="257" t="str">
        <f>+_xlfn.XLOOKUP(A127,Sheet1!C:C,Sheet1!A:A,"-",0)</f>
        <v>Pintura</v>
      </c>
      <c r="X127" s="82"/>
      <c r="Y127" s="49">
        <v>664074.41397512343</v>
      </c>
      <c r="Z127" s="49">
        <f t="shared" si="31"/>
        <v>0</v>
      </c>
    </row>
    <row r="128" spans="1:26" ht="15" customHeight="1" x14ac:dyDescent="0.35">
      <c r="A128" s="83">
        <v>15.11</v>
      </c>
      <c r="B128" s="38" t="s">
        <v>229</v>
      </c>
      <c r="C128" s="15" t="s">
        <v>250</v>
      </c>
      <c r="D128" s="20" t="s">
        <v>151</v>
      </c>
      <c r="E128" s="74">
        <v>73</v>
      </c>
      <c r="F128" s="75">
        <f>IFERROR(VLOOKUP(Q128,PARTIDAS!A:M,13,FALSE()),0)</f>
        <v>11746.023927199849</v>
      </c>
      <c r="G128" s="47">
        <f>IFERROR(VLOOKUP(Q128,PARTIDAS!A:N,14,FALSE()),0)</f>
        <v>49896.79717328187</v>
      </c>
      <c r="H128" s="47">
        <f>IFERROR(VLOOKUP(Q128,PARTIDAS!A:O,15,FALSE()),0)</f>
        <v>924.64231650722797</v>
      </c>
      <c r="I128" s="76">
        <f t="shared" si="50"/>
        <v>62567.463416988947</v>
      </c>
      <c r="J128" s="77">
        <f t="shared" si="51"/>
        <v>857459.74668558897</v>
      </c>
      <c r="K128" s="42">
        <f t="shared" si="52"/>
        <v>3642466.1936495765</v>
      </c>
      <c r="L128" s="42">
        <f t="shared" si="53"/>
        <v>67498.889105027643</v>
      </c>
      <c r="M128" s="76">
        <f t="shared" si="55"/>
        <v>4567424.8294401933</v>
      </c>
      <c r="N128" s="78">
        <f t="shared" si="54"/>
        <v>6087007.0701949457</v>
      </c>
      <c r="O128" s="79"/>
      <c r="P128" s="80"/>
      <c r="Q128" s="44" t="s">
        <v>251</v>
      </c>
      <c r="R128" s="254"/>
      <c r="S128" s="250" t="s">
        <v>26</v>
      </c>
      <c r="T128" s="257" t="str">
        <f>+_xlfn.XLOOKUP(A128,Sheet1!C:C,Sheet1!A:A,"-",0)</f>
        <v>-</v>
      </c>
      <c r="Y128" s="49">
        <v>4567424.8294402026</v>
      </c>
      <c r="Z128" s="49">
        <f t="shared" si="31"/>
        <v>-9.3132257461547852E-9</v>
      </c>
    </row>
    <row r="129" spans="1:26" ht="15" customHeight="1" x14ac:dyDescent="0.35">
      <c r="A129" s="83">
        <v>15.12</v>
      </c>
      <c r="B129" s="38" t="s">
        <v>229</v>
      </c>
      <c r="C129" s="15" t="s">
        <v>252</v>
      </c>
      <c r="D129" s="20" t="s">
        <v>24</v>
      </c>
      <c r="E129" s="74">
        <v>1</v>
      </c>
      <c r="F129" s="75">
        <f>IFERROR(VLOOKUP(Q129,PARTIDAS!A:M,13,FALSE()),0)</f>
        <v>392180.13300765597</v>
      </c>
      <c r="G129" s="47">
        <f>IFERROR(VLOOKUP(Q129,PARTIDAS!A:N,14,FALSE()),0)</f>
        <v>2776617.9536378556</v>
      </c>
      <c r="H129" s="47">
        <f>IFERROR(VLOOKUP(Q129,PARTIDAS!A:O,15,FALSE()),0)</f>
        <v>47531.971299682802</v>
      </c>
      <c r="I129" s="76">
        <f t="shared" si="50"/>
        <v>3216330.0579451942</v>
      </c>
      <c r="J129" s="77">
        <f t="shared" si="51"/>
        <v>392180.13300765597</v>
      </c>
      <c r="K129" s="42">
        <f t="shared" si="52"/>
        <v>2776617.9536378556</v>
      </c>
      <c r="L129" s="42">
        <f t="shared" si="53"/>
        <v>47531.971299682802</v>
      </c>
      <c r="M129" s="76">
        <f t="shared" si="55"/>
        <v>3216330.0579451942</v>
      </c>
      <c r="N129" s="78">
        <f t="shared" si="54"/>
        <v>4286403.0682235602</v>
      </c>
      <c r="O129" s="79"/>
      <c r="P129" s="80"/>
      <c r="Q129" s="44" t="s">
        <v>253</v>
      </c>
      <c r="R129" s="254"/>
      <c r="S129" s="250" t="s">
        <v>26</v>
      </c>
      <c r="T129" s="257" t="str">
        <f>+_xlfn.XLOOKUP(A129,Sheet1!C:C,Sheet1!A:A,"-",0)</f>
        <v>-</v>
      </c>
      <c r="Y129" s="49">
        <v>3216330.0579452021</v>
      </c>
      <c r="Z129" s="49">
        <f t="shared" si="31"/>
        <v>-7.9162418842315674E-9</v>
      </c>
    </row>
    <row r="130" spans="1:26" ht="15" customHeight="1" x14ac:dyDescent="0.35">
      <c r="A130" s="61">
        <v>16</v>
      </c>
      <c r="B130" s="62"/>
      <c r="C130" s="63" t="s">
        <v>3033</v>
      </c>
      <c r="D130" s="64"/>
      <c r="E130" s="65"/>
      <c r="F130" s="66"/>
      <c r="G130" s="67"/>
      <c r="H130" s="67"/>
      <c r="I130" s="68"/>
      <c r="J130" s="66"/>
      <c r="K130" s="67"/>
      <c r="L130" s="67"/>
      <c r="M130" s="68"/>
      <c r="N130" s="69"/>
      <c r="O130" s="86"/>
      <c r="P130" s="85"/>
      <c r="Q130" s="67"/>
      <c r="R130" s="253"/>
      <c r="S130" s="251"/>
      <c r="T130" s="258"/>
      <c r="Y130" s="49">
        <v>0</v>
      </c>
      <c r="Z130" s="49">
        <f t="shared" si="31"/>
        <v>0</v>
      </c>
    </row>
    <row r="131" spans="1:26" ht="15" customHeight="1" x14ac:dyDescent="0.35">
      <c r="A131" s="61">
        <v>17</v>
      </c>
      <c r="B131" s="62"/>
      <c r="C131" s="63" t="s">
        <v>3034</v>
      </c>
      <c r="D131" s="64"/>
      <c r="E131" s="65"/>
      <c r="F131" s="66"/>
      <c r="G131" s="67"/>
      <c r="H131" s="67"/>
      <c r="I131" s="68"/>
      <c r="J131" s="66"/>
      <c r="K131" s="67"/>
      <c r="L131" s="67"/>
      <c r="M131" s="68"/>
      <c r="N131" s="69"/>
      <c r="O131" s="70">
        <f>+SUM(M132:M135)</f>
        <v>7064607.2342659701</v>
      </c>
      <c r="P131" s="71">
        <f>+SUM(N132:N135)</f>
        <v>9415002.061106259</v>
      </c>
      <c r="Q131" s="67"/>
      <c r="R131" s="253"/>
      <c r="S131" s="251"/>
      <c r="T131" s="258"/>
      <c r="Y131" s="49">
        <v>0</v>
      </c>
      <c r="Z131" s="49">
        <f t="shared" si="31"/>
        <v>0</v>
      </c>
    </row>
    <row r="132" spans="1:26" ht="15" customHeight="1" x14ac:dyDescent="0.35">
      <c r="A132" s="83">
        <v>17.010000000000002</v>
      </c>
      <c r="B132" s="38" t="s">
        <v>3034</v>
      </c>
      <c r="C132" s="15" t="s">
        <v>3022</v>
      </c>
      <c r="D132" s="20" t="s">
        <v>53</v>
      </c>
      <c r="E132" s="74">
        <v>57</v>
      </c>
      <c r="F132" s="75">
        <f>IF(Q132&lt;&gt;"",IFERROR(VLOOKUP(Q132,PARTIDAS!A:P,13,FALSE()),0),0)</f>
        <v>4066.3295639999997</v>
      </c>
      <c r="G132" s="47">
        <f>IF(Q132&lt;&gt;"",IFERROR(VLOOKUP(Q132,PARTIDAS!A:P,14,FALSE()),0),0)</f>
        <v>55045.379224928998</v>
      </c>
      <c r="H132" s="47">
        <f>IF(Q132&lt;&gt;"",IFERROR(VLOOKUP(Q132,PARTIDAS!A:P,15,FALSE()),0),0)</f>
        <v>405.54861765584411</v>
      </c>
      <c r="I132" s="76">
        <f>F132+G132+H132</f>
        <v>59517.257406584838</v>
      </c>
      <c r="J132" s="77">
        <f>F132*E132</f>
        <v>231780.785148</v>
      </c>
      <c r="K132" s="42">
        <f>G132*E132</f>
        <v>3137586.6158209527</v>
      </c>
      <c r="L132" s="42">
        <f>H132*E132</f>
        <v>23116.271206383113</v>
      </c>
      <c r="M132" s="76">
        <f>I132*E132</f>
        <v>3392483.6721753357</v>
      </c>
      <c r="N132" s="78">
        <f>M132*$N$2</f>
        <v>4521162.9899080703</v>
      </c>
      <c r="O132" s="79"/>
      <c r="P132" s="80"/>
      <c r="Q132" s="44" t="s">
        <v>255</v>
      </c>
      <c r="R132" s="254"/>
      <c r="S132" s="250" t="s">
        <v>26</v>
      </c>
      <c r="T132" s="257" t="str">
        <f>+_xlfn.XLOOKUP(A132,Sheet1!C:C,Sheet1!A:A,"-",0)</f>
        <v>Albañilería</v>
      </c>
      <c r="Y132" s="49">
        <v>3392483.6721753352</v>
      </c>
      <c r="Z132" s="49">
        <f t="shared" si="31"/>
        <v>0</v>
      </c>
    </row>
    <row r="133" spans="1:26" ht="15" customHeight="1" x14ac:dyDescent="0.35">
      <c r="A133" s="83">
        <v>17.02</v>
      </c>
      <c r="B133" s="38" t="s">
        <v>3034</v>
      </c>
      <c r="C133" s="15" t="s">
        <v>256</v>
      </c>
      <c r="D133" s="20" t="s">
        <v>53</v>
      </c>
      <c r="E133" s="74">
        <v>11</v>
      </c>
      <c r="F133" s="75">
        <f>IF(Q133&lt;&gt;"",IFERROR(VLOOKUP(Q133,PARTIDAS!A:P,13,FALSE()),0),0)</f>
        <v>4066.3295639999997</v>
      </c>
      <c r="G133" s="47">
        <f>IF(Q133&lt;&gt;"",IFERROR(VLOOKUP(Q133,PARTIDAS!A:P,14,FALSE()),0),0)</f>
        <v>55045.379224928998</v>
      </c>
      <c r="H133" s="47">
        <f>IF(Q133&lt;&gt;"",IFERROR(VLOOKUP(Q133,PARTIDAS!A:P,15,FALSE()),0),0)</f>
        <v>405.54861765584411</v>
      </c>
      <c r="I133" s="76">
        <f>F133+G133+H133</f>
        <v>59517.257406584838</v>
      </c>
      <c r="J133" s="77">
        <f>F133*E133</f>
        <v>44729.625203999996</v>
      </c>
      <c r="K133" s="42">
        <f>G133*E133</f>
        <v>605499.17147421895</v>
      </c>
      <c r="L133" s="42">
        <f>H133*E133</f>
        <v>4461.0347942142853</v>
      </c>
      <c r="M133" s="76">
        <f>I133*E133</f>
        <v>654689.83147243317</v>
      </c>
      <c r="N133" s="78">
        <f>M133*$N$2</f>
        <v>872505.13840331172</v>
      </c>
      <c r="O133" s="79"/>
      <c r="P133" s="80"/>
      <c r="Q133" s="44" t="s">
        <v>257</v>
      </c>
      <c r="R133" s="254">
        <v>2</v>
      </c>
      <c r="S133" s="250" t="s">
        <v>26</v>
      </c>
      <c r="T133" s="257" t="str">
        <f>+_xlfn.XLOOKUP(A133,Sheet1!C:C,Sheet1!A:A,"-",0)</f>
        <v>Albañilería</v>
      </c>
      <c r="Y133" s="49">
        <v>654689.83147243317</v>
      </c>
      <c r="Z133" s="49">
        <f t="shared" ref="Z133:Z196" si="56">+M133-Y133</f>
        <v>0</v>
      </c>
    </row>
    <row r="134" spans="1:26" ht="15" customHeight="1" x14ac:dyDescent="0.35">
      <c r="A134" s="83">
        <v>17.03</v>
      </c>
      <c r="B134" s="38" t="s">
        <v>3034</v>
      </c>
      <c r="C134" s="15" t="s">
        <v>258</v>
      </c>
      <c r="D134" s="20" t="s">
        <v>53</v>
      </c>
      <c r="E134" s="74">
        <v>65</v>
      </c>
      <c r="F134" s="75">
        <f>IF(Q134&lt;&gt;"",IFERROR(VLOOKUP(Q134,PARTIDAS!A:P,13,FALSE()),0),0)</f>
        <v>1487.9069540999999</v>
      </c>
      <c r="G134" s="47">
        <f>IF(Q134&lt;&gt;"",IFERROR(VLOOKUP(Q134,PARTIDAS!A:P,14,FALSE()),0),0)</f>
        <v>36696.919483286001</v>
      </c>
      <c r="H134" s="47">
        <f>IF(Q134&lt;&gt;"",IFERROR(VLOOKUP(Q134,PARTIDAS!A:P,15,FALSE()),0),0)</f>
        <v>202.77430882792206</v>
      </c>
      <c r="I134" s="76">
        <f>F134+G134+H134</f>
        <v>38387.600746213924</v>
      </c>
      <c r="J134" s="77">
        <f>F134*E134</f>
        <v>96713.952016499999</v>
      </c>
      <c r="K134" s="42">
        <f>G134*E134</f>
        <v>2385299.7664135899</v>
      </c>
      <c r="L134" s="42">
        <f>H134*E134</f>
        <v>13180.330073814934</v>
      </c>
      <c r="M134" s="76">
        <f>I134*E134</f>
        <v>2495194.0485039051</v>
      </c>
      <c r="N134" s="78">
        <f>M134*$N$2</f>
        <v>3325345.1084411545</v>
      </c>
      <c r="O134" s="79"/>
      <c r="P134" s="80"/>
      <c r="Q134" s="44" t="s">
        <v>259</v>
      </c>
      <c r="R134" s="254"/>
      <c r="S134" s="250" t="s">
        <v>26</v>
      </c>
      <c r="T134" s="257" t="str">
        <f>+_xlfn.XLOOKUP(A134,Sheet1!C:C,Sheet1!A:A,"-",0)</f>
        <v>Albañilería</v>
      </c>
      <c r="Y134" s="49">
        <v>2495194.0485039041</v>
      </c>
      <c r="Z134" s="49">
        <f t="shared" si="56"/>
        <v>0</v>
      </c>
    </row>
    <row r="135" spans="1:26" ht="15" customHeight="1" x14ac:dyDescent="0.35">
      <c r="A135" s="83">
        <v>17.04</v>
      </c>
      <c r="B135" s="38" t="s">
        <v>3034</v>
      </c>
      <c r="C135" s="15" t="s">
        <v>260</v>
      </c>
      <c r="D135" s="20" t="s">
        <v>53</v>
      </c>
      <c r="E135" s="74">
        <v>6</v>
      </c>
      <c r="F135" s="75">
        <f>IF(Q135&lt;&gt;"",IFERROR(VLOOKUP(Q135,PARTIDAS!A:P,13,FALSE()),0),0)</f>
        <v>4066.3295639999997</v>
      </c>
      <c r="G135" s="47">
        <f>IF(Q135&lt;&gt;"",IFERROR(VLOOKUP(Q135,PARTIDAS!A:P,14,FALSE()),0),0)</f>
        <v>82568.068837393497</v>
      </c>
      <c r="H135" s="47">
        <f>IF(Q135&lt;&gt;"",IFERROR(VLOOKUP(Q135,PARTIDAS!A:P,15,FALSE()),0),0)</f>
        <v>405.54861765584411</v>
      </c>
      <c r="I135" s="76">
        <f>F135+G135+H135</f>
        <v>87039.947019049345</v>
      </c>
      <c r="J135" s="77">
        <f>F135*E135</f>
        <v>24397.977383999998</v>
      </c>
      <c r="K135" s="42">
        <f>G135*E135</f>
        <v>495408.41302436101</v>
      </c>
      <c r="L135" s="42">
        <f>H135*E135</f>
        <v>2433.2917059350648</v>
      </c>
      <c r="M135" s="76">
        <f>I135*E135</f>
        <v>522239.68211429607</v>
      </c>
      <c r="N135" s="78">
        <f>M135*$N$2</f>
        <v>695988.82435372239</v>
      </c>
      <c r="O135" s="79"/>
      <c r="P135" s="80"/>
      <c r="Q135" s="44" t="s">
        <v>261</v>
      </c>
      <c r="R135" s="254">
        <v>2</v>
      </c>
      <c r="S135" s="250" t="s">
        <v>26</v>
      </c>
      <c r="T135" s="257" t="str">
        <f>+_xlfn.XLOOKUP(A135,Sheet1!C:C,Sheet1!A:A,"-",0)</f>
        <v>Albañilería</v>
      </c>
      <c r="Y135" s="49">
        <v>522239.68211429601</v>
      </c>
      <c r="Z135" s="49">
        <f t="shared" si="56"/>
        <v>0</v>
      </c>
    </row>
    <row r="136" spans="1:26" ht="15" customHeight="1" x14ac:dyDescent="0.35">
      <c r="A136" s="61">
        <v>18</v>
      </c>
      <c r="B136" s="62"/>
      <c r="C136" s="63" t="s">
        <v>3027</v>
      </c>
      <c r="D136" s="64"/>
      <c r="E136" s="65"/>
      <c r="F136" s="66"/>
      <c r="G136" s="67"/>
      <c r="H136" s="67"/>
      <c r="I136" s="68"/>
      <c r="J136" s="66"/>
      <c r="K136" s="67"/>
      <c r="L136" s="67"/>
      <c r="M136" s="68"/>
      <c r="N136" s="69"/>
      <c r="O136" s="70">
        <f>+SUM(M137:M169)</f>
        <v>65922152.059630468</v>
      </c>
      <c r="P136" s="71">
        <f>+SUM(N137:N169)</f>
        <v>87854452.049869552</v>
      </c>
      <c r="Q136" s="67"/>
      <c r="R136" s="253"/>
      <c r="S136" s="251"/>
      <c r="T136" s="258"/>
      <c r="Y136" s="49">
        <v>0</v>
      </c>
      <c r="Z136" s="49">
        <f t="shared" si="56"/>
        <v>0</v>
      </c>
    </row>
    <row r="137" spans="1:26" ht="15" customHeight="1" x14ac:dyDescent="0.35">
      <c r="A137" s="83">
        <v>18.010000000000002</v>
      </c>
      <c r="B137" s="38" t="s">
        <v>3027</v>
      </c>
      <c r="C137" s="15" t="s">
        <v>263</v>
      </c>
      <c r="D137" s="20" t="s">
        <v>53</v>
      </c>
      <c r="E137" s="74">
        <v>260</v>
      </c>
      <c r="F137" s="75">
        <f>IF(Q137&lt;&gt;"",IFERROR(VLOOKUP(Q137,PARTIDAS!A:P,13,FALSE()),0),0)</f>
        <v>20340.180884999994</v>
      </c>
      <c r="G137" s="47">
        <f>IF(Q137&lt;&gt;"",IFERROR(VLOOKUP(Q137,PARTIDAS!A:P,14,FALSE()),0),0)</f>
        <v>35416.5</v>
      </c>
      <c r="H137" s="47">
        <f>IF(Q137&lt;&gt;"",IFERROR(VLOOKUP(Q137,PARTIDAS!A:P,15,FALSE()),0),0)</f>
        <v>1667.3180256187004</v>
      </c>
      <c r="I137" s="76">
        <f t="shared" ref="I137:I169" si="57">F137+G137+H137</f>
        <v>57423.998910618691</v>
      </c>
      <c r="J137" s="77">
        <f t="shared" ref="J137:J169" si="58">F137*E137</f>
        <v>5288447.0300999982</v>
      </c>
      <c r="K137" s="42">
        <f t="shared" ref="K137:K169" si="59">G137*E137</f>
        <v>9208290</v>
      </c>
      <c r="L137" s="42">
        <f t="shared" ref="L137:L169" si="60">H137*E137</f>
        <v>433502.68666086212</v>
      </c>
      <c r="M137" s="76">
        <f t="shared" ref="M137:M169" si="61">I137*E137</f>
        <v>14930239.716760859</v>
      </c>
      <c r="N137" s="78">
        <f t="shared" ref="N137:N169" si="62">M137*$N$2</f>
        <v>19897530.470527198</v>
      </c>
      <c r="O137" s="79"/>
      <c r="P137" s="80"/>
      <c r="Q137" s="44" t="s">
        <v>264</v>
      </c>
      <c r="R137" s="254">
        <v>2</v>
      </c>
      <c r="S137" s="250" t="s">
        <v>97</v>
      </c>
      <c r="T137" s="257" t="str">
        <f>+_xlfn.XLOOKUP(A137,Sheet1!C:C,Sheet1!A:A,"-",0)</f>
        <v>-</v>
      </c>
      <c r="X137" s="82"/>
      <c r="Y137" s="49">
        <v>14930239.716760861</v>
      </c>
      <c r="Z137" s="49">
        <f t="shared" si="56"/>
        <v>0</v>
      </c>
    </row>
    <row r="138" spans="1:26" ht="15" customHeight="1" x14ac:dyDescent="0.35">
      <c r="A138" s="83">
        <v>18.02</v>
      </c>
      <c r="B138" s="38" t="s">
        <v>3027</v>
      </c>
      <c r="C138" s="15" t="s">
        <v>265</v>
      </c>
      <c r="D138" s="20" t="s">
        <v>53</v>
      </c>
      <c r="E138" s="74">
        <v>62</v>
      </c>
      <c r="F138" s="75">
        <f>IF(Q138&lt;&gt;"",IFERROR(VLOOKUP(Q138,PARTIDAS!A:P,13,FALSE()),0),0)</f>
        <v>17867.355495</v>
      </c>
      <c r="G138" s="47">
        <f>IF(Q138&lt;&gt;"",IFERROR(VLOOKUP(Q138,PARTIDAS!A:P,14,FALSE()),0),0)</f>
        <v>35416.5</v>
      </c>
      <c r="H138" s="47">
        <f>IF(Q138&lt;&gt;"",IFERROR(VLOOKUP(Q138,PARTIDAS!A:P,15,FALSE()),0),0)</f>
        <v>1667.3180256187004</v>
      </c>
      <c r="I138" s="76">
        <f t="shared" si="57"/>
        <v>54951.173520618693</v>
      </c>
      <c r="J138" s="77">
        <f t="shared" si="58"/>
        <v>1107776.0406899999</v>
      </c>
      <c r="K138" s="42">
        <f t="shared" si="59"/>
        <v>2195823</v>
      </c>
      <c r="L138" s="42">
        <f t="shared" si="60"/>
        <v>103373.71758835943</v>
      </c>
      <c r="M138" s="76">
        <f t="shared" si="61"/>
        <v>3406972.7582783592</v>
      </c>
      <c r="N138" s="78">
        <f t="shared" si="62"/>
        <v>4540472.5949575696</v>
      </c>
      <c r="O138" s="79"/>
      <c r="P138" s="80"/>
      <c r="Q138" s="44" t="s">
        <v>266</v>
      </c>
      <c r="R138" s="254">
        <v>2</v>
      </c>
      <c r="S138" s="250" t="s">
        <v>97</v>
      </c>
      <c r="T138" s="257" t="str">
        <f>+_xlfn.XLOOKUP(A138,Sheet1!C:C,Sheet1!A:A,"-",0)</f>
        <v>-</v>
      </c>
      <c r="X138" s="82"/>
      <c r="Y138" s="49">
        <v>3406972.7582783601</v>
      </c>
      <c r="Z138" s="49">
        <f t="shared" si="56"/>
        <v>0</v>
      </c>
    </row>
    <row r="139" spans="1:26" ht="15" customHeight="1" x14ac:dyDescent="0.35">
      <c r="A139" s="83">
        <v>18.03</v>
      </c>
      <c r="B139" s="38" t="s">
        <v>3027</v>
      </c>
      <c r="C139" s="15" t="s">
        <v>267</v>
      </c>
      <c r="D139" s="20" t="s">
        <v>53</v>
      </c>
      <c r="E139" s="74">
        <v>12</v>
      </c>
      <c r="F139" s="75">
        <f>IF(Q139&lt;&gt;"",IFERROR(VLOOKUP(Q139,PARTIDAS!A:P,13,FALSE()),0),0)</f>
        <v>17867.355495</v>
      </c>
      <c r="G139" s="47">
        <f>IF(Q139&lt;&gt;"",IFERROR(VLOOKUP(Q139,PARTIDAS!A:P,14,FALSE()),0),0)</f>
        <v>35416.5</v>
      </c>
      <c r="H139" s="47">
        <f>IF(Q139&lt;&gt;"",IFERROR(VLOOKUP(Q139,PARTIDAS!A:P,15,FALSE()),0),0)</f>
        <v>1667.3180256187004</v>
      </c>
      <c r="I139" s="76">
        <f t="shared" si="57"/>
        <v>54951.173520618693</v>
      </c>
      <c r="J139" s="77">
        <f t="shared" si="58"/>
        <v>214408.26594000001</v>
      </c>
      <c r="K139" s="42">
        <f t="shared" si="59"/>
        <v>424998</v>
      </c>
      <c r="L139" s="42">
        <f t="shared" si="60"/>
        <v>20007.816307424404</v>
      </c>
      <c r="M139" s="76">
        <f t="shared" si="61"/>
        <v>659414.08224742429</v>
      </c>
      <c r="N139" s="78">
        <f t="shared" si="62"/>
        <v>878801.14741114236</v>
      </c>
      <c r="O139" s="79"/>
      <c r="P139" s="80"/>
      <c r="Q139" s="44" t="s">
        <v>266</v>
      </c>
      <c r="R139" s="254">
        <v>2</v>
      </c>
      <c r="S139" s="250" t="s">
        <v>97</v>
      </c>
      <c r="T139" s="257" t="str">
        <f>+_xlfn.XLOOKUP(A139,Sheet1!C:C,Sheet1!A:A,"-",0)</f>
        <v>-</v>
      </c>
      <c r="X139" s="82"/>
      <c r="Y139" s="49">
        <v>659414.08224742452</v>
      </c>
      <c r="Z139" s="49">
        <f t="shared" si="56"/>
        <v>0</v>
      </c>
    </row>
    <row r="140" spans="1:26" ht="15" customHeight="1" x14ac:dyDescent="0.35">
      <c r="A140" s="83">
        <v>18.04</v>
      </c>
      <c r="B140" s="38" t="s">
        <v>3027</v>
      </c>
      <c r="C140" s="15" t="s">
        <v>268</v>
      </c>
      <c r="D140" s="20" t="s">
        <v>53</v>
      </c>
      <c r="E140" s="74">
        <v>16</v>
      </c>
      <c r="F140" s="75">
        <f>IF(Q140&lt;&gt;"",IFERROR(VLOOKUP(Q140,PARTIDAS!A:P,13,FALSE()),0),0)</f>
        <v>17867.355495</v>
      </c>
      <c r="G140" s="47">
        <f>IF(Q140&lt;&gt;"",IFERROR(VLOOKUP(Q140,PARTIDAS!A:P,14,FALSE()),0),0)</f>
        <v>35416.5</v>
      </c>
      <c r="H140" s="47">
        <f>IF(Q140&lt;&gt;"",IFERROR(VLOOKUP(Q140,PARTIDAS!A:P,15,FALSE()),0),0)</f>
        <v>1667.3180256187004</v>
      </c>
      <c r="I140" s="76">
        <f t="shared" si="57"/>
        <v>54951.173520618693</v>
      </c>
      <c r="J140" s="77">
        <f t="shared" si="58"/>
        <v>285877.68792</v>
      </c>
      <c r="K140" s="42">
        <f t="shared" si="59"/>
        <v>566664</v>
      </c>
      <c r="L140" s="42">
        <f t="shared" si="60"/>
        <v>26677.088409899206</v>
      </c>
      <c r="M140" s="76">
        <f t="shared" si="61"/>
        <v>879218.77632989909</v>
      </c>
      <c r="N140" s="78">
        <f t="shared" si="62"/>
        <v>1171734.8632148565</v>
      </c>
      <c r="O140" s="79"/>
      <c r="P140" s="80"/>
      <c r="Q140" s="44" t="s">
        <v>266</v>
      </c>
      <c r="R140" s="254">
        <v>2</v>
      </c>
      <c r="S140" s="250" t="s">
        <v>97</v>
      </c>
      <c r="T140" s="257" t="str">
        <f>+_xlfn.XLOOKUP(A140,Sheet1!C:C,Sheet1!A:A,"-",0)</f>
        <v>-</v>
      </c>
      <c r="X140" s="82"/>
      <c r="Y140" s="49">
        <v>879218.77632989909</v>
      </c>
      <c r="Z140" s="49">
        <f t="shared" si="56"/>
        <v>0</v>
      </c>
    </row>
    <row r="141" spans="1:26" ht="15" customHeight="1" x14ac:dyDescent="0.35">
      <c r="A141" s="83">
        <v>18.05</v>
      </c>
      <c r="B141" s="38" t="s">
        <v>3027</v>
      </c>
      <c r="C141" s="15" t="s">
        <v>269</v>
      </c>
      <c r="D141" s="20" t="s">
        <v>53</v>
      </c>
      <c r="E141" s="74">
        <v>1</v>
      </c>
      <c r="F141" s="75">
        <f>IF(Q141&lt;&gt;"",IFERROR(VLOOKUP(Q141,PARTIDAS!A:P,13,FALSE()),0),0)</f>
        <v>17867.355495</v>
      </c>
      <c r="G141" s="47">
        <f>IF(Q141&lt;&gt;"",IFERROR(VLOOKUP(Q141,PARTIDAS!A:P,14,FALSE()),0),0)</f>
        <v>35416.5</v>
      </c>
      <c r="H141" s="47">
        <f>IF(Q141&lt;&gt;"",IFERROR(VLOOKUP(Q141,PARTIDAS!A:P,15,FALSE()),0),0)</f>
        <v>1667.3180256187004</v>
      </c>
      <c r="I141" s="76">
        <f t="shared" si="57"/>
        <v>54951.173520618693</v>
      </c>
      <c r="J141" s="77">
        <f t="shared" si="58"/>
        <v>17867.355495</v>
      </c>
      <c r="K141" s="42">
        <f t="shared" si="59"/>
        <v>35416.5</v>
      </c>
      <c r="L141" s="42">
        <f t="shared" si="60"/>
        <v>1667.3180256187004</v>
      </c>
      <c r="M141" s="76">
        <f t="shared" si="61"/>
        <v>54951.173520618693</v>
      </c>
      <c r="N141" s="78">
        <f t="shared" si="62"/>
        <v>73233.42895092853</v>
      </c>
      <c r="O141" s="79"/>
      <c r="P141" s="80"/>
      <c r="Q141" s="44" t="s">
        <v>266</v>
      </c>
      <c r="R141" s="254">
        <v>2</v>
      </c>
      <c r="S141" s="250" t="s">
        <v>97</v>
      </c>
      <c r="T141" s="257" t="str">
        <f>+_xlfn.XLOOKUP(A141,Sheet1!C:C,Sheet1!A:A,"-",0)</f>
        <v>-</v>
      </c>
      <c r="X141" s="82"/>
      <c r="Y141" s="49">
        <v>54951.173520618693</v>
      </c>
      <c r="Z141" s="49">
        <f t="shared" si="56"/>
        <v>0</v>
      </c>
    </row>
    <row r="142" spans="1:26" ht="15" customHeight="1" x14ac:dyDescent="0.35">
      <c r="A142" s="83">
        <v>18.059999999999999</v>
      </c>
      <c r="B142" s="38" t="s">
        <v>3027</v>
      </c>
      <c r="C142" s="15" t="s">
        <v>270</v>
      </c>
      <c r="D142" s="20" t="s">
        <v>53</v>
      </c>
      <c r="E142" s="74">
        <v>24</v>
      </c>
      <c r="F142" s="75">
        <f>IF(Q142&lt;&gt;"",IFERROR(VLOOKUP(Q142,PARTIDAS!A:P,13,FALSE()),0),0)</f>
        <v>17867.355495</v>
      </c>
      <c r="G142" s="47">
        <f>IF(Q142&lt;&gt;"",IFERROR(VLOOKUP(Q142,PARTIDAS!A:P,14,FALSE()),0),0)</f>
        <v>35416.5</v>
      </c>
      <c r="H142" s="47">
        <f>IF(Q142&lt;&gt;"",IFERROR(VLOOKUP(Q142,PARTIDAS!A:P,15,FALSE()),0),0)</f>
        <v>1667.3180256187004</v>
      </c>
      <c r="I142" s="76">
        <f t="shared" si="57"/>
        <v>54951.173520618693</v>
      </c>
      <c r="J142" s="77">
        <f t="shared" si="58"/>
        <v>428816.53188000002</v>
      </c>
      <c r="K142" s="42">
        <f t="shared" si="59"/>
        <v>849996</v>
      </c>
      <c r="L142" s="42">
        <f t="shared" si="60"/>
        <v>40015.632614848808</v>
      </c>
      <c r="M142" s="76">
        <f t="shared" si="61"/>
        <v>1318828.1644948486</v>
      </c>
      <c r="N142" s="78">
        <f t="shared" si="62"/>
        <v>1757602.2948222847</v>
      </c>
      <c r="O142" s="79"/>
      <c r="P142" s="80"/>
      <c r="Q142" s="44" t="s">
        <v>266</v>
      </c>
      <c r="R142" s="254">
        <v>2</v>
      </c>
      <c r="S142" s="250" t="s">
        <v>97</v>
      </c>
      <c r="T142" s="257" t="str">
        <f>+_xlfn.XLOOKUP(A142,Sheet1!C:C,Sheet1!A:A,"-",0)</f>
        <v>-</v>
      </c>
      <c r="X142" s="82"/>
      <c r="Y142" s="49">
        <v>1318828.164494849</v>
      </c>
      <c r="Z142" s="49">
        <f t="shared" si="56"/>
        <v>0</v>
      </c>
    </row>
    <row r="143" spans="1:26" ht="14.25" customHeight="1" x14ac:dyDescent="0.35">
      <c r="A143" s="83">
        <v>18.07</v>
      </c>
      <c r="B143" s="38" t="s">
        <v>3027</v>
      </c>
      <c r="C143" s="15" t="s">
        <v>271</v>
      </c>
      <c r="D143" s="20" t="s">
        <v>53</v>
      </c>
      <c r="E143" s="74">
        <v>226</v>
      </c>
      <c r="F143" s="75">
        <f>IF(Q143&lt;&gt;"",IFERROR(VLOOKUP(Q143,PARTIDAS!A:P,13,FALSE()),0),0)</f>
        <v>14804.6642249</v>
      </c>
      <c r="G143" s="47">
        <f>IF(Q143&lt;&gt;"",IFERROR(VLOOKUP(Q143,PARTIDAS!A:P,14,FALSE()),0),0)</f>
        <v>35416.5</v>
      </c>
      <c r="H143" s="47">
        <f>IF(Q143&lt;&gt;"",IFERROR(VLOOKUP(Q143,PARTIDAS!A:P,15,FALSE()),0),0)</f>
        <v>1667.3180256187004</v>
      </c>
      <c r="I143" s="76">
        <f t="shared" si="57"/>
        <v>51888.482250518697</v>
      </c>
      <c r="J143" s="77">
        <f t="shared" si="58"/>
        <v>3345854.1148274001</v>
      </c>
      <c r="K143" s="42">
        <f t="shared" si="59"/>
        <v>8004129</v>
      </c>
      <c r="L143" s="42">
        <f t="shared" si="60"/>
        <v>376813.87378982629</v>
      </c>
      <c r="M143" s="76">
        <f t="shared" si="61"/>
        <v>11726796.988617225</v>
      </c>
      <c r="N143" s="78">
        <f t="shared" si="62"/>
        <v>15628302.346730174</v>
      </c>
      <c r="O143" s="79"/>
      <c r="P143" s="80"/>
      <c r="Q143" s="44" t="s">
        <v>272</v>
      </c>
      <c r="R143" s="254">
        <v>2</v>
      </c>
      <c r="S143" s="250" t="s">
        <v>97</v>
      </c>
      <c r="T143" s="257" t="str">
        <f>+_xlfn.XLOOKUP(A143,Sheet1!C:C,Sheet1!A:A,"-",0)</f>
        <v>-</v>
      </c>
      <c r="X143" s="82"/>
      <c r="Y143" s="49">
        <v>11726796.98861723</v>
      </c>
      <c r="Z143" s="49">
        <f t="shared" si="56"/>
        <v>0</v>
      </c>
    </row>
    <row r="144" spans="1:26" ht="14.25" customHeight="1" x14ac:dyDescent="0.35">
      <c r="A144" s="83">
        <v>18.079999999999998</v>
      </c>
      <c r="B144" s="38" t="s">
        <v>3027</v>
      </c>
      <c r="C144" s="15" t="s">
        <v>273</v>
      </c>
      <c r="D144" s="20" t="s">
        <v>53</v>
      </c>
      <c r="E144" s="74">
        <v>32</v>
      </c>
      <c r="F144" s="75">
        <f>IF(Q144&lt;&gt;"",IFERROR(VLOOKUP(Q144,PARTIDAS!A:P,13,FALSE()),0),0)</f>
        <v>34429.494880000006</v>
      </c>
      <c r="G144" s="47">
        <f>IF(Q144&lt;&gt;"",IFERROR(VLOOKUP(Q144,PARTIDAS!A:P,14,FALSE()),0),0)</f>
        <v>35416.5</v>
      </c>
      <c r="H144" s="47">
        <f>IF(Q144&lt;&gt;"",IFERROR(VLOOKUP(Q144,PARTIDAS!A:P,15,FALSE()),0),0)</f>
        <v>1667.3180256187004</v>
      </c>
      <c r="I144" s="76">
        <f t="shared" si="57"/>
        <v>71513.312905618717</v>
      </c>
      <c r="J144" s="77">
        <f t="shared" si="58"/>
        <v>1101743.8361600002</v>
      </c>
      <c r="K144" s="42">
        <f t="shared" si="59"/>
        <v>1133328</v>
      </c>
      <c r="L144" s="42">
        <f t="shared" si="60"/>
        <v>53354.176819798413</v>
      </c>
      <c r="M144" s="76">
        <f t="shared" si="61"/>
        <v>2288426.012979799</v>
      </c>
      <c r="N144" s="78">
        <f t="shared" si="62"/>
        <v>3049785.347498178</v>
      </c>
      <c r="O144" s="79"/>
      <c r="P144" s="80"/>
      <c r="Q144" s="44" t="s">
        <v>274</v>
      </c>
      <c r="R144" s="254">
        <v>2</v>
      </c>
      <c r="S144" s="250" t="s">
        <v>97</v>
      </c>
      <c r="T144" s="257" t="str">
        <f>+_xlfn.XLOOKUP(A144,Sheet1!C:C,Sheet1!A:A,"-",0)</f>
        <v>-</v>
      </c>
      <c r="X144" s="82"/>
      <c r="Y144" s="49">
        <v>2288426.012979799</v>
      </c>
      <c r="Z144" s="49">
        <f t="shared" si="56"/>
        <v>0</v>
      </c>
    </row>
    <row r="145" spans="1:26" ht="14.25" customHeight="1" x14ac:dyDescent="0.35">
      <c r="A145" s="83">
        <v>18.09</v>
      </c>
      <c r="B145" s="38" t="s">
        <v>3027</v>
      </c>
      <c r="C145" s="15" t="s">
        <v>275</v>
      </c>
      <c r="D145" s="20" t="s">
        <v>53</v>
      </c>
      <c r="E145" s="74">
        <v>8</v>
      </c>
      <c r="F145" s="75">
        <f>IF(Q145&lt;&gt;"",IFERROR(VLOOKUP(Q145,PARTIDAS!A:P,13,FALSE()),0),0)</f>
        <v>14804.6642249</v>
      </c>
      <c r="G145" s="47">
        <f>IF(Q145&lt;&gt;"",IFERROR(VLOOKUP(Q145,PARTIDAS!A:P,14,FALSE()),0),0)</f>
        <v>35416.5</v>
      </c>
      <c r="H145" s="47">
        <f>IF(Q145&lt;&gt;"",IFERROR(VLOOKUP(Q145,PARTIDAS!A:P,15,FALSE()),0),0)</f>
        <v>1667.3180256187004</v>
      </c>
      <c r="I145" s="76">
        <f t="shared" si="57"/>
        <v>51888.482250518697</v>
      </c>
      <c r="J145" s="77">
        <f t="shared" si="58"/>
        <v>118437.3137992</v>
      </c>
      <c r="K145" s="42">
        <f t="shared" si="59"/>
        <v>283332</v>
      </c>
      <c r="L145" s="42">
        <f t="shared" si="60"/>
        <v>13338.544204949603</v>
      </c>
      <c r="M145" s="76">
        <f t="shared" si="61"/>
        <v>415107.85800414957</v>
      </c>
      <c r="N145" s="78">
        <f t="shared" si="62"/>
        <v>553214.24236213008</v>
      </c>
      <c r="O145" s="79"/>
      <c r="P145" s="80"/>
      <c r="Q145" s="44" t="s">
        <v>272</v>
      </c>
      <c r="R145" s="254">
        <v>2</v>
      </c>
      <c r="S145" s="250" t="s">
        <v>97</v>
      </c>
      <c r="T145" s="257" t="str">
        <f>+_xlfn.XLOOKUP(A145,Sheet1!C:C,Sheet1!A:A,"-",0)</f>
        <v>-</v>
      </c>
      <c r="X145" s="82"/>
      <c r="Y145" s="49">
        <v>415107.85800414957</v>
      </c>
      <c r="Z145" s="49">
        <f t="shared" si="56"/>
        <v>0</v>
      </c>
    </row>
    <row r="146" spans="1:26" ht="14.25" customHeight="1" x14ac:dyDescent="0.35">
      <c r="A146" s="83">
        <v>18.100000000000001</v>
      </c>
      <c r="B146" s="38" t="s">
        <v>3027</v>
      </c>
      <c r="C146" s="15" t="s">
        <v>276</v>
      </c>
      <c r="D146" s="20" t="s">
        <v>53</v>
      </c>
      <c r="E146" s="74">
        <v>8</v>
      </c>
      <c r="F146" s="75">
        <f>IF(Q146&lt;&gt;"",IFERROR(VLOOKUP(Q146,PARTIDAS!A:P,13,FALSE()),0),0)</f>
        <v>14804.6642249</v>
      </c>
      <c r="G146" s="47">
        <f>IF(Q146&lt;&gt;"",IFERROR(VLOOKUP(Q146,PARTIDAS!A:P,14,FALSE()),0),0)</f>
        <v>35416.5</v>
      </c>
      <c r="H146" s="47">
        <f>IF(Q146&lt;&gt;"",IFERROR(VLOOKUP(Q146,PARTIDAS!A:P,15,FALSE()),0),0)</f>
        <v>1667.3180256187004</v>
      </c>
      <c r="I146" s="76">
        <f t="shared" si="57"/>
        <v>51888.482250518697</v>
      </c>
      <c r="J146" s="77">
        <f t="shared" si="58"/>
        <v>118437.3137992</v>
      </c>
      <c r="K146" s="42">
        <f t="shared" si="59"/>
        <v>283332</v>
      </c>
      <c r="L146" s="42">
        <f t="shared" si="60"/>
        <v>13338.544204949603</v>
      </c>
      <c r="M146" s="76">
        <f t="shared" si="61"/>
        <v>415107.85800414957</v>
      </c>
      <c r="N146" s="78">
        <f t="shared" si="62"/>
        <v>553214.24236213008</v>
      </c>
      <c r="O146" s="79"/>
      <c r="P146" s="80"/>
      <c r="Q146" s="44" t="s">
        <v>272</v>
      </c>
      <c r="R146" s="254">
        <v>2</v>
      </c>
      <c r="S146" s="250" t="s">
        <v>97</v>
      </c>
      <c r="T146" s="257" t="str">
        <f>+_xlfn.XLOOKUP(A146,Sheet1!C:C,Sheet1!A:A,"-",0)</f>
        <v>-</v>
      </c>
      <c r="X146" s="82"/>
      <c r="Y146" s="49">
        <v>415107.85800414957</v>
      </c>
      <c r="Z146" s="49">
        <f t="shared" si="56"/>
        <v>0</v>
      </c>
    </row>
    <row r="147" spans="1:26" ht="14.25" customHeight="1" x14ac:dyDescent="0.35">
      <c r="A147" s="83">
        <v>18.11</v>
      </c>
      <c r="B147" s="38" t="s">
        <v>3027</v>
      </c>
      <c r="C147" s="15" t="s">
        <v>277</v>
      </c>
      <c r="D147" s="20" t="s">
        <v>53</v>
      </c>
      <c r="E147" s="74">
        <v>26</v>
      </c>
      <c r="F147" s="75">
        <f>IF(Q147&lt;&gt;"",IFERROR(VLOOKUP(Q147,PARTIDAS!A:P,13,FALSE()),0),0)</f>
        <v>12087.904386250002</v>
      </c>
      <c r="G147" s="47">
        <f>IF(Q147&lt;&gt;"",IFERROR(VLOOKUP(Q147,PARTIDAS!A:P,14,FALSE()),0),0)</f>
        <v>24807.3</v>
      </c>
      <c r="H147" s="47">
        <f>IF(Q147&lt;&gt;"",IFERROR(VLOOKUP(Q147,PARTIDAS!A:P,15,FALSE()),0),0)</f>
        <v>1083.7567166521553</v>
      </c>
      <c r="I147" s="76">
        <f t="shared" si="57"/>
        <v>37978.961102902154</v>
      </c>
      <c r="J147" s="77">
        <f t="shared" si="58"/>
        <v>314285.51404250006</v>
      </c>
      <c r="K147" s="42">
        <f t="shared" si="59"/>
        <v>644989.79999999993</v>
      </c>
      <c r="L147" s="42">
        <f t="shared" si="60"/>
        <v>28177.674632956037</v>
      </c>
      <c r="M147" s="76">
        <f t="shared" si="61"/>
        <v>987452.98867545603</v>
      </c>
      <c r="N147" s="78">
        <f t="shared" si="62"/>
        <v>1315978.5980077803</v>
      </c>
      <c r="O147" s="79"/>
      <c r="P147" s="80"/>
      <c r="Q147" s="44" t="s">
        <v>278</v>
      </c>
      <c r="R147" s="254">
        <v>2</v>
      </c>
      <c r="S147" s="250" t="s">
        <v>97</v>
      </c>
      <c r="T147" s="257" t="str">
        <f>+_xlfn.XLOOKUP(A147,Sheet1!C:C,Sheet1!A:A,"-",0)</f>
        <v>-</v>
      </c>
      <c r="X147" s="82"/>
      <c r="Y147" s="49">
        <v>987452.98867545603</v>
      </c>
      <c r="Z147" s="49">
        <f t="shared" si="56"/>
        <v>0</v>
      </c>
    </row>
    <row r="148" spans="1:26" ht="14.25" customHeight="1" x14ac:dyDescent="0.35">
      <c r="A148" s="83">
        <v>18.12</v>
      </c>
      <c r="B148" s="38" t="s">
        <v>3027</v>
      </c>
      <c r="C148" s="15" t="s">
        <v>279</v>
      </c>
      <c r="D148" s="20" t="s">
        <v>53</v>
      </c>
      <c r="E148" s="74">
        <v>27</v>
      </c>
      <c r="F148" s="75">
        <f>IF(Q148&lt;&gt;"",IFERROR(VLOOKUP(Q148,PARTIDAS!A:P,13,FALSE()),0),0)</f>
        <v>12087.904386250002</v>
      </c>
      <c r="G148" s="47">
        <f>IF(Q148&lt;&gt;"",IFERROR(VLOOKUP(Q148,PARTIDAS!A:P,14,FALSE()),0),0)</f>
        <v>24807.3</v>
      </c>
      <c r="H148" s="47">
        <f>IF(Q148&lt;&gt;"",IFERROR(VLOOKUP(Q148,PARTIDAS!A:P,15,FALSE()),0),0)</f>
        <v>1083.7567166521553</v>
      </c>
      <c r="I148" s="76">
        <f t="shared" si="57"/>
        <v>37978.961102902154</v>
      </c>
      <c r="J148" s="77">
        <f t="shared" si="58"/>
        <v>326373.41842875007</v>
      </c>
      <c r="K148" s="42">
        <f t="shared" si="59"/>
        <v>669797.1</v>
      </c>
      <c r="L148" s="42">
        <f t="shared" si="60"/>
        <v>29261.431349608192</v>
      </c>
      <c r="M148" s="76">
        <f t="shared" si="61"/>
        <v>1025431.9497783582</v>
      </c>
      <c r="N148" s="78">
        <f t="shared" si="62"/>
        <v>1366593.159469618</v>
      </c>
      <c r="O148" s="79"/>
      <c r="P148" s="80"/>
      <c r="Q148" s="44" t="s">
        <v>278</v>
      </c>
      <c r="R148" s="254">
        <v>2</v>
      </c>
      <c r="S148" s="250" t="s">
        <v>97</v>
      </c>
      <c r="T148" s="257" t="str">
        <f>+_xlfn.XLOOKUP(A148,Sheet1!C:C,Sheet1!A:A,"-",0)</f>
        <v>-</v>
      </c>
      <c r="X148" s="82"/>
      <c r="Y148" s="49">
        <v>1025431.949778358</v>
      </c>
      <c r="Z148" s="49">
        <f t="shared" si="56"/>
        <v>0</v>
      </c>
    </row>
    <row r="149" spans="1:26" ht="14.25" customHeight="1" x14ac:dyDescent="0.35">
      <c r="A149" s="83">
        <v>18.13</v>
      </c>
      <c r="B149" s="38" t="s">
        <v>3027</v>
      </c>
      <c r="C149" s="15" t="s">
        <v>280</v>
      </c>
      <c r="D149" s="20" t="s">
        <v>53</v>
      </c>
      <c r="E149" s="74">
        <v>9</v>
      </c>
      <c r="F149" s="75">
        <f>IF(Q149&lt;&gt;"",IFERROR(VLOOKUP(Q149,PARTIDAS!A:P,13,FALSE()),0),0)</f>
        <v>12087.904386250002</v>
      </c>
      <c r="G149" s="47">
        <f>IF(Q149&lt;&gt;"",IFERROR(VLOOKUP(Q149,PARTIDAS!A:P,14,FALSE()),0),0)</f>
        <v>24807.3</v>
      </c>
      <c r="H149" s="47">
        <f>IF(Q149&lt;&gt;"",IFERROR(VLOOKUP(Q149,PARTIDAS!A:P,15,FALSE()),0),0)</f>
        <v>1083.7567166521553</v>
      </c>
      <c r="I149" s="76">
        <f t="shared" si="57"/>
        <v>37978.961102902154</v>
      </c>
      <c r="J149" s="77">
        <f t="shared" si="58"/>
        <v>108791.13947625001</v>
      </c>
      <c r="K149" s="42">
        <f t="shared" si="59"/>
        <v>223265.69999999998</v>
      </c>
      <c r="L149" s="42">
        <f t="shared" si="60"/>
        <v>9753.8104498693974</v>
      </c>
      <c r="M149" s="76">
        <f t="shared" si="61"/>
        <v>341810.64992611937</v>
      </c>
      <c r="N149" s="78">
        <f t="shared" si="62"/>
        <v>455531.05315653927</v>
      </c>
      <c r="O149" s="79"/>
      <c r="P149" s="80"/>
      <c r="Q149" s="44" t="s">
        <v>278</v>
      </c>
      <c r="R149" s="254">
        <v>2</v>
      </c>
      <c r="S149" s="250" t="s">
        <v>97</v>
      </c>
      <c r="T149" s="257" t="str">
        <f>+_xlfn.XLOOKUP(A149,Sheet1!C:C,Sheet1!A:A,"-",0)</f>
        <v>-</v>
      </c>
      <c r="X149" s="82"/>
      <c r="Y149" s="49">
        <v>341810.64992611943</v>
      </c>
      <c r="Z149" s="49">
        <f t="shared" si="56"/>
        <v>0</v>
      </c>
    </row>
    <row r="150" spans="1:26" ht="14.25" customHeight="1" x14ac:dyDescent="0.35">
      <c r="A150" s="83">
        <v>18.14</v>
      </c>
      <c r="B150" s="38" t="s">
        <v>3027</v>
      </c>
      <c r="C150" s="15" t="s">
        <v>281</v>
      </c>
      <c r="D150" s="20" t="s">
        <v>53</v>
      </c>
      <c r="E150" s="74">
        <v>29</v>
      </c>
      <c r="F150" s="75">
        <f>IF(Q150&lt;&gt;"",IFERROR(VLOOKUP(Q150,PARTIDAS!A:P,13,FALSE()),0),0)</f>
        <v>12087.904386250002</v>
      </c>
      <c r="G150" s="47">
        <f>IF(Q150&lt;&gt;"",IFERROR(VLOOKUP(Q150,PARTIDAS!A:P,14,FALSE()),0),0)</f>
        <v>24807.3</v>
      </c>
      <c r="H150" s="47">
        <f>IF(Q150&lt;&gt;"",IFERROR(VLOOKUP(Q150,PARTIDAS!A:P,15,FALSE()),0),0)</f>
        <v>1083.7567166521553</v>
      </c>
      <c r="I150" s="76">
        <f t="shared" si="57"/>
        <v>37978.961102902154</v>
      </c>
      <c r="J150" s="77">
        <f t="shared" si="58"/>
        <v>350549.22720125003</v>
      </c>
      <c r="K150" s="42">
        <f t="shared" si="59"/>
        <v>719411.7</v>
      </c>
      <c r="L150" s="42">
        <f t="shared" si="60"/>
        <v>31428.944782912506</v>
      </c>
      <c r="M150" s="76">
        <f t="shared" si="61"/>
        <v>1101389.8719841624</v>
      </c>
      <c r="N150" s="78">
        <f t="shared" si="62"/>
        <v>1467822.2823932932</v>
      </c>
      <c r="O150" s="79"/>
      <c r="P150" s="80"/>
      <c r="Q150" s="44" t="s">
        <v>278</v>
      </c>
      <c r="R150" s="254">
        <v>2</v>
      </c>
      <c r="S150" s="250" t="s">
        <v>97</v>
      </c>
      <c r="T150" s="257" t="str">
        <f>+_xlfn.XLOOKUP(A150,Sheet1!C:C,Sheet1!A:A,"-",0)</f>
        <v>-</v>
      </c>
      <c r="X150" s="82"/>
      <c r="Y150" s="49">
        <v>1101389.8719841631</v>
      </c>
      <c r="Z150" s="49">
        <f t="shared" si="56"/>
        <v>0</v>
      </c>
    </row>
    <row r="151" spans="1:26" ht="14.25" customHeight="1" x14ac:dyDescent="0.35">
      <c r="A151" s="83">
        <v>18.149999999999999</v>
      </c>
      <c r="B151" s="38" t="s">
        <v>3027</v>
      </c>
      <c r="C151" s="15" t="s">
        <v>282</v>
      </c>
      <c r="D151" s="20" t="s">
        <v>53</v>
      </c>
      <c r="E151" s="74">
        <v>3</v>
      </c>
      <c r="F151" s="75">
        <f>IF(Q151&lt;&gt;"",IFERROR(VLOOKUP(Q151,PARTIDAS!A:P,13,FALSE()),0),0)</f>
        <v>12087.904386250002</v>
      </c>
      <c r="G151" s="47">
        <f>IF(Q151&lt;&gt;"",IFERROR(VLOOKUP(Q151,PARTIDAS!A:P,14,FALSE()),0),0)</f>
        <v>24807.3</v>
      </c>
      <c r="H151" s="47">
        <f>IF(Q151&lt;&gt;"",IFERROR(VLOOKUP(Q151,PARTIDAS!A:P,15,FALSE()),0),0)</f>
        <v>1083.7567166521553</v>
      </c>
      <c r="I151" s="76">
        <f t="shared" si="57"/>
        <v>37978.961102902154</v>
      </c>
      <c r="J151" s="77">
        <f t="shared" si="58"/>
        <v>36263.713158750004</v>
      </c>
      <c r="K151" s="42">
        <f t="shared" si="59"/>
        <v>74421.899999999994</v>
      </c>
      <c r="L151" s="42">
        <f t="shared" si="60"/>
        <v>3251.270149956466</v>
      </c>
      <c r="M151" s="76">
        <f t="shared" si="61"/>
        <v>113936.88330870646</v>
      </c>
      <c r="N151" s="78">
        <f t="shared" si="62"/>
        <v>151843.6843855131</v>
      </c>
      <c r="O151" s="79"/>
      <c r="P151" s="80"/>
      <c r="Q151" s="44" t="s">
        <v>278</v>
      </c>
      <c r="R151" s="254">
        <v>2</v>
      </c>
      <c r="S151" s="250" t="s">
        <v>97</v>
      </c>
      <c r="T151" s="257" t="str">
        <f>+_xlfn.XLOOKUP(A151,Sheet1!C:C,Sheet1!A:A,"-",0)</f>
        <v>-</v>
      </c>
      <c r="X151" s="82"/>
      <c r="Y151" s="49">
        <v>113936.8833087065</v>
      </c>
      <c r="Z151" s="49">
        <f t="shared" si="56"/>
        <v>0</v>
      </c>
    </row>
    <row r="152" spans="1:26" ht="14.25" customHeight="1" x14ac:dyDescent="0.35">
      <c r="A152" s="83">
        <v>18.16</v>
      </c>
      <c r="B152" s="38" t="s">
        <v>3027</v>
      </c>
      <c r="C152" s="15" t="s">
        <v>283</v>
      </c>
      <c r="D152" s="20" t="s">
        <v>53</v>
      </c>
      <c r="E152" s="74">
        <v>1</v>
      </c>
      <c r="F152" s="75">
        <f>IF(Q152&lt;&gt;"",IFERROR(VLOOKUP(Q152,PARTIDAS!A:P,13,FALSE()),0),0)</f>
        <v>1310987.0203363637</v>
      </c>
      <c r="G152" s="47">
        <f>IF(Q152&lt;&gt;"",IFERROR(VLOOKUP(Q152,PARTIDAS!A:P,14,FALSE()),0),0)</f>
        <v>349202.7</v>
      </c>
      <c r="H152" s="47">
        <f>IF(Q152&lt;&gt;"",IFERROR(VLOOKUP(Q152,PARTIDAS!A:P,15,FALSE()),0),0)</f>
        <v>24902.845805454501</v>
      </c>
      <c r="I152" s="76">
        <f t="shared" si="57"/>
        <v>1685092.5661418182</v>
      </c>
      <c r="J152" s="77">
        <f t="shared" si="58"/>
        <v>1310987.0203363637</v>
      </c>
      <c r="K152" s="42">
        <f t="shared" si="59"/>
        <v>349202.7</v>
      </c>
      <c r="L152" s="42">
        <f t="shared" si="60"/>
        <v>24902.845805454501</v>
      </c>
      <c r="M152" s="76">
        <f t="shared" si="61"/>
        <v>1685092.5661418182</v>
      </c>
      <c r="N152" s="78">
        <f t="shared" si="62"/>
        <v>2245722.862897201</v>
      </c>
      <c r="O152" s="79"/>
      <c r="P152" s="80"/>
      <c r="Q152" s="44" t="s">
        <v>284</v>
      </c>
      <c r="R152" s="254">
        <v>2</v>
      </c>
      <c r="S152" s="250" t="s">
        <v>26</v>
      </c>
      <c r="T152" s="257" t="str">
        <f>+_xlfn.XLOOKUP(A152,Sheet1!C:C,Sheet1!A:A,"-",0)</f>
        <v>-</v>
      </c>
      <c r="Y152" s="49">
        <v>1685092.566169091</v>
      </c>
      <c r="Z152" s="49">
        <f t="shared" si="56"/>
        <v>-2.7272850275039673E-5</v>
      </c>
    </row>
    <row r="153" spans="1:26" ht="14.25" customHeight="1" x14ac:dyDescent="0.35">
      <c r="A153" s="83">
        <v>18.170000000000002</v>
      </c>
      <c r="B153" s="38" t="s">
        <v>3027</v>
      </c>
      <c r="C153" s="15" t="s">
        <v>285</v>
      </c>
      <c r="D153" s="20" t="s">
        <v>53</v>
      </c>
      <c r="E153" s="74">
        <v>1</v>
      </c>
      <c r="F153" s="75">
        <f>IF(Q153&lt;&gt;"",IFERROR(VLOOKUP(Q153,PARTIDAS!A:P,13,FALSE()),0),0)</f>
        <v>592217.14204132231</v>
      </c>
      <c r="G153" s="47">
        <f>IF(Q153&lt;&gt;"",IFERROR(VLOOKUP(Q153,PARTIDAS!A:P,14,FALSE()),0),0)</f>
        <v>232812.45</v>
      </c>
      <c r="H153" s="47">
        <f>IF(Q153&lt;&gt;"",IFERROR(VLOOKUP(Q153,PARTIDAS!A:P,15,FALSE()),0),0)</f>
        <v>12375.4438807438</v>
      </c>
      <c r="I153" s="76">
        <f t="shared" si="57"/>
        <v>837405.03592206608</v>
      </c>
      <c r="J153" s="77">
        <f t="shared" si="58"/>
        <v>592217.14204132231</v>
      </c>
      <c r="K153" s="42">
        <f t="shared" si="59"/>
        <v>232812.45</v>
      </c>
      <c r="L153" s="42">
        <f t="shared" si="60"/>
        <v>12375.4438807438</v>
      </c>
      <c r="M153" s="76">
        <f t="shared" si="61"/>
        <v>837405.03592206608</v>
      </c>
      <c r="N153" s="78">
        <f t="shared" si="62"/>
        <v>1116009.6913733375</v>
      </c>
      <c r="O153" s="79"/>
      <c r="P153" s="80"/>
      <c r="Q153" s="44" t="s">
        <v>286</v>
      </c>
      <c r="R153" s="254">
        <v>2</v>
      </c>
      <c r="S153" s="250" t="s">
        <v>26</v>
      </c>
      <c r="T153" s="257" t="str">
        <f>+_xlfn.XLOOKUP(A153,Sheet1!C:C,Sheet1!A:A,"-",0)</f>
        <v>-</v>
      </c>
      <c r="Y153" s="49">
        <v>837405.03593033063</v>
      </c>
      <c r="Z153" s="49">
        <f t="shared" si="56"/>
        <v>-8.2645565271377563E-6</v>
      </c>
    </row>
    <row r="154" spans="1:26" ht="14.25" customHeight="1" x14ac:dyDescent="0.35">
      <c r="A154" s="83">
        <v>18.18</v>
      </c>
      <c r="B154" s="38" t="s">
        <v>3027</v>
      </c>
      <c r="C154" s="15" t="s">
        <v>287</v>
      </c>
      <c r="D154" s="20" t="s">
        <v>53</v>
      </c>
      <c r="E154" s="74">
        <v>2</v>
      </c>
      <c r="F154" s="75">
        <f>IF(Q154&lt;&gt;"",IFERROR(VLOOKUP(Q154,PARTIDAS!A:P,13,FALSE()),0),0)</f>
        <v>159726.77404132232</v>
      </c>
      <c r="G154" s="47">
        <f>IF(Q154&lt;&gt;"",IFERROR(VLOOKUP(Q154,PARTIDAS!A:P,14,FALSE()),0),0)</f>
        <v>232812.45</v>
      </c>
      <c r="H154" s="47">
        <f>IF(Q154&lt;&gt;"",IFERROR(VLOOKUP(Q154,PARTIDAS!A:P,15,FALSE()),0),0)</f>
        <v>5888.0883607438</v>
      </c>
      <c r="I154" s="76">
        <f t="shared" si="57"/>
        <v>398427.31240206613</v>
      </c>
      <c r="J154" s="77">
        <f t="shared" si="58"/>
        <v>319453.54808264464</v>
      </c>
      <c r="K154" s="42">
        <f t="shared" si="59"/>
        <v>465624.9</v>
      </c>
      <c r="L154" s="42">
        <f t="shared" si="60"/>
        <v>11776.1767214876</v>
      </c>
      <c r="M154" s="76">
        <f t="shared" si="61"/>
        <v>796854.62480413227</v>
      </c>
      <c r="N154" s="78">
        <f t="shared" si="62"/>
        <v>1061968.158476467</v>
      </c>
      <c r="O154" s="79"/>
      <c r="P154" s="80"/>
      <c r="Q154" s="44" t="s">
        <v>288</v>
      </c>
      <c r="R154" s="254">
        <v>2</v>
      </c>
      <c r="S154" s="250" t="s">
        <v>26</v>
      </c>
      <c r="T154" s="257" t="str">
        <f>+_xlfn.XLOOKUP(A154,Sheet1!C:C,Sheet1!A:A,"-",0)</f>
        <v>-</v>
      </c>
      <c r="Y154" s="49">
        <v>796854.62482066127</v>
      </c>
      <c r="Z154" s="49">
        <f t="shared" si="56"/>
        <v>-1.6528996638953686E-5</v>
      </c>
    </row>
    <row r="155" spans="1:26" ht="14.25" customHeight="1" x14ac:dyDescent="0.35">
      <c r="A155" s="83">
        <v>18.190000000000001</v>
      </c>
      <c r="B155" s="38" t="s">
        <v>3027</v>
      </c>
      <c r="C155" s="15" t="s">
        <v>289</v>
      </c>
      <c r="D155" s="20" t="s">
        <v>53</v>
      </c>
      <c r="E155" s="74">
        <v>9</v>
      </c>
      <c r="F155" s="75">
        <f>IF(Q155&lt;&gt;"",IFERROR(VLOOKUP(Q155,PARTIDAS!A:P,13,FALSE()),0),0)</f>
        <v>207344.83200000002</v>
      </c>
      <c r="G155" s="47">
        <f>IF(Q155&lt;&gt;"",IFERROR(VLOOKUP(Q155,PARTIDAS!A:P,14,FALSE()),0),0)</f>
        <v>232812.45</v>
      </c>
      <c r="H155" s="47">
        <f>IF(Q155&lt;&gt;"",IFERROR(VLOOKUP(Q155,PARTIDAS!A:P,15,FALSE()),0),0)</f>
        <v>6602.35923</v>
      </c>
      <c r="I155" s="76">
        <f t="shared" si="57"/>
        <v>446759.64123000001</v>
      </c>
      <c r="J155" s="77">
        <f t="shared" si="58"/>
        <v>1866103.4880000001</v>
      </c>
      <c r="K155" s="42">
        <f t="shared" si="59"/>
        <v>2095312.05</v>
      </c>
      <c r="L155" s="42">
        <f t="shared" si="60"/>
        <v>59421.233070000002</v>
      </c>
      <c r="M155" s="76">
        <f t="shared" si="61"/>
        <v>4020836.7710700002</v>
      </c>
      <c r="N155" s="78">
        <f t="shared" si="62"/>
        <v>5358569.1648049895</v>
      </c>
      <c r="O155" s="79"/>
      <c r="P155" s="80"/>
      <c r="Q155" s="44" t="s">
        <v>290</v>
      </c>
      <c r="R155" s="254">
        <v>2</v>
      </c>
      <c r="S155" s="250" t="s">
        <v>26</v>
      </c>
      <c r="T155" s="257" t="str">
        <f>+_xlfn.XLOOKUP(A155,Sheet1!C:C,Sheet1!A:A,"-",0)</f>
        <v>-</v>
      </c>
      <c r="Y155" s="49">
        <v>4020836.7710699998</v>
      </c>
      <c r="Z155" s="49">
        <f t="shared" si="56"/>
        <v>0</v>
      </c>
    </row>
    <row r="156" spans="1:26" ht="14.25" customHeight="1" x14ac:dyDescent="0.35">
      <c r="A156" s="83">
        <v>18.2</v>
      </c>
      <c r="B156" s="38" t="s">
        <v>3027</v>
      </c>
      <c r="C156" s="15" t="s">
        <v>291</v>
      </c>
      <c r="D156" s="20" t="s">
        <v>24</v>
      </c>
      <c r="E156" s="74">
        <v>1</v>
      </c>
      <c r="F156" s="75">
        <f>IF(Q156&lt;&gt;"",IFERROR(VLOOKUP(Q156,PARTIDAS!A:P,13,FALSE()),0),0)</f>
        <v>3200954.2587677687</v>
      </c>
      <c r="G156" s="47">
        <f>IF(Q156&lt;&gt;"",IFERROR(VLOOKUP(Q156,PARTIDAS!A:P,14,FALSE()),0),0)</f>
        <v>1514201.6879314398</v>
      </c>
      <c r="H156" s="47">
        <f>IF(Q156&lt;&gt;"",IFERROR(VLOOKUP(Q156,PARTIDAS!A:P,15,FALSE()),0),0)</f>
        <v>70727.339200190603</v>
      </c>
      <c r="I156" s="76">
        <f t="shared" si="57"/>
        <v>4785883.2858993988</v>
      </c>
      <c r="J156" s="77">
        <f t="shared" si="58"/>
        <v>3200954.2587677687</v>
      </c>
      <c r="K156" s="42">
        <f t="shared" si="59"/>
        <v>1514201.6879314398</v>
      </c>
      <c r="L156" s="42">
        <f t="shared" si="60"/>
        <v>70727.339200190603</v>
      </c>
      <c r="M156" s="76">
        <f t="shared" si="61"/>
        <v>4785883.2858993988</v>
      </c>
      <c r="N156" s="78">
        <f t="shared" si="62"/>
        <v>6378146.6551181292</v>
      </c>
      <c r="O156" s="79"/>
      <c r="P156" s="80"/>
      <c r="Q156" s="44" t="s">
        <v>292</v>
      </c>
      <c r="R156" s="254">
        <v>2</v>
      </c>
      <c r="S156" s="250" t="s">
        <v>26</v>
      </c>
      <c r="T156" s="257" t="str">
        <f>+_xlfn.XLOOKUP(A156,Sheet1!C:C,Sheet1!A:A,"-",0)</f>
        <v>Eléctrico</v>
      </c>
      <c r="Y156" s="49">
        <v>4785883.2858795635</v>
      </c>
      <c r="Z156" s="49">
        <f t="shared" si="56"/>
        <v>1.9835308194160461E-5</v>
      </c>
    </row>
    <row r="157" spans="1:26" ht="14.25" customHeight="1" x14ac:dyDescent="0.35">
      <c r="A157" s="83">
        <v>18.21</v>
      </c>
      <c r="B157" s="38" t="s">
        <v>3027</v>
      </c>
      <c r="C157" s="15" t="s">
        <v>293</v>
      </c>
      <c r="D157" s="20" t="s">
        <v>24</v>
      </c>
      <c r="E157" s="74">
        <v>1</v>
      </c>
      <c r="F157" s="75">
        <f>IF(Q157&lt;&gt;"",IFERROR(VLOOKUP(Q157,PARTIDAS!A:P,13,FALSE()),0),0)</f>
        <v>496467.83559999999</v>
      </c>
      <c r="G157" s="47">
        <f>IF(Q157&lt;&gt;"",IFERROR(VLOOKUP(Q157,PARTIDAS!A:P,14,FALSE()),0),0)</f>
        <v>757100.84396571992</v>
      </c>
      <c r="H157" s="47">
        <f>IF(Q157&lt;&gt;"",IFERROR(VLOOKUP(Q157,PARTIDAS!A:P,15,FALSE()),0),0)</f>
        <v>18803.5301934858</v>
      </c>
      <c r="I157" s="76">
        <f t="shared" si="57"/>
        <v>1272372.2097592056</v>
      </c>
      <c r="J157" s="77">
        <f t="shared" si="58"/>
        <v>496467.83559999999</v>
      </c>
      <c r="K157" s="42">
        <f t="shared" si="59"/>
        <v>757100.84396571992</v>
      </c>
      <c r="L157" s="42">
        <f t="shared" si="60"/>
        <v>18803.5301934858</v>
      </c>
      <c r="M157" s="76">
        <f t="shared" si="61"/>
        <v>1272372.2097592056</v>
      </c>
      <c r="N157" s="78">
        <f t="shared" si="62"/>
        <v>1695690.4439460933</v>
      </c>
      <c r="O157" s="79"/>
      <c r="P157" s="80"/>
      <c r="Q157" s="44" t="s">
        <v>294</v>
      </c>
      <c r="R157" s="254">
        <v>2</v>
      </c>
      <c r="S157" s="250" t="s">
        <v>26</v>
      </c>
      <c r="T157" s="257" t="str">
        <f>+_xlfn.XLOOKUP(A157,Sheet1!C:C,Sheet1!A:A,"-",0)</f>
        <v>Eléctrico</v>
      </c>
      <c r="Y157" s="49">
        <v>1272372.209759206</v>
      </c>
      <c r="Z157" s="49">
        <f t="shared" si="56"/>
        <v>0</v>
      </c>
    </row>
    <row r="158" spans="1:26" ht="14.25" customHeight="1" x14ac:dyDescent="0.35">
      <c r="A158" s="83">
        <v>18.22</v>
      </c>
      <c r="B158" s="38" t="s">
        <v>3027</v>
      </c>
      <c r="C158" s="15" t="s">
        <v>295</v>
      </c>
      <c r="D158" s="20" t="s">
        <v>24</v>
      </c>
      <c r="E158" s="74">
        <v>1</v>
      </c>
      <c r="F158" s="75">
        <f>IF(Q158&lt;&gt;"",IFERROR(VLOOKUP(Q158,PARTIDAS!A:P,13,FALSE()),0),0)</f>
        <v>496467.83559999999</v>
      </c>
      <c r="G158" s="47">
        <f>IF(Q158&lt;&gt;"",IFERROR(VLOOKUP(Q158,PARTIDAS!A:P,14,FALSE()),0),0)</f>
        <v>757100.84396571992</v>
      </c>
      <c r="H158" s="47">
        <f>IF(Q158&lt;&gt;"",IFERROR(VLOOKUP(Q158,PARTIDAS!A:P,15,FALSE()),0),0)</f>
        <v>18803.5301934858</v>
      </c>
      <c r="I158" s="76">
        <f t="shared" si="57"/>
        <v>1272372.2097592056</v>
      </c>
      <c r="J158" s="77">
        <f t="shared" si="58"/>
        <v>496467.83559999999</v>
      </c>
      <c r="K158" s="42">
        <f t="shared" si="59"/>
        <v>757100.84396571992</v>
      </c>
      <c r="L158" s="42">
        <f t="shared" si="60"/>
        <v>18803.5301934858</v>
      </c>
      <c r="M158" s="76">
        <f t="shared" si="61"/>
        <v>1272372.2097592056</v>
      </c>
      <c r="N158" s="78">
        <f t="shared" si="62"/>
        <v>1695690.4439460933</v>
      </c>
      <c r="O158" s="79"/>
      <c r="P158" s="80"/>
      <c r="Q158" s="44" t="s">
        <v>296</v>
      </c>
      <c r="R158" s="254">
        <v>2</v>
      </c>
      <c r="S158" s="250" t="s">
        <v>26</v>
      </c>
      <c r="T158" s="257" t="str">
        <f>+_xlfn.XLOOKUP(A158,Sheet1!C:C,Sheet1!A:A,"-",0)</f>
        <v>Eléctrico</v>
      </c>
      <c r="Y158" s="49">
        <v>1272372.209759206</v>
      </c>
      <c r="Z158" s="49">
        <f t="shared" si="56"/>
        <v>0</v>
      </c>
    </row>
    <row r="159" spans="1:26" ht="14.25" customHeight="1" x14ac:dyDescent="0.35">
      <c r="A159" s="83">
        <v>18.23</v>
      </c>
      <c r="B159" s="38" t="s">
        <v>3027</v>
      </c>
      <c r="C159" s="15" t="s">
        <v>297</v>
      </c>
      <c r="D159" s="20" t="s">
        <v>53</v>
      </c>
      <c r="E159" s="74">
        <v>16</v>
      </c>
      <c r="F159" s="75">
        <f>IFERROR(VLOOKUP(Q159,PARTIDAS!A:M,13,FALSE()),0)</f>
        <v>0</v>
      </c>
      <c r="G159" s="47">
        <f>IFERROR(VLOOKUP(Q159,PARTIDAS!A:N,14,FALSE()),0)</f>
        <v>11816</v>
      </c>
      <c r="H159" s="47">
        <f>IFERROR(VLOOKUP(Q159,PARTIDAS!A:O,15,FALSE()),0)</f>
        <v>177.24</v>
      </c>
      <c r="I159" s="76">
        <f t="shared" si="57"/>
        <v>11993.24</v>
      </c>
      <c r="J159" s="77">
        <f t="shared" si="58"/>
        <v>0</v>
      </c>
      <c r="K159" s="42">
        <f t="shared" si="59"/>
        <v>189056</v>
      </c>
      <c r="L159" s="42">
        <f t="shared" si="60"/>
        <v>2835.84</v>
      </c>
      <c r="M159" s="76">
        <f t="shared" si="61"/>
        <v>191891.84</v>
      </c>
      <c r="N159" s="78">
        <f t="shared" si="62"/>
        <v>255734.255168</v>
      </c>
      <c r="O159" s="79"/>
      <c r="P159" s="80"/>
      <c r="Q159" s="44" t="s">
        <v>298</v>
      </c>
      <c r="R159" s="254"/>
      <c r="S159" s="250" t="s">
        <v>26</v>
      </c>
      <c r="T159" s="257" t="str">
        <f>+_xlfn.XLOOKUP(A159,Sheet1!C:C,Sheet1!A:A,"-",0)</f>
        <v>-</v>
      </c>
      <c r="Y159" s="49">
        <v>191891.84</v>
      </c>
      <c r="Z159" s="49">
        <f t="shared" si="56"/>
        <v>0</v>
      </c>
    </row>
    <row r="160" spans="1:26" ht="14.25" customHeight="1" x14ac:dyDescent="0.35">
      <c r="A160" s="83">
        <v>18.239999999999998</v>
      </c>
      <c r="B160" s="38" t="s">
        <v>3027</v>
      </c>
      <c r="C160" s="15" t="s">
        <v>299</v>
      </c>
      <c r="D160" s="20" t="s">
        <v>53</v>
      </c>
      <c r="E160" s="74">
        <v>140</v>
      </c>
      <c r="F160" s="75">
        <f>IFERROR(VLOOKUP(Q160,PARTIDAS!A:M,13,FALSE()),0)</f>
        <v>0</v>
      </c>
      <c r="G160" s="47">
        <f>IFERROR(VLOOKUP(Q160,PARTIDAS!A:N,14,FALSE()),0)</f>
        <v>7700</v>
      </c>
      <c r="H160" s="47">
        <f>IFERROR(VLOOKUP(Q160,PARTIDAS!A:O,15,FALSE()),0)</f>
        <v>115.5</v>
      </c>
      <c r="I160" s="76">
        <f t="shared" si="57"/>
        <v>7815.5</v>
      </c>
      <c r="J160" s="77">
        <f t="shared" si="58"/>
        <v>0</v>
      </c>
      <c r="K160" s="42">
        <f t="shared" si="59"/>
        <v>1078000</v>
      </c>
      <c r="L160" s="42">
        <f t="shared" si="60"/>
        <v>16170</v>
      </c>
      <c r="M160" s="76">
        <f t="shared" si="61"/>
        <v>1094170</v>
      </c>
      <c r="N160" s="78">
        <f t="shared" si="62"/>
        <v>1458200.3589999999</v>
      </c>
      <c r="O160" s="79"/>
      <c r="P160" s="80"/>
      <c r="Q160" s="44" t="s">
        <v>300</v>
      </c>
      <c r="R160" s="254"/>
      <c r="S160" s="250" t="s">
        <v>26</v>
      </c>
      <c r="T160" s="257" t="str">
        <f>+_xlfn.XLOOKUP(A160,Sheet1!C:C,Sheet1!A:A,"-",0)</f>
        <v>-</v>
      </c>
      <c r="Y160" s="49">
        <v>1094170</v>
      </c>
      <c r="Z160" s="49">
        <f t="shared" si="56"/>
        <v>0</v>
      </c>
    </row>
    <row r="161" spans="1:26" ht="14.25" customHeight="1" x14ac:dyDescent="0.35">
      <c r="A161" s="83">
        <v>18.25</v>
      </c>
      <c r="B161" s="38" t="s">
        <v>3027</v>
      </c>
      <c r="C161" s="15" t="s">
        <v>301</v>
      </c>
      <c r="D161" s="20" t="s">
        <v>53</v>
      </c>
      <c r="E161" s="74">
        <v>226</v>
      </c>
      <c r="F161" s="75">
        <f>IFERROR(VLOOKUP(Q161,PARTIDAS!A:M,13,FALSE()),0)</f>
        <v>0</v>
      </c>
      <c r="G161" s="47">
        <f>IFERROR(VLOOKUP(Q161,PARTIDAS!A:N,14,FALSE()),0)</f>
        <v>7700</v>
      </c>
      <c r="H161" s="47">
        <f>IFERROR(VLOOKUP(Q161,PARTIDAS!A:O,15,FALSE()),0)</f>
        <v>115.5</v>
      </c>
      <c r="I161" s="76">
        <f t="shared" si="57"/>
        <v>7815.5</v>
      </c>
      <c r="J161" s="77">
        <f t="shared" si="58"/>
        <v>0</v>
      </c>
      <c r="K161" s="42">
        <f t="shared" si="59"/>
        <v>1740200</v>
      </c>
      <c r="L161" s="42">
        <f t="shared" si="60"/>
        <v>26103</v>
      </c>
      <c r="M161" s="76">
        <f t="shared" si="61"/>
        <v>1766303</v>
      </c>
      <c r="N161" s="78">
        <f t="shared" si="62"/>
        <v>2353952.0081000002</v>
      </c>
      <c r="O161" s="79"/>
      <c r="P161" s="80"/>
      <c r="Q161" s="44" t="s">
        <v>302</v>
      </c>
      <c r="R161" s="254"/>
      <c r="S161" s="250" t="s">
        <v>26</v>
      </c>
      <c r="T161" s="257" t="str">
        <f>+_xlfn.XLOOKUP(A161,Sheet1!C:C,Sheet1!A:A,"-",0)</f>
        <v>-</v>
      </c>
      <c r="Y161" s="49">
        <v>1766303</v>
      </c>
      <c r="Z161" s="49">
        <f t="shared" si="56"/>
        <v>0</v>
      </c>
    </row>
    <row r="162" spans="1:26" ht="14.25" customHeight="1" x14ac:dyDescent="0.35">
      <c r="A162" s="83">
        <v>18.260000000000002</v>
      </c>
      <c r="B162" s="38" t="s">
        <v>3027</v>
      </c>
      <c r="C162" s="15" t="s">
        <v>303</v>
      </c>
      <c r="D162" s="20" t="s">
        <v>53</v>
      </c>
      <c r="E162" s="74">
        <v>8</v>
      </c>
      <c r="F162" s="75">
        <f>IFERROR(VLOOKUP(Q162,PARTIDAS!A:M,13,FALSE()),0)</f>
        <v>0</v>
      </c>
      <c r="G162" s="47">
        <f>IFERROR(VLOOKUP(Q162,PARTIDAS!A:N,14,FALSE()),0)</f>
        <v>18760</v>
      </c>
      <c r="H162" s="47">
        <f>IFERROR(VLOOKUP(Q162,PARTIDAS!A:O,15,FALSE()),0)</f>
        <v>281.39999999999998</v>
      </c>
      <c r="I162" s="76">
        <f t="shared" si="57"/>
        <v>19041.400000000001</v>
      </c>
      <c r="J162" s="77">
        <f t="shared" si="58"/>
        <v>0</v>
      </c>
      <c r="K162" s="42">
        <f t="shared" si="59"/>
        <v>150080</v>
      </c>
      <c r="L162" s="42">
        <f t="shared" si="60"/>
        <v>2251.1999999999998</v>
      </c>
      <c r="M162" s="76">
        <f t="shared" si="61"/>
        <v>152331.20000000001</v>
      </c>
      <c r="N162" s="78">
        <f t="shared" si="62"/>
        <v>203011.79024</v>
      </c>
      <c r="O162" s="79"/>
      <c r="P162" s="80"/>
      <c r="Q162" s="44" t="s">
        <v>304</v>
      </c>
      <c r="R162" s="254"/>
      <c r="S162" s="250" t="s">
        <v>26</v>
      </c>
      <c r="T162" s="257" t="str">
        <f>+_xlfn.XLOOKUP(A162,Sheet1!C:C,Sheet1!A:A,"-",0)</f>
        <v>-</v>
      </c>
      <c r="Y162" s="49">
        <v>152331.20000000001</v>
      </c>
      <c r="Z162" s="49">
        <f t="shared" si="56"/>
        <v>0</v>
      </c>
    </row>
    <row r="163" spans="1:26" ht="14.25" customHeight="1" x14ac:dyDescent="0.35">
      <c r="A163" s="83">
        <v>18.27</v>
      </c>
      <c r="B163" s="38" t="s">
        <v>3027</v>
      </c>
      <c r="C163" s="15" t="s">
        <v>305</v>
      </c>
      <c r="D163" s="20" t="s">
        <v>53</v>
      </c>
      <c r="E163" s="74">
        <v>24</v>
      </c>
      <c r="F163" s="75">
        <f>IFERROR(VLOOKUP(Q163,PARTIDAS!A:M,13,FALSE()),0)</f>
        <v>0</v>
      </c>
      <c r="G163" s="47">
        <f>IFERROR(VLOOKUP(Q163,PARTIDAS!A:N,14,FALSE()),0)</f>
        <v>68810</v>
      </c>
      <c r="H163" s="47">
        <f>IFERROR(VLOOKUP(Q163,PARTIDAS!A:O,15,FALSE()),0)</f>
        <v>1032.1500000000001</v>
      </c>
      <c r="I163" s="76">
        <f t="shared" si="57"/>
        <v>69842.149999999994</v>
      </c>
      <c r="J163" s="77">
        <f t="shared" si="58"/>
        <v>0</v>
      </c>
      <c r="K163" s="42">
        <f t="shared" si="59"/>
        <v>1651440</v>
      </c>
      <c r="L163" s="42">
        <f t="shared" si="60"/>
        <v>24771.600000000002</v>
      </c>
      <c r="M163" s="76">
        <f t="shared" si="61"/>
        <v>1676211.5999999999</v>
      </c>
      <c r="N163" s="78">
        <f t="shared" si="62"/>
        <v>2233887.1993199997</v>
      </c>
      <c r="O163" s="79"/>
      <c r="P163" s="80"/>
      <c r="Q163" s="44" t="s">
        <v>306</v>
      </c>
      <c r="R163" s="254"/>
      <c r="S163" s="250" t="s">
        <v>26</v>
      </c>
      <c r="T163" s="257" t="str">
        <f>+_xlfn.XLOOKUP(A163,Sheet1!C:C,Sheet1!A:A,"-",0)</f>
        <v>-</v>
      </c>
      <c r="Y163" s="49">
        <v>1676211.6</v>
      </c>
      <c r="Z163" s="49">
        <f t="shared" si="56"/>
        <v>0</v>
      </c>
    </row>
    <row r="164" spans="1:26" ht="14.25" customHeight="1" x14ac:dyDescent="0.35">
      <c r="A164" s="83">
        <v>18.28</v>
      </c>
      <c r="B164" s="38" t="s">
        <v>3027</v>
      </c>
      <c r="C164" s="15" t="s">
        <v>307</v>
      </c>
      <c r="D164" s="20" t="s">
        <v>53</v>
      </c>
      <c r="E164" s="74">
        <v>12</v>
      </c>
      <c r="F164" s="75">
        <f>IFERROR(VLOOKUP(Q164,PARTIDAS!A:M,13,FALSE()),0)</f>
        <v>0</v>
      </c>
      <c r="G164" s="47">
        <f>IFERROR(VLOOKUP(Q164,PARTIDAS!A:N,14,FALSE()),0)</f>
        <v>18760</v>
      </c>
      <c r="H164" s="47">
        <f>IFERROR(VLOOKUP(Q164,PARTIDAS!A:O,15,FALSE()),0)</f>
        <v>281.39999999999998</v>
      </c>
      <c r="I164" s="76">
        <f t="shared" si="57"/>
        <v>19041.400000000001</v>
      </c>
      <c r="J164" s="77">
        <f t="shared" si="58"/>
        <v>0</v>
      </c>
      <c r="K164" s="42">
        <f t="shared" si="59"/>
        <v>225120</v>
      </c>
      <c r="L164" s="42">
        <f t="shared" si="60"/>
        <v>3376.7999999999997</v>
      </c>
      <c r="M164" s="76">
        <f t="shared" si="61"/>
        <v>228496.80000000002</v>
      </c>
      <c r="N164" s="78">
        <f t="shared" si="62"/>
        <v>304517.68536</v>
      </c>
      <c r="O164" s="79"/>
      <c r="P164" s="80"/>
      <c r="Q164" s="44" t="s">
        <v>308</v>
      </c>
      <c r="R164" s="254"/>
      <c r="S164" s="250" t="s">
        <v>26</v>
      </c>
      <c r="T164" s="257" t="str">
        <f>+_xlfn.XLOOKUP(A164,Sheet1!C:C,Sheet1!A:A,"-",0)</f>
        <v>-</v>
      </c>
      <c r="Y164" s="49">
        <v>228496.8</v>
      </c>
      <c r="Z164" s="49">
        <f t="shared" si="56"/>
        <v>0</v>
      </c>
    </row>
    <row r="165" spans="1:26" ht="14.25" customHeight="1" x14ac:dyDescent="0.35">
      <c r="A165" s="83">
        <v>18.29</v>
      </c>
      <c r="B165" s="38" t="s">
        <v>3027</v>
      </c>
      <c r="C165" s="15" t="s">
        <v>309</v>
      </c>
      <c r="D165" s="20" t="s">
        <v>53</v>
      </c>
      <c r="E165" s="74">
        <v>1</v>
      </c>
      <c r="F165" s="75">
        <f>IFERROR(VLOOKUP(Q165,PARTIDAS!A:M,13,FALSE()),0)</f>
        <v>0</v>
      </c>
      <c r="G165" s="47">
        <f>IFERROR(VLOOKUP(Q165,PARTIDAS!A:N,14,FALSE()),0)</f>
        <v>18760</v>
      </c>
      <c r="H165" s="47">
        <f>IFERROR(VLOOKUP(Q165,PARTIDAS!A:O,15,FALSE()),0)</f>
        <v>281.39999999999998</v>
      </c>
      <c r="I165" s="76">
        <f t="shared" si="57"/>
        <v>19041.400000000001</v>
      </c>
      <c r="J165" s="77">
        <f t="shared" si="58"/>
        <v>0</v>
      </c>
      <c r="K165" s="42">
        <f t="shared" si="59"/>
        <v>18760</v>
      </c>
      <c r="L165" s="42">
        <f t="shared" si="60"/>
        <v>281.39999999999998</v>
      </c>
      <c r="M165" s="76">
        <f t="shared" si="61"/>
        <v>19041.400000000001</v>
      </c>
      <c r="N165" s="78">
        <f t="shared" si="62"/>
        <v>25376.47378</v>
      </c>
      <c r="O165" s="79"/>
      <c r="P165" s="80"/>
      <c r="Q165" s="44" t="s">
        <v>310</v>
      </c>
      <c r="R165" s="254"/>
      <c r="S165" s="250" t="s">
        <v>26</v>
      </c>
      <c r="T165" s="257" t="str">
        <f>+_xlfn.XLOOKUP(A165,Sheet1!C:C,Sheet1!A:A,"-",0)</f>
        <v>-</v>
      </c>
      <c r="Y165" s="49">
        <v>19041.400000000001</v>
      </c>
      <c r="Z165" s="49">
        <f t="shared" si="56"/>
        <v>0</v>
      </c>
    </row>
    <row r="166" spans="1:26" ht="14.25" customHeight="1" x14ac:dyDescent="0.35">
      <c r="A166" s="83">
        <v>18.3</v>
      </c>
      <c r="B166" s="38" t="s">
        <v>3027</v>
      </c>
      <c r="C166" s="15" t="s">
        <v>311</v>
      </c>
      <c r="D166" s="20" t="s">
        <v>53</v>
      </c>
      <c r="E166" s="74">
        <v>109</v>
      </c>
      <c r="F166" s="75">
        <f>IFERROR(VLOOKUP(Q166,PARTIDAS!A:M,13,FALSE()),0)</f>
        <v>0</v>
      </c>
      <c r="G166" s="47">
        <f>IFERROR(VLOOKUP(Q166,PARTIDAS!A:N,14,FALSE()),0)</f>
        <v>11816</v>
      </c>
      <c r="H166" s="47">
        <f>IFERROR(VLOOKUP(Q166,PARTIDAS!A:O,15,FALSE()),0)</f>
        <v>177.24</v>
      </c>
      <c r="I166" s="76">
        <f t="shared" si="57"/>
        <v>11993.24</v>
      </c>
      <c r="J166" s="77">
        <f t="shared" si="58"/>
        <v>0</v>
      </c>
      <c r="K166" s="42">
        <f t="shared" si="59"/>
        <v>1287944</v>
      </c>
      <c r="L166" s="42">
        <f t="shared" si="60"/>
        <v>19319.16</v>
      </c>
      <c r="M166" s="76">
        <f t="shared" si="61"/>
        <v>1307263.1599999999</v>
      </c>
      <c r="N166" s="78">
        <f t="shared" si="62"/>
        <v>1742189.6133319999</v>
      </c>
      <c r="O166" s="79"/>
      <c r="P166" s="80"/>
      <c r="Q166" s="44" t="s">
        <v>312</v>
      </c>
      <c r="R166" s="254"/>
      <c r="S166" s="250" t="s">
        <v>26</v>
      </c>
      <c r="T166" s="257" t="str">
        <f>+_xlfn.XLOOKUP(A166,Sheet1!C:C,Sheet1!A:A,"-",0)</f>
        <v>-</v>
      </c>
      <c r="Y166" s="49">
        <v>1307263.1599999999</v>
      </c>
      <c r="Z166" s="49">
        <f t="shared" si="56"/>
        <v>0</v>
      </c>
    </row>
    <row r="167" spans="1:26" ht="14.25" customHeight="1" x14ac:dyDescent="0.35">
      <c r="A167" s="83">
        <v>18.309999999999999</v>
      </c>
      <c r="B167" s="38" t="s">
        <v>3027</v>
      </c>
      <c r="C167" s="15" t="s">
        <v>313</v>
      </c>
      <c r="D167" s="20" t="s">
        <v>24</v>
      </c>
      <c r="E167" s="74">
        <v>1</v>
      </c>
      <c r="F167" s="75">
        <f>IF(Q167&lt;&gt;"",IFERROR(VLOOKUP(Q167,PARTIDAS!A:P,13,FALSE()),0),0)</f>
        <v>3075822.2460000003</v>
      </c>
      <c r="G167" s="47">
        <f>IF(Q167&lt;&gt;"",IFERROR(VLOOKUP(Q167,PARTIDAS!A:P,14,FALSE()),0),0)</f>
        <v>1002579.2</v>
      </c>
      <c r="H167" s="47">
        <f>IF(Q167&lt;&gt;"",IFERROR(VLOOKUP(Q167,PARTIDAS!A:P,15,FALSE()),0),0)</f>
        <v>61176.021690000001</v>
      </c>
      <c r="I167" s="76">
        <f t="shared" si="57"/>
        <v>4139577.4676900003</v>
      </c>
      <c r="J167" s="77">
        <f t="shared" si="58"/>
        <v>3075822.2460000003</v>
      </c>
      <c r="K167" s="42">
        <f t="shared" si="59"/>
        <v>1002579.2</v>
      </c>
      <c r="L167" s="42">
        <f t="shared" si="60"/>
        <v>61176.021690000001</v>
      </c>
      <c r="M167" s="76">
        <f t="shared" si="61"/>
        <v>4139577.4676900003</v>
      </c>
      <c r="N167" s="78">
        <f t="shared" si="62"/>
        <v>5516814.8911904637</v>
      </c>
      <c r="O167" s="79"/>
      <c r="P167" s="80"/>
      <c r="Q167" s="44" t="s">
        <v>314</v>
      </c>
      <c r="R167" s="254">
        <v>2</v>
      </c>
      <c r="S167" s="250" t="s">
        <v>26</v>
      </c>
      <c r="T167" s="257" t="str">
        <f>+_xlfn.XLOOKUP(A167,Sheet1!C:C,Sheet1!A:A,"-",0)</f>
        <v>-</v>
      </c>
      <c r="Y167" s="49">
        <v>4139577.4676899998</v>
      </c>
      <c r="Z167" s="49">
        <f t="shared" si="56"/>
        <v>0</v>
      </c>
    </row>
    <row r="168" spans="1:26" ht="14.25" customHeight="1" x14ac:dyDescent="0.35">
      <c r="A168" s="83">
        <v>18.32</v>
      </c>
      <c r="B168" s="38" t="s">
        <v>3027</v>
      </c>
      <c r="C168" s="15" t="s">
        <v>315</v>
      </c>
      <c r="D168" s="20" t="s">
        <v>24</v>
      </c>
      <c r="E168" s="74">
        <v>1</v>
      </c>
      <c r="F168" s="75">
        <f>IF(Q168&lt;&gt;"",IFERROR(VLOOKUP(Q168,PARTIDAS!A:P,13,FALSE()),0),0)</f>
        <v>570057.95260165283</v>
      </c>
      <c r="G168" s="81">
        <f>IF(Q168&lt;&gt;"",IFERROR(VLOOKUP(Q168,PARTIDAS!A:P,14,FALSE()),0),0)</f>
        <v>323263.5</v>
      </c>
      <c r="H168" s="47">
        <f>IF(Q168&lt;&gt;"",IFERROR(VLOOKUP(Q168,PARTIDAS!A:P,15,FALSE()),0),0)</f>
        <v>10618.1041956769</v>
      </c>
      <c r="I168" s="76">
        <f t="shared" si="57"/>
        <v>903939.55679732969</v>
      </c>
      <c r="J168" s="77">
        <f t="shared" si="58"/>
        <v>570057.95260165283</v>
      </c>
      <c r="K168" s="42">
        <f t="shared" si="59"/>
        <v>323263.5</v>
      </c>
      <c r="L168" s="42">
        <f t="shared" si="60"/>
        <v>10618.1041956769</v>
      </c>
      <c r="M168" s="76">
        <f t="shared" si="61"/>
        <v>903939.55679732969</v>
      </c>
      <c r="N168" s="78">
        <f t="shared" si="62"/>
        <v>1204680.2473438012</v>
      </c>
      <c r="O168" s="79"/>
      <c r="P168" s="80"/>
      <c r="Q168" s="44" t="s">
        <v>316</v>
      </c>
      <c r="R168" s="254">
        <v>2</v>
      </c>
      <c r="S168" s="250" t="s">
        <v>26</v>
      </c>
      <c r="T168" s="257" t="str">
        <f>+_xlfn.XLOOKUP(A168,Sheet1!C:C,Sheet1!A:A,"-",0)</f>
        <v>Eléctrico</v>
      </c>
      <c r="X168" t="s">
        <v>317</v>
      </c>
      <c r="Y168" s="49">
        <v>718491.71724080422</v>
      </c>
      <c r="Z168" s="49">
        <f t="shared" si="56"/>
        <v>185447.83955652546</v>
      </c>
    </row>
    <row r="169" spans="1:26" ht="14.25" customHeight="1" x14ac:dyDescent="0.35">
      <c r="A169" s="83">
        <v>18.329999999999998</v>
      </c>
      <c r="B169" s="38" t="s">
        <v>3027</v>
      </c>
      <c r="C169" s="15" t="s">
        <v>318</v>
      </c>
      <c r="D169" s="20" t="s">
        <v>24</v>
      </c>
      <c r="E169" s="74">
        <v>1</v>
      </c>
      <c r="F169" s="75">
        <f>IF(Q169&lt;&gt;"",IFERROR(VLOOKUP(Q169,PARTIDAS!A:P,13,FALSE()),0),0)</f>
        <v>0</v>
      </c>
      <c r="G169" s="47">
        <f>IF(Q169&lt;&gt;"",IFERROR(VLOOKUP(Q169,PARTIDAS!A:P,14,FALSE()),0),0)</f>
        <v>107023.598877166</v>
      </c>
      <c r="H169" s="47">
        <f>IF(Q169&lt;&gt;"",IFERROR(VLOOKUP(Q169,PARTIDAS!A:P,15,FALSE()),0),0)</f>
        <v>0</v>
      </c>
      <c r="I169" s="76">
        <f t="shared" si="57"/>
        <v>107023.598877166</v>
      </c>
      <c r="J169" s="77">
        <f t="shared" si="58"/>
        <v>0</v>
      </c>
      <c r="K169" s="42">
        <f t="shared" si="59"/>
        <v>107023.598877166</v>
      </c>
      <c r="L169" s="42">
        <f t="shared" si="60"/>
        <v>0</v>
      </c>
      <c r="M169" s="76">
        <f t="shared" si="61"/>
        <v>107023.598877166</v>
      </c>
      <c r="N169" s="78">
        <f t="shared" si="62"/>
        <v>142630.35022359915</v>
      </c>
      <c r="O169" s="79"/>
      <c r="P169" s="80"/>
      <c r="Q169" s="44" t="s">
        <v>319</v>
      </c>
      <c r="R169" s="254">
        <v>2</v>
      </c>
      <c r="S169" s="250" t="s">
        <v>26</v>
      </c>
      <c r="T169" s="257" t="str">
        <f>+_xlfn.XLOOKUP(A169,Sheet1!C:C,Sheet1!A:A,"-",0)</f>
        <v>-</v>
      </c>
      <c r="Y169" s="49">
        <v>107023.5988771658</v>
      </c>
      <c r="Z169" s="49">
        <f t="shared" si="56"/>
        <v>2.0372681319713593E-10</v>
      </c>
    </row>
    <row r="170" spans="1:26" ht="14.25" customHeight="1" x14ac:dyDescent="0.35">
      <c r="A170" s="61">
        <v>19</v>
      </c>
      <c r="B170" s="62"/>
      <c r="C170" s="63" t="s">
        <v>3028</v>
      </c>
      <c r="D170" s="64"/>
      <c r="E170" s="65"/>
      <c r="F170" s="66"/>
      <c r="G170" s="67"/>
      <c r="H170" s="67"/>
      <c r="I170" s="68"/>
      <c r="J170" s="66"/>
      <c r="K170" s="67"/>
      <c r="L170" s="67"/>
      <c r="M170" s="68"/>
      <c r="N170" s="69"/>
      <c r="O170" s="70">
        <f>+SUM(M171:M189)</f>
        <v>108925280.62527399</v>
      </c>
      <c r="P170" s="71">
        <f>+SUM(N171:N189)</f>
        <v>145164721.48930266</v>
      </c>
      <c r="Q170" s="67"/>
      <c r="R170" s="253"/>
      <c r="S170" s="251"/>
      <c r="T170" s="258"/>
      <c r="Y170" s="49">
        <v>0</v>
      </c>
      <c r="Z170" s="49">
        <f t="shared" si="56"/>
        <v>0</v>
      </c>
    </row>
    <row r="171" spans="1:26" ht="14.25" customHeight="1" x14ac:dyDescent="0.35">
      <c r="A171" s="245">
        <v>19.010000000000002</v>
      </c>
      <c r="B171" s="38" t="s">
        <v>3028</v>
      </c>
      <c r="C171" s="15" t="s">
        <v>320</v>
      </c>
      <c r="D171" s="20" t="s">
        <v>24</v>
      </c>
      <c r="E171" s="74">
        <v>1</v>
      </c>
      <c r="F171" s="75">
        <f>IF(Q171&lt;&gt;"",IFERROR(VLOOKUP(Q171,PARTIDAS!A:P,13,FALSE()),0),0)</f>
        <v>2201631.50655</v>
      </c>
      <c r="G171" s="47">
        <f>IF(Q171&lt;&gt;"",IFERROR(VLOOKUP(Q171,PARTIDAS!A:P,14,FALSE()),0),0)</f>
        <v>2820732.3578660199</v>
      </c>
      <c r="H171" s="47">
        <f>IF(Q171&lt;&gt;"",IFERROR(VLOOKUP(Q171,PARTIDAS!A:P,15,FALSE()),0),0)</f>
        <v>75335.457966240298</v>
      </c>
      <c r="I171" s="76">
        <f t="shared" ref="I171:I189" si="63">F171+G171+H171</f>
        <v>5097699.3223822601</v>
      </c>
      <c r="J171" s="77">
        <f t="shared" ref="J171:J189" si="64">F171*E171</f>
        <v>2201631.50655</v>
      </c>
      <c r="K171" s="42">
        <f t="shared" ref="K171:K189" si="65">G171*E171</f>
        <v>2820732.3578660199</v>
      </c>
      <c r="L171" s="42">
        <f t="shared" ref="L171:L189" si="66">H171*E171</f>
        <v>75335.457966240298</v>
      </c>
      <c r="M171" s="76">
        <f t="shared" ref="M171:M189" si="67">I171*E171</f>
        <v>5097699.3223822601</v>
      </c>
      <c r="N171" s="78">
        <f t="shared" ref="N171:N189" si="68">M171*$N$2</f>
        <v>6793703.8869388383</v>
      </c>
      <c r="O171" s="79"/>
      <c r="P171" s="80"/>
      <c r="Q171" s="44" t="s">
        <v>321</v>
      </c>
      <c r="R171" s="254">
        <v>2</v>
      </c>
      <c r="S171" s="250" t="s">
        <v>26</v>
      </c>
      <c r="T171" s="257" t="str">
        <f>+_xlfn.XLOOKUP(A171,Sheet1!C:C,Sheet1!A:A,"-",0)</f>
        <v>-</v>
      </c>
      <c r="Y171" s="49">
        <v>5097699.322382262</v>
      </c>
      <c r="Z171" s="49">
        <f t="shared" si="56"/>
        <v>0</v>
      </c>
    </row>
    <row r="172" spans="1:26" ht="14.25" customHeight="1" x14ac:dyDescent="0.35">
      <c r="A172" s="83">
        <v>19.02</v>
      </c>
      <c r="B172" s="38" t="s">
        <v>3028</v>
      </c>
      <c r="C172" s="15" t="s">
        <v>322</v>
      </c>
      <c r="D172" s="20" t="s">
        <v>24</v>
      </c>
      <c r="E172" s="74">
        <v>1</v>
      </c>
      <c r="F172" s="75">
        <f>IF(Q172&lt;&gt;"",IFERROR(VLOOKUP(Q172,PARTIDAS!A:P,13,FALSE()),0),0)</f>
        <v>2830669.0798499999</v>
      </c>
      <c r="G172" s="47">
        <f>IF(Q172&lt;&gt;"",IFERROR(VLOOKUP(Q172,PARTIDAS!A:P,14,FALSE()),0),0)</f>
        <v>4231098.5367990304</v>
      </c>
      <c r="H172" s="47">
        <f>IF(Q172&lt;&gt;"",IFERROR(VLOOKUP(Q172,PARTIDAS!A:P,15,FALSE()),0),0)</f>
        <v>105926.51424973601</v>
      </c>
      <c r="I172" s="76">
        <f t="shared" si="63"/>
        <v>7167694.1308987662</v>
      </c>
      <c r="J172" s="77">
        <f t="shared" si="64"/>
        <v>2830669.0798499999</v>
      </c>
      <c r="K172" s="42">
        <f t="shared" si="65"/>
        <v>4231098.5367990304</v>
      </c>
      <c r="L172" s="42">
        <f t="shared" si="66"/>
        <v>105926.51424973601</v>
      </c>
      <c r="M172" s="76">
        <f t="shared" si="67"/>
        <v>7167694.1308987662</v>
      </c>
      <c r="N172" s="78">
        <f t="shared" si="68"/>
        <v>9552385.9682487864</v>
      </c>
      <c r="O172" s="79"/>
      <c r="P172" s="80"/>
      <c r="Q172" s="44" t="s">
        <v>323</v>
      </c>
      <c r="R172" s="254">
        <v>2</v>
      </c>
      <c r="S172" s="250" t="s">
        <v>26</v>
      </c>
      <c r="T172" s="257" t="str">
        <f>+_xlfn.XLOOKUP(A172,Sheet1!C:C,Sheet1!A:A,"-",0)</f>
        <v>-</v>
      </c>
      <c r="Y172" s="49">
        <v>7167694.1308987681</v>
      </c>
      <c r="Z172" s="49">
        <f t="shared" si="56"/>
        <v>0</v>
      </c>
    </row>
    <row r="173" spans="1:26" ht="14.25" customHeight="1" x14ac:dyDescent="0.35">
      <c r="A173" s="83">
        <v>19.03</v>
      </c>
      <c r="B173" s="38" t="s">
        <v>3028</v>
      </c>
      <c r="C173" s="15" t="s">
        <v>324</v>
      </c>
      <c r="D173" s="20" t="s">
        <v>24</v>
      </c>
      <c r="E173" s="74">
        <v>1</v>
      </c>
      <c r="F173" s="75">
        <f>IF(Q173&lt;&gt;"",IFERROR(VLOOKUP(Q173,PARTIDAS!A:P,13,FALSE()),0),0)</f>
        <v>1258075.1466000001</v>
      </c>
      <c r="G173" s="47">
        <f>IF(Q173&lt;&gt;"",IFERROR(VLOOKUP(Q173,PARTIDAS!A:P,14,FALSE()),0),0)</f>
        <v>2350610.2982216901</v>
      </c>
      <c r="H173" s="47">
        <f>IF(Q173&lt;&gt;"",IFERROR(VLOOKUP(Q173,PARTIDAS!A:P,15,FALSE()),0),0)</f>
        <v>54130.281672325298</v>
      </c>
      <c r="I173" s="76">
        <f t="shared" si="63"/>
        <v>3662815.7264940157</v>
      </c>
      <c r="J173" s="77">
        <f t="shared" si="64"/>
        <v>1258075.1466000001</v>
      </c>
      <c r="K173" s="42">
        <f t="shared" si="65"/>
        <v>2350610.2982216901</v>
      </c>
      <c r="L173" s="42">
        <f t="shared" si="66"/>
        <v>54130.281672325298</v>
      </c>
      <c r="M173" s="76">
        <f t="shared" si="67"/>
        <v>3662815.7264940157</v>
      </c>
      <c r="N173" s="78">
        <f t="shared" si="68"/>
        <v>4881434.518698575</v>
      </c>
      <c r="O173" s="79"/>
      <c r="P173" s="80"/>
      <c r="Q173" s="44" t="s">
        <v>325</v>
      </c>
      <c r="R173" s="254">
        <v>2</v>
      </c>
      <c r="S173" s="250" t="s">
        <v>26</v>
      </c>
      <c r="T173" s="257" t="str">
        <f>+_xlfn.XLOOKUP(A173,Sheet1!C:C,Sheet1!A:A,"-",0)</f>
        <v>-</v>
      </c>
      <c r="Y173" s="49">
        <v>3662815.7264940101</v>
      </c>
      <c r="Z173" s="49">
        <f t="shared" si="56"/>
        <v>5.5879354476928711E-9</v>
      </c>
    </row>
    <row r="174" spans="1:26" ht="14.25" customHeight="1" x14ac:dyDescent="0.35">
      <c r="A174" s="83">
        <v>19.04</v>
      </c>
      <c r="B174" s="38" t="s">
        <v>3028</v>
      </c>
      <c r="C174" s="15" t="s">
        <v>326</v>
      </c>
      <c r="D174" s="20" t="s">
        <v>24</v>
      </c>
      <c r="E174" s="74">
        <v>1</v>
      </c>
      <c r="F174" s="75">
        <f>IF(Q174&lt;&gt;"",IFERROR(VLOOKUP(Q174,PARTIDAS!A:P,13,FALSE()),0),0)</f>
        <v>733877.16885000002</v>
      </c>
      <c r="G174" s="47">
        <f>IF(Q174&lt;&gt;"",IFERROR(VLOOKUP(Q174,PARTIDAS!A:P,14,FALSE()),0),0)</f>
        <v>1096951.47250345</v>
      </c>
      <c r="H174" s="47">
        <f>IF(Q174&lt;&gt;"",IFERROR(VLOOKUP(Q174,PARTIDAS!A:P,15,FALSE()),0),0)</f>
        <v>27462.429620301798</v>
      </c>
      <c r="I174" s="76">
        <f t="shared" si="63"/>
        <v>1858291.0709737518</v>
      </c>
      <c r="J174" s="77">
        <f t="shared" si="64"/>
        <v>733877.16885000002</v>
      </c>
      <c r="K174" s="42">
        <f t="shared" si="65"/>
        <v>1096951.47250345</v>
      </c>
      <c r="L174" s="42">
        <f t="shared" si="66"/>
        <v>27462.429620301798</v>
      </c>
      <c r="M174" s="76">
        <f t="shared" si="67"/>
        <v>1858291.0709737518</v>
      </c>
      <c r="N174" s="78">
        <f t="shared" si="68"/>
        <v>2476544.5102867191</v>
      </c>
      <c r="O174" s="79"/>
      <c r="P174" s="80"/>
      <c r="Q174" s="44" t="s">
        <v>327</v>
      </c>
      <c r="R174" s="254">
        <v>2</v>
      </c>
      <c r="S174" s="250" t="s">
        <v>26</v>
      </c>
      <c r="T174" s="257" t="str">
        <f>+_xlfn.XLOOKUP(A174,Sheet1!C:C,Sheet1!A:A,"-",0)</f>
        <v>-</v>
      </c>
      <c r="Y174" s="49">
        <v>1858291.0709737539</v>
      </c>
      <c r="Z174" s="49">
        <f t="shared" si="56"/>
        <v>-2.0954757928848267E-9</v>
      </c>
    </row>
    <row r="175" spans="1:26" ht="14.25" customHeight="1" x14ac:dyDescent="0.35">
      <c r="A175" s="83">
        <v>19.05</v>
      </c>
      <c r="B175" s="38" t="s">
        <v>3028</v>
      </c>
      <c r="C175" s="15" t="s">
        <v>328</v>
      </c>
      <c r="D175" s="20" t="s">
        <v>24</v>
      </c>
      <c r="E175" s="74">
        <v>1</v>
      </c>
      <c r="F175" s="75">
        <f>IF(Q175&lt;&gt;"",IFERROR(VLOOKUP(Q175,PARTIDAS!A:P,13,FALSE()),0),0)</f>
        <v>1048395.9555</v>
      </c>
      <c r="G175" s="47">
        <f>IF(Q175&lt;&gt;"",IFERROR(VLOOKUP(Q175,PARTIDAS!A:P,14,FALSE()),0),0)</f>
        <v>1567073.5321477901</v>
      </c>
      <c r="H175" s="47">
        <f>IF(Q175&lt;&gt;"",IFERROR(VLOOKUP(Q175,PARTIDAS!A:P,15,FALSE()),0),0)</f>
        <v>39232.042314716797</v>
      </c>
      <c r="I175" s="76">
        <f t="shared" si="63"/>
        <v>2654701.5299625066</v>
      </c>
      <c r="J175" s="77">
        <f t="shared" si="64"/>
        <v>1048395.9555</v>
      </c>
      <c r="K175" s="42">
        <f t="shared" si="65"/>
        <v>1567073.5321477901</v>
      </c>
      <c r="L175" s="42">
        <f t="shared" si="66"/>
        <v>39232.042314716797</v>
      </c>
      <c r="M175" s="76">
        <f t="shared" si="67"/>
        <v>2654701.5299625066</v>
      </c>
      <c r="N175" s="78">
        <f t="shared" si="68"/>
        <v>3537920.7289810325</v>
      </c>
      <c r="O175" s="79"/>
      <c r="P175" s="80"/>
      <c r="Q175" s="44" t="s">
        <v>329</v>
      </c>
      <c r="R175" s="254">
        <v>2</v>
      </c>
      <c r="S175" s="250" t="s">
        <v>26</v>
      </c>
      <c r="T175" s="257" t="str">
        <f>+_xlfn.XLOOKUP(A175,Sheet1!C:C,Sheet1!A:A,"-",0)</f>
        <v>-</v>
      </c>
      <c r="Y175" s="49">
        <v>2654701.5299625061</v>
      </c>
      <c r="Z175" s="49">
        <f t="shared" si="56"/>
        <v>0</v>
      </c>
    </row>
    <row r="176" spans="1:26" ht="14.25" customHeight="1" x14ac:dyDescent="0.35">
      <c r="A176" s="83">
        <v>19.059999999999999</v>
      </c>
      <c r="B176" s="38" t="s">
        <v>3028</v>
      </c>
      <c r="C176" s="15" t="s">
        <v>330</v>
      </c>
      <c r="D176" s="20" t="s">
        <v>24</v>
      </c>
      <c r="E176" s="74">
        <v>1</v>
      </c>
      <c r="F176" s="75">
        <f>IF(Q176&lt;&gt;"",IFERROR(VLOOKUP(Q176,PARTIDAS!A:P,13,FALSE()),0),0)</f>
        <v>314518.78665000002</v>
      </c>
      <c r="G176" s="47">
        <f>IF(Q176&lt;&gt;"",IFERROR(VLOOKUP(Q176,PARTIDAS!A:P,14,FALSE()),0),0)</f>
        <v>470122.05964433699</v>
      </c>
      <c r="H176" s="47">
        <f>IF(Q176&lt;&gt;"",IFERROR(VLOOKUP(Q176,PARTIDAS!A:P,15,FALSE()),0),0)</f>
        <v>11769.6126944151</v>
      </c>
      <c r="I176" s="76">
        <f t="shared" si="63"/>
        <v>796410.4589887521</v>
      </c>
      <c r="J176" s="77">
        <f t="shared" si="64"/>
        <v>314518.78665000002</v>
      </c>
      <c r="K176" s="42">
        <f t="shared" si="65"/>
        <v>470122.05964433699</v>
      </c>
      <c r="L176" s="42">
        <f t="shared" si="66"/>
        <v>11769.6126944151</v>
      </c>
      <c r="M176" s="76">
        <f t="shared" si="67"/>
        <v>796410.4589887521</v>
      </c>
      <c r="N176" s="78">
        <f t="shared" si="68"/>
        <v>1061376.2186943099</v>
      </c>
      <c r="O176" s="79"/>
      <c r="P176" s="80"/>
      <c r="Q176" s="44" t="s">
        <v>331</v>
      </c>
      <c r="R176" s="254">
        <v>2</v>
      </c>
      <c r="S176" s="250" t="s">
        <v>26</v>
      </c>
      <c r="T176" s="257" t="str">
        <f>+_xlfn.XLOOKUP(A176,Sheet1!C:C,Sheet1!A:A,"-",0)</f>
        <v>-</v>
      </c>
      <c r="Y176" s="49">
        <v>796410.45898875198</v>
      </c>
      <c r="Z176" s="49">
        <f t="shared" si="56"/>
        <v>0</v>
      </c>
    </row>
    <row r="177" spans="1:26" ht="14.25" customHeight="1" x14ac:dyDescent="0.35">
      <c r="A177" s="83">
        <v>19.07</v>
      </c>
      <c r="B177" s="38" t="s">
        <v>3028</v>
      </c>
      <c r="C177" s="15" t="s">
        <v>332</v>
      </c>
      <c r="D177" s="20" t="s">
        <v>24</v>
      </c>
      <c r="E177" s="74">
        <v>1</v>
      </c>
      <c r="F177" s="75">
        <f>IF(Q177&lt;&gt;"",IFERROR(VLOOKUP(Q177,PARTIDAS!A:P,13,FALSE()),0),0)</f>
        <v>892886.95565999998</v>
      </c>
      <c r="G177" s="47">
        <f>IF(Q177&lt;&gt;"",IFERROR(VLOOKUP(Q177,PARTIDAS!A:P,14,FALSE()),0),0)</f>
        <v>1519457.57657935</v>
      </c>
      <c r="H177" s="47">
        <f>IF(Q177&lt;&gt;"",IFERROR(VLOOKUP(Q177,PARTIDAS!A:P,15,FALSE()),0),0)</f>
        <v>36185.167983590203</v>
      </c>
      <c r="I177" s="76">
        <f t="shared" si="63"/>
        <v>2448529.7002229402</v>
      </c>
      <c r="J177" s="77">
        <f t="shared" si="64"/>
        <v>892886.95565999998</v>
      </c>
      <c r="K177" s="42">
        <f t="shared" si="65"/>
        <v>1519457.57657935</v>
      </c>
      <c r="L177" s="42">
        <f t="shared" si="66"/>
        <v>36185.167983590203</v>
      </c>
      <c r="M177" s="76">
        <f t="shared" si="67"/>
        <v>2448529.7002229402</v>
      </c>
      <c r="N177" s="78">
        <f t="shared" si="68"/>
        <v>3263155.5314871124</v>
      </c>
      <c r="O177" s="79"/>
      <c r="P177" s="80"/>
      <c r="Q177" s="44" t="s">
        <v>333</v>
      </c>
      <c r="R177" s="254">
        <v>2</v>
      </c>
      <c r="S177" s="250" t="s">
        <v>26</v>
      </c>
      <c r="T177" s="257" t="str">
        <f>+_xlfn.XLOOKUP(A177,Sheet1!C:C,Sheet1!A:A,"-",0)</f>
        <v>-</v>
      </c>
      <c r="Y177" s="49">
        <v>2448529.7002229379</v>
      </c>
      <c r="Z177" s="49">
        <f t="shared" si="56"/>
        <v>0</v>
      </c>
    </row>
    <row r="178" spans="1:26" ht="14.25" customHeight="1" x14ac:dyDescent="0.35">
      <c r="A178" s="83">
        <v>19.079999999999998</v>
      </c>
      <c r="B178" s="38" t="s">
        <v>3028</v>
      </c>
      <c r="C178" s="15" t="s">
        <v>334</v>
      </c>
      <c r="D178" s="20" t="s">
        <v>24</v>
      </c>
      <c r="E178" s="74">
        <v>1</v>
      </c>
      <c r="F178" s="75">
        <f>IF(Q178&lt;&gt;"",IFERROR(VLOOKUP(Q178,PARTIDAS!A:P,13,FALSE()),0),0)</f>
        <v>1190515.9408799999</v>
      </c>
      <c r="G178" s="47">
        <f>IF(Q178&lt;&gt;"",IFERROR(VLOOKUP(Q178,PARTIDAS!A:P,14,FALSE()),0),0)</f>
        <v>1519457.57657935</v>
      </c>
      <c r="H178" s="47">
        <f>IF(Q178&lt;&gt;"",IFERROR(VLOOKUP(Q178,PARTIDAS!A:P,15,FALSE()),0),0)</f>
        <v>40649.602761890201</v>
      </c>
      <c r="I178" s="76">
        <f t="shared" si="63"/>
        <v>2750623.12022124</v>
      </c>
      <c r="J178" s="77">
        <f t="shared" si="64"/>
        <v>1190515.9408799999</v>
      </c>
      <c r="K178" s="42">
        <f t="shared" si="65"/>
        <v>1519457.57657935</v>
      </c>
      <c r="L178" s="42">
        <f t="shared" si="66"/>
        <v>40649.602761890201</v>
      </c>
      <c r="M178" s="76">
        <f t="shared" si="67"/>
        <v>2750623.12022124</v>
      </c>
      <c r="N178" s="78">
        <f t="shared" si="68"/>
        <v>3665755.4323188467</v>
      </c>
      <c r="O178" s="79"/>
      <c r="P178" s="80"/>
      <c r="Q178" s="44" t="s">
        <v>335</v>
      </c>
      <c r="R178" s="254">
        <v>2</v>
      </c>
      <c r="S178" s="250" t="s">
        <v>26</v>
      </c>
      <c r="T178" s="257" t="str">
        <f>+_xlfn.XLOOKUP(A178,Sheet1!C:C,Sheet1!A:A,"-",0)</f>
        <v>-</v>
      </c>
      <c r="Y178" s="49">
        <v>2750623.1202212381</v>
      </c>
      <c r="Z178" s="49">
        <f t="shared" si="56"/>
        <v>0</v>
      </c>
    </row>
    <row r="179" spans="1:26" ht="14.25" customHeight="1" x14ac:dyDescent="0.35">
      <c r="A179" s="83">
        <v>19.09</v>
      </c>
      <c r="B179" s="38" t="s">
        <v>3028</v>
      </c>
      <c r="C179" s="15" t="s">
        <v>336</v>
      </c>
      <c r="D179" s="20" t="s">
        <v>24</v>
      </c>
      <c r="E179" s="74">
        <v>1</v>
      </c>
      <c r="F179" s="75">
        <f>IF(Q179&lt;&gt;"",IFERROR(VLOOKUP(Q179,PARTIDAS!A:P,13,FALSE()),0),0)</f>
        <v>892886.95565999998</v>
      </c>
      <c r="G179" s="47">
        <f>IF(Q179&lt;&gt;"",IFERROR(VLOOKUP(Q179,PARTIDAS!A:P,14,FALSE()),0),0)</f>
        <v>1519457.57657935</v>
      </c>
      <c r="H179" s="47">
        <f>IF(Q179&lt;&gt;"",IFERROR(VLOOKUP(Q179,PARTIDAS!A:P,15,FALSE()),0),0)</f>
        <v>36185.167983590203</v>
      </c>
      <c r="I179" s="76">
        <f t="shared" si="63"/>
        <v>2448529.7002229402</v>
      </c>
      <c r="J179" s="77">
        <f t="shared" si="64"/>
        <v>892886.95565999998</v>
      </c>
      <c r="K179" s="42">
        <f t="shared" si="65"/>
        <v>1519457.57657935</v>
      </c>
      <c r="L179" s="42">
        <f t="shared" si="66"/>
        <v>36185.167983590203</v>
      </c>
      <c r="M179" s="76">
        <f t="shared" si="67"/>
        <v>2448529.7002229402</v>
      </c>
      <c r="N179" s="78">
        <f t="shared" si="68"/>
        <v>3263155.5314871124</v>
      </c>
      <c r="O179" s="79"/>
      <c r="P179" s="80"/>
      <c r="Q179" s="44" t="s">
        <v>337</v>
      </c>
      <c r="R179" s="254">
        <v>2</v>
      </c>
      <c r="S179" s="250" t="s">
        <v>26</v>
      </c>
      <c r="T179" s="257" t="str">
        <f>+_xlfn.XLOOKUP(A179,Sheet1!C:C,Sheet1!A:A,"-",0)</f>
        <v>-</v>
      </c>
      <c r="Y179" s="49">
        <v>2448529.7002229379</v>
      </c>
      <c r="Z179" s="49">
        <f t="shared" si="56"/>
        <v>0</v>
      </c>
    </row>
    <row r="180" spans="1:26" ht="14.25" customHeight="1" x14ac:dyDescent="0.35">
      <c r="A180" s="83">
        <v>19.100000000000001</v>
      </c>
      <c r="B180" s="38" t="s">
        <v>3028</v>
      </c>
      <c r="C180" s="15" t="s">
        <v>338</v>
      </c>
      <c r="D180" s="20" t="s">
        <v>24</v>
      </c>
      <c r="E180" s="74">
        <v>1</v>
      </c>
      <c r="F180" s="75">
        <f>IF(Q180&lt;&gt;"",IFERROR(VLOOKUP(Q180,PARTIDAS!A:P,13,FALSE()),0),0)</f>
        <v>2976289.8522000001</v>
      </c>
      <c r="G180" s="47">
        <f>IF(Q180&lt;&gt;"",IFERROR(VLOOKUP(Q180,PARTIDAS!A:P,14,FALSE()),0),0)</f>
        <v>10636203.036055399</v>
      </c>
      <c r="H180" s="47">
        <f>IF(Q180&lt;&gt;"",IFERROR(VLOOKUP(Q180,PARTIDAS!A:P,15,FALSE()),0),0)</f>
        <v>204187.39332383199</v>
      </c>
      <c r="I180" s="76">
        <f t="shared" si="63"/>
        <v>13816680.28157923</v>
      </c>
      <c r="J180" s="77">
        <f t="shared" si="64"/>
        <v>2976289.8522000001</v>
      </c>
      <c r="K180" s="42">
        <f t="shared" si="65"/>
        <v>10636203.036055399</v>
      </c>
      <c r="L180" s="42">
        <f t="shared" si="66"/>
        <v>204187.39332383199</v>
      </c>
      <c r="M180" s="76">
        <f t="shared" si="67"/>
        <v>13816680.28157923</v>
      </c>
      <c r="N180" s="78">
        <f t="shared" si="68"/>
        <v>18413489.811260641</v>
      </c>
      <c r="O180" s="79"/>
      <c r="P180" s="80"/>
      <c r="Q180" s="44" t="s">
        <v>339</v>
      </c>
      <c r="R180" s="254">
        <v>2</v>
      </c>
      <c r="S180" s="250" t="s">
        <v>26</v>
      </c>
      <c r="T180" s="257" t="str">
        <f>+_xlfn.XLOOKUP(A180,Sheet1!C:C,Sheet1!A:A,"-",0)</f>
        <v>-</v>
      </c>
      <c r="Y180" s="49">
        <v>13816680.281579269</v>
      </c>
      <c r="Z180" s="49">
        <f t="shared" si="56"/>
        <v>-3.9115548133850098E-8</v>
      </c>
    </row>
    <row r="181" spans="1:26" ht="14.25" customHeight="1" x14ac:dyDescent="0.35">
      <c r="A181" s="83">
        <v>19.11</v>
      </c>
      <c r="B181" s="38" t="s">
        <v>3028</v>
      </c>
      <c r="C181" s="15" t="s">
        <v>340</v>
      </c>
      <c r="D181" s="20" t="s">
        <v>24</v>
      </c>
      <c r="E181" s="74">
        <v>1</v>
      </c>
      <c r="F181" s="75">
        <f>IF(Q181&lt;&gt;"",IFERROR(VLOOKUP(Q181,PARTIDAS!A:P,13,FALSE()),0),0)</f>
        <v>2023467.36</v>
      </c>
      <c r="G181" s="47">
        <f>IF(Q181&lt;&gt;"",IFERROR(VLOOKUP(Q181,PARTIDAS!A:P,14,FALSE()),0),0)</f>
        <v>2577248.88227659</v>
      </c>
      <c r="H181" s="47">
        <f>IF(Q181&lt;&gt;"",IFERROR(VLOOKUP(Q181,PARTIDAS!A:P,15,FALSE()),0),0)</f>
        <v>69010.743634148894</v>
      </c>
      <c r="I181" s="76">
        <f t="shared" si="63"/>
        <v>4669726.9859107388</v>
      </c>
      <c r="J181" s="77">
        <f t="shared" si="64"/>
        <v>2023467.36</v>
      </c>
      <c r="K181" s="42">
        <f t="shared" si="65"/>
        <v>2577248.88227659</v>
      </c>
      <c r="L181" s="42">
        <f t="shared" si="66"/>
        <v>69010.743634148894</v>
      </c>
      <c r="M181" s="76">
        <f t="shared" si="67"/>
        <v>4669726.9859107388</v>
      </c>
      <c r="N181" s="78">
        <f t="shared" si="68"/>
        <v>6223345.154123242</v>
      </c>
      <c r="O181" s="79"/>
      <c r="P181" s="80"/>
      <c r="Q181" s="44" t="s">
        <v>341</v>
      </c>
      <c r="R181" s="254">
        <v>2</v>
      </c>
      <c r="S181" s="250" t="s">
        <v>26</v>
      </c>
      <c r="T181" s="257" t="str">
        <f>+_xlfn.XLOOKUP(A181,Sheet1!C:C,Sheet1!A:A,"-",0)</f>
        <v>-</v>
      </c>
      <c r="Y181" s="49">
        <v>4669726.9859107388</v>
      </c>
      <c r="Z181" s="49">
        <f t="shared" si="56"/>
        <v>0</v>
      </c>
    </row>
    <row r="182" spans="1:26" ht="14.25" customHeight="1" x14ac:dyDescent="0.35">
      <c r="A182" s="83">
        <v>19.12</v>
      </c>
      <c r="B182" s="38" t="s">
        <v>3028</v>
      </c>
      <c r="C182" s="15" t="s">
        <v>342</v>
      </c>
      <c r="D182" s="20" t="s">
        <v>24</v>
      </c>
      <c r="E182" s="74">
        <v>1</v>
      </c>
      <c r="F182" s="75">
        <f>IF(Q182&lt;&gt;"",IFERROR(VLOOKUP(Q182,PARTIDAS!A:P,13,FALSE()),0),0)</f>
        <v>450000</v>
      </c>
      <c r="G182" s="47">
        <f>IF(Q182&lt;&gt;"",IFERROR(VLOOKUP(Q182,PARTIDAS!A:P,14,FALSE()),0),0)</f>
        <v>1500000</v>
      </c>
      <c r="H182" s="47">
        <f>IF(Q182&lt;&gt;"",IFERROR(VLOOKUP(Q182,PARTIDAS!A:P,15,FALSE()),0),0)</f>
        <v>29250</v>
      </c>
      <c r="I182" s="76">
        <f t="shared" si="63"/>
        <v>1979250</v>
      </c>
      <c r="J182" s="77">
        <f t="shared" si="64"/>
        <v>450000</v>
      </c>
      <c r="K182" s="42">
        <f t="shared" si="65"/>
        <v>1500000</v>
      </c>
      <c r="L182" s="42">
        <f t="shared" si="66"/>
        <v>29250</v>
      </c>
      <c r="M182" s="76">
        <f t="shared" si="67"/>
        <v>1979250</v>
      </c>
      <c r="N182" s="78">
        <f t="shared" si="68"/>
        <v>2637746.4750000001</v>
      </c>
      <c r="O182" s="79"/>
      <c r="P182" s="80"/>
      <c r="Q182" s="44" t="s">
        <v>343</v>
      </c>
      <c r="R182" s="254"/>
      <c r="S182" s="250" t="s">
        <v>26</v>
      </c>
      <c r="T182" s="257" t="str">
        <f>+_xlfn.XLOOKUP(A182,Sheet1!C:C,Sheet1!A:A,"-",0)</f>
        <v>-</v>
      </c>
      <c r="Y182" s="49">
        <v>1979250</v>
      </c>
      <c r="Z182" s="49">
        <f t="shared" si="56"/>
        <v>0</v>
      </c>
    </row>
    <row r="183" spans="1:26" ht="14.25" customHeight="1" x14ac:dyDescent="0.35">
      <c r="A183" s="83">
        <v>19.13</v>
      </c>
      <c r="B183" s="38" t="s">
        <v>3028</v>
      </c>
      <c r="C183" s="15" t="s">
        <v>344</v>
      </c>
      <c r="D183" s="20" t="s">
        <v>24</v>
      </c>
      <c r="E183" s="74">
        <v>1</v>
      </c>
      <c r="F183" s="75">
        <f>IF(Q183&lt;&gt;"",IFERROR(VLOOKUP(Q183,PARTIDAS!A:P,13,FALSE()),0),0)</f>
        <v>6864779.6540000001</v>
      </c>
      <c r="G183" s="47">
        <f>IF(Q183&lt;&gt;"",IFERROR(VLOOKUP(Q183,PARTIDAS!A:P,14,FALSE()),0),0)</f>
        <v>19750412.0247702</v>
      </c>
      <c r="H183" s="47">
        <f>IF(Q183&lt;&gt;"",IFERROR(VLOOKUP(Q183,PARTIDAS!A:P,15,FALSE()),0),0)</f>
        <v>399227.87518155301</v>
      </c>
      <c r="I183" s="76">
        <f t="shared" si="63"/>
        <v>27014419.553951751</v>
      </c>
      <c r="J183" s="77">
        <f t="shared" si="64"/>
        <v>6864779.6540000001</v>
      </c>
      <c r="K183" s="42">
        <f t="shared" si="65"/>
        <v>19750412.0247702</v>
      </c>
      <c r="L183" s="42">
        <f t="shared" si="66"/>
        <v>399227.87518155301</v>
      </c>
      <c r="M183" s="76">
        <f t="shared" si="67"/>
        <v>27014419.553951751</v>
      </c>
      <c r="N183" s="78">
        <f t="shared" si="68"/>
        <v>36002116.939551502</v>
      </c>
      <c r="O183" s="79"/>
      <c r="P183" s="80"/>
      <c r="Q183" s="44" t="s">
        <v>345</v>
      </c>
      <c r="R183" s="254"/>
      <c r="S183" s="250" t="s">
        <v>26</v>
      </c>
      <c r="T183" s="257" t="str">
        <f>+_xlfn.XLOOKUP(A183,Sheet1!C:C,Sheet1!A:A,"-",0)</f>
        <v>-</v>
      </c>
      <c r="Y183" s="49">
        <v>27014419.55395174</v>
      </c>
      <c r="Z183" s="49">
        <f t="shared" si="56"/>
        <v>0</v>
      </c>
    </row>
    <row r="184" spans="1:26" ht="14.25" customHeight="1" x14ac:dyDescent="0.35">
      <c r="A184" s="83">
        <v>19.14</v>
      </c>
      <c r="B184" s="38" t="s">
        <v>3028</v>
      </c>
      <c r="C184" s="15" t="s">
        <v>346</v>
      </c>
      <c r="D184" s="20" t="s">
        <v>24</v>
      </c>
      <c r="E184" s="74">
        <v>1</v>
      </c>
      <c r="F184" s="75">
        <f>IF(Q184&lt;&gt;"",IFERROR(VLOOKUP(Q184,PARTIDAS!A:P,13,FALSE()),0),0)</f>
        <v>601141.68000000005</v>
      </c>
      <c r="G184" s="47">
        <f>IF(Q184&lt;&gt;"",IFERROR(VLOOKUP(Q184,PARTIDAS!A:P,14,FALSE()),0),0)</f>
        <v>2194490.2249744702</v>
      </c>
      <c r="H184" s="47">
        <f>IF(Q184&lt;&gt;"",IFERROR(VLOOKUP(Q184,PARTIDAS!A:P,15,FALSE()),0),0)</f>
        <v>41934.478574617002</v>
      </c>
      <c r="I184" s="76">
        <f t="shared" si="63"/>
        <v>2837566.3835490872</v>
      </c>
      <c r="J184" s="77">
        <f t="shared" si="64"/>
        <v>601141.68000000005</v>
      </c>
      <c r="K184" s="42">
        <f t="shared" si="65"/>
        <v>2194490.2249744702</v>
      </c>
      <c r="L184" s="42">
        <f t="shared" si="66"/>
        <v>41934.478574617002</v>
      </c>
      <c r="M184" s="76">
        <f t="shared" si="67"/>
        <v>2837566.3835490872</v>
      </c>
      <c r="N184" s="78">
        <f t="shared" si="68"/>
        <v>3781624.7193558686</v>
      </c>
      <c r="O184" s="79"/>
      <c r="P184" s="80"/>
      <c r="Q184" s="44" t="s">
        <v>347</v>
      </c>
      <c r="R184" s="254"/>
      <c r="S184" s="250" t="s">
        <v>26</v>
      </c>
      <c r="T184" s="257" t="str">
        <f>+_xlfn.XLOOKUP(A184,Sheet1!C:C,Sheet1!A:A,"-",0)</f>
        <v>-</v>
      </c>
      <c r="Y184" s="49">
        <v>2837566.3835490821</v>
      </c>
      <c r="Z184" s="49">
        <f t="shared" si="56"/>
        <v>5.1222741603851318E-9</v>
      </c>
    </row>
    <row r="185" spans="1:26" ht="14.25" customHeight="1" x14ac:dyDescent="0.35">
      <c r="A185" s="83">
        <v>19.149999999999999</v>
      </c>
      <c r="B185" s="38" t="s">
        <v>3028</v>
      </c>
      <c r="C185" s="15" t="s">
        <v>348</v>
      </c>
      <c r="D185" s="20" t="s">
        <v>24</v>
      </c>
      <c r="E185" s="74">
        <v>1</v>
      </c>
      <c r="F185" s="75">
        <f>IF(Q185&lt;&gt;"",IFERROR(VLOOKUP(Q185,PARTIDAS!A:P,13,FALSE()),0),0)</f>
        <v>2943433.7760000001</v>
      </c>
      <c r="G185" s="47">
        <f>IF(Q185&lt;&gt;"",IFERROR(VLOOKUP(Q185,PARTIDAS!A:P,14,FALSE()),0),0)</f>
        <v>1816615.8408501199</v>
      </c>
      <c r="H185" s="47">
        <f>IF(Q185&lt;&gt;"",IFERROR(VLOOKUP(Q185,PARTIDAS!A:P,15,FALSE()),0),0)</f>
        <v>71400.7442527518</v>
      </c>
      <c r="I185" s="76">
        <f t="shared" si="63"/>
        <v>4831450.3611028716</v>
      </c>
      <c r="J185" s="77">
        <f t="shared" si="64"/>
        <v>2943433.7760000001</v>
      </c>
      <c r="K185" s="42">
        <f t="shared" si="65"/>
        <v>1816615.8408501199</v>
      </c>
      <c r="L185" s="42">
        <f t="shared" si="66"/>
        <v>71400.7442527518</v>
      </c>
      <c r="M185" s="76">
        <f t="shared" si="67"/>
        <v>4831450.3611028716</v>
      </c>
      <c r="N185" s="78">
        <f t="shared" si="68"/>
        <v>6438873.8962417971</v>
      </c>
      <c r="O185" s="79"/>
      <c r="P185" s="80"/>
      <c r="Q185" s="44" t="s">
        <v>349</v>
      </c>
      <c r="R185" s="254"/>
      <c r="S185" s="250" t="s">
        <v>26</v>
      </c>
      <c r="T185" s="257" t="str">
        <f>+_xlfn.XLOOKUP(A185,Sheet1!C:C,Sheet1!A:A,"-",0)</f>
        <v>-</v>
      </c>
      <c r="Y185" s="49">
        <v>4831450.3611028688</v>
      </c>
      <c r="Z185" s="49">
        <f t="shared" si="56"/>
        <v>0</v>
      </c>
    </row>
    <row r="186" spans="1:26" ht="14.25" customHeight="1" x14ac:dyDescent="0.35">
      <c r="A186" s="83">
        <v>19.16</v>
      </c>
      <c r="B186" s="38" t="s">
        <v>3028</v>
      </c>
      <c r="C186" s="15" t="s">
        <v>350</v>
      </c>
      <c r="D186" s="20" t="s">
        <v>24</v>
      </c>
      <c r="E186" s="74">
        <v>1</v>
      </c>
      <c r="F186" s="75">
        <f>IF(Q186&lt;&gt;"",IFERROR(VLOOKUP(Q186,PARTIDAS!A:P,13,FALSE()),0),0)</f>
        <v>5213745.5349999992</v>
      </c>
      <c r="G186" s="47">
        <f>IF(Q186&lt;&gt;"",IFERROR(VLOOKUP(Q186,PARTIDAS!A:P,14,FALSE()),0),0)</f>
        <v>15641236.6044</v>
      </c>
      <c r="H186" s="47">
        <f>IF(Q186&lt;&gt;"",IFERROR(VLOOKUP(Q186,PARTIDAS!A:P,15,FALSE()),0),0)</f>
        <v>0</v>
      </c>
      <c r="I186" s="76">
        <f t="shared" si="63"/>
        <v>20854982.139399998</v>
      </c>
      <c r="J186" s="77">
        <f t="shared" si="64"/>
        <v>5213745.5349999992</v>
      </c>
      <c r="K186" s="42">
        <f t="shared" si="65"/>
        <v>15641236.6044</v>
      </c>
      <c r="L186" s="42">
        <f t="shared" si="66"/>
        <v>0</v>
      </c>
      <c r="M186" s="76">
        <f t="shared" si="67"/>
        <v>20854982.139399998</v>
      </c>
      <c r="N186" s="78">
        <f t="shared" si="68"/>
        <v>27793434.697178379</v>
      </c>
      <c r="O186" s="79"/>
      <c r="P186" s="80"/>
      <c r="Q186" s="44" t="s">
        <v>351</v>
      </c>
      <c r="R186" s="254">
        <v>2</v>
      </c>
      <c r="S186" s="250" t="s">
        <v>26</v>
      </c>
      <c r="T186" s="257" t="str">
        <f>+_xlfn.XLOOKUP(A186,Sheet1!C:C,Sheet1!A:A,"-",0)</f>
        <v>-</v>
      </c>
      <c r="Y186" s="49">
        <v>20854982.139199998</v>
      </c>
      <c r="Z186" s="49">
        <f t="shared" si="56"/>
        <v>1.9999966025352478E-4</v>
      </c>
    </row>
    <row r="187" spans="1:26" ht="14.25" customHeight="1" x14ac:dyDescent="0.35">
      <c r="A187" s="83">
        <v>19.170000000000002</v>
      </c>
      <c r="B187" s="38" t="s">
        <v>3028</v>
      </c>
      <c r="C187" s="15" t="s">
        <v>352</v>
      </c>
      <c r="D187" s="20" t="s">
        <v>53</v>
      </c>
      <c r="E187" s="74">
        <v>8</v>
      </c>
      <c r="F187" s="75">
        <f>IF(Q187&lt;&gt;"",IFERROR(VLOOKUP(Q187,PARTIDAS!A:P,13,FALSE()),0),0)</f>
        <v>15000</v>
      </c>
      <c r="G187" s="47">
        <f>IF(Q187&lt;&gt;"",IFERROR(VLOOKUP(Q187,PARTIDAS!A:P,14,FALSE()),0),0)</f>
        <v>30000</v>
      </c>
      <c r="H187" s="47">
        <f>IF(Q187&lt;&gt;"",IFERROR(VLOOKUP(Q187,PARTIDAS!A:P,15,FALSE()),0),0)</f>
        <v>0</v>
      </c>
      <c r="I187" s="76">
        <f t="shared" si="63"/>
        <v>45000</v>
      </c>
      <c r="J187" s="77">
        <f t="shared" si="64"/>
        <v>120000</v>
      </c>
      <c r="K187" s="42">
        <f t="shared" si="65"/>
        <v>240000</v>
      </c>
      <c r="L187" s="42">
        <f t="shared" si="66"/>
        <v>0</v>
      </c>
      <c r="M187" s="76">
        <f t="shared" si="67"/>
        <v>360000</v>
      </c>
      <c r="N187" s="78">
        <f t="shared" si="68"/>
        <v>479772</v>
      </c>
      <c r="O187" s="79"/>
      <c r="P187" s="80"/>
      <c r="Q187" s="44" t="s">
        <v>353</v>
      </c>
      <c r="R187" s="254"/>
      <c r="S187" s="250" t="s">
        <v>26</v>
      </c>
      <c r="T187" s="257" t="str">
        <f>+_xlfn.XLOOKUP(A187,Sheet1!C:C,Sheet1!A:A,"-",0)</f>
        <v>-</v>
      </c>
      <c r="Y187" s="49">
        <v>360000</v>
      </c>
      <c r="Z187" s="49">
        <f t="shared" si="56"/>
        <v>0</v>
      </c>
    </row>
    <row r="188" spans="1:26" ht="14.25" customHeight="1" x14ac:dyDescent="0.35">
      <c r="A188" s="83">
        <v>19.18</v>
      </c>
      <c r="B188" s="38" t="s">
        <v>3028</v>
      </c>
      <c r="C188" s="15" t="s">
        <v>354</v>
      </c>
      <c r="D188" s="20" t="s">
        <v>24</v>
      </c>
      <c r="E188" s="74">
        <v>8</v>
      </c>
      <c r="F188" s="75">
        <f>IF(Q188&lt;&gt;"",IFERROR(VLOOKUP(Q188,PARTIDAS!A:P,13,FALSE()),0),0)</f>
        <v>1500</v>
      </c>
      <c r="G188" s="47">
        <f>IF(Q188&lt;&gt;"",IFERROR(VLOOKUP(Q188,PARTIDAS!A:P,14,FALSE()),0),0)</f>
        <v>19238.769926642999</v>
      </c>
      <c r="H188" s="47">
        <f>IF(Q188&lt;&gt;"",IFERROR(VLOOKUP(Q188,PARTIDAS!A:P,15,FALSE()),0),0)</f>
        <v>0</v>
      </c>
      <c r="I188" s="76">
        <f t="shared" si="63"/>
        <v>20738.769926642999</v>
      </c>
      <c r="J188" s="77">
        <f t="shared" si="64"/>
        <v>12000</v>
      </c>
      <c r="K188" s="42">
        <f t="shared" si="65"/>
        <v>153910.15941314399</v>
      </c>
      <c r="L188" s="42">
        <f t="shared" si="66"/>
        <v>0</v>
      </c>
      <c r="M188" s="76">
        <f t="shared" si="67"/>
        <v>165910.15941314399</v>
      </c>
      <c r="N188" s="78">
        <f t="shared" si="68"/>
        <v>221108.46944989701</v>
      </c>
      <c r="O188" s="79"/>
      <c r="P188" s="80"/>
      <c r="Q188" s="44" t="s">
        <v>355</v>
      </c>
      <c r="R188" s="254">
        <v>2</v>
      </c>
      <c r="S188" s="250" t="s">
        <v>26</v>
      </c>
      <c r="T188" s="257" t="str">
        <f>+_xlfn.XLOOKUP(A188,Sheet1!C:C,Sheet1!A:A,"-",0)</f>
        <v>-</v>
      </c>
      <c r="Y188" s="49">
        <v>165910.15941314391</v>
      </c>
      <c r="Z188" s="49">
        <f t="shared" si="56"/>
        <v>0</v>
      </c>
    </row>
    <row r="189" spans="1:26" ht="14.25" customHeight="1" x14ac:dyDescent="0.35">
      <c r="A189" s="83">
        <v>19.190000000000001</v>
      </c>
      <c r="B189" s="38" t="s">
        <v>3028</v>
      </c>
      <c r="C189" s="15" t="s">
        <v>356</v>
      </c>
      <c r="D189" s="20" t="s">
        <v>24</v>
      </c>
      <c r="E189" s="74">
        <v>1</v>
      </c>
      <c r="F189" s="75">
        <f>IF(Q189&lt;&gt;"",IFERROR(VLOOKUP(Q189,PARTIDAS!A:P,13,FALSE()),0),0)</f>
        <v>0</v>
      </c>
      <c r="G189" s="47">
        <f>IF(Q189&lt;&gt;"",IFERROR(VLOOKUP(Q189,PARTIDAS!A:P,14,FALSE()),0),0)</f>
        <v>3510000</v>
      </c>
      <c r="H189" s="47">
        <f>IF(Q189&lt;&gt;"",IFERROR(VLOOKUP(Q189,PARTIDAS!A:P,15,FALSE()),0),0)</f>
        <v>0</v>
      </c>
      <c r="I189" s="76">
        <f t="shared" si="63"/>
        <v>3510000</v>
      </c>
      <c r="J189" s="77">
        <f t="shared" si="64"/>
        <v>0</v>
      </c>
      <c r="K189" s="42">
        <f t="shared" si="65"/>
        <v>3510000</v>
      </c>
      <c r="L189" s="42">
        <f t="shared" si="66"/>
        <v>0</v>
      </c>
      <c r="M189" s="76">
        <f t="shared" si="67"/>
        <v>3510000</v>
      </c>
      <c r="N189" s="78">
        <f t="shared" si="68"/>
        <v>4677777</v>
      </c>
      <c r="O189" s="79"/>
      <c r="P189" s="80"/>
      <c r="Q189" s="44" t="s">
        <v>357</v>
      </c>
      <c r="R189" s="254">
        <v>2</v>
      </c>
      <c r="S189" s="250" t="s">
        <v>26</v>
      </c>
      <c r="T189" s="257" t="str">
        <f>+_xlfn.XLOOKUP(A189,Sheet1!C:C,Sheet1!A:A,"-",0)</f>
        <v>-</v>
      </c>
      <c r="Y189" s="49">
        <v>3510000</v>
      </c>
      <c r="Z189" s="49">
        <f t="shared" si="56"/>
        <v>0</v>
      </c>
    </row>
    <row r="190" spans="1:26" ht="14.25" customHeight="1" x14ac:dyDescent="0.35">
      <c r="A190" s="61">
        <v>20</v>
      </c>
      <c r="B190" s="62"/>
      <c r="C190" s="63" t="s">
        <v>3029</v>
      </c>
      <c r="D190" s="64"/>
      <c r="E190" s="65"/>
      <c r="F190" s="66"/>
      <c r="G190" s="67"/>
      <c r="H190" s="67"/>
      <c r="I190" s="68"/>
      <c r="J190" s="66"/>
      <c r="K190" s="67"/>
      <c r="L190" s="67"/>
      <c r="M190" s="68"/>
      <c r="N190" s="69"/>
      <c r="O190" s="70">
        <f>+SUM(M191:M192)</f>
        <v>0</v>
      </c>
      <c r="P190" s="85">
        <f>+SUM(N191:N192)</f>
        <v>0</v>
      </c>
      <c r="Q190" s="67"/>
      <c r="R190" s="253"/>
      <c r="S190" s="251"/>
      <c r="T190" s="258"/>
      <c r="Y190" s="49">
        <v>0</v>
      </c>
      <c r="Z190" s="49">
        <f t="shared" si="56"/>
        <v>0</v>
      </c>
    </row>
    <row r="191" spans="1:26" ht="14.25" customHeight="1" x14ac:dyDescent="0.35">
      <c r="A191" s="83">
        <v>20.010000000000002</v>
      </c>
      <c r="B191" s="38" t="s">
        <v>3029</v>
      </c>
      <c r="C191" s="15" t="s">
        <v>358</v>
      </c>
      <c r="D191" s="20" t="s">
        <v>53</v>
      </c>
      <c r="E191" s="74">
        <v>0</v>
      </c>
      <c r="F191" s="75">
        <f>IFERROR(VLOOKUP(Q191,PARTIDAS!A:M,13,FALSE()),0)</f>
        <v>0</v>
      </c>
      <c r="G191" s="47">
        <f>IFERROR(VLOOKUP(Q191,PARTIDAS!A:N,14,FALSE()),0)</f>
        <v>0</v>
      </c>
      <c r="H191" s="47">
        <f>IFERROR(VLOOKUP(Q191,PARTIDAS!A:O,15,FALSE()),0)</f>
        <v>0</v>
      </c>
      <c r="I191" s="76">
        <f>F191+G191+H191</f>
        <v>0</v>
      </c>
      <c r="J191" s="77">
        <f>F191*E191</f>
        <v>0</v>
      </c>
      <c r="K191" s="42">
        <f>G191*E191</f>
        <v>0</v>
      </c>
      <c r="L191" s="42">
        <f>H191*E191</f>
        <v>0</v>
      </c>
      <c r="M191" s="76">
        <f>I191*E191</f>
        <v>0</v>
      </c>
      <c r="N191" s="78">
        <f>M191*$N$2</f>
        <v>0</v>
      </c>
      <c r="O191" s="79"/>
      <c r="P191" s="80"/>
      <c r="Q191" s="44" t="s">
        <v>359</v>
      </c>
      <c r="R191" s="254"/>
      <c r="S191" s="250" t="s">
        <v>26</v>
      </c>
      <c r="T191" s="257" t="str">
        <f>+_xlfn.XLOOKUP(A191,Sheet1!C:C,Sheet1!A:A,"-",0)</f>
        <v>-</v>
      </c>
      <c r="Y191" s="49">
        <v>0</v>
      </c>
      <c r="Z191" s="49">
        <f t="shared" si="56"/>
        <v>0</v>
      </c>
    </row>
    <row r="192" spans="1:26" ht="14.25" customHeight="1" x14ac:dyDescent="0.35">
      <c r="A192" s="83">
        <v>20.02</v>
      </c>
      <c r="B192" s="38" t="s">
        <v>3029</v>
      </c>
      <c r="C192" s="15" t="s">
        <v>360</v>
      </c>
      <c r="D192" s="20" t="s">
        <v>53</v>
      </c>
      <c r="E192" s="74">
        <v>0</v>
      </c>
      <c r="F192" s="75">
        <f>IFERROR(VLOOKUP(Q192,PARTIDAS!A:M,13,FALSE()),0)</f>
        <v>0</v>
      </c>
      <c r="G192" s="47">
        <f>IFERROR(VLOOKUP(Q192,PARTIDAS!A:N,14,FALSE()),0)</f>
        <v>0</v>
      </c>
      <c r="H192" s="47">
        <f>IFERROR(VLOOKUP(Q192,PARTIDAS!A:O,15,FALSE()),0)</f>
        <v>0</v>
      </c>
      <c r="I192" s="76">
        <f>F192+G192+H192</f>
        <v>0</v>
      </c>
      <c r="J192" s="77">
        <f>F192*E192</f>
        <v>0</v>
      </c>
      <c r="K192" s="42">
        <f>G192*E192</f>
        <v>0</v>
      </c>
      <c r="L192" s="42">
        <f>H192*E192</f>
        <v>0</v>
      </c>
      <c r="M192" s="76">
        <f>I192*E192</f>
        <v>0</v>
      </c>
      <c r="N192" s="78">
        <f>M192*$N$2</f>
        <v>0</v>
      </c>
      <c r="O192" s="79"/>
      <c r="P192" s="80"/>
      <c r="Q192" s="44" t="s">
        <v>361</v>
      </c>
      <c r="R192" s="254"/>
      <c r="S192" s="250" t="s">
        <v>26</v>
      </c>
      <c r="T192" s="257" t="str">
        <f>+_xlfn.XLOOKUP(A192,Sheet1!C:C,Sheet1!A:A,"-",0)</f>
        <v>-</v>
      </c>
      <c r="Y192" s="49">
        <v>0</v>
      </c>
      <c r="Z192" s="49">
        <f t="shared" si="56"/>
        <v>0</v>
      </c>
    </row>
    <row r="193" spans="1:26" ht="14.25" customHeight="1" x14ac:dyDescent="0.35">
      <c r="A193" s="61">
        <v>21</v>
      </c>
      <c r="B193" s="62"/>
      <c r="C193" s="63" t="s">
        <v>3035</v>
      </c>
      <c r="D193" s="64"/>
      <c r="E193" s="65"/>
      <c r="F193" s="66"/>
      <c r="G193" s="67"/>
      <c r="H193" s="67"/>
      <c r="I193" s="68"/>
      <c r="J193" s="66"/>
      <c r="K193" s="67"/>
      <c r="L193" s="67"/>
      <c r="M193" s="68"/>
      <c r="N193" s="69"/>
      <c r="O193" s="70">
        <f>+SUM(M194:M194)</f>
        <v>0</v>
      </c>
      <c r="P193" s="71">
        <f>+SUM(N194:N194)</f>
        <v>0</v>
      </c>
      <c r="Q193" s="67"/>
      <c r="R193" s="253"/>
      <c r="S193" s="251"/>
      <c r="T193" s="258"/>
      <c r="Y193" s="49">
        <v>0</v>
      </c>
      <c r="Z193" s="49">
        <f t="shared" si="56"/>
        <v>0</v>
      </c>
    </row>
    <row r="194" spans="1:26" ht="14.25" customHeight="1" x14ac:dyDescent="0.35">
      <c r="A194" s="83">
        <v>21.01</v>
      </c>
      <c r="B194" s="38" t="s">
        <v>3035</v>
      </c>
      <c r="C194" s="15" t="s">
        <v>362</v>
      </c>
      <c r="D194" s="20" t="s">
        <v>24</v>
      </c>
      <c r="E194" s="74">
        <v>1</v>
      </c>
      <c r="F194" s="75">
        <f>IF(Q194&lt;&gt;"",IFERROR(VLOOKUP(Q194,PARTIDAS!A:P,13,FALSE()),0),0)</f>
        <v>0</v>
      </c>
      <c r="G194" s="47">
        <f>IF(Q194&lt;&gt;"",IFERROR(VLOOKUP(Q194,PARTIDAS!A:P,14,FALSE()),0),0)</f>
        <v>0</v>
      </c>
      <c r="H194" s="47">
        <f>IF(Q194&lt;&gt;"",IFERROR(VLOOKUP(Q194,PARTIDAS!A:P,15,FALSE()),0),0)</f>
        <v>0</v>
      </c>
      <c r="I194" s="76">
        <f>F194+G194+H194</f>
        <v>0</v>
      </c>
      <c r="J194" s="77">
        <f>F194*E194</f>
        <v>0</v>
      </c>
      <c r="K194" s="42">
        <f>G194*E194</f>
        <v>0</v>
      </c>
      <c r="L194" s="42">
        <f>H194*E194</f>
        <v>0</v>
      </c>
      <c r="M194" s="76">
        <f>I194*E194</f>
        <v>0</v>
      </c>
      <c r="N194" s="78">
        <f>M194*$N$2</f>
        <v>0</v>
      </c>
      <c r="O194" s="79"/>
      <c r="P194" s="80"/>
      <c r="Q194" s="44" t="s">
        <v>363</v>
      </c>
      <c r="R194" s="254">
        <v>2</v>
      </c>
      <c r="S194" s="250" t="s">
        <v>26</v>
      </c>
      <c r="T194" s="257" t="str">
        <f>+_xlfn.XLOOKUP(A194,Sheet1!C:C,Sheet1!A:A,"-",0)</f>
        <v>-</v>
      </c>
      <c r="Y194" s="49">
        <v>0</v>
      </c>
      <c r="Z194" s="49">
        <f t="shared" si="56"/>
        <v>0</v>
      </c>
    </row>
    <row r="195" spans="1:26" ht="14.25" customHeight="1" x14ac:dyDescent="0.35">
      <c r="A195" s="61">
        <v>22</v>
      </c>
      <c r="B195" s="62"/>
      <c r="C195" s="63" t="s">
        <v>3018</v>
      </c>
      <c r="D195" s="64"/>
      <c r="E195" s="65"/>
      <c r="F195" s="66"/>
      <c r="G195" s="67"/>
      <c r="H195" s="67"/>
      <c r="I195" s="68"/>
      <c r="J195" s="66"/>
      <c r="K195" s="67"/>
      <c r="L195" s="67"/>
      <c r="M195" s="68"/>
      <c r="N195" s="69"/>
      <c r="O195" s="70">
        <f>+SUM(M196:M197)</f>
        <v>2201920</v>
      </c>
      <c r="P195" s="85">
        <f>+SUM(N196:N197)</f>
        <v>0</v>
      </c>
      <c r="Q195" s="67"/>
      <c r="R195" s="253"/>
      <c r="S195" s="251"/>
      <c r="T195" s="258"/>
      <c r="Y195" s="49">
        <v>0</v>
      </c>
      <c r="Z195" s="49">
        <f t="shared" si="56"/>
        <v>0</v>
      </c>
    </row>
    <row r="196" spans="1:26" ht="14.25" customHeight="1" x14ac:dyDescent="0.35">
      <c r="A196" s="83">
        <v>22.01</v>
      </c>
      <c r="B196" s="38" t="s">
        <v>3018</v>
      </c>
      <c r="C196" s="15" t="s">
        <v>364</v>
      </c>
      <c r="D196" s="20" t="s">
        <v>53</v>
      </c>
      <c r="E196" s="74">
        <v>8</v>
      </c>
      <c r="F196" s="75">
        <f>IFERROR(VLOOKUP(Q196,PARTIDAS!A:M,13,FALSE()),0)</f>
        <v>0</v>
      </c>
      <c r="G196" s="47">
        <f>IFERROR(VLOOKUP(Q196,PARTIDAS!A:N,14,FALSE()),0)</f>
        <v>68810</v>
      </c>
      <c r="H196" s="47">
        <f>IFERROR(VLOOKUP(Q196,PARTIDAS!A:O,15,FALSE()),0)</f>
        <v>0</v>
      </c>
      <c r="I196" s="76">
        <f>F196+G196+H196</f>
        <v>68810</v>
      </c>
      <c r="J196" s="77">
        <f>F196*E196</f>
        <v>0</v>
      </c>
      <c r="K196" s="42">
        <f>G196*E196</f>
        <v>550480</v>
      </c>
      <c r="L196" s="42">
        <f>H196*E196</f>
        <v>0</v>
      </c>
      <c r="M196" s="76">
        <f>I196*E196</f>
        <v>550480</v>
      </c>
      <c r="N196" s="78"/>
      <c r="O196" s="79"/>
      <c r="P196" s="80"/>
      <c r="Q196" s="44" t="s">
        <v>365</v>
      </c>
      <c r="R196" s="254"/>
      <c r="S196" s="250" t="s">
        <v>26</v>
      </c>
      <c r="T196" s="257" t="str">
        <f>+_xlfn.XLOOKUP(A196,Sheet1!C:C,Sheet1!A:A,"-",0)</f>
        <v>-</v>
      </c>
      <c r="Y196" s="49">
        <v>550480</v>
      </c>
      <c r="Z196" s="49">
        <f t="shared" si="56"/>
        <v>0</v>
      </c>
    </row>
    <row r="197" spans="1:26" ht="14.25" customHeight="1" x14ac:dyDescent="0.35">
      <c r="A197" s="83">
        <v>22.02</v>
      </c>
      <c r="B197" s="38" t="s">
        <v>3018</v>
      </c>
      <c r="C197" s="15" t="s">
        <v>366</v>
      </c>
      <c r="D197" s="20" t="s">
        <v>53</v>
      </c>
      <c r="E197" s="74">
        <v>24</v>
      </c>
      <c r="F197" s="75">
        <f>IFERROR(VLOOKUP(Q197,PARTIDAS!A:M,13,FALSE()),0)</f>
        <v>0</v>
      </c>
      <c r="G197" s="47">
        <f>IFERROR(VLOOKUP(Q197,PARTIDAS!A:N,14,FALSE()),0)</f>
        <v>68810</v>
      </c>
      <c r="H197" s="47">
        <f>IFERROR(VLOOKUP(Q197,PARTIDAS!A:O,15,FALSE()),0)</f>
        <v>0</v>
      </c>
      <c r="I197" s="76">
        <f>F197+G197+H197</f>
        <v>68810</v>
      </c>
      <c r="J197" s="77">
        <f>F197*E197</f>
        <v>0</v>
      </c>
      <c r="K197" s="42">
        <f>G197*E197</f>
        <v>1651440</v>
      </c>
      <c r="L197" s="42">
        <f>H197*E197</f>
        <v>0</v>
      </c>
      <c r="M197" s="76">
        <f>I197*E197</f>
        <v>1651440</v>
      </c>
      <c r="N197" s="78"/>
      <c r="O197" s="79"/>
      <c r="P197" s="80"/>
      <c r="Q197" s="44" t="s">
        <v>367</v>
      </c>
      <c r="R197" s="254"/>
      <c r="S197" s="250" t="s">
        <v>26</v>
      </c>
      <c r="T197" s="257" t="str">
        <f>+_xlfn.XLOOKUP(A197,Sheet1!C:C,Sheet1!A:A,"-",0)</f>
        <v>-</v>
      </c>
      <c r="Y197" s="49">
        <v>1651440</v>
      </c>
      <c r="Z197" s="49">
        <f t="shared" ref="Z197:Z216" si="69">+M197-Y197</f>
        <v>0</v>
      </c>
    </row>
    <row r="198" spans="1:26" ht="14.25" customHeight="1" x14ac:dyDescent="0.35">
      <c r="A198" s="61">
        <v>23</v>
      </c>
      <c r="B198" s="62"/>
      <c r="C198" s="63" t="s">
        <v>368</v>
      </c>
      <c r="D198" s="64"/>
      <c r="E198" s="65"/>
      <c r="F198" s="66"/>
      <c r="G198" s="67"/>
      <c r="H198" s="67"/>
      <c r="I198" s="68"/>
      <c r="J198" s="66"/>
      <c r="K198" s="67"/>
      <c r="L198" s="67"/>
      <c r="M198" s="68"/>
      <c r="N198" s="69"/>
      <c r="O198" s="70">
        <f>+SUM(M199:M202)</f>
        <v>14294221.982910216</v>
      </c>
      <c r="P198" s="71">
        <f>+SUM(N199:N202)</f>
        <v>19049909.636624444</v>
      </c>
      <c r="Q198" s="67"/>
      <c r="R198" s="253"/>
      <c r="S198" s="251"/>
      <c r="T198" s="258"/>
      <c r="Y198" s="49">
        <v>0</v>
      </c>
      <c r="Z198" s="49">
        <f t="shared" si="69"/>
        <v>0</v>
      </c>
    </row>
    <row r="199" spans="1:26" ht="14.25" customHeight="1" x14ac:dyDescent="0.35">
      <c r="A199" s="83">
        <v>23.01</v>
      </c>
      <c r="B199" s="38" t="s">
        <v>368</v>
      </c>
      <c r="C199" s="15" t="s">
        <v>369</v>
      </c>
      <c r="D199" s="20" t="s">
        <v>24</v>
      </c>
      <c r="E199" s="74">
        <v>6</v>
      </c>
      <c r="F199" s="75">
        <f>IFERROR(VLOOKUP(Q199,PARTIDAS!A:M,13,FALSE()),0)</f>
        <v>53696.806510420058</v>
      </c>
      <c r="G199" s="47">
        <f>IFERROR(VLOOKUP(Q199,PARTIDAS!A:N,14,FALSE()),0)</f>
        <v>137815.66048314399</v>
      </c>
      <c r="H199" s="47">
        <f>IFERROR(VLOOKUP(Q199,PARTIDAS!A:O,15,FALSE()),0)</f>
        <v>2872.6870049034101</v>
      </c>
      <c r="I199" s="76">
        <f>F199+G199+H199</f>
        <v>194385.15399846746</v>
      </c>
      <c r="J199" s="77">
        <f>F199*E199</f>
        <v>322180.83906252036</v>
      </c>
      <c r="K199" s="42">
        <f>G199*E199</f>
        <v>826893.96289886395</v>
      </c>
      <c r="L199" s="42">
        <f>H199*E199</f>
        <v>17236.122029420461</v>
      </c>
      <c r="M199" s="76">
        <f>I199*E199</f>
        <v>1166310.9239908047</v>
      </c>
      <c r="N199" s="78">
        <f>M199*$N$2</f>
        <v>1554342.5684025455</v>
      </c>
      <c r="O199" s="79"/>
      <c r="P199" s="80"/>
      <c r="Q199" s="44" t="s">
        <v>370</v>
      </c>
      <c r="R199" s="254"/>
      <c r="S199" s="250" t="s">
        <v>26</v>
      </c>
      <c r="T199" s="257" t="str">
        <f>+_xlfn.XLOOKUP(A199,Sheet1!C:C,Sheet1!A:A,"-",0)</f>
        <v>Albañilería</v>
      </c>
      <c r="Y199" s="49">
        <v>1166310.923990784</v>
      </c>
      <c r="Z199" s="49">
        <f t="shared" si="69"/>
        <v>2.0721927285194397E-8</v>
      </c>
    </row>
    <row r="200" spans="1:26" ht="14.25" customHeight="1" x14ac:dyDescent="0.35">
      <c r="A200" s="83">
        <v>23.02</v>
      </c>
      <c r="B200" s="38" t="s">
        <v>368</v>
      </c>
      <c r="C200" s="15" t="s">
        <v>371</v>
      </c>
      <c r="D200" s="20" t="s">
        <v>24</v>
      </c>
      <c r="E200" s="74">
        <v>1</v>
      </c>
      <c r="F200" s="75">
        <f>IFERROR(VLOOKUP(Q200,PARTIDAS!A:M,13,FALSE()),0)</f>
        <v>50000</v>
      </c>
      <c r="G200" s="47">
        <f>IFERROR(VLOOKUP(Q200,PARTIDAS!A:N,14,FALSE()),0)</f>
        <v>536926.85047428997</v>
      </c>
      <c r="H200" s="47">
        <f>IFERROR(VLOOKUP(Q200,PARTIDAS!A:O,15,FALSE()),0)</f>
        <v>8803.9027571143397</v>
      </c>
      <c r="I200" s="76">
        <f>F200+G200+H200</f>
        <v>595730.75323140435</v>
      </c>
      <c r="J200" s="77">
        <f>F200*E200</f>
        <v>50000</v>
      </c>
      <c r="K200" s="42">
        <f>G200*E200</f>
        <v>536926.85047428997</v>
      </c>
      <c r="L200" s="42">
        <f>H200*E200</f>
        <v>8803.9027571143397</v>
      </c>
      <c r="M200" s="76">
        <f>I200*E200</f>
        <v>595730.75323140435</v>
      </c>
      <c r="N200" s="78">
        <f>M200*$N$2</f>
        <v>793930.37483149255</v>
      </c>
      <c r="O200" s="79"/>
      <c r="P200" s="80"/>
      <c r="Q200" s="44" t="s">
        <v>372</v>
      </c>
      <c r="R200" s="254"/>
      <c r="S200" s="250" t="s">
        <v>26</v>
      </c>
      <c r="T200" s="257" t="str">
        <f>+_xlfn.XLOOKUP(A200,Sheet1!C:C,Sheet1!A:A,"-",0)</f>
        <v>Albañilería</v>
      </c>
      <c r="Y200" s="49">
        <v>595730.753231404</v>
      </c>
      <c r="Z200" s="49">
        <f t="shared" si="69"/>
        <v>0</v>
      </c>
    </row>
    <row r="201" spans="1:26" ht="14.25" customHeight="1" x14ac:dyDescent="0.35">
      <c r="A201" s="83">
        <v>23.03</v>
      </c>
      <c r="B201" s="38" t="s">
        <v>368</v>
      </c>
      <c r="C201" s="15" t="s">
        <v>373</v>
      </c>
      <c r="D201" s="20" t="s">
        <v>92</v>
      </c>
      <c r="E201" s="74">
        <v>26</v>
      </c>
      <c r="F201" s="75">
        <f>IF(Q201&lt;&gt;"",IFERROR(VLOOKUP(Q201,PARTIDAS!A:P,13,FALSE()),0),0)</f>
        <v>7692.3076923038498</v>
      </c>
      <c r="G201" s="47">
        <f>IF(Q201&lt;&gt;"",IFERROR(VLOOKUP(Q201,PARTIDAS!A:P,14,FALSE()),0),0)</f>
        <v>12322.977031263857</v>
      </c>
      <c r="H201" s="47">
        <f>IF(Q201&lt;&gt;"",IFERROR(VLOOKUP(Q201,PARTIDAS!A:P,15,FALSE()),0),0)</f>
        <v>300.22927085357298</v>
      </c>
      <c r="I201" s="76">
        <f>F201+G201+H201</f>
        <v>20315.513994421279</v>
      </c>
      <c r="J201" s="77">
        <f>F201*E201</f>
        <v>199999.99999990009</v>
      </c>
      <c r="K201" s="42">
        <f>G201*E201</f>
        <v>320397.40281286032</v>
      </c>
      <c r="L201" s="42">
        <f>H201*E201</f>
        <v>7805.9610421928974</v>
      </c>
      <c r="M201" s="76">
        <f>I201*E201</f>
        <v>528203.3638549532</v>
      </c>
      <c r="N201" s="78">
        <f>M201*$N$2</f>
        <v>703936.62300949614</v>
      </c>
      <c r="O201" s="79"/>
      <c r="P201" s="80"/>
      <c r="Q201" s="44" t="s">
        <v>374</v>
      </c>
      <c r="R201" s="254">
        <v>2</v>
      </c>
      <c r="S201" s="250" t="s">
        <v>26</v>
      </c>
      <c r="T201" s="257" t="str">
        <f>+_xlfn.XLOOKUP(A201,Sheet1!C:C,Sheet1!A:A,"-",0)</f>
        <v>Albañilería</v>
      </c>
      <c r="Y201" s="49">
        <v>528203.36385505274</v>
      </c>
      <c r="Z201" s="49">
        <f t="shared" si="69"/>
        <v>-9.9535100162029266E-8</v>
      </c>
    </row>
    <row r="202" spans="1:26" ht="14.25" customHeight="1" x14ac:dyDescent="0.35">
      <c r="A202" s="83">
        <v>23.04</v>
      </c>
      <c r="B202" s="38" t="s">
        <v>368</v>
      </c>
      <c r="C202" s="15" t="s">
        <v>375</v>
      </c>
      <c r="D202" s="20" t="s">
        <v>92</v>
      </c>
      <c r="E202" s="74">
        <v>231</v>
      </c>
      <c r="F202" s="75">
        <f>IF(Q202&lt;&gt;"",IFERROR(VLOOKUP(Q202,PARTIDAS!A:P,13,FALSE()),0),0)</f>
        <v>24578.046976990998</v>
      </c>
      <c r="G202" s="47">
        <f>IF(Q202&lt;&gt;"",IFERROR(VLOOKUP(Q202,PARTIDAS!A:P,14,FALSE()),0),0)</f>
        <v>27039.315855918569</v>
      </c>
      <c r="H202" s="47">
        <f>IF(Q202&lt;&gt;"",IFERROR(VLOOKUP(Q202,PARTIDAS!A:P,15,FALSE()),0),0)</f>
        <v>347.90531355387208</v>
      </c>
      <c r="I202" s="76">
        <f>F202+G202+H202</f>
        <v>51965.268146463437</v>
      </c>
      <c r="J202" s="77">
        <f>F202*E202</f>
        <v>5677528.8516849205</v>
      </c>
      <c r="K202" s="42">
        <f>G202*E202</f>
        <v>6246081.9627171895</v>
      </c>
      <c r="L202" s="42">
        <f>H202*E202</f>
        <v>80366.127430944456</v>
      </c>
      <c r="M202" s="76">
        <f>I202*E202</f>
        <v>12003976.941833055</v>
      </c>
      <c r="N202" s="78">
        <f>M202*$N$2</f>
        <v>15997700.070380911</v>
      </c>
      <c r="O202" s="79"/>
      <c r="P202" s="80"/>
      <c r="Q202" s="44" t="s">
        <v>376</v>
      </c>
      <c r="R202" s="254">
        <v>2</v>
      </c>
      <c r="S202" s="250" t="s">
        <v>26</v>
      </c>
      <c r="T202" s="257" t="str">
        <f>+_xlfn.XLOOKUP(A202,Sheet1!C:C,Sheet1!A:A,"-",0)</f>
        <v>Albañilería</v>
      </c>
      <c r="Y202" s="49">
        <v>12003976.941833051</v>
      </c>
      <c r="Z202" s="49">
        <f t="shared" si="69"/>
        <v>0</v>
      </c>
    </row>
    <row r="203" spans="1:26" ht="14.25" customHeight="1" x14ac:dyDescent="0.35">
      <c r="A203" s="61">
        <v>24</v>
      </c>
      <c r="B203" s="62"/>
      <c r="C203" s="63" t="s">
        <v>3019</v>
      </c>
      <c r="D203" s="64"/>
      <c r="E203" s="65"/>
      <c r="F203" s="66"/>
      <c r="G203" s="67"/>
      <c r="H203" s="67"/>
      <c r="I203" s="68"/>
      <c r="J203" s="66"/>
      <c r="K203" s="67"/>
      <c r="L203" s="67"/>
      <c r="M203" s="68"/>
      <c r="N203" s="69"/>
      <c r="O203" s="70">
        <f>+SUM(M204:M212)</f>
        <v>57704099.78951259</v>
      </c>
      <c r="P203" s="71">
        <f>+SUM(N204:N212)</f>
        <v>76902253.789483428</v>
      </c>
      <c r="Q203" s="67"/>
      <c r="R203" s="253"/>
      <c r="S203" s="251"/>
      <c r="T203" s="258"/>
      <c r="Y203" s="49">
        <v>0</v>
      </c>
      <c r="Z203" s="49">
        <f t="shared" si="69"/>
        <v>0</v>
      </c>
    </row>
    <row r="204" spans="1:26" ht="14.25" customHeight="1" x14ac:dyDescent="0.35">
      <c r="A204" s="83">
        <v>24.01</v>
      </c>
      <c r="B204" s="38" t="s">
        <v>3019</v>
      </c>
      <c r="C204" s="15" t="s">
        <v>377</v>
      </c>
      <c r="D204" s="20" t="s">
        <v>33</v>
      </c>
      <c r="E204" s="74">
        <v>17</v>
      </c>
      <c r="F204" s="75">
        <f>IF(Q204&lt;&gt;"",IFERROR(VLOOKUP(Q204,PARTIDAS!A:P,13,FALSE()),0),0)</f>
        <v>0</v>
      </c>
      <c r="G204" s="47">
        <f>IF(Q204&lt;&gt;"",IFERROR(VLOOKUP(Q204,PARTIDAS!A:P,14,FALSE()),0),0)</f>
        <v>730326.96931886405</v>
      </c>
      <c r="H204" s="47">
        <f>IF(Q204&lt;&gt;"",IFERROR(VLOOKUP(Q204,PARTIDAS!A:P,15,FALSE()),0),0)</f>
        <v>0</v>
      </c>
      <c r="I204" s="76">
        <f t="shared" ref="I204:I212" si="70">F204+G204+H204</f>
        <v>730326.96931886405</v>
      </c>
      <c r="J204" s="77">
        <f t="shared" ref="J204:J212" si="71">F204*E204</f>
        <v>0</v>
      </c>
      <c r="K204" s="42">
        <f t="shared" ref="K204:K212" si="72">G204*E204</f>
        <v>12415558.47842069</v>
      </c>
      <c r="L204" s="42">
        <f t="shared" ref="L204:L212" si="73">H204*E204</f>
        <v>0</v>
      </c>
      <c r="M204" s="76">
        <f t="shared" ref="M204:M212" si="74">I204*E204</f>
        <v>12415558.47842069</v>
      </c>
      <c r="N204" s="78">
        <f t="shared" ref="N204:N212" si="75">M204*$N$2</f>
        <v>16546214.784191253</v>
      </c>
      <c r="O204" s="79"/>
      <c r="P204" s="80"/>
      <c r="Q204" s="44" t="s">
        <v>378</v>
      </c>
      <c r="R204" s="254">
        <v>2</v>
      </c>
      <c r="S204" s="250" t="s">
        <v>26</v>
      </c>
      <c r="T204" s="257" t="str">
        <f>+_xlfn.XLOOKUP(A204,Sheet1!C:C,Sheet1!A:A,"-",0)</f>
        <v>-</v>
      </c>
      <c r="Y204" s="49">
        <v>12415558.47842068</v>
      </c>
      <c r="Z204" s="49">
        <f t="shared" si="69"/>
        <v>0</v>
      </c>
    </row>
    <row r="205" spans="1:26" ht="14.25" customHeight="1" x14ac:dyDescent="0.35">
      <c r="A205" s="83">
        <v>24.02</v>
      </c>
      <c r="B205" s="38" t="s">
        <v>3019</v>
      </c>
      <c r="C205" s="15" t="s">
        <v>379</v>
      </c>
      <c r="D205" s="20" t="s">
        <v>33</v>
      </c>
      <c r="E205" s="74">
        <v>4</v>
      </c>
      <c r="F205" s="75">
        <f>IF(Q205&lt;&gt;"",IFERROR(VLOOKUP(Q205,PARTIDAS!A:P,13,FALSE()),0),0)</f>
        <v>0</v>
      </c>
      <c r="G205" s="47">
        <f>IF(Q205&lt;&gt;"",IFERROR(VLOOKUP(Q205,PARTIDAS!A:P,14,FALSE()),0),0)</f>
        <v>1504670.291</v>
      </c>
      <c r="H205" s="47">
        <f>IF(Q205&lt;&gt;"",IFERROR(VLOOKUP(Q205,PARTIDAS!A:P,15,FALSE()),0),0)</f>
        <v>0</v>
      </c>
      <c r="I205" s="76">
        <f t="shared" si="70"/>
        <v>1504670.291</v>
      </c>
      <c r="J205" s="77">
        <f t="shared" si="71"/>
        <v>0</v>
      </c>
      <c r="K205" s="42">
        <f t="shared" si="72"/>
        <v>6018681.1639999999</v>
      </c>
      <c r="L205" s="42">
        <f t="shared" si="73"/>
        <v>0</v>
      </c>
      <c r="M205" s="76">
        <f t="shared" si="74"/>
        <v>6018681.1639999999</v>
      </c>
      <c r="N205" s="78">
        <f t="shared" si="75"/>
        <v>8021096.3872627998</v>
      </c>
      <c r="O205" s="79"/>
      <c r="P205" s="80"/>
      <c r="Q205" s="44" t="s">
        <v>380</v>
      </c>
      <c r="R205" s="254">
        <v>2</v>
      </c>
      <c r="S205" s="250" t="s">
        <v>26</v>
      </c>
      <c r="T205" s="257" t="str">
        <f>+_xlfn.XLOOKUP(A205,Sheet1!C:C,Sheet1!A:A,"-",0)</f>
        <v>-</v>
      </c>
      <c r="Y205" s="49">
        <v>6018681.1639999999</v>
      </c>
      <c r="Z205" s="49">
        <f t="shared" si="69"/>
        <v>0</v>
      </c>
    </row>
    <row r="206" spans="1:26" ht="14.25" customHeight="1" x14ac:dyDescent="0.35">
      <c r="A206" s="83">
        <v>24.03</v>
      </c>
      <c r="B206" s="38" t="s">
        <v>3019</v>
      </c>
      <c r="C206" s="15" t="s">
        <v>381</v>
      </c>
      <c r="D206" s="20" t="s">
        <v>33</v>
      </c>
      <c r="E206" s="74">
        <v>17</v>
      </c>
      <c r="F206" s="75">
        <f>IF(Q206&lt;&gt;"",IFERROR(VLOOKUP(Q206,PARTIDAS!A:P,13,FALSE()),0),0)</f>
        <v>0</v>
      </c>
      <c r="G206" s="47">
        <f>IF(Q206&lt;&gt;"",IFERROR(VLOOKUP(Q206,PARTIDAS!A:P,14,FALSE()),0),0)</f>
        <v>150000</v>
      </c>
      <c r="H206" s="47">
        <f>IF(Q206&lt;&gt;"",IFERROR(VLOOKUP(Q206,PARTIDAS!A:P,15,FALSE()),0),0)</f>
        <v>0</v>
      </c>
      <c r="I206" s="76">
        <f t="shared" si="70"/>
        <v>150000</v>
      </c>
      <c r="J206" s="77">
        <f t="shared" si="71"/>
        <v>0</v>
      </c>
      <c r="K206" s="42">
        <f t="shared" si="72"/>
        <v>2550000</v>
      </c>
      <c r="L206" s="42">
        <f t="shared" si="73"/>
        <v>0</v>
      </c>
      <c r="M206" s="76">
        <f t="shared" si="74"/>
        <v>2550000</v>
      </c>
      <c r="N206" s="78">
        <f t="shared" si="75"/>
        <v>3398385</v>
      </c>
      <c r="O206" s="79"/>
      <c r="P206" s="80"/>
      <c r="Q206" s="44" t="s">
        <v>382</v>
      </c>
      <c r="R206" s="254">
        <v>2</v>
      </c>
      <c r="S206" s="250" t="s">
        <v>26</v>
      </c>
      <c r="T206" s="257" t="str">
        <f>+_xlfn.XLOOKUP(A206,Sheet1!C:C,Sheet1!A:A,"-",0)</f>
        <v>-</v>
      </c>
      <c r="Y206" s="49">
        <v>2550000</v>
      </c>
      <c r="Z206" s="49">
        <f t="shared" si="69"/>
        <v>0</v>
      </c>
    </row>
    <row r="207" spans="1:26" ht="14.25" customHeight="1" x14ac:dyDescent="0.35">
      <c r="A207" s="83">
        <v>24.04</v>
      </c>
      <c r="B207" s="38" t="s">
        <v>3019</v>
      </c>
      <c r="C207" s="15" t="s">
        <v>383</v>
      </c>
      <c r="D207" s="20" t="s">
        <v>24</v>
      </c>
      <c r="E207" s="74">
        <v>1</v>
      </c>
      <c r="F207" s="75">
        <f>IF(Q207&lt;&gt;"",IFERROR(VLOOKUP(Q207,PARTIDAS!A:P,13,FALSE()),0),0)</f>
        <v>2304593.0853333306</v>
      </c>
      <c r="G207" s="47">
        <f>IF(Q207&lt;&gt;"",IFERROR(VLOOKUP(Q207,PARTIDAS!A:P,14,FALSE()),0),0)</f>
        <v>2341204.7030503042</v>
      </c>
      <c r="H207" s="47">
        <f>IF(Q207&lt;&gt;"",IFERROR(VLOOKUP(Q207,PARTIDAS!A:P,15,FALSE()),0),0)</f>
        <v>69686.966825754498</v>
      </c>
      <c r="I207" s="76">
        <f t="shared" si="70"/>
        <v>4715484.7552093891</v>
      </c>
      <c r="J207" s="77">
        <f t="shared" si="71"/>
        <v>2304593.0853333306</v>
      </c>
      <c r="K207" s="42">
        <f t="shared" si="72"/>
        <v>2341204.7030503042</v>
      </c>
      <c r="L207" s="42">
        <f t="shared" si="73"/>
        <v>69686.966825754498</v>
      </c>
      <c r="M207" s="76">
        <f t="shared" si="74"/>
        <v>4715484.7552093891</v>
      </c>
      <c r="N207" s="78">
        <f t="shared" si="75"/>
        <v>6284326.533267553</v>
      </c>
      <c r="O207" s="79"/>
      <c r="P207" s="80"/>
      <c r="Q207" s="44" t="s">
        <v>384</v>
      </c>
      <c r="R207" s="254">
        <v>2</v>
      </c>
      <c r="S207" s="250" t="s">
        <v>26</v>
      </c>
      <c r="T207" s="257" t="str">
        <f>+_xlfn.XLOOKUP(A207,Sheet1!C:C,Sheet1!A:A,"-",0)</f>
        <v>Albañilería</v>
      </c>
      <c r="Y207" s="49">
        <v>4715484.755209391</v>
      </c>
      <c r="Z207" s="49">
        <f t="shared" si="69"/>
        <v>0</v>
      </c>
    </row>
    <row r="208" spans="1:26" ht="14.25" customHeight="1" x14ac:dyDescent="0.35">
      <c r="A208" s="83">
        <v>24.05</v>
      </c>
      <c r="B208" s="38" t="s">
        <v>3019</v>
      </c>
      <c r="C208" s="15" t="s">
        <v>385</v>
      </c>
      <c r="D208" s="20" t="s">
        <v>33</v>
      </c>
      <c r="E208" s="74">
        <v>17</v>
      </c>
      <c r="F208" s="75">
        <f>IF(Q208&lt;&gt;"",IFERROR(VLOOKUP(Q208,PARTIDAS!A:P,13,FALSE()),0),0)</f>
        <v>50000</v>
      </c>
      <c r="G208" s="47">
        <f>IF(Q208&lt;&gt;"",IFERROR(VLOOKUP(Q208,PARTIDAS!A:P,14,FALSE()),0),0)</f>
        <v>596028.72377914796</v>
      </c>
      <c r="H208" s="47">
        <f>IF(Q208&lt;&gt;"",IFERROR(VLOOKUP(Q208,PARTIDAS!A:P,15,FALSE()),0),0)</f>
        <v>9690.4308566872205</v>
      </c>
      <c r="I208" s="76">
        <f t="shared" si="70"/>
        <v>655719.15463583521</v>
      </c>
      <c r="J208" s="77">
        <f t="shared" si="71"/>
        <v>850000</v>
      </c>
      <c r="K208" s="42">
        <f t="shared" si="72"/>
        <v>10132488.304245515</v>
      </c>
      <c r="L208" s="42">
        <f t="shared" si="73"/>
        <v>164737.32456368275</v>
      </c>
      <c r="M208" s="76">
        <f t="shared" si="74"/>
        <v>11147225.628809199</v>
      </c>
      <c r="N208" s="78">
        <f t="shared" si="75"/>
        <v>14855907.59551402</v>
      </c>
      <c r="O208" s="79"/>
      <c r="P208" s="80"/>
      <c r="Q208" s="44" t="s">
        <v>386</v>
      </c>
      <c r="R208" s="254">
        <v>2</v>
      </c>
      <c r="S208" s="250" t="s">
        <v>26</v>
      </c>
      <c r="T208" s="257" t="str">
        <f>+_xlfn.XLOOKUP(A208,Sheet1!C:C,Sheet1!A:A,"-",0)</f>
        <v>Albañilería</v>
      </c>
      <c r="Y208" s="49">
        <v>11147225.628809189</v>
      </c>
      <c r="Z208" s="49">
        <f t="shared" si="69"/>
        <v>0</v>
      </c>
    </row>
    <row r="209" spans="1:26" ht="14.25" customHeight="1" x14ac:dyDescent="0.35">
      <c r="A209" s="83">
        <v>24.06</v>
      </c>
      <c r="B209" s="38" t="s">
        <v>3019</v>
      </c>
      <c r="C209" s="15" t="s">
        <v>387</v>
      </c>
      <c r="D209" s="20" t="s">
        <v>33</v>
      </c>
      <c r="E209" s="74">
        <v>17</v>
      </c>
      <c r="F209" s="75">
        <f>IF(Q209&lt;&gt;"",IFERROR(VLOOKUP(Q209,PARTIDAS!A:P,13,FALSE()),0),0)</f>
        <v>25000</v>
      </c>
      <c r="G209" s="47">
        <f>IF(Q209&lt;&gt;"",IFERROR(VLOOKUP(Q209,PARTIDAS!A:P,14,FALSE()),0),0)</f>
        <v>401679.83312537521</v>
      </c>
      <c r="H209" s="47">
        <f>IF(Q209&lt;&gt;"",IFERROR(VLOOKUP(Q209,PARTIDAS!A:P,15,FALSE()),0),0)</f>
        <v>6400.1974968806198</v>
      </c>
      <c r="I209" s="76">
        <f t="shared" si="70"/>
        <v>433080.03062225581</v>
      </c>
      <c r="J209" s="77">
        <f t="shared" si="71"/>
        <v>425000</v>
      </c>
      <c r="K209" s="42">
        <f t="shared" si="72"/>
        <v>6828557.1631313786</v>
      </c>
      <c r="L209" s="42">
        <f t="shared" si="73"/>
        <v>108803.35744697053</v>
      </c>
      <c r="M209" s="76">
        <f t="shared" si="74"/>
        <v>7362360.520578349</v>
      </c>
      <c r="N209" s="78">
        <f t="shared" si="75"/>
        <v>9811817.8657747656</v>
      </c>
      <c r="O209" s="79"/>
      <c r="P209" s="80"/>
      <c r="Q209" s="44" t="s">
        <v>388</v>
      </c>
      <c r="R209" s="254">
        <v>2</v>
      </c>
      <c r="S209" s="250" t="s">
        <v>26</v>
      </c>
      <c r="T209" s="257" t="str">
        <f>+_xlfn.XLOOKUP(A209,Sheet1!C:C,Sheet1!A:A,"-",0)</f>
        <v>Albañilería</v>
      </c>
      <c r="Y209" s="49">
        <v>7362360.5205783444</v>
      </c>
      <c r="Z209" s="49">
        <f t="shared" si="69"/>
        <v>0</v>
      </c>
    </row>
    <row r="210" spans="1:26" ht="14.25" customHeight="1" x14ac:dyDescent="0.35">
      <c r="A210" s="83">
        <v>24.07</v>
      </c>
      <c r="B210" s="38" t="s">
        <v>3019</v>
      </c>
      <c r="C210" s="15" t="s">
        <v>389</v>
      </c>
      <c r="D210" s="20" t="s">
        <v>24</v>
      </c>
      <c r="E210" s="74">
        <v>1</v>
      </c>
      <c r="F210" s="75">
        <f>IF(Q210&lt;&gt;"",IFERROR(VLOOKUP(Q210,PARTIDAS!A:P,13,FALSE()),0),0)</f>
        <v>250000</v>
      </c>
      <c r="G210" s="47">
        <f>IF(Q210&lt;&gt;"",IFERROR(VLOOKUP(Q210,PARTIDAS!A:P,14,FALSE()),0),0)</f>
        <v>3651634.8465943201</v>
      </c>
      <c r="H210" s="47">
        <f>IF(Q210&lt;&gt;"",IFERROR(VLOOKUP(Q210,PARTIDAS!A:P,15,FALSE()),0),0)</f>
        <v>58524.5226989148</v>
      </c>
      <c r="I210" s="76">
        <f t="shared" si="70"/>
        <v>3960159.3692932348</v>
      </c>
      <c r="J210" s="77">
        <f t="shared" si="71"/>
        <v>250000</v>
      </c>
      <c r="K210" s="42">
        <f t="shared" si="72"/>
        <v>3651634.8465943201</v>
      </c>
      <c r="L210" s="42">
        <f t="shared" si="73"/>
        <v>58524.5226989148</v>
      </c>
      <c r="M210" s="76">
        <f t="shared" si="74"/>
        <v>3960159.3692932348</v>
      </c>
      <c r="N210" s="78">
        <f t="shared" si="75"/>
        <v>5277704.3914570939</v>
      </c>
      <c r="O210" s="79"/>
      <c r="P210" s="80"/>
      <c r="Q210" s="44" t="s">
        <v>390</v>
      </c>
      <c r="R210" s="254">
        <v>2</v>
      </c>
      <c r="S210" s="250" t="s">
        <v>26</v>
      </c>
      <c r="T210" s="257" t="str">
        <f>+_xlfn.XLOOKUP(A210,Sheet1!C:C,Sheet1!A:A,"-",0)</f>
        <v>Albañilería</v>
      </c>
      <c r="Y210" s="49">
        <v>3960159.369293232</v>
      </c>
      <c r="Z210" s="49">
        <f t="shared" si="69"/>
        <v>0</v>
      </c>
    </row>
    <row r="211" spans="1:26" ht="14.25" customHeight="1" x14ac:dyDescent="0.35">
      <c r="A211" s="83">
        <v>24.08</v>
      </c>
      <c r="B211" s="38" t="s">
        <v>3019</v>
      </c>
      <c r="C211" s="15" t="s">
        <v>391</v>
      </c>
      <c r="D211" s="20" t="s">
        <v>33</v>
      </c>
      <c r="E211" s="74">
        <v>17</v>
      </c>
      <c r="F211" s="75">
        <f>IF(Q211&lt;&gt;"",IFERROR(VLOOKUP(Q211,PARTIDAS!A:P,13,FALSE()),0),0)</f>
        <v>0</v>
      </c>
      <c r="G211" s="47">
        <f>IF(Q211&lt;&gt;"",IFERROR(VLOOKUP(Q211,PARTIDAS!A:P,14,FALSE()),0),0)</f>
        <v>300000</v>
      </c>
      <c r="H211" s="47">
        <f>IF(Q211&lt;&gt;"",IFERROR(VLOOKUP(Q211,PARTIDAS!A:P,15,FALSE()),0),0)</f>
        <v>0</v>
      </c>
      <c r="I211" s="76">
        <f t="shared" si="70"/>
        <v>300000</v>
      </c>
      <c r="J211" s="77">
        <f t="shared" si="71"/>
        <v>0</v>
      </c>
      <c r="K211" s="42">
        <f t="shared" si="72"/>
        <v>5100000</v>
      </c>
      <c r="L211" s="42">
        <f t="shared" si="73"/>
        <v>0</v>
      </c>
      <c r="M211" s="76">
        <f t="shared" si="74"/>
        <v>5100000</v>
      </c>
      <c r="N211" s="78">
        <f t="shared" si="75"/>
        <v>6796770</v>
      </c>
      <c r="O211" s="79"/>
      <c r="P211" s="80"/>
      <c r="Q211" s="44" t="s">
        <v>392</v>
      </c>
      <c r="R211" s="254">
        <v>2</v>
      </c>
      <c r="S211" s="250" t="s">
        <v>26</v>
      </c>
      <c r="T211" s="257" t="str">
        <f>+_xlfn.XLOOKUP(A211,Sheet1!C:C,Sheet1!A:A,"-",0)</f>
        <v>-</v>
      </c>
      <c r="Y211" s="49">
        <v>5100000</v>
      </c>
      <c r="Z211" s="49">
        <f t="shared" si="69"/>
        <v>0</v>
      </c>
    </row>
    <row r="212" spans="1:26" ht="14.25" customHeight="1" x14ac:dyDescent="0.35">
      <c r="A212" s="83">
        <v>24.09</v>
      </c>
      <c r="B212" s="38" t="s">
        <v>3019</v>
      </c>
      <c r="C212" s="15" t="s">
        <v>393</v>
      </c>
      <c r="D212" s="20" t="s">
        <v>33</v>
      </c>
      <c r="E212" s="74">
        <v>17</v>
      </c>
      <c r="F212" s="75">
        <f>IF(Q212&lt;&gt;"",IFERROR(VLOOKUP(Q212,PARTIDAS!A:P,13,FALSE()),0),0)</f>
        <v>200000</v>
      </c>
      <c r="G212" s="47">
        <f>IF(Q212&lt;&gt;"",IFERROR(VLOOKUP(Q212,PARTIDAS!A:P,14,FALSE()),0),0)</f>
        <v>60860.580776572002</v>
      </c>
      <c r="H212" s="47">
        <f>IF(Q212&lt;&gt;"",IFERROR(VLOOKUP(Q212,PARTIDAS!A:P,15,FALSE()),0),0)</f>
        <v>0</v>
      </c>
      <c r="I212" s="76">
        <f t="shared" si="70"/>
        <v>260860.58077657199</v>
      </c>
      <c r="J212" s="77">
        <f t="shared" si="71"/>
        <v>3400000</v>
      </c>
      <c r="K212" s="42">
        <f t="shared" si="72"/>
        <v>1034629.873201724</v>
      </c>
      <c r="L212" s="42">
        <f t="shared" si="73"/>
        <v>0</v>
      </c>
      <c r="M212" s="76">
        <f t="shared" si="74"/>
        <v>4434629.8732017241</v>
      </c>
      <c r="N212" s="78">
        <f t="shared" si="75"/>
        <v>5910031.2320159376</v>
      </c>
      <c r="O212" s="79"/>
      <c r="P212" s="80"/>
      <c r="Q212" s="44" t="s">
        <v>394</v>
      </c>
      <c r="R212" s="254">
        <v>2</v>
      </c>
      <c r="S212" s="250" t="s">
        <v>26</v>
      </c>
      <c r="T212" s="257" t="str">
        <f>+_xlfn.XLOOKUP(A212,Sheet1!C:C,Sheet1!A:A,"-",0)</f>
        <v>Albañilería</v>
      </c>
      <c r="Y212" s="49">
        <v>4434629.8732017232</v>
      </c>
      <c r="Z212" s="49">
        <f t="shared" si="69"/>
        <v>0</v>
      </c>
    </row>
    <row r="213" spans="1:26" ht="14.25" customHeight="1" x14ac:dyDescent="0.35">
      <c r="A213" s="61">
        <v>25</v>
      </c>
      <c r="B213" s="62"/>
      <c r="C213" s="63" t="s">
        <v>3020</v>
      </c>
      <c r="D213" s="64"/>
      <c r="E213" s="65"/>
      <c r="F213" s="66"/>
      <c r="G213" s="67"/>
      <c r="H213" s="67"/>
      <c r="I213" s="68"/>
      <c r="J213" s="66"/>
      <c r="K213" s="67"/>
      <c r="L213" s="67"/>
      <c r="M213" s="68"/>
      <c r="N213" s="69"/>
      <c r="O213" s="70">
        <f>+SUM(M214:M215)</f>
        <v>82827579.894000009</v>
      </c>
      <c r="P213" s="71">
        <f>+SUM(N214:N215)</f>
        <v>110384315.72473381</v>
      </c>
      <c r="Q213" s="67"/>
      <c r="R213" s="253"/>
      <c r="S213" s="251"/>
      <c r="T213" s="258"/>
      <c r="Y213" s="49">
        <v>0</v>
      </c>
      <c r="Z213" s="49">
        <f t="shared" si="69"/>
        <v>0</v>
      </c>
    </row>
    <row r="214" spans="1:26" ht="14.25" customHeight="1" x14ac:dyDescent="0.35">
      <c r="A214" s="83">
        <v>25.01</v>
      </c>
      <c r="B214" s="38" t="s">
        <v>3020</v>
      </c>
      <c r="C214" s="15" t="s">
        <v>395</v>
      </c>
      <c r="D214" s="20" t="s">
        <v>33</v>
      </c>
      <c r="E214" s="74">
        <v>17</v>
      </c>
      <c r="F214" s="75">
        <f>IF(Q214&lt;&gt;"",IFERROR(VLOOKUP(Q214,PARTIDAS!A:P,13,FALSE()),0),0)</f>
        <v>0</v>
      </c>
      <c r="G214" s="47">
        <f>IF(Q214&lt;&gt;"",IFERROR(VLOOKUP(Q214,PARTIDAS!A:P,14,FALSE()),0),0)</f>
        <v>4372210.5820000004</v>
      </c>
      <c r="H214" s="47">
        <f>IF(Q214&lt;&gt;"",IFERROR(VLOOKUP(Q214,PARTIDAS!A:P,15,FALSE()),0),0)</f>
        <v>0</v>
      </c>
      <c r="I214" s="76">
        <f>F214+G214+H214</f>
        <v>4372210.5820000004</v>
      </c>
      <c r="J214" s="77">
        <f>F214*E214</f>
        <v>0</v>
      </c>
      <c r="K214" s="42">
        <f>G214*E214</f>
        <v>74327579.894000009</v>
      </c>
      <c r="L214" s="42">
        <f>H214*E214</f>
        <v>0</v>
      </c>
      <c r="M214" s="76">
        <f>I214*E214</f>
        <v>74327579.894000009</v>
      </c>
      <c r="N214" s="78">
        <f>M214*$N$2</f>
        <v>99056365.724733815</v>
      </c>
      <c r="O214" s="79"/>
      <c r="P214" s="80"/>
      <c r="Q214" s="44" t="s">
        <v>396</v>
      </c>
      <c r="R214" s="254">
        <v>2</v>
      </c>
      <c r="S214" s="250" t="s">
        <v>26</v>
      </c>
      <c r="T214" s="257" t="str">
        <f>+_xlfn.XLOOKUP(A214,Sheet1!C:C,Sheet1!A:A,"-",0)</f>
        <v>-</v>
      </c>
      <c r="Y214" s="49">
        <v>74327579.894000009</v>
      </c>
      <c r="Z214" s="49">
        <f t="shared" si="69"/>
        <v>0</v>
      </c>
    </row>
    <row r="215" spans="1:26" ht="14.25" customHeight="1" thickBot="1" x14ac:dyDescent="0.4">
      <c r="A215" s="87">
        <v>25.02</v>
      </c>
      <c r="B215" s="88" t="s">
        <v>3020</v>
      </c>
      <c r="C215" s="89" t="s">
        <v>397</v>
      </c>
      <c r="D215" s="90" t="s">
        <v>33</v>
      </c>
      <c r="E215" s="91">
        <v>17</v>
      </c>
      <c r="F215" s="92">
        <f>IF(Q215&lt;&gt;"",IFERROR(VLOOKUP(Q215,PARTIDAS!A:P,13,FALSE()),0),0)</f>
        <v>0</v>
      </c>
      <c r="G215" s="93">
        <f>IF(Q215&lt;&gt;"",IFERROR(VLOOKUP(Q215,PARTIDAS!A:P,14,FALSE()),0),0)</f>
        <v>500000</v>
      </c>
      <c r="H215" s="93">
        <f>IF(Q215&lt;&gt;"",IFERROR(VLOOKUP(Q215,PARTIDAS!A:P,15,FALSE()),0),0)</f>
        <v>0</v>
      </c>
      <c r="I215" s="94">
        <f>F215+G215+H215</f>
        <v>500000</v>
      </c>
      <c r="J215" s="95">
        <f>F215*E215</f>
        <v>0</v>
      </c>
      <c r="K215" s="96">
        <f>G215*E215</f>
        <v>8500000</v>
      </c>
      <c r="L215" s="96">
        <f>H215*E215</f>
        <v>0</v>
      </c>
      <c r="M215" s="94">
        <f>I215*E215</f>
        <v>8500000</v>
      </c>
      <c r="N215" s="97">
        <f>M215*$N$2</f>
        <v>11327950</v>
      </c>
      <c r="O215" s="98"/>
      <c r="P215" s="99"/>
      <c r="Q215" s="100" t="s">
        <v>398</v>
      </c>
      <c r="R215" s="255">
        <v>2</v>
      </c>
      <c r="S215" s="252" t="s">
        <v>26</v>
      </c>
      <c r="T215" s="257" t="str">
        <f>+_xlfn.XLOOKUP(A215,Sheet1!C:C,Sheet1!A:A,"-",0)</f>
        <v>-</v>
      </c>
      <c r="Y215" s="49">
        <v>8500000</v>
      </c>
      <c r="Z215" s="49">
        <f t="shared" si="69"/>
        <v>0</v>
      </c>
    </row>
    <row r="216" spans="1:26" ht="14.25" customHeight="1" thickBot="1" x14ac:dyDescent="0.4">
      <c r="A216" s="101" t="s">
        <v>399</v>
      </c>
      <c r="B216" s="102"/>
      <c r="C216" s="103"/>
      <c r="D216" s="104"/>
      <c r="E216" s="105"/>
      <c r="F216" s="106"/>
      <c r="G216" s="106"/>
      <c r="H216" s="106"/>
      <c r="I216" s="107"/>
      <c r="J216" s="107">
        <f>+SUM(J5:J215)</f>
        <v>362110911.44430768</v>
      </c>
      <c r="K216" s="107">
        <f>+SUM(K5:K215)</f>
        <v>627572168.20007408</v>
      </c>
      <c r="L216" s="107">
        <f>+SUM(L5:L215)</f>
        <v>21494482.933074646</v>
      </c>
      <c r="M216" s="107">
        <f>+SUM(M5:M215)</f>
        <v>1011177562.5774567</v>
      </c>
      <c r="N216" s="107">
        <f>+SUM(N5:N215)</f>
        <v>1344661838.8629761</v>
      </c>
      <c r="O216" s="107">
        <f>+SUM(O4:O215)</f>
        <v>1011177562.5774565</v>
      </c>
      <c r="P216" s="107">
        <f>+SUM(P4:P215)</f>
        <v>1344661838.8629761</v>
      </c>
      <c r="Q216" s="108"/>
      <c r="R216" s="256"/>
      <c r="S216" s="109"/>
      <c r="T216" s="109"/>
      <c r="Y216" s="49">
        <v>1009831892.884601</v>
      </c>
      <c r="Z216" s="49">
        <f t="shared" si="69"/>
        <v>1345669.6928557158</v>
      </c>
    </row>
    <row r="217" spans="1:26" ht="14.25" customHeight="1" x14ac:dyDescent="0.35">
      <c r="J217" s="110"/>
      <c r="Z217" s="111">
        <f>+Z216/Y216</f>
        <v>1.3325680267552143E-3</v>
      </c>
    </row>
    <row r="218" spans="1:26" ht="14.25" customHeight="1" x14ac:dyDescent="0.35">
      <c r="M218" s="48"/>
      <c r="N218" s="112"/>
    </row>
    <row r="219" spans="1:26" ht="14.25" customHeight="1" x14ac:dyDescent="0.35">
      <c r="M219" s="48"/>
    </row>
    <row r="220" spans="1:26" ht="14.25" customHeight="1" x14ac:dyDescent="0.35">
      <c r="M220" s="48"/>
    </row>
  </sheetData>
  <autoFilter ref="A3:AA216" xr:uid="{00000000-0001-0000-0900-000000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6B08-184C-4748-8D63-7F4B5CCDDA45}">
  <dimension ref="A1:C184"/>
  <sheetViews>
    <sheetView topLeftCell="A142" workbookViewId="0">
      <selection activeCell="C144" sqref="C144"/>
    </sheetView>
  </sheetViews>
  <sheetFormatPr defaultRowHeight="14.5" x14ac:dyDescent="0.35"/>
  <sheetData>
    <row r="1" spans="1:3" x14ac:dyDescent="0.35">
      <c r="A1" t="s">
        <v>3037</v>
      </c>
      <c r="B1" t="s">
        <v>3038</v>
      </c>
      <c r="C1" t="s">
        <v>3065</v>
      </c>
    </row>
    <row r="2" spans="1:3" x14ac:dyDescent="0.35">
      <c r="A2" t="s">
        <v>3039</v>
      </c>
      <c r="B2" t="s">
        <v>3040</v>
      </c>
      <c r="C2">
        <v>1.02</v>
      </c>
    </row>
    <row r="3" spans="1:3" x14ac:dyDescent="0.35">
      <c r="A3" t="s">
        <v>3039</v>
      </c>
      <c r="B3" t="s">
        <v>3040</v>
      </c>
      <c r="C3">
        <v>1.04</v>
      </c>
    </row>
    <row r="4" spans="1:3" x14ac:dyDescent="0.35">
      <c r="A4" t="s">
        <v>3039</v>
      </c>
      <c r="B4" t="s">
        <v>3040</v>
      </c>
      <c r="C4">
        <v>1.05</v>
      </c>
    </row>
    <row r="5" spans="1:3" x14ac:dyDescent="0.35">
      <c r="A5" t="s">
        <v>3039</v>
      </c>
      <c r="B5" t="s">
        <v>3040</v>
      </c>
      <c r="C5">
        <v>1.06</v>
      </c>
    </row>
    <row r="6" spans="1:3" x14ac:dyDescent="0.35">
      <c r="A6" t="s">
        <v>3039</v>
      </c>
      <c r="B6" t="s">
        <v>3040</v>
      </c>
      <c r="C6">
        <v>1.07</v>
      </c>
    </row>
    <row r="7" spans="1:3" x14ac:dyDescent="0.35">
      <c r="A7" t="s">
        <v>3039</v>
      </c>
      <c r="B7" t="s">
        <v>3040</v>
      </c>
      <c r="C7">
        <v>1.08</v>
      </c>
    </row>
    <row r="8" spans="1:3" x14ac:dyDescent="0.35">
      <c r="A8" t="s">
        <v>3041</v>
      </c>
      <c r="B8" t="s">
        <v>3040</v>
      </c>
      <c r="C8">
        <v>1.0900000000000001</v>
      </c>
    </row>
    <row r="9" spans="1:3" x14ac:dyDescent="0.35">
      <c r="A9" t="s">
        <v>3042</v>
      </c>
      <c r="B9" t="s">
        <v>3043</v>
      </c>
      <c r="C9">
        <v>2.0099999999999998</v>
      </c>
    </row>
    <row r="10" spans="1:3" x14ac:dyDescent="0.35">
      <c r="A10" t="s">
        <v>3039</v>
      </c>
      <c r="B10" t="s">
        <v>3043</v>
      </c>
      <c r="C10">
        <v>2.02</v>
      </c>
    </row>
    <row r="11" spans="1:3" x14ac:dyDescent="0.35">
      <c r="A11" t="s">
        <v>3039</v>
      </c>
      <c r="B11" t="s">
        <v>3043</v>
      </c>
      <c r="C11">
        <v>2.0299999999999998</v>
      </c>
    </row>
    <row r="12" spans="1:3" x14ac:dyDescent="0.35">
      <c r="A12" t="s">
        <v>3042</v>
      </c>
      <c r="B12" t="s">
        <v>3044</v>
      </c>
      <c r="C12">
        <v>3.01</v>
      </c>
    </row>
    <row r="13" spans="1:3" x14ac:dyDescent="0.35">
      <c r="A13" t="s">
        <v>3041</v>
      </c>
      <c r="B13" t="s">
        <v>3044</v>
      </c>
      <c r="C13">
        <v>3.02</v>
      </c>
    </row>
    <row r="14" spans="1:3" x14ac:dyDescent="0.35">
      <c r="A14" t="s">
        <v>3041</v>
      </c>
      <c r="B14" t="s">
        <v>3044</v>
      </c>
      <c r="C14">
        <v>3.03</v>
      </c>
    </row>
    <row r="15" spans="1:3" x14ac:dyDescent="0.35">
      <c r="A15" t="s">
        <v>3041</v>
      </c>
      <c r="B15" t="s">
        <v>3044</v>
      </c>
      <c r="C15">
        <v>3.04</v>
      </c>
    </row>
    <row r="16" spans="1:3" x14ac:dyDescent="0.35">
      <c r="A16" t="s">
        <v>3041</v>
      </c>
      <c r="B16" t="s">
        <v>3044</v>
      </c>
      <c r="C16">
        <v>3.05</v>
      </c>
    </row>
    <row r="17" spans="1:3" x14ac:dyDescent="0.35">
      <c r="A17" t="s">
        <v>3041</v>
      </c>
      <c r="B17" t="s">
        <v>3044</v>
      </c>
      <c r="C17">
        <v>3.06</v>
      </c>
    </row>
    <row r="18" spans="1:3" x14ac:dyDescent="0.35">
      <c r="A18" t="s">
        <v>3041</v>
      </c>
      <c r="B18" t="s">
        <v>3044</v>
      </c>
      <c r="C18">
        <v>3.07</v>
      </c>
    </row>
    <row r="19" spans="1:3" x14ac:dyDescent="0.35">
      <c r="A19" t="s">
        <v>3041</v>
      </c>
      <c r="B19" t="s">
        <v>3044</v>
      </c>
      <c r="C19">
        <v>3.08</v>
      </c>
    </row>
    <row r="20" spans="1:3" x14ac:dyDescent="0.35">
      <c r="A20" t="s">
        <v>3041</v>
      </c>
      <c r="B20" t="s">
        <v>3044</v>
      </c>
      <c r="C20">
        <v>3.09</v>
      </c>
    </row>
    <row r="21" spans="1:3" x14ac:dyDescent="0.35">
      <c r="A21" t="s">
        <v>3042</v>
      </c>
      <c r="B21" t="s">
        <v>3044</v>
      </c>
      <c r="C21">
        <v>3.1</v>
      </c>
    </row>
    <row r="22" spans="1:3" x14ac:dyDescent="0.35">
      <c r="A22" t="s">
        <v>3041</v>
      </c>
      <c r="B22" t="s">
        <v>3044</v>
      </c>
      <c r="C22">
        <v>3.11</v>
      </c>
    </row>
    <row r="23" spans="1:3" x14ac:dyDescent="0.35">
      <c r="A23" t="s">
        <v>3042</v>
      </c>
      <c r="B23" t="s">
        <v>3044</v>
      </c>
      <c r="C23">
        <v>3.12</v>
      </c>
    </row>
    <row r="24" spans="1:3" x14ac:dyDescent="0.35">
      <c r="A24" t="s">
        <v>3041</v>
      </c>
      <c r="B24" t="s">
        <v>3044</v>
      </c>
      <c r="C24">
        <v>3.13</v>
      </c>
    </row>
    <row r="25" spans="1:3" x14ac:dyDescent="0.35">
      <c r="A25" t="s">
        <v>3041</v>
      </c>
      <c r="B25" t="s">
        <v>3044</v>
      </c>
      <c r="C25">
        <v>3.14</v>
      </c>
    </row>
    <row r="26" spans="1:3" x14ac:dyDescent="0.35">
      <c r="A26" t="s">
        <v>3042</v>
      </c>
      <c r="B26" t="s">
        <v>3044</v>
      </c>
      <c r="C26">
        <v>3.16</v>
      </c>
    </row>
    <row r="27" spans="1:3" x14ac:dyDescent="0.35">
      <c r="A27" t="s">
        <v>3042</v>
      </c>
      <c r="B27" t="s">
        <v>3044</v>
      </c>
      <c r="C27">
        <v>3.17</v>
      </c>
    </row>
    <row r="28" spans="1:3" x14ac:dyDescent="0.35">
      <c r="A28" t="s">
        <v>3041</v>
      </c>
      <c r="B28" t="s">
        <v>3044</v>
      </c>
      <c r="C28">
        <v>3.18</v>
      </c>
    </row>
    <row r="29" spans="1:3" x14ac:dyDescent="0.35">
      <c r="A29" t="s">
        <v>3041</v>
      </c>
      <c r="B29" t="s">
        <v>3044</v>
      </c>
      <c r="C29">
        <v>3.19</v>
      </c>
    </row>
    <row r="30" spans="1:3" x14ac:dyDescent="0.35">
      <c r="A30" t="s">
        <v>3041</v>
      </c>
      <c r="B30" t="s">
        <v>3044</v>
      </c>
      <c r="C30">
        <v>3.2</v>
      </c>
    </row>
    <row r="31" spans="1:3" x14ac:dyDescent="0.35">
      <c r="A31" t="s">
        <v>3041</v>
      </c>
      <c r="B31" t="s">
        <v>3044</v>
      </c>
      <c r="C31">
        <v>3.21</v>
      </c>
    </row>
    <row r="32" spans="1:3" x14ac:dyDescent="0.35">
      <c r="A32" t="s">
        <v>3042</v>
      </c>
      <c r="B32" t="s">
        <v>3044</v>
      </c>
      <c r="C32">
        <v>3.22</v>
      </c>
    </row>
    <row r="33" spans="1:3" x14ac:dyDescent="0.35">
      <c r="A33" t="s">
        <v>3045</v>
      </c>
      <c r="B33" t="s">
        <v>94</v>
      </c>
      <c r="C33">
        <v>4.01</v>
      </c>
    </row>
    <row r="34" spans="1:3" x14ac:dyDescent="0.35">
      <c r="A34" t="s">
        <v>3045</v>
      </c>
      <c r="B34" t="s">
        <v>94</v>
      </c>
      <c r="C34">
        <v>4.0199999999999996</v>
      </c>
    </row>
    <row r="35" spans="1:3" x14ac:dyDescent="0.35">
      <c r="A35" t="s">
        <v>3045</v>
      </c>
      <c r="B35" t="s">
        <v>94</v>
      </c>
      <c r="C35">
        <v>4.03</v>
      </c>
    </row>
    <row r="36" spans="1:3" x14ac:dyDescent="0.35">
      <c r="A36" t="s">
        <v>3045</v>
      </c>
      <c r="B36" t="s">
        <v>94</v>
      </c>
      <c r="C36">
        <v>4.04</v>
      </c>
    </row>
    <row r="37" spans="1:3" x14ac:dyDescent="0.35">
      <c r="A37" t="s">
        <v>3045</v>
      </c>
      <c r="B37" t="s">
        <v>94</v>
      </c>
      <c r="C37">
        <v>4.05</v>
      </c>
    </row>
    <row r="38" spans="1:3" x14ac:dyDescent="0.35">
      <c r="A38" t="s">
        <v>3045</v>
      </c>
      <c r="B38" t="s">
        <v>94</v>
      </c>
      <c r="C38">
        <v>4.0599999999999996</v>
      </c>
    </row>
    <row r="39" spans="1:3" x14ac:dyDescent="0.35">
      <c r="A39" t="s">
        <v>3045</v>
      </c>
      <c r="B39" t="s">
        <v>94</v>
      </c>
      <c r="C39">
        <v>4.07</v>
      </c>
    </row>
    <row r="40" spans="1:3" x14ac:dyDescent="0.35">
      <c r="A40" t="s">
        <v>3045</v>
      </c>
      <c r="B40" t="s">
        <v>94</v>
      </c>
      <c r="C40">
        <v>4.08</v>
      </c>
    </row>
    <row r="41" spans="1:3" x14ac:dyDescent="0.35">
      <c r="A41" t="s">
        <v>3045</v>
      </c>
      <c r="B41" t="s">
        <v>94</v>
      </c>
      <c r="C41">
        <v>4.09</v>
      </c>
    </row>
    <row r="42" spans="1:3" x14ac:dyDescent="0.35">
      <c r="A42" t="s">
        <v>3045</v>
      </c>
      <c r="B42" t="s">
        <v>94</v>
      </c>
      <c r="C42">
        <v>4.0999999999999996</v>
      </c>
    </row>
    <row r="43" spans="1:3" x14ac:dyDescent="0.35">
      <c r="A43" t="s">
        <v>3045</v>
      </c>
      <c r="B43" t="s">
        <v>94</v>
      </c>
      <c r="C43">
        <v>4.1100000000000003</v>
      </c>
    </row>
    <row r="44" spans="1:3" x14ac:dyDescent="0.35">
      <c r="A44" t="s">
        <v>3045</v>
      </c>
      <c r="B44" t="s">
        <v>94</v>
      </c>
      <c r="C44">
        <v>4.12</v>
      </c>
    </row>
    <row r="45" spans="1:3" x14ac:dyDescent="0.35">
      <c r="A45" t="s">
        <v>3045</v>
      </c>
      <c r="B45" t="s">
        <v>94</v>
      </c>
      <c r="C45">
        <v>4.13</v>
      </c>
    </row>
    <row r="46" spans="1:3" x14ac:dyDescent="0.35">
      <c r="A46" t="s">
        <v>3045</v>
      </c>
      <c r="B46" t="s">
        <v>94</v>
      </c>
      <c r="C46">
        <v>4.1399999999999997</v>
      </c>
    </row>
    <row r="47" spans="1:3" x14ac:dyDescent="0.35">
      <c r="A47" t="s">
        <v>3045</v>
      </c>
      <c r="B47" t="s">
        <v>3046</v>
      </c>
      <c r="C47">
        <v>5.01</v>
      </c>
    </row>
    <row r="48" spans="1:3" x14ac:dyDescent="0.35">
      <c r="A48" t="s">
        <v>3045</v>
      </c>
      <c r="B48" t="s">
        <v>3046</v>
      </c>
      <c r="C48">
        <v>5.0199999999999996</v>
      </c>
    </row>
    <row r="49" spans="1:3" x14ac:dyDescent="0.35">
      <c r="A49" t="s">
        <v>3045</v>
      </c>
      <c r="B49" t="s">
        <v>3046</v>
      </c>
      <c r="C49">
        <v>5.03</v>
      </c>
    </row>
    <row r="50" spans="1:3" x14ac:dyDescent="0.35">
      <c r="A50" t="s">
        <v>3041</v>
      </c>
      <c r="B50" t="s">
        <v>3046</v>
      </c>
      <c r="C50">
        <v>5.04</v>
      </c>
    </row>
    <row r="51" spans="1:3" x14ac:dyDescent="0.35">
      <c r="A51" t="s">
        <v>3045</v>
      </c>
      <c r="B51" t="s">
        <v>3046</v>
      </c>
      <c r="C51">
        <v>5.05</v>
      </c>
    </row>
    <row r="52" spans="1:3" x14ac:dyDescent="0.35">
      <c r="A52" t="s">
        <v>3045</v>
      </c>
      <c r="B52" t="s">
        <v>3046</v>
      </c>
      <c r="C52">
        <v>5.0599999999999996</v>
      </c>
    </row>
    <row r="53" spans="1:3" x14ac:dyDescent="0.35">
      <c r="A53" t="s">
        <v>3041</v>
      </c>
      <c r="B53" t="s">
        <v>3046</v>
      </c>
      <c r="C53">
        <v>5.07</v>
      </c>
    </row>
    <row r="54" spans="1:3" x14ac:dyDescent="0.35">
      <c r="A54" t="s">
        <v>3045</v>
      </c>
      <c r="B54" t="s">
        <v>138</v>
      </c>
      <c r="C54">
        <v>6.02</v>
      </c>
    </row>
    <row r="55" spans="1:3" x14ac:dyDescent="0.35">
      <c r="A55" t="s">
        <v>3045</v>
      </c>
      <c r="B55" t="s">
        <v>141</v>
      </c>
      <c r="C55">
        <v>7.01</v>
      </c>
    </row>
    <row r="56" spans="1:3" x14ac:dyDescent="0.35">
      <c r="A56" t="s">
        <v>3045</v>
      </c>
      <c r="B56" t="s">
        <v>141</v>
      </c>
      <c r="C56">
        <v>7.02</v>
      </c>
    </row>
    <row r="57" spans="1:3" x14ac:dyDescent="0.35">
      <c r="A57" t="s">
        <v>3041</v>
      </c>
      <c r="B57" t="s">
        <v>141</v>
      </c>
      <c r="C57">
        <v>7.03</v>
      </c>
    </row>
    <row r="58" spans="1:3" x14ac:dyDescent="0.35">
      <c r="A58" t="s">
        <v>3041</v>
      </c>
      <c r="B58" t="s">
        <v>141</v>
      </c>
      <c r="C58">
        <v>7.04</v>
      </c>
    </row>
    <row r="59" spans="1:3" x14ac:dyDescent="0.35">
      <c r="A59" t="s">
        <v>3041</v>
      </c>
      <c r="B59" t="s">
        <v>141</v>
      </c>
      <c r="C59">
        <v>7.05</v>
      </c>
    </row>
    <row r="60" spans="1:3" x14ac:dyDescent="0.35">
      <c r="A60" t="s">
        <v>3045</v>
      </c>
      <c r="B60" t="s">
        <v>141</v>
      </c>
      <c r="C60">
        <v>7.06</v>
      </c>
    </row>
    <row r="61" spans="1:3" x14ac:dyDescent="0.35">
      <c r="A61" t="s">
        <v>3045</v>
      </c>
      <c r="B61" t="s">
        <v>154</v>
      </c>
      <c r="C61">
        <v>8.01</v>
      </c>
    </row>
    <row r="62" spans="1:3" x14ac:dyDescent="0.35">
      <c r="A62" t="s">
        <v>3045</v>
      </c>
      <c r="B62" t="s">
        <v>154</v>
      </c>
      <c r="C62">
        <v>8.02</v>
      </c>
    </row>
    <row r="63" spans="1:3" x14ac:dyDescent="0.35">
      <c r="A63" t="s">
        <v>3045</v>
      </c>
      <c r="B63" t="s">
        <v>154</v>
      </c>
      <c r="C63">
        <v>8.0299999999999994</v>
      </c>
    </row>
    <row r="64" spans="1:3" x14ac:dyDescent="0.35">
      <c r="A64" t="s">
        <v>3045</v>
      </c>
      <c r="B64" t="s">
        <v>154</v>
      </c>
      <c r="C64">
        <v>8.0399999999999991</v>
      </c>
    </row>
    <row r="65" spans="1:3" x14ac:dyDescent="0.35">
      <c r="A65" t="s">
        <v>3045</v>
      </c>
      <c r="B65" t="s">
        <v>154</v>
      </c>
      <c r="C65">
        <v>8.0500000000000007</v>
      </c>
    </row>
    <row r="66" spans="1:3" x14ac:dyDescent="0.35">
      <c r="A66" t="s">
        <v>3045</v>
      </c>
      <c r="B66" t="s">
        <v>154</v>
      </c>
      <c r="C66">
        <v>8.06</v>
      </c>
    </row>
    <row r="67" spans="1:3" x14ac:dyDescent="0.35">
      <c r="A67" t="s">
        <v>3045</v>
      </c>
      <c r="B67" t="s">
        <v>154</v>
      </c>
      <c r="C67">
        <v>8.07</v>
      </c>
    </row>
    <row r="68" spans="1:3" x14ac:dyDescent="0.35">
      <c r="A68" t="s">
        <v>3045</v>
      </c>
      <c r="B68" t="s">
        <v>154</v>
      </c>
      <c r="C68">
        <v>8.08</v>
      </c>
    </row>
    <row r="69" spans="1:3" x14ac:dyDescent="0.35">
      <c r="A69" t="s">
        <v>3045</v>
      </c>
      <c r="B69" t="s">
        <v>170</v>
      </c>
      <c r="C69">
        <v>9.01</v>
      </c>
    </row>
    <row r="70" spans="1:3" x14ac:dyDescent="0.35">
      <c r="A70" t="s">
        <v>3045</v>
      </c>
      <c r="B70" t="s">
        <v>170</v>
      </c>
      <c r="C70">
        <v>9.02</v>
      </c>
    </row>
    <row r="71" spans="1:3" x14ac:dyDescent="0.35">
      <c r="A71" t="s">
        <v>3045</v>
      </c>
      <c r="B71" t="s">
        <v>170</v>
      </c>
      <c r="C71">
        <v>9.0299999999999994</v>
      </c>
    </row>
    <row r="72" spans="1:3" x14ac:dyDescent="0.35">
      <c r="A72" t="s">
        <v>3045</v>
      </c>
      <c r="B72" t="s">
        <v>3047</v>
      </c>
      <c r="C72">
        <v>10.01</v>
      </c>
    </row>
    <row r="73" spans="1:3" x14ac:dyDescent="0.35">
      <c r="A73" t="s">
        <v>3045</v>
      </c>
      <c r="B73" t="s">
        <v>3047</v>
      </c>
      <c r="C73">
        <v>10.02</v>
      </c>
    </row>
    <row r="74" spans="1:3" x14ac:dyDescent="0.35">
      <c r="A74" t="s">
        <v>3045</v>
      </c>
      <c r="B74" t="s">
        <v>3047</v>
      </c>
      <c r="C74">
        <v>10.029999999999999</v>
      </c>
    </row>
    <row r="75" spans="1:3" x14ac:dyDescent="0.35">
      <c r="A75" t="s">
        <v>3045</v>
      </c>
      <c r="B75" t="s">
        <v>3047</v>
      </c>
      <c r="C75">
        <v>10.039999999999999</v>
      </c>
    </row>
    <row r="76" spans="1:3" x14ac:dyDescent="0.35">
      <c r="A76" t="s">
        <v>3048</v>
      </c>
      <c r="B76" t="s">
        <v>3049</v>
      </c>
      <c r="C76">
        <v>11.02</v>
      </c>
    </row>
    <row r="77" spans="1:3" x14ac:dyDescent="0.35">
      <c r="A77" t="s">
        <v>3048</v>
      </c>
      <c r="B77" t="s">
        <v>3049</v>
      </c>
      <c r="C77">
        <v>11.03</v>
      </c>
    </row>
    <row r="78" spans="1:3" x14ac:dyDescent="0.35">
      <c r="A78" t="s">
        <v>3048</v>
      </c>
      <c r="B78" t="s">
        <v>3049</v>
      </c>
      <c r="C78">
        <v>11.04</v>
      </c>
    </row>
    <row r="79" spans="1:3" x14ac:dyDescent="0.35">
      <c r="A79" t="s">
        <v>3048</v>
      </c>
      <c r="B79" t="s">
        <v>3049</v>
      </c>
      <c r="C79">
        <v>11.05</v>
      </c>
    </row>
    <row r="80" spans="1:3" x14ac:dyDescent="0.35">
      <c r="A80" t="s">
        <v>3048</v>
      </c>
      <c r="B80" t="s">
        <v>3049</v>
      </c>
      <c r="C80">
        <v>11.06</v>
      </c>
    </row>
    <row r="81" spans="1:3" x14ac:dyDescent="0.35">
      <c r="A81" t="s">
        <v>3048</v>
      </c>
      <c r="B81" t="s">
        <v>3049</v>
      </c>
      <c r="C81">
        <v>11.07</v>
      </c>
    </row>
    <row r="82" spans="1:3" x14ac:dyDescent="0.35">
      <c r="A82" t="s">
        <v>3048</v>
      </c>
      <c r="B82" t="s">
        <v>3049</v>
      </c>
      <c r="C82">
        <v>11.08</v>
      </c>
    </row>
    <row r="83" spans="1:3" x14ac:dyDescent="0.35">
      <c r="A83" t="s">
        <v>3048</v>
      </c>
      <c r="B83" t="s">
        <v>3049</v>
      </c>
      <c r="C83">
        <v>11.09</v>
      </c>
    </row>
    <row r="84" spans="1:3" x14ac:dyDescent="0.35">
      <c r="A84" t="s">
        <v>3048</v>
      </c>
      <c r="B84" t="s">
        <v>3049</v>
      </c>
      <c r="C84">
        <v>11.1</v>
      </c>
    </row>
    <row r="85" spans="1:3" x14ac:dyDescent="0.35">
      <c r="A85" t="s">
        <v>3048</v>
      </c>
      <c r="B85" t="s">
        <v>3049</v>
      </c>
      <c r="C85">
        <v>11.11</v>
      </c>
    </row>
    <row r="86" spans="1:3" x14ac:dyDescent="0.35">
      <c r="A86" t="s">
        <v>3048</v>
      </c>
      <c r="B86" t="s">
        <v>3050</v>
      </c>
      <c r="C86">
        <v>12.01</v>
      </c>
    </row>
    <row r="87" spans="1:3" x14ac:dyDescent="0.35">
      <c r="A87" t="s">
        <v>3048</v>
      </c>
      <c r="B87" t="s">
        <v>3050</v>
      </c>
      <c r="C87">
        <v>12.02</v>
      </c>
    </row>
    <row r="88" spans="1:3" x14ac:dyDescent="0.35">
      <c r="A88" t="s">
        <v>3048</v>
      </c>
      <c r="B88" t="s">
        <v>3050</v>
      </c>
      <c r="C88">
        <v>12.03</v>
      </c>
    </row>
    <row r="89" spans="1:3" x14ac:dyDescent="0.35">
      <c r="A89" t="s">
        <v>3048</v>
      </c>
      <c r="B89" t="s">
        <v>3051</v>
      </c>
      <c r="C89">
        <v>13.01</v>
      </c>
    </row>
    <row r="90" spans="1:3" x14ac:dyDescent="0.35">
      <c r="A90" t="s">
        <v>3048</v>
      </c>
      <c r="B90" t="s">
        <v>3051</v>
      </c>
      <c r="C90">
        <v>13.02</v>
      </c>
    </row>
    <row r="91" spans="1:3" x14ac:dyDescent="0.35">
      <c r="A91" t="s">
        <v>3048</v>
      </c>
      <c r="B91" t="s">
        <v>3051</v>
      </c>
      <c r="C91">
        <v>13.03</v>
      </c>
    </row>
    <row r="92" spans="1:3" x14ac:dyDescent="0.35">
      <c r="A92" t="s">
        <v>3041</v>
      </c>
      <c r="B92" t="s">
        <v>3052</v>
      </c>
      <c r="C92">
        <v>14.01</v>
      </c>
    </row>
    <row r="93" spans="1:3" x14ac:dyDescent="0.35">
      <c r="A93" t="s">
        <v>3041</v>
      </c>
      <c r="B93" t="s">
        <v>3052</v>
      </c>
      <c r="C93">
        <v>14.02</v>
      </c>
    </row>
    <row r="94" spans="1:3" x14ac:dyDescent="0.35">
      <c r="A94" t="s">
        <v>3041</v>
      </c>
      <c r="B94" t="s">
        <v>3052</v>
      </c>
      <c r="C94">
        <v>14.03</v>
      </c>
    </row>
    <row r="95" spans="1:3" x14ac:dyDescent="0.35">
      <c r="A95" t="s">
        <v>3041</v>
      </c>
      <c r="B95" t="s">
        <v>3052</v>
      </c>
      <c r="C95">
        <v>14.04</v>
      </c>
    </row>
    <row r="96" spans="1:3" x14ac:dyDescent="0.35">
      <c r="A96" t="s">
        <v>3041</v>
      </c>
      <c r="B96" t="s">
        <v>3052</v>
      </c>
      <c r="C96">
        <v>14.05</v>
      </c>
    </row>
    <row r="97" spans="1:3" x14ac:dyDescent="0.35">
      <c r="A97" t="s">
        <v>3041</v>
      </c>
      <c r="B97" t="s">
        <v>3052</v>
      </c>
      <c r="C97">
        <v>14.06</v>
      </c>
    </row>
    <row r="98" spans="1:3" x14ac:dyDescent="0.35">
      <c r="A98" t="s">
        <v>3045</v>
      </c>
      <c r="B98" t="s">
        <v>3052</v>
      </c>
      <c r="C98">
        <v>14.07</v>
      </c>
    </row>
    <row r="99" spans="1:3" x14ac:dyDescent="0.35">
      <c r="A99" t="s">
        <v>3041</v>
      </c>
      <c r="B99" t="s">
        <v>229</v>
      </c>
      <c r="C99">
        <v>15.01</v>
      </c>
    </row>
    <row r="100" spans="1:3" x14ac:dyDescent="0.35">
      <c r="A100" t="s">
        <v>3041</v>
      </c>
      <c r="B100" t="s">
        <v>229</v>
      </c>
      <c r="C100">
        <v>15.02</v>
      </c>
    </row>
    <row r="101" spans="1:3" x14ac:dyDescent="0.35">
      <c r="A101" t="s">
        <v>3041</v>
      </c>
      <c r="B101" t="s">
        <v>229</v>
      </c>
      <c r="C101">
        <v>15.03</v>
      </c>
    </row>
    <row r="102" spans="1:3" x14ac:dyDescent="0.35">
      <c r="A102" t="s">
        <v>3041</v>
      </c>
      <c r="B102" t="s">
        <v>229</v>
      </c>
      <c r="C102">
        <v>15.04</v>
      </c>
    </row>
    <row r="103" spans="1:3" x14ac:dyDescent="0.35">
      <c r="A103" t="s">
        <v>3041</v>
      </c>
      <c r="B103" t="s">
        <v>229</v>
      </c>
      <c r="C103">
        <v>15.05</v>
      </c>
    </row>
    <row r="104" spans="1:3" x14ac:dyDescent="0.35">
      <c r="A104" t="s">
        <v>3041</v>
      </c>
      <c r="B104" t="s">
        <v>229</v>
      </c>
      <c r="C104">
        <v>15.06</v>
      </c>
    </row>
    <row r="105" spans="1:3" x14ac:dyDescent="0.35">
      <c r="A105" t="s">
        <v>3041</v>
      </c>
      <c r="B105" t="s">
        <v>229</v>
      </c>
      <c r="C105">
        <v>15.07</v>
      </c>
    </row>
    <row r="106" spans="1:3" x14ac:dyDescent="0.35">
      <c r="A106" t="s">
        <v>3041</v>
      </c>
      <c r="B106" t="s">
        <v>229</v>
      </c>
      <c r="C106">
        <v>15.08</v>
      </c>
    </row>
    <row r="107" spans="1:3" x14ac:dyDescent="0.35">
      <c r="A107" t="s">
        <v>3041</v>
      </c>
      <c r="B107" t="s">
        <v>229</v>
      </c>
      <c r="C107">
        <v>15.09</v>
      </c>
    </row>
    <row r="108" spans="1:3" x14ac:dyDescent="0.35">
      <c r="A108" t="s">
        <v>230</v>
      </c>
      <c r="B108" t="s">
        <v>229</v>
      </c>
      <c r="C108">
        <v>15.1</v>
      </c>
    </row>
    <row r="109" spans="1:3" x14ac:dyDescent="0.35">
      <c r="A109" t="s">
        <v>3041</v>
      </c>
      <c r="B109" t="s">
        <v>229</v>
      </c>
      <c r="C109">
        <v>15.11</v>
      </c>
    </row>
    <row r="110" spans="1:3" x14ac:dyDescent="0.35">
      <c r="A110" t="s">
        <v>3041</v>
      </c>
      <c r="B110" t="s">
        <v>229</v>
      </c>
      <c r="C110">
        <v>15.12</v>
      </c>
    </row>
    <row r="111" spans="1:3" x14ac:dyDescent="0.35">
      <c r="A111" t="s">
        <v>3045</v>
      </c>
      <c r="B111" t="s">
        <v>3053</v>
      </c>
      <c r="C111">
        <v>17.010000000000002</v>
      </c>
    </row>
    <row r="112" spans="1:3" x14ac:dyDescent="0.35">
      <c r="A112" t="s">
        <v>3045</v>
      </c>
      <c r="B112" t="s">
        <v>3053</v>
      </c>
      <c r="C112">
        <v>17.02</v>
      </c>
    </row>
    <row r="113" spans="1:3" x14ac:dyDescent="0.35">
      <c r="A113" t="s">
        <v>3045</v>
      </c>
      <c r="B113" t="s">
        <v>3053</v>
      </c>
      <c r="C113">
        <v>17.03</v>
      </c>
    </row>
    <row r="114" spans="1:3" x14ac:dyDescent="0.35">
      <c r="A114" t="s">
        <v>3045</v>
      </c>
      <c r="B114" t="s">
        <v>3053</v>
      </c>
      <c r="C114">
        <v>17.04</v>
      </c>
    </row>
    <row r="115" spans="1:3" x14ac:dyDescent="0.35">
      <c r="A115" t="s">
        <v>3041</v>
      </c>
      <c r="B115" t="s">
        <v>262</v>
      </c>
      <c r="C115">
        <v>18.010000000000002</v>
      </c>
    </row>
    <row r="116" spans="1:3" x14ac:dyDescent="0.35">
      <c r="A116" t="s">
        <v>3041</v>
      </c>
      <c r="B116" t="s">
        <v>262</v>
      </c>
      <c r="C116">
        <v>18.02</v>
      </c>
    </row>
    <row r="117" spans="1:3" x14ac:dyDescent="0.35">
      <c r="A117" t="s">
        <v>3041</v>
      </c>
      <c r="B117" t="s">
        <v>262</v>
      </c>
      <c r="C117">
        <v>18.03</v>
      </c>
    </row>
    <row r="118" spans="1:3" x14ac:dyDescent="0.35">
      <c r="A118" t="s">
        <v>3041</v>
      </c>
      <c r="B118" t="s">
        <v>262</v>
      </c>
      <c r="C118">
        <v>18.04</v>
      </c>
    </row>
    <row r="119" spans="1:3" x14ac:dyDescent="0.35">
      <c r="A119" t="s">
        <v>3041</v>
      </c>
      <c r="B119" t="s">
        <v>262</v>
      </c>
      <c r="C119">
        <v>18.05</v>
      </c>
    </row>
    <row r="120" spans="1:3" x14ac:dyDescent="0.35">
      <c r="A120" t="s">
        <v>3041</v>
      </c>
      <c r="B120" t="s">
        <v>262</v>
      </c>
      <c r="C120">
        <v>18.059999999999999</v>
      </c>
    </row>
    <row r="121" spans="1:3" x14ac:dyDescent="0.35">
      <c r="A121" t="s">
        <v>3041</v>
      </c>
      <c r="B121" t="s">
        <v>262</v>
      </c>
      <c r="C121">
        <v>18.07</v>
      </c>
    </row>
    <row r="122" spans="1:3" x14ac:dyDescent="0.35">
      <c r="A122" t="s">
        <v>3041</v>
      </c>
      <c r="B122" t="s">
        <v>262</v>
      </c>
      <c r="C122">
        <v>18.079999999999998</v>
      </c>
    </row>
    <row r="123" spans="1:3" x14ac:dyDescent="0.35">
      <c r="A123" t="s">
        <v>3041</v>
      </c>
      <c r="B123" t="s">
        <v>262</v>
      </c>
      <c r="C123">
        <v>18.09</v>
      </c>
    </row>
    <row r="124" spans="1:3" x14ac:dyDescent="0.35">
      <c r="A124" t="s">
        <v>3041</v>
      </c>
      <c r="B124" t="s">
        <v>262</v>
      </c>
      <c r="C124">
        <v>18.100000000000001</v>
      </c>
    </row>
    <row r="125" spans="1:3" x14ac:dyDescent="0.35">
      <c r="A125" t="s">
        <v>3041</v>
      </c>
      <c r="B125" t="s">
        <v>262</v>
      </c>
      <c r="C125">
        <v>18.11</v>
      </c>
    </row>
    <row r="126" spans="1:3" x14ac:dyDescent="0.35">
      <c r="A126" t="s">
        <v>3041</v>
      </c>
      <c r="B126" t="s">
        <v>262</v>
      </c>
      <c r="C126">
        <v>18.12</v>
      </c>
    </row>
    <row r="127" spans="1:3" x14ac:dyDescent="0.35">
      <c r="A127" t="s">
        <v>3041</v>
      </c>
      <c r="B127" t="s">
        <v>262</v>
      </c>
      <c r="C127">
        <v>18.13</v>
      </c>
    </row>
    <row r="128" spans="1:3" x14ac:dyDescent="0.35">
      <c r="A128" t="s">
        <v>3041</v>
      </c>
      <c r="B128" t="s">
        <v>262</v>
      </c>
      <c r="C128">
        <v>18.14</v>
      </c>
    </row>
    <row r="129" spans="1:3" x14ac:dyDescent="0.35">
      <c r="A129" t="s">
        <v>3041</v>
      </c>
      <c r="B129" t="s">
        <v>262</v>
      </c>
      <c r="C129">
        <v>18.149999999999999</v>
      </c>
    </row>
    <row r="130" spans="1:3" x14ac:dyDescent="0.35">
      <c r="A130" t="s">
        <v>3041</v>
      </c>
      <c r="B130" t="s">
        <v>262</v>
      </c>
      <c r="C130">
        <v>18.16</v>
      </c>
    </row>
    <row r="131" spans="1:3" x14ac:dyDescent="0.35">
      <c r="A131" t="s">
        <v>3041</v>
      </c>
      <c r="B131" t="s">
        <v>262</v>
      </c>
      <c r="C131">
        <v>18.170000000000002</v>
      </c>
    </row>
    <row r="132" spans="1:3" x14ac:dyDescent="0.35">
      <c r="A132" t="s">
        <v>3041</v>
      </c>
      <c r="B132" t="s">
        <v>262</v>
      </c>
      <c r="C132">
        <v>18.18</v>
      </c>
    </row>
    <row r="133" spans="1:3" x14ac:dyDescent="0.35">
      <c r="A133" t="s">
        <v>3041</v>
      </c>
      <c r="B133" t="s">
        <v>262</v>
      </c>
      <c r="C133">
        <v>18.190000000000001</v>
      </c>
    </row>
    <row r="134" spans="1:3" x14ac:dyDescent="0.35">
      <c r="A134" t="s">
        <v>3054</v>
      </c>
      <c r="B134" t="s">
        <v>262</v>
      </c>
      <c r="C134">
        <v>18.2</v>
      </c>
    </row>
    <row r="135" spans="1:3" x14ac:dyDescent="0.35">
      <c r="A135" t="s">
        <v>3054</v>
      </c>
      <c r="B135" t="s">
        <v>262</v>
      </c>
      <c r="C135">
        <v>18.21</v>
      </c>
    </row>
    <row r="136" spans="1:3" x14ac:dyDescent="0.35">
      <c r="A136" t="s">
        <v>3054</v>
      </c>
      <c r="B136" t="s">
        <v>262</v>
      </c>
      <c r="C136">
        <v>18.22</v>
      </c>
    </row>
    <row r="137" spans="1:3" x14ac:dyDescent="0.35">
      <c r="A137" t="s">
        <v>3041</v>
      </c>
      <c r="B137" t="s">
        <v>262</v>
      </c>
      <c r="C137">
        <v>18.23</v>
      </c>
    </row>
    <row r="138" spans="1:3" x14ac:dyDescent="0.35">
      <c r="A138" t="s">
        <v>3041</v>
      </c>
      <c r="B138" t="s">
        <v>262</v>
      </c>
      <c r="C138">
        <v>18.239999999999998</v>
      </c>
    </row>
    <row r="139" spans="1:3" x14ac:dyDescent="0.35">
      <c r="A139" t="s">
        <v>3041</v>
      </c>
      <c r="B139" t="s">
        <v>262</v>
      </c>
      <c r="C139">
        <v>18.25</v>
      </c>
    </row>
    <row r="140" spans="1:3" x14ac:dyDescent="0.35">
      <c r="A140" t="s">
        <v>3041</v>
      </c>
      <c r="B140" t="s">
        <v>262</v>
      </c>
      <c r="C140">
        <v>18.260000000000002</v>
      </c>
    </row>
    <row r="141" spans="1:3" x14ac:dyDescent="0.35">
      <c r="A141" t="s">
        <v>3041</v>
      </c>
      <c r="B141" t="s">
        <v>262</v>
      </c>
      <c r="C141">
        <v>18.27</v>
      </c>
    </row>
    <row r="142" spans="1:3" x14ac:dyDescent="0.35">
      <c r="A142" t="s">
        <v>3041</v>
      </c>
      <c r="B142" t="s">
        <v>262</v>
      </c>
      <c r="C142">
        <v>18.28</v>
      </c>
    </row>
    <row r="143" spans="1:3" x14ac:dyDescent="0.35">
      <c r="A143" t="s">
        <v>3041</v>
      </c>
      <c r="B143" t="s">
        <v>262</v>
      </c>
      <c r="C143">
        <v>18.29</v>
      </c>
    </row>
    <row r="144" spans="1:3" x14ac:dyDescent="0.35">
      <c r="A144" t="s">
        <v>3041</v>
      </c>
      <c r="B144" t="s">
        <v>262</v>
      </c>
      <c r="C144">
        <v>18.3</v>
      </c>
    </row>
    <row r="145" spans="1:3" x14ac:dyDescent="0.35">
      <c r="A145" t="s">
        <v>3041</v>
      </c>
      <c r="B145" t="s">
        <v>262</v>
      </c>
      <c r="C145">
        <v>18.309999999999999</v>
      </c>
    </row>
    <row r="146" spans="1:3" x14ac:dyDescent="0.35">
      <c r="A146" t="s">
        <v>3054</v>
      </c>
      <c r="B146" t="s">
        <v>262</v>
      </c>
      <c r="C146">
        <v>18.32</v>
      </c>
    </row>
    <row r="147" spans="1:3" x14ac:dyDescent="0.35">
      <c r="A147" t="s">
        <v>3041</v>
      </c>
      <c r="B147" t="s">
        <v>262</v>
      </c>
      <c r="C147">
        <v>18.329999999999998</v>
      </c>
    </row>
    <row r="148" spans="1:3" x14ac:dyDescent="0.35">
      <c r="A148" t="s">
        <v>3041</v>
      </c>
      <c r="B148" t="s">
        <v>3055</v>
      </c>
      <c r="C148">
        <v>19.010000000000002</v>
      </c>
    </row>
    <row r="149" spans="1:3" x14ac:dyDescent="0.35">
      <c r="A149" t="s">
        <v>3041</v>
      </c>
      <c r="B149" t="s">
        <v>3055</v>
      </c>
      <c r="C149">
        <v>19.02</v>
      </c>
    </row>
    <row r="150" spans="1:3" x14ac:dyDescent="0.35">
      <c r="A150" t="s">
        <v>3041</v>
      </c>
      <c r="B150" t="s">
        <v>3055</v>
      </c>
      <c r="C150">
        <v>19.03</v>
      </c>
    </row>
    <row r="151" spans="1:3" x14ac:dyDescent="0.35">
      <c r="A151" t="s">
        <v>3041</v>
      </c>
      <c r="B151" t="s">
        <v>3056</v>
      </c>
      <c r="C151">
        <v>19.04</v>
      </c>
    </row>
    <row r="152" spans="1:3" x14ac:dyDescent="0.35">
      <c r="A152" t="s">
        <v>3041</v>
      </c>
      <c r="B152" t="s">
        <v>3056</v>
      </c>
      <c r="C152">
        <v>19.05</v>
      </c>
    </row>
    <row r="153" spans="1:3" x14ac:dyDescent="0.35">
      <c r="A153" t="s">
        <v>3041</v>
      </c>
      <c r="B153" t="s">
        <v>3056</v>
      </c>
      <c r="C153">
        <v>19.059999999999999</v>
      </c>
    </row>
    <row r="154" spans="1:3" x14ac:dyDescent="0.35">
      <c r="A154" t="s">
        <v>3041</v>
      </c>
      <c r="B154" t="s">
        <v>3057</v>
      </c>
      <c r="C154">
        <v>19.07</v>
      </c>
    </row>
    <row r="155" spans="1:3" x14ac:dyDescent="0.35">
      <c r="A155" t="s">
        <v>3041</v>
      </c>
      <c r="B155" t="s">
        <v>3057</v>
      </c>
      <c r="C155">
        <v>19.079999999999998</v>
      </c>
    </row>
    <row r="156" spans="1:3" x14ac:dyDescent="0.35">
      <c r="A156" t="s">
        <v>3041</v>
      </c>
      <c r="B156" t="s">
        <v>3057</v>
      </c>
      <c r="C156">
        <v>19.09</v>
      </c>
    </row>
    <row r="157" spans="1:3" x14ac:dyDescent="0.35">
      <c r="A157" t="s">
        <v>3041</v>
      </c>
      <c r="B157" t="s">
        <v>3057</v>
      </c>
      <c r="C157">
        <v>19.100000000000001</v>
      </c>
    </row>
    <row r="158" spans="1:3" x14ac:dyDescent="0.35">
      <c r="A158" t="s">
        <v>3041</v>
      </c>
      <c r="B158" t="s">
        <v>3057</v>
      </c>
      <c r="C158">
        <v>19.11</v>
      </c>
    </row>
    <row r="159" spans="1:3" x14ac:dyDescent="0.35">
      <c r="A159" t="s">
        <v>3041</v>
      </c>
      <c r="B159" t="s">
        <v>3058</v>
      </c>
      <c r="C159">
        <v>19.12</v>
      </c>
    </row>
    <row r="160" spans="1:3" x14ac:dyDescent="0.35">
      <c r="A160" t="s">
        <v>3041</v>
      </c>
      <c r="B160" t="s">
        <v>3059</v>
      </c>
      <c r="C160">
        <v>19.13</v>
      </c>
    </row>
    <row r="161" spans="1:3" x14ac:dyDescent="0.35">
      <c r="A161" t="s">
        <v>3041</v>
      </c>
      <c r="B161" t="s">
        <v>3059</v>
      </c>
      <c r="C161">
        <v>19.14</v>
      </c>
    </row>
    <row r="162" spans="1:3" x14ac:dyDescent="0.35">
      <c r="A162" t="s">
        <v>3041</v>
      </c>
      <c r="B162" t="s">
        <v>3060</v>
      </c>
      <c r="C162">
        <v>19.149999999999999</v>
      </c>
    </row>
    <row r="163" spans="1:3" x14ac:dyDescent="0.35">
      <c r="A163" t="s">
        <v>3041</v>
      </c>
      <c r="B163" t="s">
        <v>3061</v>
      </c>
      <c r="C163">
        <v>19.16</v>
      </c>
    </row>
    <row r="164" spans="1:3" x14ac:dyDescent="0.35">
      <c r="A164" t="s">
        <v>3041</v>
      </c>
      <c r="B164" t="s">
        <v>3061</v>
      </c>
      <c r="C164">
        <v>19.170000000000002</v>
      </c>
    </row>
    <row r="165" spans="1:3" x14ac:dyDescent="0.35">
      <c r="A165" t="s">
        <v>3041</v>
      </c>
      <c r="B165" t="s">
        <v>3061</v>
      </c>
      <c r="C165">
        <v>19.18</v>
      </c>
    </row>
    <row r="166" spans="1:3" x14ac:dyDescent="0.35">
      <c r="A166" t="s">
        <v>3041</v>
      </c>
      <c r="B166" t="s">
        <v>3061</v>
      </c>
      <c r="C166">
        <v>19.190000000000001</v>
      </c>
    </row>
    <row r="167" spans="1:3" x14ac:dyDescent="0.35">
      <c r="A167" t="s">
        <v>3041</v>
      </c>
      <c r="B167" t="s">
        <v>3062</v>
      </c>
      <c r="C167">
        <v>22.01</v>
      </c>
    </row>
    <row r="168" spans="1:3" x14ac:dyDescent="0.35">
      <c r="A168" t="s">
        <v>3041</v>
      </c>
      <c r="B168" t="s">
        <v>3062</v>
      </c>
      <c r="C168">
        <v>22.02</v>
      </c>
    </row>
    <row r="169" spans="1:3" x14ac:dyDescent="0.35">
      <c r="A169" t="s">
        <v>3045</v>
      </c>
      <c r="B169" t="s">
        <v>368</v>
      </c>
      <c r="C169">
        <v>23.01</v>
      </c>
    </row>
    <row r="170" spans="1:3" x14ac:dyDescent="0.35">
      <c r="A170" t="s">
        <v>3045</v>
      </c>
      <c r="B170" t="s">
        <v>368</v>
      </c>
      <c r="C170">
        <v>23.02</v>
      </c>
    </row>
    <row r="171" spans="1:3" x14ac:dyDescent="0.35">
      <c r="A171" t="s">
        <v>3045</v>
      </c>
      <c r="B171" t="s">
        <v>368</v>
      </c>
      <c r="C171">
        <v>23.03</v>
      </c>
    </row>
    <row r="172" spans="1:3" x14ac:dyDescent="0.35">
      <c r="A172" t="s">
        <v>3045</v>
      </c>
      <c r="B172" t="s">
        <v>368</v>
      </c>
      <c r="C172">
        <v>23.04</v>
      </c>
    </row>
    <row r="173" spans="1:3" x14ac:dyDescent="0.35">
      <c r="A173" t="s">
        <v>3041</v>
      </c>
      <c r="B173" t="s">
        <v>3063</v>
      </c>
      <c r="C173">
        <v>24.01</v>
      </c>
    </row>
    <row r="174" spans="1:3" x14ac:dyDescent="0.35">
      <c r="A174" t="s">
        <v>3041</v>
      </c>
      <c r="B174" t="s">
        <v>3063</v>
      </c>
      <c r="C174">
        <v>24.02</v>
      </c>
    </row>
    <row r="175" spans="1:3" x14ac:dyDescent="0.35">
      <c r="A175" t="s">
        <v>3041</v>
      </c>
      <c r="B175" t="s">
        <v>3063</v>
      </c>
      <c r="C175">
        <v>24.03</v>
      </c>
    </row>
    <row r="176" spans="1:3" x14ac:dyDescent="0.35">
      <c r="A176" t="s">
        <v>3045</v>
      </c>
      <c r="B176" t="s">
        <v>3063</v>
      </c>
      <c r="C176">
        <v>24.04</v>
      </c>
    </row>
    <row r="177" spans="1:3" x14ac:dyDescent="0.35">
      <c r="A177" t="s">
        <v>3045</v>
      </c>
      <c r="B177" t="s">
        <v>3063</v>
      </c>
      <c r="C177">
        <v>24.05</v>
      </c>
    </row>
    <row r="178" spans="1:3" x14ac:dyDescent="0.35">
      <c r="A178" t="s">
        <v>3045</v>
      </c>
      <c r="B178" t="s">
        <v>3063</v>
      </c>
      <c r="C178">
        <v>24.06</v>
      </c>
    </row>
    <row r="179" spans="1:3" x14ac:dyDescent="0.35">
      <c r="A179" t="s">
        <v>3045</v>
      </c>
      <c r="B179" t="s">
        <v>3063</v>
      </c>
      <c r="C179">
        <v>24.07</v>
      </c>
    </row>
    <row r="180" spans="1:3" x14ac:dyDescent="0.35">
      <c r="A180" t="s">
        <v>3041</v>
      </c>
      <c r="B180" t="s">
        <v>3063</v>
      </c>
      <c r="C180">
        <v>24.08</v>
      </c>
    </row>
    <row r="181" spans="1:3" x14ac:dyDescent="0.35">
      <c r="A181" t="s">
        <v>3045</v>
      </c>
      <c r="B181" t="s">
        <v>3063</v>
      </c>
      <c r="C181">
        <v>24.09</v>
      </c>
    </row>
    <row r="182" spans="1:3" x14ac:dyDescent="0.35">
      <c r="A182" t="s">
        <v>3041</v>
      </c>
      <c r="B182" t="s">
        <v>3064</v>
      </c>
      <c r="C182">
        <v>25.01</v>
      </c>
    </row>
    <row r="183" spans="1:3" x14ac:dyDescent="0.35">
      <c r="A183" t="s">
        <v>3041</v>
      </c>
      <c r="B183" t="s">
        <v>3064</v>
      </c>
      <c r="C183">
        <v>25.02</v>
      </c>
    </row>
    <row r="184" spans="1:3" x14ac:dyDescent="0.35">
      <c r="A184" t="s">
        <v>3041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AC090"/>
  </sheetPr>
  <dimension ref="A1:H56"/>
  <sheetViews>
    <sheetView showGridLines="0" zoomScale="130" zoomScaleNormal="130" workbookViewId="0">
      <pane ySplit="9" topLeftCell="A31" activePane="bottomLeft" state="frozen"/>
      <selection pane="bottomLeft" activeCell="B49" sqref="B49"/>
    </sheetView>
  </sheetViews>
  <sheetFormatPr defaultColWidth="8.6328125" defaultRowHeight="14.5" outlineLevelRow="1" x14ac:dyDescent="0.35"/>
  <cols>
    <col min="1" max="1" width="22" style="113" customWidth="1"/>
    <col min="2" max="2" width="30.54296875" style="113" customWidth="1"/>
    <col min="3" max="5" width="14" style="113" customWidth="1"/>
    <col min="6" max="6" width="10.6328125" style="113" customWidth="1"/>
    <col min="7" max="7" width="13.81640625" style="113" customWidth="1"/>
    <col min="8" max="9" width="14" style="113" customWidth="1"/>
    <col min="10" max="10" width="8.6328125" style="113" customWidth="1"/>
    <col min="11" max="16384" width="8.6328125" style="113"/>
  </cols>
  <sheetData>
    <row r="1" spans="1:8" ht="17.25" customHeight="1" x14ac:dyDescent="0.35">
      <c r="A1" s="114" t="s">
        <v>2780</v>
      </c>
      <c r="B1" s="115"/>
      <c r="C1" s="115"/>
      <c r="D1" s="115"/>
      <c r="E1" s="115"/>
      <c r="F1" s="115"/>
      <c r="G1" s="115"/>
      <c r="H1" s="115"/>
    </row>
    <row r="2" spans="1:8" ht="15" customHeight="1" x14ac:dyDescent="0.35">
      <c r="A2" s="115"/>
      <c r="B2" s="115"/>
      <c r="C2" s="115"/>
      <c r="D2" s="115"/>
      <c r="E2" s="115"/>
      <c r="F2" s="116">
        <f>G34</f>
        <v>4093008.6557636266</v>
      </c>
      <c r="G2" s="117" t="s">
        <v>2781</v>
      </c>
      <c r="H2" s="115"/>
    </row>
    <row r="3" spans="1:8" ht="15" customHeight="1" x14ac:dyDescent="0.35">
      <c r="A3" s="118" t="s">
        <v>2782</v>
      </c>
      <c r="B3" s="267" t="s">
        <v>2455</v>
      </c>
      <c r="C3" s="268"/>
      <c r="D3" s="268"/>
      <c r="E3" s="115"/>
      <c r="F3" s="119">
        <f>G44</f>
        <v>6077009.866432162</v>
      </c>
      <c r="G3" s="120" t="s">
        <v>2776</v>
      </c>
    </row>
    <row r="4" spans="1:8" ht="15" customHeight="1" x14ac:dyDescent="0.35">
      <c r="A4" s="118" t="s">
        <v>2783</v>
      </c>
      <c r="B4" s="121" t="str">
        <f>IFERROR(INDEX(PARTIDAS!A:A,MATCH(B3,PARTIDAS!D:D,0)),"")</f>
        <v>ALB-034</v>
      </c>
      <c r="C4" s="115"/>
      <c r="D4" s="115"/>
      <c r="E4" s="115"/>
      <c r="F4" s="122">
        <f>G53</f>
        <v>146141.11763091735</v>
      </c>
      <c r="G4" s="120" t="s">
        <v>2773</v>
      </c>
    </row>
    <row r="5" spans="1:8" ht="15" customHeight="1" x14ac:dyDescent="0.35">
      <c r="A5" s="118" t="s">
        <v>2784</v>
      </c>
      <c r="B5" s="123">
        <v>621</v>
      </c>
      <c r="C5" s="115"/>
      <c r="D5" s="115"/>
      <c r="E5" s="115"/>
      <c r="F5" s="124">
        <f>G34+G44+G53</f>
        <v>10316159.639826706</v>
      </c>
      <c r="G5" s="125" t="s">
        <v>2785</v>
      </c>
    </row>
    <row r="6" spans="1:8" ht="15" customHeight="1" x14ac:dyDescent="0.35">
      <c r="A6" s="118" t="s">
        <v>2786</v>
      </c>
      <c r="B6" s="121">
        <f>IFERROR(VLOOKUP(B4,PARTIDAS!A:F,6,FALSE()),"")</f>
        <v>15</v>
      </c>
      <c r="C6" s="115" t="str">
        <f>IFERROR(VLOOKUP(B4,PARTIDAS!A:E,5,FALSE()),"")</f>
        <v>m2</v>
      </c>
      <c r="D6" s="115"/>
      <c r="E6" s="115"/>
      <c r="F6" s="126">
        <f>IF(B5=0,0,F5/B5)</f>
        <v>16612.173333054277</v>
      </c>
      <c r="G6" s="127" t="s">
        <v>2787</v>
      </c>
    </row>
    <row r="7" spans="1:8" ht="15" customHeight="1" x14ac:dyDescent="0.35">
      <c r="A7" s="118"/>
      <c r="B7" s="115"/>
      <c r="E7" s="118"/>
    </row>
    <row r="8" spans="1:8" ht="15" customHeight="1" x14ac:dyDescent="0.35">
      <c r="A8" s="128" t="s">
        <v>2788</v>
      </c>
      <c r="B8" s="129"/>
      <c r="C8" s="129"/>
      <c r="D8" s="129"/>
      <c r="E8" s="129"/>
      <c r="F8" s="129"/>
      <c r="G8" s="129"/>
      <c r="H8" s="130"/>
    </row>
    <row r="9" spans="1:8" ht="15" customHeight="1" x14ac:dyDescent="0.35">
      <c r="A9" s="131" t="s">
        <v>579</v>
      </c>
      <c r="B9" s="131" t="s">
        <v>6</v>
      </c>
      <c r="C9" s="132" t="s">
        <v>2789</v>
      </c>
      <c r="D9" s="133" t="s">
        <v>2790</v>
      </c>
      <c r="E9" s="133" t="s">
        <v>2791</v>
      </c>
      <c r="F9" s="131" t="s">
        <v>580</v>
      </c>
      <c r="G9" s="134" t="s">
        <v>581</v>
      </c>
      <c r="H9" s="135" t="s">
        <v>2792</v>
      </c>
    </row>
    <row r="10" spans="1:8" ht="15" customHeight="1" x14ac:dyDescent="0.35">
      <c r="A10" s="136" t="str">
        <f>IFERROR(INDEX(COMPOSICIÓN!D$2:D$1838,MATCH($B$4&amp;"|MAT|"&amp;1,COMPOSICIÓN!M$2:M$1838,0)),"")</f>
        <v>ACE-001</v>
      </c>
      <c r="B10" s="136" t="str">
        <f>IFERROR(INDEX(COMPOSICIÓN!E$2:E$1838,MATCH($B$4&amp;"|MAT|"&amp;1,COMPOSICIÓN!M$2:M$1838,0)),"")</f>
        <v>Barra de Acero Aleteado - 6mm x 12m</v>
      </c>
      <c r="C10" s="137">
        <f>IFERROR(INDEX(COMPOSICIÓN!G$2:G$1838,MATCH($B$4&amp;"|MAT|"&amp;1,COMPOSICIÓN!M$2:M$1838,0)),"")</f>
        <v>0.17</v>
      </c>
      <c r="D10" s="138">
        <f>IFERROR(INDEX(COMPOSICIÓN!H$2:H$1838,MATCH($B$4&amp;"|MAT|"&amp;1,COMPOSICIÓN!M$2:M$1838,0)),"")</f>
        <v>0.1</v>
      </c>
      <c r="E10" s="139">
        <f t="shared" ref="E10:E29" si="0">IF(C10="","",C10*$B$5*(1+D10))</f>
        <v>116.12700000000002</v>
      </c>
      <c r="F10" s="136" t="str">
        <f>IFERROR(VLOOKUP(A10,MATERIALES!A:C,3,FALSE()),"")</f>
        <v>u</v>
      </c>
      <c r="G10" s="140">
        <f>IFERROR(INDEX(COMPOSICIÓN!I$2:I$1838,MATCH($B$4&amp;"|MAT|"&amp;1,COMPOSICIÓN!M$2:M$1838,0)),"")</f>
        <v>3424.53</v>
      </c>
      <c r="H10" s="141">
        <f t="shared" ref="H10:H29" si="1">IF(E10="","",E10*G10)</f>
        <v>397680.39531000011</v>
      </c>
    </row>
    <row r="11" spans="1:8" ht="15" customHeight="1" x14ac:dyDescent="0.35">
      <c r="A11" s="136" t="str">
        <f>IFERROR(INDEX(COMPOSICIÓN!D$2:D$1838,MATCH($B$4&amp;"|MAT|"&amp;2,COMPOSICIÓN!M$2:M$1838,0)),"")</f>
        <v>AGR-001</v>
      </c>
      <c r="B11" s="136" t="str">
        <f>IFERROR(INDEX(COMPOSICIÓN!E$2:E$1838,MATCH($B$4&amp;"|MAT|"&amp;2,COMPOSICIÓN!M$2:M$1838,0)),"")</f>
        <v>ARENA LAVADA</v>
      </c>
      <c r="C11" s="137">
        <f>IFERROR(INDEX(COMPOSICIÓN!G$2:G$1838,MATCH($B$4&amp;"|MAT|"&amp;2,COMPOSICIÓN!M$2:M$1838,0)),"")</f>
        <v>1.2E-2</v>
      </c>
      <c r="D11" s="138">
        <f>IFERROR(INDEX(COMPOSICIÓN!H$2:H$1838,MATCH($B$4&amp;"|MAT|"&amp;2,COMPOSICIÓN!M$2:M$1838,0)),"")</f>
        <v>0.1</v>
      </c>
      <c r="E11" s="139">
        <f t="shared" si="0"/>
        <v>8.1972000000000005</v>
      </c>
      <c r="F11" s="136" t="str">
        <f>IFERROR(VLOOKUP(A11,MATERIALES!A:C,3,FALSE()),"")</f>
        <v>m3</v>
      </c>
      <c r="G11" s="140">
        <f>IFERROR(INDEX(COMPOSICIÓN!I$2:I$1838,MATCH($B$4&amp;"|MAT|"&amp;2,COMPOSICIÓN!M$2:M$1838,0)),"")</f>
        <v>32399.77</v>
      </c>
      <c r="H11" s="141">
        <f t="shared" si="1"/>
        <v>265587.39464400004</v>
      </c>
    </row>
    <row r="12" spans="1:8" ht="15" customHeight="1" x14ac:dyDescent="0.35">
      <c r="A12" s="136" t="str">
        <f>IFERROR(INDEX(COMPOSICIÓN!D$2:D$1838,MATCH($B$4&amp;"|MAT|"&amp;3,COMPOSICIÓN!M$2:M$1838,0)),"")</f>
        <v>AGR-004</v>
      </c>
      <c r="B12" s="136" t="str">
        <f>IFERROR(INDEX(COMPOSICIÓN!E$2:E$1838,MATCH($B$4&amp;"|MAT|"&amp;3,COMPOSICIÓN!M$2:M$1838,0)),"")</f>
        <v>Cemento Portland x 50kg</v>
      </c>
      <c r="C12" s="137">
        <f>IFERROR(INDEX(COMPOSICIÓN!G$2:G$1838,MATCH($B$4&amp;"|MAT|"&amp;3,COMPOSICIÓN!M$2:M$1838,0)),"")</f>
        <v>0.05</v>
      </c>
      <c r="D12" s="138">
        <f>IFERROR(INDEX(COMPOSICIÓN!H$2:H$1838,MATCH($B$4&amp;"|MAT|"&amp;3,COMPOSICIÓN!M$2:M$1838,0)),"")</f>
        <v>0.1</v>
      </c>
      <c r="E12" s="139">
        <f t="shared" si="0"/>
        <v>34.155000000000001</v>
      </c>
      <c r="F12" s="136" t="str">
        <f>IFERROR(VLOOKUP(A12,MATERIALES!A:C,3,FALSE()),"")</f>
        <v>Bol</v>
      </c>
      <c r="G12" s="140">
        <f>IFERROR(INDEX(COMPOSICIÓN!I$2:I$1838,MATCH($B$4&amp;"|MAT|"&amp;3,COMPOSICIÓN!M$2:M$1838,0)),"")</f>
        <v>7809.48</v>
      </c>
      <c r="H12" s="141">
        <f t="shared" si="1"/>
        <v>266732.78940000001</v>
      </c>
    </row>
    <row r="13" spans="1:8" ht="15" customHeight="1" x14ac:dyDescent="0.35">
      <c r="A13" s="136" t="str">
        <f>IFERROR(INDEX(COMPOSICIÓN!D$2:D$1838,MATCH($B$4&amp;"|MAT|"&amp;4,COMPOSICIÓN!M$2:M$1838,0)),"")</f>
        <v>AGR-005</v>
      </c>
      <c r="B13" s="136" t="str">
        <f>IFERROR(INDEX(COMPOSICIÓN!E$2:E$1838,MATCH($B$4&amp;"|MAT|"&amp;4,COMPOSICIÓN!M$2:M$1838,0)),"")</f>
        <v>Cal Comun x 25kg</v>
      </c>
      <c r="C13" s="137">
        <f>IFERROR(INDEX(COMPOSICIÓN!G$2:G$1838,MATCH($B$4&amp;"|MAT|"&amp;4,COMPOSICIÓN!M$2:M$1838,0)),"")</f>
        <v>0.1</v>
      </c>
      <c r="D13" s="138">
        <f>IFERROR(INDEX(COMPOSICIÓN!H$2:H$1838,MATCH($B$4&amp;"|MAT|"&amp;4,COMPOSICIÓN!M$2:M$1838,0)),"")</f>
        <v>0.1</v>
      </c>
      <c r="E13" s="139">
        <f t="shared" si="0"/>
        <v>68.31</v>
      </c>
      <c r="F13" s="136" t="str">
        <f>IFERROR(VLOOKUP(A13,MATERIALES!A:C,3,FALSE()),"")</f>
        <v>bol</v>
      </c>
      <c r="G13" s="140">
        <f>IFERROR(INDEX(COMPOSICIÓN!I$2:I$1838,MATCH($B$4&amp;"|MAT|"&amp;4,COMPOSICIÓN!M$2:M$1838,0)),"")</f>
        <v>3837.96</v>
      </c>
      <c r="H13" s="141">
        <f t="shared" si="1"/>
        <v>262171.04759999999</v>
      </c>
    </row>
    <row r="14" spans="1:8" ht="15" customHeight="1" x14ac:dyDescent="0.35">
      <c r="A14" s="136" t="str">
        <f>IFERROR(INDEX(COMPOSICIÓN!D$2:D$1838,MATCH($B$4&amp;"|MAT|"&amp;5,COMPOSICIÓN!M$2:M$1838,0)),"")</f>
        <v>CER-002</v>
      </c>
      <c r="B14" s="136" t="str">
        <f>IFERROR(INDEX(COMPOSICIÓN!E$2:E$1838,MATCH($B$4&amp;"|MAT|"&amp;5,COMPOSICIÓN!M$2:M$1838,0)),"")</f>
        <v>LADRILLO CERAMICO 8 x 18 x 33 cm</v>
      </c>
      <c r="C14" s="137">
        <f>IFERROR(INDEX(COMPOSICIÓN!G$2:G$1838,MATCH($B$4&amp;"|MAT|"&amp;5,COMPOSICIÓN!M$2:M$1838,0)),"")</f>
        <v>15</v>
      </c>
      <c r="D14" s="138">
        <f>IFERROR(INDEX(COMPOSICIÓN!H$2:H$1838,MATCH($B$4&amp;"|MAT|"&amp;5,COMPOSICIÓN!M$2:M$1838,0)),"")</f>
        <v>0.05</v>
      </c>
      <c r="E14" s="139">
        <f t="shared" si="0"/>
        <v>9780.75</v>
      </c>
      <c r="F14" s="136" t="str">
        <f>IFERROR(VLOOKUP(A14,MATERIALES!A:C,3,FALSE()),"")</f>
        <v>u</v>
      </c>
      <c r="G14" s="140">
        <f>IFERROR(INDEX(COMPOSICIÓN!I$2:I$1838,MATCH($B$4&amp;"|MAT|"&amp;5,COMPOSICIÓN!M$2:M$1838,0)),"")</f>
        <v>292.32</v>
      </c>
      <c r="H14" s="141">
        <f t="shared" si="1"/>
        <v>2859108.84</v>
      </c>
    </row>
    <row r="15" spans="1:8" ht="15" customHeight="1" x14ac:dyDescent="0.35">
      <c r="A15" s="136" t="str">
        <f>IFERROR(INDEX(COMPOSICIÓN!D$2:D$1838,MATCH($B$4&amp;"|MAT|"&amp;6,COMPOSICIÓN!M$2:M$1838,0)),"")</f>
        <v>MAT-CONS</v>
      </c>
      <c r="B15" s="136" t="str">
        <f>IFERROR(INDEX(COMPOSICIÓN!E$2:E$1838,MATCH($B$4&amp;"|MAT|"&amp;6,COMPOSICIÓN!M$2:M$1838,0)),"")</f>
        <v>Consumibles</v>
      </c>
      <c r="C15" s="137">
        <f>IFERROR(INDEX(COMPOSICIÓN!G$2:G$1838,MATCH($B$4&amp;"|MAT|"&amp;6,COMPOSICIÓN!M$2:M$1838,0)),"")</f>
        <v>67.195151062199997</v>
      </c>
      <c r="D15" s="138">
        <f>IFERROR(INDEX(COMPOSICIÓN!H$2:H$1838,MATCH($B$4&amp;"|MAT|"&amp;6,COMPOSICIÓN!M$2:M$1838,0)),"")</f>
        <v>0</v>
      </c>
      <c r="E15" s="139">
        <f t="shared" si="0"/>
        <v>41728.188809626197</v>
      </c>
      <c r="F15" s="136" t="str">
        <f>IFERROR(VLOOKUP(A15,MATERIALES!A:C,3,FALSE()),"")</f>
        <v>gl</v>
      </c>
      <c r="G15" s="140">
        <f>IFERROR(INDEX(COMPOSICIÓN!I$2:I$1838,MATCH($B$4&amp;"|MAT|"&amp;6,COMPOSICIÓN!M$2:M$1838,0)),"")</f>
        <v>1</v>
      </c>
      <c r="H15" s="141">
        <f t="shared" si="1"/>
        <v>41728.188809626197</v>
      </c>
    </row>
    <row r="16" spans="1:8" ht="15" customHeight="1" x14ac:dyDescent="0.35">
      <c r="A16" s="136" t="str">
        <f>IFERROR(INDEX(COMPOSICIÓN!D$2:D$1838,MATCH($B$4&amp;"|MAT|"&amp;7,COMPOSICIÓN!M$2:M$1838,0)),"")</f>
        <v/>
      </c>
      <c r="B16" s="136" t="str">
        <f>IFERROR(INDEX(COMPOSICIÓN!E$2:E$1838,MATCH($B$4&amp;"|MAT|"&amp;7,COMPOSICIÓN!M$2:M$1838,0)),"")</f>
        <v/>
      </c>
      <c r="C16" s="137" t="str">
        <f>IFERROR(INDEX(COMPOSICIÓN!G$2:G$1838,MATCH($B$4&amp;"|MAT|"&amp;7,COMPOSICIÓN!M$2:M$1838,0)),"")</f>
        <v/>
      </c>
      <c r="D16" s="138" t="str">
        <f>IFERROR(INDEX(COMPOSICIÓN!H$2:H$1838,MATCH($B$4&amp;"|MAT|"&amp;7,COMPOSICIÓN!M$2:M$1838,0)),"")</f>
        <v/>
      </c>
      <c r="E16" s="139" t="str">
        <f t="shared" si="0"/>
        <v/>
      </c>
      <c r="F16" s="136" t="str">
        <f>IFERROR(VLOOKUP(A16,MATERIALES!A:C,3,FALSE()),"")</f>
        <v/>
      </c>
      <c r="G16" s="140" t="str">
        <f>IFERROR(INDEX(COMPOSICIÓN!I$2:I$1838,MATCH($B$4&amp;"|MAT|"&amp;7,COMPOSICIÓN!M$2:M$1838,0)),"")</f>
        <v/>
      </c>
      <c r="H16" s="141" t="str">
        <f t="shared" si="1"/>
        <v/>
      </c>
    </row>
    <row r="17" spans="1:8" ht="15" customHeight="1" x14ac:dyDescent="0.35">
      <c r="A17" s="136" t="str">
        <f>IFERROR(INDEX(COMPOSICIÓN!D$2:D$1838,MATCH($B$4&amp;"|MAT|"&amp;8,COMPOSICIÓN!M$2:M$1838,0)),"")</f>
        <v/>
      </c>
      <c r="B17" s="136" t="str">
        <f>IFERROR(INDEX(COMPOSICIÓN!E$2:E$1838,MATCH($B$4&amp;"|MAT|"&amp;8,COMPOSICIÓN!M$2:M$1838,0)),"")</f>
        <v/>
      </c>
      <c r="C17" s="137" t="str">
        <f>IFERROR(INDEX(COMPOSICIÓN!G$2:G$1838,MATCH($B$4&amp;"|MAT|"&amp;8,COMPOSICIÓN!M$2:M$1838,0)),"")</f>
        <v/>
      </c>
      <c r="D17" s="138" t="str">
        <f>IFERROR(INDEX(COMPOSICIÓN!H$2:H$1838,MATCH($B$4&amp;"|MAT|"&amp;8,COMPOSICIÓN!M$2:M$1838,0)),"")</f>
        <v/>
      </c>
      <c r="E17" s="139" t="str">
        <f t="shared" si="0"/>
        <v/>
      </c>
      <c r="F17" s="136" t="str">
        <f>IFERROR(VLOOKUP(A17,MATERIALES!A:C,3,FALSE()),"")</f>
        <v/>
      </c>
      <c r="G17" s="140" t="str">
        <f>IFERROR(INDEX(COMPOSICIÓN!I$2:I$1838,MATCH($B$4&amp;"|MAT|"&amp;8,COMPOSICIÓN!M$2:M$1838,0)),"")</f>
        <v/>
      </c>
      <c r="H17" s="141" t="str">
        <f t="shared" si="1"/>
        <v/>
      </c>
    </row>
    <row r="18" spans="1:8" ht="15" customHeight="1" x14ac:dyDescent="0.35">
      <c r="A18" s="136" t="str">
        <f>IFERROR(INDEX(COMPOSICIÓN!D$2:D$1838,MATCH($B$4&amp;"|MAT|"&amp;9,COMPOSICIÓN!M$2:M$1838,0)),"")</f>
        <v/>
      </c>
      <c r="B18" s="136" t="str">
        <f>IFERROR(INDEX(COMPOSICIÓN!E$2:E$1838,MATCH($B$4&amp;"|MAT|"&amp;9,COMPOSICIÓN!M$2:M$1838,0)),"")</f>
        <v/>
      </c>
      <c r="C18" s="137" t="str">
        <f>IFERROR(INDEX(COMPOSICIÓN!G$2:G$1838,MATCH($B$4&amp;"|MAT|"&amp;9,COMPOSICIÓN!M$2:M$1838,0)),"")</f>
        <v/>
      </c>
      <c r="D18" s="138" t="str">
        <f>IFERROR(INDEX(COMPOSICIÓN!H$2:H$1838,MATCH($B$4&amp;"|MAT|"&amp;9,COMPOSICIÓN!M$2:M$1838,0)),"")</f>
        <v/>
      </c>
      <c r="E18" s="139" t="str">
        <f t="shared" si="0"/>
        <v/>
      </c>
      <c r="F18" s="136" t="str">
        <f>IFERROR(VLOOKUP(A18,MATERIALES!A:C,3,FALSE()),"")</f>
        <v/>
      </c>
      <c r="G18" s="140" t="str">
        <f>IFERROR(INDEX(COMPOSICIÓN!I$2:I$1838,MATCH($B$4&amp;"|MAT|"&amp;9,COMPOSICIÓN!M$2:M$1838,0)),"")</f>
        <v/>
      </c>
      <c r="H18" s="141" t="str">
        <f t="shared" si="1"/>
        <v/>
      </c>
    </row>
    <row r="19" spans="1:8" ht="15" customHeight="1" x14ac:dyDescent="0.35">
      <c r="A19" s="136" t="str">
        <f>IFERROR(INDEX(COMPOSICIÓN!D$2:D$1838,MATCH($B$4&amp;"|MAT|"&amp;10,COMPOSICIÓN!M$2:M$1838,0)),"")</f>
        <v/>
      </c>
      <c r="B19" s="136" t="str">
        <f>IFERROR(INDEX(COMPOSICIÓN!E$2:E$1838,MATCH($B$4&amp;"|MAT|"&amp;10,COMPOSICIÓN!M$2:M$1838,0)),"")</f>
        <v/>
      </c>
      <c r="C19" s="137" t="str">
        <f>IFERROR(INDEX(COMPOSICIÓN!G$2:G$1838,MATCH($B$4&amp;"|MAT|"&amp;10,COMPOSICIÓN!M$2:M$1838,0)),"")</f>
        <v/>
      </c>
      <c r="D19" s="138" t="str">
        <f>IFERROR(INDEX(COMPOSICIÓN!H$2:H$1838,MATCH($B$4&amp;"|MAT|"&amp;10,COMPOSICIÓN!M$2:M$1838,0)),"")</f>
        <v/>
      </c>
      <c r="E19" s="139" t="str">
        <f t="shared" si="0"/>
        <v/>
      </c>
      <c r="F19" s="136" t="str">
        <f>IFERROR(VLOOKUP(A19,MATERIALES!A:C,3,FALSE()),"")</f>
        <v/>
      </c>
      <c r="G19" s="140" t="str">
        <f>IFERROR(INDEX(COMPOSICIÓN!I$2:I$1838,MATCH($B$4&amp;"|MAT|"&amp;10,COMPOSICIÓN!M$2:M$1838,0)),"")</f>
        <v/>
      </c>
      <c r="H19" s="141" t="str">
        <f t="shared" si="1"/>
        <v/>
      </c>
    </row>
    <row r="20" spans="1:8" ht="15" customHeight="1" outlineLevel="1" x14ac:dyDescent="0.35">
      <c r="A20" s="136" t="str">
        <f>IFERROR(INDEX(COMPOSICIÓN!D$2:D$1838,MATCH($B$4&amp;"|MAT|"&amp;11,COMPOSICIÓN!M$2:M$1838,0)),"")</f>
        <v/>
      </c>
      <c r="B20" s="136" t="str">
        <f>IFERROR(INDEX(COMPOSICIÓN!E$2:E$1838,MATCH($B$4&amp;"|MAT|"&amp;11,COMPOSICIÓN!M$2:M$1838,0)),"")</f>
        <v/>
      </c>
      <c r="C20" s="137" t="str">
        <f>IFERROR(INDEX(COMPOSICIÓN!G$2:G$1838,MATCH($B$4&amp;"|MAT|"&amp;11,COMPOSICIÓN!M$2:M$1838,0)),"")</f>
        <v/>
      </c>
      <c r="D20" s="138" t="str">
        <f>IFERROR(INDEX(COMPOSICIÓN!H$2:H$1838,MATCH($B$4&amp;"|MAT|"&amp;11,COMPOSICIÓN!M$2:M$1838,0)),"")</f>
        <v/>
      </c>
      <c r="E20" s="139" t="str">
        <f t="shared" si="0"/>
        <v/>
      </c>
      <c r="F20" s="136" t="str">
        <f>IFERROR(VLOOKUP(A20,MATERIALES!A:C,3,FALSE()),"")</f>
        <v/>
      </c>
      <c r="G20" s="140" t="str">
        <f>IFERROR(INDEX(COMPOSICIÓN!I$2:I$1838,MATCH($B$4&amp;"|MAT|"&amp;11,COMPOSICIÓN!M$2:M$1838,0)),"")</f>
        <v/>
      </c>
      <c r="H20" s="141" t="str">
        <f t="shared" si="1"/>
        <v/>
      </c>
    </row>
    <row r="21" spans="1:8" ht="15" customHeight="1" outlineLevel="1" x14ac:dyDescent="0.35">
      <c r="A21" s="136" t="str">
        <f>IFERROR(INDEX(COMPOSICIÓN!D$2:D$1838,MATCH($B$4&amp;"|MAT|"&amp;12,COMPOSICIÓN!M$2:M$1838,0)),"")</f>
        <v/>
      </c>
      <c r="B21" s="136" t="str">
        <f>IFERROR(INDEX(COMPOSICIÓN!E$2:E$1838,MATCH($B$4&amp;"|MAT|"&amp;12,COMPOSICIÓN!M$2:M$1838,0)),"")</f>
        <v/>
      </c>
      <c r="C21" s="137" t="str">
        <f>IFERROR(INDEX(COMPOSICIÓN!G$2:G$1838,MATCH($B$4&amp;"|MAT|"&amp;12,COMPOSICIÓN!M$2:M$1838,0)),"")</f>
        <v/>
      </c>
      <c r="D21" s="138" t="str">
        <f>IFERROR(INDEX(COMPOSICIÓN!H$2:H$1838,MATCH($B$4&amp;"|MAT|"&amp;12,COMPOSICIÓN!M$2:M$1838,0)),"")</f>
        <v/>
      </c>
      <c r="E21" s="139" t="str">
        <f t="shared" si="0"/>
        <v/>
      </c>
      <c r="F21" s="136" t="str">
        <f>IFERROR(VLOOKUP(A21,MATERIALES!A:C,3,FALSE()),"")</f>
        <v/>
      </c>
      <c r="G21" s="140" t="str">
        <f>IFERROR(INDEX(COMPOSICIÓN!I$2:I$1838,MATCH($B$4&amp;"|MAT|"&amp;12,COMPOSICIÓN!M$2:M$1838,0)),"")</f>
        <v/>
      </c>
      <c r="H21" s="141" t="str">
        <f t="shared" si="1"/>
        <v/>
      </c>
    </row>
    <row r="22" spans="1:8" ht="15" customHeight="1" outlineLevel="1" x14ac:dyDescent="0.35">
      <c r="A22" s="136" t="str">
        <f>IFERROR(INDEX(COMPOSICIÓN!D$2:D$1838,MATCH($B$4&amp;"|MAT|"&amp;13,COMPOSICIÓN!M$2:M$1838,0)),"")</f>
        <v/>
      </c>
      <c r="B22" s="136" t="str">
        <f>IFERROR(INDEX(COMPOSICIÓN!E$2:E$1838,MATCH($B$4&amp;"|MAT|"&amp;13,COMPOSICIÓN!M$2:M$1838,0)),"")</f>
        <v/>
      </c>
      <c r="C22" s="137" t="str">
        <f>IFERROR(INDEX(COMPOSICIÓN!G$2:G$1838,MATCH($B$4&amp;"|MAT|"&amp;13,COMPOSICIÓN!M$2:M$1838,0)),"")</f>
        <v/>
      </c>
      <c r="D22" s="138" t="str">
        <f>IFERROR(INDEX(COMPOSICIÓN!H$2:H$1838,MATCH($B$4&amp;"|MAT|"&amp;13,COMPOSICIÓN!M$2:M$1838,0)),"")</f>
        <v/>
      </c>
      <c r="E22" s="139" t="str">
        <f t="shared" si="0"/>
        <v/>
      </c>
      <c r="F22" s="136" t="str">
        <f>IFERROR(VLOOKUP(A22,MATERIALES!A:C,3,FALSE()),"")</f>
        <v/>
      </c>
      <c r="G22" s="140" t="str">
        <f>IFERROR(INDEX(COMPOSICIÓN!I$2:I$1838,MATCH($B$4&amp;"|MAT|"&amp;13,COMPOSICIÓN!M$2:M$1838,0)),"")</f>
        <v/>
      </c>
      <c r="H22" s="141" t="str">
        <f t="shared" si="1"/>
        <v/>
      </c>
    </row>
    <row r="23" spans="1:8" ht="15" customHeight="1" outlineLevel="1" x14ac:dyDescent="0.35">
      <c r="A23" s="136" t="str">
        <f>IFERROR(INDEX(COMPOSICIÓN!D$2:D$1838,MATCH($B$4&amp;"|MAT|"&amp;14,COMPOSICIÓN!M$2:M$1838,0)),"")</f>
        <v/>
      </c>
      <c r="B23" s="136" t="str">
        <f>IFERROR(INDEX(COMPOSICIÓN!E$2:E$1838,MATCH($B$4&amp;"|MAT|"&amp;14,COMPOSICIÓN!M$2:M$1838,0)),"")</f>
        <v/>
      </c>
      <c r="C23" s="137" t="str">
        <f>IFERROR(INDEX(COMPOSICIÓN!G$2:G$1838,MATCH($B$4&amp;"|MAT|"&amp;14,COMPOSICIÓN!M$2:M$1838,0)),"")</f>
        <v/>
      </c>
      <c r="D23" s="138" t="str">
        <f>IFERROR(INDEX(COMPOSICIÓN!H$2:H$1838,MATCH($B$4&amp;"|MAT|"&amp;14,COMPOSICIÓN!M$2:M$1838,0)),"")</f>
        <v/>
      </c>
      <c r="E23" s="139" t="str">
        <f t="shared" si="0"/>
        <v/>
      </c>
      <c r="F23" s="136" t="str">
        <f>IFERROR(VLOOKUP(A23,MATERIALES!A:C,3,FALSE()),"")</f>
        <v/>
      </c>
      <c r="G23" s="140" t="str">
        <f>IFERROR(INDEX(COMPOSICIÓN!I$2:I$1838,MATCH($B$4&amp;"|MAT|"&amp;14,COMPOSICIÓN!M$2:M$1838,0)),"")</f>
        <v/>
      </c>
      <c r="H23" s="141" t="str">
        <f t="shared" si="1"/>
        <v/>
      </c>
    </row>
    <row r="24" spans="1:8" ht="15" customHeight="1" outlineLevel="1" x14ac:dyDescent="0.35">
      <c r="A24" s="136" t="str">
        <f>IFERROR(INDEX(COMPOSICIÓN!D$2:D$1838,MATCH($B$4&amp;"|MAT|"&amp;15,COMPOSICIÓN!M$2:M$1838,0)),"")</f>
        <v/>
      </c>
      <c r="B24" s="136" t="str">
        <f>IFERROR(INDEX(COMPOSICIÓN!E$2:E$1838,MATCH($B$4&amp;"|MAT|"&amp;15,COMPOSICIÓN!M$2:M$1838,0)),"")</f>
        <v/>
      </c>
      <c r="C24" s="137" t="str">
        <f>IFERROR(INDEX(COMPOSICIÓN!G$2:G$1838,MATCH($B$4&amp;"|MAT|"&amp;15,COMPOSICIÓN!M$2:M$1838,0)),"")</f>
        <v/>
      </c>
      <c r="D24" s="138" t="str">
        <f>IFERROR(INDEX(COMPOSICIÓN!H$2:H$1838,MATCH($B$4&amp;"|MAT|"&amp;15,COMPOSICIÓN!M$2:M$1838,0)),"")</f>
        <v/>
      </c>
      <c r="E24" s="139" t="str">
        <f t="shared" si="0"/>
        <v/>
      </c>
      <c r="F24" s="136" t="str">
        <f>IFERROR(VLOOKUP(A24,MATERIALES!A:C,3,FALSE()),"")</f>
        <v/>
      </c>
      <c r="G24" s="140" t="str">
        <f>IFERROR(INDEX(COMPOSICIÓN!I$2:I$1838,MATCH($B$4&amp;"|MAT|"&amp;15,COMPOSICIÓN!M$2:M$1838,0)),"")</f>
        <v/>
      </c>
      <c r="H24" s="141" t="str">
        <f t="shared" si="1"/>
        <v/>
      </c>
    </row>
    <row r="25" spans="1:8" ht="15" customHeight="1" outlineLevel="1" x14ac:dyDescent="0.35">
      <c r="A25" s="136" t="str">
        <f>IFERROR(INDEX(COMPOSICIÓN!D$2:D$1838,MATCH($B$4&amp;"|MAT|"&amp;16,COMPOSICIÓN!M$2:M$1838,0)),"")</f>
        <v/>
      </c>
      <c r="B25" s="136" t="str">
        <f>IFERROR(INDEX(COMPOSICIÓN!E$2:E$1838,MATCH($B$4&amp;"|MAT|"&amp;16,COMPOSICIÓN!M$2:M$1838,0)),"")</f>
        <v/>
      </c>
      <c r="C25" s="137" t="str">
        <f>IFERROR(INDEX(COMPOSICIÓN!G$2:G$1838,MATCH($B$4&amp;"|MAT|"&amp;16,COMPOSICIÓN!M$2:M$1838,0)),"")</f>
        <v/>
      </c>
      <c r="D25" s="138" t="str">
        <f>IFERROR(INDEX(COMPOSICIÓN!H$2:H$1838,MATCH($B$4&amp;"|MAT|"&amp;16,COMPOSICIÓN!M$2:M$1838,0)),"")</f>
        <v/>
      </c>
      <c r="E25" s="139" t="str">
        <f t="shared" si="0"/>
        <v/>
      </c>
      <c r="F25" s="136" t="str">
        <f>IFERROR(VLOOKUP(A25,MATERIALES!A:C,3,FALSE()),"")</f>
        <v/>
      </c>
      <c r="G25" s="140" t="str">
        <f>IFERROR(INDEX(COMPOSICIÓN!I$2:I$1838,MATCH($B$4&amp;"|MAT|"&amp;16,COMPOSICIÓN!M$2:M$1838,0)),"")</f>
        <v/>
      </c>
      <c r="H25" s="141" t="str">
        <f t="shared" si="1"/>
        <v/>
      </c>
    </row>
    <row r="26" spans="1:8" ht="15" customHeight="1" outlineLevel="1" x14ac:dyDescent="0.35">
      <c r="A26" s="136" t="str">
        <f>IFERROR(INDEX(COMPOSICIÓN!D$2:D$1838,MATCH($B$4&amp;"|MAT|"&amp;17,COMPOSICIÓN!M$2:M$1838,0)),"")</f>
        <v/>
      </c>
      <c r="B26" s="136" t="str">
        <f>IFERROR(INDEX(COMPOSICIÓN!E$2:E$1838,MATCH($B$4&amp;"|MAT|"&amp;17,COMPOSICIÓN!M$2:M$1838,0)),"")</f>
        <v/>
      </c>
      <c r="C26" s="137" t="str">
        <f>IFERROR(INDEX(COMPOSICIÓN!G$2:G$1838,MATCH($B$4&amp;"|MAT|"&amp;17,COMPOSICIÓN!M$2:M$1838,0)),"")</f>
        <v/>
      </c>
      <c r="D26" s="138" t="str">
        <f>IFERROR(INDEX(COMPOSICIÓN!H$2:H$1838,MATCH($B$4&amp;"|MAT|"&amp;17,COMPOSICIÓN!M$2:M$1838,0)),"")</f>
        <v/>
      </c>
      <c r="E26" s="139" t="str">
        <f t="shared" si="0"/>
        <v/>
      </c>
      <c r="F26" s="136" t="str">
        <f>IFERROR(VLOOKUP(A26,MATERIALES!A:C,3,FALSE()),"")</f>
        <v/>
      </c>
      <c r="G26" s="140" t="str">
        <f>IFERROR(INDEX(COMPOSICIÓN!I$2:I$1838,MATCH($B$4&amp;"|MAT|"&amp;17,COMPOSICIÓN!M$2:M$1838,0)),"")</f>
        <v/>
      </c>
      <c r="H26" s="141" t="str">
        <f t="shared" si="1"/>
        <v/>
      </c>
    </row>
    <row r="27" spans="1:8" ht="15" customHeight="1" outlineLevel="1" x14ac:dyDescent="0.35">
      <c r="A27" s="136" t="str">
        <f>IFERROR(INDEX(COMPOSICIÓN!D$2:D$1838,MATCH($B$4&amp;"|MAT|"&amp;18,COMPOSICIÓN!M$2:M$1838,0)),"")</f>
        <v/>
      </c>
      <c r="B27" s="136" t="str">
        <f>IFERROR(INDEX(COMPOSICIÓN!E$2:E$1838,MATCH($B$4&amp;"|MAT|"&amp;18,COMPOSICIÓN!M$2:M$1838,0)),"")</f>
        <v/>
      </c>
      <c r="C27" s="137" t="str">
        <f>IFERROR(INDEX(COMPOSICIÓN!G$2:G$1838,MATCH($B$4&amp;"|MAT|"&amp;18,COMPOSICIÓN!M$2:M$1838,0)),"")</f>
        <v/>
      </c>
      <c r="D27" s="138" t="str">
        <f>IFERROR(INDEX(COMPOSICIÓN!H$2:H$1838,MATCH($B$4&amp;"|MAT|"&amp;18,COMPOSICIÓN!M$2:M$1838,0)),"")</f>
        <v/>
      </c>
      <c r="E27" s="139" t="str">
        <f t="shared" si="0"/>
        <v/>
      </c>
      <c r="F27" s="136" t="str">
        <f>IFERROR(VLOOKUP(A27,MATERIALES!A:C,3,FALSE()),"")</f>
        <v/>
      </c>
      <c r="G27" s="140" t="str">
        <f>IFERROR(INDEX(COMPOSICIÓN!I$2:I$1838,MATCH($B$4&amp;"|MAT|"&amp;18,COMPOSICIÓN!M$2:M$1838,0)),"")</f>
        <v/>
      </c>
      <c r="H27" s="141" t="str">
        <f t="shared" si="1"/>
        <v/>
      </c>
    </row>
    <row r="28" spans="1:8" ht="15" customHeight="1" outlineLevel="1" x14ac:dyDescent="0.35">
      <c r="A28" s="136" t="str">
        <f>IFERROR(INDEX(COMPOSICIÓN!D$2:D$1838,MATCH($B$4&amp;"|MAT|"&amp;19,COMPOSICIÓN!M$2:M$1838,0)),"")</f>
        <v/>
      </c>
      <c r="B28" s="136" t="str">
        <f>IFERROR(INDEX(COMPOSICIÓN!E$2:E$1838,MATCH($B$4&amp;"|MAT|"&amp;19,COMPOSICIÓN!M$2:M$1838,0)),"")</f>
        <v/>
      </c>
      <c r="C28" s="137" t="str">
        <f>IFERROR(INDEX(COMPOSICIÓN!G$2:G$1838,MATCH($B$4&amp;"|MAT|"&amp;19,COMPOSICIÓN!M$2:M$1838,0)),"")</f>
        <v/>
      </c>
      <c r="D28" s="138" t="str">
        <f>IFERROR(INDEX(COMPOSICIÓN!H$2:H$1838,MATCH($B$4&amp;"|MAT|"&amp;19,COMPOSICIÓN!M$2:M$1838,0)),"")</f>
        <v/>
      </c>
      <c r="E28" s="139" t="str">
        <f t="shared" si="0"/>
        <v/>
      </c>
      <c r="F28" s="136" t="str">
        <f>IFERROR(VLOOKUP(A28,MATERIALES!A:C,3,FALSE()),"")</f>
        <v/>
      </c>
      <c r="G28" s="140" t="str">
        <f>IFERROR(INDEX(COMPOSICIÓN!I$2:I$1838,MATCH($B$4&amp;"|MAT|"&amp;19,COMPOSICIÓN!M$2:M$1838,0)),"")</f>
        <v/>
      </c>
      <c r="H28" s="141" t="str">
        <f t="shared" si="1"/>
        <v/>
      </c>
    </row>
    <row r="29" spans="1:8" ht="15" customHeight="1" outlineLevel="1" x14ac:dyDescent="0.35">
      <c r="A29" s="136" t="str">
        <f>IFERROR(INDEX(COMPOSICIÓN!D$2:D$1838,MATCH($B$4&amp;"|MAT|"&amp;20,COMPOSICIÓN!M$2:M$1838,0)),"")</f>
        <v/>
      </c>
      <c r="B29" s="136" t="str">
        <f>IFERROR(INDEX(COMPOSICIÓN!E$2:E$1838,MATCH($B$4&amp;"|MAT|"&amp;20,COMPOSICIÓN!M$2:M$1838,0)),"")</f>
        <v/>
      </c>
      <c r="C29" s="137" t="str">
        <f>IFERROR(INDEX(COMPOSICIÓN!G$2:G$1838,MATCH($B$4&amp;"|MAT|"&amp;20,COMPOSICIÓN!M$2:M$1838,0)),"")</f>
        <v/>
      </c>
      <c r="D29" s="138" t="str">
        <f>IFERROR(INDEX(COMPOSICIÓN!H$2:H$1838,MATCH($B$4&amp;"|MAT|"&amp;20,COMPOSICIÓN!M$2:M$1838,0)),"")</f>
        <v/>
      </c>
      <c r="E29" s="142" t="str">
        <f t="shared" si="0"/>
        <v/>
      </c>
      <c r="F29" s="136" t="str">
        <f>IFERROR(VLOOKUP(A29,MATERIALES!A:C,3,FALSE()),"")</f>
        <v/>
      </c>
      <c r="G29" s="143" t="str">
        <f>IFERROR(INDEX(COMPOSICIÓN!I$2:I$1838,MATCH($B$4&amp;"|MAT|"&amp;20,COMPOSICIÓN!M$2:M$1838,0)),"")</f>
        <v/>
      </c>
      <c r="H29" s="144" t="str">
        <f t="shared" si="1"/>
        <v/>
      </c>
    </row>
    <row r="30" spans="1:8" ht="14.25" customHeight="1" x14ac:dyDescent="0.35">
      <c r="G30" s="145" t="s">
        <v>2793</v>
      </c>
      <c r="H30" s="146">
        <f>SUM(H10:H29)</f>
        <v>4093008.6557636266</v>
      </c>
    </row>
    <row r="31" spans="1:8" ht="15" customHeight="1" x14ac:dyDescent="0.35"/>
    <row r="32" spans="1:8" ht="14.25" customHeight="1" x14ac:dyDescent="0.35">
      <c r="A32" s="147"/>
      <c r="B32" s="148" t="s">
        <v>6</v>
      </c>
      <c r="C32" s="148" t="s">
        <v>2794</v>
      </c>
      <c r="D32" s="148" t="s">
        <v>2795</v>
      </c>
      <c r="E32" s="148" t="s">
        <v>2796</v>
      </c>
      <c r="F32" s="148" t="s">
        <v>2797</v>
      </c>
      <c r="G32" s="148" t="s">
        <v>2798</v>
      </c>
      <c r="H32" s="147"/>
    </row>
    <row r="33" spans="1:8" ht="15" customHeight="1" x14ac:dyDescent="0.35">
      <c r="A33" s="149" t="s">
        <v>2799</v>
      </c>
      <c r="B33" s="149" t="s">
        <v>2800</v>
      </c>
      <c r="C33" s="150">
        <f>H30</f>
        <v>4093008.6557636266</v>
      </c>
      <c r="D33" s="151">
        <f>IFERROR(VLOOKUP(B4,PARTIDAS!A:G,7,FALSE()),0)</f>
        <v>0</v>
      </c>
      <c r="E33" s="151">
        <f>IFERROR(VLOOKUP(B4,PARTIDAS!A:H,8,FALSE()),0)</f>
        <v>0</v>
      </c>
      <c r="F33" s="144">
        <f>C33*D33</f>
        <v>0</v>
      </c>
      <c r="G33" s="144">
        <f>C33*D33*(1+E33)</f>
        <v>0</v>
      </c>
    </row>
    <row r="34" spans="1:8" ht="15" customHeight="1" x14ac:dyDescent="0.35">
      <c r="F34" s="152" t="s">
        <v>2801</v>
      </c>
      <c r="G34" s="146">
        <f>H30+G33</f>
        <v>4093008.6557636266</v>
      </c>
    </row>
    <row r="35" spans="1:8" ht="15" customHeight="1" x14ac:dyDescent="0.35">
      <c r="F35" s="153"/>
    </row>
    <row r="36" spans="1:8" ht="15" customHeight="1" x14ac:dyDescent="0.35">
      <c r="A36" s="12" t="s">
        <v>2802</v>
      </c>
      <c r="D36" s="154" t="s">
        <v>2803</v>
      </c>
    </row>
    <row r="37" spans="1:8" ht="15" customHeight="1" x14ac:dyDescent="0.35">
      <c r="A37" s="131" t="s">
        <v>579</v>
      </c>
      <c r="B37" s="131" t="s">
        <v>6</v>
      </c>
      <c r="C37" s="131" t="s">
        <v>2804</v>
      </c>
      <c r="D37" s="131" t="s">
        <v>2789</v>
      </c>
      <c r="E37" s="131" t="s">
        <v>2805</v>
      </c>
      <c r="F37" s="131" t="s">
        <v>2806</v>
      </c>
      <c r="G37" s="131" t="s">
        <v>2807</v>
      </c>
    </row>
    <row r="38" spans="1:8" ht="15" customHeight="1" x14ac:dyDescent="0.35">
      <c r="A38" s="136" t="str">
        <f>IFERROR(INDEX(COMPOSICIÓN!D$2:D$1838,MATCH($B$4&amp;"|MO|"&amp;H38,COMPOSICIÓN!M$2:M$1838,0)),"")</f>
        <v>MO-EAYUD</v>
      </c>
      <c r="B38" s="136" t="str">
        <f>IFERROR(INDEX(COMPOSICIÓN!E$2:E$1838,MATCH($B$4&amp;"|MO|"&amp;H38,COMPOSICIÓN!M$2:M$1838,0)),"")</f>
        <v>AYUDANTE</v>
      </c>
      <c r="C38" s="155">
        <f>IFERROR(INDEX(COMPOSICIÓN!G$2:G$1838,MATCH($B$4&amp;"|MO|"&amp;H38,COMPOSICIÓN!M$2:M$1838,0)),"")</f>
        <v>1</v>
      </c>
      <c r="D38" s="156">
        <f t="shared" ref="D38" si="2">IFERROR(C38/$B$6,"")</f>
        <v>6.6666666666666666E-2</v>
      </c>
      <c r="E38" s="142">
        <f t="shared" ref="E38:E43" si="3">IF(D38="","",D38*$B$5)</f>
        <v>41.4</v>
      </c>
      <c r="F38" s="140">
        <f>IFERROR(INDEX(COMPOSICIÓN!I$2:I$1838,MATCH($B$4&amp;"|MO|"&amp;H38,COMPOSICIÓN!M$2:M$1838,0)),"")</f>
        <v>60860.580776572002</v>
      </c>
      <c r="G38" s="141">
        <f t="shared" ref="G38:G43" si="4">IF(E38="","",E38*F38)</f>
        <v>2519628.044150081</v>
      </c>
      <c r="H38" s="113">
        <v>1</v>
      </c>
    </row>
    <row r="39" spans="1:8" ht="15" customHeight="1" x14ac:dyDescent="0.35">
      <c r="A39" s="136" t="str">
        <f>IFERROR(INDEX(COMPOSICIÓN!D$2:D$1838,MATCH($B$4&amp;"|MO|"&amp;H39,COMPOSICIÓN!M$2:M$1838,0)),"")</f>
        <v>MO-EESPE</v>
      </c>
      <c r="B39" s="136" t="str">
        <f>IFERROR(INDEX(COMPOSICIÓN!E$2:E$1838,MATCH($B$4&amp;"|MO|"&amp;H39,COMPOSICIÓN!M$2:M$1838,0)),"")</f>
        <v>ESPECIALIZADO</v>
      </c>
      <c r="C39" s="155">
        <f>IFERROR(INDEX(COMPOSICIÓN!G$2:G$1838,MATCH($B$4&amp;"|MO|"&amp;H39,COMPOSICIÓN!M$2:M$1838,0)),"")</f>
        <v>1</v>
      </c>
      <c r="D39" s="156">
        <f>IFERROR(C39/$B$6,"")</f>
        <v>6.6666666666666666E-2</v>
      </c>
      <c r="E39" s="142">
        <f t="shared" si="3"/>
        <v>41.4</v>
      </c>
      <c r="F39" s="140">
        <f>IFERROR(INDEX(COMPOSICIÓN!I$2:I$1838,MATCH($B$4&amp;"|MO|"&amp;H39,COMPOSICIÓN!M$2:M$1838,0)),"")</f>
        <v>85927.097156571996</v>
      </c>
      <c r="G39" s="141">
        <f t="shared" si="4"/>
        <v>3557381.8222820805</v>
      </c>
      <c r="H39" s="113">
        <v>2</v>
      </c>
    </row>
    <row r="40" spans="1:8" ht="15" customHeight="1" x14ac:dyDescent="0.35">
      <c r="A40" s="136" t="str">
        <f>IFERROR(INDEX(COMPOSICIÓN!D$2:D$1838,MATCH($B$4&amp;"|MO|"&amp;H40,COMPOSICIÓN!M$2:M$1838,0)),"")</f>
        <v/>
      </c>
      <c r="B40" s="136" t="str">
        <f>IFERROR(INDEX(COMPOSICIÓN!E$2:E$1838,MATCH($B$4&amp;"|MO|"&amp;H40,COMPOSICIÓN!M$2:M$1838,0)),"")</f>
        <v/>
      </c>
      <c r="C40" s="155" t="str">
        <f>IFERROR(INDEX(COMPOSICIÓN!G$2:G$1838,MATCH($B$4&amp;"|MO|"&amp;H40,COMPOSICIÓN!M$2:M$1838,0)),"")</f>
        <v/>
      </c>
      <c r="D40" s="156" t="str">
        <f t="shared" ref="D40:D43" si="5">IFERROR(C40/$B$6,"")</f>
        <v/>
      </c>
      <c r="E40" s="139" t="str">
        <f t="shared" si="3"/>
        <v/>
      </c>
      <c r="F40" s="140" t="str">
        <f>IFERROR(INDEX(COMPOSICIÓN!I$2:I$1838,MATCH($B$4&amp;"|MO|"&amp;H40,COMPOSICIÓN!M$2:M$1838,0)),"")</f>
        <v/>
      </c>
      <c r="G40" s="141" t="str">
        <f t="shared" si="4"/>
        <v/>
      </c>
      <c r="H40" s="113">
        <v>3</v>
      </c>
    </row>
    <row r="41" spans="1:8" ht="14.25" customHeight="1" outlineLevel="1" x14ac:dyDescent="0.35">
      <c r="A41" s="136" t="str">
        <f>IFERROR(INDEX(COMPOSICIÓN!D$2:D$1838,MATCH($B$4&amp;"|MO|"&amp;H41,COMPOSICIÓN!M$2:M$1838,0)),"")</f>
        <v/>
      </c>
      <c r="B41" s="136" t="str">
        <f>IFERROR(INDEX(COMPOSICIÓN!E$2:E$1838,MATCH($B$4&amp;"|MO|"&amp;H41,COMPOSICIÓN!M$2:M$1838,0)),"")</f>
        <v/>
      </c>
      <c r="C41" s="155" t="str">
        <f>IFERROR(INDEX(COMPOSICIÓN!G$2:G$1838,MATCH($B$4&amp;"|MO|"&amp;H41,COMPOSICIÓN!M$2:M$1838,0)),"")</f>
        <v/>
      </c>
      <c r="D41" s="156" t="str">
        <f t="shared" si="5"/>
        <v/>
      </c>
      <c r="E41" s="139" t="str">
        <f t="shared" si="3"/>
        <v/>
      </c>
      <c r="F41" s="140" t="str">
        <f>IFERROR(INDEX(COMPOSICIÓN!I$2:I$1838,MATCH($B$4&amp;"|MO|"&amp;H41,COMPOSICIÓN!M$2:M$1838,0)),"")</f>
        <v/>
      </c>
      <c r="G41" s="141" t="str">
        <f t="shared" si="4"/>
        <v/>
      </c>
      <c r="H41" s="113">
        <v>4</v>
      </c>
    </row>
    <row r="42" spans="1:8" ht="15" customHeight="1" outlineLevel="1" x14ac:dyDescent="0.35">
      <c r="A42" s="136" t="str">
        <f>IFERROR(INDEX(COMPOSICIÓN!D$2:D$1838,MATCH($B$4&amp;"|MO|"&amp;H42,COMPOSICIÓN!M$2:M$1838,0)),"")</f>
        <v/>
      </c>
      <c r="B42" s="136" t="str">
        <f>IFERROR(INDEX(COMPOSICIÓN!E$2:E$1838,MATCH($B$4&amp;"|MO|"&amp;H42,COMPOSICIÓN!M$2:M$1838,0)),"")</f>
        <v/>
      </c>
      <c r="C42" s="155" t="str">
        <f>IFERROR(INDEX(COMPOSICIÓN!G$2:G$1838,MATCH($B$4&amp;"|MO|"&amp;H42,COMPOSICIÓN!M$2:M$1838,0)),"")</f>
        <v/>
      </c>
      <c r="D42" s="156" t="str">
        <f t="shared" si="5"/>
        <v/>
      </c>
      <c r="E42" s="139" t="str">
        <f t="shared" si="3"/>
        <v/>
      </c>
      <c r="F42" s="140" t="str">
        <f>IFERROR(INDEX(COMPOSICIÓN!I$2:I$1838,MATCH($B$4&amp;"|MO|"&amp;H42,COMPOSICIÓN!M$2:M$1838,0)),"")</f>
        <v/>
      </c>
      <c r="G42" s="141" t="str">
        <f t="shared" si="4"/>
        <v/>
      </c>
      <c r="H42" s="113">
        <v>5</v>
      </c>
    </row>
    <row r="43" spans="1:8" ht="15" customHeight="1" outlineLevel="1" x14ac:dyDescent="0.35">
      <c r="A43" s="136" t="str">
        <f>IFERROR(INDEX(COMPOSICIÓN!D$2:D$1838,MATCH($B$4&amp;"|MO|"&amp;H43,COMPOSICIÓN!M$2:M$1838,0)),"")</f>
        <v/>
      </c>
      <c r="B43" s="136" t="str">
        <f>IFERROR(INDEX(COMPOSICIÓN!E$2:E$1838,MATCH($B$4&amp;"|MO|"&amp;H43,COMPOSICIÓN!M$2:M$1838,0)),"")</f>
        <v/>
      </c>
      <c r="C43" s="155" t="str">
        <f>IFERROR(INDEX(COMPOSICIÓN!G$2:G$1838,MATCH($B$4&amp;"|MO|"&amp;H43,COMPOSICIÓN!M$2:M$1838,0)),"")</f>
        <v/>
      </c>
      <c r="D43" s="156" t="str">
        <f t="shared" si="5"/>
        <v/>
      </c>
      <c r="E43" s="139" t="str">
        <f t="shared" si="3"/>
        <v/>
      </c>
      <c r="F43" s="140" t="str">
        <f>IFERROR(INDEX(COMPOSICIÓN!I$2:I$1838,MATCH($B$4&amp;"|MO|"&amp;H43,COMPOSICIÓN!M$2:M$1838,0)),"")</f>
        <v/>
      </c>
      <c r="G43" s="144" t="str">
        <f t="shared" si="4"/>
        <v/>
      </c>
      <c r="H43" s="113">
        <v>6</v>
      </c>
    </row>
    <row r="44" spans="1:8" ht="15" customHeight="1" x14ac:dyDescent="0.35">
      <c r="F44" s="152" t="s">
        <v>2808</v>
      </c>
      <c r="G44" s="146">
        <f>SUM(G38:G43)</f>
        <v>6077009.866432162</v>
      </c>
    </row>
    <row r="45" spans="1:8" ht="15" customHeight="1" x14ac:dyDescent="0.35"/>
    <row r="46" spans="1:8" ht="15" customHeight="1" x14ac:dyDescent="0.35">
      <c r="A46" s="12" t="s">
        <v>2809</v>
      </c>
      <c r="D46" s="154" t="s">
        <v>2803</v>
      </c>
    </row>
    <row r="47" spans="1:8" ht="15" customHeight="1" x14ac:dyDescent="0.35">
      <c r="A47" s="131" t="s">
        <v>579</v>
      </c>
      <c r="B47" s="131" t="s">
        <v>6</v>
      </c>
      <c r="C47" s="131" t="s">
        <v>2804</v>
      </c>
      <c r="D47" s="131" t="s">
        <v>2789</v>
      </c>
      <c r="E47" s="131" t="s">
        <v>565</v>
      </c>
      <c r="F47" s="131" t="s">
        <v>2810</v>
      </c>
      <c r="G47" s="131" t="s">
        <v>2807</v>
      </c>
    </row>
    <row r="48" spans="1:8" ht="15" customHeight="1" x14ac:dyDescent="0.35">
      <c r="A48" s="136" t="str">
        <f>IFERROR(INDEX(COMPOSICIÓN!D$2:D$1838,MATCH($B$4&amp;"|EQ|"&amp;1,COMPOSICIÓN!M$2:M$1838,0)),"")</f>
        <v>EQ-ANDAM0</v>
      </c>
      <c r="B48" s="136" t="str">
        <f>IFERROR(INDEX(COMPOSICIÓN!E$2:E$1838,MATCH($B$4&amp;"|EQ|"&amp;1,COMPOSICIÓN!M$2:M$1838,0)),"")</f>
        <v>ANDAMIO TUBULAR DE UNO A TRES CUERPOS</v>
      </c>
      <c r="C48" s="155">
        <f>IFERROR(INDEX(COMPOSICIÓN!G$2:G$1838,MATCH($B$4&amp;"|EQ|"&amp;1,COMPOSICIÓN!M$2:M$1838,0)),"")</f>
        <v>0.5</v>
      </c>
      <c r="D48" s="137">
        <f>+C48/$B$6</f>
        <v>3.3333333333333333E-2</v>
      </c>
      <c r="E48" s="140">
        <f>IFERROR(INDEX(COMPOSICIÓN!I$2:I$1838,MATCH($B$4&amp;"|EQ|"&amp;1,COMPOSICIÓN!M$2:M$1838,0)),"")</f>
        <v>571.1794909807611</v>
      </c>
      <c r="F48" s="157">
        <f>IF(D48="","",D48*$B$5)</f>
        <v>20.7</v>
      </c>
      <c r="G48" s="158">
        <f>IF(F48="","",F48*E48)</f>
        <v>11823.415463301755</v>
      </c>
    </row>
    <row r="49" spans="1:7" ht="14.25" customHeight="1" x14ac:dyDescent="0.35">
      <c r="A49" s="136" t="str">
        <f>IFERROR(INDEX(COMPOSICIÓN!D$2:D$1838,MATCH($B$4&amp;"|EQ|"&amp;2,COMPOSICIÓN!M$2:M$1838,0)),"")</f>
        <v>EQ-EQALBA</v>
      </c>
      <c r="B49" s="136" t="str">
        <f>IFERROR(INDEX(COMPOSICIÓN!E$2:E$1838,MATCH($B$4&amp;"|EQ|"&amp;2,COMPOSICIÓN!M$2:M$1838,0)),"")</f>
        <v>EQUIPO DE ALBAÑILERIA, carpetas, ladrillo</v>
      </c>
      <c r="C49" s="155">
        <f>IFERROR(INDEX(COMPOSICIÓN!G$2:G$1838,MATCH($B$4&amp;"|EQ|"&amp;2,COMPOSICIÓN!M$2:M$1838,0)),"")</f>
        <v>1</v>
      </c>
      <c r="D49" s="137">
        <f>+C49/$B$6</f>
        <v>6.6666666666666666E-2</v>
      </c>
      <c r="E49" s="140">
        <f>IFERROR(INDEX(COMPOSICIÓN!I$2:I$1838,MATCH($B$4&amp;"|EQ|"&amp;2,COMPOSICIÓN!M$2:M$1838,0)),"")</f>
        <v>2287.1357450968057</v>
      </c>
      <c r="F49" s="157">
        <f>IF(D49="","",D49*$B$5)</f>
        <v>41.4</v>
      </c>
      <c r="G49" s="158">
        <f>IF(F49="","",F49*E49)</f>
        <v>94687.419847007754</v>
      </c>
    </row>
    <row r="50" spans="1:7" ht="14.25" customHeight="1" x14ac:dyDescent="0.35">
      <c r="A50" s="136" t="str">
        <f>IFERROR(INDEX(COMPOSICIÓN!D$2:D$1838,MATCH($B$4&amp;"|EQ|"&amp;3,COMPOSICIÓN!M$2:M$1838,0)),"")</f>
        <v>EQ-TROMPO</v>
      </c>
      <c r="B50" s="136" t="str">
        <f>IFERROR(INDEX(COMPOSICIÓN!E$2:E$1838,MATCH($B$4&amp;"|EQ|"&amp;3,COMPOSICIÓN!M$2:M$1838,0)),"")</f>
        <v>Hormigonera De 150 Litros 1hp Con Rueda Maciza</v>
      </c>
      <c r="C50" s="155">
        <f>IFERROR(INDEX(COMPOSICIÓN!G$2:G$1838,MATCH($B$4&amp;"|EQ|"&amp;3,COMPOSICIÓN!M$2:M$1838,0)),"")</f>
        <v>1</v>
      </c>
      <c r="D50" s="137">
        <f>+C50/$B$6</f>
        <v>6.6666666666666666E-2</v>
      </c>
      <c r="E50" s="140">
        <f>IFERROR(INDEX(COMPOSICIÓN!I$2:I$1838,MATCH($B$4&amp;"|EQ|"&amp;3,COMPOSICIÓN!M$2:M$1838,0)),"")</f>
        <v>957.25319614994726</v>
      </c>
      <c r="F50" s="157">
        <f>IF(D50="","",D50*$B$5)</f>
        <v>41.4</v>
      </c>
      <c r="G50" s="158">
        <f>IF(F50="","",F50*E50)</f>
        <v>39630.282320607817</v>
      </c>
    </row>
    <row r="51" spans="1:7" ht="14.25" customHeight="1" x14ac:dyDescent="0.35">
      <c r="A51" s="136" t="str">
        <f>IFERROR(INDEX(COMPOSICIÓN!D$2:D$1838,MATCH($B$4&amp;"|EQ|"&amp;4,COMPOSICIÓN!M$2:M$1838,0)),"")</f>
        <v/>
      </c>
      <c r="B51" s="136" t="str">
        <f>IFERROR(INDEX(COMPOSICIÓN!E$2:E$1838,MATCH($B$4&amp;"|EQ|"&amp;4,COMPOSICIÓN!M$2:M$1838,0)),"")</f>
        <v/>
      </c>
      <c r="C51" s="155" t="str">
        <f>IFERROR(INDEX(COMPOSICIÓN!G$2:G$1838,MATCH($B$4&amp;"|EQ|"&amp;4,COMPOSICIÓN!M$2:M$1838,0)),"")</f>
        <v/>
      </c>
      <c r="D51" s="137" t="str">
        <f>IFERROR(INDEX(COMPOSICIÓN!#REF!,MATCH($B$4&amp;"|EQ|"&amp;4,COMPOSICIÓN!M$2:M$1838,0)),"")</f>
        <v/>
      </c>
      <c r="E51" s="140" t="str">
        <f>IFERROR(INDEX(COMPOSICIÓN!I$2:I$1838,MATCH($B$4&amp;"|EQ|"&amp;4,COMPOSICIÓN!M$2:M$1838,0)),"")</f>
        <v/>
      </c>
      <c r="F51" s="157" t="str">
        <f>IF(D51="","",D51*$B$5)</f>
        <v/>
      </c>
      <c r="G51" s="158" t="str">
        <f>IF(F51="","",F51*E51)</f>
        <v/>
      </c>
    </row>
    <row r="52" spans="1:7" ht="14.25" hidden="1" customHeight="1" outlineLevel="1" x14ac:dyDescent="0.35">
      <c r="A52" s="136" t="str">
        <f>IFERROR(INDEX(COMPOSICIÓN!D$2:D$1838,MATCH($B$4&amp;"|EQ|"&amp;5,COMPOSICIÓN!M$2:M$1838,0)),"")</f>
        <v/>
      </c>
      <c r="B52" s="136" t="str">
        <f>IFERROR(INDEX(COMPOSICIÓN!E$2:E$1838,MATCH($B$4&amp;"|EQ|"&amp;5,COMPOSICIÓN!M$2:M$1838,0)),"")</f>
        <v/>
      </c>
      <c r="C52" s="155" t="str">
        <f>IFERROR(INDEX(COMPOSICIÓN!G$2:G$1838,MATCH($B$4&amp;"|EQ|"&amp;5,COMPOSICIÓN!M$2:M$1838,0)),"")</f>
        <v/>
      </c>
      <c r="D52" s="137" t="str">
        <f>IFERROR(INDEX(COMPOSICIÓN!#REF!,MATCH($B$4&amp;"|EQ|"&amp;5,COMPOSICIÓN!M$2:M$1838,0)),"")</f>
        <v/>
      </c>
      <c r="E52" s="140" t="str">
        <f>IFERROR(INDEX(COMPOSICIÓN!I$2:I$1838,MATCH($B$4&amp;"|EQ|"&amp;5,COMPOSICIÓN!M$2:M$1838,0)),"")</f>
        <v/>
      </c>
      <c r="F52" s="143" t="str">
        <f>IF(D52="","",D52*$B$5)</f>
        <v/>
      </c>
      <c r="G52" s="144" t="str">
        <f>IF(F52="","",F52*E52)</f>
        <v/>
      </c>
    </row>
    <row r="53" spans="1:7" ht="14.25" customHeight="1" collapsed="1" x14ac:dyDescent="0.35">
      <c r="F53" s="152" t="s">
        <v>2811</v>
      </c>
      <c r="G53" s="146">
        <f>SUM(G48:G52)</f>
        <v>146141.11763091735</v>
      </c>
    </row>
    <row r="55" spans="1:7" ht="14.25" customHeight="1" x14ac:dyDescent="0.35">
      <c r="F55" s="159"/>
    </row>
    <row r="56" spans="1:7" ht="14.25" customHeight="1" x14ac:dyDescent="0.35">
      <c r="F56" s="159"/>
    </row>
  </sheetData>
  <mergeCells count="1"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AC090"/>
  </sheetPr>
  <dimension ref="A1:G23"/>
  <sheetViews>
    <sheetView showGridLines="0" zoomScaleNormal="100" workbookViewId="0">
      <pane ySplit="9" topLeftCell="A10" activePane="bottomLeft" state="frozen"/>
      <selection pane="bottomLeft" activeCell="A13" sqref="A13"/>
    </sheetView>
  </sheetViews>
  <sheetFormatPr defaultColWidth="8.6328125" defaultRowHeight="14.5" outlineLevelRow="1" x14ac:dyDescent="0.35"/>
  <cols>
    <col min="1" max="1" width="22" customWidth="1"/>
    <col min="2" max="2" width="32" customWidth="1"/>
    <col min="3" max="7" width="14" customWidth="1"/>
  </cols>
  <sheetData>
    <row r="1" spans="1:7" ht="17.25" customHeight="1" x14ac:dyDescent="0.45">
      <c r="A1" s="1" t="s">
        <v>2852</v>
      </c>
    </row>
    <row r="3" spans="1:7" ht="15" customHeight="1" x14ac:dyDescent="0.35">
      <c r="A3" s="17" t="s">
        <v>2782</v>
      </c>
      <c r="B3" s="267" t="s">
        <v>2455</v>
      </c>
      <c r="C3" s="264"/>
      <c r="D3" s="264"/>
    </row>
    <row r="4" spans="1:7" ht="15" customHeight="1" x14ac:dyDescent="0.35">
      <c r="A4" s="17" t="s">
        <v>2783</v>
      </c>
      <c r="B4" s="51" t="str">
        <f>IFERROR(INDEX(PARTIDAS!A:A,MATCH(B3,PARTIDAS!D:D,0)),"")</f>
        <v>ALB-034</v>
      </c>
    </row>
    <row r="5" spans="1:7" ht="15" customHeight="1" x14ac:dyDescent="0.35">
      <c r="A5" s="17" t="s">
        <v>2784</v>
      </c>
      <c r="B5" s="168">
        <v>10</v>
      </c>
    </row>
    <row r="6" spans="1:7" ht="15" customHeight="1" x14ac:dyDescent="0.35">
      <c r="A6" s="17" t="s">
        <v>2853</v>
      </c>
      <c r="B6" s="169">
        <f>IFERROR(VLOOKUP(B4,PARTIDAS!A:F,6,FALSE()),0)</f>
        <v>15</v>
      </c>
    </row>
    <row r="7" spans="1:7" ht="15" customHeight="1" x14ac:dyDescent="0.35">
      <c r="A7" s="17" t="s">
        <v>2854</v>
      </c>
      <c r="B7" s="170">
        <f>IF(B6=0,0,ROUNDUP(B5/B6,0))</f>
        <v>1</v>
      </c>
    </row>
    <row r="8" spans="1:7" ht="14.25" customHeight="1" x14ac:dyDescent="0.35">
      <c r="A8" s="13" t="s">
        <v>2855</v>
      </c>
      <c r="B8" s="171">
        <v>1</v>
      </c>
    </row>
    <row r="9" spans="1:7" ht="15" customHeight="1" x14ac:dyDescent="0.35">
      <c r="A9" s="13" t="s">
        <v>2856</v>
      </c>
      <c r="B9" s="20">
        <f>ROUNDUP(B7/B8,0)</f>
        <v>1</v>
      </c>
    </row>
    <row r="10" spans="1:7" ht="15" customHeight="1" x14ac:dyDescent="0.35"/>
    <row r="11" spans="1:7" ht="15" customHeight="1" x14ac:dyDescent="0.35">
      <c r="A11" s="12" t="s">
        <v>2857</v>
      </c>
      <c r="B11" s="12" t="s">
        <v>584</v>
      </c>
      <c r="C11" s="12" t="s">
        <v>2804</v>
      </c>
      <c r="D11" s="12" t="s">
        <v>2858</v>
      </c>
      <c r="E11" s="12" t="s">
        <v>1547</v>
      </c>
      <c r="F11" s="12" t="s">
        <v>2859</v>
      </c>
      <c r="G11" s="12"/>
    </row>
    <row r="12" spans="1:7" ht="15" customHeight="1" x14ac:dyDescent="0.35">
      <c r="A12" s="172" t="str">
        <f>IFERROR(INDEX(COMPOSICIÓN!C$2:C$1838,MATCH($B$4&amp;"|MO|"&amp;1,COMPOSICIÓN!L$2:L$1838,0)),"")</f>
        <v/>
      </c>
      <c r="B12" s="172" t="str">
        <f>IFERROR(INDEX(COMPOSICIÓN!D$2:D$1838,MATCH($B$4&amp;"|MO|"&amp;1,COMPOSICIÓN!L$2:L$1838,0)),"")</f>
        <v/>
      </c>
      <c r="C12" s="173" t="str">
        <f>IFERROR(INDEX(COMPOSICIÓN!E$2:E$1838,MATCH($B$4&amp;"|MO|"&amp;1,COMPOSICIÓN!L$2:L$1838,0)),"")</f>
        <v/>
      </c>
      <c r="D12" s="174" t="str">
        <f t="shared" ref="D12:D18" si="0">IF(C12="","",C12*$B$7)</f>
        <v/>
      </c>
      <c r="E12" s="175" t="str">
        <f>IFERROR(INDEX(COMPOSICIÓN!H$2:H$1838,MATCH($B$4&amp;"|MO|"&amp;1,COMPOSICIÓN!L$2:L$1838,0)),"")</f>
        <v/>
      </c>
      <c r="F12" s="175" t="str">
        <f t="shared" ref="F12:F18" si="1">IF(D12="","",D12*E12)</f>
        <v/>
      </c>
    </row>
    <row r="13" spans="1:7" ht="15" customHeight="1" x14ac:dyDescent="0.35">
      <c r="A13" s="172" t="str">
        <f>IFERROR(INDEX(COMPOSICIÓN!C$2:C$1838,MATCH($B$4&amp;"|MO|"&amp;2,COMPOSICIÓN!L$2:L$1838,0)),"")</f>
        <v/>
      </c>
      <c r="B13" s="172" t="str">
        <f>IFERROR(INDEX(COMPOSICIÓN!D$2:D$1838,MATCH($B$4&amp;"|MO|"&amp;2,COMPOSICIÓN!L$2:L$1838,0)),"")</f>
        <v/>
      </c>
      <c r="C13" s="173" t="str">
        <f>IFERROR(INDEX(COMPOSICIÓN!E$2:E$1838,MATCH($B$4&amp;"|MO|"&amp;2,COMPOSICIÓN!L$2:L$1838,0)),"")</f>
        <v/>
      </c>
      <c r="D13" s="174" t="str">
        <f t="shared" si="0"/>
        <v/>
      </c>
      <c r="E13" s="175" t="str">
        <f>IFERROR(INDEX(COMPOSICIÓN!H$2:H$1838,MATCH($B$4&amp;"|MO|"&amp;2,COMPOSICIÓN!L$2:L$1838,0)),"")</f>
        <v/>
      </c>
      <c r="F13" s="175" t="str">
        <f t="shared" si="1"/>
        <v/>
      </c>
    </row>
    <row r="14" spans="1:7" ht="15" customHeight="1" x14ac:dyDescent="0.35">
      <c r="A14" s="172" t="str">
        <f>IFERROR(INDEX(COMPOSICIÓN!C$2:C$1838,MATCH($B$4&amp;"|MO|"&amp;3,COMPOSICIÓN!L$2:L$1838,0)),"")</f>
        <v/>
      </c>
      <c r="B14" s="172" t="str">
        <f>IFERROR(INDEX(COMPOSICIÓN!D$2:D$1838,MATCH($B$4&amp;"|MO|"&amp;3,COMPOSICIÓN!L$2:L$1838,0)),"")</f>
        <v/>
      </c>
      <c r="C14" s="173" t="str">
        <f>IFERROR(INDEX(COMPOSICIÓN!E$2:E$1838,MATCH($B$4&amp;"|MO|"&amp;3,COMPOSICIÓN!L$2:L$1838,0)),"")</f>
        <v/>
      </c>
      <c r="D14" s="174" t="str">
        <f t="shared" si="0"/>
        <v/>
      </c>
      <c r="E14" s="176" t="str">
        <f>IFERROR(INDEX(COMPOSICIÓN!H$2:H$1838,MATCH($B$4&amp;"|MO|"&amp;3,COMPOSICIÓN!L$2:L$1838,0)),"")</f>
        <v/>
      </c>
      <c r="F14" s="175" t="str">
        <f t="shared" si="1"/>
        <v/>
      </c>
    </row>
    <row r="15" spans="1:7" ht="15" customHeight="1" x14ac:dyDescent="0.35">
      <c r="A15" s="172" t="str">
        <f>IFERROR(INDEX(COMPOSICIÓN!C$2:C$1838,MATCH($B$4&amp;"|MO|"&amp;4,COMPOSICIÓN!L$2:L$1838,0)),"")</f>
        <v/>
      </c>
      <c r="B15" s="172" t="str">
        <f>IFERROR(INDEX(COMPOSICIÓN!D$2:D$1838,MATCH($B$4&amp;"|MO|"&amp;4,COMPOSICIÓN!L$2:L$1838,0)),"")</f>
        <v/>
      </c>
      <c r="C15" s="173" t="str">
        <f>IFERROR(INDEX(COMPOSICIÓN!E$2:E$1838,MATCH($B$4&amp;"|MO|"&amp;4,COMPOSICIÓN!L$2:L$1838,0)),"")</f>
        <v/>
      </c>
      <c r="D15" s="174" t="str">
        <f t="shared" si="0"/>
        <v/>
      </c>
      <c r="E15" s="176" t="str">
        <f>IFERROR(INDEX(COMPOSICIÓN!H$2:H$1838,MATCH($B$4&amp;"|MO|"&amp;4,COMPOSICIÓN!L$2:L$1838,0)),"")</f>
        <v/>
      </c>
      <c r="F15" s="175" t="str">
        <f t="shared" si="1"/>
        <v/>
      </c>
    </row>
    <row r="16" spans="1:7" ht="15" customHeight="1" x14ac:dyDescent="0.35">
      <c r="A16" s="172" t="str">
        <f>IFERROR(INDEX(COMPOSICIÓN!C$2:C$1838,MATCH($B$4&amp;"|MO|"&amp;5,COMPOSICIÓN!L$2:L$1838,0)),"")</f>
        <v/>
      </c>
      <c r="B16" s="172" t="str">
        <f>IFERROR(INDEX(COMPOSICIÓN!D$2:D$1838,MATCH($B$4&amp;"|MO|"&amp;5,COMPOSICIÓN!L$2:L$1838,0)),"")</f>
        <v/>
      </c>
      <c r="C16" s="173" t="str">
        <f>IFERROR(INDEX(COMPOSICIÓN!E$2:E$1838,MATCH($B$4&amp;"|MO|"&amp;5,COMPOSICIÓN!L$2:L$1838,0)),"")</f>
        <v/>
      </c>
      <c r="D16" s="174" t="str">
        <f t="shared" si="0"/>
        <v/>
      </c>
      <c r="E16" s="176" t="str">
        <f>IFERROR(INDEX(COMPOSICIÓN!H$2:H$1838,MATCH($B$4&amp;"|MO|"&amp;5,COMPOSICIÓN!L$2:L$1838,0)),"")</f>
        <v/>
      </c>
      <c r="F16" s="175" t="str">
        <f t="shared" si="1"/>
        <v/>
      </c>
    </row>
    <row r="17" spans="1:6" ht="15" customHeight="1" x14ac:dyDescent="0.35">
      <c r="A17" s="172" t="str">
        <f>IFERROR(INDEX(COMPOSICIÓN!C$2:C$1838,MATCH($B$4&amp;"|MO|"&amp;6,COMPOSICIÓN!L$2:L$1838,0)),"")</f>
        <v/>
      </c>
      <c r="B17" s="172" t="str">
        <f>IFERROR(INDEX(COMPOSICIÓN!D$2:D$1838,MATCH($B$4&amp;"|MO|"&amp;6,COMPOSICIÓN!L$2:L$1838,0)),"")</f>
        <v/>
      </c>
      <c r="C17" s="173" t="str">
        <f>IFERROR(INDEX(COMPOSICIÓN!E$2:E$1838,MATCH($B$4&amp;"|MO|"&amp;6,COMPOSICIÓN!L$2:L$1838,0)),"")</f>
        <v/>
      </c>
      <c r="D17" s="174" t="str">
        <f t="shared" si="0"/>
        <v/>
      </c>
      <c r="E17" s="176" t="str">
        <f>IFERROR(INDEX(COMPOSICIÓN!H$2:H$1838,MATCH($B$4&amp;"|MO|"&amp;6,COMPOSICIÓN!L$2:L$1838,0)),"")</f>
        <v/>
      </c>
      <c r="F17" s="175" t="str">
        <f t="shared" si="1"/>
        <v/>
      </c>
    </row>
    <row r="18" spans="1:6" ht="14.25" customHeight="1" x14ac:dyDescent="0.35">
      <c r="A18" s="172" t="str">
        <f>IFERROR(INDEX(COMPOSICIÓN!C$2:C$1838,MATCH($B$4&amp;"|MO|"&amp;7,COMPOSICIÓN!L$2:L$1838,0)),"")</f>
        <v/>
      </c>
      <c r="B18" s="172" t="str">
        <f>IFERROR(INDEX(COMPOSICIÓN!D$2:D$1838,MATCH($B$4&amp;"|MO|"&amp;7,COMPOSICIÓN!L$2:L$1838,0)),"")</f>
        <v/>
      </c>
      <c r="C18" s="173" t="str">
        <f>IFERROR(INDEX(COMPOSICIÓN!E$2:E$1838,MATCH($B$4&amp;"|MO|"&amp;7,COMPOSICIÓN!L$2:L$1838,0)),"")</f>
        <v/>
      </c>
      <c r="D18" s="174" t="str">
        <f t="shared" si="0"/>
        <v/>
      </c>
      <c r="E18" s="176" t="str">
        <f>IFERROR(INDEX(COMPOSICIÓN!H$2:H$1838,MATCH($B$4&amp;"|MO|"&amp;7,COMPOSICIÓN!L$2:L$1838,0)),"")</f>
        <v/>
      </c>
      <c r="F18" s="175" t="str">
        <f t="shared" si="1"/>
        <v/>
      </c>
    </row>
    <row r="19" spans="1:6" ht="14.25" customHeight="1" x14ac:dyDescent="0.35">
      <c r="C19" s="177" t="s">
        <v>2860</v>
      </c>
      <c r="D19" s="178">
        <f>SUM(D12:D18)</f>
        <v>0</v>
      </c>
      <c r="E19" s="179"/>
      <c r="F19" s="180">
        <f>SUM(F12:F18)</f>
        <v>0</v>
      </c>
    </row>
    <row r="21" spans="1:6" ht="14.25" customHeight="1" outlineLevel="1" x14ac:dyDescent="0.35">
      <c r="A21" s="13" t="s">
        <v>2861</v>
      </c>
      <c r="B21" s="181">
        <f>CONFIG!C22</f>
        <v>1.7452228399641891</v>
      </c>
    </row>
    <row r="22" spans="1:6" ht="14.25" customHeight="1" outlineLevel="1" x14ac:dyDescent="0.35">
      <c r="A22" s="23" t="s">
        <v>2862</v>
      </c>
      <c r="B22" s="80">
        <f>F19*B21</f>
        <v>0</v>
      </c>
    </row>
    <row r="23" spans="1:6" ht="14.25" customHeight="1" outlineLevel="1" x14ac:dyDescent="0.35">
      <c r="A23" s="182" t="s">
        <v>2863</v>
      </c>
    </row>
  </sheetData>
  <mergeCells count="1"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9BD5"/>
    <pageSetUpPr fitToPage="1"/>
  </sheetPr>
  <dimension ref="A1:J655"/>
  <sheetViews>
    <sheetView zoomScaleNormal="100" workbookViewId="0">
      <pane ySplit="14" topLeftCell="A27" activePane="bottomLeft" state="frozen"/>
      <selection pane="bottomLeft" activeCell="E16" sqref="E16"/>
    </sheetView>
  </sheetViews>
  <sheetFormatPr defaultColWidth="8.6328125" defaultRowHeight="14.5" x14ac:dyDescent="0.35"/>
  <cols>
    <col min="1" max="1" width="4" customWidth="1"/>
    <col min="2" max="2" width="16" customWidth="1"/>
    <col min="3" max="3" width="32" customWidth="1"/>
    <col min="4" max="4" width="12" customWidth="1"/>
    <col min="5" max="7" width="14" customWidth="1"/>
    <col min="8" max="10" width="16" customWidth="1"/>
  </cols>
  <sheetData>
    <row r="1" spans="1:10" ht="18" customHeight="1" x14ac:dyDescent="0.35">
      <c r="B1" s="286" t="s">
        <v>2812</v>
      </c>
      <c r="C1" s="264"/>
      <c r="D1" s="264"/>
      <c r="E1" s="264"/>
      <c r="F1" s="264"/>
      <c r="G1" s="264"/>
      <c r="H1" s="264"/>
      <c r="I1" s="264"/>
      <c r="J1" s="264"/>
    </row>
    <row r="2" spans="1:10" x14ac:dyDescent="0.35">
      <c r="B2" s="288" t="s">
        <v>2813</v>
      </c>
      <c r="C2" s="264"/>
      <c r="D2" s="264"/>
      <c r="E2" s="264"/>
      <c r="F2" s="264"/>
      <c r="G2" s="264"/>
      <c r="H2" s="264"/>
      <c r="I2" s="264"/>
      <c r="J2" s="264"/>
    </row>
    <row r="4" spans="1:10" x14ac:dyDescent="0.35">
      <c r="B4" s="220" t="s">
        <v>2814</v>
      </c>
      <c r="C4" s="270" t="s">
        <v>94</v>
      </c>
      <c r="D4" s="271"/>
      <c r="E4" s="271"/>
      <c r="G4" s="279" t="s">
        <v>2815</v>
      </c>
      <c r="H4" s="264"/>
      <c r="I4" s="264"/>
      <c r="J4" s="264"/>
    </row>
    <row r="5" spans="1:10" x14ac:dyDescent="0.35">
      <c r="B5" s="220" t="s">
        <v>2816</v>
      </c>
      <c r="C5" s="278">
        <v>1</v>
      </c>
      <c r="D5" s="271"/>
      <c r="E5" s="271"/>
      <c r="G5" s="274" t="s">
        <v>2817</v>
      </c>
      <c r="H5" s="275"/>
      <c r="I5" s="277">
        <f>SUMPRODUCT((PPTO_GENERADOR!$B$4:$B$220&lt;&gt;"")*((PPTO_GENERADOR!$B$4:$B$220=$C$4)+($C$4="(TODOS)"))*(PPTO_GENERADOR!$E$4:$E$220&gt;0))</f>
        <v>14</v>
      </c>
      <c r="J5" s="275"/>
    </row>
    <row r="6" spans="1:10" x14ac:dyDescent="0.35">
      <c r="G6" s="274" t="s">
        <v>2818</v>
      </c>
      <c r="H6" s="275"/>
      <c r="I6" s="277">
        <f>COUNTIF(G16:G365,"&gt;0")</f>
        <v>24</v>
      </c>
      <c r="J6" s="275"/>
    </row>
    <row r="7" spans="1:10" ht="15.5" customHeight="1" x14ac:dyDescent="0.35">
      <c r="G7" s="282" t="s">
        <v>2819</v>
      </c>
      <c r="H7" s="275"/>
      <c r="I7" s="283">
        <f>SUMIFS(_PLAN_STG!$Q$2:$Q$1879,_PLAN_STG!$O$2:$O$1879,1)</f>
        <v>38367857.528909326</v>
      </c>
      <c r="J7" s="275"/>
    </row>
    <row r="8" spans="1:10" x14ac:dyDescent="0.35">
      <c r="G8" s="274" t="s">
        <v>2820</v>
      </c>
      <c r="H8" s="275"/>
      <c r="I8" s="276">
        <f>SUMIFS(_PLAN_STG!$Q$2:$Q$1879,_PLAN_STG!$B$2:$B$1879,"MAT",_PLAN_STG!$O$2:$O$1879,1)</f>
        <v>16271396.567820553</v>
      </c>
      <c r="J8" s="275"/>
    </row>
    <row r="9" spans="1:10" x14ac:dyDescent="0.35">
      <c r="G9" s="274" t="s">
        <v>2821</v>
      </c>
      <c r="H9" s="275"/>
      <c r="I9" s="276">
        <f>SUMIFS(_PLAN_STG!$Q$2:$Q$1879,_PLAN_STG!$B$2:$B$1879,"MO",_PLAN_STG!$O$2:$O$1879,1)</f>
        <v>21545827.247705419</v>
      </c>
      <c r="J9" s="275"/>
    </row>
    <row r="10" spans="1:10" x14ac:dyDescent="0.35">
      <c r="G10" s="274" t="s">
        <v>2822</v>
      </c>
      <c r="H10" s="275"/>
      <c r="I10" s="276">
        <f>SUMIFS(_PLAN_STG!$Q$2:$Q$1879,_PLAN_STG!$B$2:$B$1879,"EQ",_PLAN_STG!$O$2:$O$1879,1)</f>
        <v>550633.7133833454</v>
      </c>
      <c r="J10" s="275"/>
    </row>
    <row r="11" spans="1:10" ht="15.5" customHeight="1" x14ac:dyDescent="0.35">
      <c r="G11" s="282" t="s">
        <v>2823</v>
      </c>
      <c r="H11" s="275"/>
      <c r="I11" s="283">
        <f>I7*PPTO_GENERADOR!$N$2</f>
        <v>51132843.728777461</v>
      </c>
      <c r="J11" s="275"/>
    </row>
    <row r="13" spans="1:10" ht="15.5" customHeight="1" x14ac:dyDescent="0.35">
      <c r="B13" s="287" t="s">
        <v>2824</v>
      </c>
      <c r="C13" s="264"/>
      <c r="D13" s="264"/>
      <c r="E13" s="264"/>
      <c r="F13" s="264"/>
      <c r="G13" s="264"/>
      <c r="H13" s="284" t="str">
        <f>COUNTIF(G16:G365,"&gt;0")&amp;" materiales activos · Total $"&amp;TEXT(SUM(G16:G365),"#,##0")</f>
        <v>24 materiales activos · Total $16,271,397</v>
      </c>
      <c r="I13" s="264"/>
      <c r="J13" s="264"/>
    </row>
    <row r="14" spans="1:10" x14ac:dyDescent="0.35">
      <c r="A14" s="221" t="s">
        <v>4</v>
      </c>
      <c r="B14" s="221" t="s">
        <v>579</v>
      </c>
      <c r="C14" s="221" t="s">
        <v>6</v>
      </c>
      <c r="D14" s="221" t="s">
        <v>580</v>
      </c>
      <c r="E14" s="221" t="s">
        <v>2825</v>
      </c>
      <c r="F14" s="221" t="s">
        <v>2826</v>
      </c>
      <c r="G14" s="221" t="s">
        <v>2827</v>
      </c>
      <c r="H14" s="221" t="s">
        <v>2828</v>
      </c>
      <c r="I14" s="221" t="s">
        <v>2829</v>
      </c>
      <c r="J14" s="221" t="s">
        <v>584</v>
      </c>
    </row>
    <row r="16" spans="1:10" x14ac:dyDescent="0.35">
      <c r="A16" s="222">
        <f t="shared" ref="A16:A79" si="0">IF(G16=0,"",ROW()-16+1)</f>
        <v>1</v>
      </c>
      <c r="B16" s="223" t="s">
        <v>611</v>
      </c>
      <c r="C16" s="224" t="str">
        <f>IFERROR(VLOOKUP(B16,MATERIALES!$A:$B,2,FALSE()),IFERROR(INDEX(COMPOSICIÓN!$E$2:$E$1879,MATCH(B16,COMPOSICIÓN!$D$2:$D$1879,0)),""))</f>
        <v>Barra de Acero Aleteado - 6mm x 12m</v>
      </c>
      <c r="D16" s="225" t="str">
        <f>IFERROR(VLOOKUP(B16,MATERIALES!$A:$C,3,FALSE()),IFERROR(INDEX(COMPOSICIÓN!$F$2:$F$1879,MATCH(B16,COMPOSICIÓN!$D$2:$D$1879,0)),""))</f>
        <v>u</v>
      </c>
      <c r="E16" s="161">
        <f>SUMIFS(_PLAN_STG!$P$2:$P$1879,_PLAN_STG!$D$2:$D$1879,B16,_PLAN_STG!$B$2:$B$1879,"MAT",_PLAN_STG!$O$2:$O$1879,1)</f>
        <v>285.03475000000003</v>
      </c>
      <c r="F16" s="162">
        <f>IFERROR(VLOOKUP(B16,MATERIALES!$A:$D,4,FALSE()),IFERROR(INDEX(COMPOSICIÓN!$I$2:$I$1879,MATCH(B16,COMPOSICIÓN!$D$2:$D$1879,0)),0))</f>
        <v>3424.53</v>
      </c>
      <c r="G16" s="163">
        <f>SUMIFS(_PLAN_STG!$Q$2:$Q$1879,_PLAN_STG!$D$2:$D$1879,B16,_PLAN_STG!$B$2:$B$1879,"MAT",_PLAN_STG!$O$2:$O$1879,1)</f>
        <v>976110.05241750018</v>
      </c>
      <c r="H16" s="225" t="str">
        <f>IFERROR(INDEX(COMPOSICIÓN!$C$2:$C$1879,MATCH(B16,COMPOSICIÓN!$D$2:$D$1879,0)),"")</f>
        <v>OTR</v>
      </c>
      <c r="I16" s="226">
        <f>SUMPRODUCT((_PLAN_STG!$D$2:$D$1879=B16)*(_PLAN_STG!$B$2:$B$1879="MAT")*(_PLAN_STG!$O$2:$O$1879=1)*(_PLAN_STG!$P$2:$P$1879&gt;0))</f>
        <v>6</v>
      </c>
      <c r="J16" s="224" t="str">
        <f>IFERROR(VLOOKUP(B16,MATERIALES!$A:$G,7,FALSE()),"")</f>
        <v>Corralón</v>
      </c>
    </row>
    <row r="17" spans="1:10" x14ac:dyDescent="0.35">
      <c r="A17" s="222" t="str">
        <f t="shared" si="0"/>
        <v/>
      </c>
      <c r="B17" s="223" t="s">
        <v>685</v>
      </c>
      <c r="C17" s="224" t="str">
        <f>IFERROR(VLOOKUP(B17,MATERIALES!$A:$B,2,FALSE()),IFERROR(INDEX(COMPOSICIÓN!$E$2:$E$1879,MATCH(B17,COMPOSICIÓN!$D$2:$D$1879,0)),""))</f>
        <v>Alambre de Fardo</v>
      </c>
      <c r="D17" s="225" t="str">
        <f>IFERROR(VLOOKUP(B17,MATERIALES!$A:$C,3,FALSE()),IFERROR(INDEX(COMPOSICIÓN!$F$2:$F$1879,MATCH(B17,COMPOSICIÓN!$D$2:$D$1879,0)),""))</f>
        <v>kg</v>
      </c>
      <c r="E17" s="161">
        <f>SUMIFS(_PLAN_STG!$P$2:$P$1879,_PLAN_STG!$D$2:$D$1879,B17,_PLAN_STG!$B$2:$B$1879,"MAT",_PLAN_STG!$O$2:$O$1879,1)</f>
        <v>0</v>
      </c>
      <c r="F17" s="162">
        <f>IFERROR(VLOOKUP(B17,MATERIALES!$A:$D,4,FALSE()),IFERROR(INDEX(COMPOSICIÓN!$I$2:$I$1879,MATCH(B17,COMPOSICIÓN!$D$2:$D$1879,0)),0))</f>
        <v>2302.02</v>
      </c>
      <c r="G17" s="163">
        <f>SUMIFS(_PLAN_STG!$Q$2:$Q$1879,_PLAN_STG!$D$2:$D$1879,B17,_PLAN_STG!$B$2:$B$1879,"MAT",_PLAN_STG!$O$2:$O$1879,1)</f>
        <v>0</v>
      </c>
      <c r="H17" s="225" t="str">
        <f>IFERROR(INDEX(COMPOSICIÓN!$C$2:$C$1879,MATCH(B17,COMPOSICIÓN!$D$2:$D$1879,0)),"")</f>
        <v>OTR</v>
      </c>
      <c r="I17" s="226">
        <f>SUMPRODUCT((_PLAN_STG!$D$2:$D$1879=B17)*(_PLAN_STG!$B$2:$B$1879="MAT")*(_PLAN_STG!$O$2:$O$1879=1)*(_PLAN_STG!$P$2:$P$1879&gt;0))</f>
        <v>0</v>
      </c>
      <c r="J17" s="224" t="str">
        <f>IFERROR(VLOOKUP(B17,MATERIALES!$A:$G,7,FALSE()),"")</f>
        <v>Corralón</v>
      </c>
    </row>
    <row r="18" spans="1:10" x14ac:dyDescent="0.35">
      <c r="A18" s="222" t="str">
        <f t="shared" si="0"/>
        <v/>
      </c>
      <c r="B18" s="223" t="s">
        <v>789</v>
      </c>
      <c r="C18" s="224" t="str">
        <f>IFERROR(VLOOKUP(B18,MATERIALES!$A:$B,2,FALSE()),IFERROR(INDEX(COMPOSICIÓN!$E$2:$E$1879,MATCH(B18,COMPOSICIÓN!$D$2:$D$1879,0)),""))</f>
        <v>Alambre galvanizado N°14 x kg</v>
      </c>
      <c r="D18" s="225" t="str">
        <f>IFERROR(VLOOKUP(B18,MATERIALES!$A:$C,3,FALSE()),IFERROR(INDEX(COMPOSICIÓN!$F$2:$F$1879,MATCH(B18,COMPOSICIÓN!$D$2:$D$1879,0)),""))</f>
        <v>u</v>
      </c>
      <c r="E18" s="161">
        <f>SUMIFS(_PLAN_STG!$P$2:$P$1879,_PLAN_STG!$D$2:$D$1879,B18,_PLAN_STG!$B$2:$B$1879,"MAT",_PLAN_STG!$O$2:$O$1879,1)</f>
        <v>0</v>
      </c>
      <c r="F18" s="162">
        <f>IFERROR(VLOOKUP(B18,MATERIALES!$A:$D,4,FALSE()),IFERROR(INDEX(COMPOSICIÓN!$I$2:$I$1879,MATCH(B18,COMPOSICIÓN!$D$2:$D$1879,0)),0))</f>
        <v>2474.34710743802</v>
      </c>
      <c r="G18" s="163">
        <f>SUMIFS(_PLAN_STG!$Q$2:$Q$1879,_PLAN_STG!$D$2:$D$1879,B18,_PLAN_STG!$B$2:$B$1879,"MAT",_PLAN_STG!$O$2:$O$1879,1)</f>
        <v>0</v>
      </c>
      <c r="H18" s="225" t="str">
        <f>IFERROR(INDEX(COMPOSICIÓN!$C$2:$C$1879,MATCH(B18,COMPOSICIÓN!$D$2:$D$1879,0)),"")</f>
        <v>OTR</v>
      </c>
      <c r="I18" s="226">
        <f>SUMPRODUCT((_PLAN_STG!$D$2:$D$1879=B18)*(_PLAN_STG!$B$2:$B$1879="MAT")*(_PLAN_STG!$O$2:$O$1879=1)*(_PLAN_STG!$P$2:$P$1879&gt;0))</f>
        <v>0</v>
      </c>
      <c r="J18" s="224" t="str">
        <f>IFERROR(VLOOKUP(B18,MATERIALES!$A:$G,7,FALSE()),"")</f>
        <v>Corralón</v>
      </c>
    </row>
    <row r="19" spans="1:10" x14ac:dyDescent="0.35">
      <c r="A19" s="222" t="str">
        <f t="shared" si="0"/>
        <v/>
      </c>
      <c r="B19" s="223" t="s">
        <v>872</v>
      </c>
      <c r="C19" s="224" t="str">
        <f>IFERROR(VLOOKUP(B19,MATERIALES!$A:$B,2,FALSE()),IFERROR(INDEX(COMPOSICIÓN!$E$2:$E$1879,MATCH(B19,COMPOSICIÓN!$D$2:$D$1879,0)),""))</f>
        <v>CLAVOS DE 21/2" X 12</v>
      </c>
      <c r="D19" s="225" t="str">
        <f>IFERROR(VLOOKUP(B19,MATERIALES!$A:$C,3,FALSE()),IFERROR(INDEX(COMPOSICIÓN!$F$2:$F$1879,MATCH(B19,COMPOSICIÓN!$D$2:$D$1879,0)),""))</f>
        <v>KG</v>
      </c>
      <c r="E19" s="161">
        <f>SUMIFS(_PLAN_STG!$P$2:$P$1879,_PLAN_STG!$D$2:$D$1879,B19,_PLAN_STG!$B$2:$B$1879,"MAT",_PLAN_STG!$O$2:$O$1879,1)</f>
        <v>0</v>
      </c>
      <c r="F19" s="162">
        <f>IFERROR(VLOOKUP(B19,MATERIALES!$A:$D,4,FALSE()),IFERROR(INDEX(COMPOSICIÓN!$I$2:$I$1879,MATCH(B19,COMPOSICIÓN!$D$2:$D$1879,0)),0))</f>
        <v>2130.1681250000001</v>
      </c>
      <c r="G19" s="163">
        <f>SUMIFS(_PLAN_STG!$Q$2:$Q$1879,_PLAN_STG!$D$2:$D$1879,B19,_PLAN_STG!$B$2:$B$1879,"MAT",_PLAN_STG!$O$2:$O$1879,1)</f>
        <v>0</v>
      </c>
      <c r="H19" s="225" t="str">
        <f>IFERROR(INDEX(COMPOSICIÓN!$C$2:$C$1879,MATCH(B19,COMPOSICIÓN!$D$2:$D$1879,0)),"")</f>
        <v>OTR</v>
      </c>
      <c r="I19" s="226">
        <f>SUMPRODUCT((_PLAN_STG!$D$2:$D$1879=B19)*(_PLAN_STG!$B$2:$B$1879="MAT")*(_PLAN_STG!$O$2:$O$1879=1)*(_PLAN_STG!$P$2:$P$1879&gt;0))</f>
        <v>0</v>
      </c>
      <c r="J19" s="224" t="str">
        <f>IFERROR(VLOOKUP(B19,MATERIALES!$A:$G,7,FALSE()),"")</f>
        <v>Corralón</v>
      </c>
    </row>
    <row r="20" spans="1:10" x14ac:dyDescent="0.35">
      <c r="A20" s="222" t="str">
        <f t="shared" si="0"/>
        <v/>
      </c>
      <c r="B20" s="223" t="s">
        <v>893</v>
      </c>
      <c r="C20" s="224" t="str">
        <f>IFERROR(VLOOKUP(B20,MATERIALES!$A:$B,2,FALSE()),IFERROR(INDEX(COMPOSICIÓN!$E$2:$E$1879,MATCH(B20,COMPOSICIÓN!$D$2:$D$1879,0)),""))</f>
        <v>ACERO ESTRUCTURAL POR KILO</v>
      </c>
      <c r="D20" s="225" t="str">
        <f>IFERROR(VLOOKUP(B20,MATERIALES!$A:$C,3,FALSE()),IFERROR(INDEX(COMPOSICIÓN!$F$2:$F$1879,MATCH(B20,COMPOSICIÓN!$D$2:$D$1879,0)),""))</f>
        <v>KGF</v>
      </c>
      <c r="E20" s="161">
        <f>SUMIFS(_PLAN_STG!$P$2:$P$1879,_PLAN_STG!$D$2:$D$1879,B20,_PLAN_STG!$B$2:$B$1879,"MAT",_PLAN_STG!$O$2:$O$1879,1)</f>
        <v>0</v>
      </c>
      <c r="F20" s="162">
        <f>IFERROR(VLOOKUP(B20,MATERIALES!$A:$D,4,FALSE()),IFERROR(INDEX(COMPOSICIÓN!$I$2:$I$1879,MATCH(B20,COMPOSICIÓN!$D$2:$D$1879,0)),0))</f>
        <v>1269.26</v>
      </c>
      <c r="G20" s="163">
        <f>SUMIFS(_PLAN_STG!$Q$2:$Q$1879,_PLAN_STG!$D$2:$D$1879,B20,_PLAN_STG!$B$2:$B$1879,"MAT",_PLAN_STG!$O$2:$O$1879,1)</f>
        <v>0</v>
      </c>
      <c r="H20" s="225" t="str">
        <f>IFERROR(INDEX(COMPOSICIÓN!$C$2:$C$1879,MATCH(B20,COMPOSICIÓN!$D$2:$D$1879,0)),"")</f>
        <v>OTR</v>
      </c>
      <c r="I20" s="226">
        <f>SUMPRODUCT((_PLAN_STG!$D$2:$D$1879=B20)*(_PLAN_STG!$B$2:$B$1879="MAT")*(_PLAN_STG!$O$2:$O$1879=1)*(_PLAN_STG!$P$2:$P$1879&gt;0))</f>
        <v>0</v>
      </c>
      <c r="J20" s="224" t="str">
        <f>IFERROR(VLOOKUP(B20,MATERIALES!$A:$G,7,FALSE()),"")</f>
        <v>Corralón</v>
      </c>
    </row>
    <row r="21" spans="1:10" x14ac:dyDescent="0.35">
      <c r="A21" s="222" t="str">
        <f t="shared" si="0"/>
        <v/>
      </c>
      <c r="B21" s="223" t="s">
        <v>926</v>
      </c>
      <c r="C21" s="224" t="str">
        <f>IFERROR(VLOOKUP(B21,MATERIALES!$A:$B,2,FALSE()),IFERROR(INDEX(COMPOSICIÓN!$E$2:$E$1879,MATCH(B21,COMPOSICIÓN!$D$2:$D$1879,0)),""))</f>
        <v>Conector hierro 3/4"</v>
      </c>
      <c r="D21" s="225" t="str">
        <f>IFERROR(VLOOKUP(B21,MATERIALES!$A:$C,3,FALSE()),IFERROR(INDEX(COMPOSICIÓN!$F$2:$F$1879,MATCH(B21,COMPOSICIÓN!$D$2:$D$1879,0)),""))</f>
        <v>u</v>
      </c>
      <c r="E21" s="161">
        <f>SUMIFS(_PLAN_STG!$P$2:$P$1879,_PLAN_STG!$D$2:$D$1879,B21,_PLAN_STG!$B$2:$B$1879,"MAT",_PLAN_STG!$O$2:$O$1879,1)</f>
        <v>0</v>
      </c>
      <c r="F21" s="162">
        <f>IFERROR(VLOOKUP(B21,MATERIALES!$A:$D,4,FALSE()),IFERROR(INDEX(COMPOSICIÓN!$I$2:$I$1879,MATCH(B21,COMPOSICIÓN!$D$2:$D$1879,0)),0))</f>
        <v>225.83199999999999</v>
      </c>
      <c r="G21" s="163">
        <f>SUMIFS(_PLAN_STG!$Q$2:$Q$1879,_PLAN_STG!$D$2:$D$1879,B21,_PLAN_STG!$B$2:$B$1879,"MAT",_PLAN_STG!$O$2:$O$1879,1)</f>
        <v>0</v>
      </c>
      <c r="H21" s="225" t="str">
        <f>IFERROR(INDEX(COMPOSICIÓN!$C$2:$C$1879,MATCH(B21,COMPOSICIÓN!$D$2:$D$1879,0)),"")</f>
        <v>OTR</v>
      </c>
      <c r="I21" s="226">
        <f>SUMPRODUCT((_PLAN_STG!$D$2:$D$1879=B21)*(_PLAN_STG!$B$2:$B$1879="MAT")*(_PLAN_STG!$O$2:$O$1879=1)*(_PLAN_STG!$P$2:$P$1879&gt;0))</f>
        <v>0</v>
      </c>
      <c r="J21" s="224" t="str">
        <f>IFERROR(VLOOKUP(B21,MATERIALES!$A:$G,7,FALSE()),"")</f>
        <v>Corralón</v>
      </c>
    </row>
    <row r="22" spans="1:10" x14ac:dyDescent="0.35">
      <c r="A22" s="222" t="str">
        <f t="shared" si="0"/>
        <v/>
      </c>
      <c r="B22" s="223" t="s">
        <v>928</v>
      </c>
      <c r="C22" s="224" t="str">
        <f>IFERROR(VLOOKUP(B22,MATERIALES!$A:$B,2,FALSE()),IFERROR(INDEX(COMPOSICIÓN!$E$2:$E$1879,MATCH(B22,COMPOSICIÓN!$D$2:$D$1879,0)),""))</f>
        <v>Conector hierro 7/8"</v>
      </c>
      <c r="D22" s="225" t="str">
        <f>IFERROR(VLOOKUP(B22,MATERIALES!$A:$C,3,FALSE()),IFERROR(INDEX(COMPOSICIÓN!$F$2:$F$1879,MATCH(B22,COMPOSICIÓN!$D$2:$D$1879,0)),""))</f>
        <v>u</v>
      </c>
      <c r="E22" s="161">
        <f>SUMIFS(_PLAN_STG!$P$2:$P$1879,_PLAN_STG!$D$2:$D$1879,B22,_PLAN_STG!$B$2:$B$1879,"MAT",_PLAN_STG!$O$2:$O$1879,1)</f>
        <v>0</v>
      </c>
      <c r="F22" s="162">
        <f>IFERROR(VLOOKUP(B22,MATERIALES!$A:$D,4,FALSE()),IFERROR(INDEX(COMPOSICIÓN!$I$2:$I$1879,MATCH(B22,COMPOSICIÓN!$D$2:$D$1879,0)),0))</f>
        <v>282.29000000000002</v>
      </c>
      <c r="G22" s="163">
        <f>SUMIFS(_PLAN_STG!$Q$2:$Q$1879,_PLAN_STG!$D$2:$D$1879,B22,_PLAN_STG!$B$2:$B$1879,"MAT",_PLAN_STG!$O$2:$O$1879,1)</f>
        <v>0</v>
      </c>
      <c r="H22" s="225" t="str">
        <f>IFERROR(INDEX(COMPOSICIÓN!$C$2:$C$1879,MATCH(B22,COMPOSICIÓN!$D$2:$D$1879,0)),"")</f>
        <v>OTR</v>
      </c>
      <c r="I22" s="226">
        <f>SUMPRODUCT((_PLAN_STG!$D$2:$D$1879=B22)*(_PLAN_STG!$B$2:$B$1879="MAT")*(_PLAN_STG!$O$2:$O$1879=1)*(_PLAN_STG!$P$2:$P$1879&gt;0))</f>
        <v>0</v>
      </c>
      <c r="J22" s="224" t="str">
        <f>IFERROR(VLOOKUP(B22,MATERIALES!$A:$G,7,FALSE()),"")</f>
        <v>Corralón</v>
      </c>
    </row>
    <row r="23" spans="1:10" x14ac:dyDescent="0.35">
      <c r="A23" s="222" t="str">
        <f t="shared" si="0"/>
        <v/>
      </c>
      <c r="B23" s="223" t="s">
        <v>930</v>
      </c>
      <c r="C23" s="224" t="str">
        <f>IFERROR(VLOOKUP(B23,MATERIALES!$A:$B,2,FALSE()),IFERROR(INDEX(COMPOSICIÓN!$E$2:$E$1879,MATCH(B23,COMPOSICIÓN!$D$2:$D$1879,0)),""))</f>
        <v>Conector hierro 1"</v>
      </c>
      <c r="D23" s="225" t="str">
        <f>IFERROR(VLOOKUP(B23,MATERIALES!$A:$C,3,FALSE()),IFERROR(INDEX(COMPOSICIÓN!$F$2:$F$1879,MATCH(B23,COMPOSICIÓN!$D$2:$D$1879,0)),""))</f>
        <v>u</v>
      </c>
      <c r="E23" s="161">
        <f>SUMIFS(_PLAN_STG!$P$2:$P$1879,_PLAN_STG!$D$2:$D$1879,B23,_PLAN_STG!$B$2:$B$1879,"MAT",_PLAN_STG!$O$2:$O$1879,1)</f>
        <v>0</v>
      </c>
      <c r="F23" s="162">
        <f>IFERROR(VLOOKUP(B23,MATERIALES!$A:$D,4,FALSE()),IFERROR(INDEX(COMPOSICIÓN!$I$2:$I$1879,MATCH(B23,COMPOSICIÓN!$D$2:$D$1879,0)),0))</f>
        <v>351.14</v>
      </c>
      <c r="G23" s="163">
        <f>SUMIFS(_PLAN_STG!$Q$2:$Q$1879,_PLAN_STG!$D$2:$D$1879,B23,_PLAN_STG!$B$2:$B$1879,"MAT",_PLAN_STG!$O$2:$O$1879,1)</f>
        <v>0</v>
      </c>
      <c r="H23" s="225" t="str">
        <f>IFERROR(INDEX(COMPOSICIÓN!$C$2:$C$1879,MATCH(B23,COMPOSICIÓN!$D$2:$D$1879,0)),"")</f>
        <v>OTR</v>
      </c>
      <c r="I23" s="226">
        <f>SUMPRODUCT((_PLAN_STG!$D$2:$D$1879=B23)*(_PLAN_STG!$B$2:$B$1879="MAT")*(_PLAN_STG!$O$2:$O$1879=1)*(_PLAN_STG!$P$2:$P$1879&gt;0))</f>
        <v>0</v>
      </c>
      <c r="J23" s="224" t="str">
        <f>IFERROR(VLOOKUP(B23,MATERIALES!$A:$G,7,FALSE()),"")</f>
        <v>Corralón</v>
      </c>
    </row>
    <row r="24" spans="1:10" x14ac:dyDescent="0.35">
      <c r="A24" s="222" t="str">
        <f t="shared" si="0"/>
        <v/>
      </c>
      <c r="B24" s="223" t="s">
        <v>652</v>
      </c>
      <c r="C24" s="224" t="str">
        <f>IFERROR(VLOOKUP(B24,MATERIALES!$A:$B,2,FALSE()),IFERROR(INDEX(COMPOSICIÓN!$E$2:$E$1879,MATCH(B24,COMPOSICIÓN!$D$2:$D$1879,0)),""))</f>
        <v>Adhesivo Klaukol Porcellanato Fluido x 30Kg</v>
      </c>
      <c r="D24" s="225" t="str">
        <f>IFERROR(VLOOKUP(B24,MATERIALES!$A:$C,3,FALSE()),IFERROR(INDEX(COMPOSICIÓN!$F$2:$F$1879,MATCH(B24,COMPOSICIÓN!$D$2:$D$1879,0)),""))</f>
        <v>bol</v>
      </c>
      <c r="E24" s="161">
        <f>SUMIFS(_PLAN_STG!$P$2:$P$1879,_PLAN_STG!$D$2:$D$1879,B24,_PLAN_STG!$B$2:$B$1879,"MAT",_PLAN_STG!$O$2:$O$1879,1)</f>
        <v>0</v>
      </c>
      <c r="F24" s="162">
        <f>IFERROR(VLOOKUP(B24,MATERIALES!$A:$D,4,FALSE()),IFERROR(INDEX(COMPOSICIÓN!$I$2:$I$1879,MATCH(B24,COMPOSICIÓN!$D$2:$D$1879,0)),0))</f>
        <v>18802.511999999999</v>
      </c>
      <c r="G24" s="163">
        <f>SUMIFS(_PLAN_STG!$Q$2:$Q$1879,_PLAN_STG!$D$2:$D$1879,B24,_PLAN_STG!$B$2:$B$1879,"MAT",_PLAN_STG!$O$2:$O$1879,1)</f>
        <v>0</v>
      </c>
      <c r="H24" s="225" t="str">
        <f>IFERROR(INDEX(COMPOSICIÓN!$C$2:$C$1879,MATCH(B24,COMPOSICIÓN!$D$2:$D$1879,0)),"")</f>
        <v>COR</v>
      </c>
      <c r="I24" s="226">
        <f>SUMPRODUCT((_PLAN_STG!$D$2:$D$1879=B24)*(_PLAN_STG!$B$2:$B$1879="MAT")*(_PLAN_STG!$O$2:$O$1879=1)*(_PLAN_STG!$P$2:$P$1879&gt;0))</f>
        <v>0</v>
      </c>
      <c r="J24" s="224" t="str">
        <f>IFERROR(VLOOKUP(B24,MATERIALES!$A:$G,7,FALSE()),"")</f>
        <v>Adhesivos y pastinas</v>
      </c>
    </row>
    <row r="25" spans="1:10" x14ac:dyDescent="0.35">
      <c r="A25" s="222" t="str">
        <f t="shared" si="0"/>
        <v/>
      </c>
      <c r="B25" s="223" t="s">
        <v>671</v>
      </c>
      <c r="C25" s="224" t="str">
        <f>IFERROR(VLOOKUP(B25,MATERIALES!$A:$B,2,FALSE()),IFERROR(INDEX(COMPOSICIÓN!$E$2:$E$1879,MATCH(B25,COMPOSICIÓN!$D$2:$D$1879,0)),""))</f>
        <v>Pastina Klaukol x 1kg - Alta performance</v>
      </c>
      <c r="D25" s="225" t="str">
        <f>IFERROR(VLOOKUP(B25,MATERIALES!$A:$C,3,FALSE()),IFERROR(INDEX(COMPOSICIÓN!$F$2:$F$1879,MATCH(B25,COMPOSICIÓN!$D$2:$D$1879,0)),""))</f>
        <v>u</v>
      </c>
      <c r="E25" s="161">
        <f>SUMIFS(_PLAN_STG!$P$2:$P$1879,_PLAN_STG!$D$2:$D$1879,B25,_PLAN_STG!$B$2:$B$1879,"MAT",_PLAN_STG!$O$2:$O$1879,1)</f>
        <v>0</v>
      </c>
      <c r="F25" s="162">
        <f>IFERROR(VLOOKUP(B25,MATERIALES!$A:$D,4,FALSE()),IFERROR(INDEX(COMPOSICIÓN!$I$2:$I$1879,MATCH(B25,COMPOSICIÓN!$D$2:$D$1879,0)),0))</f>
        <v>3214.35</v>
      </c>
      <c r="G25" s="163">
        <f>SUMIFS(_PLAN_STG!$Q$2:$Q$1879,_PLAN_STG!$D$2:$D$1879,B25,_PLAN_STG!$B$2:$B$1879,"MAT",_PLAN_STG!$O$2:$O$1879,1)</f>
        <v>0</v>
      </c>
      <c r="H25" s="225" t="str">
        <f>IFERROR(INDEX(COMPOSICIÓN!$C$2:$C$1879,MATCH(B25,COMPOSICIÓN!$D$2:$D$1879,0)),"")</f>
        <v>COR</v>
      </c>
      <c r="I25" s="226">
        <f>SUMPRODUCT((_PLAN_STG!$D$2:$D$1879=B25)*(_PLAN_STG!$B$2:$B$1879="MAT")*(_PLAN_STG!$O$2:$O$1879=1)*(_PLAN_STG!$P$2:$P$1879&gt;0))</f>
        <v>0</v>
      </c>
      <c r="J25" s="224" t="str">
        <f>IFERROR(VLOOKUP(B25,MATERIALES!$A:$G,7,FALSE()),"")</f>
        <v>Adhesivos y pastinas</v>
      </c>
    </row>
    <row r="26" spans="1:10" x14ac:dyDescent="0.35">
      <c r="A26" s="222" t="str">
        <f t="shared" si="0"/>
        <v/>
      </c>
      <c r="B26" s="223" t="s">
        <v>688</v>
      </c>
      <c r="C26" s="224" t="str">
        <f>IFERROR(VLOOKUP(B26,MATERIALES!$A:$B,2,FALSE()),IFERROR(INDEX(COMPOSICIÓN!$E$2:$E$1879,MATCH(B26,COMPOSICIÓN!$D$2:$D$1879,0)),""))</f>
        <v>Sika Poro Plus x 10 kg</v>
      </c>
      <c r="D26" s="225" t="str">
        <f>IFERROR(VLOOKUP(B26,MATERIALES!$A:$C,3,FALSE()),IFERROR(INDEX(COMPOSICIÓN!$F$2:$F$1879,MATCH(B26,COMPOSICIÓN!$D$2:$D$1879,0)),""))</f>
        <v>b</v>
      </c>
      <c r="E26" s="161">
        <f>SUMIFS(_PLAN_STG!$P$2:$P$1879,_PLAN_STG!$D$2:$D$1879,B26,_PLAN_STG!$B$2:$B$1879,"MAT",_PLAN_STG!$O$2:$O$1879,1)</f>
        <v>0</v>
      </c>
      <c r="F26" s="162">
        <f>IFERROR(VLOOKUP(B26,MATERIALES!$A:$D,4,FALSE()),IFERROR(INDEX(COMPOSICIÓN!$I$2:$I$1879,MATCH(B26,COMPOSICIÓN!$D$2:$D$1879,0)),0))</f>
        <v>252066.115702479</v>
      </c>
      <c r="G26" s="163">
        <f>SUMIFS(_PLAN_STG!$Q$2:$Q$1879,_PLAN_STG!$D$2:$D$1879,B26,_PLAN_STG!$B$2:$B$1879,"MAT",_PLAN_STG!$O$2:$O$1879,1)</f>
        <v>0</v>
      </c>
      <c r="H26" s="225" t="str">
        <f>IFERROR(INDEX(COMPOSICIÓN!$C$2:$C$1879,MATCH(B26,COMPOSICIÓN!$D$2:$D$1879,0)),"")</f>
        <v>OTR</v>
      </c>
      <c r="I26" s="226">
        <f>SUMPRODUCT((_PLAN_STG!$D$2:$D$1879=B26)*(_PLAN_STG!$B$2:$B$1879="MAT")*(_PLAN_STG!$O$2:$O$1879=1)*(_PLAN_STG!$P$2:$P$1879&gt;0))</f>
        <v>0</v>
      </c>
      <c r="J26" s="224" t="str">
        <f>IFERROR(VLOOKUP(B26,MATERIALES!$A:$G,7,FALSE()),"")</f>
        <v>Impermeabilizantes</v>
      </c>
    </row>
    <row r="27" spans="1:10" x14ac:dyDescent="0.35">
      <c r="A27" s="222" t="str">
        <f t="shared" si="0"/>
        <v/>
      </c>
      <c r="B27" s="223" t="s">
        <v>834</v>
      </c>
      <c r="C27" s="224" t="str">
        <f>IFERROR(VLOOKUP(B27,MATERIALES!$A:$B,2,FALSE()),IFERROR(INDEX(COMPOSICIÓN!$E$2:$E$1879,MATCH(B27,COMPOSICIÓN!$D$2:$D$1879,0)),""))</f>
        <v>Venda SikaTEX 75 - Rollo</v>
      </c>
      <c r="D27" s="225" t="str">
        <f>IFERROR(VLOOKUP(B27,MATERIALES!$A:$C,3,FALSE()),IFERROR(INDEX(COMPOSICIÓN!$F$2:$F$1879,MATCH(B27,COMPOSICIÓN!$D$2:$D$1879,0)),""))</f>
        <v>u</v>
      </c>
      <c r="E27" s="161">
        <f>SUMIFS(_PLAN_STG!$P$2:$P$1879,_PLAN_STG!$D$2:$D$1879,B27,_PLAN_STG!$B$2:$B$1879,"MAT",_PLAN_STG!$O$2:$O$1879,1)</f>
        <v>0</v>
      </c>
      <c r="F27" s="162">
        <f>IFERROR(VLOOKUP(B27,MATERIALES!$A:$D,4,FALSE()),IFERROR(INDEX(COMPOSICIÓN!$I$2:$I$1879,MATCH(B27,COMPOSICIÓN!$D$2:$D$1879,0)),0))</f>
        <v>66115.702479338797</v>
      </c>
      <c r="G27" s="163">
        <f>SUMIFS(_PLAN_STG!$Q$2:$Q$1879,_PLAN_STG!$D$2:$D$1879,B27,_PLAN_STG!$B$2:$B$1879,"MAT",_PLAN_STG!$O$2:$O$1879,1)</f>
        <v>0</v>
      </c>
      <c r="H27" s="225" t="str">
        <f>IFERROR(INDEX(COMPOSICIÓN!$C$2:$C$1879,MATCH(B27,COMPOSICIÓN!$D$2:$D$1879,0)),"")</f>
        <v>OTR</v>
      </c>
      <c r="I27" s="226">
        <f>SUMPRODUCT((_PLAN_STG!$D$2:$D$1879=B27)*(_PLAN_STG!$B$2:$B$1879="MAT")*(_PLAN_STG!$O$2:$O$1879=1)*(_PLAN_STG!$P$2:$P$1879&gt;0))</f>
        <v>0</v>
      </c>
      <c r="J27" s="224" t="str">
        <f>IFERROR(VLOOKUP(B27,MATERIALES!$A:$G,7,FALSE()),"")</f>
        <v>Impermeabilizantes</v>
      </c>
    </row>
    <row r="28" spans="1:10" x14ac:dyDescent="0.35">
      <c r="A28" s="222">
        <f t="shared" si="0"/>
        <v>13</v>
      </c>
      <c r="B28" s="223" t="s">
        <v>588</v>
      </c>
      <c r="C28" s="224" t="str">
        <f>IFERROR(VLOOKUP(B28,MATERIALES!$A:$B,2,FALSE()),IFERROR(INDEX(COMPOSICIÓN!$E$2:$E$1879,MATCH(B28,COMPOSICIÓN!$D$2:$D$1879,0)),""))</f>
        <v>ARENA LAVADA</v>
      </c>
      <c r="D28" s="225" t="str">
        <f>IFERROR(VLOOKUP(B28,MATERIALES!$A:$C,3,FALSE()),IFERROR(INDEX(COMPOSICIÓN!$F$2:$F$1879,MATCH(B28,COMPOSICIÓN!$D$2:$D$1879,0)),""))</f>
        <v>m3</v>
      </c>
      <c r="E28" s="161">
        <f>SUMIFS(_PLAN_STG!$P$2:$P$1879,_PLAN_STG!$D$2:$D$1879,B28,_PLAN_STG!$B$2:$B$1879,"MAT",_PLAN_STG!$O$2:$O$1879,1)</f>
        <v>27.540425000000003</v>
      </c>
      <c r="F28" s="162">
        <f>IFERROR(VLOOKUP(B28,MATERIALES!$A:$D,4,FALSE()),IFERROR(INDEX(COMPOSICIÓN!$I$2:$I$1879,MATCH(B28,COMPOSICIÓN!$D$2:$D$1879,0)),0))</f>
        <v>32399.77</v>
      </c>
      <c r="G28" s="163">
        <f>SUMIFS(_PLAN_STG!$Q$2:$Q$1879,_PLAN_STG!$D$2:$D$1879,B28,_PLAN_STG!$B$2:$B$1879,"MAT",_PLAN_STG!$O$2:$O$1879,1)</f>
        <v>892303.43570225011</v>
      </c>
      <c r="H28" s="225" t="str">
        <f>IFERROR(INDEX(COMPOSICIÓN!$C$2:$C$1879,MATCH(B28,COMPOSICIÓN!$D$2:$D$1879,0)),"")</f>
        <v>OTR</v>
      </c>
      <c r="I28" s="226">
        <f>SUMPRODUCT((_PLAN_STG!$D$2:$D$1879=B28)*(_PLAN_STG!$B$2:$B$1879="MAT")*(_PLAN_STG!$O$2:$O$1879=1)*(_PLAN_STG!$P$2:$P$1879&gt;0))</f>
        <v>6</v>
      </c>
      <c r="J28" s="224" t="str">
        <f>IFERROR(VLOOKUP(B28,MATERIALES!$A:$G,7,FALSE()),"")</f>
        <v>Corralón</v>
      </c>
    </row>
    <row r="29" spans="1:10" x14ac:dyDescent="0.35">
      <c r="A29" s="222" t="str">
        <f t="shared" si="0"/>
        <v/>
      </c>
      <c r="B29" s="223" t="s">
        <v>597</v>
      </c>
      <c r="C29" s="224" t="str">
        <f>IFERROR(VLOOKUP(B29,MATERIALES!$A:$B,2,FALSE()),IFERROR(INDEX(COMPOSICIÓN!$E$2:$E$1879,MATCH(B29,COMPOSICIÓN!$D$2:$D$1879,0)),""))</f>
        <v>Cascote</v>
      </c>
      <c r="D29" s="225" t="str">
        <f>IFERROR(VLOOKUP(B29,MATERIALES!$A:$C,3,FALSE()),IFERROR(INDEX(COMPOSICIÓN!$F$2:$F$1879,MATCH(B29,COMPOSICIÓN!$D$2:$D$1879,0)),""))</f>
        <v>m3</v>
      </c>
      <c r="E29" s="161">
        <f>SUMIFS(_PLAN_STG!$P$2:$P$1879,_PLAN_STG!$D$2:$D$1879,B29,_PLAN_STG!$B$2:$B$1879,"MAT",_PLAN_STG!$O$2:$O$1879,1)</f>
        <v>0</v>
      </c>
      <c r="F29" s="162">
        <f>IFERROR(VLOOKUP(B29,MATERIALES!$A:$D,4,FALSE()),IFERROR(INDEX(COMPOSICIÓN!$I$2:$I$1879,MATCH(B29,COMPOSICIÓN!$D$2:$D$1879,0)),0))</f>
        <v>34246.800000000003</v>
      </c>
      <c r="G29" s="163">
        <f>SUMIFS(_PLAN_STG!$Q$2:$Q$1879,_PLAN_STG!$D$2:$D$1879,B29,_PLAN_STG!$B$2:$B$1879,"MAT",_PLAN_STG!$O$2:$O$1879,1)</f>
        <v>0</v>
      </c>
      <c r="H29" s="225" t="str">
        <f>IFERROR(INDEX(COMPOSICIÓN!$C$2:$C$1879,MATCH(B29,COMPOSICIÓN!$D$2:$D$1879,0)),"")</f>
        <v>OTR</v>
      </c>
      <c r="I29" s="226">
        <f>SUMPRODUCT((_PLAN_STG!$D$2:$D$1879=B29)*(_PLAN_STG!$B$2:$B$1879="MAT")*(_PLAN_STG!$O$2:$O$1879=1)*(_PLAN_STG!$P$2:$P$1879&gt;0))</f>
        <v>0</v>
      </c>
      <c r="J29" s="224" t="str">
        <f>IFERROR(VLOOKUP(B29,MATERIALES!$A:$G,7,FALSE()),"")</f>
        <v>Corralón</v>
      </c>
    </row>
    <row r="30" spans="1:10" x14ac:dyDescent="0.35">
      <c r="A30" s="222">
        <f t="shared" si="0"/>
        <v>15</v>
      </c>
      <c r="B30" s="223" t="s">
        <v>599</v>
      </c>
      <c r="C30" s="224" t="str">
        <f>IFERROR(VLOOKUP(B30,MATERIALES!$A:$B,2,FALSE()),IFERROR(INDEX(COMPOSICIÓN!$E$2:$E$1879,MATCH(B30,COMPOSICIÓN!$D$2:$D$1879,0)),""))</f>
        <v>Cemento Portland x 50kg</v>
      </c>
      <c r="D30" s="225" t="str">
        <f>IFERROR(VLOOKUP(B30,MATERIALES!$A:$C,3,FALSE()),IFERROR(INDEX(COMPOSICIÓN!$F$2:$F$1879,MATCH(B30,COMPOSICIÓN!$D$2:$D$1879,0)),""))</f>
        <v>Bol</v>
      </c>
      <c r="E30" s="161">
        <f>SUMIFS(_PLAN_STG!$P$2:$P$1879,_PLAN_STG!$D$2:$D$1879,B30,_PLAN_STG!$B$2:$B$1879,"MAT",_PLAN_STG!$O$2:$O$1879,1)</f>
        <v>115.10125000000002</v>
      </c>
      <c r="F30" s="162">
        <f>IFERROR(VLOOKUP(B30,MATERIALES!$A:$D,4,FALSE()),IFERROR(INDEX(COMPOSICIÓN!$I$2:$I$1879,MATCH(B30,COMPOSICIÓN!$D$2:$D$1879,0)),0))</f>
        <v>7809.48</v>
      </c>
      <c r="G30" s="163">
        <f>SUMIFS(_PLAN_STG!$Q$2:$Q$1879,_PLAN_STG!$D$2:$D$1879,B30,_PLAN_STG!$B$2:$B$1879,"MAT",_PLAN_STG!$O$2:$O$1879,1)</f>
        <v>898880.90985000017</v>
      </c>
      <c r="H30" s="225" t="str">
        <f>IFERROR(INDEX(COMPOSICIÓN!$C$2:$C$1879,MATCH(B30,COMPOSICIÓN!$D$2:$D$1879,0)),"")</f>
        <v>OTR</v>
      </c>
      <c r="I30" s="226">
        <f>SUMPRODUCT((_PLAN_STG!$D$2:$D$1879=B30)*(_PLAN_STG!$B$2:$B$1879="MAT")*(_PLAN_STG!$O$2:$O$1879=1)*(_PLAN_STG!$P$2:$P$1879&gt;0))</f>
        <v>6</v>
      </c>
      <c r="J30" s="224" t="str">
        <f>IFERROR(VLOOKUP(B30,MATERIALES!$A:$G,7,FALSE()),"")</f>
        <v>Corralón</v>
      </c>
    </row>
    <row r="31" spans="1:10" x14ac:dyDescent="0.35">
      <c r="A31" s="222">
        <f t="shared" si="0"/>
        <v>16</v>
      </c>
      <c r="B31" s="223" t="s">
        <v>604</v>
      </c>
      <c r="C31" s="224" t="str">
        <f>IFERROR(VLOOKUP(B31,MATERIALES!$A:$B,2,FALSE()),IFERROR(INDEX(COMPOSICIÓN!$E$2:$E$1879,MATCH(B31,COMPOSICIÓN!$D$2:$D$1879,0)),""))</f>
        <v>Cal Comun x 25kg</v>
      </c>
      <c r="D31" s="225" t="str">
        <f>IFERROR(VLOOKUP(B31,MATERIALES!$A:$C,3,FALSE()),IFERROR(INDEX(COMPOSICIÓN!$F$2:$F$1879,MATCH(B31,COMPOSICIÓN!$D$2:$D$1879,0)),""))</f>
        <v>bol</v>
      </c>
      <c r="E31" s="161">
        <f>SUMIFS(_PLAN_STG!$P$2:$P$1879,_PLAN_STG!$D$2:$D$1879,B31,_PLAN_STG!$B$2:$B$1879,"MAT",_PLAN_STG!$O$2:$O$1879,1)</f>
        <v>230.20250000000004</v>
      </c>
      <c r="F31" s="162">
        <f>IFERROR(VLOOKUP(B31,MATERIALES!$A:$D,4,FALSE()),IFERROR(INDEX(COMPOSICIÓN!$I$2:$I$1879,MATCH(B31,COMPOSICIÓN!$D$2:$D$1879,0)),0))</f>
        <v>3837.96</v>
      </c>
      <c r="G31" s="163">
        <f>SUMIFS(_PLAN_STG!$Q$2:$Q$1879,_PLAN_STG!$D$2:$D$1879,B31,_PLAN_STG!$B$2:$B$1879,"MAT",_PLAN_STG!$O$2:$O$1879,1)</f>
        <v>883507.98690000002</v>
      </c>
      <c r="H31" s="225" t="str">
        <f>IFERROR(INDEX(COMPOSICIÓN!$C$2:$C$1879,MATCH(B31,COMPOSICIÓN!$D$2:$D$1879,0)),"")</f>
        <v>OTR</v>
      </c>
      <c r="I31" s="226">
        <f>SUMPRODUCT((_PLAN_STG!$D$2:$D$1879=B31)*(_PLAN_STG!$B$2:$B$1879="MAT")*(_PLAN_STG!$O$2:$O$1879=1)*(_PLAN_STG!$P$2:$P$1879&gt;0))</f>
        <v>6</v>
      </c>
      <c r="J31" s="224" t="str">
        <f>IFERROR(VLOOKUP(B31,MATERIALES!$A:$G,7,FALSE()),"")</f>
        <v>Corralón</v>
      </c>
    </row>
    <row r="32" spans="1:10" x14ac:dyDescent="0.35">
      <c r="A32" s="222" t="str">
        <f t="shared" si="0"/>
        <v/>
      </c>
      <c r="B32" s="223" t="s">
        <v>608</v>
      </c>
      <c r="C32" s="224" t="str">
        <f>IFERROR(VLOOKUP(B32,MATERIALES!$A:$B,2,FALSE()),IFERROR(INDEX(COMPOSICIÓN!$E$2:$E$1879,MATCH(B32,COMPOSICIÓN!$D$2:$D$1879,0)),""))</f>
        <v>cal milagro</v>
      </c>
      <c r="D32" s="225" t="str">
        <f>IFERROR(VLOOKUP(B32,MATERIALES!$A:$C,3,FALSE()),IFERROR(INDEX(COMPOSICIÓN!$F$2:$F$1879,MATCH(B32,COMPOSICIÓN!$D$2:$D$1879,0)),""))</f>
        <v>bol</v>
      </c>
      <c r="E32" s="161">
        <f>SUMIFS(_PLAN_STG!$P$2:$P$1879,_PLAN_STG!$D$2:$D$1879,B32,_PLAN_STG!$B$2:$B$1879,"MAT",_PLAN_STG!$O$2:$O$1879,1)</f>
        <v>0</v>
      </c>
      <c r="F32" s="162">
        <f>IFERROR(VLOOKUP(B32,MATERIALES!$A:$D,4,FALSE()),IFERROR(INDEX(COMPOSICIÓN!$I$2:$I$1879,MATCH(B32,COMPOSICIÓN!$D$2:$D$1879,0)),0))</f>
        <v>10936.8</v>
      </c>
      <c r="G32" s="163">
        <f>SUMIFS(_PLAN_STG!$Q$2:$Q$1879,_PLAN_STG!$D$2:$D$1879,B32,_PLAN_STG!$B$2:$B$1879,"MAT",_PLAN_STG!$O$2:$O$1879,1)</f>
        <v>0</v>
      </c>
      <c r="H32" s="225" t="str">
        <f>IFERROR(INDEX(COMPOSICIÓN!$C$2:$C$1879,MATCH(B32,COMPOSICIÓN!$D$2:$D$1879,0)),"")</f>
        <v>OTR</v>
      </c>
      <c r="I32" s="226">
        <f>SUMPRODUCT((_PLAN_STG!$D$2:$D$1879=B32)*(_PLAN_STG!$B$2:$B$1879="MAT")*(_PLAN_STG!$O$2:$O$1879=1)*(_PLAN_STG!$P$2:$P$1879&gt;0))</f>
        <v>0</v>
      </c>
      <c r="J32" s="224" t="str">
        <f>IFERROR(VLOOKUP(B32,MATERIALES!$A:$G,7,FALSE()),"")</f>
        <v>Corralón</v>
      </c>
    </row>
    <row r="33" spans="1:10" x14ac:dyDescent="0.35">
      <c r="A33" s="222" t="str">
        <f t="shared" si="0"/>
        <v/>
      </c>
      <c r="B33" s="223" t="s">
        <v>913</v>
      </c>
      <c r="C33" s="224" t="str">
        <f>IFERROR(VLOOKUP(B33,MATERIALES!$A:$B,2,FALSE()),IFERROR(INDEX(COMPOSICIÓN!$E$2:$E$1879,MATCH(B33,COMPOSICIÓN!$D$2:$D$1879,0)),""))</f>
        <v>Aporte de Tosca</v>
      </c>
      <c r="D33" s="225" t="str">
        <f>IFERROR(VLOOKUP(B33,MATERIALES!$A:$C,3,FALSE()),IFERROR(INDEX(COMPOSICIÓN!$F$2:$F$1879,MATCH(B33,COMPOSICIÓN!$D$2:$D$1879,0)),""))</f>
        <v>m3</v>
      </c>
      <c r="E33" s="161">
        <f>SUMIFS(_PLAN_STG!$P$2:$P$1879,_PLAN_STG!$D$2:$D$1879,B33,_PLAN_STG!$B$2:$B$1879,"MAT",_PLAN_STG!$O$2:$O$1879,1)</f>
        <v>0</v>
      </c>
      <c r="F33" s="162">
        <f>IFERROR(VLOOKUP(B33,MATERIALES!$A:$D,4,FALSE()),IFERROR(INDEX(COMPOSICIÓN!$I$2:$I$1879,MATCH(B33,COMPOSICIÓN!$D$2:$D$1879,0)),0))</f>
        <v>9811.2871797810803</v>
      </c>
      <c r="G33" s="163">
        <f>SUMIFS(_PLAN_STG!$Q$2:$Q$1879,_PLAN_STG!$D$2:$D$1879,B33,_PLAN_STG!$B$2:$B$1879,"MAT",_PLAN_STG!$O$2:$O$1879,1)</f>
        <v>0</v>
      </c>
      <c r="H33" s="225" t="str">
        <f>IFERROR(INDEX(COMPOSICIÓN!$C$2:$C$1879,MATCH(B33,COMPOSICIÓN!$D$2:$D$1879,0)),"")</f>
        <v>OTR</v>
      </c>
      <c r="I33" s="226">
        <f>SUMPRODUCT((_PLAN_STG!$D$2:$D$1879=B33)*(_PLAN_STG!$B$2:$B$1879="MAT")*(_PLAN_STG!$O$2:$O$1879=1)*(_PLAN_STG!$P$2:$P$1879&gt;0))</f>
        <v>0</v>
      </c>
      <c r="J33" s="224" t="str">
        <f>IFERROR(VLOOKUP(B33,MATERIALES!$A:$G,7,FALSE()),"")</f>
        <v>Corralón</v>
      </c>
    </row>
    <row r="34" spans="1:10" x14ac:dyDescent="0.35">
      <c r="A34" s="222" t="str">
        <f t="shared" si="0"/>
        <v/>
      </c>
      <c r="B34" s="223" t="s">
        <v>660</v>
      </c>
      <c r="C34" s="224" t="str">
        <f>IFERROR(VLOOKUP(B34,MATERIALES!$A:$B,2,FALSE()),IFERROR(INDEX(COMPOSICIÓN!$E$2:$E$1879,MATCH(B34,COMPOSICIÓN!$D$2:$D$1879,0)),""))</f>
        <v>Aditivo Hidrofugo en pasta - Ceresita x 1kg</v>
      </c>
      <c r="D34" s="225" t="str">
        <f>IFERROR(VLOOKUP(B34,MATERIALES!$A:$C,3,FALSE()),IFERROR(INDEX(COMPOSICIÓN!$F$2:$F$1879,MATCH(B34,COMPOSICIÓN!$D$2:$D$1879,0)),""))</f>
        <v>kg</v>
      </c>
      <c r="E34" s="161">
        <f>SUMIFS(_PLAN_STG!$P$2:$P$1879,_PLAN_STG!$D$2:$D$1879,B34,_PLAN_STG!$B$2:$B$1879,"MAT",_PLAN_STG!$O$2:$O$1879,1)</f>
        <v>0</v>
      </c>
      <c r="F34" s="162">
        <f>IFERROR(VLOOKUP(B34,MATERIALES!$A:$D,4,FALSE()),IFERROR(INDEX(COMPOSICIÓN!$I$2:$I$1879,MATCH(B34,COMPOSICIÓN!$D$2:$D$1879,0)),0))</f>
        <v>1256.1279999999999</v>
      </c>
      <c r="G34" s="163">
        <f>SUMIFS(_PLAN_STG!$Q$2:$Q$1879,_PLAN_STG!$D$2:$D$1879,B34,_PLAN_STG!$B$2:$B$1879,"MAT",_PLAN_STG!$O$2:$O$1879,1)</f>
        <v>0</v>
      </c>
      <c r="H34" s="225" t="str">
        <f>IFERROR(INDEX(COMPOSICIÓN!$C$2:$C$1879,MATCH(B34,COMPOSICIÓN!$D$2:$D$1879,0)),"")</f>
        <v>OTR</v>
      </c>
      <c r="I34" s="226">
        <f>SUMPRODUCT((_PLAN_STG!$D$2:$D$1879=B34)*(_PLAN_STG!$B$2:$B$1879="MAT")*(_PLAN_STG!$O$2:$O$1879=1)*(_PLAN_STG!$P$2:$P$1879&gt;0))</f>
        <v>0</v>
      </c>
      <c r="J34" s="224" t="str">
        <f>IFERROR(VLOOKUP(B34,MATERIALES!$A:$G,7,FALSE()),"")</f>
        <v>Impermeabilizantes</v>
      </c>
    </row>
    <row r="35" spans="1:10" x14ac:dyDescent="0.35">
      <c r="A35" s="222" t="str">
        <f t="shared" si="0"/>
        <v/>
      </c>
      <c r="B35" s="223" t="s">
        <v>831</v>
      </c>
      <c r="C35" s="224" t="str">
        <f>IFERROR(VLOOKUP(B35,MATERIALES!$A:$B,2,FALSE()),IFERROR(INDEX(COMPOSICIÓN!$E$2:$E$1879,MATCH(B35,COMPOSICIÓN!$D$2:$D$1879,0)),""))</f>
        <v>Membrana Geotextil Ormiflex 4mm - (35kg) x10m</v>
      </c>
      <c r="D35" s="225" t="str">
        <f>IFERROR(VLOOKUP(B35,MATERIALES!$A:$C,3,FALSE()),IFERROR(INDEX(COMPOSICIÓN!$F$2:$F$1879,MATCH(B35,COMPOSICIÓN!$D$2:$D$1879,0)),""))</f>
        <v>u</v>
      </c>
      <c r="E35" s="161">
        <f>SUMIFS(_PLAN_STG!$P$2:$P$1879,_PLAN_STG!$D$2:$D$1879,B35,_PLAN_STG!$B$2:$B$1879,"MAT",_PLAN_STG!$O$2:$O$1879,1)</f>
        <v>0</v>
      </c>
      <c r="F35" s="162">
        <f>IFERROR(VLOOKUP(B35,MATERIALES!$A:$D,4,FALSE()),IFERROR(INDEX(COMPOSICIÓN!$I$2:$I$1879,MATCH(B35,COMPOSICIÓN!$D$2:$D$1879,0)),0))</f>
        <v>70192.210000000006</v>
      </c>
      <c r="G35" s="163">
        <f>SUMIFS(_PLAN_STG!$Q$2:$Q$1879,_PLAN_STG!$D$2:$D$1879,B35,_PLAN_STG!$B$2:$B$1879,"MAT",_PLAN_STG!$O$2:$O$1879,1)</f>
        <v>0</v>
      </c>
      <c r="H35" s="225" t="str">
        <f>IFERROR(INDEX(COMPOSICIÓN!$C$2:$C$1879,MATCH(B35,COMPOSICIÓN!$D$2:$D$1879,0)),"")</f>
        <v>OTR</v>
      </c>
      <c r="I35" s="226">
        <f>SUMPRODUCT((_PLAN_STG!$D$2:$D$1879=B35)*(_PLAN_STG!$B$2:$B$1879="MAT")*(_PLAN_STG!$O$2:$O$1879=1)*(_PLAN_STG!$P$2:$P$1879&gt;0))</f>
        <v>0</v>
      </c>
      <c r="J35" s="224" t="str">
        <f>IFERROR(VLOOKUP(B35,MATERIALES!$A:$G,7,FALSE()),"")</f>
        <v>Impermeabilizantes</v>
      </c>
    </row>
    <row r="36" spans="1:10" x14ac:dyDescent="0.35">
      <c r="A36" s="222" t="str">
        <f t="shared" si="0"/>
        <v/>
      </c>
      <c r="B36" s="223" t="s">
        <v>648</v>
      </c>
      <c r="C36" s="224" t="str">
        <f>IFERROR(VLOOKUP(B36,MATERIALES!$A:$B,2,FALSE()),IFERROR(INDEX(COMPOSICIÓN!$E$2:$E$1879,MATCH(B36,COMPOSICIÓN!$D$2:$D$1879,0)),""))</f>
        <v>Bloque de Hormigon 19 x 19 x 39</v>
      </c>
      <c r="D36" s="225" t="str">
        <f>IFERROR(VLOOKUP(B36,MATERIALES!$A:$C,3,FALSE()),IFERROR(INDEX(COMPOSICIÓN!$F$2:$F$1879,MATCH(B36,COMPOSICIÓN!$D$2:$D$1879,0)),""))</f>
        <v>u</v>
      </c>
      <c r="E36" s="161">
        <f>SUMIFS(_PLAN_STG!$P$2:$P$1879,_PLAN_STG!$D$2:$D$1879,B36,_PLAN_STG!$B$2:$B$1879,"MAT",_PLAN_STG!$O$2:$O$1879,1)</f>
        <v>0</v>
      </c>
      <c r="F36" s="162">
        <f>IFERROR(VLOOKUP(B36,MATERIALES!$A:$D,4,FALSE()),IFERROR(INDEX(COMPOSICIÓN!$I$2:$I$1879,MATCH(B36,COMPOSICIÓN!$D$2:$D$1879,0)),0))</f>
        <v>1016.6</v>
      </c>
      <c r="G36" s="163">
        <f>SUMIFS(_PLAN_STG!$Q$2:$Q$1879,_PLAN_STG!$D$2:$D$1879,B36,_PLAN_STG!$B$2:$B$1879,"MAT",_PLAN_STG!$O$2:$O$1879,1)</f>
        <v>0</v>
      </c>
      <c r="H36" s="225" t="str">
        <f>IFERROR(INDEX(COMPOSICIÓN!$C$2:$C$1879,MATCH(B36,COMPOSICIÓN!$D$2:$D$1879,0)),"")</f>
        <v>OTR</v>
      </c>
      <c r="I36" s="226">
        <f>SUMPRODUCT((_PLAN_STG!$D$2:$D$1879=B36)*(_PLAN_STG!$B$2:$B$1879="MAT")*(_PLAN_STG!$O$2:$O$1879=1)*(_PLAN_STG!$P$2:$P$1879&gt;0))</f>
        <v>0</v>
      </c>
      <c r="J36" s="224" t="str">
        <f>IFERROR(VLOOKUP(B36,MATERIALES!$A:$G,7,FALSE()),"")</f>
        <v>Corralón</v>
      </c>
    </row>
    <row r="37" spans="1:10" x14ac:dyDescent="0.35">
      <c r="A37" s="222" t="str">
        <f t="shared" si="0"/>
        <v/>
      </c>
      <c r="B37" s="223" t="s">
        <v>650</v>
      </c>
      <c r="C37" s="224" t="str">
        <f>IFERROR(VLOOKUP(B37,MATERIALES!$A:$B,2,FALSE()),IFERROR(INDEX(COMPOSICIÓN!$E$2:$E$1879,MATCH(B37,COMPOSICIÓN!$D$2:$D$1879,0)),""))</f>
        <v>Bloque de Hormigon 10 x 19 x 39</v>
      </c>
      <c r="D37" s="225" t="str">
        <f>IFERROR(VLOOKUP(B37,MATERIALES!$A:$C,3,FALSE()),IFERROR(INDEX(COMPOSICIÓN!$F$2:$F$1879,MATCH(B37,COMPOSICIÓN!$D$2:$D$1879,0)),""))</f>
        <v>u</v>
      </c>
      <c r="E37" s="161">
        <f>SUMIFS(_PLAN_STG!$P$2:$P$1879,_PLAN_STG!$D$2:$D$1879,B37,_PLAN_STG!$B$2:$B$1879,"MAT",_PLAN_STG!$O$2:$O$1879,1)</f>
        <v>0</v>
      </c>
      <c r="F37" s="162">
        <f>IFERROR(VLOOKUP(B37,MATERIALES!$A:$D,4,FALSE()),IFERROR(INDEX(COMPOSICIÓN!$I$2:$I$1879,MATCH(B37,COMPOSICIÓN!$D$2:$D$1879,0)),0))</f>
        <v>682.52</v>
      </c>
      <c r="G37" s="163">
        <f>SUMIFS(_PLAN_STG!$Q$2:$Q$1879,_PLAN_STG!$D$2:$D$1879,B37,_PLAN_STG!$B$2:$B$1879,"MAT",_PLAN_STG!$O$2:$O$1879,1)</f>
        <v>0</v>
      </c>
      <c r="H37" s="225" t="str">
        <f>IFERROR(INDEX(COMPOSICIÓN!$C$2:$C$1879,MATCH(B37,COMPOSICIÓN!$D$2:$D$1879,0)),"")</f>
        <v>OTR</v>
      </c>
      <c r="I37" s="226">
        <f>SUMPRODUCT((_PLAN_STG!$D$2:$D$1879=B37)*(_PLAN_STG!$B$2:$B$1879="MAT")*(_PLAN_STG!$O$2:$O$1879=1)*(_PLAN_STG!$P$2:$P$1879&gt;0))</f>
        <v>0</v>
      </c>
      <c r="J37" s="224" t="str">
        <f>IFERROR(VLOOKUP(B37,MATERIALES!$A:$G,7,FALSE()),"")</f>
        <v>Corralón</v>
      </c>
    </row>
    <row r="38" spans="1:10" x14ac:dyDescent="0.35">
      <c r="A38" s="222">
        <f t="shared" si="0"/>
        <v>23</v>
      </c>
      <c r="B38" s="223" t="s">
        <v>695</v>
      </c>
      <c r="C38" s="224" t="str">
        <f>IFERROR(VLOOKUP(B38,MATERIALES!$A:$B,2,FALSE()),IFERROR(INDEX(COMPOSICIÓN!$E$2:$E$1879,MATCH(B38,COMPOSICIÓN!$D$2:$D$1879,0)),""))</f>
        <v>Bloque HCCA Brimax 7,5 x 20 x 60</v>
      </c>
      <c r="D38" s="225" t="str">
        <f>IFERROR(VLOOKUP(B38,MATERIALES!$A:$C,3,FALSE()),IFERROR(INDEX(COMPOSICIÓN!$F$2:$F$1879,MATCH(B38,COMPOSICIÓN!$D$2:$D$1879,0)),""))</f>
        <v>u</v>
      </c>
      <c r="E38" s="161">
        <f>SUMIFS(_PLAN_STG!$P$2:$P$1879,_PLAN_STG!$D$2:$D$1879,B38,_PLAN_STG!$B$2:$B$1879,"MAT",_PLAN_STG!$O$2:$O$1879,1)</f>
        <v>595</v>
      </c>
      <c r="F38" s="162">
        <f>IFERROR(VLOOKUP(B38,MATERIALES!$A:$D,4,FALSE()),IFERROR(INDEX(COMPOSICIÓN!$I$2:$I$1879,MATCH(B38,COMPOSICIÓN!$D$2:$D$1879,0)),0))</f>
        <v>1516.11</v>
      </c>
      <c r="G38" s="163">
        <f>SUMIFS(_PLAN_STG!$Q$2:$Q$1879,_PLAN_STG!$D$2:$D$1879,B38,_PLAN_STG!$B$2:$B$1879,"MAT",_PLAN_STG!$O$2:$O$1879,1)</f>
        <v>902085.45</v>
      </c>
      <c r="H38" s="225" t="str">
        <f>IFERROR(INDEX(COMPOSICIÓN!$C$2:$C$1879,MATCH(B38,COMPOSICIÓN!$D$2:$D$1879,0)),"")</f>
        <v>COR</v>
      </c>
      <c r="I38" s="226">
        <f>SUMPRODUCT((_PLAN_STG!$D$2:$D$1879=B38)*(_PLAN_STG!$B$2:$B$1879="MAT")*(_PLAN_STG!$O$2:$O$1879=1)*(_PLAN_STG!$P$2:$P$1879&gt;0))</f>
        <v>1</v>
      </c>
      <c r="J38" s="224" t="str">
        <f>IFERROR(VLOOKUP(B38,MATERIALES!$A:$G,7,FALSE()),"")</f>
        <v>Corralón</v>
      </c>
    </row>
    <row r="39" spans="1:10" x14ac:dyDescent="0.35">
      <c r="A39" s="222" t="str">
        <f t="shared" si="0"/>
        <v/>
      </c>
      <c r="B39" s="223" t="s">
        <v>626</v>
      </c>
      <c r="C39" s="224" t="str">
        <f>IFERROR(VLOOKUP(B39,MATERIALES!$A:$B,2,FALSE()),IFERROR(INDEX(COMPOSICIÓN!$E$2:$E$1879,MATCH(B39,COMPOSICIÓN!$D$2:$D$1879,0)),""))</f>
        <v>ladrillo a la vista 1 cara</v>
      </c>
      <c r="D39" s="225" t="str">
        <f>IFERROR(VLOOKUP(B39,MATERIALES!$A:$C,3,FALSE()),IFERROR(INDEX(COMPOSICIÓN!$F$2:$F$1879,MATCH(B39,COMPOSICIÓN!$D$2:$D$1879,0)),""))</f>
        <v>u</v>
      </c>
      <c r="E39" s="161">
        <f>SUMIFS(_PLAN_STG!$P$2:$P$1879,_PLAN_STG!$D$2:$D$1879,B39,_PLAN_STG!$B$2:$B$1879,"MAT",_PLAN_STG!$O$2:$O$1879,1)</f>
        <v>0</v>
      </c>
      <c r="F39" s="162">
        <f>IFERROR(VLOOKUP(B39,MATERIALES!$A:$D,4,FALSE()),IFERROR(INDEX(COMPOSICIÓN!$I$2:$I$1879,MATCH(B39,COMPOSICIÓN!$D$2:$D$1879,0)),0))</f>
        <v>233.44</v>
      </c>
      <c r="G39" s="163">
        <f>SUMIFS(_PLAN_STG!$Q$2:$Q$1879,_PLAN_STG!$D$2:$D$1879,B39,_PLAN_STG!$B$2:$B$1879,"MAT",_PLAN_STG!$O$2:$O$1879,1)</f>
        <v>0</v>
      </c>
      <c r="H39" s="225" t="str">
        <f>IFERROR(INDEX(COMPOSICIÓN!$C$2:$C$1879,MATCH(B39,COMPOSICIÓN!$D$2:$D$1879,0)),"")</f>
        <v>OTR</v>
      </c>
      <c r="I39" s="226">
        <f>SUMPRODUCT((_PLAN_STG!$D$2:$D$1879=B39)*(_PLAN_STG!$B$2:$B$1879="MAT")*(_PLAN_STG!$O$2:$O$1879=1)*(_PLAN_STG!$P$2:$P$1879&gt;0))</f>
        <v>0</v>
      </c>
      <c r="J39" s="224" t="str">
        <f>IFERROR(VLOOKUP(B39,MATERIALES!$A:$G,7,FALSE()),"")</f>
        <v>Corralón</v>
      </c>
    </row>
    <row r="40" spans="1:10" x14ac:dyDescent="0.35">
      <c r="A40" s="222">
        <f t="shared" si="0"/>
        <v>25</v>
      </c>
      <c r="B40" s="223" t="s">
        <v>630</v>
      </c>
      <c r="C40" s="224" t="str">
        <f>IFERROR(VLOOKUP(B40,MATERIALES!$A:$B,2,FALSE()),IFERROR(INDEX(COMPOSICIÓN!$E$2:$E$1879,MATCH(B40,COMPOSICIÓN!$D$2:$D$1879,0)),""))</f>
        <v>LADRILLO CERAMICO 8 x 18 x 33 cm</v>
      </c>
      <c r="D40" s="225" t="str">
        <f>IFERROR(VLOOKUP(B40,MATERIALES!$A:$C,3,FALSE()),IFERROR(INDEX(COMPOSICIÓN!$F$2:$F$1879,MATCH(B40,COMPOSICIÓN!$D$2:$D$1879,0)),""))</f>
        <v>u</v>
      </c>
      <c r="E40" s="161">
        <f>SUMIFS(_PLAN_STG!$P$2:$P$1879,_PLAN_STG!$D$2:$D$1879,B40,_PLAN_STG!$B$2:$B$1879,"MAT",_PLAN_STG!$O$2:$O$1879,1)</f>
        <v>9780.75</v>
      </c>
      <c r="F40" s="162">
        <f>IFERROR(VLOOKUP(B40,MATERIALES!$A:$D,4,FALSE()),IFERROR(INDEX(COMPOSICIÓN!$I$2:$I$1879,MATCH(B40,COMPOSICIÓN!$D$2:$D$1879,0)),0))</f>
        <v>292.32</v>
      </c>
      <c r="G40" s="163">
        <f>SUMIFS(_PLAN_STG!$Q$2:$Q$1879,_PLAN_STG!$D$2:$D$1879,B40,_PLAN_STG!$B$2:$B$1879,"MAT",_PLAN_STG!$O$2:$O$1879,1)</f>
        <v>2859108.84</v>
      </c>
      <c r="H40" s="225" t="str">
        <f>IFERROR(INDEX(COMPOSICIÓN!$C$2:$C$1879,MATCH(B40,COMPOSICIÓN!$D$2:$D$1879,0)),"")</f>
        <v>OTR</v>
      </c>
      <c r="I40" s="226">
        <f>SUMPRODUCT((_PLAN_STG!$D$2:$D$1879=B40)*(_PLAN_STG!$B$2:$B$1879="MAT")*(_PLAN_STG!$O$2:$O$1879=1)*(_PLAN_STG!$P$2:$P$1879&gt;0))</f>
        <v>1</v>
      </c>
      <c r="J40" s="224" t="str">
        <f>IFERROR(VLOOKUP(B40,MATERIALES!$A:$G,7,FALSE()),"")</f>
        <v>Corralón</v>
      </c>
    </row>
    <row r="41" spans="1:10" x14ac:dyDescent="0.35">
      <c r="A41" s="222">
        <f t="shared" si="0"/>
        <v>26</v>
      </c>
      <c r="B41" s="223" t="s">
        <v>633</v>
      </c>
      <c r="C41" s="224" t="str">
        <f>IFERROR(VLOOKUP(B41,MATERIALES!$A:$B,2,FALSE()),IFERROR(INDEX(COMPOSICIÓN!$E$2:$E$1879,MATCH(B41,COMPOSICIÓN!$D$2:$D$1879,0)),""))</f>
        <v>LADRILLO CERAMICO 12 x 18 x 33 cm</v>
      </c>
      <c r="D41" s="225" t="str">
        <f>IFERROR(VLOOKUP(B41,MATERIALES!$A:$C,3,FALSE()),IFERROR(INDEX(COMPOSICIÓN!$F$2:$F$1879,MATCH(B41,COMPOSICIÓN!$D$2:$D$1879,0)),""))</f>
        <v>u</v>
      </c>
      <c r="E41" s="161">
        <f>SUMIFS(_PLAN_STG!$P$2:$P$1879,_PLAN_STG!$D$2:$D$1879,B41,_PLAN_STG!$B$2:$B$1879,"MAT",_PLAN_STG!$O$2:$O$1879,1)</f>
        <v>12285</v>
      </c>
      <c r="F41" s="162">
        <f>IFERROR(VLOOKUP(B41,MATERIALES!$A:$D,4,FALSE()),IFERROR(INDEX(COMPOSICIÓN!$I$2:$I$1879,MATCH(B41,COMPOSICIÓN!$D$2:$D$1879,0)),0))</f>
        <v>365.4</v>
      </c>
      <c r="G41" s="163">
        <f>SUMIFS(_PLAN_STG!$Q$2:$Q$1879,_PLAN_STG!$D$2:$D$1879,B41,_PLAN_STG!$B$2:$B$1879,"MAT",_PLAN_STG!$O$2:$O$1879,1)</f>
        <v>4488939</v>
      </c>
      <c r="H41" s="225" t="str">
        <f>IFERROR(INDEX(COMPOSICIÓN!$C$2:$C$1879,MATCH(B41,COMPOSICIÓN!$D$2:$D$1879,0)),"")</f>
        <v>OTR</v>
      </c>
      <c r="I41" s="226">
        <f>SUMPRODUCT((_PLAN_STG!$D$2:$D$1879=B41)*(_PLAN_STG!$B$2:$B$1879="MAT")*(_PLAN_STG!$O$2:$O$1879=1)*(_PLAN_STG!$P$2:$P$1879&gt;0))</f>
        <v>1</v>
      </c>
      <c r="J41" s="224" t="str">
        <f>IFERROR(VLOOKUP(B41,MATERIALES!$A:$G,7,FALSE()),"")</f>
        <v>Corralón</v>
      </c>
    </row>
    <row r="42" spans="1:10" x14ac:dyDescent="0.35">
      <c r="A42" s="222">
        <f t="shared" si="0"/>
        <v>27</v>
      </c>
      <c r="B42" s="223" t="s">
        <v>637</v>
      </c>
      <c r="C42" s="224" t="str">
        <f>IFERROR(VLOOKUP(B42,MATERIALES!$A:$B,2,FALSE()),IFERROR(INDEX(COMPOSICIÓN!$E$2:$E$1879,MATCH(B42,COMPOSICIÓN!$D$2:$D$1879,0)),""))</f>
        <v>LADRILLO CERAMICO 18 x 18 x 33 cm</v>
      </c>
      <c r="D42" s="225" t="str">
        <f>IFERROR(VLOOKUP(B42,MATERIALES!$A:$C,3,FALSE()),IFERROR(INDEX(COMPOSICIÓN!$F$2:$F$1879,MATCH(B42,COMPOSICIÓN!$D$2:$D$1879,0)),""))</f>
        <v>u</v>
      </c>
      <c r="E42" s="161">
        <f>SUMIFS(_PLAN_STG!$P$2:$P$1879,_PLAN_STG!$D$2:$D$1879,B42,_PLAN_STG!$B$2:$B$1879,"MAT",_PLAN_STG!$O$2:$O$1879,1)</f>
        <v>78.75</v>
      </c>
      <c r="F42" s="162">
        <f>IFERROR(VLOOKUP(B42,MATERIALES!$A:$D,4,FALSE()),IFERROR(INDEX(COMPOSICIÓN!$I$2:$I$1879,MATCH(B42,COMPOSICIÓN!$D$2:$D$1879,0)),0))</f>
        <v>519.12</v>
      </c>
      <c r="G42" s="163">
        <f>SUMIFS(_PLAN_STG!$Q$2:$Q$1879,_PLAN_STG!$D$2:$D$1879,B42,_PLAN_STG!$B$2:$B$1879,"MAT",_PLAN_STG!$O$2:$O$1879,1)</f>
        <v>40880.699999999997</v>
      </c>
      <c r="H42" s="225" t="str">
        <f>IFERROR(INDEX(COMPOSICIÓN!$C$2:$C$1879,MATCH(B42,COMPOSICIÓN!$D$2:$D$1879,0)),"")</f>
        <v>OTR</v>
      </c>
      <c r="I42" s="226">
        <f>SUMPRODUCT((_PLAN_STG!$D$2:$D$1879=B42)*(_PLAN_STG!$B$2:$B$1879="MAT")*(_PLAN_STG!$O$2:$O$1879=1)*(_PLAN_STG!$P$2:$P$1879&gt;0))</f>
        <v>1</v>
      </c>
      <c r="J42" s="224" t="str">
        <f>IFERROR(VLOOKUP(B42,MATERIALES!$A:$G,7,FALSE()),"")</f>
        <v>Corralón</v>
      </c>
    </row>
    <row r="43" spans="1:10" x14ac:dyDescent="0.35">
      <c r="A43" s="222">
        <f t="shared" si="0"/>
        <v>28</v>
      </c>
      <c r="B43" s="223" t="s">
        <v>640</v>
      </c>
      <c r="C43" s="224" t="str">
        <f>IFERROR(VLOOKUP(B43,MATERIALES!$A:$B,2,FALSE()),IFERROR(INDEX(COMPOSICIÓN!$E$2:$E$1879,MATCH(B43,COMPOSICIÓN!$D$2:$D$1879,0)),""))</f>
        <v>Ladrillo Comun 12.5 x 5.5 x 25</v>
      </c>
      <c r="D43" s="225" t="str">
        <f>IFERROR(VLOOKUP(B43,MATERIALES!$A:$C,3,FALSE()),IFERROR(INDEX(COMPOSICIÓN!$F$2:$F$1879,MATCH(B43,COMPOSICIÓN!$D$2:$D$1879,0)),""))</f>
        <v>u</v>
      </c>
      <c r="E43" s="161">
        <f>SUMIFS(_PLAN_STG!$P$2:$P$1879,_PLAN_STG!$D$2:$D$1879,B43,_PLAN_STG!$B$2:$B$1879,"MAT",_PLAN_STG!$O$2:$O$1879,1)</f>
        <v>4803.75</v>
      </c>
      <c r="F43" s="162">
        <f>IFERROR(VLOOKUP(B43,MATERIALES!$A:$D,4,FALSE()),IFERROR(INDEX(COMPOSICIÓN!$I$2:$I$1879,MATCH(B43,COMPOSICIÓN!$D$2:$D$1879,0)),0))</f>
        <v>132.30000000000001</v>
      </c>
      <c r="G43" s="163">
        <f>SUMIFS(_PLAN_STG!$Q$2:$Q$1879,_PLAN_STG!$D$2:$D$1879,B43,_PLAN_STG!$B$2:$B$1879,"MAT",_PLAN_STG!$O$2:$O$1879,1)</f>
        <v>635536.125</v>
      </c>
      <c r="H43" s="225" t="str">
        <f>IFERROR(INDEX(COMPOSICIÓN!$C$2:$C$1879,MATCH(B43,COMPOSICIÓN!$D$2:$D$1879,0)),"")</f>
        <v>OTR</v>
      </c>
      <c r="I43" s="226">
        <f>SUMPRODUCT((_PLAN_STG!$D$2:$D$1879=B43)*(_PLAN_STG!$B$2:$B$1879="MAT")*(_PLAN_STG!$O$2:$O$1879=1)*(_PLAN_STG!$P$2:$P$1879&gt;0))</f>
        <v>2</v>
      </c>
      <c r="J43" s="224" t="str">
        <f>IFERROR(VLOOKUP(B43,MATERIALES!$A:$G,7,FALSE()),"")</f>
        <v>Corralón</v>
      </c>
    </row>
    <row r="44" spans="1:10" x14ac:dyDescent="0.35">
      <c r="A44" s="222">
        <f t="shared" si="0"/>
        <v>29</v>
      </c>
      <c r="B44" s="223" t="s">
        <v>643</v>
      </c>
      <c r="C44" s="224" t="str">
        <f>IFERROR(VLOOKUP(B44,MATERIALES!$A:$B,2,FALSE()),IFERROR(INDEX(COMPOSICIÓN!$E$2:$E$1879,MATCH(B44,COMPOSICIÓN!$D$2:$D$1879,0)),""))</f>
        <v>Ladrillo hueco ceramico 12x19x33 - Portante</v>
      </c>
      <c r="D44" s="225" t="str">
        <f>IFERROR(VLOOKUP(B44,MATERIALES!$A:$C,3,FALSE()),IFERROR(INDEX(COMPOSICIÓN!$F$2:$F$1879,MATCH(B44,COMPOSICIÓN!$D$2:$D$1879,0)),""))</f>
        <v>u</v>
      </c>
      <c r="E44" s="161">
        <f>SUMIFS(_PLAN_STG!$P$2:$P$1879,_PLAN_STG!$D$2:$D$1879,B44,_PLAN_STG!$B$2:$B$1879,"MAT",_PLAN_STG!$O$2:$O$1879,1)</f>
        <v>661.5</v>
      </c>
      <c r="F44" s="162">
        <f>IFERROR(VLOOKUP(B44,MATERIALES!$A:$D,4,FALSE()),IFERROR(INDEX(COMPOSICIÓN!$I$2:$I$1879,MATCH(B44,COMPOSICIÓN!$D$2:$D$1879,0)),0))</f>
        <v>563.22</v>
      </c>
      <c r="G44" s="163">
        <f>SUMIFS(_PLAN_STG!$Q$2:$Q$1879,_PLAN_STG!$D$2:$D$1879,B44,_PLAN_STG!$B$2:$B$1879,"MAT",_PLAN_STG!$O$2:$O$1879,1)</f>
        <v>372570.03</v>
      </c>
      <c r="H44" s="225" t="str">
        <f>IFERROR(INDEX(COMPOSICIÓN!$C$2:$C$1879,MATCH(B44,COMPOSICIÓN!$D$2:$D$1879,0)),"")</f>
        <v>OTR</v>
      </c>
      <c r="I44" s="226">
        <f>SUMPRODUCT((_PLAN_STG!$D$2:$D$1879=B44)*(_PLAN_STG!$B$2:$B$1879="MAT")*(_PLAN_STG!$O$2:$O$1879=1)*(_PLAN_STG!$P$2:$P$1879&gt;0))</f>
        <v>1</v>
      </c>
      <c r="J44" s="224" t="str">
        <f>IFERROR(VLOOKUP(B44,MATERIALES!$A:$G,7,FALSE()),"")</f>
        <v>Corralón</v>
      </c>
    </row>
    <row r="45" spans="1:10" x14ac:dyDescent="0.35">
      <c r="A45" s="222" t="str">
        <f t="shared" si="0"/>
        <v/>
      </c>
      <c r="B45" s="223" t="s">
        <v>740</v>
      </c>
      <c r="C45" s="224" t="str">
        <f>IFERROR(VLOOKUP(B45,MATERIALES!$A:$B,2,FALSE()),IFERROR(INDEX(COMPOSICIÓN!$E$2:$E$1879,MATCH(B45,COMPOSICIÓN!$D$2:$D$1879,0)),""))</f>
        <v>Solera 70mm x 2.60m</v>
      </c>
      <c r="D45" s="225" t="str">
        <f>IFERROR(VLOOKUP(B45,MATERIALES!$A:$C,3,FALSE()),IFERROR(INDEX(COMPOSICIÓN!$F$2:$F$1879,MATCH(B45,COMPOSICIÓN!$D$2:$D$1879,0)),""))</f>
        <v>u</v>
      </c>
      <c r="E45" s="161">
        <f>SUMIFS(_PLAN_STG!$P$2:$P$1879,_PLAN_STG!$D$2:$D$1879,B45,_PLAN_STG!$B$2:$B$1879,"MAT",_PLAN_STG!$O$2:$O$1879,1)</f>
        <v>0</v>
      </c>
      <c r="F45" s="162">
        <f>IFERROR(VLOOKUP(B45,MATERIALES!$A:$D,4,FALSE()),IFERROR(INDEX(COMPOSICIÓN!$I$2:$I$1879,MATCH(B45,COMPOSICIÓN!$D$2:$D$1879,0)),0))</f>
        <v>2932.93</v>
      </c>
      <c r="G45" s="163">
        <f>SUMIFS(_PLAN_STG!$Q$2:$Q$1879,_PLAN_STG!$D$2:$D$1879,B45,_PLAN_STG!$B$2:$B$1879,"MAT",_PLAN_STG!$O$2:$O$1879,1)</f>
        <v>0</v>
      </c>
      <c r="H45" s="225" t="str">
        <f>IFERROR(INDEX(COMPOSICIÓN!$C$2:$C$1879,MATCH(B45,COMPOSICIÓN!$D$2:$D$1879,0)),"")</f>
        <v>OTR</v>
      </c>
      <c r="I45" s="226">
        <f>SUMPRODUCT((_PLAN_STG!$D$2:$D$1879=B45)*(_PLAN_STG!$B$2:$B$1879="MAT")*(_PLAN_STG!$O$2:$O$1879=1)*(_PLAN_STG!$P$2:$P$1879&gt;0))</f>
        <v>0</v>
      </c>
      <c r="J45" s="224" t="str">
        <f>IFERROR(VLOOKUP(B45,MATERIALES!$A:$G,7,FALSE()),"")</f>
        <v>Construcción en seco</v>
      </c>
    </row>
    <row r="46" spans="1:10" x14ac:dyDescent="0.35">
      <c r="A46" s="222" t="str">
        <f t="shared" si="0"/>
        <v/>
      </c>
      <c r="B46" s="223" t="s">
        <v>743</v>
      </c>
      <c r="C46" s="224" t="str">
        <f>IFERROR(VLOOKUP(B46,MATERIALES!$A:$B,2,FALSE()),IFERROR(INDEX(COMPOSICIÓN!$E$2:$E$1879,MATCH(B46,COMPOSICIÓN!$D$2:$D$1879,0)),""))</f>
        <v>Montante 69mm x 2.60m</v>
      </c>
      <c r="D46" s="225" t="str">
        <f>IFERROR(VLOOKUP(B46,MATERIALES!$A:$C,3,FALSE()),IFERROR(INDEX(COMPOSICIÓN!$F$2:$F$1879,MATCH(B46,COMPOSICIÓN!$D$2:$D$1879,0)),""))</f>
        <v>u</v>
      </c>
      <c r="E46" s="161">
        <f>SUMIFS(_PLAN_STG!$P$2:$P$1879,_PLAN_STG!$D$2:$D$1879,B46,_PLAN_STG!$B$2:$B$1879,"MAT",_PLAN_STG!$O$2:$O$1879,1)</f>
        <v>0</v>
      </c>
      <c r="F46" s="162">
        <f>IFERROR(VLOOKUP(B46,MATERIALES!$A:$D,4,FALSE()),IFERROR(INDEX(COMPOSICIÓN!$I$2:$I$1879,MATCH(B46,COMPOSICIÓN!$D$2:$D$1879,0)),0))</f>
        <v>3295.47</v>
      </c>
      <c r="G46" s="163">
        <f>SUMIFS(_PLAN_STG!$Q$2:$Q$1879,_PLAN_STG!$D$2:$D$1879,B46,_PLAN_STG!$B$2:$B$1879,"MAT",_PLAN_STG!$O$2:$O$1879,1)</f>
        <v>0</v>
      </c>
      <c r="H46" s="225" t="str">
        <f>IFERROR(INDEX(COMPOSICIÓN!$C$2:$C$1879,MATCH(B46,COMPOSICIÓN!$D$2:$D$1879,0)),"")</f>
        <v>OTR</v>
      </c>
      <c r="I46" s="226">
        <f>SUMPRODUCT((_PLAN_STG!$D$2:$D$1879=B46)*(_PLAN_STG!$B$2:$B$1879="MAT")*(_PLAN_STG!$O$2:$O$1879=1)*(_PLAN_STG!$P$2:$P$1879&gt;0))</f>
        <v>0</v>
      </c>
      <c r="J46" s="224" t="str">
        <f>IFERROR(VLOOKUP(B46,MATERIALES!$A:$G,7,FALSE()),"")</f>
        <v>Construcción en seco</v>
      </c>
    </row>
    <row r="47" spans="1:10" x14ac:dyDescent="0.35">
      <c r="A47" s="222" t="str">
        <f t="shared" si="0"/>
        <v/>
      </c>
      <c r="B47" s="223" t="s">
        <v>745</v>
      </c>
      <c r="C47" s="224" t="str">
        <f>IFERROR(VLOOKUP(B47,MATERIALES!$A:$B,2,FALSE()),IFERROR(INDEX(COMPOSICIÓN!$E$2:$E$1879,MATCH(B47,COMPOSICIÓN!$D$2:$D$1879,0)),""))</f>
        <v>Solera 35mm x 2.60m</v>
      </c>
      <c r="D47" s="225" t="str">
        <f>IFERROR(VLOOKUP(B47,MATERIALES!$A:$C,3,FALSE()),IFERROR(INDEX(COMPOSICIÓN!$F$2:$F$1879,MATCH(B47,COMPOSICIÓN!$D$2:$D$1879,0)),""))</f>
        <v>u</v>
      </c>
      <c r="E47" s="161">
        <f>SUMIFS(_PLAN_STG!$P$2:$P$1879,_PLAN_STG!$D$2:$D$1879,B47,_PLAN_STG!$B$2:$B$1879,"MAT",_PLAN_STG!$O$2:$O$1879,1)</f>
        <v>0</v>
      </c>
      <c r="F47" s="162">
        <f>IFERROR(VLOOKUP(B47,MATERIALES!$A:$D,4,FALSE()),IFERROR(INDEX(COMPOSICIÓN!$I$2:$I$1879,MATCH(B47,COMPOSICIÓN!$D$2:$D$1879,0)),0))</f>
        <v>2147.85</v>
      </c>
      <c r="G47" s="163">
        <f>SUMIFS(_PLAN_STG!$Q$2:$Q$1879,_PLAN_STG!$D$2:$D$1879,B47,_PLAN_STG!$B$2:$B$1879,"MAT",_PLAN_STG!$O$2:$O$1879,1)</f>
        <v>0</v>
      </c>
      <c r="H47" s="225" t="str">
        <f>IFERROR(INDEX(COMPOSICIÓN!$C$2:$C$1879,MATCH(B47,COMPOSICIÓN!$D$2:$D$1879,0)),"")</f>
        <v>OTR</v>
      </c>
      <c r="I47" s="226">
        <f>SUMPRODUCT((_PLAN_STG!$D$2:$D$1879=B47)*(_PLAN_STG!$B$2:$B$1879="MAT")*(_PLAN_STG!$O$2:$O$1879=1)*(_PLAN_STG!$P$2:$P$1879&gt;0))</f>
        <v>0</v>
      </c>
      <c r="J47" s="224" t="str">
        <f>IFERROR(VLOOKUP(B47,MATERIALES!$A:$G,7,FALSE()),"")</f>
        <v>Construcción en seco</v>
      </c>
    </row>
    <row r="48" spans="1:10" x14ac:dyDescent="0.35">
      <c r="A48" s="222" t="str">
        <f t="shared" si="0"/>
        <v/>
      </c>
      <c r="B48" s="223" t="s">
        <v>747</v>
      </c>
      <c r="C48" s="224" t="str">
        <f>IFERROR(VLOOKUP(B48,MATERIALES!$A:$B,2,FALSE()),IFERROR(INDEX(COMPOSICIÓN!$E$2:$E$1879,MATCH(B48,COMPOSICIÓN!$D$2:$D$1879,0)),""))</f>
        <v>Montante 34mm x 2.60m</v>
      </c>
      <c r="D48" s="225" t="str">
        <f>IFERROR(VLOOKUP(B48,MATERIALES!$A:$C,3,FALSE()),IFERROR(INDEX(COMPOSICIÓN!$F$2:$F$1879,MATCH(B48,COMPOSICIÓN!$D$2:$D$1879,0)),""))</f>
        <v>u</v>
      </c>
      <c r="E48" s="161">
        <f>SUMIFS(_PLAN_STG!$P$2:$P$1879,_PLAN_STG!$D$2:$D$1879,B48,_PLAN_STG!$B$2:$B$1879,"MAT",_PLAN_STG!$O$2:$O$1879,1)</f>
        <v>0</v>
      </c>
      <c r="F48" s="162">
        <f>IFERROR(VLOOKUP(B48,MATERIALES!$A:$D,4,FALSE()),IFERROR(INDEX(COMPOSICIÓN!$I$2:$I$1879,MATCH(B48,COMPOSICIÓN!$D$2:$D$1879,0)),0))</f>
        <v>2468.66</v>
      </c>
      <c r="G48" s="163">
        <f>SUMIFS(_PLAN_STG!$Q$2:$Q$1879,_PLAN_STG!$D$2:$D$1879,B48,_PLAN_STG!$B$2:$B$1879,"MAT",_PLAN_STG!$O$2:$O$1879,1)</f>
        <v>0</v>
      </c>
      <c r="H48" s="225" t="str">
        <f>IFERROR(INDEX(COMPOSICIÓN!$C$2:$C$1879,MATCH(B48,COMPOSICIÓN!$D$2:$D$1879,0)),"")</f>
        <v>OTR</v>
      </c>
      <c r="I48" s="226">
        <f>SUMPRODUCT((_PLAN_STG!$D$2:$D$1879=B48)*(_PLAN_STG!$B$2:$B$1879="MAT")*(_PLAN_STG!$O$2:$O$1879=1)*(_PLAN_STG!$P$2:$P$1879&gt;0))</f>
        <v>0</v>
      </c>
      <c r="J48" s="224" t="str">
        <f>IFERROR(VLOOKUP(B48,MATERIALES!$A:$G,7,FALSE()),"")</f>
        <v>Construcción en seco</v>
      </c>
    </row>
    <row r="49" spans="1:10" x14ac:dyDescent="0.35">
      <c r="A49" s="222" t="str">
        <f t="shared" si="0"/>
        <v/>
      </c>
      <c r="B49" s="223" t="s">
        <v>763</v>
      </c>
      <c r="C49" s="224" t="str">
        <f>IFERROR(VLOOKUP(B49,MATERIALES!$A:$B,2,FALSE()),IFERROR(INDEX(COMPOSICIÓN!$E$2:$E$1879,MATCH(B49,COMPOSICIÓN!$D$2:$D$1879,0)),""))</f>
        <v>Masilla x 32kg</v>
      </c>
      <c r="D49" s="225" t="str">
        <f>IFERROR(VLOOKUP(B49,MATERIALES!$A:$C,3,FALSE()),IFERROR(INDEX(COMPOSICIÓN!$F$2:$F$1879,MATCH(B49,COMPOSICIÓN!$D$2:$D$1879,0)),""))</f>
        <v>u</v>
      </c>
      <c r="E49" s="161">
        <f>SUMIFS(_PLAN_STG!$P$2:$P$1879,_PLAN_STG!$D$2:$D$1879,B49,_PLAN_STG!$B$2:$B$1879,"MAT",_PLAN_STG!$O$2:$O$1879,1)</f>
        <v>0</v>
      </c>
      <c r="F49" s="162">
        <f>IFERROR(VLOOKUP(B49,MATERIALES!$A:$D,4,FALSE()),IFERROR(INDEX(COMPOSICIÓN!$I$2:$I$1879,MATCH(B49,COMPOSICIÓN!$D$2:$D$1879,0)),0))</f>
        <v>26872.02</v>
      </c>
      <c r="G49" s="163">
        <f>SUMIFS(_PLAN_STG!$Q$2:$Q$1879,_PLAN_STG!$D$2:$D$1879,B49,_PLAN_STG!$B$2:$B$1879,"MAT",_PLAN_STG!$O$2:$O$1879,1)</f>
        <v>0</v>
      </c>
      <c r="H49" s="225" t="str">
        <f>IFERROR(INDEX(COMPOSICIÓN!$C$2:$C$1879,MATCH(B49,COMPOSICIÓN!$D$2:$D$1879,0)),"")</f>
        <v>OTR</v>
      </c>
      <c r="I49" s="226">
        <f>SUMPRODUCT((_PLAN_STG!$D$2:$D$1879=B49)*(_PLAN_STG!$B$2:$B$1879="MAT")*(_PLAN_STG!$O$2:$O$1879=1)*(_PLAN_STG!$P$2:$P$1879&gt;0))</f>
        <v>0</v>
      </c>
      <c r="J49" s="224" t="str">
        <f>IFERROR(VLOOKUP(B49,MATERIALES!$A:$G,7,FALSE()),"")</f>
        <v>Construcción en seco</v>
      </c>
    </row>
    <row r="50" spans="1:10" x14ac:dyDescent="0.35">
      <c r="A50" s="222" t="str">
        <f t="shared" si="0"/>
        <v/>
      </c>
      <c r="B50" s="223" t="s">
        <v>775</v>
      </c>
      <c r="C50" s="224" t="str">
        <f>IFERROR(VLOOKUP(B50,MATERIALES!$A:$B,2,FALSE()),IFERROR(INDEX(COMPOSICIÓN!$E$2:$E$1879,MATCH(B50,COMPOSICIÓN!$D$2:$D$1879,0)),""))</f>
        <v>Lana De Vidrio 40mm X 21,6m2 Alta Densidad</v>
      </c>
      <c r="D50" s="225" t="str">
        <f>IFERROR(VLOOKUP(B50,MATERIALES!$A:$C,3,FALSE()),IFERROR(INDEX(COMPOSICIÓN!$F$2:$F$1879,MATCH(B50,COMPOSICIÓN!$D$2:$D$1879,0)),""))</f>
        <v>u</v>
      </c>
      <c r="E50" s="161">
        <f>SUMIFS(_PLAN_STG!$P$2:$P$1879,_PLAN_STG!$D$2:$D$1879,B50,_PLAN_STG!$B$2:$B$1879,"MAT",_PLAN_STG!$O$2:$O$1879,1)</f>
        <v>0</v>
      </c>
      <c r="F50" s="162">
        <f>IFERROR(VLOOKUP(B50,MATERIALES!$A:$D,4,FALSE()),IFERROR(INDEX(COMPOSICIÓN!$I$2:$I$1879,MATCH(B50,COMPOSICIÓN!$D$2:$D$1879,0)),0))</f>
        <v>97970.9</v>
      </c>
      <c r="G50" s="163">
        <f>SUMIFS(_PLAN_STG!$Q$2:$Q$1879,_PLAN_STG!$D$2:$D$1879,B50,_PLAN_STG!$B$2:$B$1879,"MAT",_PLAN_STG!$O$2:$O$1879,1)</f>
        <v>0</v>
      </c>
      <c r="H50" s="225" t="str">
        <f>IFERROR(INDEX(COMPOSICIÓN!$C$2:$C$1879,MATCH(B50,COMPOSICIÓN!$D$2:$D$1879,0)),"")</f>
        <v>OTR</v>
      </c>
      <c r="I50" s="226">
        <f>SUMPRODUCT((_PLAN_STG!$D$2:$D$1879=B50)*(_PLAN_STG!$B$2:$B$1879="MAT")*(_PLAN_STG!$O$2:$O$1879=1)*(_PLAN_STG!$P$2:$P$1879&gt;0))</f>
        <v>0</v>
      </c>
      <c r="J50" s="224" t="str">
        <f>IFERROR(VLOOKUP(B50,MATERIALES!$A:$G,7,FALSE()),"")</f>
        <v>Construcción en seco</v>
      </c>
    </row>
    <row r="51" spans="1:10" x14ac:dyDescent="0.35">
      <c r="A51" s="222" t="str">
        <f t="shared" si="0"/>
        <v/>
      </c>
      <c r="B51" s="223" t="s">
        <v>778</v>
      </c>
      <c r="C51" s="224" t="str">
        <f>IFERROR(VLOOKUP(B51,MATERIALES!$A:$B,2,FALSE()),IFERROR(INDEX(COMPOSICIÓN!$E$2:$E$1879,MATCH(B51,COMPOSICIÓN!$D$2:$D$1879,0)),""))</f>
        <v>Perfil Perimetral x 3.05</v>
      </c>
      <c r="D51" s="225" t="str">
        <f>IFERROR(VLOOKUP(B51,MATERIALES!$A:$C,3,FALSE()),IFERROR(INDEX(COMPOSICIÓN!$F$2:$F$1879,MATCH(B51,COMPOSICIÓN!$D$2:$D$1879,0)),""))</f>
        <v>u</v>
      </c>
      <c r="E51" s="161">
        <f>SUMIFS(_PLAN_STG!$P$2:$P$1879,_PLAN_STG!$D$2:$D$1879,B51,_PLAN_STG!$B$2:$B$1879,"MAT",_PLAN_STG!$O$2:$O$1879,1)</f>
        <v>0</v>
      </c>
      <c r="F51" s="162">
        <f>IFERROR(VLOOKUP(B51,MATERIALES!$A:$D,4,FALSE()),IFERROR(INDEX(COMPOSICIÓN!$I$2:$I$1879,MATCH(B51,COMPOSICIÓN!$D$2:$D$1879,0)),0))</f>
        <v>2470.5619834710801</v>
      </c>
      <c r="G51" s="163">
        <f>SUMIFS(_PLAN_STG!$Q$2:$Q$1879,_PLAN_STG!$D$2:$D$1879,B51,_PLAN_STG!$B$2:$B$1879,"MAT",_PLAN_STG!$O$2:$O$1879,1)</f>
        <v>0</v>
      </c>
      <c r="H51" s="225" t="str">
        <f>IFERROR(INDEX(COMPOSICIÓN!$C$2:$C$1879,MATCH(B51,COMPOSICIÓN!$D$2:$D$1879,0)),"")</f>
        <v>OTR</v>
      </c>
      <c r="I51" s="226">
        <f>SUMPRODUCT((_PLAN_STG!$D$2:$D$1879=B51)*(_PLAN_STG!$B$2:$B$1879="MAT")*(_PLAN_STG!$O$2:$O$1879=1)*(_PLAN_STG!$P$2:$P$1879&gt;0))</f>
        <v>0</v>
      </c>
      <c r="J51" s="224" t="str">
        <f>IFERROR(VLOOKUP(B51,MATERIALES!$A:$G,7,FALSE()),"")</f>
        <v>Construcción en seco</v>
      </c>
    </row>
    <row r="52" spans="1:10" x14ac:dyDescent="0.35">
      <c r="A52" s="222" t="str">
        <f t="shared" si="0"/>
        <v/>
      </c>
      <c r="B52" s="223" t="s">
        <v>819</v>
      </c>
      <c r="C52" s="224" t="str">
        <f>IFERROR(VLOOKUP(B52,MATERIALES!$A:$B,2,FALSE()),IFERROR(INDEX(COMPOSICIÓN!$E$2:$E$1879,MATCH(B52,COMPOSICIÓN!$D$2:$D$1879,0)),""))</f>
        <v>Recuplast Tradicional Blanco x 20 lts</v>
      </c>
      <c r="D52" s="225" t="str">
        <f>IFERROR(VLOOKUP(B52,MATERIALES!$A:$C,3,FALSE()),IFERROR(INDEX(COMPOSICIÓN!$F$2:$F$1879,MATCH(B52,COMPOSICIÓN!$D$2:$D$1879,0)),""))</f>
        <v>u</v>
      </c>
      <c r="E52" s="161">
        <f>SUMIFS(_PLAN_STG!$P$2:$P$1879,_PLAN_STG!$D$2:$D$1879,B52,_PLAN_STG!$B$2:$B$1879,"MAT",_PLAN_STG!$O$2:$O$1879,1)</f>
        <v>0</v>
      </c>
      <c r="F52" s="162">
        <f>IFERROR(VLOOKUP(B52,MATERIALES!$A:$D,4,FALSE()),IFERROR(INDEX(COMPOSICIÓN!$I$2:$I$1879,MATCH(B52,COMPOSICIÓN!$D$2:$D$1879,0)),0))</f>
        <v>124188.429752066</v>
      </c>
      <c r="G52" s="163">
        <f>SUMIFS(_PLAN_STG!$Q$2:$Q$1879,_PLAN_STG!$D$2:$D$1879,B52,_PLAN_STG!$B$2:$B$1879,"MAT",_PLAN_STG!$O$2:$O$1879,1)</f>
        <v>0</v>
      </c>
      <c r="H52" s="225" t="str">
        <f>IFERROR(INDEX(COMPOSICIÓN!$C$2:$C$1879,MATCH(B52,COMPOSICIÓN!$D$2:$D$1879,0)),"")</f>
        <v>OTR</v>
      </c>
      <c r="I52" s="226">
        <f>SUMPRODUCT((_PLAN_STG!$D$2:$D$1879=B52)*(_PLAN_STG!$B$2:$B$1879="MAT")*(_PLAN_STG!$O$2:$O$1879=1)*(_PLAN_STG!$P$2:$P$1879&gt;0))</f>
        <v>0</v>
      </c>
      <c r="J52" s="224" t="str">
        <f>IFERROR(VLOOKUP(B52,MATERIALES!$A:$G,7,FALSE()),"")</f>
        <v>Eléctricos</v>
      </c>
    </row>
    <row r="53" spans="1:10" x14ac:dyDescent="0.35">
      <c r="A53" s="222" t="str">
        <f t="shared" si="0"/>
        <v/>
      </c>
      <c r="B53" s="223" t="s">
        <v>918</v>
      </c>
      <c r="C53" s="224" t="str">
        <f>IFERROR(VLOOKUP(B53,MATERIALES!$A:$B,2,FALSE()),IFERROR(INDEX(COMPOSICIÓN!$E$2:$E$1879,MATCH(B53,COMPOSICIÓN!$D$2:$D$1879,0)),""))</f>
        <v>Caño rigido 1"</v>
      </c>
      <c r="D53" s="225" t="str">
        <f>IFERROR(VLOOKUP(B53,MATERIALES!$A:$C,3,FALSE()),IFERROR(INDEX(COMPOSICIÓN!$F$2:$F$1879,MATCH(B53,COMPOSICIÓN!$D$2:$D$1879,0)),""))</f>
        <v>ml</v>
      </c>
      <c r="E53" s="161">
        <f>SUMIFS(_PLAN_STG!$P$2:$P$1879,_PLAN_STG!$D$2:$D$1879,B53,_PLAN_STG!$B$2:$B$1879,"MAT",_PLAN_STG!$O$2:$O$1879,1)</f>
        <v>0</v>
      </c>
      <c r="F53" s="162">
        <f>IFERROR(VLOOKUP(B53,MATERIALES!$A:$D,4,FALSE()),IFERROR(INDEX(COMPOSICIÓN!$I$2:$I$1879,MATCH(B53,COMPOSICIÓN!$D$2:$D$1879,0)),0))</f>
        <v>666.92666666666696</v>
      </c>
      <c r="G53" s="163">
        <f>SUMIFS(_PLAN_STG!$Q$2:$Q$1879,_PLAN_STG!$D$2:$D$1879,B53,_PLAN_STG!$B$2:$B$1879,"MAT",_PLAN_STG!$O$2:$O$1879,1)</f>
        <v>0</v>
      </c>
      <c r="H53" s="225" t="str">
        <f>IFERROR(INDEX(COMPOSICIÓN!$C$2:$C$1879,MATCH(B53,COMPOSICIÓN!$D$2:$D$1879,0)),"")</f>
        <v>OTR</v>
      </c>
      <c r="I53" s="226">
        <f>SUMPRODUCT((_PLAN_STG!$D$2:$D$1879=B53)*(_PLAN_STG!$B$2:$B$1879="MAT")*(_PLAN_STG!$O$2:$O$1879=1)*(_PLAN_STG!$P$2:$P$1879&gt;0))</f>
        <v>0</v>
      </c>
      <c r="J53" s="224" t="str">
        <f>IFERROR(VLOOKUP(B53,MATERIALES!$A:$G,7,FALSE()),"")</f>
        <v>Eléctricos</v>
      </c>
    </row>
    <row r="54" spans="1:10" x14ac:dyDescent="0.35">
      <c r="A54" s="222" t="str">
        <f t="shared" si="0"/>
        <v/>
      </c>
      <c r="B54" s="223" t="s">
        <v>922</v>
      </c>
      <c r="C54" s="224" t="str">
        <f>IFERROR(VLOOKUP(B54,MATERIALES!$A:$B,2,FALSE()),IFERROR(INDEX(COMPOSICIÓN!$E$2:$E$1879,MATCH(B54,COMPOSICIÓN!$D$2:$D$1879,0)),""))</f>
        <v>Caño rigido 7/8"</v>
      </c>
      <c r="D54" s="225" t="str">
        <f>IFERROR(VLOOKUP(B54,MATERIALES!$A:$C,3,FALSE()),IFERROR(INDEX(COMPOSICIÓN!$F$2:$F$1879,MATCH(B54,COMPOSICIÓN!$D$2:$D$1879,0)),""))</f>
        <v>ml</v>
      </c>
      <c r="E54" s="161">
        <f>SUMIFS(_PLAN_STG!$P$2:$P$1879,_PLAN_STG!$D$2:$D$1879,B54,_PLAN_STG!$B$2:$B$1879,"MAT",_PLAN_STG!$O$2:$O$1879,1)</f>
        <v>0</v>
      </c>
      <c r="F54" s="162">
        <f>IFERROR(VLOOKUP(B54,MATERIALES!$A:$D,4,FALSE()),IFERROR(INDEX(COMPOSICIÓN!$I$2:$I$1879,MATCH(B54,COMPOSICIÓN!$D$2:$D$1879,0)),0))</f>
        <v>635.55999999999995</v>
      </c>
      <c r="G54" s="163">
        <f>SUMIFS(_PLAN_STG!$Q$2:$Q$1879,_PLAN_STG!$D$2:$D$1879,B54,_PLAN_STG!$B$2:$B$1879,"MAT",_PLAN_STG!$O$2:$O$1879,1)</f>
        <v>0</v>
      </c>
      <c r="H54" s="225" t="str">
        <f>IFERROR(INDEX(COMPOSICIÓN!$C$2:$C$1879,MATCH(B54,COMPOSICIÓN!$D$2:$D$1879,0)),"")</f>
        <v>OTR</v>
      </c>
      <c r="I54" s="226">
        <f>SUMPRODUCT((_PLAN_STG!$D$2:$D$1879=B54)*(_PLAN_STG!$B$2:$B$1879="MAT")*(_PLAN_STG!$O$2:$O$1879=1)*(_PLAN_STG!$P$2:$P$1879&gt;0))</f>
        <v>0</v>
      </c>
      <c r="J54" s="224" t="str">
        <f>IFERROR(VLOOKUP(B54,MATERIALES!$A:$G,7,FALSE()),"")</f>
        <v>Eléctricos</v>
      </c>
    </row>
    <row r="55" spans="1:10" x14ac:dyDescent="0.35">
      <c r="A55" s="222" t="str">
        <f t="shared" si="0"/>
        <v/>
      </c>
      <c r="B55" s="223" t="s">
        <v>924</v>
      </c>
      <c r="C55" s="224" t="str">
        <f>IFERROR(VLOOKUP(B55,MATERIALES!$A:$B,2,FALSE()),IFERROR(INDEX(COMPOSICIÓN!$E$2:$E$1879,MATCH(B55,COMPOSICIÓN!$D$2:$D$1879,0)),""))</f>
        <v>Caño rigido 3/4"</v>
      </c>
      <c r="D55" s="225" t="str">
        <f>IFERROR(VLOOKUP(B55,MATERIALES!$A:$C,3,FALSE()),IFERROR(INDEX(COMPOSICIÓN!$F$2:$F$1879,MATCH(B55,COMPOSICIÓN!$D$2:$D$1879,0)),""))</f>
        <v>ml</v>
      </c>
      <c r="E55" s="161">
        <f>SUMIFS(_PLAN_STG!$P$2:$P$1879,_PLAN_STG!$D$2:$D$1879,B55,_PLAN_STG!$B$2:$B$1879,"MAT",_PLAN_STG!$O$2:$O$1879,1)</f>
        <v>0</v>
      </c>
      <c r="F55" s="162">
        <f>IFERROR(VLOOKUP(B55,MATERIALES!$A:$D,4,FALSE()),IFERROR(INDEX(COMPOSICIÓN!$I$2:$I$1879,MATCH(B55,COMPOSICIÓN!$D$2:$D$1879,0)),0))</f>
        <v>472.18</v>
      </c>
      <c r="G55" s="163">
        <f>SUMIFS(_PLAN_STG!$Q$2:$Q$1879,_PLAN_STG!$D$2:$D$1879,B55,_PLAN_STG!$B$2:$B$1879,"MAT",_PLAN_STG!$O$2:$O$1879,1)</f>
        <v>0</v>
      </c>
      <c r="H55" s="225" t="str">
        <f>IFERROR(INDEX(COMPOSICIÓN!$C$2:$C$1879,MATCH(B55,COMPOSICIÓN!$D$2:$D$1879,0)),"")</f>
        <v>OTR</v>
      </c>
      <c r="I55" s="226">
        <f>SUMPRODUCT((_PLAN_STG!$D$2:$D$1879=B55)*(_PLAN_STG!$B$2:$B$1879="MAT")*(_PLAN_STG!$O$2:$O$1879=1)*(_PLAN_STG!$P$2:$P$1879&gt;0))</f>
        <v>0</v>
      </c>
      <c r="J55" s="224" t="str">
        <f>IFERROR(VLOOKUP(B55,MATERIALES!$A:$G,7,FALSE()),"")</f>
        <v>Eléctricos</v>
      </c>
    </row>
    <row r="56" spans="1:10" x14ac:dyDescent="0.35">
      <c r="A56" s="222" t="str">
        <f t="shared" si="0"/>
        <v/>
      </c>
      <c r="B56" s="223" t="s">
        <v>932</v>
      </c>
      <c r="C56" s="224" t="str">
        <f>IFERROR(VLOOKUP(B56,MATERIALES!$A:$B,2,FALSE()),IFERROR(INDEX(COMPOSICIÓN!$E$2:$E$1879,MATCH(B56,COMPOSICIÓN!$D$2:$D$1879,0)),""))</f>
        <v>Cupla PVC 3/4"</v>
      </c>
      <c r="D56" s="225" t="str">
        <f>IFERROR(VLOOKUP(B56,MATERIALES!$A:$C,3,FALSE()),IFERROR(INDEX(COMPOSICIÓN!$F$2:$F$1879,MATCH(B56,COMPOSICIÓN!$D$2:$D$1879,0)),""))</f>
        <v>u</v>
      </c>
      <c r="E56" s="161">
        <f>SUMIFS(_PLAN_STG!$P$2:$P$1879,_PLAN_STG!$D$2:$D$1879,B56,_PLAN_STG!$B$2:$B$1879,"MAT",_PLAN_STG!$O$2:$O$1879,1)</f>
        <v>0</v>
      </c>
      <c r="F56" s="162">
        <f>IFERROR(VLOOKUP(B56,MATERIALES!$A:$D,4,FALSE()),IFERROR(INDEX(COMPOSICIÓN!$I$2:$I$1879,MATCH(B56,COMPOSICIÓN!$D$2:$D$1879,0)),0))</f>
        <v>110.922</v>
      </c>
      <c r="G56" s="163">
        <f>SUMIFS(_PLAN_STG!$Q$2:$Q$1879,_PLAN_STG!$D$2:$D$1879,B56,_PLAN_STG!$B$2:$B$1879,"MAT",_PLAN_STG!$O$2:$O$1879,1)</f>
        <v>0</v>
      </c>
      <c r="H56" s="225" t="str">
        <f>IFERROR(INDEX(COMPOSICIÓN!$C$2:$C$1879,MATCH(B56,COMPOSICIÓN!$D$2:$D$1879,0)),"")</f>
        <v>OTR</v>
      </c>
      <c r="I56" s="226">
        <f>SUMPRODUCT((_PLAN_STG!$D$2:$D$1879=B56)*(_PLAN_STG!$B$2:$B$1879="MAT")*(_PLAN_STG!$O$2:$O$1879=1)*(_PLAN_STG!$P$2:$P$1879&gt;0))</f>
        <v>0</v>
      </c>
      <c r="J56" s="224" t="str">
        <f>IFERROR(VLOOKUP(B56,MATERIALES!$A:$G,7,FALSE()),"")</f>
        <v>Eléctricos</v>
      </c>
    </row>
    <row r="57" spans="1:10" x14ac:dyDescent="0.35">
      <c r="A57" s="222" t="str">
        <f t="shared" si="0"/>
        <v/>
      </c>
      <c r="B57" s="223" t="s">
        <v>935</v>
      </c>
      <c r="C57" s="224" t="str">
        <f>IFERROR(VLOOKUP(B57,MATERIALES!$A:$B,2,FALSE()),IFERROR(INDEX(COMPOSICIÓN!$E$2:$E$1879,MATCH(B57,COMPOSICIÓN!$D$2:$D$1879,0)),""))</f>
        <v>Cupla PVC 7/8"</v>
      </c>
      <c r="D57" s="225" t="str">
        <f>IFERROR(VLOOKUP(B57,MATERIALES!$A:$C,3,FALSE()),IFERROR(INDEX(COMPOSICIÓN!$F$2:$F$1879,MATCH(B57,COMPOSICIÓN!$D$2:$D$1879,0)),""))</f>
        <v>u</v>
      </c>
      <c r="E57" s="161">
        <f>SUMIFS(_PLAN_STG!$P$2:$P$1879,_PLAN_STG!$D$2:$D$1879,B57,_PLAN_STG!$B$2:$B$1879,"MAT",_PLAN_STG!$O$2:$O$1879,1)</f>
        <v>0</v>
      </c>
      <c r="F57" s="162">
        <f>IFERROR(VLOOKUP(B57,MATERIALES!$A:$D,4,FALSE()),IFERROR(INDEX(COMPOSICIÓN!$I$2:$I$1879,MATCH(B57,COMPOSICIÓN!$D$2:$D$1879,0)),0))</f>
        <v>184.87</v>
      </c>
      <c r="G57" s="163">
        <f>SUMIFS(_PLAN_STG!$Q$2:$Q$1879,_PLAN_STG!$D$2:$D$1879,B57,_PLAN_STG!$B$2:$B$1879,"MAT",_PLAN_STG!$O$2:$O$1879,1)</f>
        <v>0</v>
      </c>
      <c r="H57" s="225" t="str">
        <f>IFERROR(INDEX(COMPOSICIÓN!$C$2:$C$1879,MATCH(B57,COMPOSICIÓN!$D$2:$D$1879,0)),"")</f>
        <v>OTR</v>
      </c>
      <c r="I57" s="226">
        <f>SUMPRODUCT((_PLAN_STG!$D$2:$D$1879=B57)*(_PLAN_STG!$B$2:$B$1879="MAT")*(_PLAN_STG!$O$2:$O$1879=1)*(_PLAN_STG!$P$2:$P$1879&gt;0))</f>
        <v>0</v>
      </c>
      <c r="J57" s="224" t="str">
        <f>IFERROR(VLOOKUP(B57,MATERIALES!$A:$G,7,FALSE()),"")</f>
        <v>Eléctricos</v>
      </c>
    </row>
    <row r="58" spans="1:10" x14ac:dyDescent="0.35">
      <c r="A58" s="222" t="str">
        <f t="shared" si="0"/>
        <v/>
      </c>
      <c r="B58" s="223" t="s">
        <v>937</v>
      </c>
      <c r="C58" s="224" t="str">
        <f>IFERROR(VLOOKUP(B58,MATERIALES!$A:$B,2,FALSE()),IFERROR(INDEX(COMPOSICIÓN!$E$2:$E$1879,MATCH(B58,COMPOSICIÓN!$D$2:$D$1879,0)),""))</f>
        <v>Cupla PVC 1"</v>
      </c>
      <c r="D58" s="225" t="str">
        <f>IFERROR(VLOOKUP(B58,MATERIALES!$A:$C,3,FALSE()),IFERROR(INDEX(COMPOSICIÓN!$F$2:$F$1879,MATCH(B58,COMPOSICIÓN!$D$2:$D$1879,0)),""))</f>
        <v>u</v>
      </c>
      <c r="E58" s="161">
        <f>SUMIFS(_PLAN_STG!$P$2:$P$1879,_PLAN_STG!$D$2:$D$1879,B58,_PLAN_STG!$B$2:$B$1879,"MAT",_PLAN_STG!$O$2:$O$1879,1)</f>
        <v>0</v>
      </c>
      <c r="F58" s="162">
        <f>IFERROR(VLOOKUP(B58,MATERIALES!$A:$D,4,FALSE()),IFERROR(INDEX(COMPOSICIÓN!$I$2:$I$1879,MATCH(B58,COMPOSICIÓN!$D$2:$D$1879,0)),0))</f>
        <v>280.10000000000002</v>
      </c>
      <c r="G58" s="163">
        <f>SUMIFS(_PLAN_STG!$Q$2:$Q$1879,_PLAN_STG!$D$2:$D$1879,B58,_PLAN_STG!$B$2:$B$1879,"MAT",_PLAN_STG!$O$2:$O$1879,1)</f>
        <v>0</v>
      </c>
      <c r="H58" s="225" t="str">
        <f>IFERROR(INDEX(COMPOSICIÓN!$C$2:$C$1879,MATCH(B58,COMPOSICIÓN!$D$2:$D$1879,0)),"")</f>
        <v>OTR</v>
      </c>
      <c r="I58" s="226">
        <f>SUMPRODUCT((_PLAN_STG!$D$2:$D$1879=B58)*(_PLAN_STG!$B$2:$B$1879="MAT")*(_PLAN_STG!$O$2:$O$1879=1)*(_PLAN_STG!$P$2:$P$1879&gt;0))</f>
        <v>0</v>
      </c>
      <c r="J58" s="224" t="str">
        <f>IFERROR(VLOOKUP(B58,MATERIALES!$A:$G,7,FALSE()),"")</f>
        <v>Eléctricos</v>
      </c>
    </row>
    <row r="59" spans="1:10" x14ac:dyDescent="0.35">
      <c r="A59" s="222" t="str">
        <f t="shared" si="0"/>
        <v/>
      </c>
      <c r="B59" s="223" t="s">
        <v>939</v>
      </c>
      <c r="C59" s="224" t="str">
        <f>IFERROR(VLOOKUP(B59,MATERIALES!$A:$B,2,FALSE()),IFERROR(INDEX(COMPOSICIÓN!$E$2:$E$1879,MATCH(B59,COMPOSICIÓN!$D$2:$D$1879,0)),""))</f>
        <v>Cable unipolar 1 x 1,50</v>
      </c>
      <c r="D59" s="225" t="str">
        <f>IFERROR(VLOOKUP(B59,MATERIALES!$A:$C,3,FALSE()),IFERROR(INDEX(COMPOSICIÓN!$F$2:$F$1879,MATCH(B59,COMPOSICIÓN!$D$2:$D$1879,0)),""))</f>
        <v>ml</v>
      </c>
      <c r="E59" s="161">
        <f>SUMIFS(_PLAN_STG!$P$2:$P$1879,_PLAN_STG!$D$2:$D$1879,B59,_PLAN_STG!$B$2:$B$1879,"MAT",_PLAN_STG!$O$2:$O$1879,1)</f>
        <v>0</v>
      </c>
      <c r="F59" s="162">
        <f>IFERROR(VLOOKUP(B59,MATERIALES!$A:$D,4,FALSE()),IFERROR(INDEX(COMPOSICIÓN!$I$2:$I$1879,MATCH(B59,COMPOSICIÓN!$D$2:$D$1879,0)),0))</f>
        <v>316.44450000000001</v>
      </c>
      <c r="G59" s="163">
        <f>SUMIFS(_PLAN_STG!$Q$2:$Q$1879,_PLAN_STG!$D$2:$D$1879,B59,_PLAN_STG!$B$2:$B$1879,"MAT",_PLAN_STG!$O$2:$O$1879,1)</f>
        <v>0</v>
      </c>
      <c r="H59" s="225" t="str">
        <f>IFERROR(INDEX(COMPOSICIÓN!$C$2:$C$1879,MATCH(B59,COMPOSICIÓN!$D$2:$D$1879,0)),"")</f>
        <v>OTR</v>
      </c>
      <c r="I59" s="226">
        <f>SUMPRODUCT((_PLAN_STG!$D$2:$D$1879=B59)*(_PLAN_STG!$B$2:$B$1879="MAT")*(_PLAN_STG!$O$2:$O$1879=1)*(_PLAN_STG!$P$2:$P$1879&gt;0))</f>
        <v>0</v>
      </c>
      <c r="J59" s="224" t="str">
        <f>IFERROR(VLOOKUP(B59,MATERIALES!$A:$G,7,FALSE()),"")</f>
        <v>Eléctricos</v>
      </c>
    </row>
    <row r="60" spans="1:10" x14ac:dyDescent="0.35">
      <c r="A60" s="222" t="str">
        <f t="shared" si="0"/>
        <v/>
      </c>
      <c r="B60" s="223" t="s">
        <v>941</v>
      </c>
      <c r="C60" s="224" t="str">
        <f>IFERROR(VLOOKUP(B60,MATERIALES!$A:$B,2,FALSE()),IFERROR(INDEX(COMPOSICIÓN!$E$2:$E$1879,MATCH(B60,COMPOSICIÓN!$D$2:$D$1879,0)),""))</f>
        <v>Cable unipolar 1 x 2,50 VA</v>
      </c>
      <c r="D60" s="225" t="str">
        <f>IFERROR(VLOOKUP(B60,MATERIALES!$A:$C,3,FALSE()),IFERROR(INDEX(COMPOSICIÓN!$F$2:$F$1879,MATCH(B60,COMPOSICIÓN!$D$2:$D$1879,0)),""))</f>
        <v>ml</v>
      </c>
      <c r="E60" s="161">
        <f>SUMIFS(_PLAN_STG!$P$2:$P$1879,_PLAN_STG!$D$2:$D$1879,B60,_PLAN_STG!$B$2:$B$1879,"MAT",_PLAN_STG!$O$2:$O$1879,1)</f>
        <v>0</v>
      </c>
      <c r="F60" s="162">
        <f>IFERROR(VLOOKUP(B60,MATERIALES!$A:$D,4,FALSE()),IFERROR(INDEX(COMPOSICIÓN!$I$2:$I$1879,MATCH(B60,COMPOSICIÓN!$D$2:$D$1879,0)),0))</f>
        <v>509.31490000000002</v>
      </c>
      <c r="G60" s="163">
        <f>SUMIFS(_PLAN_STG!$Q$2:$Q$1879,_PLAN_STG!$D$2:$D$1879,B60,_PLAN_STG!$B$2:$B$1879,"MAT",_PLAN_STG!$O$2:$O$1879,1)</f>
        <v>0</v>
      </c>
      <c r="H60" s="225" t="str">
        <f>IFERROR(INDEX(COMPOSICIÓN!$C$2:$C$1879,MATCH(B60,COMPOSICIÓN!$D$2:$D$1879,0)),"")</f>
        <v>OTR</v>
      </c>
      <c r="I60" s="226">
        <f>SUMPRODUCT((_PLAN_STG!$D$2:$D$1879=B60)*(_PLAN_STG!$B$2:$B$1879="MAT")*(_PLAN_STG!$O$2:$O$1879=1)*(_PLAN_STG!$P$2:$P$1879&gt;0))</f>
        <v>0</v>
      </c>
      <c r="J60" s="224" t="str">
        <f>IFERROR(VLOOKUP(B60,MATERIALES!$A:$G,7,FALSE()),"")</f>
        <v>Eléctricos</v>
      </c>
    </row>
    <row r="61" spans="1:10" x14ac:dyDescent="0.35">
      <c r="A61" s="222" t="str">
        <f t="shared" si="0"/>
        <v/>
      </c>
      <c r="B61" s="223" t="s">
        <v>943</v>
      </c>
      <c r="C61" s="224" t="str">
        <f>IFERROR(VLOOKUP(B61,MATERIALES!$A:$B,2,FALSE()),IFERROR(INDEX(COMPOSICIÓN!$E$2:$E$1879,MATCH(B61,COMPOSICIÓN!$D$2:$D$1879,0)),""))</f>
        <v>Cable unipolar 1 x 2,50 Rojo/Marron/Negro</v>
      </c>
      <c r="D61" s="225" t="str">
        <f>IFERROR(VLOOKUP(B61,MATERIALES!$A:$C,3,FALSE()),IFERROR(INDEX(COMPOSICIÓN!$F$2:$F$1879,MATCH(B61,COMPOSICIÓN!$D$2:$D$1879,0)),""))</f>
        <v>ml</v>
      </c>
      <c r="E61" s="161">
        <f>SUMIFS(_PLAN_STG!$P$2:$P$1879,_PLAN_STG!$D$2:$D$1879,B61,_PLAN_STG!$B$2:$B$1879,"MAT",_PLAN_STG!$O$2:$O$1879,1)</f>
        <v>0</v>
      </c>
      <c r="F61" s="162">
        <f>IFERROR(VLOOKUP(B61,MATERIALES!$A:$D,4,FALSE()),IFERROR(INDEX(COMPOSICIÓN!$I$2:$I$1879,MATCH(B61,COMPOSICIÓN!$D$2:$D$1879,0)),0))</f>
        <v>509.31490000000002</v>
      </c>
      <c r="G61" s="163">
        <f>SUMIFS(_PLAN_STG!$Q$2:$Q$1879,_PLAN_STG!$D$2:$D$1879,B61,_PLAN_STG!$B$2:$B$1879,"MAT",_PLAN_STG!$O$2:$O$1879,1)</f>
        <v>0</v>
      </c>
      <c r="H61" s="225" t="str">
        <f>IFERROR(INDEX(COMPOSICIÓN!$C$2:$C$1879,MATCH(B61,COMPOSICIÓN!$D$2:$D$1879,0)),"")</f>
        <v>OTR</v>
      </c>
      <c r="I61" s="226">
        <f>SUMPRODUCT((_PLAN_STG!$D$2:$D$1879=B61)*(_PLAN_STG!$B$2:$B$1879="MAT")*(_PLAN_STG!$O$2:$O$1879=1)*(_PLAN_STG!$P$2:$P$1879&gt;0))</f>
        <v>0</v>
      </c>
      <c r="J61" s="224" t="str">
        <f>IFERROR(VLOOKUP(B61,MATERIALES!$A:$G,7,FALSE()),"")</f>
        <v>Eléctricos</v>
      </c>
    </row>
    <row r="62" spans="1:10" x14ac:dyDescent="0.35">
      <c r="A62" s="222" t="str">
        <f t="shared" si="0"/>
        <v/>
      </c>
      <c r="B62" s="223" t="s">
        <v>945</v>
      </c>
      <c r="C62" s="224" t="str">
        <f>IFERROR(VLOOKUP(B62,MATERIALES!$A:$B,2,FALSE()),IFERROR(INDEX(COMPOSICIÓN!$E$2:$E$1879,MATCH(B62,COMPOSICIÓN!$D$2:$D$1879,0)),""))</f>
        <v>Cable unipolar 1 x 4,00</v>
      </c>
      <c r="D62" s="225" t="str">
        <f>IFERROR(VLOOKUP(B62,MATERIALES!$A:$C,3,FALSE()),IFERROR(INDEX(COMPOSICIÓN!$F$2:$F$1879,MATCH(B62,COMPOSICIÓN!$D$2:$D$1879,0)),""))</f>
        <v>ml</v>
      </c>
      <c r="E62" s="161">
        <f>SUMIFS(_PLAN_STG!$P$2:$P$1879,_PLAN_STG!$D$2:$D$1879,B62,_PLAN_STG!$B$2:$B$1879,"MAT",_PLAN_STG!$O$2:$O$1879,1)</f>
        <v>0</v>
      </c>
      <c r="F62" s="162">
        <f>IFERROR(VLOOKUP(B62,MATERIALES!$A:$D,4,FALSE()),IFERROR(INDEX(COMPOSICIÓN!$I$2:$I$1879,MATCH(B62,COMPOSICIÓN!$D$2:$D$1879,0)),0))</f>
        <v>834.6</v>
      </c>
      <c r="G62" s="163">
        <f>SUMIFS(_PLAN_STG!$Q$2:$Q$1879,_PLAN_STG!$D$2:$D$1879,B62,_PLAN_STG!$B$2:$B$1879,"MAT",_PLAN_STG!$O$2:$O$1879,1)</f>
        <v>0</v>
      </c>
      <c r="H62" s="225" t="str">
        <f>IFERROR(INDEX(COMPOSICIÓN!$C$2:$C$1879,MATCH(B62,COMPOSICIÓN!$D$2:$D$1879,0)),"")</f>
        <v>OTR</v>
      </c>
      <c r="I62" s="226">
        <f>SUMPRODUCT((_PLAN_STG!$D$2:$D$1879=B62)*(_PLAN_STG!$B$2:$B$1879="MAT")*(_PLAN_STG!$O$2:$O$1879=1)*(_PLAN_STG!$P$2:$P$1879&gt;0))</f>
        <v>0</v>
      </c>
      <c r="J62" s="224" t="str">
        <f>IFERROR(VLOOKUP(B62,MATERIALES!$A:$G,7,FALSE()),"")</f>
        <v>Eléctricos</v>
      </c>
    </row>
    <row r="63" spans="1:10" x14ac:dyDescent="0.35">
      <c r="A63" s="222" t="str">
        <f t="shared" si="0"/>
        <v/>
      </c>
      <c r="B63" s="223" t="s">
        <v>947</v>
      </c>
      <c r="C63" s="224" t="str">
        <f>IFERROR(VLOOKUP(B63,MATERIALES!$A:$B,2,FALSE()),IFERROR(INDEX(COMPOSICIÓN!$E$2:$E$1879,MATCH(B63,COMPOSICIÓN!$D$2:$D$1879,0)),""))</f>
        <v>Caja octogonal chica</v>
      </c>
      <c r="D63" s="225" t="str">
        <f>IFERROR(VLOOKUP(B63,MATERIALES!$A:$C,3,FALSE()),IFERROR(INDEX(COMPOSICIÓN!$F$2:$F$1879,MATCH(B63,COMPOSICIÓN!$D$2:$D$1879,0)),""))</f>
        <v>u</v>
      </c>
      <c r="E63" s="161">
        <f>SUMIFS(_PLAN_STG!$P$2:$P$1879,_PLAN_STG!$D$2:$D$1879,B63,_PLAN_STG!$B$2:$B$1879,"MAT",_PLAN_STG!$O$2:$O$1879,1)</f>
        <v>0</v>
      </c>
      <c r="F63" s="162">
        <f>IFERROR(VLOOKUP(B63,MATERIALES!$A:$D,4,FALSE()),IFERROR(INDEX(COMPOSICIÓN!$I$2:$I$1879,MATCH(B63,COMPOSICIÓN!$D$2:$D$1879,0)),0))</f>
        <v>202.42</v>
      </c>
      <c r="G63" s="163">
        <f>SUMIFS(_PLAN_STG!$Q$2:$Q$1879,_PLAN_STG!$D$2:$D$1879,B63,_PLAN_STG!$B$2:$B$1879,"MAT",_PLAN_STG!$O$2:$O$1879,1)</f>
        <v>0</v>
      </c>
      <c r="H63" s="225" t="str">
        <f>IFERROR(INDEX(COMPOSICIÓN!$C$2:$C$1879,MATCH(B63,COMPOSICIÓN!$D$2:$D$1879,0)),"")</f>
        <v>OTR</v>
      </c>
      <c r="I63" s="226">
        <f>SUMPRODUCT((_PLAN_STG!$D$2:$D$1879=B63)*(_PLAN_STG!$B$2:$B$1879="MAT")*(_PLAN_STG!$O$2:$O$1879=1)*(_PLAN_STG!$P$2:$P$1879&gt;0))</f>
        <v>0</v>
      </c>
      <c r="J63" s="224" t="str">
        <f>IFERROR(VLOOKUP(B63,MATERIALES!$A:$G,7,FALSE()),"")</f>
        <v>Eléctricos</v>
      </c>
    </row>
    <row r="64" spans="1:10" x14ac:dyDescent="0.35">
      <c r="A64" s="222" t="str">
        <f t="shared" si="0"/>
        <v/>
      </c>
      <c r="B64" s="223" t="s">
        <v>949</v>
      </c>
      <c r="C64" s="224" t="str">
        <f>IFERROR(VLOOKUP(B64,MATERIALES!$A:$B,2,FALSE()),IFERROR(INDEX(COMPOSICIÓN!$E$2:$E$1879,MATCH(B64,COMPOSICIÓN!$D$2:$D$1879,0)),""))</f>
        <v>Caja octogonal profunda</v>
      </c>
      <c r="D64" s="225" t="str">
        <f>IFERROR(VLOOKUP(B64,MATERIALES!$A:$C,3,FALSE()),IFERROR(INDEX(COMPOSICIÓN!$F$2:$F$1879,MATCH(B64,COMPOSICIÓN!$D$2:$D$1879,0)),""))</f>
        <v>u</v>
      </c>
      <c r="E64" s="161">
        <f>SUMIFS(_PLAN_STG!$P$2:$P$1879,_PLAN_STG!$D$2:$D$1879,B64,_PLAN_STG!$B$2:$B$1879,"MAT",_PLAN_STG!$O$2:$O$1879,1)</f>
        <v>0</v>
      </c>
      <c r="F64" s="162">
        <f>IFERROR(VLOOKUP(B64,MATERIALES!$A:$D,4,FALSE()),IFERROR(INDEX(COMPOSICIÓN!$I$2:$I$1879,MATCH(B64,COMPOSICIÓN!$D$2:$D$1879,0)),0))</f>
        <v>2148.7603305785101</v>
      </c>
      <c r="G64" s="163">
        <f>SUMIFS(_PLAN_STG!$Q$2:$Q$1879,_PLAN_STG!$D$2:$D$1879,B64,_PLAN_STG!$B$2:$B$1879,"MAT",_PLAN_STG!$O$2:$O$1879,1)</f>
        <v>0</v>
      </c>
      <c r="H64" s="225" t="str">
        <f>IFERROR(INDEX(COMPOSICIÓN!$C$2:$C$1879,MATCH(B64,COMPOSICIÓN!$D$2:$D$1879,0)),"")</f>
        <v>OTR</v>
      </c>
      <c r="I64" s="226">
        <f>SUMPRODUCT((_PLAN_STG!$D$2:$D$1879=B64)*(_PLAN_STG!$B$2:$B$1879="MAT")*(_PLAN_STG!$O$2:$O$1879=1)*(_PLAN_STG!$P$2:$P$1879&gt;0))</f>
        <v>0</v>
      </c>
      <c r="J64" s="224" t="str">
        <f>IFERROR(VLOOKUP(B64,MATERIALES!$A:$G,7,FALSE()),"")</f>
        <v>Eléctricos</v>
      </c>
    </row>
    <row r="65" spans="1:10" x14ac:dyDescent="0.35">
      <c r="A65" s="222" t="str">
        <f t="shared" si="0"/>
        <v/>
      </c>
      <c r="B65" s="223" t="s">
        <v>951</v>
      </c>
      <c r="C65" s="224" t="str">
        <f>IFERROR(VLOOKUP(B65,MATERIALES!$A:$B,2,FALSE()),IFERROR(INDEX(COMPOSICIÓN!$E$2:$E$1879,MATCH(B65,COMPOSICIÓN!$D$2:$D$1879,0)),""))</f>
        <v>Caja rectangular chica</v>
      </c>
      <c r="D65" s="225" t="str">
        <f>IFERROR(VLOOKUP(B65,MATERIALES!$A:$C,3,FALSE()),IFERROR(INDEX(COMPOSICIÓN!$F$2:$F$1879,MATCH(B65,COMPOSICIÓN!$D$2:$D$1879,0)),""))</f>
        <v>u</v>
      </c>
      <c r="E65" s="161">
        <f>SUMIFS(_PLAN_STG!$P$2:$P$1879,_PLAN_STG!$D$2:$D$1879,B65,_PLAN_STG!$B$2:$B$1879,"MAT",_PLAN_STG!$O$2:$O$1879,1)</f>
        <v>0</v>
      </c>
      <c r="F65" s="162">
        <f>IFERROR(VLOOKUP(B65,MATERIALES!$A:$D,4,FALSE()),IFERROR(INDEX(COMPOSICIÓN!$I$2:$I$1879,MATCH(B65,COMPOSICIÓN!$D$2:$D$1879,0)),0))</f>
        <v>202.42</v>
      </c>
      <c r="G65" s="163">
        <f>SUMIFS(_PLAN_STG!$Q$2:$Q$1879,_PLAN_STG!$D$2:$D$1879,B65,_PLAN_STG!$B$2:$B$1879,"MAT",_PLAN_STG!$O$2:$O$1879,1)</f>
        <v>0</v>
      </c>
      <c r="H65" s="225" t="str">
        <f>IFERROR(INDEX(COMPOSICIÓN!$C$2:$C$1879,MATCH(B65,COMPOSICIÓN!$D$2:$D$1879,0)),"")</f>
        <v>OTR</v>
      </c>
      <c r="I65" s="226">
        <f>SUMPRODUCT((_PLAN_STG!$D$2:$D$1879=B65)*(_PLAN_STG!$B$2:$B$1879="MAT")*(_PLAN_STG!$O$2:$O$1879=1)*(_PLAN_STG!$P$2:$P$1879&gt;0))</f>
        <v>0</v>
      </c>
      <c r="J65" s="224" t="str">
        <f>IFERROR(VLOOKUP(B65,MATERIALES!$A:$G,7,FALSE()),"")</f>
        <v>Eléctricos</v>
      </c>
    </row>
    <row r="66" spans="1:10" x14ac:dyDescent="0.35">
      <c r="A66" s="222" t="str">
        <f t="shared" si="0"/>
        <v/>
      </c>
      <c r="B66" s="223" t="s">
        <v>959</v>
      </c>
      <c r="C66" s="224" t="str">
        <f>IFERROR(VLOOKUP(B66,MATERIALES!$A:$B,2,FALSE()),IFERROR(INDEX(COMPOSICIÓN!$E$2:$E$1879,MATCH(B66,COMPOSICIÓN!$D$2:$D$1879,0)),""))</f>
        <v>SMARTTRAY CUPLA UNION  JBCC-M6-100</v>
      </c>
      <c r="D66" s="225" t="str">
        <f>IFERROR(VLOOKUP(B66,MATERIALES!$A:$C,3,FALSE()),IFERROR(INDEX(COMPOSICIÓN!$F$2:$F$1879,MATCH(B66,COMPOSICIÓN!$D$2:$D$1879,0)),""))</f>
        <v>u</v>
      </c>
      <c r="E66" s="161">
        <f>SUMIFS(_PLAN_STG!$P$2:$P$1879,_PLAN_STG!$D$2:$D$1879,B66,_PLAN_STG!$B$2:$B$1879,"MAT",_PLAN_STG!$O$2:$O$1879,1)</f>
        <v>0</v>
      </c>
      <c r="F66" s="162">
        <f>IFERROR(VLOOKUP(B66,MATERIALES!$A:$D,4,FALSE()),IFERROR(INDEX(COMPOSICIÓN!$I$2:$I$1879,MATCH(B66,COMPOSICIÓN!$D$2:$D$1879,0)),0))</f>
        <v>13078.33</v>
      </c>
      <c r="G66" s="163">
        <f>SUMIFS(_PLAN_STG!$Q$2:$Q$1879,_PLAN_STG!$D$2:$D$1879,B66,_PLAN_STG!$B$2:$B$1879,"MAT",_PLAN_STG!$O$2:$O$1879,1)</f>
        <v>0</v>
      </c>
      <c r="H66" s="225" t="str">
        <f>IFERROR(INDEX(COMPOSICIÓN!$C$2:$C$1879,MATCH(B66,COMPOSICIÓN!$D$2:$D$1879,0)),"")</f>
        <v>OTR</v>
      </c>
      <c r="I66" s="226">
        <f>SUMPRODUCT((_PLAN_STG!$D$2:$D$1879=B66)*(_PLAN_STG!$B$2:$B$1879="MAT")*(_PLAN_STG!$O$2:$O$1879=1)*(_PLAN_STG!$P$2:$P$1879&gt;0))</f>
        <v>0</v>
      </c>
      <c r="J66" s="224" t="str">
        <f>IFERROR(VLOOKUP(B66,MATERIALES!$A:$G,7,FALSE()),"")</f>
        <v>Eléctricos</v>
      </c>
    </row>
    <row r="67" spans="1:10" x14ac:dyDescent="0.35">
      <c r="A67" s="222" t="str">
        <f t="shared" si="0"/>
        <v/>
      </c>
      <c r="B67" s="223" t="s">
        <v>961</v>
      </c>
      <c r="C67" s="224" t="str">
        <f>IFERROR(VLOOKUP(B67,MATERIALES!$A:$B,2,FALSE()),IFERROR(INDEX(COMPOSICIÓN!$E$2:$E$1879,MATCH(B67,COMPOSICIÓN!$D$2:$D$1879,0)),""))</f>
        <v>GRAMPA FIJACIÓN CABLE</v>
      </c>
      <c r="D67" s="225" t="str">
        <f>IFERROR(VLOOKUP(B67,MATERIALES!$A:$C,3,FALSE()),IFERROR(INDEX(COMPOSICIÓN!$F$2:$F$1879,MATCH(B67,COMPOSICIÓN!$D$2:$D$1879,0)),""))</f>
        <v>u</v>
      </c>
      <c r="E67" s="161">
        <f>SUMIFS(_PLAN_STG!$P$2:$P$1879,_PLAN_STG!$D$2:$D$1879,B67,_PLAN_STG!$B$2:$B$1879,"MAT",_PLAN_STG!$O$2:$O$1879,1)</f>
        <v>0</v>
      </c>
      <c r="F67" s="162">
        <f>IFERROR(VLOOKUP(B67,MATERIALES!$A:$D,4,FALSE()),IFERROR(INDEX(COMPOSICIÓN!$I$2:$I$1879,MATCH(B67,COMPOSICIÓN!$D$2:$D$1879,0)),0))</f>
        <v>1980.42</v>
      </c>
      <c r="G67" s="163">
        <f>SUMIFS(_PLAN_STG!$Q$2:$Q$1879,_PLAN_STG!$D$2:$D$1879,B67,_PLAN_STG!$B$2:$B$1879,"MAT",_PLAN_STG!$O$2:$O$1879,1)</f>
        <v>0</v>
      </c>
      <c r="H67" s="225" t="str">
        <f>IFERROR(INDEX(COMPOSICIÓN!$C$2:$C$1879,MATCH(B67,COMPOSICIÓN!$D$2:$D$1879,0)),"")</f>
        <v>OTR</v>
      </c>
      <c r="I67" s="226">
        <f>SUMPRODUCT((_PLAN_STG!$D$2:$D$1879=B67)*(_PLAN_STG!$B$2:$B$1879="MAT")*(_PLAN_STG!$O$2:$O$1879=1)*(_PLAN_STG!$P$2:$P$1879&gt;0))</f>
        <v>0</v>
      </c>
      <c r="J67" s="224" t="str">
        <f>IFERROR(VLOOKUP(B67,MATERIALES!$A:$G,7,FALSE()),"")</f>
        <v>Eléctricos</v>
      </c>
    </row>
    <row r="68" spans="1:10" x14ac:dyDescent="0.35">
      <c r="A68" s="222" t="str">
        <f t="shared" si="0"/>
        <v/>
      </c>
      <c r="B68" s="223" t="s">
        <v>994</v>
      </c>
      <c r="C68" s="224" t="str">
        <f>IFERROR(VLOOKUP(B68,MATERIALES!$A:$B,2,FALSE()),IFERROR(INDEX(COMPOSICIÓN!$E$2:$E$1879,MATCH(B68,COMPOSICIÓN!$D$2:$D$1879,0)),""))</f>
        <v>Madera tirante 5x5cm p/ traviesas</v>
      </c>
      <c r="D68" s="225" t="str">
        <f>IFERROR(VLOOKUP(B68,MATERIALES!$A:$C,3,FALSE()),IFERROR(INDEX(COMPOSICIÓN!$F$2:$F$1879,MATCH(B68,COMPOSICIÓN!$D$2:$D$1879,0)),""))</f>
        <v>ml</v>
      </c>
      <c r="E68" s="161">
        <f>SUMIFS(_PLAN_STG!$P$2:$P$1879,_PLAN_STG!$D$2:$D$1879,B68,_PLAN_STG!$B$2:$B$1879,"MAT",_PLAN_STG!$O$2:$O$1879,1)</f>
        <v>0</v>
      </c>
      <c r="F68" s="162">
        <f>IFERROR(VLOOKUP(B68,MATERIALES!$A:$D,4,FALSE()),IFERROR(INDEX(COMPOSICIÓN!$I$2:$I$1879,MATCH(B68,COMPOSICIÓN!$D$2:$D$1879,0)),0))</f>
        <v>1968.04</v>
      </c>
      <c r="G68" s="163">
        <f>SUMIFS(_PLAN_STG!$Q$2:$Q$1879,_PLAN_STG!$D$2:$D$1879,B68,_PLAN_STG!$B$2:$B$1879,"MAT",_PLAN_STG!$O$2:$O$1879,1)</f>
        <v>0</v>
      </c>
      <c r="H68" s="225" t="str">
        <f>IFERROR(INDEX(COMPOSICIÓN!$C$2:$C$1879,MATCH(B68,COMPOSICIÓN!$D$2:$D$1879,0)),"")</f>
        <v>OTR</v>
      </c>
      <c r="I68" s="226">
        <f>SUMPRODUCT((_PLAN_STG!$D$2:$D$1879=B68)*(_PLAN_STG!$B$2:$B$1879="MAT")*(_PLAN_STG!$O$2:$O$1879=1)*(_PLAN_STG!$P$2:$P$1879&gt;0))</f>
        <v>0</v>
      </c>
      <c r="J68" s="224" t="str">
        <f>IFERROR(VLOOKUP(B68,MATERIALES!$A:$G,7,FALSE()),"")</f>
        <v>Corralón</v>
      </c>
    </row>
    <row r="69" spans="1:10" x14ac:dyDescent="0.35">
      <c r="A69" s="222" t="str">
        <f t="shared" si="0"/>
        <v/>
      </c>
      <c r="B69" s="223" t="s">
        <v>998</v>
      </c>
      <c r="C69" s="224" t="str">
        <f>IFERROR(VLOOKUP(B69,MATERIALES!$A:$B,2,FALSE()),IFERROR(INDEX(COMPOSICIÓN!$E$2:$E$1879,MATCH(B69,COMPOSICIÓN!$D$2:$D$1879,0)),""))</f>
        <v>Madera tabla corriente</v>
      </c>
      <c r="D69" s="225" t="str">
        <f>IFERROR(VLOOKUP(B69,MATERIALES!$A:$C,3,FALSE()),IFERROR(INDEX(COMPOSICIÓN!$F$2:$F$1879,MATCH(B69,COMPOSICIÓN!$D$2:$D$1879,0)),""))</f>
        <v>ml</v>
      </c>
      <c r="E69" s="161">
        <f>SUMIFS(_PLAN_STG!$P$2:$P$1879,_PLAN_STG!$D$2:$D$1879,B69,_PLAN_STG!$B$2:$B$1879,"MAT",_PLAN_STG!$O$2:$O$1879,1)</f>
        <v>0</v>
      </c>
      <c r="F69" s="162">
        <f>IFERROR(VLOOKUP(B69,MATERIALES!$A:$D,4,FALSE()),IFERROR(INDEX(COMPOSICIÓN!$I$2:$I$1879,MATCH(B69,COMPOSICIÓN!$D$2:$D$1879,0)),0))</f>
        <v>2755.25</v>
      </c>
      <c r="G69" s="163">
        <f>SUMIFS(_PLAN_STG!$Q$2:$Q$1879,_PLAN_STG!$D$2:$D$1879,B69,_PLAN_STG!$B$2:$B$1879,"MAT",_PLAN_STG!$O$2:$O$1879,1)</f>
        <v>0</v>
      </c>
      <c r="H69" s="225" t="str">
        <f>IFERROR(INDEX(COMPOSICIÓN!$C$2:$C$1879,MATCH(B69,COMPOSICIÓN!$D$2:$D$1879,0)),"")</f>
        <v>OTR</v>
      </c>
      <c r="I69" s="226">
        <f>SUMPRODUCT((_PLAN_STG!$D$2:$D$1879=B69)*(_PLAN_STG!$B$2:$B$1879="MAT")*(_PLAN_STG!$O$2:$O$1879=1)*(_PLAN_STG!$P$2:$P$1879&gt;0))</f>
        <v>0</v>
      </c>
      <c r="J69" s="224" t="str">
        <f>IFERROR(VLOOKUP(B69,MATERIALES!$A:$G,7,FALSE()),"")</f>
        <v>Corralón</v>
      </c>
    </row>
    <row r="70" spans="1:10" x14ac:dyDescent="0.35">
      <c r="A70" s="222" t="str">
        <f t="shared" si="0"/>
        <v/>
      </c>
      <c r="B70" s="223" t="s">
        <v>1001</v>
      </c>
      <c r="C70" s="224" t="str">
        <f>IFERROR(VLOOKUP(B70,MATERIALES!$A:$B,2,FALSE()),IFERROR(INDEX(COMPOSICIÓN!$E$2:$E$1879,MATCH(B70,COMPOSICIÓN!$D$2:$D$1879,0)),""))</f>
        <v>Barrotes</v>
      </c>
      <c r="D70" s="225" t="str">
        <f>IFERROR(VLOOKUP(B70,MATERIALES!$A:$C,3,FALSE()),IFERROR(INDEX(COMPOSICIÓN!$F$2:$F$1879,MATCH(B70,COMPOSICIÓN!$D$2:$D$1879,0)),""))</f>
        <v>ml</v>
      </c>
      <c r="E70" s="161">
        <f>SUMIFS(_PLAN_STG!$P$2:$P$1879,_PLAN_STG!$D$2:$D$1879,B70,_PLAN_STG!$B$2:$B$1879,"MAT",_PLAN_STG!$O$2:$O$1879,1)</f>
        <v>0</v>
      </c>
      <c r="F70" s="162">
        <f>IFERROR(VLOOKUP(B70,MATERIALES!$A:$D,4,FALSE()),IFERROR(INDEX(COMPOSICIÓN!$I$2:$I$1879,MATCH(B70,COMPOSICIÓN!$D$2:$D$1879,0)),0))</f>
        <v>3148.86</v>
      </c>
      <c r="G70" s="163">
        <f>SUMIFS(_PLAN_STG!$Q$2:$Q$1879,_PLAN_STG!$D$2:$D$1879,B70,_PLAN_STG!$B$2:$B$1879,"MAT",_PLAN_STG!$O$2:$O$1879,1)</f>
        <v>0</v>
      </c>
      <c r="H70" s="225" t="str">
        <f>IFERROR(INDEX(COMPOSICIÓN!$C$2:$C$1879,MATCH(B70,COMPOSICIÓN!$D$2:$D$1879,0)),"")</f>
        <v>OTR</v>
      </c>
      <c r="I70" s="226">
        <f>SUMPRODUCT((_PLAN_STG!$D$2:$D$1879=B70)*(_PLAN_STG!$B$2:$B$1879="MAT")*(_PLAN_STG!$O$2:$O$1879=1)*(_PLAN_STG!$P$2:$P$1879&gt;0))</f>
        <v>0</v>
      </c>
      <c r="J70" s="224" t="str">
        <f>IFERROR(VLOOKUP(B70,MATERIALES!$A:$G,7,FALSE()),"")</f>
        <v>Corralón</v>
      </c>
    </row>
    <row r="71" spans="1:10" x14ac:dyDescent="0.35">
      <c r="A71" s="222" t="str">
        <f t="shared" si="0"/>
        <v/>
      </c>
      <c r="B71" s="223" t="s">
        <v>1003</v>
      </c>
      <c r="C71" s="224" t="str">
        <f>IFERROR(VLOOKUP(B71,MATERIALES!$A:$B,2,FALSE()),IFERROR(INDEX(COMPOSICIÓN!$E$2:$E$1879,MATCH(B71,COMPOSICIÓN!$D$2:$D$1879,0)),""))</f>
        <v>Estacas</v>
      </c>
      <c r="D71" s="225" t="str">
        <f>IFERROR(VLOOKUP(B71,MATERIALES!$A:$C,3,FALSE()),IFERROR(INDEX(COMPOSICIÓN!$F$2:$F$1879,MATCH(B71,COMPOSICIÓN!$D$2:$D$1879,0)),""))</f>
        <v>u</v>
      </c>
      <c r="E71" s="161">
        <f>SUMIFS(_PLAN_STG!$P$2:$P$1879,_PLAN_STG!$D$2:$D$1879,B71,_PLAN_STG!$B$2:$B$1879,"MAT",_PLAN_STG!$O$2:$O$1879,1)</f>
        <v>0</v>
      </c>
      <c r="F71" s="162">
        <f>IFERROR(VLOOKUP(B71,MATERIALES!$A:$D,4,FALSE()),IFERROR(INDEX(COMPOSICIÓN!$I$2:$I$1879,MATCH(B71,COMPOSICIÓN!$D$2:$D$1879,0)),0))</f>
        <v>1180.82</v>
      </c>
      <c r="G71" s="163">
        <f>SUMIFS(_PLAN_STG!$Q$2:$Q$1879,_PLAN_STG!$D$2:$D$1879,B71,_PLAN_STG!$B$2:$B$1879,"MAT",_PLAN_STG!$O$2:$O$1879,1)</f>
        <v>0</v>
      </c>
      <c r="H71" s="225" t="str">
        <f>IFERROR(INDEX(COMPOSICIÓN!$C$2:$C$1879,MATCH(B71,COMPOSICIÓN!$D$2:$D$1879,0)),"")</f>
        <v>OTR</v>
      </c>
      <c r="I71" s="226">
        <f>SUMPRODUCT((_PLAN_STG!$D$2:$D$1879=B71)*(_PLAN_STG!$B$2:$B$1879="MAT")*(_PLAN_STG!$O$2:$O$1879=1)*(_PLAN_STG!$P$2:$P$1879&gt;0))</f>
        <v>0</v>
      </c>
      <c r="J71" s="224" t="str">
        <f>IFERROR(VLOOKUP(B71,MATERIALES!$A:$G,7,FALSE()),"")</f>
        <v>Corralón</v>
      </c>
    </row>
    <row r="72" spans="1:10" x14ac:dyDescent="0.35">
      <c r="A72" s="222" t="str">
        <f t="shared" si="0"/>
        <v/>
      </c>
      <c r="B72" s="223" t="s">
        <v>1005</v>
      </c>
      <c r="C72" s="224" t="str">
        <f>IFERROR(VLOOKUP(B72,MATERIALES!$A:$B,2,FALSE()),IFERROR(INDEX(COMPOSICIÓN!$E$2:$E$1879,MATCH(B72,COMPOSICIÓN!$D$2:$D$1879,0)),""))</f>
        <v>Fenólico común e: 18 mm</v>
      </c>
      <c r="D72" s="225" t="str">
        <f>IFERROR(VLOOKUP(B72,MATERIALES!$A:$C,3,FALSE()),IFERROR(INDEX(COMPOSICIÓN!$F$2:$F$1879,MATCH(B72,COMPOSICIÓN!$D$2:$D$1879,0)),""))</f>
        <v>m2</v>
      </c>
      <c r="E72" s="161">
        <f>SUMIFS(_PLAN_STG!$P$2:$P$1879,_PLAN_STG!$D$2:$D$1879,B72,_PLAN_STG!$B$2:$B$1879,"MAT",_PLAN_STG!$O$2:$O$1879,1)</f>
        <v>0</v>
      </c>
      <c r="F72" s="162">
        <f>IFERROR(VLOOKUP(B72,MATERIALES!$A:$D,4,FALSE()),IFERROR(INDEX(COMPOSICIÓN!$I$2:$I$1879,MATCH(B72,COMPOSICIÓN!$D$2:$D$1879,0)),0))</f>
        <v>19680.39</v>
      </c>
      <c r="G72" s="163">
        <f>SUMIFS(_PLAN_STG!$Q$2:$Q$1879,_PLAN_STG!$D$2:$D$1879,B72,_PLAN_STG!$B$2:$B$1879,"MAT",_PLAN_STG!$O$2:$O$1879,1)</f>
        <v>0</v>
      </c>
      <c r="H72" s="225" t="str">
        <f>IFERROR(INDEX(COMPOSICIÓN!$C$2:$C$1879,MATCH(B72,COMPOSICIÓN!$D$2:$D$1879,0)),"")</f>
        <v>OTR</v>
      </c>
      <c r="I72" s="226">
        <f>SUMPRODUCT((_PLAN_STG!$D$2:$D$1879=B72)*(_PLAN_STG!$B$2:$B$1879="MAT")*(_PLAN_STG!$O$2:$O$1879=1)*(_PLAN_STG!$P$2:$P$1879&gt;0))</f>
        <v>0</v>
      </c>
      <c r="J72" s="224" t="str">
        <f>IFERROR(VLOOKUP(B72,MATERIALES!$A:$G,7,FALSE()),"")</f>
        <v>Corralón</v>
      </c>
    </row>
    <row r="73" spans="1:10" x14ac:dyDescent="0.35">
      <c r="A73" s="222" t="str">
        <f t="shared" si="0"/>
        <v/>
      </c>
      <c r="B73" s="223" t="s">
        <v>1007</v>
      </c>
      <c r="C73" s="224" t="str">
        <f>IFERROR(VLOOKUP(B73,MATERIALES!$A:$B,2,FALSE()),IFERROR(INDEX(COMPOSICIÓN!$E$2:$E$1879,MATCH(B73,COMPOSICIÓN!$D$2:$D$1879,0)),""))</f>
        <v>Fenólico visto e: 18 mm</v>
      </c>
      <c r="D73" s="225" t="str">
        <f>IFERROR(VLOOKUP(B73,MATERIALES!$A:$C,3,FALSE()),IFERROR(INDEX(COMPOSICIÓN!$F$2:$F$1879,MATCH(B73,COMPOSICIÓN!$D$2:$D$1879,0)),""))</f>
        <v>m2</v>
      </c>
      <c r="E73" s="161">
        <f>SUMIFS(_PLAN_STG!$P$2:$P$1879,_PLAN_STG!$D$2:$D$1879,B73,_PLAN_STG!$B$2:$B$1879,"MAT",_PLAN_STG!$O$2:$O$1879,1)</f>
        <v>0</v>
      </c>
      <c r="F73" s="162">
        <f>IFERROR(VLOOKUP(B73,MATERIALES!$A:$D,4,FALSE()),IFERROR(INDEX(COMPOSICIÓN!$I$2:$I$1879,MATCH(B73,COMPOSICIÓN!$D$2:$D$1879,0)),0))</f>
        <v>27552.55</v>
      </c>
      <c r="G73" s="163">
        <f>SUMIFS(_PLAN_STG!$Q$2:$Q$1879,_PLAN_STG!$D$2:$D$1879,B73,_PLAN_STG!$B$2:$B$1879,"MAT",_PLAN_STG!$O$2:$O$1879,1)</f>
        <v>0</v>
      </c>
      <c r="H73" s="225" t="str">
        <f>IFERROR(INDEX(COMPOSICIÓN!$C$2:$C$1879,MATCH(B73,COMPOSICIÓN!$D$2:$D$1879,0)),"")</f>
        <v>OTR</v>
      </c>
      <c r="I73" s="226">
        <f>SUMPRODUCT((_PLAN_STG!$D$2:$D$1879=B73)*(_PLAN_STG!$B$2:$B$1879="MAT")*(_PLAN_STG!$O$2:$O$1879=1)*(_PLAN_STG!$P$2:$P$1879&gt;0))</f>
        <v>0</v>
      </c>
      <c r="J73" s="224" t="str">
        <f>IFERROR(VLOOKUP(B73,MATERIALES!$A:$G,7,FALSE()),"")</f>
        <v>Corralón</v>
      </c>
    </row>
    <row r="74" spans="1:10" x14ac:dyDescent="0.35">
      <c r="A74" s="222" t="str">
        <f t="shared" si="0"/>
        <v/>
      </c>
      <c r="B74" s="223" t="s">
        <v>1009</v>
      </c>
      <c r="C74" s="224" t="str">
        <f>IFERROR(VLOOKUP(B74,MATERIALES!$A:$B,2,FALSE()),IFERROR(INDEX(COMPOSICIÓN!$E$2:$E$1879,MATCH(B74,COMPOSICIÓN!$D$2:$D$1879,0)),""))</f>
        <v>Pie derecho saligna bruto</v>
      </c>
      <c r="D74" s="225" t="str">
        <f>IFERROR(VLOOKUP(B74,MATERIALES!$A:$C,3,FALSE()),IFERROR(INDEX(COMPOSICIÓN!$F$2:$F$1879,MATCH(B74,COMPOSICIÓN!$D$2:$D$1879,0)),""))</f>
        <v>ml</v>
      </c>
      <c r="E74" s="161">
        <f>SUMIFS(_PLAN_STG!$P$2:$P$1879,_PLAN_STG!$D$2:$D$1879,B74,_PLAN_STG!$B$2:$B$1879,"MAT",_PLAN_STG!$O$2:$O$1879,1)</f>
        <v>0</v>
      </c>
      <c r="F74" s="162">
        <f>IFERROR(VLOOKUP(B74,MATERIALES!$A:$D,4,FALSE()),IFERROR(INDEX(COMPOSICIÓN!$I$2:$I$1879,MATCH(B74,COMPOSICIÓN!$D$2:$D$1879,0)),0))</f>
        <v>3936.08</v>
      </c>
      <c r="G74" s="163">
        <f>SUMIFS(_PLAN_STG!$Q$2:$Q$1879,_PLAN_STG!$D$2:$D$1879,B74,_PLAN_STG!$B$2:$B$1879,"MAT",_PLAN_STG!$O$2:$O$1879,1)</f>
        <v>0</v>
      </c>
      <c r="H74" s="225" t="str">
        <f>IFERROR(INDEX(COMPOSICIÓN!$C$2:$C$1879,MATCH(B74,COMPOSICIÓN!$D$2:$D$1879,0)),"")</f>
        <v>OTR</v>
      </c>
      <c r="I74" s="226">
        <f>SUMPRODUCT((_PLAN_STG!$D$2:$D$1879=B74)*(_PLAN_STG!$B$2:$B$1879="MAT")*(_PLAN_STG!$O$2:$O$1879=1)*(_PLAN_STG!$P$2:$P$1879&gt;0))</f>
        <v>0</v>
      </c>
      <c r="J74" s="224" t="str">
        <f>IFERROR(VLOOKUP(B74,MATERIALES!$A:$G,7,FALSE()),"")</f>
        <v>Corralón</v>
      </c>
    </row>
    <row r="75" spans="1:10" x14ac:dyDescent="0.35">
      <c r="A75" s="222">
        <f t="shared" si="0"/>
        <v>60</v>
      </c>
      <c r="B75" s="223" t="s">
        <v>1361</v>
      </c>
      <c r="C75" s="224" t="str">
        <f>IFERROR(VLOOKUP(B75,MATERIALES!$A:$B,2,FALSE()),IFERROR(INDEX(COMPOSICIÓN!$E$2:$E$1879,MATCH(B75,COMPOSICIÓN!$D$2:$D$1879,0)),""))</f>
        <v>Consumibles</v>
      </c>
      <c r="D75" s="225" t="str">
        <f>IFERROR(VLOOKUP(B75,MATERIALES!$A:$C,3,FALSE()),IFERROR(INDEX(COMPOSICIÓN!$F$2:$F$1879,MATCH(B75,COMPOSICIÓN!$D$2:$D$1879,0)),""))</f>
        <v>gl</v>
      </c>
      <c r="E75" s="161">
        <f>SUMIFS(_PLAN_STG!$P$2:$P$1879,_PLAN_STG!$D$2:$D$1879,B75,_PLAN_STG!$B$2:$B$1879,"MAT",_PLAN_STG!$O$2:$O$1879,1)</f>
        <v>607098.77686405834</v>
      </c>
      <c r="F75" s="162">
        <f>IFERROR(VLOOKUP(B75,MATERIALES!$A:$D,4,FALSE()),IFERROR(INDEX(COMPOSICIÓN!$I$2:$I$1879,MATCH(B75,COMPOSICIÓN!$D$2:$D$1879,0)),0))</f>
        <v>1</v>
      </c>
      <c r="G75" s="163">
        <f>SUMIFS(_PLAN_STG!$Q$2:$Q$1879,_PLAN_STG!$D$2:$D$1879,B75,_PLAN_STG!$B$2:$B$1879,"MAT",_PLAN_STG!$O$2:$O$1879,1)</f>
        <v>607098.77686405834</v>
      </c>
      <c r="H75" s="225" t="str">
        <f>IFERROR(INDEX(COMPOSICIÓN!$C$2:$C$1879,MATCH(B75,COMPOSICIÓN!$D$2:$D$1879,0)),"")</f>
        <v>OTR</v>
      </c>
      <c r="I75" s="226">
        <f>SUMPRODUCT((_PLAN_STG!$D$2:$D$1879=B75)*(_PLAN_STG!$B$2:$B$1879="MAT")*(_PLAN_STG!$O$2:$O$1879=1)*(_PLAN_STG!$P$2:$P$1879&gt;0))</f>
        <v>12</v>
      </c>
      <c r="J75" s="224" t="str">
        <f>IFERROR(VLOOKUP(B75,MATERIALES!$A:$G,7,FALSE()),"")</f>
        <v>Consumibles</v>
      </c>
    </row>
    <row r="76" spans="1:10" x14ac:dyDescent="0.35">
      <c r="A76" s="222" t="str">
        <f t="shared" si="0"/>
        <v/>
      </c>
      <c r="B76" s="223" t="s">
        <v>749</v>
      </c>
      <c r="C76" s="224" t="str">
        <f>IFERROR(VLOOKUP(B76,MATERIALES!$A:$B,2,FALSE()),IFERROR(INDEX(COMPOSICIÓN!$E$2:$E$1879,MATCH(B76,COMPOSICIÓN!$D$2:$D$1879,0)),""))</f>
        <v>Tornillo T1 - Aguja</v>
      </c>
      <c r="D76" s="225" t="str">
        <f>IFERROR(VLOOKUP(B76,MATERIALES!$A:$C,3,FALSE()),IFERROR(INDEX(COMPOSICIÓN!$F$2:$F$1879,MATCH(B76,COMPOSICIÓN!$D$2:$D$1879,0)),""))</f>
        <v>u</v>
      </c>
      <c r="E76" s="161">
        <f>SUMIFS(_PLAN_STG!$P$2:$P$1879,_PLAN_STG!$D$2:$D$1879,B76,_PLAN_STG!$B$2:$B$1879,"MAT",_PLAN_STG!$O$2:$O$1879,1)</f>
        <v>0</v>
      </c>
      <c r="F76" s="162">
        <f>IFERROR(VLOOKUP(B76,MATERIALES!$A:$D,4,FALSE()),IFERROR(INDEX(COMPOSICIÓN!$I$2:$I$1879,MATCH(B76,COMPOSICIÓN!$D$2:$D$1879,0)),0))</f>
        <v>32.707173553719002</v>
      </c>
      <c r="G76" s="163">
        <f>SUMIFS(_PLAN_STG!$Q$2:$Q$1879,_PLAN_STG!$D$2:$D$1879,B76,_PLAN_STG!$B$2:$B$1879,"MAT",_PLAN_STG!$O$2:$O$1879,1)</f>
        <v>0</v>
      </c>
      <c r="H76" s="225" t="str">
        <f>IFERROR(INDEX(COMPOSICIÓN!$C$2:$C$1879,MATCH(B76,COMPOSICIÓN!$D$2:$D$1879,0)),"")</f>
        <v>OTR</v>
      </c>
      <c r="I76" s="226">
        <f>SUMPRODUCT((_PLAN_STG!$D$2:$D$1879=B76)*(_PLAN_STG!$B$2:$B$1879="MAT")*(_PLAN_STG!$O$2:$O$1879=1)*(_PLAN_STG!$P$2:$P$1879&gt;0))</f>
        <v>0</v>
      </c>
      <c r="J76" s="224" t="str">
        <f>IFERROR(VLOOKUP(B76,MATERIALES!$A:$G,7,FALSE()),"")</f>
        <v>Construcción en seco</v>
      </c>
    </row>
    <row r="77" spans="1:10" x14ac:dyDescent="0.35">
      <c r="A77" s="222" t="str">
        <f t="shared" si="0"/>
        <v/>
      </c>
      <c r="B77" s="223" t="s">
        <v>752</v>
      </c>
      <c r="C77" s="224" t="str">
        <f>IFERROR(VLOOKUP(B77,MATERIALES!$A:$B,2,FALSE()),IFERROR(INDEX(COMPOSICIÓN!$E$2:$E$1879,MATCH(B77,COMPOSICIÓN!$D$2:$D$1879,0)),""))</f>
        <v>Tornillo T2 - Aguja</v>
      </c>
      <c r="D77" s="225" t="str">
        <f>IFERROR(VLOOKUP(B77,MATERIALES!$A:$C,3,FALSE()),IFERROR(INDEX(COMPOSICIÓN!$F$2:$F$1879,MATCH(B77,COMPOSICIÓN!$D$2:$D$1879,0)),""))</f>
        <v>u</v>
      </c>
      <c r="E77" s="161">
        <f>SUMIFS(_PLAN_STG!$P$2:$P$1879,_PLAN_STG!$D$2:$D$1879,B77,_PLAN_STG!$B$2:$B$1879,"MAT",_PLAN_STG!$O$2:$O$1879,1)</f>
        <v>0</v>
      </c>
      <c r="F77" s="162">
        <f>IFERROR(VLOOKUP(B77,MATERIALES!$A:$D,4,FALSE()),IFERROR(INDEX(COMPOSICIÓN!$I$2:$I$1879,MATCH(B77,COMPOSICIÓN!$D$2:$D$1879,0)),0))</f>
        <v>17.1963177226814</v>
      </c>
      <c r="G77" s="163">
        <f>SUMIFS(_PLAN_STG!$Q$2:$Q$1879,_PLAN_STG!$D$2:$D$1879,B77,_PLAN_STG!$B$2:$B$1879,"MAT",_PLAN_STG!$O$2:$O$1879,1)</f>
        <v>0</v>
      </c>
      <c r="H77" s="225" t="str">
        <f>IFERROR(INDEX(COMPOSICIÓN!$C$2:$C$1879,MATCH(B77,COMPOSICIÓN!$D$2:$D$1879,0)),"")</f>
        <v>OTR</v>
      </c>
      <c r="I77" s="226">
        <f>SUMPRODUCT((_PLAN_STG!$D$2:$D$1879=B77)*(_PLAN_STG!$B$2:$B$1879="MAT")*(_PLAN_STG!$O$2:$O$1879=1)*(_PLAN_STG!$P$2:$P$1879&gt;0))</f>
        <v>0</v>
      </c>
      <c r="J77" s="224" t="str">
        <f>IFERROR(VLOOKUP(B77,MATERIALES!$A:$G,7,FALSE()),"")</f>
        <v>Construcción en seco</v>
      </c>
    </row>
    <row r="78" spans="1:10" x14ac:dyDescent="0.35">
      <c r="A78" s="222" t="str">
        <f t="shared" si="0"/>
        <v/>
      </c>
      <c r="B78" s="223" t="s">
        <v>754</v>
      </c>
      <c r="C78" s="224" t="str">
        <f>IFERROR(VLOOKUP(B78,MATERIALES!$A:$B,2,FALSE()),IFERROR(INDEX(COMPOSICIÓN!$E$2:$E$1879,MATCH(B78,COMPOSICIÓN!$D$2:$D$1879,0)),""))</f>
        <v>Tornillo T3 - Aguja</v>
      </c>
      <c r="D78" s="225" t="str">
        <f>IFERROR(VLOOKUP(B78,MATERIALES!$A:$C,3,FALSE()),IFERROR(INDEX(COMPOSICIÓN!$F$2:$F$1879,MATCH(B78,COMPOSICIÓN!$D$2:$D$1879,0)),""))</f>
        <v>u</v>
      </c>
      <c r="E78" s="161">
        <f>SUMIFS(_PLAN_STG!$P$2:$P$1879,_PLAN_STG!$D$2:$D$1879,B78,_PLAN_STG!$B$2:$B$1879,"MAT",_PLAN_STG!$O$2:$O$1879,1)</f>
        <v>0</v>
      </c>
      <c r="F78" s="162">
        <f>IFERROR(VLOOKUP(B78,MATERIALES!$A:$D,4,FALSE()),IFERROR(INDEX(COMPOSICIÓN!$I$2:$I$1879,MATCH(B78,COMPOSICIÓN!$D$2:$D$1879,0)),0))</f>
        <v>41.375227272727301</v>
      </c>
      <c r="G78" s="163">
        <f>SUMIFS(_PLAN_STG!$Q$2:$Q$1879,_PLAN_STG!$D$2:$D$1879,B78,_PLAN_STG!$B$2:$B$1879,"MAT",_PLAN_STG!$O$2:$O$1879,1)</f>
        <v>0</v>
      </c>
      <c r="H78" s="225" t="str">
        <f>IFERROR(INDEX(COMPOSICIÓN!$C$2:$C$1879,MATCH(B78,COMPOSICIÓN!$D$2:$D$1879,0)),"")</f>
        <v>OTR</v>
      </c>
      <c r="I78" s="226">
        <f>SUMPRODUCT((_PLAN_STG!$D$2:$D$1879=B78)*(_PLAN_STG!$B$2:$B$1879="MAT")*(_PLAN_STG!$O$2:$O$1879=1)*(_PLAN_STG!$P$2:$P$1879&gt;0))</f>
        <v>0</v>
      </c>
      <c r="J78" s="224" t="str">
        <f>IFERROR(VLOOKUP(B78,MATERIALES!$A:$G,7,FALSE()),"")</f>
        <v>Construcción en seco</v>
      </c>
    </row>
    <row r="79" spans="1:10" x14ac:dyDescent="0.35">
      <c r="A79" s="222" t="str">
        <f t="shared" si="0"/>
        <v/>
      </c>
      <c r="B79" s="223" t="s">
        <v>756</v>
      </c>
      <c r="C79" s="224" t="str">
        <f>IFERROR(VLOOKUP(B79,MATERIALES!$A:$B,2,FALSE()),IFERROR(INDEX(COMPOSICIÓN!$E$2:$E$1879,MATCH(B79,COMPOSICIÓN!$D$2:$D$1879,0)),""))</f>
        <v>Fijacion completa del 8</v>
      </c>
      <c r="D79" s="225" t="str">
        <f>IFERROR(VLOOKUP(B79,MATERIALES!$A:$C,3,FALSE()),IFERROR(INDEX(COMPOSICIÓN!$F$2:$F$1879,MATCH(B79,COMPOSICIÓN!$D$2:$D$1879,0)),""))</f>
        <v>u</v>
      </c>
      <c r="E79" s="161">
        <f>SUMIFS(_PLAN_STG!$P$2:$P$1879,_PLAN_STG!$D$2:$D$1879,B79,_PLAN_STG!$B$2:$B$1879,"MAT",_PLAN_STG!$O$2:$O$1879,1)</f>
        <v>0</v>
      </c>
      <c r="F79" s="162">
        <f>IFERROR(VLOOKUP(B79,MATERIALES!$A:$D,4,FALSE()),IFERROR(INDEX(COMPOSICIÓN!$I$2:$I$1879,MATCH(B79,COMPOSICIÓN!$D$2:$D$1879,0)),0))</f>
        <v>65.919008264462803</v>
      </c>
      <c r="G79" s="163">
        <f>SUMIFS(_PLAN_STG!$Q$2:$Q$1879,_PLAN_STG!$D$2:$D$1879,B79,_PLAN_STG!$B$2:$B$1879,"MAT",_PLAN_STG!$O$2:$O$1879,1)</f>
        <v>0</v>
      </c>
      <c r="H79" s="225" t="str">
        <f>IFERROR(INDEX(COMPOSICIÓN!$C$2:$C$1879,MATCH(B79,COMPOSICIÓN!$D$2:$D$1879,0)),"")</f>
        <v>OTR</v>
      </c>
      <c r="I79" s="226">
        <f>SUMPRODUCT((_PLAN_STG!$D$2:$D$1879=B79)*(_PLAN_STG!$B$2:$B$1879="MAT")*(_PLAN_STG!$O$2:$O$1879=1)*(_PLAN_STG!$P$2:$P$1879&gt;0))</f>
        <v>0</v>
      </c>
      <c r="J79" s="224" t="str">
        <f>IFERROR(VLOOKUP(B79,MATERIALES!$A:$G,7,FALSE()),"")</f>
        <v>Construcción en seco</v>
      </c>
    </row>
    <row r="80" spans="1:10" x14ac:dyDescent="0.35">
      <c r="A80" s="222" t="str">
        <f t="shared" ref="A80:A143" si="1">IF(G80=0,"",ROW()-16+1)</f>
        <v/>
      </c>
      <c r="B80" s="223" t="s">
        <v>758</v>
      </c>
      <c r="C80" s="224" t="str">
        <f>IFERROR(VLOOKUP(B80,MATERIALES!$A:$B,2,FALSE()),IFERROR(INDEX(COMPOSICIÓN!$E$2:$E$1879,MATCH(B80,COMPOSICIÓN!$D$2:$D$1879,0)),""))</f>
        <v>Cinta Entramada - 90m</v>
      </c>
      <c r="D80" s="225" t="str">
        <f>IFERROR(VLOOKUP(B80,MATERIALES!$A:$C,3,FALSE()),IFERROR(INDEX(COMPOSICIÓN!$F$2:$F$1879,MATCH(B80,COMPOSICIÓN!$D$2:$D$1879,0)),""))</f>
        <v>u</v>
      </c>
      <c r="E80" s="161">
        <f>SUMIFS(_PLAN_STG!$P$2:$P$1879,_PLAN_STG!$D$2:$D$1879,B80,_PLAN_STG!$B$2:$B$1879,"MAT",_PLAN_STG!$O$2:$O$1879,1)</f>
        <v>0</v>
      </c>
      <c r="F80" s="162">
        <f>IFERROR(VLOOKUP(B80,MATERIALES!$A:$D,4,FALSE()),IFERROR(INDEX(COMPOSICIÓN!$I$2:$I$1879,MATCH(B80,COMPOSICIÓN!$D$2:$D$1879,0)),0))</f>
        <v>4042.71</v>
      </c>
      <c r="G80" s="163">
        <f>SUMIFS(_PLAN_STG!$Q$2:$Q$1879,_PLAN_STG!$D$2:$D$1879,B80,_PLAN_STG!$B$2:$B$1879,"MAT",_PLAN_STG!$O$2:$O$1879,1)</f>
        <v>0</v>
      </c>
      <c r="H80" s="225" t="str">
        <f>IFERROR(INDEX(COMPOSICIÓN!$C$2:$C$1879,MATCH(B80,COMPOSICIÓN!$D$2:$D$1879,0)),"")</f>
        <v>OTR</v>
      </c>
      <c r="I80" s="226">
        <f>SUMPRODUCT((_PLAN_STG!$D$2:$D$1879=B80)*(_PLAN_STG!$B$2:$B$1879="MAT")*(_PLAN_STG!$O$2:$O$1879=1)*(_PLAN_STG!$P$2:$P$1879&gt;0))</f>
        <v>0</v>
      </c>
      <c r="J80" s="224" t="str">
        <f>IFERROR(VLOOKUP(B80,MATERIALES!$A:$G,7,FALSE()),"")</f>
        <v>Construcción en seco</v>
      </c>
    </row>
    <row r="81" spans="1:10" x14ac:dyDescent="0.35">
      <c r="A81" s="222" t="str">
        <f t="shared" si="1"/>
        <v/>
      </c>
      <c r="B81" s="223" t="s">
        <v>773</v>
      </c>
      <c r="C81" s="224" t="str">
        <f>IFERROR(VLOOKUP(B81,MATERIALES!$A:$B,2,FALSE()),IFERROR(INDEX(COMPOSICIÓN!$E$2:$E$1879,MATCH(B81,COMPOSICIÓN!$D$2:$D$1879,0)),""))</f>
        <v>Buña Z x 2.60m</v>
      </c>
      <c r="D81" s="225" t="str">
        <f>IFERROR(VLOOKUP(B81,MATERIALES!$A:$C,3,FALSE()),IFERROR(INDEX(COMPOSICIÓN!$F$2:$F$1879,MATCH(B81,COMPOSICIÓN!$D$2:$D$1879,0)),""))</f>
        <v>u</v>
      </c>
      <c r="E81" s="161">
        <f>SUMIFS(_PLAN_STG!$P$2:$P$1879,_PLAN_STG!$D$2:$D$1879,B81,_PLAN_STG!$B$2:$B$1879,"MAT",_PLAN_STG!$O$2:$O$1879,1)</f>
        <v>0</v>
      </c>
      <c r="F81" s="162">
        <f>IFERROR(VLOOKUP(B81,MATERIALES!$A:$D,4,FALSE()),IFERROR(INDEX(COMPOSICIÓN!$I$2:$I$1879,MATCH(B81,COMPOSICIÓN!$D$2:$D$1879,0)),0))</f>
        <v>2351.29</v>
      </c>
      <c r="G81" s="163">
        <f>SUMIFS(_PLAN_STG!$Q$2:$Q$1879,_PLAN_STG!$D$2:$D$1879,B81,_PLAN_STG!$B$2:$B$1879,"MAT",_PLAN_STG!$O$2:$O$1879,1)</f>
        <v>0</v>
      </c>
      <c r="H81" s="225" t="str">
        <f>IFERROR(INDEX(COMPOSICIÓN!$C$2:$C$1879,MATCH(B81,COMPOSICIÓN!$D$2:$D$1879,0)),"")</f>
        <v>OTR</v>
      </c>
      <c r="I81" s="226">
        <f>SUMPRODUCT((_PLAN_STG!$D$2:$D$1879=B81)*(_PLAN_STG!$B$2:$B$1879="MAT")*(_PLAN_STG!$O$2:$O$1879=1)*(_PLAN_STG!$P$2:$P$1879&gt;0))</f>
        <v>0</v>
      </c>
      <c r="J81" s="224" t="str">
        <f>IFERROR(VLOOKUP(B81,MATERIALES!$A:$G,7,FALSE()),"")</f>
        <v>Construcción en seco</v>
      </c>
    </row>
    <row r="82" spans="1:10" x14ac:dyDescent="0.35">
      <c r="A82" s="222" t="str">
        <f t="shared" si="1"/>
        <v/>
      </c>
      <c r="B82" s="223" t="s">
        <v>780</v>
      </c>
      <c r="C82" s="224" t="str">
        <f>IFERROR(VLOOKUP(B82,MATERIALES!$A:$B,2,FALSE()),IFERROR(INDEX(COMPOSICIÓN!$E$2:$E$1879,MATCH(B82,COMPOSICIÓN!$D$2:$D$1879,0)),""))</f>
        <v>Larguero x 3.66</v>
      </c>
      <c r="D82" s="225" t="str">
        <f>IFERROR(VLOOKUP(B82,MATERIALES!$A:$C,3,FALSE()),IFERROR(INDEX(COMPOSICIÓN!$F$2:$F$1879,MATCH(B82,COMPOSICIÓN!$D$2:$D$1879,0)),""))</f>
        <v>u</v>
      </c>
      <c r="E82" s="161">
        <f>SUMIFS(_PLAN_STG!$P$2:$P$1879,_PLAN_STG!$D$2:$D$1879,B82,_PLAN_STG!$B$2:$B$1879,"MAT",_PLAN_STG!$O$2:$O$1879,1)</f>
        <v>0</v>
      </c>
      <c r="F82" s="162">
        <f>IFERROR(VLOOKUP(B82,MATERIALES!$A:$D,4,FALSE()),IFERROR(INDEX(COMPOSICIÓN!$I$2:$I$1879,MATCH(B82,COMPOSICIÓN!$D$2:$D$1879,0)),0))</f>
        <v>3894.6611570247901</v>
      </c>
      <c r="G82" s="163">
        <f>SUMIFS(_PLAN_STG!$Q$2:$Q$1879,_PLAN_STG!$D$2:$D$1879,B82,_PLAN_STG!$B$2:$B$1879,"MAT",_PLAN_STG!$O$2:$O$1879,1)</f>
        <v>0</v>
      </c>
      <c r="H82" s="225" t="str">
        <f>IFERROR(INDEX(COMPOSICIÓN!$C$2:$C$1879,MATCH(B82,COMPOSICIÓN!$D$2:$D$1879,0)),"")</f>
        <v>OTR</v>
      </c>
      <c r="I82" s="226">
        <f>SUMPRODUCT((_PLAN_STG!$D$2:$D$1879=B82)*(_PLAN_STG!$B$2:$B$1879="MAT")*(_PLAN_STG!$O$2:$O$1879=1)*(_PLAN_STG!$P$2:$P$1879&gt;0))</f>
        <v>0</v>
      </c>
      <c r="J82" s="224" t="str">
        <f>IFERROR(VLOOKUP(B82,MATERIALES!$A:$G,7,FALSE()),"")</f>
        <v>Construcción en seco</v>
      </c>
    </row>
    <row r="83" spans="1:10" x14ac:dyDescent="0.35">
      <c r="A83" s="222" t="str">
        <f t="shared" si="1"/>
        <v/>
      </c>
      <c r="B83" s="223" t="s">
        <v>782</v>
      </c>
      <c r="C83" s="224" t="str">
        <f>IFERROR(VLOOKUP(B83,MATERIALES!$A:$B,2,FALSE()),IFERROR(INDEX(COMPOSICIÓN!$E$2:$E$1879,MATCH(B83,COMPOSICIÓN!$D$2:$D$1879,0)),""))</f>
        <v>Travesaño x 1.22</v>
      </c>
      <c r="D83" s="225" t="str">
        <f>IFERROR(VLOOKUP(B83,MATERIALES!$A:$C,3,FALSE()),IFERROR(INDEX(COMPOSICIÓN!$F$2:$F$1879,MATCH(B83,COMPOSICIÓN!$D$2:$D$1879,0)),""))</f>
        <v>u</v>
      </c>
      <c r="E83" s="161">
        <f>SUMIFS(_PLAN_STG!$P$2:$P$1879,_PLAN_STG!$D$2:$D$1879,B83,_PLAN_STG!$B$2:$B$1879,"MAT",_PLAN_STG!$O$2:$O$1879,1)</f>
        <v>0</v>
      </c>
      <c r="F83" s="162">
        <f>IFERROR(VLOOKUP(B83,MATERIALES!$A:$D,4,FALSE()),IFERROR(INDEX(COMPOSICIÓN!$I$2:$I$1879,MATCH(B83,COMPOSICIÓN!$D$2:$D$1879,0)),0))</f>
        <v>1262.17355371901</v>
      </c>
      <c r="G83" s="163">
        <f>SUMIFS(_PLAN_STG!$Q$2:$Q$1879,_PLAN_STG!$D$2:$D$1879,B83,_PLAN_STG!$B$2:$B$1879,"MAT",_PLAN_STG!$O$2:$O$1879,1)</f>
        <v>0</v>
      </c>
      <c r="H83" s="225" t="str">
        <f>IFERROR(INDEX(COMPOSICIÓN!$C$2:$C$1879,MATCH(B83,COMPOSICIÓN!$D$2:$D$1879,0)),"")</f>
        <v>OTR</v>
      </c>
      <c r="I83" s="226">
        <f>SUMPRODUCT((_PLAN_STG!$D$2:$D$1879=B83)*(_PLAN_STG!$B$2:$B$1879="MAT")*(_PLAN_STG!$O$2:$O$1879=1)*(_PLAN_STG!$P$2:$P$1879&gt;0))</f>
        <v>0</v>
      </c>
      <c r="J83" s="224" t="str">
        <f>IFERROR(VLOOKUP(B83,MATERIALES!$A:$G,7,FALSE()),"")</f>
        <v>Construcción en seco</v>
      </c>
    </row>
    <row r="84" spans="1:10" x14ac:dyDescent="0.35">
      <c r="A84" s="222" t="str">
        <f t="shared" si="1"/>
        <v/>
      </c>
      <c r="B84" s="223" t="s">
        <v>784</v>
      </c>
      <c r="C84" s="224" t="str">
        <f>IFERROR(VLOOKUP(B84,MATERIALES!$A:$B,2,FALSE()),IFERROR(INDEX(COMPOSICIÓN!$E$2:$E$1879,MATCH(B84,COMPOSICIÓN!$D$2:$D$1879,0)),""))</f>
        <v>Travesaño x 0.60</v>
      </c>
      <c r="D84" s="225" t="str">
        <f>IFERROR(VLOOKUP(B84,MATERIALES!$A:$C,3,FALSE()),IFERROR(INDEX(COMPOSICIÓN!$F$2:$F$1879,MATCH(B84,COMPOSICIÓN!$D$2:$D$1879,0)),""))</f>
        <v>u</v>
      </c>
      <c r="E84" s="161">
        <f>SUMIFS(_PLAN_STG!$P$2:$P$1879,_PLAN_STG!$D$2:$D$1879,B84,_PLAN_STG!$B$2:$B$1879,"MAT",_PLAN_STG!$O$2:$O$1879,1)</f>
        <v>0</v>
      </c>
      <c r="F84" s="162">
        <f>IFERROR(VLOOKUP(B84,MATERIALES!$A:$D,4,FALSE()),IFERROR(INDEX(COMPOSICIÓN!$I$2:$I$1879,MATCH(B84,COMPOSICIÓN!$D$2:$D$1879,0)),0))</f>
        <v>647.24793388429805</v>
      </c>
      <c r="G84" s="163">
        <f>SUMIFS(_PLAN_STG!$Q$2:$Q$1879,_PLAN_STG!$D$2:$D$1879,B84,_PLAN_STG!$B$2:$B$1879,"MAT",_PLAN_STG!$O$2:$O$1879,1)</f>
        <v>0</v>
      </c>
      <c r="H84" s="225" t="str">
        <f>IFERROR(INDEX(COMPOSICIÓN!$C$2:$C$1879,MATCH(B84,COMPOSICIÓN!$D$2:$D$1879,0)),"")</f>
        <v>OTR</v>
      </c>
      <c r="I84" s="226">
        <f>SUMPRODUCT((_PLAN_STG!$D$2:$D$1879=B84)*(_PLAN_STG!$B$2:$B$1879="MAT")*(_PLAN_STG!$O$2:$O$1879=1)*(_PLAN_STG!$P$2:$P$1879&gt;0))</f>
        <v>0</v>
      </c>
      <c r="J84" s="224" t="str">
        <f>IFERROR(VLOOKUP(B84,MATERIALES!$A:$G,7,FALSE()),"")</f>
        <v>Construcción en seco</v>
      </c>
    </row>
    <row r="85" spans="1:10" x14ac:dyDescent="0.35">
      <c r="A85" s="222" t="str">
        <f t="shared" si="1"/>
        <v/>
      </c>
      <c r="B85" s="223" t="s">
        <v>791</v>
      </c>
      <c r="C85" s="224" t="str">
        <f>IFERROR(VLOOKUP(B85,MATERIALES!$A:$B,2,FALSE()),IFERROR(INDEX(COMPOSICIÓN!$E$2:$E$1879,MATCH(B85,COMPOSICIÓN!$D$2:$D$1879,0)),""))</f>
        <v>Placa Decovinyl Liso 120x60</v>
      </c>
      <c r="D85" s="225" t="str">
        <f>IFERROR(VLOOKUP(B85,MATERIALES!$A:$C,3,FALSE()),IFERROR(INDEX(COMPOSICIÓN!$F$2:$F$1879,MATCH(B85,COMPOSICIÓN!$D$2:$D$1879,0)),""))</f>
        <v>u</v>
      </c>
      <c r="E85" s="161">
        <f>SUMIFS(_PLAN_STG!$P$2:$P$1879,_PLAN_STG!$D$2:$D$1879,B85,_PLAN_STG!$B$2:$B$1879,"MAT",_PLAN_STG!$O$2:$O$1879,1)</f>
        <v>0</v>
      </c>
      <c r="F85" s="162">
        <f>IFERROR(VLOOKUP(B85,MATERIALES!$A:$D,4,FALSE()),IFERROR(INDEX(COMPOSICIÓN!$I$2:$I$1879,MATCH(B85,COMPOSICIÓN!$D$2:$D$1879,0)),0))</f>
        <v>4751.7078772422501</v>
      </c>
      <c r="G85" s="163">
        <f>SUMIFS(_PLAN_STG!$Q$2:$Q$1879,_PLAN_STG!$D$2:$D$1879,B85,_PLAN_STG!$B$2:$B$1879,"MAT",_PLAN_STG!$O$2:$O$1879,1)</f>
        <v>0</v>
      </c>
      <c r="H85" s="225" t="str">
        <f>IFERROR(INDEX(COMPOSICIÓN!$C$2:$C$1879,MATCH(B85,COMPOSICIÓN!$D$2:$D$1879,0)),"")</f>
        <v>OTR</v>
      </c>
      <c r="I85" s="226">
        <f>SUMPRODUCT((_PLAN_STG!$D$2:$D$1879=B85)*(_PLAN_STG!$B$2:$B$1879="MAT")*(_PLAN_STG!$O$2:$O$1879=1)*(_PLAN_STG!$P$2:$P$1879&gt;0))</f>
        <v>0</v>
      </c>
      <c r="J85" s="224" t="str">
        <f>IFERROR(VLOOKUP(B85,MATERIALES!$A:$G,7,FALSE()),"")</f>
        <v>Construcción en seco</v>
      </c>
    </row>
    <row r="86" spans="1:10" x14ac:dyDescent="0.35">
      <c r="A86" s="222" t="str">
        <f t="shared" si="1"/>
        <v/>
      </c>
      <c r="B86" s="223" t="s">
        <v>842</v>
      </c>
      <c r="C86" s="224" t="str">
        <f>IFERROR(VLOOKUP(B86,MATERIALES!$A:$B,2,FALSE()),IFERROR(INDEX(COMPOSICIÓN!$E$2:$E$1879,MATCH(B86,COMPOSICIÓN!$D$2:$D$1879,0)),""))</f>
        <v>Fijador al agua x 20 lts</v>
      </c>
      <c r="D86" s="225" t="str">
        <f>IFERROR(VLOOKUP(B86,MATERIALES!$A:$C,3,FALSE()),IFERROR(INDEX(COMPOSICIÓN!$F$2:$F$1879,MATCH(B86,COMPOSICIÓN!$D$2:$D$1879,0)),""))</f>
        <v>b</v>
      </c>
      <c r="E86" s="161">
        <f>SUMIFS(_PLAN_STG!$P$2:$P$1879,_PLAN_STG!$D$2:$D$1879,B86,_PLAN_STG!$B$2:$B$1879,"MAT",_PLAN_STG!$O$2:$O$1879,1)</f>
        <v>0</v>
      </c>
      <c r="F86" s="162">
        <f>IFERROR(VLOOKUP(B86,MATERIALES!$A:$D,4,FALSE()),IFERROR(INDEX(COMPOSICIÓN!$I$2:$I$1879,MATCH(B86,COMPOSICIÓN!$D$2:$D$1879,0)),0))</f>
        <v>30467.49</v>
      </c>
      <c r="G86" s="163">
        <f>SUMIFS(_PLAN_STG!$Q$2:$Q$1879,_PLAN_STG!$D$2:$D$1879,B86,_PLAN_STG!$B$2:$B$1879,"MAT",_PLAN_STG!$O$2:$O$1879,1)</f>
        <v>0</v>
      </c>
      <c r="H86" s="225" t="str">
        <f>IFERROR(INDEX(COMPOSICIÓN!$C$2:$C$1879,MATCH(B86,COMPOSICIÓN!$D$2:$D$1879,0)),"")</f>
        <v>OTR</v>
      </c>
      <c r="I86" s="226">
        <f>SUMPRODUCT((_PLAN_STG!$D$2:$D$1879=B86)*(_PLAN_STG!$B$2:$B$1879="MAT")*(_PLAN_STG!$O$2:$O$1879=1)*(_PLAN_STG!$P$2:$P$1879&gt;0))</f>
        <v>0</v>
      </c>
      <c r="J86" s="224" t="str">
        <f>IFERROR(VLOOKUP(B86,MATERIALES!$A:$G,7,FALSE()),"")</f>
        <v>Pinturas</v>
      </c>
    </row>
    <row r="87" spans="1:10" x14ac:dyDescent="0.35">
      <c r="A87" s="222" t="str">
        <f t="shared" si="1"/>
        <v/>
      </c>
      <c r="B87" s="223" t="s">
        <v>845</v>
      </c>
      <c r="C87" s="224" t="str">
        <f>IFERROR(VLOOKUP(B87,MATERIALES!$A:$B,2,FALSE()),IFERROR(INDEX(COMPOSICIÓN!$E$2:$E$1879,MATCH(B87,COMPOSICIÓN!$D$2:$D$1879,0)),""))</f>
        <v>Aguarras Hydrarras Hydra x 18lts</v>
      </c>
      <c r="D87" s="225" t="str">
        <f>IFERROR(VLOOKUP(B87,MATERIALES!$A:$C,3,FALSE()),IFERROR(INDEX(COMPOSICIÓN!$F$2:$F$1879,MATCH(B87,COMPOSICIÓN!$D$2:$D$1879,0)),""))</f>
        <v>b</v>
      </c>
      <c r="E87" s="161">
        <f>SUMIFS(_PLAN_STG!$P$2:$P$1879,_PLAN_STG!$D$2:$D$1879,B87,_PLAN_STG!$B$2:$B$1879,"MAT",_PLAN_STG!$O$2:$O$1879,1)</f>
        <v>0</v>
      </c>
      <c r="F87" s="162">
        <f>IFERROR(VLOOKUP(B87,MATERIALES!$A:$D,4,FALSE()),IFERROR(INDEX(COMPOSICIÓN!$I$2:$I$1879,MATCH(B87,COMPOSICIÓN!$D$2:$D$1879,0)),0))</f>
        <v>26907.33</v>
      </c>
      <c r="G87" s="163">
        <f>SUMIFS(_PLAN_STG!$Q$2:$Q$1879,_PLAN_STG!$D$2:$D$1879,B87,_PLAN_STG!$B$2:$B$1879,"MAT",_PLAN_STG!$O$2:$O$1879,1)</f>
        <v>0</v>
      </c>
      <c r="H87" s="225" t="str">
        <f>IFERROR(INDEX(COMPOSICIÓN!$C$2:$C$1879,MATCH(B87,COMPOSICIÓN!$D$2:$D$1879,0)),"")</f>
        <v>OTR</v>
      </c>
      <c r="I87" s="226">
        <f>SUMPRODUCT((_PLAN_STG!$D$2:$D$1879=B87)*(_PLAN_STG!$B$2:$B$1879="MAT")*(_PLAN_STG!$O$2:$O$1879=1)*(_PLAN_STG!$P$2:$P$1879&gt;0))</f>
        <v>0</v>
      </c>
      <c r="J87" s="224" t="str">
        <f>IFERROR(VLOOKUP(B87,MATERIALES!$A:$G,7,FALSE()),"")</f>
        <v>Pinturas</v>
      </c>
    </row>
    <row r="88" spans="1:10" x14ac:dyDescent="0.35">
      <c r="A88" s="222" t="str">
        <f t="shared" si="1"/>
        <v/>
      </c>
      <c r="B88" s="223" t="s">
        <v>848</v>
      </c>
      <c r="C88" s="224" t="str">
        <f>IFERROR(VLOOKUP(B88,MATERIALES!$A:$B,2,FALSE()),IFERROR(INDEX(COMPOSICIÓN!$E$2:$E$1879,MATCH(B88,COMPOSICIÓN!$D$2:$D$1879,0)),""))</f>
        <v>Lija 180 al agua x 10u</v>
      </c>
      <c r="D88" s="225" t="str">
        <f>IFERROR(VLOOKUP(B88,MATERIALES!$A:$C,3,FALSE()),IFERROR(INDEX(COMPOSICIÓN!$F$2:$F$1879,MATCH(B88,COMPOSICIÓN!$D$2:$D$1879,0)),""))</f>
        <v>u</v>
      </c>
      <c r="E88" s="161">
        <f>SUMIFS(_PLAN_STG!$P$2:$P$1879,_PLAN_STG!$D$2:$D$1879,B88,_PLAN_STG!$B$2:$B$1879,"MAT",_PLAN_STG!$O$2:$O$1879,1)</f>
        <v>0</v>
      </c>
      <c r="F88" s="162">
        <f>IFERROR(VLOOKUP(B88,MATERIALES!$A:$D,4,FALSE()),IFERROR(INDEX(COMPOSICIÓN!$I$2:$I$1879,MATCH(B88,COMPOSICIÓN!$D$2:$D$1879,0)),0))</f>
        <v>5661.4</v>
      </c>
      <c r="G88" s="163">
        <f>SUMIFS(_PLAN_STG!$Q$2:$Q$1879,_PLAN_STG!$D$2:$D$1879,B88,_PLAN_STG!$B$2:$B$1879,"MAT",_PLAN_STG!$O$2:$O$1879,1)</f>
        <v>0</v>
      </c>
      <c r="H88" s="225" t="str">
        <f>IFERROR(INDEX(COMPOSICIÓN!$C$2:$C$1879,MATCH(B88,COMPOSICIÓN!$D$2:$D$1879,0)),"")</f>
        <v>OTR</v>
      </c>
      <c r="I88" s="226">
        <f>SUMPRODUCT((_PLAN_STG!$D$2:$D$1879=B88)*(_PLAN_STG!$B$2:$B$1879="MAT")*(_PLAN_STG!$O$2:$O$1879=1)*(_PLAN_STG!$P$2:$P$1879&gt;0))</f>
        <v>0</v>
      </c>
      <c r="J88" s="224" t="str">
        <f>IFERROR(VLOOKUP(B88,MATERIALES!$A:$G,7,FALSE()),"")</f>
        <v>Pinturas</v>
      </c>
    </row>
    <row r="89" spans="1:10" x14ac:dyDescent="0.35">
      <c r="A89" s="222" t="str">
        <f t="shared" si="1"/>
        <v/>
      </c>
      <c r="B89" s="223" t="s">
        <v>851</v>
      </c>
      <c r="C89" s="224" t="str">
        <f>IFERROR(VLOOKUP(B89,MATERIALES!$A:$B,2,FALSE()),IFERROR(INDEX(COMPOSICIÓN!$E$2:$E$1879,MATCH(B89,COMPOSICIÓN!$D$2:$D$1879,0)),""))</f>
        <v>Cinta de Papel 36 mm x 40m</v>
      </c>
      <c r="D89" s="225" t="str">
        <f>IFERROR(VLOOKUP(B89,MATERIALES!$A:$C,3,FALSE()),IFERROR(INDEX(COMPOSICIÓN!$F$2:$F$1879,MATCH(B89,COMPOSICIÓN!$D$2:$D$1879,0)),""))</f>
        <v>u</v>
      </c>
      <c r="E89" s="161">
        <f>SUMIFS(_PLAN_STG!$P$2:$P$1879,_PLAN_STG!$D$2:$D$1879,B89,_PLAN_STG!$B$2:$B$1879,"MAT",_PLAN_STG!$O$2:$O$1879,1)</f>
        <v>0</v>
      </c>
      <c r="F89" s="162">
        <f>IFERROR(VLOOKUP(B89,MATERIALES!$A:$D,4,FALSE()),IFERROR(INDEX(COMPOSICIÓN!$I$2:$I$1879,MATCH(B89,COMPOSICIÓN!$D$2:$D$1879,0)),0))</f>
        <v>3293.01</v>
      </c>
      <c r="G89" s="163">
        <f>SUMIFS(_PLAN_STG!$Q$2:$Q$1879,_PLAN_STG!$D$2:$D$1879,B89,_PLAN_STG!$B$2:$B$1879,"MAT",_PLAN_STG!$O$2:$O$1879,1)</f>
        <v>0</v>
      </c>
      <c r="H89" s="225" t="str">
        <f>IFERROR(INDEX(COMPOSICIÓN!$C$2:$C$1879,MATCH(B89,COMPOSICIÓN!$D$2:$D$1879,0)),"")</f>
        <v>OTR</v>
      </c>
      <c r="I89" s="226">
        <f>SUMPRODUCT((_PLAN_STG!$D$2:$D$1879=B89)*(_PLAN_STG!$B$2:$B$1879="MAT")*(_PLAN_STG!$O$2:$O$1879=1)*(_PLAN_STG!$P$2:$P$1879&gt;0))</f>
        <v>0</v>
      </c>
      <c r="J89" s="224" t="str">
        <f>IFERROR(VLOOKUP(B89,MATERIALES!$A:$G,7,FALSE()),"")</f>
        <v>Pinturas</v>
      </c>
    </row>
    <row r="90" spans="1:10" x14ac:dyDescent="0.35">
      <c r="A90" s="222" t="str">
        <f t="shared" si="1"/>
        <v/>
      </c>
      <c r="B90" s="223" t="s">
        <v>855</v>
      </c>
      <c r="C90" s="224" t="str">
        <f>IFERROR(VLOOKUP(B90,MATERIALES!$A:$B,2,FALSE()),IFERROR(INDEX(COMPOSICIÓN!$E$2:$E$1879,MATCH(B90,COMPOSICIÓN!$D$2:$D$1879,0)),""))</f>
        <v>Trapo</v>
      </c>
      <c r="D90" s="225" t="str">
        <f>IFERROR(VLOOKUP(B90,MATERIALES!$A:$C,3,FALSE()),IFERROR(INDEX(COMPOSICIÓN!$F$2:$F$1879,MATCH(B90,COMPOSICIÓN!$D$2:$D$1879,0)),""))</f>
        <v>u</v>
      </c>
      <c r="E90" s="161">
        <f>SUMIFS(_PLAN_STG!$P$2:$P$1879,_PLAN_STG!$D$2:$D$1879,B90,_PLAN_STG!$B$2:$B$1879,"MAT",_PLAN_STG!$O$2:$O$1879,1)</f>
        <v>0</v>
      </c>
      <c r="F90" s="162">
        <f>IFERROR(VLOOKUP(B90,MATERIALES!$A:$D,4,FALSE()),IFERROR(INDEX(COMPOSICIÓN!$I$2:$I$1879,MATCH(B90,COMPOSICIÓN!$D$2:$D$1879,0)),0))</f>
        <v>735.06</v>
      </c>
      <c r="G90" s="163">
        <f>SUMIFS(_PLAN_STG!$Q$2:$Q$1879,_PLAN_STG!$D$2:$D$1879,B90,_PLAN_STG!$B$2:$B$1879,"MAT",_PLAN_STG!$O$2:$O$1879,1)</f>
        <v>0</v>
      </c>
      <c r="H90" s="225" t="str">
        <f>IFERROR(INDEX(COMPOSICIÓN!$C$2:$C$1879,MATCH(B90,COMPOSICIÓN!$D$2:$D$1879,0)),"")</f>
        <v>OTR</v>
      </c>
      <c r="I90" s="226">
        <f>SUMPRODUCT((_PLAN_STG!$D$2:$D$1879=B90)*(_PLAN_STG!$B$2:$B$1879="MAT")*(_PLAN_STG!$O$2:$O$1879=1)*(_PLAN_STG!$P$2:$P$1879&gt;0))</f>
        <v>0</v>
      </c>
      <c r="J90" s="224" t="str">
        <f>IFERROR(VLOOKUP(B90,MATERIALES!$A:$G,7,FALSE()),"")</f>
        <v>Pinturas</v>
      </c>
    </row>
    <row r="91" spans="1:10" x14ac:dyDescent="0.35">
      <c r="A91" s="222" t="str">
        <f t="shared" si="1"/>
        <v/>
      </c>
      <c r="B91" s="223" t="s">
        <v>861</v>
      </c>
      <c r="C91" s="224" t="str">
        <f>IFERROR(VLOOKUP(B91,MATERIALES!$A:$B,2,FALSE()),IFERROR(INDEX(COMPOSICIÓN!$E$2:$E$1879,MATCH(B91,COMPOSICIÓN!$D$2:$D$1879,0)),""))</f>
        <v>Rodillo de lana pelo corto antigota N°22 - El Galgo</v>
      </c>
      <c r="D91" s="225" t="str">
        <f>IFERROR(VLOOKUP(B91,MATERIALES!$A:$C,3,FALSE()),IFERROR(INDEX(COMPOSICIÓN!$F$2:$F$1879,MATCH(B91,COMPOSICIÓN!$D$2:$D$1879,0)),""))</f>
        <v>u</v>
      </c>
      <c r="E91" s="161">
        <f>SUMIFS(_PLAN_STG!$P$2:$P$1879,_PLAN_STG!$D$2:$D$1879,B91,_PLAN_STG!$B$2:$B$1879,"MAT",_PLAN_STG!$O$2:$O$1879,1)</f>
        <v>0</v>
      </c>
      <c r="F91" s="162">
        <f>IFERROR(VLOOKUP(B91,MATERIALES!$A:$D,4,FALSE()),IFERROR(INDEX(COMPOSICIÓN!$I$2:$I$1879,MATCH(B91,COMPOSICIÓN!$D$2:$D$1879,0)),0))</f>
        <v>6678.36</v>
      </c>
      <c r="G91" s="163">
        <f>SUMIFS(_PLAN_STG!$Q$2:$Q$1879,_PLAN_STG!$D$2:$D$1879,B91,_PLAN_STG!$B$2:$B$1879,"MAT",_PLAN_STG!$O$2:$O$1879,1)</f>
        <v>0</v>
      </c>
      <c r="H91" s="225" t="str">
        <f>IFERROR(INDEX(COMPOSICIÓN!$C$2:$C$1879,MATCH(B91,COMPOSICIÓN!$D$2:$D$1879,0)),"")</f>
        <v>OTR</v>
      </c>
      <c r="I91" s="226">
        <f>SUMPRODUCT((_PLAN_STG!$D$2:$D$1879=B91)*(_PLAN_STG!$B$2:$B$1879="MAT")*(_PLAN_STG!$O$2:$O$1879=1)*(_PLAN_STG!$P$2:$P$1879&gt;0))</f>
        <v>0</v>
      </c>
      <c r="J91" s="224" t="str">
        <f>IFERROR(VLOOKUP(B91,MATERIALES!$A:$G,7,FALSE()),"")</f>
        <v>Pinturas</v>
      </c>
    </row>
    <row r="92" spans="1:10" x14ac:dyDescent="0.35">
      <c r="A92" s="222" t="str">
        <f t="shared" si="1"/>
        <v/>
      </c>
      <c r="B92" s="223" t="s">
        <v>863</v>
      </c>
      <c r="C92" s="224" t="str">
        <f>IFERROR(VLOOKUP(B92,MATERIALES!$A:$B,2,FALSE()),IFERROR(INDEX(COMPOSICIÓN!$E$2:$E$1879,MATCH(B92,COMPOSICIÓN!$D$2:$D$1879,0)),""))</f>
        <v>Rodillo de lana pelo largo N°22 - El Galgo</v>
      </c>
      <c r="D92" s="225" t="str">
        <f>IFERROR(VLOOKUP(B92,MATERIALES!$A:$C,3,FALSE()),IFERROR(INDEX(COMPOSICIÓN!$F$2:$F$1879,MATCH(B92,COMPOSICIÓN!$D$2:$D$1879,0)),""))</f>
        <v>u</v>
      </c>
      <c r="E92" s="161">
        <f>SUMIFS(_PLAN_STG!$P$2:$P$1879,_PLAN_STG!$D$2:$D$1879,B92,_PLAN_STG!$B$2:$B$1879,"MAT",_PLAN_STG!$O$2:$O$1879,1)</f>
        <v>0</v>
      </c>
      <c r="F92" s="162">
        <f>IFERROR(VLOOKUP(B92,MATERIALES!$A:$D,4,FALSE()),IFERROR(INDEX(COMPOSICIÓN!$I$2:$I$1879,MATCH(B92,COMPOSICIÓN!$D$2:$D$1879,0)),0))</f>
        <v>6678.36</v>
      </c>
      <c r="G92" s="163">
        <f>SUMIFS(_PLAN_STG!$Q$2:$Q$1879,_PLAN_STG!$D$2:$D$1879,B92,_PLAN_STG!$B$2:$B$1879,"MAT",_PLAN_STG!$O$2:$O$1879,1)</f>
        <v>0</v>
      </c>
      <c r="H92" s="225" t="str">
        <f>IFERROR(INDEX(COMPOSICIÓN!$C$2:$C$1879,MATCH(B92,COMPOSICIÓN!$D$2:$D$1879,0)),"")</f>
        <v>OTR</v>
      </c>
      <c r="I92" s="226">
        <f>SUMPRODUCT((_PLAN_STG!$D$2:$D$1879=B92)*(_PLAN_STG!$B$2:$B$1879="MAT")*(_PLAN_STG!$O$2:$O$1879=1)*(_PLAN_STG!$P$2:$P$1879&gt;0))</f>
        <v>0</v>
      </c>
      <c r="J92" s="224" t="str">
        <f>IFERROR(VLOOKUP(B92,MATERIALES!$A:$G,7,FALSE()),"")</f>
        <v>Pinturas</v>
      </c>
    </row>
    <row r="93" spans="1:10" x14ac:dyDescent="0.35">
      <c r="A93" s="222" t="str">
        <f t="shared" si="1"/>
        <v/>
      </c>
      <c r="B93" s="223" t="s">
        <v>865</v>
      </c>
      <c r="C93" s="224" t="str">
        <f>IFERROR(VLOOKUP(B93,MATERIALES!$A:$B,2,FALSE()),IFERROR(INDEX(COMPOSICIÓN!$E$2:$E$1879,MATCH(B93,COMPOSICIÓN!$D$2:$D$1879,0)),""))</f>
        <v>Pincel N° 20 - El Galgo</v>
      </c>
      <c r="D93" s="225" t="str">
        <f>IFERROR(VLOOKUP(B93,MATERIALES!$A:$C,3,FALSE()),IFERROR(INDEX(COMPOSICIÓN!$F$2:$F$1879,MATCH(B93,COMPOSICIÓN!$D$2:$D$1879,0)),""))</f>
        <v>u</v>
      </c>
      <c r="E93" s="161">
        <f>SUMIFS(_PLAN_STG!$P$2:$P$1879,_PLAN_STG!$D$2:$D$1879,B93,_PLAN_STG!$B$2:$B$1879,"MAT",_PLAN_STG!$O$2:$O$1879,1)</f>
        <v>0</v>
      </c>
      <c r="F93" s="162">
        <f>IFERROR(VLOOKUP(B93,MATERIALES!$A:$D,4,FALSE()),IFERROR(INDEX(COMPOSICIÓN!$I$2:$I$1879,MATCH(B93,COMPOSICIÓN!$D$2:$D$1879,0)),0))</f>
        <v>5282.24</v>
      </c>
      <c r="G93" s="163">
        <f>SUMIFS(_PLAN_STG!$Q$2:$Q$1879,_PLAN_STG!$D$2:$D$1879,B93,_PLAN_STG!$B$2:$B$1879,"MAT",_PLAN_STG!$O$2:$O$1879,1)</f>
        <v>0</v>
      </c>
      <c r="H93" s="225" t="str">
        <f>IFERROR(INDEX(COMPOSICIÓN!$C$2:$C$1879,MATCH(B93,COMPOSICIÓN!$D$2:$D$1879,0)),"")</f>
        <v>OTR</v>
      </c>
      <c r="I93" s="226">
        <f>SUMPRODUCT((_PLAN_STG!$D$2:$D$1879=B93)*(_PLAN_STG!$B$2:$B$1879="MAT")*(_PLAN_STG!$O$2:$O$1879=1)*(_PLAN_STG!$P$2:$P$1879&gt;0))</f>
        <v>0</v>
      </c>
      <c r="J93" s="224" t="str">
        <f>IFERROR(VLOOKUP(B93,MATERIALES!$A:$G,7,FALSE()),"")</f>
        <v>Pinturas</v>
      </c>
    </row>
    <row r="94" spans="1:10" x14ac:dyDescent="0.35">
      <c r="A94" s="222" t="str">
        <f t="shared" si="1"/>
        <v/>
      </c>
      <c r="B94" s="223" t="s">
        <v>868</v>
      </c>
      <c r="C94" s="224" t="str">
        <f>IFERROR(VLOOKUP(B94,MATERIALES!$A:$B,2,FALSE()),IFERROR(INDEX(COMPOSICIÓN!$E$2:$E$1879,MATCH(B94,COMPOSICIÓN!$D$2:$D$1879,0)),""))</f>
        <v>Rollo de cartón corrugado 0,90 x 25 mts</v>
      </c>
      <c r="D94" s="225" t="str">
        <f>IFERROR(VLOOKUP(B94,MATERIALES!$A:$C,3,FALSE()),IFERROR(INDEX(COMPOSICIÓN!$F$2:$F$1879,MATCH(B94,COMPOSICIÓN!$D$2:$D$1879,0)),""))</f>
        <v>u</v>
      </c>
      <c r="E94" s="161">
        <f>SUMIFS(_PLAN_STG!$P$2:$P$1879,_PLAN_STG!$D$2:$D$1879,B94,_PLAN_STG!$B$2:$B$1879,"MAT",_PLAN_STG!$O$2:$O$1879,1)</f>
        <v>0</v>
      </c>
      <c r="F94" s="162">
        <f>IFERROR(VLOOKUP(B94,MATERIALES!$A:$D,4,FALSE()),IFERROR(INDEX(COMPOSICIÓN!$I$2:$I$1879,MATCH(B94,COMPOSICIÓN!$D$2:$D$1879,0)),0))</f>
        <v>7427.6</v>
      </c>
      <c r="G94" s="163">
        <f>SUMIFS(_PLAN_STG!$Q$2:$Q$1879,_PLAN_STG!$D$2:$D$1879,B94,_PLAN_STG!$B$2:$B$1879,"MAT",_PLAN_STG!$O$2:$O$1879,1)</f>
        <v>0</v>
      </c>
      <c r="H94" s="225" t="str">
        <f>IFERROR(INDEX(COMPOSICIÓN!$C$2:$C$1879,MATCH(B94,COMPOSICIÓN!$D$2:$D$1879,0)),"")</f>
        <v>OTR</v>
      </c>
      <c r="I94" s="226">
        <f>SUMPRODUCT((_PLAN_STG!$D$2:$D$1879=B94)*(_PLAN_STG!$B$2:$B$1879="MAT")*(_PLAN_STG!$O$2:$O$1879=1)*(_PLAN_STG!$P$2:$P$1879&gt;0))</f>
        <v>0</v>
      </c>
      <c r="J94" s="224" t="str">
        <f>IFERROR(VLOOKUP(B94,MATERIALES!$A:$G,7,FALSE()),"")</f>
        <v>Construcción en seco</v>
      </c>
    </row>
    <row r="95" spans="1:10" x14ac:dyDescent="0.35">
      <c r="A95" s="222" t="str">
        <f t="shared" si="1"/>
        <v/>
      </c>
      <c r="B95" s="223" t="s">
        <v>870</v>
      </c>
      <c r="C95" s="224" t="str">
        <f>IFERROR(VLOOKUP(B95,MATERIALES!$A:$B,2,FALSE()),IFERROR(INDEX(COMPOSICIÓN!$E$2:$E$1879,MATCH(B95,COMPOSICIÓN!$D$2:$D$1879,0)),""))</f>
        <v>Llana Plástica 12 x 25 cm</v>
      </c>
      <c r="D95" s="225" t="str">
        <f>IFERROR(VLOOKUP(B95,MATERIALES!$A:$C,3,FALSE()),IFERROR(INDEX(COMPOSICIÓN!$F$2:$F$1879,MATCH(B95,COMPOSICIÓN!$D$2:$D$1879,0)),""))</f>
        <v>u</v>
      </c>
      <c r="E95" s="161">
        <f>SUMIFS(_PLAN_STG!$P$2:$P$1879,_PLAN_STG!$D$2:$D$1879,B95,_PLAN_STG!$B$2:$B$1879,"MAT",_PLAN_STG!$O$2:$O$1879,1)</f>
        <v>0</v>
      </c>
      <c r="F95" s="162">
        <f>IFERROR(VLOOKUP(B95,MATERIALES!$A:$D,4,FALSE()),IFERROR(INDEX(COMPOSICIÓN!$I$2:$I$1879,MATCH(B95,COMPOSICIÓN!$D$2:$D$1879,0)),0))</f>
        <v>12575.2066115703</v>
      </c>
      <c r="G95" s="163">
        <f>SUMIFS(_PLAN_STG!$Q$2:$Q$1879,_PLAN_STG!$D$2:$D$1879,B95,_PLAN_STG!$B$2:$B$1879,"MAT",_PLAN_STG!$O$2:$O$1879,1)</f>
        <v>0</v>
      </c>
      <c r="H95" s="225" t="str">
        <f>IFERROR(INDEX(COMPOSICIÓN!$C$2:$C$1879,MATCH(B95,COMPOSICIÓN!$D$2:$D$1879,0)),"")</f>
        <v>OTR</v>
      </c>
      <c r="I95" s="226">
        <f>SUMPRODUCT((_PLAN_STG!$D$2:$D$1879=B95)*(_PLAN_STG!$B$2:$B$1879="MAT")*(_PLAN_STG!$O$2:$O$1879=1)*(_PLAN_STG!$P$2:$P$1879&gt;0))</f>
        <v>0</v>
      </c>
      <c r="J95" s="224" t="str">
        <f>IFERROR(VLOOKUP(B95,MATERIALES!$A:$G,7,FALSE()),"")</f>
        <v>Construcción en seco</v>
      </c>
    </row>
    <row r="96" spans="1:10" x14ac:dyDescent="0.35">
      <c r="A96" s="222" t="str">
        <f t="shared" si="1"/>
        <v/>
      </c>
      <c r="B96" s="223" t="s">
        <v>876</v>
      </c>
      <c r="C96" s="224" t="str">
        <f>IFERROR(VLOOKUP(B96,MATERIALES!$A:$B,2,FALSE()),IFERROR(INDEX(COMPOSICIÓN!$E$2:$E$1879,MATCH(B96,COMPOSICIÓN!$D$2:$D$1879,0)),""))</f>
        <v>FENOLICO 18MM. COMUN 1.22 x 2.40</v>
      </c>
      <c r="D96" s="225" t="str">
        <f>IFERROR(VLOOKUP(B96,MATERIALES!$A:$C,3,FALSE()),IFERROR(INDEX(COMPOSICIÓN!$F$2:$F$1879,MATCH(B96,COMPOSICIÓN!$D$2:$D$1879,0)),""))</f>
        <v>UD</v>
      </c>
      <c r="E96" s="161">
        <f>SUMIFS(_PLAN_STG!$P$2:$P$1879,_PLAN_STG!$D$2:$D$1879,B96,_PLAN_STG!$B$2:$B$1879,"MAT",_PLAN_STG!$O$2:$O$1879,1)</f>
        <v>0</v>
      </c>
      <c r="F96" s="162">
        <f>IFERROR(VLOOKUP(B96,MATERIALES!$A:$D,4,FALSE()),IFERROR(INDEX(COMPOSICIÓN!$I$2:$I$1879,MATCH(B96,COMPOSICIÓN!$D$2:$D$1879,0)),0))</f>
        <v>26322.68</v>
      </c>
      <c r="G96" s="163">
        <f>SUMIFS(_PLAN_STG!$Q$2:$Q$1879,_PLAN_STG!$D$2:$D$1879,B96,_PLAN_STG!$B$2:$B$1879,"MAT",_PLAN_STG!$O$2:$O$1879,1)</f>
        <v>0</v>
      </c>
      <c r="H96" s="225" t="str">
        <f>IFERROR(INDEX(COMPOSICIÓN!$C$2:$C$1879,MATCH(B96,COMPOSICIÓN!$D$2:$D$1879,0)),"")</f>
        <v>OTR</v>
      </c>
      <c r="I96" s="226">
        <f>SUMPRODUCT((_PLAN_STG!$D$2:$D$1879=B96)*(_PLAN_STG!$B$2:$B$1879="MAT")*(_PLAN_STG!$O$2:$O$1879=1)*(_PLAN_STG!$P$2:$P$1879&gt;0))</f>
        <v>0</v>
      </c>
      <c r="J96" s="224" t="str">
        <f>IFERROR(VLOOKUP(B96,MATERIALES!$A:$G,7,FALSE()),"")</f>
        <v>Corralón</v>
      </c>
    </row>
    <row r="97" spans="1:10" x14ac:dyDescent="0.35">
      <c r="A97" s="222" t="str">
        <f t="shared" si="1"/>
        <v/>
      </c>
      <c r="B97" s="223" t="s">
        <v>882</v>
      </c>
      <c r="C97" s="224" t="str">
        <f>IFERROR(VLOOKUP(B97,MATERIALES!$A:$B,2,FALSE()),IFERROR(INDEX(COMPOSICIÓN!$E$2:$E$1879,MATCH(B97,COMPOSICIÓN!$D$2:$D$1879,0)),""))</f>
        <v>FENOLICO 18MM. LAMINADO MELAMINICO</v>
      </c>
      <c r="D97" s="225" t="str">
        <f>IFERROR(VLOOKUP(B97,MATERIALES!$A:$C,3,FALSE()),IFERROR(INDEX(COMPOSICIÓN!$F$2:$F$1879,MATCH(B97,COMPOSICIÓN!$D$2:$D$1879,0)),""))</f>
        <v>M2</v>
      </c>
      <c r="E97" s="161">
        <f>SUMIFS(_PLAN_STG!$P$2:$P$1879,_PLAN_STG!$D$2:$D$1879,B97,_PLAN_STG!$B$2:$B$1879,"MAT",_PLAN_STG!$O$2:$O$1879,1)</f>
        <v>0</v>
      </c>
      <c r="F97" s="162">
        <f>IFERROR(VLOOKUP(B97,MATERIALES!$A:$D,4,FALSE()),IFERROR(INDEX(COMPOSICIÓN!$I$2:$I$1879,MATCH(B97,COMPOSICIÓN!$D$2:$D$1879,0)),0))</f>
        <v>51752.74</v>
      </c>
      <c r="G97" s="163">
        <f>SUMIFS(_PLAN_STG!$Q$2:$Q$1879,_PLAN_STG!$D$2:$D$1879,B97,_PLAN_STG!$B$2:$B$1879,"MAT",_PLAN_STG!$O$2:$O$1879,1)</f>
        <v>0</v>
      </c>
      <c r="H97" s="225" t="str">
        <f>IFERROR(INDEX(COMPOSICIÓN!$C$2:$C$1879,MATCH(B97,COMPOSICIÓN!$D$2:$D$1879,0)),"")</f>
        <v>OTR</v>
      </c>
      <c r="I97" s="226">
        <f>SUMPRODUCT((_PLAN_STG!$D$2:$D$1879=B97)*(_PLAN_STG!$B$2:$B$1879="MAT")*(_PLAN_STG!$O$2:$O$1879=1)*(_PLAN_STG!$P$2:$P$1879&gt;0))</f>
        <v>0</v>
      </c>
      <c r="J97" s="224" t="str">
        <f>IFERROR(VLOOKUP(B97,MATERIALES!$A:$G,7,FALSE()),"")</f>
        <v>Corralón</v>
      </c>
    </row>
    <row r="98" spans="1:10" x14ac:dyDescent="0.35">
      <c r="A98" s="222" t="str">
        <f t="shared" si="1"/>
        <v/>
      </c>
      <c r="B98" s="223" t="s">
        <v>887</v>
      </c>
      <c r="C98" s="224" t="str">
        <f>IFERROR(VLOOKUP(B98,MATERIALES!$A:$B,2,FALSE()),IFERROR(INDEX(COMPOSICIÓN!$E$2:$E$1879,MATCH(B98,COMPOSICIÓN!$D$2:$D$1879,0)),""))</f>
        <v>tirante 3x3 para puntal 3.66</v>
      </c>
      <c r="D98" s="225" t="str">
        <f>IFERROR(VLOOKUP(B98,MATERIALES!$A:$C,3,FALSE()),IFERROR(INDEX(COMPOSICIÓN!$F$2:$F$1879,MATCH(B98,COMPOSICIÓN!$D$2:$D$1879,0)),""))</f>
        <v>ml</v>
      </c>
      <c r="E98" s="161">
        <f>SUMIFS(_PLAN_STG!$P$2:$P$1879,_PLAN_STG!$D$2:$D$1879,B98,_PLAN_STG!$B$2:$B$1879,"MAT",_PLAN_STG!$O$2:$O$1879,1)</f>
        <v>0</v>
      </c>
      <c r="F98" s="162">
        <f>IFERROR(VLOOKUP(B98,MATERIALES!$A:$D,4,FALSE()),IFERROR(INDEX(COMPOSICIÓN!$I$2:$I$1879,MATCH(B98,COMPOSICIÓN!$D$2:$D$1879,0)),0))</f>
        <v>1213.73</v>
      </c>
      <c r="G98" s="163">
        <f>SUMIFS(_PLAN_STG!$Q$2:$Q$1879,_PLAN_STG!$D$2:$D$1879,B98,_PLAN_STG!$B$2:$B$1879,"MAT",_PLAN_STG!$O$2:$O$1879,1)</f>
        <v>0</v>
      </c>
      <c r="H98" s="225" t="str">
        <f>IFERROR(INDEX(COMPOSICIÓN!$C$2:$C$1879,MATCH(B98,COMPOSICIÓN!$D$2:$D$1879,0)),"")</f>
        <v>OTR</v>
      </c>
      <c r="I98" s="226">
        <f>SUMPRODUCT((_PLAN_STG!$D$2:$D$1879=B98)*(_PLAN_STG!$B$2:$B$1879="MAT")*(_PLAN_STG!$O$2:$O$1879=1)*(_PLAN_STG!$P$2:$P$1879&gt;0))</f>
        <v>0</v>
      </c>
      <c r="J98" s="224" t="str">
        <f>IFERROR(VLOOKUP(B98,MATERIALES!$A:$G,7,FALSE()),"")</f>
        <v>Corralón</v>
      </c>
    </row>
    <row r="99" spans="1:10" x14ac:dyDescent="0.35">
      <c r="A99" s="222" t="str">
        <f t="shared" si="1"/>
        <v/>
      </c>
      <c r="B99" s="223" t="s">
        <v>890</v>
      </c>
      <c r="C99" s="224" t="str">
        <f>IFERROR(VLOOKUP(B99,MATERIALES!$A:$B,2,FALSE()),IFERROR(INDEX(COMPOSICIÓN!$E$2:$E$1879,MATCH(B99,COMPOSICIÓN!$D$2:$D$1879,0)),""))</f>
        <v>tirante 3x6 3.66</v>
      </c>
      <c r="D99" s="225" t="str">
        <f>IFERROR(VLOOKUP(B99,MATERIALES!$A:$C,3,FALSE()),IFERROR(INDEX(COMPOSICIÓN!$F$2:$F$1879,MATCH(B99,COMPOSICIÓN!$D$2:$D$1879,0)),""))</f>
        <v>un</v>
      </c>
      <c r="E99" s="161">
        <f>SUMIFS(_PLAN_STG!$P$2:$P$1879,_PLAN_STG!$D$2:$D$1879,B99,_PLAN_STG!$B$2:$B$1879,"MAT",_PLAN_STG!$O$2:$O$1879,1)</f>
        <v>0</v>
      </c>
      <c r="F99" s="162">
        <f>IFERROR(VLOOKUP(B99,MATERIALES!$A:$D,4,FALSE()),IFERROR(INDEX(COMPOSICIÓN!$I$2:$I$1879,MATCH(B99,COMPOSICIÓN!$D$2:$D$1879,0)),0))</f>
        <v>4442.2518</v>
      </c>
      <c r="G99" s="163">
        <f>SUMIFS(_PLAN_STG!$Q$2:$Q$1879,_PLAN_STG!$D$2:$D$1879,B99,_PLAN_STG!$B$2:$B$1879,"MAT",_PLAN_STG!$O$2:$O$1879,1)</f>
        <v>0</v>
      </c>
      <c r="H99" s="225" t="str">
        <f>IFERROR(INDEX(COMPOSICIÓN!$C$2:$C$1879,MATCH(B99,COMPOSICIÓN!$D$2:$D$1879,0)),"")</f>
        <v>OTR</v>
      </c>
      <c r="I99" s="226">
        <f>SUMPRODUCT((_PLAN_STG!$D$2:$D$1879=B99)*(_PLAN_STG!$B$2:$B$1879="MAT")*(_PLAN_STG!$O$2:$O$1879=1)*(_PLAN_STG!$P$2:$P$1879&gt;0))</f>
        <v>0</v>
      </c>
      <c r="J99" s="224" t="str">
        <f>IFERROR(VLOOKUP(B99,MATERIALES!$A:$G,7,FALSE()),"")</f>
        <v>Corralón</v>
      </c>
    </row>
    <row r="100" spans="1:10" x14ac:dyDescent="0.35">
      <c r="A100" s="222" t="str">
        <f t="shared" si="1"/>
        <v/>
      </c>
      <c r="B100" s="223" t="s">
        <v>897</v>
      </c>
      <c r="C100" s="224" t="str">
        <f>IFERROR(VLOOKUP(B100,MATERIALES!$A:$B,2,FALSE()),IFERROR(INDEX(COMPOSICIÓN!$E$2:$E$1879,MATCH(B100,COMPOSICIÓN!$D$2:$D$1879,0)),""))</f>
        <v>Hormigon Elaborado H30</v>
      </c>
      <c r="D100" s="225" t="str">
        <f>IFERROR(VLOOKUP(B100,MATERIALES!$A:$C,3,FALSE()),IFERROR(INDEX(COMPOSICIÓN!$F$2:$F$1879,MATCH(B100,COMPOSICIÓN!$D$2:$D$1879,0)),""))</f>
        <v>m3</v>
      </c>
      <c r="E100" s="161">
        <f>SUMIFS(_PLAN_STG!$P$2:$P$1879,_PLAN_STG!$D$2:$D$1879,B100,_PLAN_STG!$B$2:$B$1879,"MAT",_PLAN_STG!$O$2:$O$1879,1)</f>
        <v>0</v>
      </c>
      <c r="F100" s="162">
        <f>IFERROR(VLOOKUP(B100,MATERIALES!$A:$D,4,FALSE()),IFERROR(INDEX(COMPOSICIÓN!$I$2:$I$1879,MATCH(B100,COMPOSICIÓN!$D$2:$D$1879,0)),0))</f>
        <v>137000</v>
      </c>
      <c r="G100" s="163">
        <f>SUMIFS(_PLAN_STG!$Q$2:$Q$1879,_PLAN_STG!$D$2:$D$1879,B100,_PLAN_STG!$B$2:$B$1879,"MAT",_PLAN_STG!$O$2:$O$1879,1)</f>
        <v>0</v>
      </c>
      <c r="H100" s="225" t="str">
        <f>IFERROR(INDEX(COMPOSICIÓN!$C$2:$C$1879,MATCH(B100,COMPOSICIÓN!$D$2:$D$1879,0)),"")</f>
        <v>OTR</v>
      </c>
      <c r="I100" s="226">
        <f>SUMPRODUCT((_PLAN_STG!$D$2:$D$1879=B100)*(_PLAN_STG!$B$2:$B$1879="MAT")*(_PLAN_STG!$O$2:$O$1879=1)*(_PLAN_STG!$P$2:$P$1879&gt;0))</f>
        <v>0</v>
      </c>
      <c r="J100" s="224" t="str">
        <f>IFERROR(VLOOKUP(B100,MATERIALES!$A:$G,7,FALSE()),"")</f>
        <v>Hormigón elaborado</v>
      </c>
    </row>
    <row r="101" spans="1:10" x14ac:dyDescent="0.35">
      <c r="A101" s="222" t="str">
        <f t="shared" si="1"/>
        <v/>
      </c>
      <c r="B101" s="223" t="s">
        <v>906</v>
      </c>
      <c r="C101" s="224" t="str">
        <f>IFERROR(VLOOKUP(B101,MATERIALES!$A:$B,2,FALSE()),IFERROR(INDEX(COMPOSICIÓN!$E$2:$E$1879,MATCH(B101,COMPOSICIÓN!$D$2:$D$1879,0)),""))</f>
        <v>Bombeo</v>
      </c>
      <c r="D101" s="225" t="str">
        <f>IFERROR(VLOOKUP(B101,MATERIALES!$A:$C,3,FALSE()),IFERROR(INDEX(COMPOSICIÓN!$F$2:$F$1879,MATCH(B101,COMPOSICIÓN!$D$2:$D$1879,0)),""))</f>
        <v>m3</v>
      </c>
      <c r="E101" s="161">
        <f>SUMIFS(_PLAN_STG!$P$2:$P$1879,_PLAN_STG!$D$2:$D$1879,B101,_PLAN_STG!$B$2:$B$1879,"MAT",_PLAN_STG!$O$2:$O$1879,1)</f>
        <v>0</v>
      </c>
      <c r="F101" s="162">
        <f>IFERROR(VLOOKUP(B101,MATERIALES!$A:$D,4,FALSE()),IFERROR(INDEX(COMPOSICIÓN!$I$2:$I$1879,MATCH(B101,COMPOSICIÓN!$D$2:$D$1879,0)),0))</f>
        <v>5330</v>
      </c>
      <c r="G101" s="163">
        <f>SUMIFS(_PLAN_STG!$Q$2:$Q$1879,_PLAN_STG!$D$2:$D$1879,B101,_PLAN_STG!$B$2:$B$1879,"MAT",_PLAN_STG!$O$2:$O$1879,1)</f>
        <v>0</v>
      </c>
      <c r="H101" s="225" t="str">
        <f>IFERROR(INDEX(COMPOSICIÓN!$C$2:$C$1879,MATCH(B101,COMPOSICIÓN!$D$2:$D$1879,0)),"")</f>
        <v>OTR</v>
      </c>
      <c r="I101" s="226">
        <f>SUMPRODUCT((_PLAN_STG!$D$2:$D$1879=B101)*(_PLAN_STG!$B$2:$B$1879="MAT")*(_PLAN_STG!$O$2:$O$1879=1)*(_PLAN_STG!$P$2:$P$1879&gt;0))</f>
        <v>0</v>
      </c>
      <c r="J101" s="224" t="str">
        <f>IFERROR(VLOOKUP(B101,MATERIALES!$A:$G,7,FALSE()),"")</f>
        <v>Servicios</v>
      </c>
    </row>
    <row r="102" spans="1:10" x14ac:dyDescent="0.35">
      <c r="A102" s="222" t="str">
        <f t="shared" si="1"/>
        <v/>
      </c>
      <c r="B102" s="223" t="s">
        <v>953</v>
      </c>
      <c r="C102" s="224" t="str">
        <f>IFERROR(VLOOKUP(B102,MATERIALES!$A:$B,2,FALSE()),IFERROR(INDEX(COMPOSICIÓN!$E$2:$E$1879,MATCH(B102,COMPOSICIÓN!$D$2:$D$1879,0)),""))</f>
        <v>SMARTTRAY TRX3M BJA PERF 200-22</v>
      </c>
      <c r="D102" s="225" t="str">
        <f>IFERROR(VLOOKUP(B102,MATERIALES!$A:$C,3,FALSE()),IFERROR(INDEX(COMPOSICIÓN!$F$2:$F$1879,MATCH(B102,COMPOSICIÓN!$D$2:$D$1879,0)),""))</f>
        <v>u</v>
      </c>
      <c r="E102" s="161">
        <f>SUMIFS(_PLAN_STG!$P$2:$P$1879,_PLAN_STG!$D$2:$D$1879,B102,_PLAN_STG!$B$2:$B$1879,"MAT",_PLAN_STG!$O$2:$O$1879,1)</f>
        <v>0</v>
      </c>
      <c r="F102" s="162">
        <f>IFERROR(VLOOKUP(B102,MATERIALES!$A:$D,4,FALSE()),IFERROR(INDEX(COMPOSICIÓN!$I$2:$I$1879,MATCH(B102,COMPOSICIÓN!$D$2:$D$1879,0)),0))</f>
        <v>23404.92</v>
      </c>
      <c r="G102" s="163">
        <f>SUMIFS(_PLAN_STG!$Q$2:$Q$1879,_PLAN_STG!$D$2:$D$1879,B102,_PLAN_STG!$B$2:$B$1879,"MAT",_PLAN_STG!$O$2:$O$1879,1)</f>
        <v>0</v>
      </c>
      <c r="H102" s="225" t="str">
        <f>IFERROR(INDEX(COMPOSICIÓN!$C$2:$C$1879,MATCH(B102,COMPOSICIÓN!$D$2:$D$1879,0)),"")</f>
        <v>OTR</v>
      </c>
      <c r="I102" s="226">
        <f>SUMPRODUCT((_PLAN_STG!$D$2:$D$1879=B102)*(_PLAN_STG!$B$2:$B$1879="MAT")*(_PLAN_STG!$O$2:$O$1879=1)*(_PLAN_STG!$P$2:$P$1879&gt;0))</f>
        <v>0</v>
      </c>
      <c r="J102" s="224" t="str">
        <f>IFERROR(VLOOKUP(B102,MATERIALES!$A:$G,7,FALSE()),"")</f>
        <v>Eléctricos</v>
      </c>
    </row>
    <row r="103" spans="1:10" x14ac:dyDescent="0.35">
      <c r="A103" s="222" t="str">
        <f t="shared" si="1"/>
        <v/>
      </c>
      <c r="B103" s="223" t="s">
        <v>956</v>
      </c>
      <c r="C103" s="224" t="str">
        <f>IFERROR(VLOOKUP(B103,MATERIALES!$A:$B,2,FALSE()),IFERROR(INDEX(COMPOSICIÓN!$E$2:$E$1879,MATCH(B103,COMPOSICIÓN!$D$2:$D$1879,0)),""))</f>
        <v>SMARTTRAY TAPA CIEGA P/BJA 200-22</v>
      </c>
      <c r="D103" s="225" t="str">
        <f>IFERROR(VLOOKUP(B103,MATERIALES!$A:$C,3,FALSE()),IFERROR(INDEX(COMPOSICIÓN!$F$2:$F$1879,MATCH(B103,COMPOSICIÓN!$D$2:$D$1879,0)),""))</f>
        <v>u</v>
      </c>
      <c r="E103" s="161">
        <f>SUMIFS(_PLAN_STG!$P$2:$P$1879,_PLAN_STG!$D$2:$D$1879,B103,_PLAN_STG!$B$2:$B$1879,"MAT",_PLAN_STG!$O$2:$O$1879,1)</f>
        <v>0</v>
      </c>
      <c r="F103" s="162">
        <f>IFERROR(VLOOKUP(B103,MATERIALES!$A:$D,4,FALSE()),IFERROR(INDEX(COMPOSICIÓN!$I$2:$I$1879,MATCH(B103,COMPOSICIÓN!$D$2:$D$1879,0)),0))</f>
        <v>15710.58</v>
      </c>
      <c r="G103" s="163">
        <f>SUMIFS(_PLAN_STG!$Q$2:$Q$1879,_PLAN_STG!$D$2:$D$1879,B103,_PLAN_STG!$B$2:$B$1879,"MAT",_PLAN_STG!$O$2:$O$1879,1)</f>
        <v>0</v>
      </c>
      <c r="H103" s="225" t="str">
        <f>IFERROR(INDEX(COMPOSICIÓN!$C$2:$C$1879,MATCH(B103,COMPOSICIÓN!$D$2:$D$1879,0)),"")</f>
        <v>OTR</v>
      </c>
      <c r="I103" s="226">
        <f>SUMPRODUCT((_PLAN_STG!$D$2:$D$1879=B103)*(_PLAN_STG!$B$2:$B$1879="MAT")*(_PLAN_STG!$O$2:$O$1879=1)*(_PLAN_STG!$P$2:$P$1879&gt;0))</f>
        <v>0</v>
      </c>
      <c r="J103" s="224" t="str">
        <f>IFERROR(VLOOKUP(B103,MATERIALES!$A:$G,7,FALSE()),"")</f>
        <v>Eléctricos</v>
      </c>
    </row>
    <row r="104" spans="1:10" x14ac:dyDescent="0.35">
      <c r="A104" s="222" t="str">
        <f t="shared" si="1"/>
        <v/>
      </c>
      <c r="B104" s="223" t="s">
        <v>963</v>
      </c>
      <c r="C104" s="224" t="str">
        <f>IFERROR(VLOOKUP(B104,MATERIALES!$A:$B,2,FALSE()),IFERROR(INDEX(COMPOSICIÓN!$E$2:$E$1879,MATCH(B104,COMPOSICIÓN!$D$2:$D$1879,0)),""))</f>
        <v>ACOMETIDA PARA TABLERO</v>
      </c>
      <c r="D104" s="225" t="str">
        <f>IFERROR(VLOOKUP(B104,MATERIALES!$A:$C,3,FALSE()),IFERROR(INDEX(COMPOSICIÓN!$F$2:$F$1879,MATCH(B104,COMPOSICIÓN!$D$2:$D$1879,0)),""))</f>
        <v>u</v>
      </c>
      <c r="E104" s="161">
        <f>SUMIFS(_PLAN_STG!$P$2:$P$1879,_PLAN_STG!$D$2:$D$1879,B104,_PLAN_STG!$B$2:$B$1879,"MAT",_PLAN_STG!$O$2:$O$1879,1)</f>
        <v>0</v>
      </c>
      <c r="F104" s="162">
        <f>IFERROR(VLOOKUP(B104,MATERIALES!$A:$D,4,FALSE()),IFERROR(INDEX(COMPOSICIÓN!$I$2:$I$1879,MATCH(B104,COMPOSICIÓN!$D$2:$D$1879,0)),0))</f>
        <v>6314.13</v>
      </c>
      <c r="G104" s="163">
        <f>SUMIFS(_PLAN_STG!$Q$2:$Q$1879,_PLAN_STG!$D$2:$D$1879,B104,_PLAN_STG!$B$2:$B$1879,"MAT",_PLAN_STG!$O$2:$O$1879,1)</f>
        <v>0</v>
      </c>
      <c r="H104" s="225" t="str">
        <f>IFERROR(INDEX(COMPOSICIÓN!$C$2:$C$1879,MATCH(B104,COMPOSICIÓN!$D$2:$D$1879,0)),"")</f>
        <v>OTR</v>
      </c>
      <c r="I104" s="226">
        <f>SUMPRODUCT((_PLAN_STG!$D$2:$D$1879=B104)*(_PLAN_STG!$B$2:$B$1879="MAT")*(_PLAN_STG!$O$2:$O$1879=1)*(_PLAN_STG!$P$2:$P$1879&gt;0))</f>
        <v>0</v>
      </c>
      <c r="J104" s="224" t="str">
        <f>IFERROR(VLOOKUP(B104,MATERIALES!$A:$G,7,FALSE()),"")</f>
        <v>Eléctricos</v>
      </c>
    </row>
    <row r="105" spans="1:10" x14ac:dyDescent="0.35">
      <c r="A105" s="222" t="str">
        <f t="shared" si="1"/>
        <v/>
      </c>
      <c r="B105" s="223" t="s">
        <v>965</v>
      </c>
      <c r="C105" s="224" t="str">
        <f>IFERROR(VLOOKUP(B105,MATERIALES!$A:$B,2,FALSE()),IFERROR(INDEX(COMPOSICIÓN!$E$2:$E$1879,MATCH(B105,COMPOSICIÓN!$D$2:$D$1879,0)),""))</f>
        <v>EMBUDO</v>
      </c>
      <c r="D105" s="225" t="str">
        <f>IFERROR(VLOOKUP(B105,MATERIALES!$A:$C,3,FALSE()),IFERROR(INDEX(COMPOSICIÓN!$F$2:$F$1879,MATCH(B105,COMPOSICIÓN!$D$2:$D$1879,0)),""))</f>
        <v>u</v>
      </c>
      <c r="E105" s="161">
        <f>SUMIFS(_PLAN_STG!$P$2:$P$1879,_PLAN_STG!$D$2:$D$1879,B105,_PLAN_STG!$B$2:$B$1879,"MAT",_PLAN_STG!$O$2:$O$1879,1)</f>
        <v>0</v>
      </c>
      <c r="F105" s="162">
        <f>IFERROR(VLOOKUP(B105,MATERIALES!$A:$D,4,FALSE()),IFERROR(INDEX(COMPOSICIÓN!$I$2:$I$1879,MATCH(B105,COMPOSICIÓN!$D$2:$D$1879,0)),0))</f>
        <v>6314.13</v>
      </c>
      <c r="G105" s="163">
        <f>SUMIFS(_PLAN_STG!$Q$2:$Q$1879,_PLAN_STG!$D$2:$D$1879,B105,_PLAN_STG!$B$2:$B$1879,"MAT",_PLAN_STG!$O$2:$O$1879,1)</f>
        <v>0</v>
      </c>
      <c r="H105" s="225" t="str">
        <f>IFERROR(INDEX(COMPOSICIÓN!$C$2:$C$1879,MATCH(B105,COMPOSICIÓN!$D$2:$D$1879,0)),"")</f>
        <v>OTR</v>
      </c>
      <c r="I105" s="226">
        <f>SUMPRODUCT((_PLAN_STG!$D$2:$D$1879=B105)*(_PLAN_STG!$B$2:$B$1879="MAT")*(_PLAN_STG!$O$2:$O$1879=1)*(_PLAN_STG!$P$2:$P$1879&gt;0))</f>
        <v>0</v>
      </c>
      <c r="J105" s="224" t="str">
        <f>IFERROR(VLOOKUP(B105,MATERIALES!$A:$G,7,FALSE()),"")</f>
        <v>Eléctricos</v>
      </c>
    </row>
    <row r="106" spans="1:10" x14ac:dyDescent="0.35">
      <c r="A106" s="222" t="str">
        <f t="shared" si="1"/>
        <v/>
      </c>
      <c r="B106" s="223" t="s">
        <v>967</v>
      </c>
      <c r="C106" s="224" t="str">
        <f>IFERROR(VLOOKUP(B106,MATERIALES!$A:$B,2,FALSE()),IFERROR(INDEX(COMPOSICIÓN!$E$2:$E$1879,MATCH(B106,COMPOSICIÓN!$D$2:$D$1879,0)),""))</f>
        <v>GRAMPA FIJACIÓN 200-22</v>
      </c>
      <c r="D106" s="225" t="str">
        <f>IFERROR(VLOOKUP(B106,MATERIALES!$A:$C,3,FALSE()),IFERROR(INDEX(COMPOSICIÓN!$F$2:$F$1879,MATCH(B106,COMPOSICIÓN!$D$2:$D$1879,0)),""))</f>
        <v>u</v>
      </c>
      <c r="E106" s="161">
        <f>SUMIFS(_PLAN_STG!$P$2:$P$1879,_PLAN_STG!$D$2:$D$1879,B106,_PLAN_STG!$B$2:$B$1879,"MAT",_PLAN_STG!$O$2:$O$1879,1)</f>
        <v>0</v>
      </c>
      <c r="F106" s="162">
        <f>IFERROR(VLOOKUP(B106,MATERIALES!$A:$D,4,FALSE()),IFERROR(INDEX(COMPOSICIÓN!$I$2:$I$1879,MATCH(B106,COMPOSICIÓN!$D$2:$D$1879,0)),0))</f>
        <v>1844.8</v>
      </c>
      <c r="G106" s="163">
        <f>SUMIFS(_PLAN_STG!$Q$2:$Q$1879,_PLAN_STG!$D$2:$D$1879,B106,_PLAN_STG!$B$2:$B$1879,"MAT",_PLAN_STG!$O$2:$O$1879,1)</f>
        <v>0</v>
      </c>
      <c r="H106" s="225" t="str">
        <f>IFERROR(INDEX(COMPOSICIÓN!$C$2:$C$1879,MATCH(B106,COMPOSICIÓN!$D$2:$D$1879,0)),"")</f>
        <v>OTR</v>
      </c>
      <c r="I106" s="226">
        <f>SUMPRODUCT((_PLAN_STG!$D$2:$D$1879=B106)*(_PLAN_STG!$B$2:$B$1879="MAT")*(_PLAN_STG!$O$2:$O$1879=1)*(_PLAN_STG!$P$2:$P$1879&gt;0))</f>
        <v>0</v>
      </c>
      <c r="J106" s="224" t="str">
        <f>IFERROR(VLOOKUP(B106,MATERIALES!$A:$G,7,FALSE()),"")</f>
        <v>Eléctricos</v>
      </c>
    </row>
    <row r="107" spans="1:10" x14ac:dyDescent="0.35">
      <c r="A107" s="222" t="str">
        <f t="shared" si="1"/>
        <v/>
      </c>
      <c r="B107" s="223" t="s">
        <v>972</v>
      </c>
      <c r="C107" s="224" t="str">
        <f>IFERROR(VLOOKUP(B107,MATERIALES!$A:$B,2,FALSE()),IFERROR(INDEX(COMPOSICIÓN!$E$2:$E$1879,MATCH(B107,COMPOSICIÓN!$D$2:$D$1879,0)),""))</f>
        <v>VARILLA ROSCADA 1/4</v>
      </c>
      <c r="D107" s="225" t="str">
        <f>IFERROR(VLOOKUP(B107,MATERIALES!$A:$C,3,FALSE()),IFERROR(INDEX(COMPOSICIÓN!$F$2:$F$1879,MATCH(B107,COMPOSICIÓN!$D$2:$D$1879,0)),""))</f>
        <v>u</v>
      </c>
      <c r="E107" s="161">
        <f>SUMIFS(_PLAN_STG!$P$2:$P$1879,_PLAN_STG!$D$2:$D$1879,B107,_PLAN_STG!$B$2:$B$1879,"MAT",_PLAN_STG!$O$2:$O$1879,1)</f>
        <v>0</v>
      </c>
      <c r="F107" s="162">
        <f>IFERROR(VLOOKUP(B107,MATERIALES!$A:$D,4,FALSE()),IFERROR(INDEX(COMPOSICIÓN!$I$2:$I$1879,MATCH(B107,COMPOSICIÓN!$D$2:$D$1879,0)),0))</f>
        <v>1747.6</v>
      </c>
      <c r="G107" s="163">
        <f>SUMIFS(_PLAN_STG!$Q$2:$Q$1879,_PLAN_STG!$D$2:$D$1879,B107,_PLAN_STG!$B$2:$B$1879,"MAT",_PLAN_STG!$O$2:$O$1879,1)</f>
        <v>0</v>
      </c>
      <c r="H107" s="225" t="str">
        <f>IFERROR(INDEX(COMPOSICIÓN!$C$2:$C$1879,MATCH(B107,COMPOSICIÓN!$D$2:$D$1879,0)),"")</f>
        <v>OTR</v>
      </c>
      <c r="I107" s="226">
        <f>SUMPRODUCT((_PLAN_STG!$D$2:$D$1879=B107)*(_PLAN_STG!$B$2:$B$1879="MAT")*(_PLAN_STG!$O$2:$O$1879=1)*(_PLAN_STG!$P$2:$P$1879&gt;0))</f>
        <v>0</v>
      </c>
      <c r="J107" s="224" t="str">
        <f>IFERROR(VLOOKUP(B107,MATERIALES!$A:$G,7,FALSE()),"")</f>
        <v>Ferretería</v>
      </c>
    </row>
    <row r="108" spans="1:10" x14ac:dyDescent="0.35">
      <c r="A108" s="222" t="str">
        <f t="shared" si="1"/>
        <v/>
      </c>
      <c r="B108" s="223" t="s">
        <v>974</v>
      </c>
      <c r="C108" s="224" t="str">
        <f>IFERROR(VLOOKUP(B108,MATERIALES!$A:$B,2,FALSE()),IFERROR(INDEX(COMPOSICIÓN!$E$2:$E$1879,MATCH(B108,COMPOSICIÓN!$D$2:$D$1879,0)),""))</f>
        <v>TUERCA Y ARANDELA 1/4</v>
      </c>
      <c r="D108" s="225" t="str">
        <f>IFERROR(VLOOKUP(B108,MATERIALES!$A:$C,3,FALSE()),IFERROR(INDEX(COMPOSICIÓN!$F$2:$F$1879,MATCH(B108,COMPOSICIÓN!$D$2:$D$1879,0)),""))</f>
        <v>u</v>
      </c>
      <c r="E108" s="161">
        <f>SUMIFS(_PLAN_STG!$P$2:$P$1879,_PLAN_STG!$D$2:$D$1879,B108,_PLAN_STG!$B$2:$B$1879,"MAT",_PLAN_STG!$O$2:$O$1879,1)</f>
        <v>0</v>
      </c>
      <c r="F108" s="162">
        <f>IFERROR(VLOOKUP(B108,MATERIALES!$A:$D,4,FALSE()),IFERROR(INDEX(COMPOSICIÓN!$I$2:$I$1879,MATCH(B108,COMPOSICIÓN!$D$2:$D$1879,0)),0))</f>
        <v>90.02</v>
      </c>
      <c r="G108" s="163">
        <f>SUMIFS(_PLAN_STG!$Q$2:$Q$1879,_PLAN_STG!$D$2:$D$1879,B108,_PLAN_STG!$B$2:$B$1879,"MAT",_PLAN_STG!$O$2:$O$1879,1)</f>
        <v>0</v>
      </c>
      <c r="H108" s="225" t="str">
        <f>IFERROR(INDEX(COMPOSICIÓN!$C$2:$C$1879,MATCH(B108,COMPOSICIÓN!$D$2:$D$1879,0)),"")</f>
        <v>OTR</v>
      </c>
      <c r="I108" s="226">
        <f>SUMPRODUCT((_PLAN_STG!$D$2:$D$1879=B108)*(_PLAN_STG!$B$2:$B$1879="MAT")*(_PLAN_STG!$O$2:$O$1879=1)*(_PLAN_STG!$P$2:$P$1879&gt;0))</f>
        <v>0</v>
      </c>
      <c r="J108" s="224" t="str">
        <f>IFERROR(VLOOKUP(B108,MATERIALES!$A:$G,7,FALSE()),"")</f>
        <v>Ferretería</v>
      </c>
    </row>
    <row r="109" spans="1:10" x14ac:dyDescent="0.35">
      <c r="A109" s="222" t="str">
        <f t="shared" si="1"/>
        <v/>
      </c>
      <c r="B109" s="223" t="s">
        <v>976</v>
      </c>
      <c r="C109" s="224" t="str">
        <f>IFERROR(VLOOKUP(B109,MATERIALES!$A:$B,2,FALSE()),IFERROR(INDEX(COMPOSICIÓN!$E$2:$E$1879,MATCH(B109,COMPOSICIÓN!$D$2:$D$1879,0)),""))</f>
        <v>Disco Diamantado Aliafor Turbo Fino TRF</v>
      </c>
      <c r="D109" s="225" t="str">
        <f>IFERROR(VLOOKUP(B109,MATERIALES!$A:$C,3,FALSE()),IFERROR(INDEX(COMPOSICIÓN!$F$2:$F$1879,MATCH(B109,COMPOSICIÓN!$D$2:$D$1879,0)),""))</f>
        <v>u</v>
      </c>
      <c r="E109" s="161">
        <f>SUMIFS(_PLAN_STG!$P$2:$P$1879,_PLAN_STG!$D$2:$D$1879,B109,_PLAN_STG!$B$2:$B$1879,"MAT",_PLAN_STG!$O$2:$O$1879,1)</f>
        <v>0</v>
      </c>
      <c r="F109" s="162">
        <f>IFERROR(VLOOKUP(B109,MATERIALES!$A:$D,4,FALSE()),IFERROR(INDEX(COMPOSICIÓN!$I$2:$I$1879,MATCH(B109,COMPOSICIÓN!$D$2:$D$1879,0)),0))</f>
        <v>20237</v>
      </c>
      <c r="G109" s="163">
        <f>SUMIFS(_PLAN_STG!$Q$2:$Q$1879,_PLAN_STG!$D$2:$D$1879,B109,_PLAN_STG!$B$2:$B$1879,"MAT",_PLAN_STG!$O$2:$O$1879,1)</f>
        <v>0</v>
      </c>
      <c r="H109" s="225" t="str">
        <f>IFERROR(INDEX(COMPOSICIÓN!$C$2:$C$1879,MATCH(B109,COMPOSICIÓN!$D$2:$D$1879,0)),"")</f>
        <v>COR</v>
      </c>
      <c r="I109" s="226">
        <f>SUMPRODUCT((_PLAN_STG!$D$2:$D$1879=B109)*(_PLAN_STG!$B$2:$B$1879="MAT")*(_PLAN_STG!$O$2:$O$1879=1)*(_PLAN_STG!$P$2:$P$1879&gt;0))</f>
        <v>0</v>
      </c>
      <c r="J109" s="224" t="str">
        <f>IFERROR(VLOOKUP(B109,MATERIALES!$A:$G,7,FALSE()),"")</f>
        <v>Ferretería</v>
      </c>
    </row>
    <row r="110" spans="1:10" x14ac:dyDescent="0.35">
      <c r="A110" s="222" t="str">
        <f t="shared" si="1"/>
        <v/>
      </c>
      <c r="B110" s="223" t="s">
        <v>982</v>
      </c>
      <c r="C110" s="224" t="str">
        <f>IFERROR(VLOOKUP(B110,MATERIALES!$A:$B,2,FALSE()),IFERROR(INDEX(COMPOSICIÓN!$E$2:$E$1879,MATCH(B110,COMPOSICIÓN!$D$2:$D$1879,0)),""))</f>
        <v>Guante Vaqueta Medio Paseo</v>
      </c>
      <c r="D110" s="225" t="str">
        <f>IFERROR(VLOOKUP(B110,MATERIALES!$A:$C,3,FALSE()),IFERROR(INDEX(COMPOSICIÓN!$F$2:$F$1879,MATCH(B110,COMPOSICIÓN!$D$2:$D$1879,0)),""))</f>
        <v>par</v>
      </c>
      <c r="E110" s="161">
        <f>SUMIFS(_PLAN_STG!$P$2:$P$1879,_PLAN_STG!$D$2:$D$1879,B110,_PLAN_STG!$B$2:$B$1879,"MAT",_PLAN_STG!$O$2:$O$1879,1)</f>
        <v>0</v>
      </c>
      <c r="F110" s="162">
        <f>IFERROR(VLOOKUP(B110,MATERIALES!$A:$D,4,FALSE()),IFERROR(INDEX(COMPOSICIÓN!$I$2:$I$1879,MATCH(B110,COMPOSICIÓN!$D$2:$D$1879,0)),0))</f>
        <v>4842</v>
      </c>
      <c r="G110" s="163">
        <f>SUMIFS(_PLAN_STG!$Q$2:$Q$1879,_PLAN_STG!$D$2:$D$1879,B110,_PLAN_STG!$B$2:$B$1879,"MAT",_PLAN_STG!$O$2:$O$1879,1)</f>
        <v>0</v>
      </c>
      <c r="H110" s="225" t="str">
        <f>IFERROR(INDEX(COMPOSICIÓN!$C$2:$C$1879,MATCH(B110,COMPOSICIÓN!$D$2:$D$1879,0)),"")</f>
        <v>OTR</v>
      </c>
      <c r="I110" s="226">
        <f>SUMPRODUCT((_PLAN_STG!$D$2:$D$1879=B110)*(_PLAN_STG!$B$2:$B$1879="MAT")*(_PLAN_STG!$O$2:$O$1879=1)*(_PLAN_STG!$P$2:$P$1879&gt;0))</f>
        <v>0</v>
      </c>
      <c r="J110" s="224" t="str">
        <f>IFERROR(VLOOKUP(B110,MATERIALES!$A:$G,7,FALSE()),"")</f>
        <v>Ferretería</v>
      </c>
    </row>
    <row r="111" spans="1:10" x14ac:dyDescent="0.35">
      <c r="A111" s="222" t="str">
        <f t="shared" si="1"/>
        <v/>
      </c>
      <c r="B111" s="223" t="s">
        <v>985</v>
      </c>
      <c r="C111" s="224" t="str">
        <f>IFERROR(VLOOKUP(B111,MATERIALES!$A:$B,2,FALSE()),IFERROR(INDEX(COMPOSICIÓN!$E$2:$E$1879,MATCH(B111,COMPOSICIÓN!$D$2:$D$1879,0)),""))</f>
        <v>Recarga de garrafa</v>
      </c>
      <c r="D111" s="225" t="str">
        <f>IFERROR(VLOOKUP(B111,MATERIALES!$A:$C,3,FALSE()),IFERROR(INDEX(COMPOSICIÓN!$F$2:$F$1879,MATCH(B111,COMPOSICIÓN!$D$2:$D$1879,0)),""))</f>
        <v>u</v>
      </c>
      <c r="E111" s="161">
        <f>SUMIFS(_PLAN_STG!$P$2:$P$1879,_PLAN_STG!$D$2:$D$1879,B111,_PLAN_STG!$B$2:$B$1879,"MAT",_PLAN_STG!$O$2:$O$1879,1)</f>
        <v>0</v>
      </c>
      <c r="F111" s="162">
        <f>IFERROR(VLOOKUP(B111,MATERIALES!$A:$D,4,FALSE()),IFERROR(INDEX(COMPOSICIÓN!$I$2:$I$1879,MATCH(B111,COMPOSICIÓN!$D$2:$D$1879,0)),0))</f>
        <v>12396.694214876001</v>
      </c>
      <c r="G111" s="163">
        <f>SUMIFS(_PLAN_STG!$Q$2:$Q$1879,_PLAN_STG!$D$2:$D$1879,B111,_PLAN_STG!$B$2:$B$1879,"MAT",_PLAN_STG!$O$2:$O$1879,1)</f>
        <v>0</v>
      </c>
      <c r="H111" s="225" t="str">
        <f>IFERROR(INDEX(COMPOSICIÓN!$C$2:$C$1879,MATCH(B111,COMPOSICIÓN!$D$2:$D$1879,0)),"")</f>
        <v>OTR</v>
      </c>
      <c r="I111" s="226">
        <f>SUMPRODUCT((_PLAN_STG!$D$2:$D$1879=B111)*(_PLAN_STG!$B$2:$B$1879="MAT")*(_PLAN_STG!$O$2:$O$1879=1)*(_PLAN_STG!$P$2:$P$1879&gt;0))</f>
        <v>0</v>
      </c>
      <c r="J111" s="224" t="str">
        <f>IFERROR(VLOOKUP(B111,MATERIALES!$A:$G,7,FALSE()),"")</f>
        <v>Ferretería</v>
      </c>
    </row>
    <row r="112" spans="1:10" x14ac:dyDescent="0.35">
      <c r="A112" s="222" t="str">
        <f t="shared" si="1"/>
        <v/>
      </c>
      <c r="B112" s="223" t="s">
        <v>1016</v>
      </c>
      <c r="C112" s="224" t="str">
        <f>IFERROR(VLOOKUP(B112,MATERIALES!$A:$B,2,FALSE()),IFERROR(INDEX(COMPOSICIÓN!$E$2:$E$1879,MATCH(B112,COMPOSICIÓN!$D$2:$D$1879,0)),""))</f>
        <v>Chapa acanalada C25</v>
      </c>
      <c r="D112" s="225" t="str">
        <f>IFERROR(VLOOKUP(B112,MATERIALES!$A:$C,3,FALSE()),IFERROR(INDEX(COMPOSICIÓN!$F$2:$F$1879,MATCH(B112,COMPOSICIÓN!$D$2:$D$1879,0)),""))</f>
        <v>m2</v>
      </c>
      <c r="E112" s="161">
        <f>SUMIFS(_PLAN_STG!$P$2:$P$1879,_PLAN_STG!$D$2:$D$1879,B112,_PLAN_STG!$B$2:$B$1879,"MAT",_PLAN_STG!$O$2:$O$1879,1)</f>
        <v>0</v>
      </c>
      <c r="F112" s="162">
        <f>IFERROR(VLOOKUP(B112,MATERIALES!$A:$D,4,FALSE()),IFERROR(INDEX(COMPOSICIÓN!$I$2:$I$1879,MATCH(B112,COMPOSICIÓN!$D$2:$D$1879,0)),0))</f>
        <v>10167.5702479339</v>
      </c>
      <c r="G112" s="163">
        <f>SUMIFS(_PLAN_STG!$Q$2:$Q$1879,_PLAN_STG!$D$2:$D$1879,B112,_PLAN_STG!$B$2:$B$1879,"MAT",_PLAN_STG!$O$2:$O$1879,1)</f>
        <v>0</v>
      </c>
      <c r="H112" s="225" t="str">
        <f>IFERROR(INDEX(COMPOSICIÓN!$C$2:$C$1879,MATCH(B112,COMPOSICIÓN!$D$2:$D$1879,0)),"")</f>
        <v>OTR</v>
      </c>
      <c r="I112" s="226">
        <f>SUMPRODUCT((_PLAN_STG!$D$2:$D$1879=B112)*(_PLAN_STG!$B$2:$B$1879="MAT")*(_PLAN_STG!$O$2:$O$1879=1)*(_PLAN_STG!$P$2:$P$1879&gt;0))</f>
        <v>0</v>
      </c>
      <c r="J112" s="224" t="str">
        <f>IFERROR(VLOOKUP(B112,MATERIALES!$A:$G,7,FALSE()),"")</f>
        <v>Carpintería metálica</v>
      </c>
    </row>
    <row r="113" spans="1:10" x14ac:dyDescent="0.35">
      <c r="A113" s="222" t="str">
        <f t="shared" si="1"/>
        <v/>
      </c>
      <c r="B113" s="223" t="s">
        <v>1020</v>
      </c>
      <c r="C113" s="224" t="str">
        <f>IFERROR(VLOOKUP(B113,MATERIALES!$A:$B,2,FALSE()),IFERROR(INDEX(COMPOSICIÓN!$E$2:$E$1879,MATCH(B113,COMPOSICIÓN!$D$2:$D$1879,0)),""))</f>
        <v>Perfiles UPN 100</v>
      </c>
      <c r="D113" s="225" t="str">
        <f>IFERROR(VLOOKUP(B113,MATERIALES!$A:$C,3,FALSE()),IFERROR(INDEX(COMPOSICIÓN!$F$2:$F$1879,MATCH(B113,COMPOSICIÓN!$D$2:$D$1879,0)),""))</f>
        <v>un</v>
      </c>
      <c r="E113" s="161">
        <f>SUMIFS(_PLAN_STG!$P$2:$P$1879,_PLAN_STG!$D$2:$D$1879,B113,_PLAN_STG!$B$2:$B$1879,"MAT",_PLAN_STG!$O$2:$O$1879,1)</f>
        <v>0</v>
      </c>
      <c r="F113" s="162">
        <f>IFERROR(VLOOKUP(B113,MATERIALES!$A:$D,4,FALSE()),IFERROR(INDEX(COMPOSICIÓN!$I$2:$I$1879,MATCH(B113,COMPOSICIÓN!$D$2:$D$1879,0)),0))</f>
        <v>235448.016528926</v>
      </c>
      <c r="G113" s="163">
        <f>SUMIFS(_PLAN_STG!$Q$2:$Q$1879,_PLAN_STG!$D$2:$D$1879,B113,_PLAN_STG!$B$2:$B$1879,"MAT",_PLAN_STG!$O$2:$O$1879,1)</f>
        <v>0</v>
      </c>
      <c r="H113" s="225" t="str">
        <f>IFERROR(INDEX(COMPOSICIÓN!$C$2:$C$1879,MATCH(B113,COMPOSICIÓN!$D$2:$D$1879,0)),"")</f>
        <v>OTR</v>
      </c>
      <c r="I113" s="226">
        <f>SUMPRODUCT((_PLAN_STG!$D$2:$D$1879=B113)*(_PLAN_STG!$B$2:$B$1879="MAT")*(_PLAN_STG!$O$2:$O$1879=1)*(_PLAN_STG!$P$2:$P$1879&gt;0))</f>
        <v>0</v>
      </c>
      <c r="J113" s="224" t="str">
        <f>IFERROR(VLOOKUP(B113,MATERIALES!$A:$G,7,FALSE()),"")</f>
        <v>Carpintería metálica</v>
      </c>
    </row>
    <row r="114" spans="1:10" x14ac:dyDescent="0.35">
      <c r="A114" s="222" t="str">
        <f t="shared" si="1"/>
        <v/>
      </c>
      <c r="B114" s="223" t="s">
        <v>1022</v>
      </c>
      <c r="C114" s="224" t="str">
        <f>IFERROR(VLOOKUP(B114,MATERIALES!$A:$B,2,FALSE()),IFERROR(INDEX(COMPOSICIÓN!$E$2:$E$1879,MATCH(B114,COMPOSICIÓN!$D$2:$D$1879,0)),""))</f>
        <v xml:space="preserve">Bastidor para porton corredizo - Perfil 40 x 40 x 2 </v>
      </c>
      <c r="D114" s="225" t="str">
        <f>IFERROR(VLOOKUP(B114,MATERIALES!$A:$C,3,FALSE()),IFERROR(INDEX(COMPOSICIÓN!$F$2:$F$1879,MATCH(B114,COMPOSICIÓN!$D$2:$D$1879,0)),""))</f>
        <v>u</v>
      </c>
      <c r="E114" s="161">
        <f>SUMIFS(_PLAN_STG!$P$2:$P$1879,_PLAN_STG!$D$2:$D$1879,B114,_PLAN_STG!$B$2:$B$1879,"MAT",_PLAN_STG!$O$2:$O$1879,1)</f>
        <v>0</v>
      </c>
      <c r="F114" s="162">
        <f>IFERROR(VLOOKUP(B114,MATERIALES!$A:$D,4,FALSE()),IFERROR(INDEX(COMPOSICIÓN!$I$2:$I$1879,MATCH(B114,COMPOSICIÓN!$D$2:$D$1879,0)),0))</f>
        <v>22267.107438016501</v>
      </c>
      <c r="G114" s="163">
        <f>SUMIFS(_PLAN_STG!$Q$2:$Q$1879,_PLAN_STG!$D$2:$D$1879,B114,_PLAN_STG!$B$2:$B$1879,"MAT",_PLAN_STG!$O$2:$O$1879,1)</f>
        <v>0</v>
      </c>
      <c r="H114" s="225" t="str">
        <f>IFERROR(INDEX(COMPOSICIÓN!$C$2:$C$1879,MATCH(B114,COMPOSICIÓN!$D$2:$D$1879,0)),"")</f>
        <v>OTR</v>
      </c>
      <c r="I114" s="226">
        <f>SUMPRODUCT((_PLAN_STG!$D$2:$D$1879=B114)*(_PLAN_STG!$B$2:$B$1879="MAT")*(_PLAN_STG!$O$2:$O$1879=1)*(_PLAN_STG!$P$2:$P$1879&gt;0))</f>
        <v>0</v>
      </c>
      <c r="J114" s="224" t="str">
        <f>IFERROR(VLOOKUP(B114,MATERIALES!$A:$G,7,FALSE()),"")</f>
        <v>Carpintería metálica</v>
      </c>
    </row>
    <row r="115" spans="1:10" x14ac:dyDescent="0.35">
      <c r="A115" s="222" t="str">
        <f t="shared" si="1"/>
        <v/>
      </c>
      <c r="B115" s="223" t="s">
        <v>1024</v>
      </c>
      <c r="C115" s="224" t="str">
        <f>IFERROR(VLOOKUP(B115,MATERIALES!$A:$B,2,FALSE()),IFERROR(INDEX(COMPOSICIÓN!$E$2:$E$1879,MATCH(B115,COMPOSICIÓN!$D$2:$D$1879,0)),""))</f>
        <v>Riel Roma 174 e: 2,1 mm. 53 x 60 x 6000</v>
      </c>
      <c r="D115" s="225" t="str">
        <f>IFERROR(VLOOKUP(B115,MATERIALES!$A:$C,3,FALSE()),IFERROR(INDEX(COMPOSICIÓN!$F$2:$F$1879,MATCH(B115,COMPOSICIÓN!$D$2:$D$1879,0)),""))</f>
        <v>u</v>
      </c>
      <c r="E115" s="161">
        <f>SUMIFS(_PLAN_STG!$P$2:$P$1879,_PLAN_STG!$D$2:$D$1879,B115,_PLAN_STG!$B$2:$B$1879,"MAT",_PLAN_STG!$O$2:$O$1879,1)</f>
        <v>0</v>
      </c>
      <c r="F115" s="162">
        <f>IFERROR(VLOOKUP(B115,MATERIALES!$A:$D,4,FALSE()),IFERROR(INDEX(COMPOSICIÓN!$I$2:$I$1879,MATCH(B115,COMPOSICIÓN!$D$2:$D$1879,0)),0))</f>
        <v>81509.950413223094</v>
      </c>
      <c r="G115" s="163">
        <f>SUMIFS(_PLAN_STG!$Q$2:$Q$1879,_PLAN_STG!$D$2:$D$1879,B115,_PLAN_STG!$B$2:$B$1879,"MAT",_PLAN_STG!$O$2:$O$1879,1)</f>
        <v>0</v>
      </c>
      <c r="H115" s="225" t="str">
        <f>IFERROR(INDEX(COMPOSICIÓN!$C$2:$C$1879,MATCH(B115,COMPOSICIÓN!$D$2:$D$1879,0)),"")</f>
        <v>OTR</v>
      </c>
      <c r="I115" s="226">
        <f>SUMPRODUCT((_PLAN_STG!$D$2:$D$1879=B115)*(_PLAN_STG!$B$2:$B$1879="MAT")*(_PLAN_STG!$O$2:$O$1879=1)*(_PLAN_STG!$P$2:$P$1879&gt;0))</f>
        <v>0</v>
      </c>
      <c r="J115" s="224" t="str">
        <f>IFERROR(VLOOKUP(B115,MATERIALES!$A:$G,7,FALSE()),"")</f>
        <v>Carpintería metálica</v>
      </c>
    </row>
    <row r="116" spans="1:10" x14ac:dyDescent="0.35">
      <c r="A116" s="222" t="str">
        <f t="shared" si="1"/>
        <v/>
      </c>
      <c r="B116" s="223" t="s">
        <v>1026</v>
      </c>
      <c r="C116" s="224" t="str">
        <f>IFERROR(VLOOKUP(B116,MATERIALES!$A:$B,2,FALSE()),IFERROR(INDEX(COMPOSICIÓN!$E$2:$E$1879,MATCH(B116,COMPOSICIÓN!$D$2:$D$1879,0)),""))</f>
        <v>Carro acero 174 4 ruedas puertas portones Ø45mm</v>
      </c>
      <c r="D116" s="225" t="str">
        <f>IFERROR(VLOOKUP(B116,MATERIALES!$A:$C,3,FALSE()),IFERROR(INDEX(COMPOSICIÓN!$F$2:$F$1879,MATCH(B116,COMPOSICIÓN!$D$2:$D$1879,0)),""))</f>
        <v>u</v>
      </c>
      <c r="E116" s="161">
        <f>SUMIFS(_PLAN_STG!$P$2:$P$1879,_PLAN_STG!$D$2:$D$1879,B116,_PLAN_STG!$B$2:$B$1879,"MAT",_PLAN_STG!$O$2:$O$1879,1)</f>
        <v>0</v>
      </c>
      <c r="F116" s="162">
        <f>IFERROR(VLOOKUP(B116,MATERIALES!$A:$D,4,FALSE()),IFERROR(INDEX(COMPOSICIÓN!$I$2:$I$1879,MATCH(B116,COMPOSICIÓN!$D$2:$D$1879,0)),0))</f>
        <v>12131.5619834711</v>
      </c>
      <c r="G116" s="163">
        <f>SUMIFS(_PLAN_STG!$Q$2:$Q$1879,_PLAN_STG!$D$2:$D$1879,B116,_PLAN_STG!$B$2:$B$1879,"MAT",_PLAN_STG!$O$2:$O$1879,1)</f>
        <v>0</v>
      </c>
      <c r="H116" s="225" t="str">
        <f>IFERROR(INDEX(COMPOSICIÓN!$C$2:$C$1879,MATCH(B116,COMPOSICIÓN!$D$2:$D$1879,0)),"")</f>
        <v>OTR</v>
      </c>
      <c r="I116" s="226">
        <f>SUMPRODUCT((_PLAN_STG!$D$2:$D$1879=B116)*(_PLAN_STG!$B$2:$B$1879="MAT")*(_PLAN_STG!$O$2:$O$1879=1)*(_PLAN_STG!$P$2:$P$1879&gt;0))</f>
        <v>0</v>
      </c>
      <c r="J116" s="224" t="str">
        <f>IFERROR(VLOOKUP(B116,MATERIALES!$A:$G,7,FALSE()),"")</f>
        <v>Carpintería metálica</v>
      </c>
    </row>
    <row r="117" spans="1:10" x14ac:dyDescent="0.35">
      <c r="A117" s="222" t="str">
        <f t="shared" si="1"/>
        <v/>
      </c>
      <c r="B117" s="223" t="s">
        <v>1028</v>
      </c>
      <c r="C117" s="224" t="str">
        <f>IFERROR(VLOOKUP(B117,MATERIALES!$A:$B,2,FALSE()),IFERROR(INDEX(COMPOSICIÓN!$E$2:$E$1879,MATCH(B117,COMPOSICIÓN!$D$2:$D$1879,0)),""))</f>
        <v xml:space="preserve">Autoperforantes punta mecha 14 x 2 </v>
      </c>
      <c r="D117" s="225" t="str">
        <f>IFERROR(VLOOKUP(B117,MATERIALES!$A:$C,3,FALSE()),IFERROR(INDEX(COMPOSICIÓN!$F$2:$F$1879,MATCH(B117,COMPOSICIÓN!$D$2:$D$1879,0)),""))</f>
        <v>u</v>
      </c>
      <c r="E117" s="161">
        <f>SUMIFS(_PLAN_STG!$P$2:$P$1879,_PLAN_STG!$D$2:$D$1879,B117,_PLAN_STG!$B$2:$B$1879,"MAT",_PLAN_STG!$O$2:$O$1879,1)</f>
        <v>0</v>
      </c>
      <c r="F117" s="162">
        <f>IFERROR(VLOOKUP(B117,MATERIALES!$A:$D,4,FALSE()),IFERROR(INDEX(COMPOSICIÓN!$I$2:$I$1879,MATCH(B117,COMPOSICIÓN!$D$2:$D$1879,0)),0))</f>
        <v>120</v>
      </c>
      <c r="G117" s="163">
        <f>SUMIFS(_PLAN_STG!$Q$2:$Q$1879,_PLAN_STG!$D$2:$D$1879,B117,_PLAN_STG!$B$2:$B$1879,"MAT",_PLAN_STG!$O$2:$O$1879,1)</f>
        <v>0</v>
      </c>
      <c r="H117" s="225" t="str">
        <f>IFERROR(INDEX(COMPOSICIÓN!$C$2:$C$1879,MATCH(B117,COMPOSICIÓN!$D$2:$D$1879,0)),"")</f>
        <v>OTR</v>
      </c>
      <c r="I117" s="226">
        <f>SUMPRODUCT((_PLAN_STG!$D$2:$D$1879=B117)*(_PLAN_STG!$B$2:$B$1879="MAT")*(_PLAN_STG!$O$2:$O$1879=1)*(_PLAN_STG!$P$2:$P$1879&gt;0))</f>
        <v>0</v>
      </c>
      <c r="J117" s="224" t="str">
        <f>IFERROR(VLOOKUP(B117,MATERIALES!$A:$G,7,FALSE()),"")</f>
        <v>Ferretería</v>
      </c>
    </row>
    <row r="118" spans="1:10" x14ac:dyDescent="0.35">
      <c r="A118" s="222" t="str">
        <f t="shared" si="1"/>
        <v/>
      </c>
      <c r="B118" s="223" t="s">
        <v>1030</v>
      </c>
      <c r="C118" s="224" t="str">
        <f>IFERROR(VLOOKUP(B118,MATERIALES!$A:$B,2,FALSE()),IFERROR(INDEX(COMPOSICIÓN!$E$2:$E$1879,MATCH(B118,COMPOSICIÓN!$D$2:$D$1879,0)),""))</f>
        <v>Rollo Concertina</v>
      </c>
      <c r="D118" s="225" t="str">
        <f>IFERROR(VLOOKUP(B118,MATERIALES!$A:$C,3,FALSE()),IFERROR(INDEX(COMPOSICIÓN!$F$2:$F$1879,MATCH(B118,COMPOSICIÓN!$D$2:$D$1879,0)),""))</f>
        <v>rol</v>
      </c>
      <c r="E118" s="161">
        <f>SUMIFS(_PLAN_STG!$P$2:$P$1879,_PLAN_STG!$D$2:$D$1879,B118,_PLAN_STG!$B$2:$B$1879,"MAT",_PLAN_STG!$O$2:$O$1879,1)</f>
        <v>0</v>
      </c>
      <c r="F118" s="162">
        <f>IFERROR(VLOOKUP(B118,MATERIALES!$A:$D,4,FALSE()),IFERROR(INDEX(COMPOSICIÓN!$I$2:$I$1879,MATCH(B118,COMPOSICIÓN!$D$2:$D$1879,0)),0))</f>
        <v>41322.314049586799</v>
      </c>
      <c r="G118" s="163">
        <f>SUMIFS(_PLAN_STG!$Q$2:$Q$1879,_PLAN_STG!$D$2:$D$1879,B118,_PLAN_STG!$B$2:$B$1879,"MAT",_PLAN_STG!$O$2:$O$1879,1)</f>
        <v>0</v>
      </c>
      <c r="H118" s="225" t="str">
        <f>IFERROR(INDEX(COMPOSICIÓN!$C$2:$C$1879,MATCH(B118,COMPOSICIÓN!$D$2:$D$1879,0)),"")</f>
        <v>OTR</v>
      </c>
      <c r="I118" s="226">
        <f>SUMPRODUCT((_PLAN_STG!$D$2:$D$1879=B118)*(_PLAN_STG!$B$2:$B$1879="MAT")*(_PLAN_STG!$O$2:$O$1879=1)*(_PLAN_STG!$P$2:$P$1879&gt;0))</f>
        <v>0</v>
      </c>
      <c r="J118" s="224" t="str">
        <f>IFERROR(VLOOKUP(B118,MATERIALES!$A:$G,7,FALSE()),"")</f>
        <v>Carpintería metálica</v>
      </c>
    </row>
    <row r="119" spans="1:10" x14ac:dyDescent="0.35">
      <c r="A119" s="222" t="str">
        <f t="shared" si="1"/>
        <v/>
      </c>
      <c r="B119" s="223" t="s">
        <v>1032</v>
      </c>
      <c r="C119" s="224" t="str">
        <f>IFERROR(VLOOKUP(B119,MATERIALES!$A:$B,2,FALSE()),IFERROR(INDEX(COMPOSICIÓN!$E$2:$E$1879,MATCH(B119,COMPOSICIÓN!$D$2:$D$1879,0)),""))</f>
        <v>Chapa acanalada C25 - Reutilizado (estimado 3 usos)</v>
      </c>
      <c r="D119" s="225" t="str">
        <f>IFERROR(VLOOKUP(B119,MATERIALES!$A:$C,3,FALSE()),IFERROR(INDEX(COMPOSICIÓN!$F$2:$F$1879,MATCH(B119,COMPOSICIÓN!$D$2:$D$1879,0)),""))</f>
        <v>m2</v>
      </c>
      <c r="E119" s="161">
        <f>SUMIFS(_PLAN_STG!$P$2:$P$1879,_PLAN_STG!$D$2:$D$1879,B119,_PLAN_STG!$B$2:$B$1879,"MAT",_PLAN_STG!$O$2:$O$1879,1)</f>
        <v>0</v>
      </c>
      <c r="F119" s="162">
        <f>IFERROR(VLOOKUP(B119,MATERIALES!$A:$D,4,FALSE()),IFERROR(INDEX(COMPOSICIÓN!$I$2:$I$1879,MATCH(B119,COMPOSICIÓN!$D$2:$D$1879,0)),0))</f>
        <v>3389.1900826446299</v>
      </c>
      <c r="G119" s="163">
        <f>SUMIFS(_PLAN_STG!$Q$2:$Q$1879,_PLAN_STG!$D$2:$D$1879,B119,_PLAN_STG!$B$2:$B$1879,"MAT",_PLAN_STG!$O$2:$O$1879,1)</f>
        <v>0</v>
      </c>
      <c r="H119" s="225" t="str">
        <f>IFERROR(INDEX(COMPOSICIÓN!$C$2:$C$1879,MATCH(B119,COMPOSICIÓN!$D$2:$D$1879,0)),"")</f>
        <v>OTR</v>
      </c>
      <c r="I119" s="226">
        <f>SUMPRODUCT((_PLAN_STG!$D$2:$D$1879=B119)*(_PLAN_STG!$B$2:$B$1879="MAT")*(_PLAN_STG!$O$2:$O$1879=1)*(_PLAN_STG!$P$2:$P$1879&gt;0))</f>
        <v>0</v>
      </c>
      <c r="J119" s="224" t="str">
        <f>IFERROR(VLOOKUP(B119,MATERIALES!$A:$G,7,FALSE()),"")</f>
        <v>Encofrados</v>
      </c>
    </row>
    <row r="120" spans="1:10" x14ac:dyDescent="0.35">
      <c r="A120" s="222" t="str">
        <f t="shared" si="1"/>
        <v/>
      </c>
      <c r="B120" s="223" t="s">
        <v>1035</v>
      </c>
      <c r="C120" s="224" t="str">
        <f>IFERROR(VLOOKUP(B120,MATERIALES!$A:$B,2,FALSE()),IFERROR(INDEX(COMPOSICIÓN!$E$2:$E$1879,MATCH(B120,COMPOSICIÓN!$D$2:$D$1879,0)),""))</f>
        <v>Fenolico 1,22 x 2,44 - Reutilizado (estimado 3 usos)</v>
      </c>
      <c r="D120" s="225" t="str">
        <f>IFERROR(VLOOKUP(B120,MATERIALES!$A:$C,3,FALSE()),IFERROR(INDEX(COMPOSICIÓN!$F$2:$F$1879,MATCH(B120,COMPOSICIÓN!$D$2:$D$1879,0)),""))</f>
        <v>u</v>
      </c>
      <c r="E120" s="161">
        <f>SUMIFS(_PLAN_STG!$P$2:$P$1879,_PLAN_STG!$D$2:$D$1879,B120,_PLAN_STG!$B$2:$B$1879,"MAT",_PLAN_STG!$O$2:$O$1879,1)</f>
        <v>0</v>
      </c>
      <c r="F120" s="162">
        <f>IFERROR(VLOOKUP(B120,MATERIALES!$A:$D,4,FALSE()),IFERROR(INDEX(COMPOSICIÓN!$I$2:$I$1879,MATCH(B120,COMPOSICIÓN!$D$2:$D$1879,0)),0))</f>
        <v>8774.2266666666692</v>
      </c>
      <c r="G120" s="163">
        <f>SUMIFS(_PLAN_STG!$Q$2:$Q$1879,_PLAN_STG!$D$2:$D$1879,B120,_PLAN_STG!$B$2:$B$1879,"MAT",_PLAN_STG!$O$2:$O$1879,1)</f>
        <v>0</v>
      </c>
      <c r="H120" s="225" t="str">
        <f>IFERROR(INDEX(COMPOSICIÓN!$C$2:$C$1879,MATCH(B120,COMPOSICIÓN!$D$2:$D$1879,0)),"")</f>
        <v>OTR</v>
      </c>
      <c r="I120" s="226">
        <f>SUMPRODUCT((_PLAN_STG!$D$2:$D$1879=B120)*(_PLAN_STG!$B$2:$B$1879="MAT")*(_PLAN_STG!$O$2:$O$1879=1)*(_PLAN_STG!$P$2:$P$1879&gt;0))</f>
        <v>0</v>
      </c>
      <c r="J120" s="224" t="str">
        <f>IFERROR(VLOOKUP(B120,MATERIALES!$A:$G,7,FALSE()),"")</f>
        <v>Encofrados</v>
      </c>
    </row>
    <row r="121" spans="1:10" x14ac:dyDescent="0.35">
      <c r="A121" s="222" t="str">
        <f t="shared" si="1"/>
        <v/>
      </c>
      <c r="B121" s="223" t="s">
        <v>1037</v>
      </c>
      <c r="C121" s="224" t="str">
        <f>IFERROR(VLOOKUP(B121,MATERIALES!$A:$B,2,FALSE()),IFERROR(INDEX(COMPOSICIÓN!$E$2:$E$1879,MATCH(B121,COMPOSICIÓN!$D$2:$D$1879,0)),""))</f>
        <v>Puntales 1 x 4 x 3,7 - Reutilizado (estimado 3 usos)</v>
      </c>
      <c r="D121" s="225" t="str">
        <f>IFERROR(VLOOKUP(B121,MATERIALES!$A:$C,3,FALSE()),IFERROR(INDEX(COMPOSICIÓN!$F$2:$F$1879,MATCH(B121,COMPOSICIÓN!$D$2:$D$1879,0)),""))</f>
        <v>u</v>
      </c>
      <c r="E121" s="161">
        <f>SUMIFS(_PLAN_STG!$P$2:$P$1879,_PLAN_STG!$D$2:$D$1879,B121,_PLAN_STG!$B$2:$B$1879,"MAT",_PLAN_STG!$O$2:$O$1879,1)</f>
        <v>0</v>
      </c>
      <c r="F121" s="162">
        <f>IFERROR(VLOOKUP(B121,MATERIALES!$A:$D,4,FALSE()),IFERROR(INDEX(COMPOSICIÓN!$I$2:$I$1879,MATCH(B121,COMPOSICIÓN!$D$2:$D$1879,0)),0))</f>
        <v>647.31600000000003</v>
      </c>
      <c r="G121" s="163">
        <f>SUMIFS(_PLAN_STG!$Q$2:$Q$1879,_PLAN_STG!$D$2:$D$1879,B121,_PLAN_STG!$B$2:$B$1879,"MAT",_PLAN_STG!$O$2:$O$1879,1)</f>
        <v>0</v>
      </c>
      <c r="H121" s="225" t="str">
        <f>IFERROR(INDEX(COMPOSICIÓN!$C$2:$C$1879,MATCH(B121,COMPOSICIÓN!$D$2:$D$1879,0)),"")</f>
        <v>OTR</v>
      </c>
      <c r="I121" s="226">
        <f>SUMPRODUCT((_PLAN_STG!$D$2:$D$1879=B121)*(_PLAN_STG!$B$2:$B$1879="MAT")*(_PLAN_STG!$O$2:$O$1879=1)*(_PLAN_STG!$P$2:$P$1879&gt;0))</f>
        <v>0</v>
      </c>
      <c r="J121" s="224" t="str">
        <f>IFERROR(VLOOKUP(B121,MATERIALES!$A:$G,7,FALSE()),"")</f>
        <v>Encofrados</v>
      </c>
    </row>
    <row r="122" spans="1:10" x14ac:dyDescent="0.35">
      <c r="A122" s="222" t="str">
        <f t="shared" si="1"/>
        <v/>
      </c>
      <c r="B122" s="223" t="s">
        <v>1039</v>
      </c>
      <c r="C122" s="224" t="str">
        <f>IFERROR(VLOOKUP(B122,MATERIALES!$A:$B,2,FALSE()),IFERROR(INDEX(COMPOSICIÓN!$E$2:$E$1879,MATCH(B122,COMPOSICIÓN!$D$2:$D$1879,0)),""))</f>
        <v>Puntales 3 x 3 x 3,7 - Reutilizado (estimado 3 usos)</v>
      </c>
      <c r="D122" s="225" t="str">
        <f>IFERROR(VLOOKUP(B122,MATERIALES!$A:$C,3,FALSE()),IFERROR(INDEX(COMPOSICIÓN!$F$2:$F$1879,MATCH(B122,COMPOSICIÓN!$D$2:$D$1879,0)),""))</f>
        <v>u</v>
      </c>
      <c r="E122" s="161">
        <f>SUMIFS(_PLAN_STG!$P$2:$P$1879,_PLAN_STG!$D$2:$D$1879,B122,_PLAN_STG!$B$2:$B$1879,"MAT",_PLAN_STG!$O$2:$O$1879,1)</f>
        <v>0</v>
      </c>
      <c r="F122" s="162">
        <f>IFERROR(VLOOKUP(B122,MATERIALES!$A:$D,4,FALSE()),IFERROR(INDEX(COMPOSICIÓN!$I$2:$I$1879,MATCH(B122,COMPOSICIÓN!$D$2:$D$1879,0)),0))</f>
        <v>1456.4760000000001</v>
      </c>
      <c r="G122" s="163">
        <f>SUMIFS(_PLAN_STG!$Q$2:$Q$1879,_PLAN_STG!$D$2:$D$1879,B122,_PLAN_STG!$B$2:$B$1879,"MAT",_PLAN_STG!$O$2:$O$1879,1)</f>
        <v>0</v>
      </c>
      <c r="H122" s="225" t="str">
        <f>IFERROR(INDEX(COMPOSICIÓN!$C$2:$C$1879,MATCH(B122,COMPOSICIÓN!$D$2:$D$1879,0)),"")</f>
        <v>OTR</v>
      </c>
      <c r="I122" s="226">
        <f>SUMPRODUCT((_PLAN_STG!$D$2:$D$1879=B122)*(_PLAN_STG!$B$2:$B$1879="MAT")*(_PLAN_STG!$O$2:$O$1879=1)*(_PLAN_STG!$P$2:$P$1879&gt;0))</f>
        <v>0</v>
      </c>
      <c r="J122" s="224" t="str">
        <f>IFERROR(VLOOKUP(B122,MATERIALES!$A:$G,7,FALSE()),"")</f>
        <v>Encofrados</v>
      </c>
    </row>
    <row r="123" spans="1:10" x14ac:dyDescent="0.35">
      <c r="A123" s="222" t="str">
        <f t="shared" si="1"/>
        <v/>
      </c>
      <c r="B123" s="223" t="s">
        <v>1041</v>
      </c>
      <c r="C123" s="224" t="str">
        <f>IFERROR(VLOOKUP(B123,MATERIALES!$A:$B,2,FALSE()),IFERROR(INDEX(COMPOSICIÓN!$E$2:$E$1879,MATCH(B123,COMPOSICIÓN!$D$2:$D$1879,0)),""))</f>
        <v xml:space="preserve">Flechas 3 x 6 x 3,7 - Reutilizado (estimado 3 usos) </v>
      </c>
      <c r="D123" s="225" t="str">
        <f>IFERROR(VLOOKUP(B123,MATERIALES!$A:$C,3,FALSE()),IFERROR(INDEX(COMPOSICIÓN!$F$2:$F$1879,MATCH(B123,COMPOSICIÓN!$D$2:$D$1879,0)),""))</f>
        <v>u</v>
      </c>
      <c r="E123" s="161">
        <f>SUMIFS(_PLAN_STG!$P$2:$P$1879,_PLAN_STG!$D$2:$D$1879,B123,_PLAN_STG!$B$2:$B$1879,"MAT",_PLAN_STG!$O$2:$O$1879,1)</f>
        <v>0</v>
      </c>
      <c r="F123" s="162">
        <f>IFERROR(VLOOKUP(B123,MATERIALES!$A:$D,4,FALSE()),IFERROR(INDEX(COMPOSICIÓN!$I$2:$I$1879,MATCH(B123,COMPOSICIÓN!$D$2:$D$1879,0)),0))</f>
        <v>2912.9520000000002</v>
      </c>
      <c r="G123" s="163">
        <f>SUMIFS(_PLAN_STG!$Q$2:$Q$1879,_PLAN_STG!$D$2:$D$1879,B123,_PLAN_STG!$B$2:$B$1879,"MAT",_PLAN_STG!$O$2:$O$1879,1)</f>
        <v>0</v>
      </c>
      <c r="H123" s="225" t="str">
        <f>IFERROR(INDEX(COMPOSICIÓN!$C$2:$C$1879,MATCH(B123,COMPOSICIÓN!$D$2:$D$1879,0)),"")</f>
        <v>OTR</v>
      </c>
      <c r="I123" s="226">
        <f>SUMPRODUCT((_PLAN_STG!$D$2:$D$1879=B123)*(_PLAN_STG!$B$2:$B$1879="MAT")*(_PLAN_STG!$O$2:$O$1879=1)*(_PLAN_STG!$P$2:$P$1879&gt;0))</f>
        <v>0</v>
      </c>
      <c r="J123" s="224" t="str">
        <f>IFERROR(VLOOKUP(B123,MATERIALES!$A:$G,7,FALSE()),"")</f>
        <v>Encofrados</v>
      </c>
    </row>
    <row r="124" spans="1:10" x14ac:dyDescent="0.35">
      <c r="A124" s="222" t="str">
        <f t="shared" si="1"/>
        <v/>
      </c>
      <c r="B124" s="223" t="s">
        <v>1043</v>
      </c>
      <c r="C124" s="224" t="str">
        <f>IFERROR(VLOOKUP(B124,MATERIALES!$A:$B,2,FALSE()),IFERROR(INDEX(COMPOSICIÓN!$E$2:$E$1879,MATCH(B124,COMPOSICIÓN!$D$2:$D$1879,0)),""))</f>
        <v xml:space="preserve">Escalera </v>
      </c>
      <c r="D124" s="225" t="str">
        <f>IFERROR(VLOOKUP(B124,MATERIALES!$A:$C,3,FALSE()),IFERROR(INDEX(COMPOSICIÓN!$F$2:$F$1879,MATCH(B124,COMPOSICIÓN!$D$2:$D$1879,0)),""))</f>
        <v>gl</v>
      </c>
      <c r="E124" s="161">
        <f>SUMIFS(_PLAN_STG!$P$2:$P$1879,_PLAN_STG!$D$2:$D$1879,B124,_PLAN_STG!$B$2:$B$1879,"MAT",_PLAN_STG!$O$2:$O$1879,1)</f>
        <v>0</v>
      </c>
      <c r="F124" s="162">
        <f>IFERROR(VLOOKUP(B124,MATERIALES!$A:$D,4,FALSE()),IFERROR(INDEX(COMPOSICIÓN!$I$2:$I$1879,MATCH(B124,COMPOSICIÓN!$D$2:$D$1879,0)),0))</f>
        <v>168303.35999999999</v>
      </c>
      <c r="G124" s="163">
        <f>SUMIFS(_PLAN_STG!$Q$2:$Q$1879,_PLAN_STG!$D$2:$D$1879,B124,_PLAN_STG!$B$2:$B$1879,"MAT",_PLAN_STG!$O$2:$O$1879,1)</f>
        <v>0</v>
      </c>
      <c r="H124" s="225" t="str">
        <f>IFERROR(INDEX(COMPOSICIÓN!$C$2:$C$1879,MATCH(B124,COMPOSICIÓN!$D$2:$D$1879,0)),"")</f>
        <v>OTR</v>
      </c>
      <c r="I124" s="226">
        <f>SUMPRODUCT((_PLAN_STG!$D$2:$D$1879=B124)*(_PLAN_STG!$B$2:$B$1879="MAT")*(_PLAN_STG!$O$2:$O$1879=1)*(_PLAN_STG!$P$2:$P$1879&gt;0))</f>
        <v>0</v>
      </c>
      <c r="J124" s="224" t="str">
        <f>IFERROR(VLOOKUP(B124,MATERIALES!$A:$G,7,FALSE()),"")</f>
        <v>Encofrados</v>
      </c>
    </row>
    <row r="125" spans="1:10" x14ac:dyDescent="0.35">
      <c r="A125" s="222" t="str">
        <f t="shared" si="1"/>
        <v/>
      </c>
      <c r="B125" s="223" t="s">
        <v>1045</v>
      </c>
      <c r="C125" s="224" t="str">
        <f>IFERROR(VLOOKUP(B125,MATERIALES!$A:$B,2,FALSE()),IFERROR(INDEX(COMPOSICIÓN!$E$2:$E$1879,MATCH(B125,COMPOSICIÓN!$D$2:$D$1879,0)),""))</f>
        <v xml:space="preserve">Materiales varios </v>
      </c>
      <c r="D125" s="225" t="str">
        <f>IFERROR(VLOOKUP(B125,MATERIALES!$A:$C,3,FALSE()),IFERROR(INDEX(COMPOSICIÓN!$F$2:$F$1879,MATCH(B125,COMPOSICIÓN!$D$2:$D$1879,0)),""))</f>
        <v>gl</v>
      </c>
      <c r="E125" s="161">
        <f>SUMIFS(_PLAN_STG!$P$2:$P$1879,_PLAN_STG!$D$2:$D$1879,B125,_PLAN_STG!$B$2:$B$1879,"MAT",_PLAN_STG!$O$2:$O$1879,1)</f>
        <v>0</v>
      </c>
      <c r="F125" s="162">
        <f>IFERROR(VLOOKUP(B125,MATERIALES!$A:$D,4,FALSE()),IFERROR(INDEX(COMPOSICIÓN!$I$2:$I$1879,MATCH(B125,COMPOSICIÓN!$D$2:$D$1879,0)),0))</f>
        <v>1</v>
      </c>
      <c r="G125" s="163">
        <f>SUMIFS(_PLAN_STG!$Q$2:$Q$1879,_PLAN_STG!$D$2:$D$1879,B125,_PLAN_STG!$B$2:$B$1879,"MAT",_PLAN_STG!$O$2:$O$1879,1)</f>
        <v>0</v>
      </c>
      <c r="H125" s="225" t="str">
        <f>IFERROR(INDEX(COMPOSICIÓN!$C$2:$C$1879,MATCH(B125,COMPOSICIÓN!$D$2:$D$1879,0)),"")</f>
        <v>COR</v>
      </c>
      <c r="I125" s="226">
        <f>SUMPRODUCT((_PLAN_STG!$D$2:$D$1879=B125)*(_PLAN_STG!$B$2:$B$1879="MAT")*(_PLAN_STG!$O$2:$O$1879=1)*(_PLAN_STG!$P$2:$P$1879&gt;0))</f>
        <v>0</v>
      </c>
      <c r="J125" s="224" t="str">
        <f>IFERROR(VLOOKUP(B125,MATERIALES!$A:$G,7,FALSE()),"")</f>
        <v>Otros</v>
      </c>
    </row>
    <row r="126" spans="1:10" x14ac:dyDescent="0.35">
      <c r="A126" s="222" t="str">
        <f t="shared" si="1"/>
        <v/>
      </c>
      <c r="B126" s="223" t="s">
        <v>1048</v>
      </c>
      <c r="C126" s="224" t="str">
        <f>IFERROR(VLOOKUP(B126,MATERIALES!$A:$B,2,FALSE()),IFERROR(INDEX(COMPOSICIÓN!$E$2:$E$1879,MATCH(B126,COMPOSICIÓN!$D$2:$D$1879,0)),""))</f>
        <v xml:space="preserve">Rollo de cable TPR 3 x 2,5 </v>
      </c>
      <c r="D126" s="225" t="str">
        <f>IFERROR(VLOOKUP(B126,MATERIALES!$A:$C,3,FALSE()),IFERROR(INDEX(COMPOSICIÓN!$F$2:$F$1879,MATCH(B126,COMPOSICIÓN!$D$2:$D$1879,0)),""))</f>
        <v xml:space="preserve">rol </v>
      </c>
      <c r="E126" s="161">
        <f>SUMIFS(_PLAN_STG!$P$2:$P$1879,_PLAN_STG!$D$2:$D$1879,B126,_PLAN_STG!$B$2:$B$1879,"MAT",_PLAN_STG!$O$2:$O$1879,1)</f>
        <v>0</v>
      </c>
      <c r="F126" s="162">
        <f>IFERROR(VLOOKUP(B126,MATERIALES!$A:$D,4,FALSE()),IFERROR(INDEX(COMPOSICIÓN!$I$2:$I$1879,MATCH(B126,COMPOSICIÓN!$D$2:$D$1879,0)),0))</f>
        <v>214876.03305785099</v>
      </c>
      <c r="G126" s="163">
        <f>SUMIFS(_PLAN_STG!$Q$2:$Q$1879,_PLAN_STG!$D$2:$D$1879,B126,_PLAN_STG!$B$2:$B$1879,"MAT",_PLAN_STG!$O$2:$O$1879,1)</f>
        <v>0</v>
      </c>
      <c r="H126" s="225" t="str">
        <f>IFERROR(INDEX(COMPOSICIÓN!$C$2:$C$1879,MATCH(B126,COMPOSICIÓN!$D$2:$D$1879,0)),"")</f>
        <v>OTR</v>
      </c>
      <c r="I126" s="226">
        <f>SUMPRODUCT((_PLAN_STG!$D$2:$D$1879=B126)*(_PLAN_STG!$B$2:$B$1879="MAT")*(_PLAN_STG!$O$2:$O$1879=1)*(_PLAN_STG!$P$2:$P$1879&gt;0))</f>
        <v>0</v>
      </c>
      <c r="J126" s="224" t="str">
        <f>IFERROR(VLOOKUP(B126,MATERIALES!$A:$G,7,FALSE()),"")</f>
        <v>Eléctricos</v>
      </c>
    </row>
    <row r="127" spans="1:10" x14ac:dyDescent="0.35">
      <c r="A127" s="222" t="str">
        <f t="shared" si="1"/>
        <v/>
      </c>
      <c r="B127" s="223" t="s">
        <v>1051</v>
      </c>
      <c r="C127" s="224" t="str">
        <f>IFERROR(VLOOKUP(B127,MATERIALES!$A:$B,2,FALSE()),IFERROR(INDEX(COMPOSICIÓN!$E$2:$E$1879,MATCH(B127,COMPOSICIÓN!$D$2:$D$1879,0)),""))</f>
        <v>Zocalo E27</v>
      </c>
      <c r="D127" s="225" t="str">
        <f>IFERROR(VLOOKUP(B127,MATERIALES!$A:$C,3,FALSE()),IFERROR(INDEX(COMPOSICIÓN!$F$2:$F$1879,MATCH(B127,COMPOSICIÓN!$D$2:$D$1879,0)),""))</f>
        <v>u</v>
      </c>
      <c r="E127" s="161">
        <f>SUMIFS(_PLAN_STG!$P$2:$P$1879,_PLAN_STG!$D$2:$D$1879,B127,_PLAN_STG!$B$2:$B$1879,"MAT",_PLAN_STG!$O$2:$O$1879,1)</f>
        <v>0</v>
      </c>
      <c r="F127" s="162">
        <f>IFERROR(VLOOKUP(B127,MATERIALES!$A:$D,4,FALSE()),IFERROR(INDEX(COMPOSICIÓN!$I$2:$I$1879,MATCH(B127,COMPOSICIÓN!$D$2:$D$1879,0)),0))</f>
        <v>369.83471074380202</v>
      </c>
      <c r="G127" s="163">
        <f>SUMIFS(_PLAN_STG!$Q$2:$Q$1879,_PLAN_STG!$D$2:$D$1879,B127,_PLAN_STG!$B$2:$B$1879,"MAT",_PLAN_STG!$O$2:$O$1879,1)</f>
        <v>0</v>
      </c>
      <c r="H127" s="225" t="str">
        <f>IFERROR(INDEX(COMPOSICIÓN!$C$2:$C$1879,MATCH(B127,COMPOSICIÓN!$D$2:$D$1879,0)),"")</f>
        <v>OTR</v>
      </c>
      <c r="I127" s="226">
        <f>SUMPRODUCT((_PLAN_STG!$D$2:$D$1879=B127)*(_PLAN_STG!$B$2:$B$1879="MAT")*(_PLAN_STG!$O$2:$O$1879=1)*(_PLAN_STG!$P$2:$P$1879&gt;0))</f>
        <v>0</v>
      </c>
      <c r="J127" s="224" t="str">
        <f>IFERROR(VLOOKUP(B127,MATERIALES!$A:$G,7,FALSE()),"")</f>
        <v>Eléctricos</v>
      </c>
    </row>
    <row r="128" spans="1:10" x14ac:dyDescent="0.35">
      <c r="A128" s="222" t="str">
        <f t="shared" si="1"/>
        <v/>
      </c>
      <c r="B128" s="223" t="s">
        <v>1053</v>
      </c>
      <c r="C128" s="224" t="str">
        <f>IFERROR(VLOOKUP(B128,MATERIALES!$A:$B,2,FALSE()),IFERROR(INDEX(COMPOSICIÓN!$E$2:$E$1879,MATCH(B128,COMPOSICIÓN!$D$2:$D$1879,0)),""))</f>
        <v>Lampara Led 12 w</v>
      </c>
      <c r="D128" s="225" t="str">
        <f>IFERROR(VLOOKUP(B128,MATERIALES!$A:$C,3,FALSE()),IFERROR(INDEX(COMPOSICIÓN!$F$2:$F$1879,MATCH(B128,COMPOSICIÓN!$D$2:$D$1879,0)),""))</f>
        <v>u</v>
      </c>
      <c r="E128" s="161">
        <f>SUMIFS(_PLAN_STG!$P$2:$P$1879,_PLAN_STG!$D$2:$D$1879,B128,_PLAN_STG!$B$2:$B$1879,"MAT",_PLAN_STG!$O$2:$O$1879,1)</f>
        <v>0</v>
      </c>
      <c r="F128" s="162">
        <f>IFERROR(VLOOKUP(B128,MATERIALES!$A:$D,4,FALSE()),IFERROR(INDEX(COMPOSICIÓN!$I$2:$I$1879,MATCH(B128,COMPOSICIÓN!$D$2:$D$1879,0)),0))</f>
        <v>2363.6363636363599</v>
      </c>
      <c r="G128" s="163">
        <f>SUMIFS(_PLAN_STG!$Q$2:$Q$1879,_PLAN_STG!$D$2:$D$1879,B128,_PLAN_STG!$B$2:$B$1879,"MAT",_PLAN_STG!$O$2:$O$1879,1)</f>
        <v>0</v>
      </c>
      <c r="H128" s="225" t="str">
        <f>IFERROR(INDEX(COMPOSICIÓN!$C$2:$C$1879,MATCH(B128,COMPOSICIÓN!$D$2:$D$1879,0)),"")</f>
        <v>OTR</v>
      </c>
      <c r="I128" s="226">
        <f>SUMPRODUCT((_PLAN_STG!$D$2:$D$1879=B128)*(_PLAN_STG!$B$2:$B$1879="MAT")*(_PLAN_STG!$O$2:$O$1879=1)*(_PLAN_STG!$P$2:$P$1879&gt;0))</f>
        <v>0</v>
      </c>
      <c r="J128" s="224" t="str">
        <f>IFERROR(VLOOKUP(B128,MATERIALES!$A:$G,7,FALSE()),"")</f>
        <v>Eléctricos</v>
      </c>
    </row>
    <row r="129" spans="1:10" x14ac:dyDescent="0.35">
      <c r="A129" s="222" t="str">
        <f t="shared" si="1"/>
        <v/>
      </c>
      <c r="B129" s="223" t="s">
        <v>1055</v>
      </c>
      <c r="C129" s="224" t="str">
        <f>IFERROR(VLOOKUP(B129,MATERIALES!$A:$B,2,FALSE()),IFERROR(INDEX(COMPOSICIÓN!$E$2:$E$1879,MATCH(B129,COMPOSICIÓN!$D$2:$D$1879,0)),""))</f>
        <v xml:space="preserve">Mat. Elect. (tomas, enchufes, etc.) </v>
      </c>
      <c r="D129" s="225" t="str">
        <f>IFERROR(VLOOKUP(B129,MATERIALES!$A:$C,3,FALSE()),IFERROR(INDEX(COMPOSICIÓN!$F$2:$F$1879,MATCH(B129,COMPOSICIÓN!$D$2:$D$1879,0)),""))</f>
        <v>gl</v>
      </c>
      <c r="E129" s="161">
        <f>SUMIFS(_PLAN_STG!$P$2:$P$1879,_PLAN_STG!$D$2:$D$1879,B129,_PLAN_STG!$B$2:$B$1879,"MAT",_PLAN_STG!$O$2:$O$1879,1)</f>
        <v>0</v>
      </c>
      <c r="F129" s="162">
        <f>IFERROR(VLOOKUP(B129,MATERIALES!$A:$D,4,FALSE()),IFERROR(INDEX(COMPOSICIÓN!$I$2:$I$1879,MATCH(B129,COMPOSICIÓN!$D$2:$D$1879,0)),0))</f>
        <v>242210.74380165301</v>
      </c>
      <c r="G129" s="163">
        <f>SUMIFS(_PLAN_STG!$Q$2:$Q$1879,_PLAN_STG!$D$2:$D$1879,B129,_PLAN_STG!$B$2:$B$1879,"MAT",_PLAN_STG!$O$2:$O$1879,1)</f>
        <v>0</v>
      </c>
      <c r="H129" s="225" t="str">
        <f>IFERROR(INDEX(COMPOSICIÓN!$C$2:$C$1879,MATCH(B129,COMPOSICIÓN!$D$2:$D$1879,0)),"")</f>
        <v>OTR</v>
      </c>
      <c r="I129" s="226">
        <f>SUMPRODUCT((_PLAN_STG!$D$2:$D$1879=B129)*(_PLAN_STG!$B$2:$B$1879="MAT")*(_PLAN_STG!$O$2:$O$1879=1)*(_PLAN_STG!$P$2:$P$1879&gt;0))</f>
        <v>0</v>
      </c>
      <c r="J129" s="224" t="str">
        <f>IFERROR(VLOOKUP(B129,MATERIALES!$A:$G,7,FALSE()),"")</f>
        <v>Eléctricos</v>
      </c>
    </row>
    <row r="130" spans="1:10" x14ac:dyDescent="0.35">
      <c r="A130" s="222" t="str">
        <f t="shared" si="1"/>
        <v/>
      </c>
      <c r="B130" s="223" t="s">
        <v>1057</v>
      </c>
      <c r="C130" s="224" t="str">
        <f>IFERROR(VLOOKUP(B130,MATERIALES!$A:$B,2,FALSE()),IFERROR(INDEX(COMPOSICIÓN!$E$2:$E$1879,MATCH(B130,COMPOSICIÓN!$D$2:$D$1879,0)),""))</f>
        <v>Materiales Sanit</v>
      </c>
      <c r="D130" s="225" t="str">
        <f>IFERROR(VLOOKUP(B130,MATERIALES!$A:$C,3,FALSE()),IFERROR(INDEX(COMPOSICIÓN!$F$2:$F$1879,MATCH(B130,COMPOSICIÓN!$D$2:$D$1879,0)),""))</f>
        <v>gl</v>
      </c>
      <c r="E130" s="161">
        <f>SUMIFS(_PLAN_STG!$P$2:$P$1879,_PLAN_STG!$D$2:$D$1879,B130,_PLAN_STG!$B$2:$B$1879,"MAT",_PLAN_STG!$O$2:$O$1879,1)</f>
        <v>0</v>
      </c>
      <c r="F130" s="162">
        <f>IFERROR(VLOOKUP(B130,MATERIALES!$A:$D,4,FALSE()),IFERROR(INDEX(COMPOSICIÓN!$I$2:$I$1879,MATCH(B130,COMPOSICIÓN!$D$2:$D$1879,0)),0))</f>
        <v>500000</v>
      </c>
      <c r="G130" s="163">
        <f>SUMIFS(_PLAN_STG!$Q$2:$Q$1879,_PLAN_STG!$D$2:$D$1879,B130,_PLAN_STG!$B$2:$B$1879,"MAT",_PLAN_STG!$O$2:$O$1879,1)</f>
        <v>0</v>
      </c>
      <c r="H130" s="225" t="str">
        <f>IFERROR(INDEX(COMPOSICIÓN!$C$2:$C$1879,MATCH(B130,COMPOSICIÓN!$D$2:$D$1879,0)),"")</f>
        <v>OTR</v>
      </c>
      <c r="I130" s="226">
        <f>SUMPRODUCT((_PLAN_STG!$D$2:$D$1879=B130)*(_PLAN_STG!$B$2:$B$1879="MAT")*(_PLAN_STG!$O$2:$O$1879=1)*(_PLAN_STG!$P$2:$P$1879&gt;0))</f>
        <v>0</v>
      </c>
      <c r="J130" s="224" t="str">
        <f>IFERROR(VLOOKUP(B130,MATERIALES!$A:$G,7,FALSE()),"")</f>
        <v>Sanitarios</v>
      </c>
    </row>
    <row r="131" spans="1:10" x14ac:dyDescent="0.35">
      <c r="A131" s="222" t="str">
        <f t="shared" si="1"/>
        <v/>
      </c>
      <c r="B131" s="223" t="s">
        <v>1060</v>
      </c>
      <c r="C131" s="224" t="str">
        <f>IFERROR(VLOOKUP(B131,MATERIALES!$A:$B,2,FALSE()),IFERROR(INDEX(COMPOSICIÓN!$E$2:$E$1879,MATCH(B131,COMPOSICIÓN!$D$2:$D$1879,0)),""))</f>
        <v>Inodoro</v>
      </c>
      <c r="D131" s="225" t="str">
        <f>IFERROR(VLOOKUP(B131,MATERIALES!$A:$C,3,FALSE()),IFERROR(INDEX(COMPOSICIÓN!$F$2:$F$1879,MATCH(B131,COMPOSICIÓN!$D$2:$D$1879,0)),""))</f>
        <v>u</v>
      </c>
      <c r="E131" s="161">
        <f>SUMIFS(_PLAN_STG!$P$2:$P$1879,_PLAN_STG!$D$2:$D$1879,B131,_PLAN_STG!$B$2:$B$1879,"MAT",_PLAN_STG!$O$2:$O$1879,1)</f>
        <v>0</v>
      </c>
      <c r="F131" s="162">
        <f>IFERROR(VLOOKUP(B131,MATERIALES!$A:$D,4,FALSE()),IFERROR(INDEX(COMPOSICIÓN!$I$2:$I$1879,MATCH(B131,COMPOSICIÓN!$D$2:$D$1879,0)),0))</f>
        <v>100000</v>
      </c>
      <c r="G131" s="163">
        <f>SUMIFS(_PLAN_STG!$Q$2:$Q$1879,_PLAN_STG!$D$2:$D$1879,B131,_PLAN_STG!$B$2:$B$1879,"MAT",_PLAN_STG!$O$2:$O$1879,1)</f>
        <v>0</v>
      </c>
      <c r="H131" s="225" t="str">
        <f>IFERROR(INDEX(COMPOSICIÓN!$C$2:$C$1879,MATCH(B131,COMPOSICIÓN!$D$2:$D$1879,0)),"")</f>
        <v>OTR</v>
      </c>
      <c r="I131" s="226">
        <f>SUMPRODUCT((_PLAN_STG!$D$2:$D$1879=B131)*(_PLAN_STG!$B$2:$B$1879="MAT")*(_PLAN_STG!$O$2:$O$1879=1)*(_PLAN_STG!$P$2:$P$1879&gt;0))</f>
        <v>0</v>
      </c>
      <c r="J131" s="224" t="str">
        <f>IFERROR(VLOOKUP(B131,MATERIALES!$A:$G,7,FALSE()),"")</f>
        <v>Sanitarios</v>
      </c>
    </row>
    <row r="132" spans="1:10" x14ac:dyDescent="0.35">
      <c r="A132" s="222" t="str">
        <f t="shared" si="1"/>
        <v/>
      </c>
      <c r="B132" s="223" t="s">
        <v>1062</v>
      </c>
      <c r="C132" s="224" t="str">
        <f>IFERROR(VLOOKUP(B132,MATERIALES!$A:$B,2,FALSE()),IFERROR(INDEX(COMPOSICIÓN!$E$2:$E$1879,MATCH(B132,COMPOSICIÓN!$D$2:$D$1879,0)),""))</f>
        <v xml:space="preserve">Mochila plastico </v>
      </c>
      <c r="D132" s="225" t="str">
        <f>IFERROR(VLOOKUP(B132,MATERIALES!$A:$C,3,FALSE()),IFERROR(INDEX(COMPOSICIÓN!$F$2:$F$1879,MATCH(B132,COMPOSICIÓN!$D$2:$D$1879,0)),""))</f>
        <v>u</v>
      </c>
      <c r="E132" s="161">
        <f>SUMIFS(_PLAN_STG!$P$2:$P$1879,_PLAN_STG!$D$2:$D$1879,B132,_PLAN_STG!$B$2:$B$1879,"MAT",_PLAN_STG!$O$2:$O$1879,1)</f>
        <v>0</v>
      </c>
      <c r="F132" s="162">
        <f>IFERROR(VLOOKUP(B132,MATERIALES!$A:$D,4,FALSE()),IFERROR(INDEX(COMPOSICIÓN!$I$2:$I$1879,MATCH(B132,COMPOSICIÓN!$D$2:$D$1879,0)),0))</f>
        <v>25000</v>
      </c>
      <c r="G132" s="163">
        <f>SUMIFS(_PLAN_STG!$Q$2:$Q$1879,_PLAN_STG!$D$2:$D$1879,B132,_PLAN_STG!$B$2:$B$1879,"MAT",_PLAN_STG!$O$2:$O$1879,1)</f>
        <v>0</v>
      </c>
      <c r="H132" s="225" t="str">
        <f>IFERROR(INDEX(COMPOSICIÓN!$C$2:$C$1879,MATCH(B132,COMPOSICIÓN!$D$2:$D$1879,0)),"")</f>
        <v>OTR</v>
      </c>
      <c r="I132" s="226">
        <f>SUMPRODUCT((_PLAN_STG!$D$2:$D$1879=B132)*(_PLAN_STG!$B$2:$B$1879="MAT")*(_PLAN_STG!$O$2:$O$1879=1)*(_PLAN_STG!$P$2:$P$1879&gt;0))</f>
        <v>0</v>
      </c>
      <c r="J132" s="224" t="str">
        <f>IFERROR(VLOOKUP(B132,MATERIALES!$A:$G,7,FALSE()),"")</f>
        <v>Sanitarios</v>
      </c>
    </row>
    <row r="133" spans="1:10" x14ac:dyDescent="0.35">
      <c r="A133" s="222" t="str">
        <f t="shared" si="1"/>
        <v/>
      </c>
      <c r="B133" s="223" t="s">
        <v>1064</v>
      </c>
      <c r="C133" s="224" t="str">
        <f>IFERROR(VLOOKUP(B133,MATERIALES!$A:$B,2,FALSE()),IFERROR(INDEX(COMPOSICIÓN!$E$2:$E$1879,MATCH(B133,COMPOSICIÓN!$D$2:$D$1879,0)),""))</f>
        <v xml:space="preserve">Bacha </v>
      </c>
      <c r="D133" s="225" t="str">
        <f>IFERROR(VLOOKUP(B133,MATERIALES!$A:$C,3,FALSE()),IFERROR(INDEX(COMPOSICIÓN!$F$2:$F$1879,MATCH(B133,COMPOSICIÓN!$D$2:$D$1879,0)),""))</f>
        <v>u</v>
      </c>
      <c r="E133" s="161">
        <f>SUMIFS(_PLAN_STG!$P$2:$P$1879,_PLAN_STG!$D$2:$D$1879,B133,_PLAN_STG!$B$2:$B$1879,"MAT",_PLAN_STG!$O$2:$O$1879,1)</f>
        <v>0</v>
      </c>
      <c r="F133" s="162">
        <f>IFERROR(VLOOKUP(B133,MATERIALES!$A:$D,4,FALSE()),IFERROR(INDEX(COMPOSICIÓN!$I$2:$I$1879,MATCH(B133,COMPOSICIÓN!$D$2:$D$1879,0)),0))</f>
        <v>24793.3884297521</v>
      </c>
      <c r="G133" s="163">
        <f>SUMIFS(_PLAN_STG!$Q$2:$Q$1879,_PLAN_STG!$D$2:$D$1879,B133,_PLAN_STG!$B$2:$B$1879,"MAT",_PLAN_STG!$O$2:$O$1879,1)</f>
        <v>0</v>
      </c>
      <c r="H133" s="225" t="str">
        <f>IFERROR(INDEX(COMPOSICIÓN!$C$2:$C$1879,MATCH(B133,COMPOSICIÓN!$D$2:$D$1879,0)),"")</f>
        <v>OTR</v>
      </c>
      <c r="I133" s="226">
        <f>SUMPRODUCT((_PLAN_STG!$D$2:$D$1879=B133)*(_PLAN_STG!$B$2:$B$1879="MAT")*(_PLAN_STG!$O$2:$O$1879=1)*(_PLAN_STG!$P$2:$P$1879&gt;0))</f>
        <v>0</v>
      </c>
      <c r="J133" s="224" t="str">
        <f>IFERROR(VLOOKUP(B133,MATERIALES!$A:$G,7,FALSE()),"")</f>
        <v>Sanitarios</v>
      </c>
    </row>
    <row r="134" spans="1:10" x14ac:dyDescent="0.35">
      <c r="A134" s="222" t="str">
        <f t="shared" si="1"/>
        <v/>
      </c>
      <c r="B134" s="223" t="s">
        <v>1066</v>
      </c>
      <c r="C134" s="224" t="str">
        <f>IFERROR(VLOOKUP(B134,MATERIALES!$A:$B,2,FALSE()),IFERROR(INDEX(COMPOSICIÓN!$E$2:$E$1879,MATCH(B134,COMPOSICIÓN!$D$2:$D$1879,0)),""))</f>
        <v>Termo electrico 40 lts</v>
      </c>
      <c r="D134" s="225" t="str">
        <f>IFERROR(VLOOKUP(B134,MATERIALES!$A:$C,3,FALSE()),IFERROR(INDEX(COMPOSICIÓN!$F$2:$F$1879,MATCH(B134,COMPOSICIÓN!$D$2:$D$1879,0)),""))</f>
        <v>u</v>
      </c>
      <c r="E134" s="161">
        <f>SUMIFS(_PLAN_STG!$P$2:$P$1879,_PLAN_STG!$D$2:$D$1879,B134,_PLAN_STG!$B$2:$B$1879,"MAT",_PLAN_STG!$O$2:$O$1879,1)</f>
        <v>0</v>
      </c>
      <c r="F134" s="162">
        <f>IFERROR(VLOOKUP(B134,MATERIALES!$A:$D,4,FALSE()),IFERROR(INDEX(COMPOSICIÓN!$I$2:$I$1879,MATCH(B134,COMPOSICIÓN!$D$2:$D$1879,0)),0))</f>
        <v>200000</v>
      </c>
      <c r="G134" s="163">
        <f>SUMIFS(_PLAN_STG!$Q$2:$Q$1879,_PLAN_STG!$D$2:$D$1879,B134,_PLAN_STG!$B$2:$B$1879,"MAT",_PLAN_STG!$O$2:$O$1879,1)</f>
        <v>0</v>
      </c>
      <c r="H134" s="225" t="str">
        <f>IFERROR(INDEX(COMPOSICIÓN!$C$2:$C$1879,MATCH(B134,COMPOSICIÓN!$D$2:$D$1879,0)),"")</f>
        <v>OTR</v>
      </c>
      <c r="I134" s="226">
        <f>SUMPRODUCT((_PLAN_STG!$D$2:$D$1879=B134)*(_PLAN_STG!$B$2:$B$1879="MAT")*(_PLAN_STG!$O$2:$O$1879=1)*(_PLAN_STG!$P$2:$P$1879&gt;0))</f>
        <v>0</v>
      </c>
      <c r="J134" s="224" t="str">
        <f>IFERROR(VLOOKUP(B134,MATERIALES!$A:$G,7,FALSE()),"")</f>
        <v>Sanitarios</v>
      </c>
    </row>
    <row r="135" spans="1:10" x14ac:dyDescent="0.35">
      <c r="A135" s="222" t="str">
        <f t="shared" si="1"/>
        <v/>
      </c>
      <c r="B135" s="223" t="s">
        <v>1068</v>
      </c>
      <c r="C135" s="224" t="str">
        <f>IFERROR(VLOOKUP(B135,MATERIALES!$A:$B,2,FALSE()),IFERROR(INDEX(COMPOSICIÓN!$E$2:$E$1879,MATCH(B135,COMPOSICIÓN!$D$2:$D$1879,0)),""))</f>
        <v>Pilar de obra, albañileria</v>
      </c>
      <c r="D135" s="225" t="str">
        <f>IFERROR(VLOOKUP(B135,MATERIALES!$A:$C,3,FALSE()),IFERROR(INDEX(COMPOSICIÓN!$F$2:$F$1879,MATCH(B135,COMPOSICIÓN!$D$2:$D$1879,0)),""))</f>
        <v>d</v>
      </c>
      <c r="E135" s="161">
        <f>SUMIFS(_PLAN_STG!$P$2:$P$1879,_PLAN_STG!$D$2:$D$1879,B135,_PLAN_STG!$B$2:$B$1879,"MAT",_PLAN_STG!$O$2:$O$1879,1)</f>
        <v>0</v>
      </c>
      <c r="F135" s="162">
        <f>IFERROR(VLOOKUP(B135,MATERIALES!$A:$D,4,FALSE()),IFERROR(INDEX(COMPOSICIÓN!$I$2:$I$1879,MATCH(B135,COMPOSICIÓN!$D$2:$D$1879,0)),0))</f>
        <v>25000</v>
      </c>
      <c r="G135" s="163">
        <f>SUMIFS(_PLAN_STG!$Q$2:$Q$1879,_PLAN_STG!$D$2:$D$1879,B135,_PLAN_STG!$B$2:$B$1879,"MAT",_PLAN_STG!$O$2:$O$1879,1)</f>
        <v>0</v>
      </c>
      <c r="H135" s="225" t="str">
        <f>IFERROR(INDEX(COMPOSICIÓN!$C$2:$C$1879,MATCH(B135,COMPOSICIÓN!$D$2:$D$1879,0)),"")</f>
        <v>COR</v>
      </c>
      <c r="I135" s="226">
        <f>SUMPRODUCT((_PLAN_STG!$D$2:$D$1879=B135)*(_PLAN_STG!$B$2:$B$1879="MAT")*(_PLAN_STG!$O$2:$O$1879=1)*(_PLAN_STG!$P$2:$P$1879&gt;0))</f>
        <v>0</v>
      </c>
      <c r="J135" s="224" t="str">
        <f>IFERROR(VLOOKUP(B135,MATERIALES!$A:$G,7,FALSE()),"")</f>
        <v>Encofrados</v>
      </c>
    </row>
    <row r="136" spans="1:10" x14ac:dyDescent="0.35">
      <c r="A136" s="222" t="str">
        <f t="shared" si="1"/>
        <v/>
      </c>
      <c r="B136" s="223" t="s">
        <v>1072</v>
      </c>
      <c r="C136" s="224" t="str">
        <f>IFERROR(VLOOKUP(B136,MATERIALES!$A:$B,2,FALSE()),IFERROR(INDEX(COMPOSICIÓN!$E$2:$E$1879,MATCH(B136,COMPOSICIÓN!$D$2:$D$1879,0)),""))</f>
        <v>Kit medidor pilar Edenor Conextube</v>
      </c>
      <c r="D136" s="225" t="str">
        <f>IFERROR(VLOOKUP(B136,MATERIALES!$A:$C,3,FALSE()),IFERROR(INDEX(COMPOSICIÓN!$F$2:$F$1879,MATCH(B136,COMPOSICIÓN!$D$2:$D$1879,0)),""))</f>
        <v>gl</v>
      </c>
      <c r="E136" s="161">
        <f>SUMIFS(_PLAN_STG!$P$2:$P$1879,_PLAN_STG!$D$2:$D$1879,B136,_PLAN_STG!$B$2:$B$1879,"MAT",_PLAN_STG!$O$2:$O$1879,1)</f>
        <v>0</v>
      </c>
      <c r="F136" s="162">
        <f>IFERROR(VLOOKUP(B136,MATERIALES!$A:$D,4,FALSE()),IFERROR(INDEX(COMPOSICIÓN!$I$2:$I$1879,MATCH(B136,COMPOSICIÓN!$D$2:$D$1879,0)),0))</f>
        <v>150000</v>
      </c>
      <c r="G136" s="163">
        <f>SUMIFS(_PLAN_STG!$Q$2:$Q$1879,_PLAN_STG!$D$2:$D$1879,B136,_PLAN_STG!$B$2:$B$1879,"MAT",_PLAN_STG!$O$2:$O$1879,1)</f>
        <v>0</v>
      </c>
      <c r="H136" s="225" t="str">
        <f>IFERROR(INDEX(COMPOSICIÓN!$C$2:$C$1879,MATCH(B136,COMPOSICIÓN!$D$2:$D$1879,0)),"")</f>
        <v>OTR</v>
      </c>
      <c r="I136" s="226">
        <f>SUMPRODUCT((_PLAN_STG!$D$2:$D$1879=B136)*(_PLAN_STG!$B$2:$B$1879="MAT")*(_PLAN_STG!$O$2:$O$1879=1)*(_PLAN_STG!$P$2:$P$1879&gt;0))</f>
        <v>0</v>
      </c>
      <c r="J136" s="224" t="str">
        <f>IFERROR(VLOOKUP(B136,MATERIALES!$A:$G,7,FALSE()),"")</f>
        <v>Eléctricos</v>
      </c>
    </row>
    <row r="137" spans="1:10" x14ac:dyDescent="0.35">
      <c r="A137" s="222" t="str">
        <f t="shared" si="1"/>
        <v/>
      </c>
      <c r="B137" s="223" t="s">
        <v>1074</v>
      </c>
      <c r="C137" s="224" t="str">
        <f>IFERROR(VLOOKUP(B137,MATERIALES!$A:$B,2,FALSE()),IFERROR(INDEX(COMPOSICIÓN!$E$2:$E$1879,MATCH(B137,COMPOSICIÓN!$D$2:$D$1879,0)),""))</f>
        <v>Kit jabalina + caja + toma cable</v>
      </c>
      <c r="D137" s="225" t="str">
        <f>IFERROR(VLOOKUP(B137,MATERIALES!$A:$C,3,FALSE()),IFERROR(INDEX(COMPOSICIÓN!$F$2:$F$1879,MATCH(B137,COMPOSICIÓN!$D$2:$D$1879,0)),""))</f>
        <v>gl</v>
      </c>
      <c r="E137" s="161">
        <f>SUMIFS(_PLAN_STG!$P$2:$P$1879,_PLAN_STG!$D$2:$D$1879,B137,_PLAN_STG!$B$2:$B$1879,"MAT",_PLAN_STG!$O$2:$O$1879,1)</f>
        <v>0</v>
      </c>
      <c r="F137" s="162">
        <f>IFERROR(VLOOKUP(B137,MATERIALES!$A:$D,4,FALSE()),IFERROR(INDEX(COMPOSICIÓN!$I$2:$I$1879,MATCH(B137,COMPOSICIÓN!$D$2:$D$1879,0)),0))</f>
        <v>15000</v>
      </c>
      <c r="G137" s="163">
        <f>SUMIFS(_PLAN_STG!$Q$2:$Q$1879,_PLAN_STG!$D$2:$D$1879,B137,_PLAN_STG!$B$2:$B$1879,"MAT",_PLAN_STG!$O$2:$O$1879,1)</f>
        <v>0</v>
      </c>
      <c r="H137" s="225" t="str">
        <f>IFERROR(INDEX(COMPOSICIÓN!$C$2:$C$1879,MATCH(B137,COMPOSICIÓN!$D$2:$D$1879,0)),"")</f>
        <v>OTR</v>
      </c>
      <c r="I137" s="226">
        <f>SUMPRODUCT((_PLAN_STG!$D$2:$D$1879=B137)*(_PLAN_STG!$B$2:$B$1879="MAT")*(_PLAN_STG!$O$2:$O$1879=1)*(_PLAN_STG!$P$2:$P$1879&gt;0))</f>
        <v>0</v>
      </c>
      <c r="J137" s="224" t="str">
        <f>IFERROR(VLOOKUP(B137,MATERIALES!$A:$G,7,FALSE()),"")</f>
        <v>Eléctricos</v>
      </c>
    </row>
    <row r="138" spans="1:10" x14ac:dyDescent="0.35">
      <c r="A138" s="222" t="str">
        <f t="shared" si="1"/>
        <v/>
      </c>
      <c r="B138" s="223" t="s">
        <v>1076</v>
      </c>
      <c r="C138" s="224" t="str">
        <f>IFERROR(VLOOKUP(B138,MATERIALES!$A:$B,2,FALSE()),IFERROR(INDEX(COMPOSICIÓN!$E$2:$E$1879,MATCH(B138,COMPOSICIÓN!$D$2:$D$1879,0)),""))</f>
        <v>Cable subterraneo 5 x 10 mm2</v>
      </c>
      <c r="D138" s="225" t="str">
        <f>IFERROR(VLOOKUP(B138,MATERIALES!$A:$C,3,FALSE()),IFERROR(INDEX(COMPOSICIÓN!$F$2:$F$1879,MATCH(B138,COMPOSICIÓN!$D$2:$D$1879,0)),""))</f>
        <v>mts</v>
      </c>
      <c r="E138" s="161">
        <f>SUMIFS(_PLAN_STG!$P$2:$P$1879,_PLAN_STG!$D$2:$D$1879,B138,_PLAN_STG!$B$2:$B$1879,"MAT",_PLAN_STG!$O$2:$O$1879,1)</f>
        <v>0</v>
      </c>
      <c r="F138" s="162">
        <f>IFERROR(VLOOKUP(B138,MATERIALES!$A:$D,4,FALSE()),IFERROR(INDEX(COMPOSICIÓN!$I$2:$I$1879,MATCH(B138,COMPOSICIÓN!$D$2:$D$1879,0)),0))</f>
        <v>11500</v>
      </c>
      <c r="G138" s="163">
        <f>SUMIFS(_PLAN_STG!$Q$2:$Q$1879,_PLAN_STG!$D$2:$D$1879,B138,_PLAN_STG!$B$2:$B$1879,"MAT",_PLAN_STG!$O$2:$O$1879,1)</f>
        <v>0</v>
      </c>
      <c r="H138" s="225" t="str">
        <f>IFERROR(INDEX(COMPOSICIÓN!$C$2:$C$1879,MATCH(B138,COMPOSICIÓN!$D$2:$D$1879,0)),"")</f>
        <v>OTR</v>
      </c>
      <c r="I138" s="226">
        <f>SUMPRODUCT((_PLAN_STG!$D$2:$D$1879=B138)*(_PLAN_STG!$B$2:$B$1879="MAT")*(_PLAN_STG!$O$2:$O$1879=1)*(_PLAN_STG!$P$2:$P$1879&gt;0))</f>
        <v>0</v>
      </c>
      <c r="J138" s="224" t="str">
        <f>IFERROR(VLOOKUP(B138,MATERIALES!$A:$G,7,FALSE()),"")</f>
        <v>Eléctricos</v>
      </c>
    </row>
    <row r="139" spans="1:10" x14ac:dyDescent="0.35">
      <c r="A139" s="222" t="str">
        <f t="shared" si="1"/>
        <v/>
      </c>
      <c r="B139" s="223" t="s">
        <v>1079</v>
      </c>
      <c r="C139" s="224" t="str">
        <f>IFERROR(VLOOKUP(B139,MATERIALES!$A:$B,2,FALSE()),IFERROR(INDEX(COMPOSICIÓN!$E$2:$E$1879,MATCH(B139,COMPOSICIÓN!$D$2:$D$1879,0)),""))</f>
        <v>Tablero de obra</v>
      </c>
      <c r="D139" s="225" t="str">
        <f>IFERROR(VLOOKUP(B139,MATERIALES!$A:$C,3,FALSE()),IFERROR(INDEX(COMPOSICIÓN!$F$2:$F$1879,MATCH(B139,COMPOSICIÓN!$D$2:$D$1879,0)),""))</f>
        <v>gl</v>
      </c>
      <c r="E139" s="161">
        <f>SUMIFS(_PLAN_STG!$P$2:$P$1879,_PLAN_STG!$D$2:$D$1879,B139,_PLAN_STG!$B$2:$B$1879,"MAT",_PLAN_STG!$O$2:$O$1879,1)</f>
        <v>0</v>
      </c>
      <c r="F139" s="162">
        <f>IFERROR(VLOOKUP(B139,MATERIALES!$A:$D,4,FALSE()),IFERROR(INDEX(COMPOSICIÓN!$I$2:$I$1879,MATCH(B139,COMPOSICIÓN!$D$2:$D$1879,0)),0))</f>
        <v>300000</v>
      </c>
      <c r="G139" s="163">
        <f>SUMIFS(_PLAN_STG!$Q$2:$Q$1879,_PLAN_STG!$D$2:$D$1879,B139,_PLAN_STG!$B$2:$B$1879,"MAT",_PLAN_STG!$O$2:$O$1879,1)</f>
        <v>0</v>
      </c>
      <c r="H139" s="225" t="str">
        <f>IFERROR(INDEX(COMPOSICIÓN!$C$2:$C$1879,MATCH(B139,COMPOSICIÓN!$D$2:$D$1879,0)),"")</f>
        <v>OTR</v>
      </c>
      <c r="I139" s="226">
        <f>SUMPRODUCT((_PLAN_STG!$D$2:$D$1879=B139)*(_PLAN_STG!$B$2:$B$1879="MAT")*(_PLAN_STG!$O$2:$O$1879=1)*(_PLAN_STG!$P$2:$P$1879&gt;0))</f>
        <v>0</v>
      </c>
      <c r="J139" s="224" t="str">
        <f>IFERROR(VLOOKUP(B139,MATERIALES!$A:$G,7,FALSE()),"")</f>
        <v>Eléctricos</v>
      </c>
    </row>
    <row r="140" spans="1:10" x14ac:dyDescent="0.35">
      <c r="A140" s="222" t="str">
        <f t="shared" si="1"/>
        <v/>
      </c>
      <c r="B140" s="223" t="s">
        <v>1081</v>
      </c>
      <c r="C140" s="224" t="str">
        <f>IFERROR(VLOOKUP(B140,MATERIALES!$A:$B,2,FALSE()),IFERROR(INDEX(COMPOSICIÓN!$E$2:$E$1879,MATCH(B140,COMPOSICIÓN!$D$2:$D$1879,0)),""))</f>
        <v>Tanque de Bombeo 500 lts (reutilizado)</v>
      </c>
      <c r="D140" s="225" t="str">
        <f>IFERROR(VLOOKUP(B140,MATERIALES!$A:$C,3,FALSE()),IFERROR(INDEX(COMPOSICIÓN!$F$2:$F$1879,MATCH(B140,COMPOSICIÓN!$D$2:$D$1879,0)),""))</f>
        <v>u</v>
      </c>
      <c r="E140" s="161">
        <f>SUMIFS(_PLAN_STG!$P$2:$P$1879,_PLAN_STG!$D$2:$D$1879,B140,_PLAN_STG!$B$2:$B$1879,"MAT",_PLAN_STG!$O$2:$O$1879,1)</f>
        <v>0</v>
      </c>
      <c r="F140" s="162">
        <f>IFERROR(VLOOKUP(B140,MATERIALES!$A:$D,4,FALSE()),IFERROR(INDEX(COMPOSICIÓN!$I$2:$I$1879,MATCH(B140,COMPOSICIÓN!$D$2:$D$1879,0)),0))</f>
        <v>150000</v>
      </c>
      <c r="G140" s="163">
        <f>SUMIFS(_PLAN_STG!$Q$2:$Q$1879,_PLAN_STG!$D$2:$D$1879,B140,_PLAN_STG!$B$2:$B$1879,"MAT",_PLAN_STG!$O$2:$O$1879,1)</f>
        <v>0</v>
      </c>
      <c r="H140" s="225" t="str">
        <f>IFERROR(INDEX(COMPOSICIÓN!$C$2:$C$1879,MATCH(B140,COMPOSICIÓN!$D$2:$D$1879,0)),"")</f>
        <v>OTR</v>
      </c>
      <c r="I140" s="226">
        <f>SUMPRODUCT((_PLAN_STG!$D$2:$D$1879=B140)*(_PLAN_STG!$B$2:$B$1879="MAT")*(_PLAN_STG!$O$2:$O$1879=1)*(_PLAN_STG!$P$2:$P$1879&gt;0))</f>
        <v>0</v>
      </c>
      <c r="J140" s="224" t="str">
        <f>IFERROR(VLOOKUP(B140,MATERIALES!$A:$G,7,FALSE()),"")</f>
        <v>Sanitarios</v>
      </c>
    </row>
    <row r="141" spans="1:10" x14ac:dyDescent="0.35">
      <c r="A141" s="222" t="str">
        <f t="shared" si="1"/>
        <v/>
      </c>
      <c r="B141" s="223" t="s">
        <v>1084</v>
      </c>
      <c r="C141" s="224" t="str">
        <f>IFERROR(VLOOKUP(B141,MATERIALES!$A:$B,2,FALSE()),IFERROR(INDEX(COMPOSICIÓN!$E$2:$E$1879,MATCH(B141,COMPOSICIÓN!$D$2:$D$1879,0)),""))</f>
        <v xml:space="preserve">Bomba pres (reutilizada) </v>
      </c>
      <c r="D141" s="225" t="str">
        <f>IFERROR(VLOOKUP(B141,MATERIALES!$A:$C,3,FALSE()),IFERROR(INDEX(COMPOSICIÓN!$F$2:$F$1879,MATCH(B141,COMPOSICIÓN!$D$2:$D$1879,0)),""))</f>
        <v>u</v>
      </c>
      <c r="E141" s="161">
        <f>SUMIFS(_PLAN_STG!$P$2:$P$1879,_PLAN_STG!$D$2:$D$1879,B141,_PLAN_STG!$B$2:$B$1879,"MAT",_PLAN_STG!$O$2:$O$1879,1)</f>
        <v>0</v>
      </c>
      <c r="F141" s="162">
        <f>IFERROR(VLOOKUP(B141,MATERIALES!$A:$D,4,FALSE()),IFERROR(INDEX(COMPOSICIÓN!$I$2:$I$1879,MATCH(B141,COMPOSICIÓN!$D$2:$D$1879,0)),0))</f>
        <v>200000</v>
      </c>
      <c r="G141" s="163">
        <f>SUMIFS(_PLAN_STG!$Q$2:$Q$1879,_PLAN_STG!$D$2:$D$1879,B141,_PLAN_STG!$B$2:$B$1879,"MAT",_PLAN_STG!$O$2:$O$1879,1)</f>
        <v>0</v>
      </c>
      <c r="H141" s="225" t="str">
        <f>IFERROR(INDEX(COMPOSICIÓN!$C$2:$C$1879,MATCH(B141,COMPOSICIÓN!$D$2:$D$1879,0)),"")</f>
        <v>OTR</v>
      </c>
      <c r="I141" s="226">
        <f>SUMPRODUCT((_PLAN_STG!$D$2:$D$1879=B141)*(_PLAN_STG!$B$2:$B$1879="MAT")*(_PLAN_STG!$O$2:$O$1879=1)*(_PLAN_STG!$P$2:$P$1879&gt;0))</f>
        <v>0</v>
      </c>
      <c r="J141" s="224" t="str">
        <f>IFERROR(VLOOKUP(B141,MATERIALES!$A:$G,7,FALSE()),"")</f>
        <v>Sanitarios</v>
      </c>
    </row>
    <row r="142" spans="1:10" x14ac:dyDescent="0.35">
      <c r="A142" s="222" t="str">
        <f t="shared" si="1"/>
        <v/>
      </c>
      <c r="B142" s="223" t="s">
        <v>1086</v>
      </c>
      <c r="C142" s="224" t="str">
        <f>IFERROR(VLOOKUP(B142,MATERIALES!$A:$B,2,FALSE()),IFERROR(INDEX(COMPOSICIÓN!$E$2:$E$1879,MATCH(B142,COMPOSICIÓN!$D$2:$D$1879,0)),""))</f>
        <v xml:space="preserve">Flotante mecanico 1" + boya </v>
      </c>
      <c r="D142" s="225" t="str">
        <f>IFERROR(VLOOKUP(B142,MATERIALES!$A:$C,3,FALSE()),IFERROR(INDEX(COMPOSICIÓN!$F$2:$F$1879,MATCH(B142,COMPOSICIÓN!$D$2:$D$1879,0)),""))</f>
        <v>u</v>
      </c>
      <c r="E142" s="161">
        <f>SUMIFS(_PLAN_STG!$P$2:$P$1879,_PLAN_STG!$D$2:$D$1879,B142,_PLAN_STG!$B$2:$B$1879,"MAT",_PLAN_STG!$O$2:$O$1879,1)</f>
        <v>0</v>
      </c>
      <c r="F142" s="162">
        <f>IFERROR(VLOOKUP(B142,MATERIALES!$A:$D,4,FALSE()),IFERROR(INDEX(COMPOSICIÓN!$I$2:$I$1879,MATCH(B142,COMPOSICIÓN!$D$2:$D$1879,0)),0))</f>
        <v>50000</v>
      </c>
      <c r="G142" s="163">
        <f>SUMIFS(_PLAN_STG!$Q$2:$Q$1879,_PLAN_STG!$D$2:$D$1879,B142,_PLAN_STG!$B$2:$B$1879,"MAT",_PLAN_STG!$O$2:$O$1879,1)</f>
        <v>0</v>
      </c>
      <c r="H142" s="225" t="str">
        <f>IFERROR(INDEX(COMPOSICIÓN!$C$2:$C$1879,MATCH(B142,COMPOSICIÓN!$D$2:$D$1879,0)),"")</f>
        <v>OTR</v>
      </c>
      <c r="I142" s="226">
        <f>SUMPRODUCT((_PLAN_STG!$D$2:$D$1879=B142)*(_PLAN_STG!$B$2:$B$1879="MAT")*(_PLAN_STG!$O$2:$O$1879=1)*(_PLAN_STG!$P$2:$P$1879&gt;0))</f>
        <v>0</v>
      </c>
      <c r="J142" s="224" t="str">
        <f>IFERROR(VLOOKUP(B142,MATERIALES!$A:$G,7,FALSE()),"")</f>
        <v>Sanitarios</v>
      </c>
    </row>
    <row r="143" spans="1:10" x14ac:dyDescent="0.35">
      <c r="A143" s="222" t="str">
        <f t="shared" si="1"/>
        <v/>
      </c>
      <c r="B143" s="223" t="s">
        <v>1088</v>
      </c>
      <c r="C143" s="224" t="str">
        <f>IFERROR(VLOOKUP(B143,MATERIALES!$A:$B,2,FALSE()),IFERROR(INDEX(COMPOSICIÓN!$E$2:$E$1879,MATCH(B143,COMPOSICIÓN!$D$2:$D$1879,0)),""))</f>
        <v>Flotante automatico</v>
      </c>
      <c r="D143" s="225" t="str">
        <f>IFERROR(VLOOKUP(B143,MATERIALES!$A:$C,3,FALSE()),IFERROR(INDEX(COMPOSICIÓN!$F$2:$F$1879,MATCH(B143,COMPOSICIÓN!$D$2:$D$1879,0)),""))</f>
        <v>u</v>
      </c>
      <c r="E143" s="161">
        <f>SUMIFS(_PLAN_STG!$P$2:$P$1879,_PLAN_STG!$D$2:$D$1879,B143,_PLAN_STG!$B$2:$B$1879,"MAT",_PLAN_STG!$O$2:$O$1879,1)</f>
        <v>0</v>
      </c>
      <c r="F143" s="162">
        <f>IFERROR(VLOOKUP(B143,MATERIALES!$A:$D,4,FALSE()),IFERROR(INDEX(COMPOSICIÓN!$I$2:$I$1879,MATCH(B143,COMPOSICIÓN!$D$2:$D$1879,0)),0))</f>
        <v>10000</v>
      </c>
      <c r="G143" s="163">
        <f>SUMIFS(_PLAN_STG!$Q$2:$Q$1879,_PLAN_STG!$D$2:$D$1879,B143,_PLAN_STG!$B$2:$B$1879,"MAT",_PLAN_STG!$O$2:$O$1879,1)</f>
        <v>0</v>
      </c>
      <c r="H143" s="225" t="str">
        <f>IFERROR(INDEX(COMPOSICIÓN!$C$2:$C$1879,MATCH(B143,COMPOSICIÓN!$D$2:$D$1879,0)),"")</f>
        <v>OTR</v>
      </c>
      <c r="I143" s="226">
        <f>SUMPRODUCT((_PLAN_STG!$D$2:$D$1879=B143)*(_PLAN_STG!$B$2:$B$1879="MAT")*(_PLAN_STG!$O$2:$O$1879=1)*(_PLAN_STG!$P$2:$P$1879&gt;0))</f>
        <v>0</v>
      </c>
      <c r="J143" s="224" t="str">
        <f>IFERROR(VLOOKUP(B143,MATERIALES!$A:$G,7,FALSE()),"")</f>
        <v>Sanitarios</v>
      </c>
    </row>
    <row r="144" spans="1:10" x14ac:dyDescent="0.35">
      <c r="A144" s="222" t="str">
        <f t="shared" ref="A144:A207" si="2">IF(G144=0,"",ROW()-16+1)</f>
        <v/>
      </c>
      <c r="B144" s="223" t="s">
        <v>1090</v>
      </c>
      <c r="C144" s="224" t="str">
        <f>IFERROR(VLOOKUP(B144,MATERIALES!$A:$B,2,FALSE()),IFERROR(INDEX(COMPOSICIÓN!$E$2:$E$1879,MATCH(B144,COMPOSICIÓN!$D$2:$D$1879,0)),""))</f>
        <v>Caño 3/4"</v>
      </c>
      <c r="D144" s="225" t="str">
        <f>IFERROR(VLOOKUP(B144,MATERIALES!$A:$C,3,FALSE()),IFERROR(INDEX(COMPOSICIÓN!$F$2:$F$1879,MATCH(B144,COMPOSICIÓN!$D$2:$D$1879,0)),""))</f>
        <v>u</v>
      </c>
      <c r="E144" s="161">
        <f>SUMIFS(_PLAN_STG!$P$2:$P$1879,_PLAN_STG!$D$2:$D$1879,B144,_PLAN_STG!$B$2:$B$1879,"MAT",_PLAN_STG!$O$2:$O$1879,1)</f>
        <v>0</v>
      </c>
      <c r="F144" s="162">
        <f>IFERROR(VLOOKUP(B144,MATERIALES!$A:$D,4,FALSE()),IFERROR(INDEX(COMPOSICIÓN!$I$2:$I$1879,MATCH(B144,COMPOSICIÓN!$D$2:$D$1879,0)),0))</f>
        <v>10000</v>
      </c>
      <c r="G144" s="163">
        <f>SUMIFS(_PLAN_STG!$Q$2:$Q$1879,_PLAN_STG!$D$2:$D$1879,B144,_PLAN_STG!$B$2:$B$1879,"MAT",_PLAN_STG!$O$2:$O$1879,1)</f>
        <v>0</v>
      </c>
      <c r="H144" s="225" t="str">
        <f>IFERROR(INDEX(COMPOSICIÓN!$C$2:$C$1879,MATCH(B144,COMPOSICIÓN!$D$2:$D$1879,0)),"")</f>
        <v>OTR</v>
      </c>
      <c r="I144" s="226">
        <f>SUMPRODUCT((_PLAN_STG!$D$2:$D$1879=B144)*(_PLAN_STG!$B$2:$B$1879="MAT")*(_PLAN_STG!$O$2:$O$1879=1)*(_PLAN_STG!$P$2:$P$1879&gt;0))</f>
        <v>0</v>
      </c>
      <c r="J144" s="224" t="str">
        <f>IFERROR(VLOOKUP(B144,MATERIALES!$A:$G,7,FALSE()),"")</f>
        <v>Sanitarios</v>
      </c>
    </row>
    <row r="145" spans="1:10" x14ac:dyDescent="0.35">
      <c r="A145" s="222" t="str">
        <f t="shared" si="2"/>
        <v/>
      </c>
      <c r="B145" s="223" t="s">
        <v>1092</v>
      </c>
      <c r="C145" s="224" t="str">
        <f>IFERROR(VLOOKUP(B145,MATERIALES!$A:$B,2,FALSE()),IFERROR(INDEX(COMPOSICIÓN!$E$2:$E$1879,MATCH(B145,COMPOSICIÓN!$D$2:$D$1879,0)),""))</f>
        <v>Val. esf doble media union 1"</v>
      </c>
      <c r="D145" s="225" t="str">
        <f>IFERROR(VLOOKUP(B145,MATERIALES!$A:$C,3,FALSE()),IFERROR(INDEX(COMPOSICIÓN!$F$2:$F$1879,MATCH(B145,COMPOSICIÓN!$D$2:$D$1879,0)),""))</f>
        <v>u</v>
      </c>
      <c r="E145" s="161">
        <f>SUMIFS(_PLAN_STG!$P$2:$P$1879,_PLAN_STG!$D$2:$D$1879,B145,_PLAN_STG!$B$2:$B$1879,"MAT",_PLAN_STG!$O$2:$O$1879,1)</f>
        <v>0</v>
      </c>
      <c r="F145" s="162">
        <f>IFERROR(VLOOKUP(B145,MATERIALES!$A:$D,4,FALSE()),IFERROR(INDEX(COMPOSICIÓN!$I$2:$I$1879,MATCH(B145,COMPOSICIÓN!$D$2:$D$1879,0)),0))</f>
        <v>15000</v>
      </c>
      <c r="G145" s="163">
        <f>SUMIFS(_PLAN_STG!$Q$2:$Q$1879,_PLAN_STG!$D$2:$D$1879,B145,_PLAN_STG!$B$2:$B$1879,"MAT",_PLAN_STG!$O$2:$O$1879,1)</f>
        <v>0</v>
      </c>
      <c r="H145" s="225" t="str">
        <f>IFERROR(INDEX(COMPOSICIÓN!$C$2:$C$1879,MATCH(B145,COMPOSICIÓN!$D$2:$D$1879,0)),"")</f>
        <v>OTR</v>
      </c>
      <c r="I145" s="226">
        <f>SUMPRODUCT((_PLAN_STG!$D$2:$D$1879=B145)*(_PLAN_STG!$B$2:$B$1879="MAT")*(_PLAN_STG!$O$2:$O$1879=1)*(_PLAN_STG!$P$2:$P$1879&gt;0))</f>
        <v>0</v>
      </c>
      <c r="J145" s="224" t="str">
        <f>IFERROR(VLOOKUP(B145,MATERIALES!$A:$G,7,FALSE()),"")</f>
        <v>Sanitarios</v>
      </c>
    </row>
    <row r="146" spans="1:10" x14ac:dyDescent="0.35">
      <c r="A146" s="222" t="str">
        <f t="shared" si="2"/>
        <v/>
      </c>
      <c r="B146" s="223" t="s">
        <v>1094</v>
      </c>
      <c r="C146" s="224" t="str">
        <f>IFERROR(VLOOKUP(B146,MATERIALES!$A:$B,2,FALSE()),IFERROR(INDEX(COMPOSICIÓN!$E$2:$E$1879,MATCH(B146,COMPOSICIÓN!$D$2:$D$1879,0)),""))</f>
        <v xml:space="preserve">Canilla de pvc </v>
      </c>
      <c r="D146" s="225" t="str">
        <f>IFERROR(VLOOKUP(B146,MATERIALES!$A:$C,3,FALSE()),IFERROR(INDEX(COMPOSICIÓN!$F$2:$F$1879,MATCH(B146,COMPOSICIÓN!$D$2:$D$1879,0)),""))</f>
        <v>u</v>
      </c>
      <c r="E146" s="161">
        <f>SUMIFS(_PLAN_STG!$P$2:$P$1879,_PLAN_STG!$D$2:$D$1879,B146,_PLAN_STG!$B$2:$B$1879,"MAT",_PLAN_STG!$O$2:$O$1879,1)</f>
        <v>0</v>
      </c>
      <c r="F146" s="162">
        <f>IFERROR(VLOOKUP(B146,MATERIALES!$A:$D,4,FALSE()),IFERROR(INDEX(COMPOSICIÓN!$I$2:$I$1879,MATCH(B146,COMPOSICIÓN!$D$2:$D$1879,0)),0))</f>
        <v>2000</v>
      </c>
      <c r="G146" s="163">
        <f>SUMIFS(_PLAN_STG!$Q$2:$Q$1879,_PLAN_STG!$D$2:$D$1879,B146,_PLAN_STG!$B$2:$B$1879,"MAT",_PLAN_STG!$O$2:$O$1879,1)</f>
        <v>0</v>
      </c>
      <c r="H146" s="225" t="str">
        <f>IFERROR(INDEX(COMPOSICIÓN!$C$2:$C$1879,MATCH(B146,COMPOSICIÓN!$D$2:$D$1879,0)),"")</f>
        <v>OTR</v>
      </c>
      <c r="I146" s="226">
        <f>SUMPRODUCT((_PLAN_STG!$D$2:$D$1879=B146)*(_PLAN_STG!$B$2:$B$1879="MAT")*(_PLAN_STG!$O$2:$O$1879=1)*(_PLAN_STG!$P$2:$P$1879&gt;0))</f>
        <v>0</v>
      </c>
      <c r="J146" s="224" t="str">
        <f>IFERROR(VLOOKUP(B146,MATERIALES!$A:$G,7,FALSE()),"")</f>
        <v>Servicios</v>
      </c>
    </row>
    <row r="147" spans="1:10" x14ac:dyDescent="0.35">
      <c r="A147" s="222" t="str">
        <f t="shared" si="2"/>
        <v/>
      </c>
      <c r="B147" s="223" t="s">
        <v>1096</v>
      </c>
      <c r="C147" s="224" t="str">
        <f>IFERROR(VLOOKUP(B147,MATERIALES!$A:$B,2,FALSE()),IFERROR(INDEX(COMPOSICIÓN!$E$2:$E$1879,MATCH(B147,COMPOSICIÓN!$D$2:$D$1879,0)),""))</f>
        <v>Desperdicio</v>
      </c>
      <c r="D147" s="225" t="str">
        <f>IFERROR(VLOOKUP(B147,MATERIALES!$A:$C,3,FALSE()),IFERROR(INDEX(COMPOSICIÓN!$F$2:$F$1879,MATCH(B147,COMPOSICIÓN!$D$2:$D$1879,0)),""))</f>
        <v>gl</v>
      </c>
      <c r="E147" s="161">
        <f>SUMIFS(_PLAN_STG!$P$2:$P$1879,_PLAN_STG!$D$2:$D$1879,B147,_PLAN_STG!$B$2:$B$1879,"MAT",_PLAN_STG!$O$2:$O$1879,1)</f>
        <v>0</v>
      </c>
      <c r="F147" s="162">
        <f>IFERROR(VLOOKUP(B147,MATERIALES!$A:$D,4,FALSE()),IFERROR(INDEX(COMPOSICIÓN!$I$2:$I$1879,MATCH(B147,COMPOSICIÓN!$D$2:$D$1879,0)),0))</f>
        <v>571000</v>
      </c>
      <c r="G147" s="163">
        <f>SUMIFS(_PLAN_STG!$Q$2:$Q$1879,_PLAN_STG!$D$2:$D$1879,B147,_PLAN_STG!$B$2:$B$1879,"MAT",_PLAN_STG!$O$2:$O$1879,1)</f>
        <v>0</v>
      </c>
      <c r="H147" s="225" t="str">
        <f>IFERROR(INDEX(COMPOSICIÓN!$C$2:$C$1879,MATCH(B147,COMPOSICIÓN!$D$2:$D$1879,0)),"")</f>
        <v>OTR</v>
      </c>
      <c r="I147" s="226">
        <f>SUMPRODUCT((_PLAN_STG!$D$2:$D$1879=B147)*(_PLAN_STG!$B$2:$B$1879="MAT")*(_PLAN_STG!$O$2:$O$1879=1)*(_PLAN_STG!$P$2:$P$1879&gt;0))</f>
        <v>0</v>
      </c>
      <c r="J147" s="224" t="str">
        <f>IFERROR(VLOOKUP(B147,MATERIALES!$A:$G,7,FALSE()),"")</f>
        <v>Servicios</v>
      </c>
    </row>
    <row r="148" spans="1:10" x14ac:dyDescent="0.35">
      <c r="A148" s="222" t="str">
        <f t="shared" si="2"/>
        <v/>
      </c>
      <c r="B148" s="223" t="s">
        <v>1098</v>
      </c>
      <c r="C148" s="224" t="str">
        <f>IFERROR(VLOOKUP(B148,MATERIALES!$A:$B,2,FALSE()),IFERROR(INDEX(COMPOSICIÓN!$E$2:$E$1879,MATCH(B148,COMPOSICIÓN!$D$2:$D$1879,0)),""))</f>
        <v>Alquiler vibropison</v>
      </c>
      <c r="D148" s="225" t="str">
        <f>IFERROR(VLOOKUP(B148,MATERIALES!$A:$C,3,FALSE()),IFERROR(INDEX(COMPOSICIÓN!$F$2:$F$1879,MATCH(B148,COMPOSICIÓN!$D$2:$D$1879,0)),""))</f>
        <v>d</v>
      </c>
      <c r="E148" s="161">
        <f>SUMIFS(_PLAN_STG!$P$2:$P$1879,_PLAN_STG!$D$2:$D$1879,B148,_PLAN_STG!$B$2:$B$1879,"MAT",_PLAN_STG!$O$2:$O$1879,1)</f>
        <v>0</v>
      </c>
      <c r="F148" s="162">
        <f>IFERROR(VLOOKUP(B148,MATERIALES!$A:$D,4,FALSE()),IFERROR(INDEX(COMPOSICIÓN!$I$2:$I$1879,MATCH(B148,COMPOSICIÓN!$D$2:$D$1879,0)),0))</f>
        <v>15000</v>
      </c>
      <c r="G148" s="163">
        <f>SUMIFS(_PLAN_STG!$Q$2:$Q$1879,_PLAN_STG!$D$2:$D$1879,B148,_PLAN_STG!$B$2:$B$1879,"MAT",_PLAN_STG!$O$2:$O$1879,1)</f>
        <v>0</v>
      </c>
      <c r="H148" s="225" t="str">
        <f>IFERROR(INDEX(COMPOSICIÓN!$C$2:$C$1879,MATCH(B148,COMPOSICIÓN!$D$2:$D$1879,0)),"")</f>
        <v>OTR</v>
      </c>
      <c r="I148" s="226">
        <f>SUMPRODUCT((_PLAN_STG!$D$2:$D$1879=B148)*(_PLAN_STG!$B$2:$B$1879="MAT")*(_PLAN_STG!$O$2:$O$1879=1)*(_PLAN_STG!$P$2:$P$1879&gt;0))</f>
        <v>0</v>
      </c>
      <c r="J148" s="224" t="str">
        <f>IFERROR(VLOOKUP(B148,MATERIALES!$A:$G,7,FALSE()),"")</f>
        <v>Servicios</v>
      </c>
    </row>
    <row r="149" spans="1:10" x14ac:dyDescent="0.35">
      <c r="A149" s="222" t="str">
        <f t="shared" si="2"/>
        <v/>
      </c>
      <c r="B149" s="223" t="s">
        <v>1101</v>
      </c>
      <c r="C149" s="224" t="str">
        <f>IFERROR(VLOOKUP(B149,MATERIALES!$A:$B,2,FALSE()),IFERROR(INDEX(COMPOSICIÓN!$E$2:$E$1879,MATCH(B149,COMPOSICIÓN!$D$2:$D$1879,0)),""))</f>
        <v>Excavación manual para vigas de fundación</v>
      </c>
      <c r="D149" s="225" t="str">
        <f>IFERROR(VLOOKUP(B149,MATERIALES!$A:$C,3,FALSE()),IFERROR(INDEX(COMPOSICIÓN!$F$2:$F$1879,MATCH(B149,COMPOSICIÓN!$D$2:$D$1879,0)),""))</f>
        <v>m3</v>
      </c>
      <c r="E149" s="161">
        <f>SUMIFS(_PLAN_STG!$P$2:$P$1879,_PLAN_STG!$D$2:$D$1879,B149,_PLAN_STG!$B$2:$B$1879,"MAT",_PLAN_STG!$O$2:$O$1879,1)</f>
        <v>0</v>
      </c>
      <c r="F149" s="162">
        <f>IFERROR(VLOOKUP(B149,MATERIALES!$A:$D,4,FALSE()),IFERROR(INDEX(COMPOSICIÓN!$I$2:$I$1879,MATCH(B149,COMPOSICIÓN!$D$2:$D$1879,0)),0))</f>
        <v>26000</v>
      </c>
      <c r="G149" s="163">
        <f>SUMIFS(_PLAN_STG!$Q$2:$Q$1879,_PLAN_STG!$D$2:$D$1879,B149,_PLAN_STG!$B$2:$B$1879,"MAT",_PLAN_STG!$O$2:$O$1879,1)</f>
        <v>0</v>
      </c>
      <c r="H149" s="225" t="str">
        <f>IFERROR(INDEX(COMPOSICIÓN!$C$2:$C$1879,MATCH(B149,COMPOSICIÓN!$D$2:$D$1879,0)),"")</f>
        <v>OTR</v>
      </c>
      <c r="I149" s="226">
        <f>SUMPRODUCT((_PLAN_STG!$D$2:$D$1879=B149)*(_PLAN_STG!$B$2:$B$1879="MAT")*(_PLAN_STG!$O$2:$O$1879=1)*(_PLAN_STG!$P$2:$P$1879&gt;0))</f>
        <v>0</v>
      </c>
      <c r="J149" s="224" t="str">
        <f>IFERROR(VLOOKUP(B149,MATERIALES!$A:$G,7,FALSE()),"")</f>
        <v>Servicios</v>
      </c>
    </row>
    <row r="150" spans="1:10" x14ac:dyDescent="0.35">
      <c r="A150" s="222" t="str">
        <f t="shared" si="2"/>
        <v/>
      </c>
      <c r="B150" s="223" t="s">
        <v>1103</v>
      </c>
      <c r="C150" s="224" t="str">
        <f>IFERROR(VLOOKUP(B150,MATERIALES!$A:$B,2,FALSE()),IFERROR(INDEX(COMPOSICIÓN!$E$2:$E$1879,MATCH(B150,COMPOSICIÓN!$D$2:$D$1879,0)),""))</f>
        <v>H8</v>
      </c>
      <c r="D150" s="225" t="str">
        <f>IFERROR(VLOOKUP(B150,MATERIALES!$A:$C,3,FALSE()),IFERROR(INDEX(COMPOSICIÓN!$F$2:$F$1879,MATCH(B150,COMPOSICIÓN!$D$2:$D$1879,0)),""))</f>
        <v>m3</v>
      </c>
      <c r="E150" s="161">
        <f>SUMIFS(_PLAN_STG!$P$2:$P$1879,_PLAN_STG!$D$2:$D$1879,B150,_PLAN_STG!$B$2:$B$1879,"MAT",_PLAN_STG!$O$2:$O$1879,1)</f>
        <v>0</v>
      </c>
      <c r="F150" s="162">
        <f>IFERROR(VLOOKUP(B150,MATERIALES!$A:$D,4,FALSE()),IFERROR(INDEX(COMPOSICIÓN!$I$2:$I$1879,MATCH(B150,COMPOSICIÓN!$D$2:$D$1879,0)),0))</f>
        <v>115100</v>
      </c>
      <c r="G150" s="163">
        <f>SUMIFS(_PLAN_STG!$Q$2:$Q$1879,_PLAN_STG!$D$2:$D$1879,B150,_PLAN_STG!$B$2:$B$1879,"MAT",_PLAN_STG!$O$2:$O$1879,1)</f>
        <v>0</v>
      </c>
      <c r="H150" s="225" t="str">
        <f>IFERROR(INDEX(COMPOSICIÓN!$C$2:$C$1879,MATCH(B150,COMPOSICIÓN!$D$2:$D$1879,0)),"")</f>
        <v>OTR</v>
      </c>
      <c r="I150" s="226">
        <f>SUMPRODUCT((_PLAN_STG!$D$2:$D$1879=B150)*(_PLAN_STG!$B$2:$B$1879="MAT")*(_PLAN_STG!$O$2:$O$1879=1)*(_PLAN_STG!$P$2:$P$1879&gt;0))</f>
        <v>0</v>
      </c>
      <c r="J150" s="224" t="str">
        <f>IFERROR(VLOOKUP(B150,MATERIALES!$A:$G,7,FALSE()),"")</f>
        <v>Corralón</v>
      </c>
    </row>
    <row r="151" spans="1:10" x14ac:dyDescent="0.35">
      <c r="A151" s="222" t="str">
        <f t="shared" si="2"/>
        <v/>
      </c>
      <c r="B151" s="223" t="s">
        <v>1106</v>
      </c>
      <c r="C151" s="224" t="str">
        <f>IFERROR(VLOOKUP(B151,MATERIALES!$A:$B,2,FALSE()),IFERROR(INDEX(COMPOSICIÓN!$E$2:$E$1879,MATCH(B151,COMPOSICIÓN!$D$2:$D$1879,0)),""))</f>
        <v>Bomba</v>
      </c>
      <c r="D151" s="225" t="str">
        <f>IFERROR(VLOOKUP(B151,MATERIALES!$A:$C,3,FALSE()),IFERROR(INDEX(COMPOSICIÓN!$F$2:$F$1879,MATCH(B151,COMPOSICIÓN!$D$2:$D$1879,0)),""))</f>
        <v>u</v>
      </c>
      <c r="E151" s="161">
        <f>SUMIFS(_PLAN_STG!$P$2:$P$1879,_PLAN_STG!$D$2:$D$1879,B151,_PLAN_STG!$B$2:$B$1879,"MAT",_PLAN_STG!$O$2:$O$1879,1)</f>
        <v>0</v>
      </c>
      <c r="F151" s="162">
        <f>IFERROR(VLOOKUP(B151,MATERIALES!$A:$D,4,FALSE()),IFERROR(INDEX(COMPOSICIÓN!$I$2:$I$1879,MATCH(B151,COMPOSICIÓN!$D$2:$D$1879,0)),0))</f>
        <v>533000</v>
      </c>
      <c r="G151" s="163">
        <f>SUMIFS(_PLAN_STG!$Q$2:$Q$1879,_PLAN_STG!$D$2:$D$1879,B151,_PLAN_STG!$B$2:$B$1879,"MAT",_PLAN_STG!$O$2:$O$1879,1)</f>
        <v>0</v>
      </c>
      <c r="H151" s="225" t="str">
        <f>IFERROR(INDEX(COMPOSICIÓN!$C$2:$C$1879,MATCH(B151,COMPOSICIÓN!$D$2:$D$1879,0)),"")</f>
        <v>OTR</v>
      </c>
      <c r="I151" s="226">
        <f>SUMPRODUCT((_PLAN_STG!$D$2:$D$1879=B151)*(_PLAN_STG!$B$2:$B$1879="MAT")*(_PLAN_STG!$O$2:$O$1879=1)*(_PLAN_STG!$P$2:$P$1879&gt;0))</f>
        <v>0</v>
      </c>
      <c r="J151" s="224" t="str">
        <f>IFERROR(VLOOKUP(B151,MATERIALES!$A:$G,7,FALSE()),"")</f>
        <v>Servicios</v>
      </c>
    </row>
    <row r="152" spans="1:10" x14ac:dyDescent="0.35">
      <c r="A152" s="222">
        <f t="shared" si="2"/>
        <v>137</v>
      </c>
      <c r="B152" s="223" t="s">
        <v>1108</v>
      </c>
      <c r="C152" s="224" t="str">
        <f>IFERROR(VLOOKUP(B152,MATERIALES!$A:$B,2,FALSE()),IFERROR(INDEX(COMPOSICIÓN!$E$2:$E$1879,MATCH(B152,COMPOSICIÓN!$D$2:$D$1879,0)),""))</f>
        <v>Hierro del 6</v>
      </c>
      <c r="D152" s="225" t="str">
        <f>IFERROR(VLOOKUP(B152,MATERIALES!$A:$C,3,FALSE()),IFERROR(INDEX(COMPOSICIÓN!$F$2:$F$1879,MATCH(B152,COMPOSICIÓN!$D$2:$D$1879,0)),""))</f>
        <v>kg</v>
      </c>
      <c r="E152" s="161">
        <f>SUMIFS(_PLAN_STG!$P$2:$P$1879,_PLAN_STG!$D$2:$D$1879,B152,_PLAN_STG!$B$2:$B$1879,"MAT",_PLAN_STG!$O$2:$O$1879,1)</f>
        <v>366.9</v>
      </c>
      <c r="F152" s="162">
        <f>IFERROR(VLOOKUP(B152,MATERIALES!$A:$D,4,FALSE()),IFERROR(INDEX(COMPOSICIÓN!$I$2:$I$1879,MATCH(B152,COMPOSICIÓN!$D$2:$D$1879,0)),0))</f>
        <v>1704.41</v>
      </c>
      <c r="G152" s="163">
        <f>SUMIFS(_PLAN_STG!$Q$2:$Q$1879,_PLAN_STG!$D$2:$D$1879,B152,_PLAN_STG!$B$2:$B$1879,"MAT",_PLAN_STG!$O$2:$O$1879,1)</f>
        <v>625348.02899999998</v>
      </c>
      <c r="H152" s="225" t="str">
        <f>IFERROR(INDEX(COMPOSICIÓN!$C$2:$C$1879,MATCH(B152,COMPOSICIÓN!$D$2:$D$1879,0)),"")</f>
        <v>OTR</v>
      </c>
      <c r="I152" s="226">
        <f>SUMPRODUCT((_PLAN_STG!$D$2:$D$1879=B152)*(_PLAN_STG!$B$2:$B$1879="MAT")*(_PLAN_STG!$O$2:$O$1879=1)*(_PLAN_STG!$P$2:$P$1879&gt;0))</f>
        <v>3</v>
      </c>
      <c r="J152" s="224" t="str">
        <f>IFERROR(VLOOKUP(B152,MATERIALES!$A:$G,7,FALSE()),"")</f>
        <v>Corralón</v>
      </c>
    </row>
    <row r="153" spans="1:10" x14ac:dyDescent="0.35">
      <c r="A153" s="222" t="str">
        <f t="shared" si="2"/>
        <v/>
      </c>
      <c r="B153" s="223" t="s">
        <v>1111</v>
      </c>
      <c r="C153" s="224" t="str">
        <f>IFERROR(VLOOKUP(B153,MATERIALES!$A:$B,2,FALSE()),IFERROR(INDEX(COMPOSICIÓN!$E$2:$E$1879,MATCH(B153,COMPOSICIÓN!$D$2:$D$1879,0)),""))</f>
        <v>CEMENTO AVELLANEDA x 50 KG</v>
      </c>
      <c r="D153" s="225" t="str">
        <f>IFERROR(VLOOKUP(B153,MATERIALES!$A:$C,3,FALSE()),IFERROR(INDEX(COMPOSICIÓN!$F$2:$F$1879,MATCH(B153,COMPOSICIÓN!$D$2:$D$1879,0)),""))</f>
        <v>bol</v>
      </c>
      <c r="E153" s="161">
        <f>SUMIFS(_PLAN_STG!$P$2:$P$1879,_PLAN_STG!$D$2:$D$1879,B153,_PLAN_STG!$B$2:$B$1879,"MAT",_PLAN_STG!$O$2:$O$1879,1)</f>
        <v>0</v>
      </c>
      <c r="F153" s="162">
        <f>IFERROR(VLOOKUP(B153,MATERIALES!$A:$D,4,FALSE()),IFERROR(INDEX(COMPOSICIÓN!$I$2:$I$1879,MATCH(B153,COMPOSICIÓN!$D$2:$D$1879,0)),0))</f>
        <v>7809.48</v>
      </c>
      <c r="G153" s="163">
        <f>SUMIFS(_PLAN_STG!$Q$2:$Q$1879,_PLAN_STG!$D$2:$D$1879,B153,_PLAN_STG!$B$2:$B$1879,"MAT",_PLAN_STG!$O$2:$O$1879,1)</f>
        <v>0</v>
      </c>
      <c r="H153" s="225" t="str">
        <f>IFERROR(INDEX(COMPOSICIÓN!$C$2:$C$1879,MATCH(B153,COMPOSICIÓN!$D$2:$D$1879,0)),"")</f>
        <v>OTR</v>
      </c>
      <c r="I153" s="226">
        <f>SUMPRODUCT((_PLAN_STG!$D$2:$D$1879=B153)*(_PLAN_STG!$B$2:$B$1879="MAT")*(_PLAN_STG!$O$2:$O$1879=1)*(_PLAN_STG!$P$2:$P$1879&gt;0))</f>
        <v>0</v>
      </c>
      <c r="J153" s="224" t="str">
        <f>IFERROR(VLOOKUP(B153,MATERIALES!$A:$G,7,FALSE()),"")</f>
        <v>Corralón</v>
      </c>
    </row>
    <row r="154" spans="1:10" x14ac:dyDescent="0.35">
      <c r="A154" s="222" t="str">
        <f t="shared" si="2"/>
        <v/>
      </c>
      <c r="B154" s="223" t="s">
        <v>1113</v>
      </c>
      <c r="C154" s="224" t="str">
        <f>IFERROR(VLOOKUP(B154,MATERIALES!$A:$B,2,FALSE()),IFERROR(INDEX(COMPOSICIÓN!$E$2:$E$1879,MATCH(B154,COMPOSICIÓN!$D$2:$D$1879,0)),""))</f>
        <v>Tabique submuración - H35 (95 kg/m3 de hierro)</v>
      </c>
      <c r="D154" s="225" t="str">
        <f>IFERROR(VLOOKUP(B154,MATERIALES!$A:$C,3,FALSE()),IFERROR(INDEX(COMPOSICIÓN!$F$2:$F$1879,MATCH(B154,COMPOSICIÓN!$D$2:$D$1879,0)),""))</f>
        <v>m3</v>
      </c>
      <c r="E154" s="161">
        <f>SUMIFS(_PLAN_STG!$P$2:$P$1879,_PLAN_STG!$D$2:$D$1879,B154,_PLAN_STG!$B$2:$B$1879,"MAT",_PLAN_STG!$O$2:$O$1879,1)</f>
        <v>0</v>
      </c>
      <c r="F154" s="162">
        <f>IFERROR(VLOOKUP(B154,MATERIALES!$A:$D,4,FALSE()),IFERROR(INDEX(COMPOSICIÓN!$I$2:$I$1879,MATCH(B154,COMPOSICIÓN!$D$2:$D$1879,0)),0))</f>
        <v>402072.54172518197</v>
      </c>
      <c r="G154" s="163">
        <f>SUMIFS(_PLAN_STG!$Q$2:$Q$1879,_PLAN_STG!$D$2:$D$1879,B154,_PLAN_STG!$B$2:$B$1879,"MAT",_PLAN_STG!$O$2:$O$1879,1)</f>
        <v>0</v>
      </c>
      <c r="H154" s="225" t="str">
        <f>IFERROR(INDEX(COMPOSICIÓN!$C$2:$C$1879,MATCH(B154,COMPOSICIÓN!$D$2:$D$1879,0)),"")</f>
        <v>COR</v>
      </c>
      <c r="I154" s="226">
        <f>SUMPRODUCT((_PLAN_STG!$D$2:$D$1879=B154)*(_PLAN_STG!$B$2:$B$1879="MAT")*(_PLAN_STG!$O$2:$O$1879=1)*(_PLAN_STG!$P$2:$P$1879&gt;0))</f>
        <v>0</v>
      </c>
      <c r="J154" s="224" t="str">
        <f>IFERROR(VLOOKUP(B154,MATERIALES!$A:$G,7,FALSE()),"")</f>
        <v>Hormigón elaborado</v>
      </c>
    </row>
    <row r="155" spans="1:10" x14ac:dyDescent="0.35">
      <c r="A155" s="222" t="str">
        <f t="shared" si="2"/>
        <v/>
      </c>
      <c r="B155" s="223" t="s">
        <v>1115</v>
      </c>
      <c r="C155" s="224" t="str">
        <f>IFERROR(VLOOKUP(B155,MATERIALES!$A:$B,2,FALSE()),IFERROR(INDEX(COMPOSICIÓN!$E$2:$E$1879,MATCH(B155,COMPOSICIÓN!$D$2:$D$1879,0)),""))</f>
        <v>Zapata corrida tabique - H35 (120 kg/m3 de hierro)</v>
      </c>
      <c r="D155" s="225" t="str">
        <f>IFERROR(VLOOKUP(B155,MATERIALES!$A:$C,3,FALSE()),IFERROR(INDEX(COMPOSICIÓN!$F$2:$F$1879,MATCH(B155,COMPOSICIÓN!$D$2:$D$1879,0)),""))</f>
        <v>m3</v>
      </c>
      <c r="E155" s="161">
        <f>SUMIFS(_PLAN_STG!$P$2:$P$1879,_PLAN_STG!$D$2:$D$1879,B155,_PLAN_STG!$B$2:$B$1879,"MAT",_PLAN_STG!$O$2:$O$1879,1)</f>
        <v>0</v>
      </c>
      <c r="F155" s="162">
        <f>IFERROR(VLOOKUP(B155,MATERIALES!$A:$D,4,FALSE()),IFERROR(INDEX(COMPOSICIÓN!$I$2:$I$1879,MATCH(B155,COMPOSICIÓN!$D$2:$D$1879,0)),0))</f>
        <v>428196.58025620203</v>
      </c>
      <c r="G155" s="163">
        <f>SUMIFS(_PLAN_STG!$Q$2:$Q$1879,_PLAN_STG!$D$2:$D$1879,B155,_PLAN_STG!$B$2:$B$1879,"MAT",_PLAN_STG!$O$2:$O$1879,1)</f>
        <v>0</v>
      </c>
      <c r="H155" s="225" t="str">
        <f>IFERROR(INDEX(COMPOSICIÓN!$C$2:$C$1879,MATCH(B155,COMPOSICIÓN!$D$2:$D$1879,0)),"")</f>
        <v>COR</v>
      </c>
      <c r="I155" s="226">
        <f>SUMPRODUCT((_PLAN_STG!$D$2:$D$1879=B155)*(_PLAN_STG!$B$2:$B$1879="MAT")*(_PLAN_STG!$O$2:$O$1879=1)*(_PLAN_STG!$P$2:$P$1879&gt;0))</f>
        <v>0</v>
      </c>
      <c r="J155" s="224" t="str">
        <f>IFERROR(VLOOKUP(B155,MATERIALES!$A:$G,7,FALSE()),"")</f>
        <v>Hormigón elaborado</v>
      </c>
    </row>
    <row r="156" spans="1:10" x14ac:dyDescent="0.35">
      <c r="A156" s="222" t="str">
        <f t="shared" si="2"/>
        <v/>
      </c>
      <c r="B156" s="223" t="s">
        <v>1117</v>
      </c>
      <c r="C156" s="224" t="str">
        <f>IFERROR(VLOOKUP(B156,MATERIALES!$A:$B,2,FALSE()),IFERROR(INDEX(COMPOSICIÓN!$E$2:$E$1879,MATCH(B156,COMPOSICIÓN!$D$2:$D$1879,0)),""))</f>
        <v>Platea - H35 (95 kg/m3 de hierro)</v>
      </c>
      <c r="D156" s="225" t="str">
        <f>IFERROR(VLOOKUP(B156,MATERIALES!$A:$C,3,FALSE()),IFERROR(INDEX(COMPOSICIÓN!$F$2:$F$1879,MATCH(B156,COMPOSICIÓN!$D$2:$D$1879,0)),""))</f>
        <v>m3</v>
      </c>
      <c r="E156" s="161">
        <f>SUMIFS(_PLAN_STG!$P$2:$P$1879,_PLAN_STG!$D$2:$D$1879,B156,_PLAN_STG!$B$2:$B$1879,"MAT",_PLAN_STG!$O$2:$O$1879,1)</f>
        <v>0</v>
      </c>
      <c r="F156" s="162">
        <f>IFERROR(VLOOKUP(B156,MATERIALES!$A:$D,4,FALSE()),IFERROR(INDEX(COMPOSICIÓN!$I$2:$I$1879,MATCH(B156,COMPOSICIÓN!$D$2:$D$1879,0)),0))</f>
        <v>333700.50579037803</v>
      </c>
      <c r="G156" s="163">
        <f>SUMIFS(_PLAN_STG!$Q$2:$Q$1879,_PLAN_STG!$D$2:$D$1879,B156,_PLAN_STG!$B$2:$B$1879,"MAT",_PLAN_STG!$O$2:$O$1879,1)</f>
        <v>0</v>
      </c>
      <c r="H156" s="225" t="str">
        <f>IFERROR(INDEX(COMPOSICIÓN!$C$2:$C$1879,MATCH(B156,COMPOSICIÓN!$D$2:$D$1879,0)),"")</f>
        <v>COR</v>
      </c>
      <c r="I156" s="226">
        <f>SUMPRODUCT((_PLAN_STG!$D$2:$D$1879=B156)*(_PLAN_STG!$B$2:$B$1879="MAT")*(_PLAN_STG!$O$2:$O$1879=1)*(_PLAN_STG!$P$2:$P$1879&gt;0))</f>
        <v>0</v>
      </c>
      <c r="J156" s="224" t="str">
        <f>IFERROR(VLOOKUP(B156,MATERIALES!$A:$G,7,FALSE()),"")</f>
        <v>Hormigón elaborado</v>
      </c>
    </row>
    <row r="157" spans="1:10" x14ac:dyDescent="0.35">
      <c r="A157" s="222" t="str">
        <f t="shared" si="2"/>
        <v/>
      </c>
      <c r="B157" s="223" t="s">
        <v>1119</v>
      </c>
      <c r="C157" s="224" t="str">
        <f>IFERROR(VLOOKUP(B157,MATERIALES!$A:$B,2,FALSE()),IFERROR(INDEX(COMPOSICIÓN!$E$2:$E$1879,MATCH(B157,COMPOSICIÓN!$D$2:$D$1879,0)),""))</f>
        <v>Bases aisladas - (60 kg/m3 de hierro)</v>
      </c>
      <c r="D157" s="225" t="str">
        <f>IFERROR(VLOOKUP(B157,MATERIALES!$A:$C,3,FALSE()),IFERROR(INDEX(COMPOSICIÓN!$F$2:$F$1879,MATCH(B157,COMPOSICIÓN!$D$2:$D$1879,0)),""))</f>
        <v>m3</v>
      </c>
      <c r="E157" s="161">
        <f>SUMIFS(_PLAN_STG!$P$2:$P$1879,_PLAN_STG!$D$2:$D$1879,B157,_PLAN_STG!$B$2:$B$1879,"MAT",_PLAN_STG!$O$2:$O$1879,1)</f>
        <v>0</v>
      </c>
      <c r="F157" s="162">
        <f>IFERROR(VLOOKUP(B157,MATERIALES!$A:$D,4,FALSE()),IFERROR(INDEX(COMPOSICIÓN!$I$2:$I$1879,MATCH(B157,COMPOSICIÓN!$D$2:$D$1879,0)),0))</f>
        <v>275042.37829037802</v>
      </c>
      <c r="G157" s="163">
        <f>SUMIFS(_PLAN_STG!$Q$2:$Q$1879,_PLAN_STG!$D$2:$D$1879,B157,_PLAN_STG!$B$2:$B$1879,"MAT",_PLAN_STG!$O$2:$O$1879,1)</f>
        <v>0</v>
      </c>
      <c r="H157" s="225" t="str">
        <f>IFERROR(INDEX(COMPOSICIÓN!$C$2:$C$1879,MATCH(B157,COMPOSICIÓN!$D$2:$D$1879,0)),"")</f>
        <v>COR</v>
      </c>
      <c r="I157" s="226">
        <f>SUMPRODUCT((_PLAN_STG!$D$2:$D$1879=B157)*(_PLAN_STG!$B$2:$B$1879="MAT")*(_PLAN_STG!$O$2:$O$1879=1)*(_PLAN_STG!$P$2:$P$1879&gt;0))</f>
        <v>0</v>
      </c>
      <c r="J157" s="224" t="str">
        <f>IFERROR(VLOOKUP(B157,MATERIALES!$A:$G,7,FALSE()),"")</f>
        <v>Hormigón elaborado</v>
      </c>
    </row>
    <row r="158" spans="1:10" x14ac:dyDescent="0.35">
      <c r="A158" s="222" t="str">
        <f t="shared" si="2"/>
        <v/>
      </c>
      <c r="B158" s="223" t="s">
        <v>1121</v>
      </c>
      <c r="C158" s="224" t="str">
        <f>IFERROR(VLOOKUP(B158,MATERIALES!$A:$B,2,FALSE()),IFERROR(INDEX(COMPOSICIÓN!$E$2:$E$1879,MATCH(B158,COMPOSICIÓN!$D$2:$D$1879,0)),""))</f>
        <v>Troncos de columnas - H35 (240 kg/m3 de hierro)</v>
      </c>
      <c r="D158" s="225" t="str">
        <f>IFERROR(VLOOKUP(B158,MATERIALES!$A:$C,3,FALSE()),IFERROR(INDEX(COMPOSICIÓN!$F$2:$F$1879,MATCH(B158,COMPOSICIÓN!$D$2:$D$1879,0)),""))</f>
        <v>m3</v>
      </c>
      <c r="E158" s="161">
        <f>SUMIFS(_PLAN_STG!$P$2:$P$1879,_PLAN_STG!$D$2:$D$1879,B158,_PLAN_STG!$B$2:$B$1879,"MAT",_PLAN_STG!$O$2:$O$1879,1)</f>
        <v>0</v>
      </c>
      <c r="F158" s="162">
        <f>IFERROR(VLOOKUP(B158,MATERIALES!$A:$D,4,FALSE()),IFERROR(INDEX(COMPOSICIÓN!$I$2:$I$1879,MATCH(B158,COMPOSICIÓN!$D$2:$D$1879,0)),0))</f>
        <v>635192.71722613997</v>
      </c>
      <c r="G158" s="163">
        <f>SUMIFS(_PLAN_STG!$Q$2:$Q$1879,_PLAN_STG!$D$2:$D$1879,B158,_PLAN_STG!$B$2:$B$1879,"MAT",_PLAN_STG!$O$2:$O$1879,1)</f>
        <v>0</v>
      </c>
      <c r="H158" s="225" t="str">
        <f>IFERROR(INDEX(COMPOSICIÓN!$C$2:$C$1879,MATCH(B158,COMPOSICIÓN!$D$2:$D$1879,0)),"")</f>
        <v>COR</v>
      </c>
      <c r="I158" s="226">
        <f>SUMPRODUCT((_PLAN_STG!$D$2:$D$1879=B158)*(_PLAN_STG!$B$2:$B$1879="MAT")*(_PLAN_STG!$O$2:$O$1879=1)*(_PLAN_STG!$P$2:$P$1879&gt;0))</f>
        <v>0</v>
      </c>
      <c r="J158" s="224" t="str">
        <f>IFERROR(VLOOKUP(B158,MATERIALES!$A:$G,7,FALSE()),"")</f>
        <v>Hormigón elaborado</v>
      </c>
    </row>
    <row r="159" spans="1:10" x14ac:dyDescent="0.35">
      <c r="A159" s="222" t="str">
        <f t="shared" si="2"/>
        <v/>
      </c>
      <c r="B159" s="223" t="s">
        <v>1123</v>
      </c>
      <c r="C159" s="224" t="str">
        <f>IFERROR(VLOOKUP(B159,MATERIALES!$A:$B,2,FALSE()),IFERROR(INDEX(COMPOSICIÓN!$E$2:$E$1879,MATCH(B159,COMPOSICIÓN!$D$2:$D$1879,0)),""))</f>
        <v>Viga de encadenado - H35 (180 kg/m3 de hierro)</v>
      </c>
      <c r="D159" s="225" t="str">
        <f>IFERROR(VLOOKUP(B159,MATERIALES!$A:$C,3,FALSE()),IFERROR(INDEX(COMPOSICIÓN!$F$2:$F$1879,MATCH(B159,COMPOSICIÓN!$D$2:$D$1879,0)),""))</f>
        <v>m3</v>
      </c>
      <c r="E159" s="161">
        <f>SUMIFS(_PLAN_STG!$P$2:$P$1879,_PLAN_STG!$D$2:$D$1879,B159,_PLAN_STG!$B$2:$B$1879,"MAT",_PLAN_STG!$O$2:$O$1879,1)</f>
        <v>0</v>
      </c>
      <c r="F159" s="162">
        <f>IFERROR(VLOOKUP(B159,MATERIALES!$A:$D,4,FALSE()),IFERROR(INDEX(COMPOSICIÓN!$I$2:$I$1879,MATCH(B159,COMPOSICIÓN!$D$2:$D$1879,0)),0))</f>
        <v>528753.37025620299</v>
      </c>
      <c r="G159" s="163">
        <f>SUMIFS(_PLAN_STG!$Q$2:$Q$1879,_PLAN_STG!$D$2:$D$1879,B159,_PLAN_STG!$B$2:$B$1879,"MAT",_PLAN_STG!$O$2:$O$1879,1)</f>
        <v>0</v>
      </c>
      <c r="H159" s="225" t="str">
        <f>IFERROR(INDEX(COMPOSICIÓN!$C$2:$C$1879,MATCH(B159,COMPOSICIÓN!$D$2:$D$1879,0)),"")</f>
        <v>COR</v>
      </c>
      <c r="I159" s="226">
        <f>SUMPRODUCT((_PLAN_STG!$D$2:$D$1879=B159)*(_PLAN_STG!$B$2:$B$1879="MAT")*(_PLAN_STG!$O$2:$O$1879=1)*(_PLAN_STG!$P$2:$P$1879&gt;0))</f>
        <v>0</v>
      </c>
      <c r="J159" s="224" t="str">
        <f>IFERROR(VLOOKUP(B159,MATERIALES!$A:$G,7,FALSE()),"")</f>
        <v>Hormigón elaborado</v>
      </c>
    </row>
    <row r="160" spans="1:10" x14ac:dyDescent="0.35">
      <c r="A160" s="222" t="str">
        <f t="shared" si="2"/>
        <v/>
      </c>
      <c r="B160" s="223" t="s">
        <v>1125</v>
      </c>
      <c r="C160" s="224" t="str">
        <f>IFERROR(VLOOKUP(B160,MATERIALES!$A:$B,2,FALSE()),IFERROR(INDEX(COMPOSICIÓN!$E$2:$E$1879,MATCH(B160,COMPOSICIÓN!$D$2:$D$1879,0)),""))</f>
        <v>Losa maciza - H35 (100 kg/m3 de hierro)</v>
      </c>
      <c r="D160" s="225" t="str">
        <f>IFERROR(VLOOKUP(B160,MATERIALES!$A:$C,3,FALSE()),IFERROR(INDEX(COMPOSICIÓN!$F$2:$F$1879,MATCH(B160,COMPOSICIÓN!$D$2:$D$1879,0)),""))</f>
        <v>m3</v>
      </c>
      <c r="E160" s="161">
        <f>SUMIFS(_PLAN_STG!$P$2:$P$1879,_PLAN_STG!$D$2:$D$1879,B160,_PLAN_STG!$B$2:$B$1879,"MAT",_PLAN_STG!$O$2:$O$1879,1)</f>
        <v>0</v>
      </c>
      <c r="F160" s="162">
        <f>IFERROR(VLOOKUP(B160,MATERIALES!$A:$D,4,FALSE()),IFERROR(INDEX(COMPOSICIÓN!$I$2:$I$1879,MATCH(B160,COMPOSICIÓN!$D$2:$D$1879,0)),0))</f>
        <v>372584.32994905498</v>
      </c>
      <c r="G160" s="163">
        <f>SUMIFS(_PLAN_STG!$Q$2:$Q$1879,_PLAN_STG!$D$2:$D$1879,B160,_PLAN_STG!$B$2:$B$1879,"MAT",_PLAN_STG!$O$2:$O$1879,1)</f>
        <v>0</v>
      </c>
      <c r="H160" s="225" t="str">
        <f>IFERROR(INDEX(COMPOSICIÓN!$C$2:$C$1879,MATCH(B160,COMPOSICIÓN!$D$2:$D$1879,0)),"")</f>
        <v>COR</v>
      </c>
      <c r="I160" s="226">
        <f>SUMPRODUCT((_PLAN_STG!$D$2:$D$1879=B160)*(_PLAN_STG!$B$2:$B$1879="MAT")*(_PLAN_STG!$O$2:$O$1879=1)*(_PLAN_STG!$P$2:$P$1879&gt;0))</f>
        <v>0</v>
      </c>
      <c r="J160" s="224" t="str">
        <f>IFERROR(VLOOKUP(B160,MATERIALES!$A:$G,7,FALSE()),"")</f>
        <v>Hormigón elaborado</v>
      </c>
    </row>
    <row r="161" spans="1:10" x14ac:dyDescent="0.35">
      <c r="A161" s="222" t="str">
        <f t="shared" si="2"/>
        <v/>
      </c>
      <c r="B161" s="223" t="s">
        <v>1127</v>
      </c>
      <c r="C161" s="224" t="str">
        <f>IFERROR(VLOOKUP(B161,MATERIALES!$A:$B,2,FALSE()),IFERROR(INDEX(COMPOSICIÓN!$E$2:$E$1879,MATCH(B161,COMPOSICIÓN!$D$2:$D$1879,0)),""))</f>
        <v xml:space="preserve">Losa maciza de Hº visto - H35 (100 kg/m3 de hierro) </v>
      </c>
      <c r="D161" s="225" t="str">
        <f>IFERROR(VLOOKUP(B161,MATERIALES!$A:$C,3,FALSE()),IFERROR(INDEX(COMPOSICIÓN!$F$2:$F$1879,MATCH(B161,COMPOSICIÓN!$D$2:$D$1879,0)),""))</f>
        <v>m3</v>
      </c>
      <c r="E161" s="161">
        <f>SUMIFS(_PLAN_STG!$P$2:$P$1879,_PLAN_STG!$D$2:$D$1879,B161,_PLAN_STG!$B$2:$B$1879,"MAT",_PLAN_STG!$O$2:$O$1879,1)</f>
        <v>0</v>
      </c>
      <c r="F161" s="162">
        <f>IFERROR(VLOOKUP(B161,MATERIALES!$A:$D,4,FALSE()),IFERROR(INDEX(COMPOSICIÓN!$I$2:$I$1879,MATCH(B161,COMPOSICIÓN!$D$2:$D$1879,0)),0))</f>
        <v>379758.83388002298</v>
      </c>
      <c r="G161" s="163">
        <f>SUMIFS(_PLAN_STG!$Q$2:$Q$1879,_PLAN_STG!$D$2:$D$1879,B161,_PLAN_STG!$B$2:$B$1879,"MAT",_PLAN_STG!$O$2:$O$1879,1)</f>
        <v>0</v>
      </c>
      <c r="H161" s="225" t="str">
        <f>IFERROR(INDEX(COMPOSICIÓN!$C$2:$C$1879,MATCH(B161,COMPOSICIÓN!$D$2:$D$1879,0)),"")</f>
        <v>COR</v>
      </c>
      <c r="I161" s="226">
        <f>SUMPRODUCT((_PLAN_STG!$D$2:$D$1879=B161)*(_PLAN_STG!$B$2:$B$1879="MAT")*(_PLAN_STG!$O$2:$O$1879=1)*(_PLAN_STG!$P$2:$P$1879&gt;0))</f>
        <v>0</v>
      </c>
      <c r="J161" s="224" t="str">
        <f>IFERROR(VLOOKUP(B161,MATERIALES!$A:$G,7,FALSE()),"")</f>
        <v>Hormigón elaborado</v>
      </c>
    </row>
    <row r="162" spans="1:10" x14ac:dyDescent="0.35">
      <c r="A162" s="222" t="str">
        <f t="shared" si="2"/>
        <v/>
      </c>
      <c r="B162" s="223" t="s">
        <v>1130</v>
      </c>
      <c r="C162" s="224" t="str">
        <f>IFERROR(VLOOKUP(B162,MATERIALES!$A:$B,2,FALSE()),IFERROR(INDEX(COMPOSICIÓN!$E$2:$E$1879,MATCH(B162,COMPOSICIÓN!$D$2:$D$1879,0)),""))</f>
        <v>Vigas - H35 (180 kg/m3 de hierro)</v>
      </c>
      <c r="D162" s="225" t="str">
        <f>IFERROR(VLOOKUP(B162,MATERIALES!$A:$C,3,FALSE()),IFERROR(INDEX(COMPOSICIÓN!$F$2:$F$1879,MATCH(B162,COMPOSICIÓN!$D$2:$D$1879,0)),""))</f>
        <v>m3</v>
      </c>
      <c r="E162" s="161">
        <f>SUMIFS(_PLAN_STG!$P$2:$P$1879,_PLAN_STG!$D$2:$D$1879,B162,_PLAN_STG!$B$2:$B$1879,"MAT",_PLAN_STG!$O$2:$O$1879,1)</f>
        <v>0</v>
      </c>
      <c r="F162" s="162">
        <f>IFERROR(VLOOKUP(B162,MATERIALES!$A:$D,4,FALSE()),IFERROR(INDEX(COMPOSICIÓN!$I$2:$I$1879,MATCH(B162,COMPOSICIÓN!$D$2:$D$1879,0)),0))</f>
        <v>567913.50664448505</v>
      </c>
      <c r="G162" s="163">
        <f>SUMIFS(_PLAN_STG!$Q$2:$Q$1879,_PLAN_STG!$D$2:$D$1879,B162,_PLAN_STG!$B$2:$B$1879,"MAT",_PLAN_STG!$O$2:$O$1879,1)</f>
        <v>0</v>
      </c>
      <c r="H162" s="225" t="str">
        <f>IFERROR(INDEX(COMPOSICIÓN!$C$2:$C$1879,MATCH(B162,COMPOSICIÓN!$D$2:$D$1879,0)),"")</f>
        <v>COR</v>
      </c>
      <c r="I162" s="226">
        <f>SUMPRODUCT((_PLAN_STG!$D$2:$D$1879=B162)*(_PLAN_STG!$B$2:$B$1879="MAT")*(_PLAN_STG!$O$2:$O$1879=1)*(_PLAN_STG!$P$2:$P$1879&gt;0))</f>
        <v>0</v>
      </c>
      <c r="J162" s="224" t="str">
        <f>IFERROR(VLOOKUP(B162,MATERIALES!$A:$G,7,FALSE()),"")</f>
        <v>Hormigón elaborado</v>
      </c>
    </row>
    <row r="163" spans="1:10" x14ac:dyDescent="0.35">
      <c r="A163" s="222" t="str">
        <f t="shared" si="2"/>
        <v/>
      </c>
      <c r="B163" s="223" t="s">
        <v>1132</v>
      </c>
      <c r="C163" s="224" t="str">
        <f>IFERROR(VLOOKUP(B163,MATERIALES!$A:$B,2,FALSE()),IFERROR(INDEX(COMPOSICIÓN!$E$2:$E$1879,MATCH(B163,COMPOSICIÓN!$D$2:$D$1879,0)),""))</f>
        <v xml:space="preserve">Vigas de H° visto - H35 (180 kg/m3 de hierro) </v>
      </c>
      <c r="D163" s="225" t="str">
        <f>IFERROR(VLOOKUP(B163,MATERIALES!$A:$C,3,FALSE()),IFERROR(INDEX(COMPOSICIÓN!$F$2:$F$1879,MATCH(B163,COMPOSICIÓN!$D$2:$D$1879,0)),""))</f>
        <v>m3</v>
      </c>
      <c r="E163" s="161">
        <f>SUMIFS(_PLAN_STG!$P$2:$P$1879,_PLAN_STG!$D$2:$D$1879,B163,_PLAN_STG!$B$2:$B$1879,"MAT",_PLAN_STG!$O$2:$O$1879,1)</f>
        <v>0</v>
      </c>
      <c r="F163" s="162">
        <f>IFERROR(VLOOKUP(B163,MATERIALES!$A:$D,4,FALSE()),IFERROR(INDEX(COMPOSICIÓN!$I$2:$I$1879,MATCH(B163,COMPOSICIÓN!$D$2:$D$1879,0)),0))</f>
        <v>565756.86506570596</v>
      </c>
      <c r="G163" s="163">
        <f>SUMIFS(_PLAN_STG!$Q$2:$Q$1879,_PLAN_STG!$D$2:$D$1879,B163,_PLAN_STG!$B$2:$B$1879,"MAT",_PLAN_STG!$O$2:$O$1879,1)</f>
        <v>0</v>
      </c>
      <c r="H163" s="225" t="str">
        <f>IFERROR(INDEX(COMPOSICIÓN!$C$2:$C$1879,MATCH(B163,COMPOSICIÓN!$D$2:$D$1879,0)),"")</f>
        <v>COR</v>
      </c>
      <c r="I163" s="226">
        <f>SUMPRODUCT((_PLAN_STG!$D$2:$D$1879=B163)*(_PLAN_STG!$B$2:$B$1879="MAT")*(_PLAN_STG!$O$2:$O$1879=1)*(_PLAN_STG!$P$2:$P$1879&gt;0))</f>
        <v>0</v>
      </c>
      <c r="J163" s="224" t="str">
        <f>IFERROR(VLOOKUP(B163,MATERIALES!$A:$G,7,FALSE()),"")</f>
        <v>Hormigón elaborado</v>
      </c>
    </row>
    <row r="164" spans="1:10" x14ac:dyDescent="0.35">
      <c r="A164" s="222" t="str">
        <f t="shared" si="2"/>
        <v/>
      </c>
      <c r="B164" s="223" t="s">
        <v>1135</v>
      </c>
      <c r="C164" s="224" t="str">
        <f>IFERROR(VLOOKUP(B164,MATERIALES!$A:$B,2,FALSE()),IFERROR(INDEX(COMPOSICIÓN!$E$2:$E$1879,MATCH(B164,COMPOSICIÓN!$D$2:$D$1879,0)),""))</f>
        <v>Tabiques - H35 (100 kg/m3 de hierro)</v>
      </c>
      <c r="D164" s="225" t="str">
        <f>IFERROR(VLOOKUP(B164,MATERIALES!$A:$C,3,FALSE()),IFERROR(INDEX(COMPOSICIÓN!$F$2:$F$1879,MATCH(B164,COMPOSICIÓN!$D$2:$D$1879,0)),""))</f>
        <v>m3</v>
      </c>
      <c r="E164" s="161">
        <f>SUMIFS(_PLAN_STG!$P$2:$P$1879,_PLAN_STG!$D$2:$D$1879,B164,_PLAN_STG!$B$2:$B$1879,"MAT",_PLAN_STG!$O$2:$O$1879,1)</f>
        <v>0</v>
      </c>
      <c r="F164" s="162">
        <f>IFERROR(VLOOKUP(B164,MATERIALES!$A:$D,4,FALSE()),IFERROR(INDEX(COMPOSICIÓN!$I$2:$I$1879,MATCH(B164,COMPOSICIÓN!$D$2:$D$1879,0)),0))</f>
        <v>410452.27422518202</v>
      </c>
      <c r="G164" s="163">
        <f>SUMIFS(_PLAN_STG!$Q$2:$Q$1879,_PLAN_STG!$D$2:$D$1879,B164,_PLAN_STG!$B$2:$B$1879,"MAT",_PLAN_STG!$O$2:$O$1879,1)</f>
        <v>0</v>
      </c>
      <c r="H164" s="225" t="str">
        <f>IFERROR(INDEX(COMPOSICIÓN!$C$2:$C$1879,MATCH(B164,COMPOSICIÓN!$D$2:$D$1879,0)),"")</f>
        <v>COR</v>
      </c>
      <c r="I164" s="226">
        <f>SUMPRODUCT((_PLAN_STG!$D$2:$D$1879=B164)*(_PLAN_STG!$B$2:$B$1879="MAT")*(_PLAN_STG!$O$2:$O$1879=1)*(_PLAN_STG!$P$2:$P$1879&gt;0))</f>
        <v>0</v>
      </c>
      <c r="J164" s="224" t="str">
        <f>IFERROR(VLOOKUP(B164,MATERIALES!$A:$G,7,FALSE()),"")</f>
        <v>Hormigón elaborado</v>
      </c>
    </row>
    <row r="165" spans="1:10" x14ac:dyDescent="0.35">
      <c r="A165" s="222" t="str">
        <f t="shared" si="2"/>
        <v/>
      </c>
      <c r="B165" s="223" t="s">
        <v>1137</v>
      </c>
      <c r="C165" s="224" t="str">
        <f>IFERROR(VLOOKUP(B165,MATERIALES!$A:$B,2,FALSE()),IFERROR(INDEX(COMPOSICIÓN!$E$2:$E$1879,MATCH(B165,COMPOSICIÓN!$D$2:$D$1879,0)),""))</f>
        <v>Columna - H35 (180 Kg/m3 de hierro)</v>
      </c>
      <c r="D165" s="225" t="str">
        <f>IFERROR(VLOOKUP(B165,MATERIALES!$A:$C,3,FALSE()),IFERROR(INDEX(COMPOSICIÓN!$F$2:$F$1879,MATCH(B165,COMPOSICIÓN!$D$2:$D$1879,0)),""))</f>
        <v>m3</v>
      </c>
      <c r="E165" s="161">
        <f>SUMIFS(_PLAN_STG!$P$2:$P$1879,_PLAN_STG!$D$2:$D$1879,B165,_PLAN_STG!$B$2:$B$1879,"MAT",_PLAN_STG!$O$2:$O$1879,1)</f>
        <v>0</v>
      </c>
      <c r="F165" s="162">
        <f>IFERROR(VLOOKUP(B165,MATERIALES!$A:$D,4,FALSE()),IFERROR(INDEX(COMPOSICIÓN!$I$2:$I$1879,MATCH(B165,COMPOSICIÓN!$D$2:$D$1879,0)),0))</f>
        <v>534635.92722614005</v>
      </c>
      <c r="G165" s="163">
        <f>SUMIFS(_PLAN_STG!$Q$2:$Q$1879,_PLAN_STG!$D$2:$D$1879,B165,_PLAN_STG!$B$2:$B$1879,"MAT",_PLAN_STG!$O$2:$O$1879,1)</f>
        <v>0</v>
      </c>
      <c r="H165" s="225" t="str">
        <f>IFERROR(INDEX(COMPOSICIÓN!$C$2:$C$1879,MATCH(B165,COMPOSICIÓN!$D$2:$D$1879,0)),"")</f>
        <v>COR</v>
      </c>
      <c r="I165" s="226">
        <f>SUMPRODUCT((_PLAN_STG!$D$2:$D$1879=B165)*(_PLAN_STG!$B$2:$B$1879="MAT")*(_PLAN_STG!$O$2:$O$1879=1)*(_PLAN_STG!$P$2:$P$1879&gt;0))</f>
        <v>0</v>
      </c>
      <c r="J165" s="224" t="str">
        <f>IFERROR(VLOOKUP(B165,MATERIALES!$A:$G,7,FALSE()),"")</f>
        <v>Hormigón elaborado</v>
      </c>
    </row>
    <row r="166" spans="1:10" x14ac:dyDescent="0.35">
      <c r="A166" s="222" t="str">
        <f t="shared" si="2"/>
        <v/>
      </c>
      <c r="B166" s="223" t="s">
        <v>1139</v>
      </c>
      <c r="C166" s="224" t="str">
        <f>IFERROR(VLOOKUP(B166,MATERIALES!$A:$B,2,FALSE()),IFERROR(INDEX(COMPOSICIÓN!$E$2:$E$1879,MATCH(B166,COMPOSICIÓN!$D$2:$D$1879,0)),""))</f>
        <v>Columna vista- H35 (180 Kg/m3 de hierro)</v>
      </c>
      <c r="D166" s="225" t="str">
        <f>IFERROR(VLOOKUP(B166,MATERIALES!$A:$C,3,FALSE()),IFERROR(INDEX(COMPOSICIÓN!$F$2:$F$1879,MATCH(B166,COMPOSICIÓN!$D$2:$D$1879,0)),""))</f>
        <v>m3</v>
      </c>
      <c r="E166" s="161">
        <f>SUMIFS(_PLAN_STG!$P$2:$P$1879,_PLAN_STG!$D$2:$D$1879,B166,_PLAN_STG!$B$2:$B$1879,"MAT",_PLAN_STG!$O$2:$O$1879,1)</f>
        <v>0</v>
      </c>
      <c r="F166" s="162">
        <f>IFERROR(VLOOKUP(B166,MATERIALES!$A:$D,4,FALSE()),IFERROR(INDEX(COMPOSICIÓN!$I$2:$I$1879,MATCH(B166,COMPOSICIÓN!$D$2:$D$1879,0)),0))</f>
        <v>543657.96059143299</v>
      </c>
      <c r="G166" s="163">
        <f>SUMIFS(_PLAN_STG!$Q$2:$Q$1879,_PLAN_STG!$D$2:$D$1879,B166,_PLAN_STG!$B$2:$B$1879,"MAT",_PLAN_STG!$O$2:$O$1879,1)</f>
        <v>0</v>
      </c>
      <c r="H166" s="225" t="str">
        <f>IFERROR(INDEX(COMPOSICIÓN!$C$2:$C$1879,MATCH(B166,COMPOSICIÓN!$D$2:$D$1879,0)),"")</f>
        <v>COR</v>
      </c>
      <c r="I166" s="226">
        <f>SUMPRODUCT((_PLAN_STG!$D$2:$D$1879=B166)*(_PLAN_STG!$B$2:$B$1879="MAT")*(_PLAN_STG!$O$2:$O$1879=1)*(_PLAN_STG!$P$2:$P$1879&gt;0))</f>
        <v>0</v>
      </c>
      <c r="J166" s="224" t="str">
        <f>IFERROR(VLOOKUP(B166,MATERIALES!$A:$G,7,FALSE()),"")</f>
        <v>Hormigón elaborado</v>
      </c>
    </row>
    <row r="167" spans="1:10" x14ac:dyDescent="0.35">
      <c r="A167" s="222" t="str">
        <f t="shared" si="2"/>
        <v/>
      </c>
      <c r="B167" s="223" t="s">
        <v>1141</v>
      </c>
      <c r="C167" s="224" t="str">
        <f>IFERROR(VLOOKUP(B167,MATERIALES!$A:$B,2,FALSE()),IFERROR(INDEX(COMPOSICIÓN!$E$2:$E$1879,MATCH(B167,COMPOSICIÓN!$D$2:$D$1879,0)),""))</f>
        <v>Escaleras de Hº visto - H35 (105 kg/m3 de hierro)</v>
      </c>
      <c r="D167" s="225" t="str">
        <f>IFERROR(VLOOKUP(B167,MATERIALES!$A:$C,3,FALSE()),IFERROR(INDEX(COMPOSICIÓN!$F$2:$F$1879,MATCH(B167,COMPOSICIÓN!$D$2:$D$1879,0)),""))</f>
        <v>m3</v>
      </c>
      <c r="E167" s="161">
        <f>SUMIFS(_PLAN_STG!$P$2:$P$1879,_PLAN_STG!$D$2:$D$1879,B167,_PLAN_STG!$B$2:$B$1879,"MAT",_PLAN_STG!$O$2:$O$1879,1)</f>
        <v>0</v>
      </c>
      <c r="F167" s="162">
        <f>IFERROR(VLOOKUP(B167,MATERIALES!$A:$D,4,FALSE()),IFERROR(INDEX(COMPOSICIÓN!$I$2:$I$1879,MATCH(B167,COMPOSICIÓN!$D$2:$D$1879,0)),0))</f>
        <v>416173.60204176803</v>
      </c>
      <c r="G167" s="163">
        <f>SUMIFS(_PLAN_STG!$Q$2:$Q$1879,_PLAN_STG!$D$2:$D$1879,B167,_PLAN_STG!$B$2:$B$1879,"MAT",_PLAN_STG!$O$2:$O$1879,1)</f>
        <v>0</v>
      </c>
      <c r="H167" s="225" t="str">
        <f>IFERROR(INDEX(COMPOSICIÓN!$C$2:$C$1879,MATCH(B167,COMPOSICIÓN!$D$2:$D$1879,0)),"")</f>
        <v>COR</v>
      </c>
      <c r="I167" s="226">
        <f>SUMPRODUCT((_PLAN_STG!$D$2:$D$1879=B167)*(_PLAN_STG!$B$2:$B$1879="MAT")*(_PLAN_STG!$O$2:$O$1879=1)*(_PLAN_STG!$P$2:$P$1879&gt;0))</f>
        <v>0</v>
      </c>
      <c r="J167" s="224" t="str">
        <f>IFERROR(VLOOKUP(B167,MATERIALES!$A:$G,7,FALSE()),"")</f>
        <v>Hormigón elaborado</v>
      </c>
    </row>
    <row r="168" spans="1:10" x14ac:dyDescent="0.35">
      <c r="A168" s="222" t="str">
        <f t="shared" si="2"/>
        <v/>
      </c>
      <c r="B168" s="223" t="s">
        <v>1143</v>
      </c>
      <c r="C168" s="224" t="str">
        <f>IFERROR(VLOOKUP(B168,MATERIALES!$A:$B,2,FALSE()),IFERROR(INDEX(COMPOSICIÓN!$E$2:$E$1879,MATCH(B168,COMPOSICIÓN!$D$2:$D$1879,0)),""))</f>
        <v>Tanques de HºAº - H35 (100 kg/m3 de hierro) - Tanque de reserva</v>
      </c>
      <c r="D168" s="225" t="str">
        <f>IFERROR(VLOOKUP(B168,MATERIALES!$A:$C,3,FALSE()),IFERROR(INDEX(COMPOSICIÓN!$F$2:$F$1879,MATCH(B168,COMPOSICIÓN!$D$2:$D$1879,0)),""))</f>
        <v>m3</v>
      </c>
      <c r="E168" s="161">
        <f>SUMIFS(_PLAN_STG!$P$2:$P$1879,_PLAN_STG!$D$2:$D$1879,B168,_PLAN_STG!$B$2:$B$1879,"MAT",_PLAN_STG!$O$2:$O$1879,1)</f>
        <v>0</v>
      </c>
      <c r="F168" s="162">
        <f>IFERROR(VLOOKUP(B168,MATERIALES!$A:$D,4,FALSE()),IFERROR(INDEX(COMPOSICIÓN!$I$2:$I$1879,MATCH(B168,COMPOSICIÓN!$D$2:$D$1879,0)),0))</f>
        <v>410452.27422518202</v>
      </c>
      <c r="G168" s="163">
        <f>SUMIFS(_PLAN_STG!$Q$2:$Q$1879,_PLAN_STG!$D$2:$D$1879,B168,_PLAN_STG!$B$2:$B$1879,"MAT",_PLAN_STG!$O$2:$O$1879,1)</f>
        <v>0</v>
      </c>
      <c r="H168" s="225" t="str">
        <f>IFERROR(INDEX(COMPOSICIÓN!$C$2:$C$1879,MATCH(B168,COMPOSICIÓN!$D$2:$D$1879,0)),"")</f>
        <v>COR</v>
      </c>
      <c r="I168" s="226">
        <f>SUMPRODUCT((_PLAN_STG!$D$2:$D$1879=B168)*(_PLAN_STG!$B$2:$B$1879="MAT")*(_PLAN_STG!$O$2:$O$1879=1)*(_PLAN_STG!$P$2:$P$1879&gt;0))</f>
        <v>0</v>
      </c>
      <c r="J168" s="224" t="str">
        <f>IFERROR(VLOOKUP(B168,MATERIALES!$A:$G,7,FALSE()),"")</f>
        <v>Hormigón elaborado</v>
      </c>
    </row>
    <row r="169" spans="1:10" x14ac:dyDescent="0.35">
      <c r="A169" s="222" t="str">
        <f t="shared" si="2"/>
        <v/>
      </c>
      <c r="B169" s="223" t="s">
        <v>1145</v>
      </c>
      <c r="C169" s="224" t="str">
        <f>IFERROR(VLOOKUP(B169,MATERIALES!$A:$B,2,FALSE()),IFERROR(INDEX(COMPOSICIÓN!$E$2:$E$1879,MATCH(B169,COMPOSICIÓN!$D$2:$D$1879,0)),""))</f>
        <v>Permiso de estacionamiento de bomba de hormigón a contramano</v>
      </c>
      <c r="D169" s="225" t="str">
        <f>IFERROR(VLOOKUP(B169,MATERIALES!$A:$C,3,FALSE()),IFERROR(INDEX(COMPOSICIÓN!$F$2:$F$1879,MATCH(B169,COMPOSICIÓN!$D$2:$D$1879,0)),""))</f>
        <v>gl</v>
      </c>
      <c r="E169" s="161">
        <f>SUMIFS(_PLAN_STG!$P$2:$P$1879,_PLAN_STG!$D$2:$D$1879,B169,_PLAN_STG!$B$2:$B$1879,"MAT",_PLAN_STG!$O$2:$O$1879,1)</f>
        <v>0</v>
      </c>
      <c r="F169" s="162">
        <f>IFERROR(VLOOKUP(B169,MATERIALES!$A:$D,4,FALSE()),IFERROR(INDEX(COMPOSICIÓN!$I$2:$I$1879,MATCH(B169,COMPOSICIÓN!$D$2:$D$1879,0)),0))</f>
        <v>51239.669421487597</v>
      </c>
      <c r="G169" s="163">
        <f>SUMIFS(_PLAN_STG!$Q$2:$Q$1879,_PLAN_STG!$D$2:$D$1879,B169,_PLAN_STG!$B$2:$B$1879,"MAT",_PLAN_STG!$O$2:$O$1879,1)</f>
        <v>0</v>
      </c>
      <c r="H169" s="225" t="str">
        <f>IFERROR(INDEX(COMPOSICIÓN!$C$2:$C$1879,MATCH(B169,COMPOSICIÓN!$D$2:$D$1879,0)),"")</f>
        <v>OTR</v>
      </c>
      <c r="I169" s="226">
        <f>SUMPRODUCT((_PLAN_STG!$D$2:$D$1879=B169)*(_PLAN_STG!$B$2:$B$1879="MAT")*(_PLAN_STG!$O$2:$O$1879=1)*(_PLAN_STG!$P$2:$P$1879&gt;0))</f>
        <v>0</v>
      </c>
      <c r="J169" s="224" t="str">
        <f>IFERROR(VLOOKUP(B169,MATERIALES!$A:$G,7,FALSE()),"")</f>
        <v>Servicios</v>
      </c>
    </row>
    <row r="170" spans="1:10" x14ac:dyDescent="0.35">
      <c r="A170" s="222" t="str">
        <f t="shared" si="2"/>
        <v/>
      </c>
      <c r="B170" s="223" t="s">
        <v>1150</v>
      </c>
      <c r="C170" s="224" t="str">
        <f>IFERROR(VLOOKUP(B170,MATERIALES!$A:$B,2,FALSE()),IFERROR(INDEX(COMPOSICIÓN!$E$2:$E$1879,MATCH(B170,COMPOSICIÓN!$D$2:$D$1879,0)),""))</f>
        <v>Volquetes</v>
      </c>
      <c r="D170" s="225" t="str">
        <f>IFERROR(VLOOKUP(B170,MATERIALES!$A:$C,3,FALSE()),IFERROR(INDEX(COMPOSICIÓN!$F$2:$F$1879,MATCH(B170,COMPOSICIÓN!$D$2:$D$1879,0)),""))</f>
        <v>u</v>
      </c>
      <c r="E170" s="161">
        <f>SUMIFS(_PLAN_STG!$P$2:$P$1879,_PLAN_STG!$D$2:$D$1879,B170,_PLAN_STG!$B$2:$B$1879,"MAT",_PLAN_STG!$O$2:$O$1879,1)</f>
        <v>0</v>
      </c>
      <c r="F170" s="162">
        <f>IFERROR(VLOOKUP(B170,MATERIALES!$A:$D,4,FALSE()),IFERROR(INDEX(COMPOSICIÓN!$I$2:$I$1879,MATCH(B170,COMPOSICIÓN!$D$2:$D$1879,0)),0))</f>
        <v>100000</v>
      </c>
      <c r="G170" s="163">
        <f>SUMIFS(_PLAN_STG!$Q$2:$Q$1879,_PLAN_STG!$D$2:$D$1879,B170,_PLAN_STG!$B$2:$B$1879,"MAT",_PLAN_STG!$O$2:$O$1879,1)</f>
        <v>0</v>
      </c>
      <c r="H170" s="225" t="str">
        <f>IFERROR(INDEX(COMPOSICIÓN!$C$2:$C$1879,MATCH(B170,COMPOSICIÓN!$D$2:$D$1879,0)),"")</f>
        <v>OTR</v>
      </c>
      <c r="I170" s="226">
        <f>SUMPRODUCT((_PLAN_STG!$D$2:$D$1879=B170)*(_PLAN_STG!$B$2:$B$1879="MAT")*(_PLAN_STG!$O$2:$O$1879=1)*(_PLAN_STG!$P$2:$P$1879&gt;0))</f>
        <v>0</v>
      </c>
      <c r="J170" s="224" t="str">
        <f>IFERROR(VLOOKUP(B170,MATERIALES!$A:$G,7,FALSE()),"")</f>
        <v>Servicios</v>
      </c>
    </row>
    <row r="171" spans="1:10" x14ac:dyDescent="0.35">
      <c r="A171" s="222">
        <f t="shared" si="2"/>
        <v>156</v>
      </c>
      <c r="B171" s="223" t="s">
        <v>1151</v>
      </c>
      <c r="C171" s="224" t="str">
        <f>IFERROR(VLOOKUP(B171,MATERIALES!$A:$B,2,FALSE()),IFERROR(INDEX(COMPOSICIÓN!$E$2:$E$1879,MATCH(B171,COMPOSICIÓN!$D$2:$D$1879,0)),""))</f>
        <v>Weber celublock x 30 kg</v>
      </c>
      <c r="D171" s="225" t="str">
        <f>IFERROR(VLOOKUP(B171,MATERIALES!$A:$C,3,FALSE()),IFERROR(INDEX(COMPOSICIÓN!$F$2:$F$1879,MATCH(B171,COMPOSICIÓN!$D$2:$D$1879,0)),""))</f>
        <v>bol</v>
      </c>
      <c r="E171" s="161">
        <f>SUMIFS(_PLAN_STG!$P$2:$P$1879,_PLAN_STG!$D$2:$D$1879,B171,_PLAN_STG!$B$2:$B$1879,"MAT",_PLAN_STG!$O$2:$O$1879,1)</f>
        <v>7</v>
      </c>
      <c r="F171" s="162">
        <f>IFERROR(VLOOKUP(B171,MATERIALES!$A:$D,4,FALSE()),IFERROR(INDEX(COMPOSICIÓN!$I$2:$I$1879,MATCH(B171,COMPOSICIÓN!$D$2:$D$1879,0)),0))</f>
        <v>9778.66</v>
      </c>
      <c r="G171" s="163">
        <f>SUMIFS(_PLAN_STG!$Q$2:$Q$1879,_PLAN_STG!$D$2:$D$1879,B171,_PLAN_STG!$B$2:$B$1879,"MAT",_PLAN_STG!$O$2:$O$1879,1)</f>
        <v>68450.62</v>
      </c>
      <c r="H171" s="225" t="str">
        <f>IFERROR(INDEX(COMPOSICIÓN!$C$2:$C$1879,MATCH(B171,COMPOSICIÓN!$D$2:$D$1879,0)),"")</f>
        <v>COR</v>
      </c>
      <c r="I171" s="226">
        <f>SUMPRODUCT((_PLAN_STG!$D$2:$D$1879=B171)*(_PLAN_STG!$B$2:$B$1879="MAT")*(_PLAN_STG!$O$2:$O$1879=1)*(_PLAN_STG!$P$2:$P$1879&gt;0))</f>
        <v>1</v>
      </c>
      <c r="J171" s="224" t="str">
        <f>IFERROR(VLOOKUP(B171,MATERIALES!$A:$G,7,FALSE()),"")</f>
        <v>Corralón</v>
      </c>
    </row>
    <row r="172" spans="1:10" x14ac:dyDescent="0.35">
      <c r="A172" s="222">
        <f t="shared" si="2"/>
        <v>157</v>
      </c>
      <c r="B172" s="223" t="s">
        <v>1154</v>
      </c>
      <c r="C172" s="224" t="str">
        <f>IFERROR(VLOOKUP(B172,MATERIALES!$A:$B,2,FALSE()),IFERROR(INDEX(COMPOSICIÓN!$E$2:$E$1879,MATCH(B172,COMPOSICIÓN!$D$2:$D$1879,0)),""))</f>
        <v>H30 6.20</v>
      </c>
      <c r="D172" s="225" t="str">
        <f>IFERROR(VLOOKUP(B172,MATERIALES!$A:$C,3,FALSE()),IFERROR(INDEX(COMPOSICIÓN!$F$2:$F$1879,MATCH(B172,COMPOSICIÓN!$D$2:$D$1879,0)),""))</f>
        <v>m3</v>
      </c>
      <c r="E172" s="161">
        <f>SUMIFS(_PLAN_STG!$P$2:$P$1879,_PLAN_STG!$D$2:$D$1879,B172,_PLAN_STG!$B$2:$B$1879,"MAT",_PLAN_STG!$O$2:$O$1879,1)</f>
        <v>5.61</v>
      </c>
      <c r="F172" s="162">
        <f>IFERROR(VLOOKUP(B172,MATERIALES!$A:$D,4,FALSE()),IFERROR(INDEX(COMPOSICIÓN!$I$2:$I$1879,MATCH(B172,COMPOSICIÓN!$D$2:$D$1879,0)),0))</f>
        <v>125000</v>
      </c>
      <c r="G172" s="163">
        <f>SUMIFS(_PLAN_STG!$Q$2:$Q$1879,_PLAN_STG!$D$2:$D$1879,B172,_PLAN_STG!$B$2:$B$1879,"MAT",_PLAN_STG!$O$2:$O$1879,1)</f>
        <v>701250</v>
      </c>
      <c r="H172" s="225" t="str">
        <f>IFERROR(INDEX(COMPOSICIÓN!$C$2:$C$1879,MATCH(B172,COMPOSICIÓN!$D$2:$D$1879,0)),"")</f>
        <v>OTR</v>
      </c>
      <c r="I172" s="226">
        <f>SUMPRODUCT((_PLAN_STG!$D$2:$D$1879=B172)*(_PLAN_STG!$B$2:$B$1879="MAT")*(_PLAN_STG!$O$2:$O$1879=1)*(_PLAN_STG!$P$2:$P$1879&gt;0))</f>
        <v>2</v>
      </c>
      <c r="J172" s="224" t="str">
        <f>IFERROR(VLOOKUP(B172,MATERIALES!$A:$G,7,FALSE()),"")</f>
        <v>Hormigón elaborado</v>
      </c>
    </row>
    <row r="173" spans="1:10" x14ac:dyDescent="0.35">
      <c r="A173" s="222">
        <f t="shared" si="2"/>
        <v>158</v>
      </c>
      <c r="B173" s="223" t="s">
        <v>1157</v>
      </c>
      <c r="C173" s="224" t="str">
        <f>IFERROR(VLOOKUP(B173,MATERIALES!$A:$B,2,FALSE()),IFERROR(INDEX(COMPOSICIÓN!$E$2:$E$1879,MATCH(B173,COMPOSICIÓN!$D$2:$D$1879,0)),""))</f>
        <v>Taco quimico</v>
      </c>
      <c r="D173" s="225" t="str">
        <f>IFERROR(VLOOKUP(B173,MATERIALES!$A:$C,3,FALSE()),IFERROR(INDEX(COMPOSICIÓN!$F$2:$F$1879,MATCH(B173,COMPOSICIÓN!$D$2:$D$1879,0)),""))</f>
        <v>u</v>
      </c>
      <c r="E173" s="161">
        <f>SUMIFS(_PLAN_STG!$P$2:$P$1879,_PLAN_STG!$D$2:$D$1879,B173,_PLAN_STG!$B$2:$B$1879,"MAT",_PLAN_STG!$O$2:$O$1879,1)</f>
        <v>5.0000000000000009</v>
      </c>
      <c r="F173" s="162">
        <f>IFERROR(VLOOKUP(B173,MATERIALES!$A:$D,4,FALSE()),IFERROR(INDEX(COMPOSICIÓN!$I$2:$I$1879,MATCH(B173,COMPOSICIÓN!$D$2:$D$1879,0)),0))</f>
        <v>60000</v>
      </c>
      <c r="G173" s="163">
        <f>SUMIFS(_PLAN_STG!$Q$2:$Q$1879,_PLAN_STG!$D$2:$D$1879,B173,_PLAN_STG!$B$2:$B$1879,"MAT",_PLAN_STG!$O$2:$O$1879,1)</f>
        <v>300000.00000000006</v>
      </c>
      <c r="H173" s="225" t="str">
        <f>IFERROR(INDEX(COMPOSICIÓN!$C$2:$C$1879,MATCH(B173,COMPOSICIÓN!$D$2:$D$1879,0)),"")</f>
        <v>OTR</v>
      </c>
      <c r="I173" s="226">
        <f>SUMPRODUCT((_PLAN_STG!$D$2:$D$1879=B173)*(_PLAN_STG!$B$2:$B$1879="MAT")*(_PLAN_STG!$O$2:$O$1879=1)*(_PLAN_STG!$P$2:$P$1879&gt;0))</f>
        <v>1</v>
      </c>
      <c r="J173" s="224" t="str">
        <f>IFERROR(VLOOKUP(B173,MATERIALES!$A:$G,7,FALSE()),"")</f>
        <v>Ferretería</v>
      </c>
    </row>
    <row r="174" spans="1:10" x14ac:dyDescent="0.35">
      <c r="A174" s="222">
        <f t="shared" si="2"/>
        <v>159</v>
      </c>
      <c r="B174" s="223" t="s">
        <v>1159</v>
      </c>
      <c r="C174" s="224" t="str">
        <f>IFERROR(VLOOKUP(B174,MATERIALES!$A:$B,2,FALSE()),IFERROR(INDEX(COMPOSICIÓN!$E$2:$E$1879,MATCH(B174,COMPOSICIÓN!$D$2:$D$1879,0)),""))</f>
        <v xml:space="preserve">Contrapiso </v>
      </c>
      <c r="D174" s="225" t="str">
        <f>IFERROR(VLOOKUP(B174,MATERIALES!$A:$C,3,FALSE()),IFERROR(INDEX(COMPOSICIÓN!$F$2:$F$1879,MATCH(B174,COMPOSICIÓN!$D$2:$D$1879,0)),""))</f>
        <v>m3</v>
      </c>
      <c r="E174" s="161">
        <f>SUMIFS(_PLAN_STG!$P$2:$P$1879,_PLAN_STG!$D$2:$D$1879,B174,_PLAN_STG!$B$2:$B$1879,"MAT",_PLAN_STG!$O$2:$O$1879,1)</f>
        <v>1.7</v>
      </c>
      <c r="F174" s="162">
        <f>IFERROR(VLOOKUP(B174,MATERIALES!$A:$D,4,FALSE()),IFERROR(INDEX(COMPOSICIÓN!$I$2:$I$1879,MATCH(B174,COMPOSICIÓN!$D$2:$D$1879,0)),0))</f>
        <v>67465.638888999994</v>
      </c>
      <c r="G174" s="163">
        <f>SUMIFS(_PLAN_STG!$Q$2:$Q$1879,_PLAN_STG!$D$2:$D$1879,B174,_PLAN_STG!$B$2:$B$1879,"MAT",_PLAN_STG!$O$2:$O$1879,1)</f>
        <v>114691.58611129998</v>
      </c>
      <c r="H174" s="225" t="str">
        <f>IFERROR(INDEX(COMPOSICIÓN!$C$2:$C$1879,MATCH(B174,COMPOSICIÓN!$D$2:$D$1879,0)),"")</f>
        <v>COR</v>
      </c>
      <c r="I174" s="226">
        <f>SUMPRODUCT((_PLAN_STG!$D$2:$D$1879=B174)*(_PLAN_STG!$B$2:$B$1879="MAT")*(_PLAN_STG!$O$2:$O$1879=1)*(_PLAN_STG!$P$2:$P$1879&gt;0))</f>
        <v>2</v>
      </c>
      <c r="J174" s="224" t="str">
        <f>IFERROR(VLOOKUP(B174,MATERIALES!$A:$G,7,FALSE()),"")</f>
        <v>Corralón</v>
      </c>
    </row>
    <row r="175" spans="1:10" x14ac:dyDescent="0.35">
      <c r="A175" s="222">
        <f t="shared" si="2"/>
        <v>160</v>
      </c>
      <c r="B175" s="223" t="s">
        <v>1162</v>
      </c>
      <c r="C175" s="224" t="str">
        <f>IFERROR(VLOOKUP(B175,MATERIALES!$A:$B,2,FALSE()),IFERROR(INDEX(COMPOSICIÓN!$E$2:$E$1879,MATCH(B175,COMPOSICIÓN!$D$2:$D$1879,0)),""))</f>
        <v>Carpeta</v>
      </c>
      <c r="D175" s="225" t="str">
        <f>IFERROR(VLOOKUP(B175,MATERIALES!$A:$C,3,FALSE()),IFERROR(INDEX(COMPOSICIÓN!$F$2:$F$1879,MATCH(B175,COMPOSICIÓN!$D$2:$D$1879,0)),""))</f>
        <v>m2</v>
      </c>
      <c r="E175" s="161">
        <f>SUMIFS(_PLAN_STG!$P$2:$P$1879,_PLAN_STG!$D$2:$D$1879,B175,_PLAN_STG!$B$2:$B$1879,"MAT",_PLAN_STG!$O$2:$O$1879,1)</f>
        <v>11</v>
      </c>
      <c r="F175" s="162">
        <f>IFERROR(VLOOKUP(B175,MATERIALES!$A:$D,4,FALSE()),IFERROR(INDEX(COMPOSICIÓN!$I$2:$I$1879,MATCH(B175,COMPOSICIÓN!$D$2:$D$1879,0)),0))</f>
        <v>3388.60797</v>
      </c>
      <c r="G175" s="163">
        <f>SUMIFS(_PLAN_STG!$Q$2:$Q$1879,_PLAN_STG!$D$2:$D$1879,B175,_PLAN_STG!$B$2:$B$1879,"MAT",_PLAN_STG!$O$2:$O$1879,1)</f>
        <v>37274.687669999999</v>
      </c>
      <c r="H175" s="225" t="str">
        <f>IFERROR(INDEX(COMPOSICIÓN!$C$2:$C$1879,MATCH(B175,COMPOSICIÓN!$D$2:$D$1879,0)),"")</f>
        <v>COR</v>
      </c>
      <c r="I175" s="226">
        <f>SUMPRODUCT((_PLAN_STG!$D$2:$D$1879=B175)*(_PLAN_STG!$B$2:$B$1879="MAT")*(_PLAN_STG!$O$2:$O$1879=1)*(_PLAN_STG!$P$2:$P$1879&gt;0))</f>
        <v>2</v>
      </c>
      <c r="J175" s="224" t="str">
        <f>IFERROR(VLOOKUP(B175,MATERIALES!$A:$G,7,FALSE()),"")</f>
        <v>Corralón</v>
      </c>
    </row>
    <row r="176" spans="1:10" x14ac:dyDescent="0.35">
      <c r="A176" s="222">
        <f t="shared" si="2"/>
        <v>161</v>
      </c>
      <c r="B176" s="223" t="s">
        <v>1164</v>
      </c>
      <c r="C176" s="224" t="str">
        <f>IFERROR(VLOOKUP(B176,MATERIALES!$A:$B,2,FALSE()),IFERROR(INDEX(COMPOSICIÓN!$E$2:$E$1879,MATCH(B176,COMPOSICIÓN!$D$2:$D$1879,0)),""))</f>
        <v>HªAª</v>
      </c>
      <c r="D176" s="225" t="str">
        <f>IFERROR(VLOOKUP(B176,MATERIALES!$A:$C,3,FALSE()),IFERROR(INDEX(COMPOSICIÓN!$F$2:$F$1879,MATCH(B176,COMPOSICIÓN!$D$2:$D$1879,0)),""))</f>
        <v>m3</v>
      </c>
      <c r="E176" s="161">
        <f>SUMIFS(_PLAN_STG!$P$2:$P$1879,_PLAN_STG!$D$2:$D$1879,B176,_PLAN_STG!$B$2:$B$1879,"MAT",_PLAN_STG!$O$2:$O$1879,1)</f>
        <v>0.75</v>
      </c>
      <c r="F176" s="162">
        <f>IFERROR(VLOOKUP(B176,MATERIALES!$A:$D,4,FALSE()),IFERROR(INDEX(COMPOSICIÓN!$I$2:$I$1879,MATCH(B176,COMPOSICIÓN!$D$2:$D$1879,0)),0))</f>
        <v>125000</v>
      </c>
      <c r="G176" s="163">
        <f>SUMIFS(_PLAN_STG!$Q$2:$Q$1879,_PLAN_STG!$D$2:$D$1879,B176,_PLAN_STG!$B$2:$B$1879,"MAT",_PLAN_STG!$O$2:$O$1879,1)</f>
        <v>93750</v>
      </c>
      <c r="H176" s="225" t="str">
        <f>IFERROR(INDEX(COMPOSICIÓN!$C$2:$C$1879,MATCH(B176,COMPOSICIÓN!$D$2:$D$1879,0)),"")</f>
        <v>COR</v>
      </c>
      <c r="I176" s="226">
        <f>SUMPRODUCT((_PLAN_STG!$D$2:$D$1879=B176)*(_PLAN_STG!$B$2:$B$1879="MAT")*(_PLAN_STG!$O$2:$O$1879=1)*(_PLAN_STG!$P$2:$P$1879&gt;0))</f>
        <v>1</v>
      </c>
      <c r="J176" s="224" t="str">
        <f>IFERROR(VLOOKUP(B176,MATERIALES!$A:$G,7,FALSE()),"")</f>
        <v>Hormigón elaborado</v>
      </c>
    </row>
    <row r="177" spans="1:10" x14ac:dyDescent="0.35">
      <c r="A177" s="222">
        <f t="shared" si="2"/>
        <v>162</v>
      </c>
      <c r="B177" s="223" t="s">
        <v>1167</v>
      </c>
      <c r="C177" s="224" t="str">
        <f>IFERROR(VLOOKUP(B177,MATERIALES!$A:$B,2,FALSE()),IFERROR(INDEX(COMPOSICIÓN!$E$2:$E$1879,MATCH(B177,COMPOSICIÓN!$D$2:$D$1879,0)),""))</f>
        <v xml:space="preserve">Malla </v>
      </c>
      <c r="D177" s="225" t="str">
        <f>IFERROR(VLOOKUP(B177,MATERIALES!$A:$C,3,FALSE()),IFERROR(INDEX(COMPOSICIÓN!$F$2:$F$1879,MATCH(B177,COMPOSICIÓN!$D$2:$D$1879,0)),""))</f>
        <v>u</v>
      </c>
      <c r="E177" s="161">
        <f>SUMIFS(_PLAN_STG!$P$2:$P$1879,_PLAN_STG!$D$2:$D$1879,B177,_PLAN_STG!$B$2:$B$1879,"MAT",_PLAN_STG!$O$2:$O$1879,1)</f>
        <v>0.5</v>
      </c>
      <c r="F177" s="162">
        <f>IFERROR(VLOOKUP(B177,MATERIALES!$A:$D,4,FALSE()),IFERROR(INDEX(COMPOSICIÓN!$I$2:$I$1879,MATCH(B177,COMPOSICIÓN!$D$2:$D$1879,0)),0))</f>
        <v>69985.789999999994</v>
      </c>
      <c r="G177" s="163">
        <f>SUMIFS(_PLAN_STG!$Q$2:$Q$1879,_PLAN_STG!$D$2:$D$1879,B177,_PLAN_STG!$B$2:$B$1879,"MAT",_PLAN_STG!$O$2:$O$1879,1)</f>
        <v>34992.894999999997</v>
      </c>
      <c r="H177" s="225" t="str">
        <f>IFERROR(INDEX(COMPOSICIÓN!$C$2:$C$1879,MATCH(B177,COMPOSICIÓN!$D$2:$D$1879,0)),"")</f>
        <v>COR</v>
      </c>
      <c r="I177" s="226">
        <f>SUMPRODUCT((_PLAN_STG!$D$2:$D$1879=B177)*(_PLAN_STG!$B$2:$B$1879="MAT")*(_PLAN_STG!$O$2:$O$1879=1)*(_PLAN_STG!$P$2:$P$1879&gt;0))</f>
        <v>1</v>
      </c>
      <c r="J177" s="224" t="str">
        <f>IFERROR(VLOOKUP(B177,MATERIALES!$A:$G,7,FALSE()),"")</f>
        <v>Corralón</v>
      </c>
    </row>
    <row r="178" spans="1:10" x14ac:dyDescent="0.35">
      <c r="A178" s="222">
        <f t="shared" si="2"/>
        <v>163</v>
      </c>
      <c r="B178" s="223" t="s">
        <v>1169</v>
      </c>
      <c r="C178" s="224" t="str">
        <f>IFERROR(VLOOKUP(B178,MATERIALES!$A:$B,2,FALSE()),IFERROR(INDEX(COMPOSICIÓN!$E$2:$E$1879,MATCH(B178,COMPOSICIÓN!$D$2:$D$1879,0)),""))</f>
        <v>Tapa Y Marco Para Tanque De Hormigón Poliéster 52 X 52 Cm</v>
      </c>
      <c r="D178" s="225" t="str">
        <f>IFERROR(VLOOKUP(B178,MATERIALES!$A:$C,3,FALSE()),IFERROR(INDEX(COMPOSICIÓN!$F$2:$F$1879,MATCH(B178,COMPOSICIÓN!$D$2:$D$1879,0)),""))</f>
        <v>u</v>
      </c>
      <c r="E178" s="161">
        <f>SUMIFS(_PLAN_STG!$P$2:$P$1879,_PLAN_STG!$D$2:$D$1879,B178,_PLAN_STG!$B$2:$B$1879,"MAT",_PLAN_STG!$O$2:$O$1879,1)</f>
        <v>3</v>
      </c>
      <c r="F178" s="162">
        <f>IFERROR(VLOOKUP(B178,MATERIALES!$A:$D,4,FALSE()),IFERROR(INDEX(COMPOSICIÓN!$I$2:$I$1879,MATCH(B178,COMPOSICIÓN!$D$2:$D$1879,0)),0))</f>
        <v>121487.603305785</v>
      </c>
      <c r="G178" s="163">
        <f>SUMIFS(_PLAN_STG!$Q$2:$Q$1879,_PLAN_STG!$D$2:$D$1879,B178,_PLAN_STG!$B$2:$B$1879,"MAT",_PLAN_STG!$O$2:$O$1879,1)</f>
        <v>364462.80991735501</v>
      </c>
      <c r="H178" s="225" t="str">
        <f>IFERROR(INDEX(COMPOSICIÓN!$C$2:$C$1879,MATCH(B178,COMPOSICIÓN!$D$2:$D$1879,0)),"")</f>
        <v>OTR</v>
      </c>
      <c r="I178" s="226">
        <f>SUMPRODUCT((_PLAN_STG!$D$2:$D$1879=B178)*(_PLAN_STG!$B$2:$B$1879="MAT")*(_PLAN_STG!$O$2:$O$1879=1)*(_PLAN_STG!$P$2:$P$1879&gt;0))</f>
        <v>1</v>
      </c>
      <c r="J178" s="224" t="str">
        <f>IFERROR(VLOOKUP(B178,MATERIALES!$A:$G,7,FALSE()),"")</f>
        <v>Sanitarios</v>
      </c>
    </row>
    <row r="179" spans="1:10" x14ac:dyDescent="0.35">
      <c r="A179" s="222">
        <f t="shared" si="2"/>
        <v>164</v>
      </c>
      <c r="B179" s="223" t="s">
        <v>1172</v>
      </c>
      <c r="C179" s="224" t="str">
        <f>IFERROR(VLOOKUP(B179,MATERIALES!$A:$B,2,FALSE()),IFERROR(INDEX(COMPOSICIÓN!$E$2:$E$1879,MATCH(B179,COMPOSICIÓN!$D$2:$D$1879,0)),""))</f>
        <v>Volquete</v>
      </c>
      <c r="D179" s="225" t="str">
        <f>IFERROR(VLOOKUP(B179,MATERIALES!$A:$C,3,FALSE()),IFERROR(INDEX(COMPOSICIÓN!$F$2:$F$1879,MATCH(B179,COMPOSICIÓN!$D$2:$D$1879,0)),""))</f>
        <v>u</v>
      </c>
      <c r="E179" s="161">
        <f>SUMIFS(_PLAN_STG!$P$2:$P$1879,_PLAN_STG!$D$2:$D$1879,B179,_PLAN_STG!$B$2:$B$1879,"MAT",_PLAN_STG!$O$2:$O$1879,1)</f>
        <v>2</v>
      </c>
      <c r="F179" s="162">
        <f>IFERROR(VLOOKUP(B179,MATERIALES!$A:$D,4,FALSE()),IFERROR(INDEX(COMPOSICIÓN!$I$2:$I$1879,MATCH(B179,COMPOSICIÓN!$D$2:$D$1879,0)),0))</f>
        <v>100000</v>
      </c>
      <c r="G179" s="163">
        <f>SUMIFS(_PLAN_STG!$Q$2:$Q$1879,_PLAN_STG!$D$2:$D$1879,B179,_PLAN_STG!$B$2:$B$1879,"MAT",_PLAN_STG!$O$2:$O$1879,1)</f>
        <v>200000</v>
      </c>
      <c r="H179" s="225" t="str">
        <f>IFERROR(INDEX(COMPOSICIÓN!$C$2:$C$1879,MATCH(B179,COMPOSICIÓN!$D$2:$D$1879,0)),"")</f>
        <v>OTR</v>
      </c>
      <c r="I179" s="226">
        <f>SUMPRODUCT((_PLAN_STG!$D$2:$D$1879=B179)*(_PLAN_STG!$B$2:$B$1879="MAT")*(_PLAN_STG!$O$2:$O$1879=1)*(_PLAN_STG!$P$2:$P$1879&gt;0))</f>
        <v>1</v>
      </c>
      <c r="J179" s="224" t="str">
        <f>IFERROR(VLOOKUP(B179,MATERIALES!$A:$G,7,FALSE()),"")</f>
        <v>Servicios</v>
      </c>
    </row>
    <row r="180" spans="1:10" x14ac:dyDescent="0.35">
      <c r="A180" s="222">
        <f t="shared" si="2"/>
        <v>165</v>
      </c>
      <c r="B180" s="223" t="s">
        <v>1175</v>
      </c>
      <c r="C180" s="224" t="str">
        <f>IFERROR(VLOOKUP(B180,MATERIALES!$A:$B,2,FALSE()),IFERROR(INDEX(COMPOSICIÓN!$E$2:$E$1879,MATCH(B180,COMPOSICIÓN!$D$2:$D$1879,0)),""))</f>
        <v>Ladrillo del 8</v>
      </c>
      <c r="D180" s="225" t="str">
        <f>IFERROR(VLOOKUP(B180,MATERIALES!$A:$C,3,FALSE()),IFERROR(INDEX(COMPOSICIÓN!$F$2:$F$1879,MATCH(B180,COMPOSICIÓN!$D$2:$D$1879,0)),""))</f>
        <v>m2</v>
      </c>
      <c r="E180" s="161">
        <f>SUMIFS(_PLAN_STG!$P$2:$P$1879,_PLAN_STG!$D$2:$D$1879,B180,_PLAN_STG!$B$2:$B$1879,"MAT",_PLAN_STG!$O$2:$O$1879,1)</f>
        <v>14.4</v>
      </c>
      <c r="F180" s="162">
        <f>IFERROR(VLOOKUP(B180,MATERIALES!$A:$D,4,FALSE()),IFERROR(INDEX(COMPOSICIÓN!$I$2:$I$1879,MATCH(B180,COMPOSICIÓN!$D$2:$D$1879,0)),0))</f>
        <v>6590.9962250622002</v>
      </c>
      <c r="G180" s="163">
        <f>SUMIFS(_PLAN_STG!$Q$2:$Q$1879,_PLAN_STG!$D$2:$D$1879,B180,_PLAN_STG!$B$2:$B$1879,"MAT",_PLAN_STG!$O$2:$O$1879,1)</f>
        <v>94910.345640895684</v>
      </c>
      <c r="H180" s="225" t="str">
        <f>IFERROR(INDEX(COMPOSICIÓN!$C$2:$C$1879,MATCH(B180,COMPOSICIÓN!$D$2:$D$1879,0)),"")</f>
        <v>COR</v>
      </c>
      <c r="I180" s="226">
        <f>SUMPRODUCT((_PLAN_STG!$D$2:$D$1879=B180)*(_PLAN_STG!$B$2:$B$1879="MAT")*(_PLAN_STG!$O$2:$O$1879=1)*(_PLAN_STG!$P$2:$P$1879&gt;0))</f>
        <v>1</v>
      </c>
      <c r="J180" s="224" t="str">
        <f>IFERROR(VLOOKUP(B180,MATERIALES!$A:$G,7,FALSE()),"")</f>
        <v>Corralón</v>
      </c>
    </row>
    <row r="181" spans="1:10" x14ac:dyDescent="0.35">
      <c r="A181" s="222">
        <f t="shared" si="2"/>
        <v>166</v>
      </c>
      <c r="B181" s="223" t="s">
        <v>1178</v>
      </c>
      <c r="C181" s="224" t="str">
        <f>IFERROR(VLOOKUP(B181,MATERIALES!$A:$B,2,FALSE()),IFERROR(INDEX(COMPOSICIÓN!$E$2:$E$1879,MATCH(B181,COMPOSICIÓN!$D$2:$D$1879,0)),""))</f>
        <v>Revoque grueso bajo revest.</v>
      </c>
      <c r="D181" s="225" t="str">
        <f>IFERROR(VLOOKUP(B181,MATERIALES!$A:$C,3,FALSE()),IFERROR(INDEX(COMPOSICIÓN!$F$2:$F$1879,MATCH(B181,COMPOSICIÓN!$D$2:$D$1879,0)),""))</f>
        <v>m2</v>
      </c>
      <c r="E181" s="161">
        <f>SUMIFS(_PLAN_STG!$P$2:$P$1879,_PLAN_STG!$D$2:$D$1879,B181,_PLAN_STG!$B$2:$B$1879,"MAT",_PLAN_STG!$O$2:$O$1879,1)</f>
        <v>4.8</v>
      </c>
      <c r="F181" s="162">
        <f>IFERROR(VLOOKUP(B181,MATERIALES!$A:$D,4,FALSE()),IFERROR(INDEX(COMPOSICIÓN!$I$2:$I$1879,MATCH(B181,COMPOSICIÓN!$D$2:$D$1879,0)),0))</f>
        <v>4009.2266140000002</v>
      </c>
      <c r="G181" s="163">
        <f>SUMIFS(_PLAN_STG!$Q$2:$Q$1879,_PLAN_STG!$D$2:$D$1879,B181,_PLAN_STG!$B$2:$B$1879,"MAT",_PLAN_STG!$O$2:$O$1879,1)</f>
        <v>19244.2877472</v>
      </c>
      <c r="H181" s="225" t="str">
        <f>IFERROR(INDEX(COMPOSICIÓN!$C$2:$C$1879,MATCH(B181,COMPOSICIÓN!$D$2:$D$1879,0)),"")</f>
        <v>COR</v>
      </c>
      <c r="I181" s="226">
        <f>SUMPRODUCT((_PLAN_STG!$D$2:$D$1879=B181)*(_PLAN_STG!$B$2:$B$1879="MAT")*(_PLAN_STG!$O$2:$O$1879=1)*(_PLAN_STG!$P$2:$P$1879&gt;0))</f>
        <v>1</v>
      </c>
      <c r="J181" s="224" t="str">
        <f>IFERROR(VLOOKUP(B181,MATERIALES!$A:$G,7,FALSE()),"")</f>
        <v>Corralón</v>
      </c>
    </row>
    <row r="182" spans="1:10" x14ac:dyDescent="0.35">
      <c r="A182" s="222">
        <f t="shared" si="2"/>
        <v>167</v>
      </c>
      <c r="B182" s="223" t="s">
        <v>1180</v>
      </c>
      <c r="C182" s="224" t="str">
        <f>IFERROR(VLOOKUP(B182,MATERIALES!$A:$B,2,FALSE()),IFERROR(INDEX(COMPOSICIÓN!$E$2:$E$1879,MATCH(B182,COMPOSICIÓN!$D$2:$D$1879,0)),""))</f>
        <v>Sellador / Silicona (2 bañeras)</v>
      </c>
      <c r="D182" s="225" t="str">
        <f>IFERROR(VLOOKUP(B182,MATERIALES!$A:$C,3,FALSE()),IFERROR(INDEX(COMPOSICIÓN!$F$2:$F$1879,MATCH(B182,COMPOSICIÓN!$D$2:$D$1879,0)),""))</f>
        <v>u</v>
      </c>
      <c r="E182" s="161">
        <f>SUMIFS(_PLAN_STG!$P$2:$P$1879,_PLAN_STG!$D$2:$D$1879,B182,_PLAN_STG!$B$2:$B$1879,"MAT",_PLAN_STG!$O$2:$O$1879,1)</f>
        <v>4</v>
      </c>
      <c r="F182" s="162">
        <f>IFERROR(VLOOKUP(B182,MATERIALES!$A:$D,4,FALSE()),IFERROR(INDEX(COMPOSICIÓN!$I$2:$I$1879,MATCH(B182,COMPOSICIÓN!$D$2:$D$1879,0)),0))</f>
        <v>15000</v>
      </c>
      <c r="G182" s="163">
        <f>SUMIFS(_PLAN_STG!$Q$2:$Q$1879,_PLAN_STG!$D$2:$D$1879,B182,_PLAN_STG!$B$2:$B$1879,"MAT",_PLAN_STG!$O$2:$O$1879,1)</f>
        <v>60000</v>
      </c>
      <c r="H182" s="225" t="str">
        <f>IFERROR(INDEX(COMPOSICIÓN!$C$2:$C$1879,MATCH(B182,COMPOSICIÓN!$D$2:$D$1879,0)),"")</f>
        <v>OTR</v>
      </c>
      <c r="I182" s="226">
        <f>SUMPRODUCT((_PLAN_STG!$D$2:$D$1879=B182)*(_PLAN_STG!$B$2:$B$1879="MAT")*(_PLAN_STG!$O$2:$O$1879=1)*(_PLAN_STG!$P$2:$P$1879&gt;0))</f>
        <v>1</v>
      </c>
      <c r="J182" s="224" t="str">
        <f>IFERROR(VLOOKUP(B182,MATERIALES!$A:$G,7,FALSE()),"")</f>
        <v>Impermeabilizantes</v>
      </c>
    </row>
    <row r="183" spans="1:10" x14ac:dyDescent="0.35">
      <c r="A183" s="222" t="str">
        <f t="shared" si="2"/>
        <v/>
      </c>
      <c r="B183" s="223" t="s">
        <v>1184</v>
      </c>
      <c r="C183" s="224" t="str">
        <f>IFERROR(VLOOKUP(B183,MATERIALES!$A:$B,2,FALSE()),IFERROR(INDEX(COMPOSICIÓN!$E$2:$E$1879,MATCH(B183,COMPOSICIÓN!$D$2:$D$1879,0)),""))</f>
        <v>Telgopor 1 x 1 x 20 mm densidad 20 kg</v>
      </c>
      <c r="D183" s="225" t="str">
        <f>IFERROR(VLOOKUP(B183,MATERIALES!$A:$C,3,FALSE()),IFERROR(INDEX(COMPOSICIÓN!$F$2:$F$1879,MATCH(B183,COMPOSICIÓN!$D$2:$D$1879,0)),""))</f>
        <v>u</v>
      </c>
      <c r="E183" s="161">
        <f>SUMIFS(_PLAN_STG!$P$2:$P$1879,_PLAN_STG!$D$2:$D$1879,B183,_PLAN_STG!$B$2:$B$1879,"MAT",_PLAN_STG!$O$2:$O$1879,1)</f>
        <v>0</v>
      </c>
      <c r="F183" s="162">
        <f>IFERROR(VLOOKUP(B183,MATERIALES!$A:$D,4,FALSE()),IFERROR(INDEX(COMPOSICIÓN!$I$2:$I$1879,MATCH(B183,COMPOSICIÓN!$D$2:$D$1879,0)),0))</f>
        <v>3625.4</v>
      </c>
      <c r="G183" s="163">
        <f>SUMIFS(_PLAN_STG!$Q$2:$Q$1879,_PLAN_STG!$D$2:$D$1879,B183,_PLAN_STG!$B$2:$B$1879,"MAT",_PLAN_STG!$O$2:$O$1879,1)</f>
        <v>0</v>
      </c>
      <c r="H183" s="225" t="str">
        <f>IFERROR(INDEX(COMPOSICIÓN!$C$2:$C$1879,MATCH(B183,COMPOSICIÓN!$D$2:$D$1879,0)),"")</f>
        <v>OTR</v>
      </c>
      <c r="I183" s="226">
        <f>SUMPRODUCT((_PLAN_STG!$D$2:$D$1879=B183)*(_PLAN_STG!$B$2:$B$1879="MAT")*(_PLAN_STG!$O$2:$O$1879=1)*(_PLAN_STG!$P$2:$P$1879&gt;0))</f>
        <v>0</v>
      </c>
      <c r="J183" s="224" t="str">
        <f>IFERROR(VLOOKUP(B183,MATERIALES!$A:$G,7,FALSE()),"")</f>
        <v>Corralón</v>
      </c>
    </row>
    <row r="184" spans="1:10" x14ac:dyDescent="0.35">
      <c r="A184" s="222" t="str">
        <f t="shared" si="2"/>
        <v/>
      </c>
      <c r="B184" s="223" t="s">
        <v>1187</v>
      </c>
      <c r="C184" s="224" t="str">
        <f>IFERROR(VLOOKUP(B184,MATERIALES!$A:$B,2,FALSE()),IFERROR(INDEX(COMPOSICIÓN!$E$2:$E$1879,MATCH(B184,COMPOSICIÓN!$D$2:$D$1879,0)),""))</f>
        <v>Babeta de amure C25, des. 200 mm x 2,44 m</v>
      </c>
      <c r="D184" s="225" t="str">
        <f>IFERROR(VLOOKUP(B184,MATERIALES!$A:$C,3,FALSE()),IFERROR(INDEX(COMPOSICIÓN!$F$2:$F$1879,MATCH(B184,COMPOSICIÓN!$D$2:$D$1879,0)),""))</f>
        <v>u</v>
      </c>
      <c r="E184" s="161">
        <f>SUMIFS(_PLAN_STG!$P$2:$P$1879,_PLAN_STG!$D$2:$D$1879,B184,_PLAN_STG!$B$2:$B$1879,"MAT",_PLAN_STG!$O$2:$O$1879,1)</f>
        <v>0</v>
      </c>
      <c r="F184" s="162">
        <f>IFERROR(VLOOKUP(B184,MATERIALES!$A:$D,4,FALSE()),IFERROR(INDEX(COMPOSICIÓN!$I$2:$I$1879,MATCH(B184,COMPOSICIÓN!$D$2:$D$1879,0)),0))</f>
        <v>18595.0413223141</v>
      </c>
      <c r="G184" s="163">
        <f>SUMIFS(_PLAN_STG!$Q$2:$Q$1879,_PLAN_STG!$D$2:$D$1879,B184,_PLAN_STG!$B$2:$B$1879,"MAT",_PLAN_STG!$O$2:$O$1879,1)</f>
        <v>0</v>
      </c>
      <c r="H184" s="225" t="str">
        <f>IFERROR(INDEX(COMPOSICIÓN!$C$2:$C$1879,MATCH(B184,COMPOSICIÓN!$D$2:$D$1879,0)),"")</f>
        <v>OTR</v>
      </c>
      <c r="I184" s="226">
        <f>SUMPRODUCT((_PLAN_STG!$D$2:$D$1879=B184)*(_PLAN_STG!$B$2:$B$1879="MAT")*(_PLAN_STG!$O$2:$O$1879=1)*(_PLAN_STG!$P$2:$P$1879&gt;0))</f>
        <v>0</v>
      </c>
      <c r="J184" s="224" t="str">
        <f>IFERROR(VLOOKUP(B184,MATERIALES!$A:$G,7,FALSE()),"")</f>
        <v>Carpintería metálica</v>
      </c>
    </row>
    <row r="185" spans="1:10" x14ac:dyDescent="0.35">
      <c r="A185" s="222" t="str">
        <f t="shared" si="2"/>
        <v/>
      </c>
      <c r="B185" s="223" t="s">
        <v>1190</v>
      </c>
      <c r="C185" s="224" t="str">
        <f>IFERROR(VLOOKUP(B185,MATERIALES!$A:$B,2,FALSE()),IFERROR(INDEX(COMPOSICIÓN!$E$2:$E$1879,MATCH(B185,COMPOSICIÓN!$D$2:$D$1879,0)),""))</f>
        <v xml:space="preserve">Sellador / Silicona (rinde 5 mts) </v>
      </c>
      <c r="D185" s="225" t="str">
        <f>IFERROR(VLOOKUP(B185,MATERIALES!$A:$C,3,FALSE()),IFERROR(INDEX(COMPOSICIÓN!$F$2:$F$1879,MATCH(B185,COMPOSICIÓN!$D$2:$D$1879,0)),""))</f>
        <v>u</v>
      </c>
      <c r="E185" s="161">
        <f>SUMIFS(_PLAN_STG!$P$2:$P$1879,_PLAN_STG!$D$2:$D$1879,B185,_PLAN_STG!$B$2:$B$1879,"MAT",_PLAN_STG!$O$2:$O$1879,1)</f>
        <v>0</v>
      </c>
      <c r="F185" s="162">
        <f>IFERROR(VLOOKUP(B185,MATERIALES!$A:$D,4,FALSE()),IFERROR(INDEX(COMPOSICIÓN!$I$2:$I$1879,MATCH(B185,COMPOSICIÓN!$D$2:$D$1879,0)),0))</f>
        <v>25454.5454545455</v>
      </c>
      <c r="G185" s="163">
        <f>SUMIFS(_PLAN_STG!$Q$2:$Q$1879,_PLAN_STG!$D$2:$D$1879,B185,_PLAN_STG!$B$2:$B$1879,"MAT",_PLAN_STG!$O$2:$O$1879,1)</f>
        <v>0</v>
      </c>
      <c r="H185" s="225" t="str">
        <f>IFERROR(INDEX(COMPOSICIÓN!$C$2:$C$1879,MATCH(B185,COMPOSICIÓN!$D$2:$D$1879,0)),"")</f>
        <v>OTR</v>
      </c>
      <c r="I185" s="226">
        <f>SUMPRODUCT((_PLAN_STG!$D$2:$D$1879=B185)*(_PLAN_STG!$B$2:$B$1879="MAT")*(_PLAN_STG!$O$2:$O$1879=1)*(_PLAN_STG!$P$2:$P$1879&gt;0))</f>
        <v>0</v>
      </c>
      <c r="J185" s="224" t="str">
        <f>IFERROR(VLOOKUP(B185,MATERIALES!$A:$G,7,FALSE()),"")</f>
        <v>Impermeabilizantes</v>
      </c>
    </row>
    <row r="186" spans="1:10" x14ac:dyDescent="0.35">
      <c r="A186" s="222" t="str">
        <f t="shared" si="2"/>
        <v/>
      </c>
      <c r="B186" s="223" t="s">
        <v>1192</v>
      </c>
      <c r="C186" s="224" t="str">
        <f>IFERROR(VLOOKUP(B186,MATERIALES!$A:$B,2,FALSE()),IFERROR(INDEX(COMPOSICIÓN!$E$2:$E$1879,MATCH(B186,COMPOSICIÓN!$D$2:$D$1879,0)),""))</f>
        <v>Yeso Knauf MP 40/75 Proyectable x 25 kg - (17 kg/m2)</v>
      </c>
      <c r="D186" s="225" t="str">
        <f>IFERROR(VLOOKUP(B186,MATERIALES!$A:$C,3,FALSE()),IFERROR(INDEX(COMPOSICIÓN!$F$2:$F$1879,MATCH(B186,COMPOSICIÓN!$D$2:$D$1879,0)),""))</f>
        <v>bol</v>
      </c>
      <c r="E186" s="161">
        <f>SUMIFS(_PLAN_STG!$P$2:$P$1879,_PLAN_STG!$D$2:$D$1879,B186,_PLAN_STG!$B$2:$B$1879,"MAT",_PLAN_STG!$O$2:$O$1879,1)</f>
        <v>0</v>
      </c>
      <c r="F186" s="162">
        <f>IFERROR(VLOOKUP(B186,MATERIALES!$A:$D,4,FALSE()),IFERROR(INDEX(COMPOSICIÓN!$I$2:$I$1879,MATCH(B186,COMPOSICIÓN!$D$2:$D$1879,0)),0))</f>
        <v>6965.28</v>
      </c>
      <c r="G186" s="163">
        <f>SUMIFS(_PLAN_STG!$Q$2:$Q$1879,_PLAN_STG!$D$2:$D$1879,B186,_PLAN_STG!$B$2:$B$1879,"MAT",_PLAN_STG!$O$2:$O$1879,1)</f>
        <v>0</v>
      </c>
      <c r="H186" s="225" t="str">
        <f>IFERROR(INDEX(COMPOSICIÓN!$C$2:$C$1879,MATCH(B186,COMPOSICIÓN!$D$2:$D$1879,0)),"")</f>
        <v>COR</v>
      </c>
      <c r="I186" s="226">
        <f>SUMPRODUCT((_PLAN_STG!$D$2:$D$1879=B186)*(_PLAN_STG!$B$2:$B$1879="MAT")*(_PLAN_STG!$O$2:$O$1879=1)*(_PLAN_STG!$P$2:$P$1879&gt;0))</f>
        <v>0</v>
      </c>
      <c r="J186" s="224" t="str">
        <f>IFERROR(VLOOKUP(B186,MATERIALES!$A:$G,7,FALSE()),"")</f>
        <v>Revestimientos y yesos</v>
      </c>
    </row>
    <row r="187" spans="1:10" x14ac:dyDescent="0.35">
      <c r="A187" s="222" t="str">
        <f t="shared" si="2"/>
        <v/>
      </c>
      <c r="B187" s="223" t="s">
        <v>1195</v>
      </c>
      <c r="C187" s="224" t="str">
        <f>IFERROR(VLOOKUP(B187,MATERIALES!$A:$B,2,FALSE()),IFERROR(INDEX(COMPOSICIÓN!$E$2:$E$1879,MATCH(B187,COMPOSICIÓN!$D$2:$D$1879,0)),""))</f>
        <v>PA-MAX PUENTE DE ADHERENCIA 20LT (150 m2/tac) - Contemplo el 20% de los m2</v>
      </c>
      <c r="D187" s="225" t="str">
        <f>IFERROR(VLOOKUP(B187,MATERIALES!$A:$C,3,FALSE()),IFERROR(INDEX(COMPOSICIÓN!$F$2:$F$1879,MATCH(B187,COMPOSICIÓN!$D$2:$D$1879,0)),""))</f>
        <v>tac</v>
      </c>
      <c r="E187" s="161">
        <f>SUMIFS(_PLAN_STG!$P$2:$P$1879,_PLAN_STG!$D$2:$D$1879,B187,_PLAN_STG!$B$2:$B$1879,"MAT",_PLAN_STG!$O$2:$O$1879,1)</f>
        <v>0</v>
      </c>
      <c r="F187" s="162">
        <f>IFERROR(VLOOKUP(B187,MATERIALES!$A:$D,4,FALSE()),IFERROR(INDEX(COMPOSICIÓN!$I$2:$I$1879,MATCH(B187,COMPOSICIÓN!$D$2:$D$1879,0)),0))</f>
        <v>127350</v>
      </c>
      <c r="G187" s="163">
        <f>SUMIFS(_PLAN_STG!$Q$2:$Q$1879,_PLAN_STG!$D$2:$D$1879,B187,_PLAN_STG!$B$2:$B$1879,"MAT",_PLAN_STG!$O$2:$O$1879,1)</f>
        <v>0</v>
      </c>
      <c r="H187" s="225" t="str">
        <f>IFERROR(INDEX(COMPOSICIÓN!$C$2:$C$1879,MATCH(B187,COMPOSICIÓN!$D$2:$D$1879,0)),"")</f>
        <v>COR</v>
      </c>
      <c r="I187" s="226">
        <f>SUMPRODUCT((_PLAN_STG!$D$2:$D$1879=B187)*(_PLAN_STG!$B$2:$B$1879="MAT")*(_PLAN_STG!$O$2:$O$1879=1)*(_PLAN_STG!$P$2:$P$1879&gt;0))</f>
        <v>0</v>
      </c>
      <c r="J187" s="224" t="str">
        <f>IFERROR(VLOOKUP(B187,MATERIALES!$A:$G,7,FALSE()),"")</f>
        <v>Revestimientos y yesos</v>
      </c>
    </row>
    <row r="188" spans="1:10" x14ac:dyDescent="0.35">
      <c r="A188" s="222" t="str">
        <f t="shared" si="2"/>
        <v/>
      </c>
      <c r="B188" s="223" t="s">
        <v>1197</v>
      </c>
      <c r="C188" s="224" t="str">
        <f>IFERROR(VLOOKUP(B188,MATERIALES!$A:$B,2,FALSE()),IFERROR(INDEX(COMPOSICIÓN!$E$2:$E$1879,MATCH(B188,COMPOSICIÓN!$D$2:$D$1879,0)),""))</f>
        <v xml:space="preserve">Malla de fibra 5 x 5 90 gr, rollo 1 x 50 mts - Contemplo el 20% de los m2 </v>
      </c>
      <c r="D188" s="225" t="str">
        <f>IFERROR(VLOOKUP(B188,MATERIALES!$A:$C,3,FALSE()),IFERROR(INDEX(COMPOSICIÓN!$F$2:$F$1879,MATCH(B188,COMPOSICIÓN!$D$2:$D$1879,0)),""))</f>
        <v>rol</v>
      </c>
      <c r="E188" s="161">
        <f>SUMIFS(_PLAN_STG!$P$2:$P$1879,_PLAN_STG!$D$2:$D$1879,B188,_PLAN_STG!$B$2:$B$1879,"MAT",_PLAN_STG!$O$2:$O$1879,1)</f>
        <v>0</v>
      </c>
      <c r="F188" s="162">
        <f>IFERROR(VLOOKUP(B188,MATERIALES!$A:$D,4,FALSE()),IFERROR(INDEX(COMPOSICIÓN!$I$2:$I$1879,MATCH(B188,COMPOSICIÓN!$D$2:$D$1879,0)),0))</f>
        <v>35210.699999999997</v>
      </c>
      <c r="G188" s="163">
        <f>SUMIFS(_PLAN_STG!$Q$2:$Q$1879,_PLAN_STG!$D$2:$D$1879,B188,_PLAN_STG!$B$2:$B$1879,"MAT",_PLAN_STG!$O$2:$O$1879,1)</f>
        <v>0</v>
      </c>
      <c r="H188" s="225" t="str">
        <f>IFERROR(INDEX(COMPOSICIÓN!$C$2:$C$1879,MATCH(B188,COMPOSICIÓN!$D$2:$D$1879,0)),"")</f>
        <v>COR</v>
      </c>
      <c r="I188" s="226">
        <f>SUMPRODUCT((_PLAN_STG!$D$2:$D$1879=B188)*(_PLAN_STG!$B$2:$B$1879="MAT")*(_PLAN_STG!$O$2:$O$1879=1)*(_PLAN_STG!$P$2:$P$1879&gt;0))</f>
        <v>0</v>
      </c>
      <c r="J188" s="224" t="str">
        <f>IFERROR(VLOOKUP(B188,MATERIALES!$A:$G,7,FALSE()),"")</f>
        <v>Revestimientos y yesos</v>
      </c>
    </row>
    <row r="189" spans="1:10" x14ac:dyDescent="0.35">
      <c r="A189" s="222" t="str">
        <f t="shared" si="2"/>
        <v/>
      </c>
      <c r="B189" s="223" t="s">
        <v>1199</v>
      </c>
      <c r="C189" s="224" t="str">
        <f>IFERROR(VLOOKUP(B189,MATERIALES!$A:$B,2,FALSE()),IFERROR(INDEX(COMPOSICIÓN!$E$2:$E$1879,MATCH(B189,COMPOSICIÓN!$D$2:$D$1879,0)),""))</f>
        <v>Guardacanto yesero 2,00 mts</v>
      </c>
      <c r="D189" s="225" t="str">
        <f>IFERROR(VLOOKUP(B189,MATERIALES!$A:$C,3,FALSE()),IFERROR(INDEX(COMPOSICIÓN!$F$2:$F$1879,MATCH(B189,COMPOSICIÓN!$D$2:$D$1879,0)),""))</f>
        <v>u</v>
      </c>
      <c r="E189" s="161">
        <f>SUMIFS(_PLAN_STG!$P$2:$P$1879,_PLAN_STG!$D$2:$D$1879,B189,_PLAN_STG!$B$2:$B$1879,"MAT",_PLAN_STG!$O$2:$O$1879,1)</f>
        <v>0</v>
      </c>
      <c r="F189" s="162">
        <f>IFERROR(VLOOKUP(B189,MATERIALES!$A:$D,4,FALSE()),IFERROR(INDEX(COMPOSICIÓN!$I$2:$I$1879,MATCH(B189,COMPOSICIÓN!$D$2:$D$1879,0)),0))</f>
        <v>1108.49</v>
      </c>
      <c r="G189" s="163">
        <f>SUMIFS(_PLAN_STG!$Q$2:$Q$1879,_PLAN_STG!$D$2:$D$1879,B189,_PLAN_STG!$B$2:$B$1879,"MAT",_PLAN_STG!$O$2:$O$1879,1)</f>
        <v>0</v>
      </c>
      <c r="H189" s="225" t="str">
        <f>IFERROR(INDEX(COMPOSICIÓN!$C$2:$C$1879,MATCH(B189,COMPOSICIÓN!$D$2:$D$1879,0)),"")</f>
        <v>COR</v>
      </c>
      <c r="I189" s="226">
        <f>SUMPRODUCT((_PLAN_STG!$D$2:$D$1879=B189)*(_PLAN_STG!$B$2:$B$1879="MAT")*(_PLAN_STG!$O$2:$O$1879=1)*(_PLAN_STG!$P$2:$P$1879&gt;0))</f>
        <v>0</v>
      </c>
      <c r="J189" s="224" t="str">
        <f>IFERROR(VLOOKUP(B189,MATERIALES!$A:$G,7,FALSE()),"")</f>
        <v>Revestimientos y yesos</v>
      </c>
    </row>
    <row r="190" spans="1:10" x14ac:dyDescent="0.35">
      <c r="A190" s="222" t="str">
        <f t="shared" si="2"/>
        <v/>
      </c>
      <c r="B190" s="223" t="s">
        <v>1202</v>
      </c>
      <c r="C190" s="224" t="str">
        <f>IFERROR(VLOOKUP(B190,MATERIALES!$A:$B,2,FALSE()),IFERROR(INDEX(COMPOSICIÓN!$E$2:$E$1879,MATCH(B190,COMPOSICIÓN!$D$2:$D$1879,0)),""))</f>
        <v>Rollo Polietileno negro 2x50 mt x 200mic</v>
      </c>
      <c r="D190" s="225" t="str">
        <f>IFERROR(VLOOKUP(B190,MATERIALES!$A:$C,3,FALSE()),IFERROR(INDEX(COMPOSICIÓN!$F$2:$F$1879,MATCH(B190,COMPOSICIÓN!$D$2:$D$1879,0)),""))</f>
        <v>rol</v>
      </c>
      <c r="E190" s="161">
        <f>SUMIFS(_PLAN_STG!$P$2:$P$1879,_PLAN_STG!$D$2:$D$1879,B190,_PLAN_STG!$B$2:$B$1879,"MAT",_PLAN_STG!$O$2:$O$1879,1)</f>
        <v>0</v>
      </c>
      <c r="F190" s="162">
        <f>IFERROR(VLOOKUP(B190,MATERIALES!$A:$D,4,FALSE()),IFERROR(INDEX(COMPOSICIÓN!$I$2:$I$1879,MATCH(B190,COMPOSICIÓN!$D$2:$D$1879,0)),0))</f>
        <v>27000</v>
      </c>
      <c r="G190" s="163">
        <f>SUMIFS(_PLAN_STG!$Q$2:$Q$1879,_PLAN_STG!$D$2:$D$1879,B190,_PLAN_STG!$B$2:$B$1879,"MAT",_PLAN_STG!$O$2:$O$1879,1)</f>
        <v>0</v>
      </c>
      <c r="H190" s="225" t="str">
        <f>IFERROR(INDEX(COMPOSICIÓN!$C$2:$C$1879,MATCH(B190,COMPOSICIÓN!$D$2:$D$1879,0)),"")</f>
        <v>COR</v>
      </c>
      <c r="I190" s="226">
        <f>SUMPRODUCT((_PLAN_STG!$D$2:$D$1879=B190)*(_PLAN_STG!$B$2:$B$1879="MAT")*(_PLAN_STG!$O$2:$O$1879=1)*(_PLAN_STG!$P$2:$P$1879&gt;0))</f>
        <v>0</v>
      </c>
      <c r="J190" s="224" t="str">
        <f>IFERROR(VLOOKUP(B190,MATERIALES!$A:$G,7,FALSE()),"")</f>
        <v>Corralón</v>
      </c>
    </row>
    <row r="191" spans="1:10" x14ac:dyDescent="0.35">
      <c r="A191" s="222" t="str">
        <f t="shared" si="2"/>
        <v/>
      </c>
      <c r="B191" s="223" t="s">
        <v>1205</v>
      </c>
      <c r="C191" s="224" t="str">
        <f>IFERROR(VLOOKUP(B191,MATERIALES!$A:$B,2,FALSE()),IFERROR(INDEX(COMPOSICIÓN!$E$2:$E$1879,MATCH(B191,COMPOSICIÓN!$D$2:$D$1879,0)),""))</f>
        <v>Malla Q188 15 x 15 6 mm 6x2,40</v>
      </c>
      <c r="D191" s="225" t="str">
        <f>IFERROR(VLOOKUP(B191,MATERIALES!$A:$C,3,FALSE()),IFERROR(INDEX(COMPOSICIÓN!$F$2:$F$1879,MATCH(B191,COMPOSICIÓN!$D$2:$D$1879,0)),""))</f>
        <v>un</v>
      </c>
      <c r="E191" s="161">
        <f>SUMIFS(_PLAN_STG!$P$2:$P$1879,_PLAN_STG!$D$2:$D$1879,B191,_PLAN_STG!$B$2:$B$1879,"MAT",_PLAN_STG!$O$2:$O$1879,1)</f>
        <v>0</v>
      </c>
      <c r="F191" s="162">
        <f>IFERROR(VLOOKUP(B191,MATERIALES!$A:$D,4,FALSE()),IFERROR(INDEX(COMPOSICIÓN!$I$2:$I$1879,MATCH(B191,COMPOSICIÓN!$D$2:$D$1879,0)),0))</f>
        <v>69985.789999999994</v>
      </c>
      <c r="G191" s="163">
        <f>SUMIFS(_PLAN_STG!$Q$2:$Q$1879,_PLAN_STG!$D$2:$D$1879,B191,_PLAN_STG!$B$2:$B$1879,"MAT",_PLAN_STG!$O$2:$O$1879,1)</f>
        <v>0</v>
      </c>
      <c r="H191" s="225" t="str">
        <f>IFERROR(INDEX(COMPOSICIÓN!$C$2:$C$1879,MATCH(B191,COMPOSICIÓN!$D$2:$D$1879,0)),"")</f>
        <v>COR</v>
      </c>
      <c r="I191" s="226">
        <f>SUMPRODUCT((_PLAN_STG!$D$2:$D$1879=B191)*(_PLAN_STG!$B$2:$B$1879="MAT")*(_PLAN_STG!$O$2:$O$1879=1)*(_PLAN_STG!$P$2:$P$1879&gt;0))</f>
        <v>0</v>
      </c>
      <c r="J191" s="224" t="str">
        <f>IFERROR(VLOOKUP(B191,MATERIALES!$A:$G,7,FALSE()),"")</f>
        <v>Corralón</v>
      </c>
    </row>
    <row r="192" spans="1:10" x14ac:dyDescent="0.35">
      <c r="A192" s="222" t="str">
        <f t="shared" si="2"/>
        <v/>
      </c>
      <c r="B192" s="223" t="s">
        <v>1207</v>
      </c>
      <c r="C192" s="224" t="str">
        <f>IFERROR(VLOOKUP(B192,MATERIALES!$A:$B,2,FALSE()),IFERROR(INDEX(COMPOSICIÓN!$E$2:$E$1879,MATCH(B192,COMPOSICIÓN!$D$2:$D$1879,0)),""))</f>
        <v>H13 6.20</v>
      </c>
      <c r="D192" s="225" t="str">
        <f>IFERROR(VLOOKUP(B192,MATERIALES!$A:$C,3,FALSE()),IFERROR(INDEX(COMPOSICIÓN!$F$2:$F$1879,MATCH(B192,COMPOSICIÓN!$D$2:$D$1879,0)),""))</f>
        <v>m3</v>
      </c>
      <c r="E192" s="161">
        <f>SUMIFS(_PLAN_STG!$P$2:$P$1879,_PLAN_STG!$D$2:$D$1879,B192,_PLAN_STG!$B$2:$B$1879,"MAT",_PLAN_STG!$O$2:$O$1879,1)</f>
        <v>0</v>
      </c>
      <c r="F192" s="162">
        <f>IFERROR(VLOOKUP(B192,MATERIALES!$A:$D,4,FALSE()),IFERROR(INDEX(COMPOSICIÓN!$I$2:$I$1879,MATCH(B192,COMPOSICIÓN!$D$2:$D$1879,0)),0))</f>
        <v>115100</v>
      </c>
      <c r="G192" s="163">
        <f>SUMIFS(_PLAN_STG!$Q$2:$Q$1879,_PLAN_STG!$D$2:$D$1879,B192,_PLAN_STG!$B$2:$B$1879,"MAT",_PLAN_STG!$O$2:$O$1879,1)</f>
        <v>0</v>
      </c>
      <c r="H192" s="225" t="str">
        <f>IFERROR(INDEX(COMPOSICIÓN!$C$2:$C$1879,MATCH(B192,COMPOSICIÓN!$D$2:$D$1879,0)),"")</f>
        <v>COR</v>
      </c>
      <c r="I192" s="226">
        <f>SUMPRODUCT((_PLAN_STG!$D$2:$D$1879=B192)*(_PLAN_STG!$B$2:$B$1879="MAT")*(_PLAN_STG!$O$2:$O$1879=1)*(_PLAN_STG!$P$2:$P$1879&gt;0))</f>
        <v>0</v>
      </c>
      <c r="J192" s="224" t="str">
        <f>IFERROR(VLOOKUP(B192,MATERIALES!$A:$G,7,FALSE()),"")</f>
        <v>Hormigón elaborado</v>
      </c>
    </row>
    <row r="193" spans="1:10" x14ac:dyDescent="0.35">
      <c r="A193" s="222" t="str">
        <f t="shared" si="2"/>
        <v/>
      </c>
      <c r="B193" s="223" t="s">
        <v>1209</v>
      </c>
      <c r="C193" s="224" t="str">
        <f>IFERROR(VLOOKUP(B193,MATERIALES!$A:$B,2,FALSE()),IFERROR(INDEX(COMPOSICIÓN!$E$2:$E$1879,MATCH(B193,COMPOSICIÓN!$D$2:$D$1879,0)),""))</f>
        <v xml:space="preserve">Acarreo </v>
      </c>
      <c r="D193" s="225" t="str">
        <f>IFERROR(VLOOKUP(B193,MATERIALES!$A:$C,3,FALSE()),IFERROR(INDEX(COMPOSICIÓN!$F$2:$F$1879,MATCH(B193,COMPOSICIÓN!$D$2:$D$1879,0)),""))</f>
        <v>gl</v>
      </c>
      <c r="E193" s="161">
        <f>SUMIFS(_PLAN_STG!$P$2:$P$1879,_PLAN_STG!$D$2:$D$1879,B193,_PLAN_STG!$B$2:$B$1879,"MAT",_PLAN_STG!$O$2:$O$1879,1)</f>
        <v>0</v>
      </c>
      <c r="F193" s="162">
        <f>IFERROR(VLOOKUP(B193,MATERIALES!$A:$D,4,FALSE()),IFERROR(INDEX(COMPOSICIÓN!$I$2:$I$1879,MATCH(B193,COMPOSICIÓN!$D$2:$D$1879,0)),0))</f>
        <v>533000</v>
      </c>
      <c r="G193" s="163">
        <f>SUMIFS(_PLAN_STG!$Q$2:$Q$1879,_PLAN_STG!$D$2:$D$1879,B193,_PLAN_STG!$B$2:$B$1879,"MAT",_PLAN_STG!$O$2:$O$1879,1)</f>
        <v>0</v>
      </c>
      <c r="H193" s="225" t="str">
        <f>IFERROR(INDEX(COMPOSICIÓN!$C$2:$C$1879,MATCH(B193,COMPOSICIÓN!$D$2:$D$1879,0)),"")</f>
        <v>OTR</v>
      </c>
      <c r="I193" s="226">
        <f>SUMPRODUCT((_PLAN_STG!$D$2:$D$1879=B193)*(_PLAN_STG!$B$2:$B$1879="MAT")*(_PLAN_STG!$O$2:$O$1879=1)*(_PLAN_STG!$P$2:$P$1879&gt;0))</f>
        <v>0</v>
      </c>
      <c r="J193" s="224" t="str">
        <f>IFERROR(VLOOKUP(B193,MATERIALES!$A:$G,7,FALSE()),"")</f>
        <v>Servicios</v>
      </c>
    </row>
    <row r="194" spans="1:10" x14ac:dyDescent="0.35">
      <c r="A194" s="222" t="str">
        <f t="shared" si="2"/>
        <v/>
      </c>
      <c r="B194" s="223" t="s">
        <v>1212</v>
      </c>
      <c r="C194" s="224" t="str">
        <f>IFERROR(VLOOKUP(B194,MATERIALES!$A:$B,2,FALSE()),IFERROR(INDEX(COMPOSICIÓN!$E$2:$E$1879,MATCH(B194,COMPOSICIÓN!$D$2:$D$1879,0)),""))</f>
        <v>Alquiler vibropison</v>
      </c>
      <c r="D194" s="225" t="str">
        <f>IFERROR(VLOOKUP(B194,MATERIALES!$A:$C,3,FALSE()),IFERROR(INDEX(COMPOSICIÓN!$F$2:$F$1879,MATCH(B194,COMPOSICIÓN!$D$2:$D$1879,0)),""))</f>
        <v>sem</v>
      </c>
      <c r="E194" s="161">
        <f>SUMIFS(_PLAN_STG!$P$2:$P$1879,_PLAN_STG!$D$2:$D$1879,B194,_PLAN_STG!$B$2:$B$1879,"MAT",_PLAN_STG!$O$2:$O$1879,1)</f>
        <v>0</v>
      </c>
      <c r="F194" s="162">
        <f>IFERROR(VLOOKUP(B194,MATERIALES!$A:$D,4,FALSE()),IFERROR(INDEX(COMPOSICIÓN!$I$2:$I$1879,MATCH(B194,COMPOSICIÓN!$D$2:$D$1879,0)),0))</f>
        <v>25000</v>
      </c>
      <c r="G194" s="163">
        <f>SUMIFS(_PLAN_STG!$Q$2:$Q$1879,_PLAN_STG!$D$2:$D$1879,B194,_PLAN_STG!$B$2:$B$1879,"MAT",_PLAN_STG!$O$2:$O$1879,1)</f>
        <v>0</v>
      </c>
      <c r="H194" s="225" t="str">
        <f>IFERROR(INDEX(COMPOSICIÓN!$C$2:$C$1879,MATCH(B194,COMPOSICIÓN!$D$2:$D$1879,0)),"")</f>
        <v>OTR</v>
      </c>
      <c r="I194" s="226">
        <f>SUMPRODUCT((_PLAN_STG!$D$2:$D$1879=B194)*(_PLAN_STG!$B$2:$B$1879="MAT")*(_PLAN_STG!$O$2:$O$1879=1)*(_PLAN_STG!$P$2:$P$1879&gt;0))</f>
        <v>0</v>
      </c>
      <c r="J194" s="224" t="str">
        <f>IFERROR(VLOOKUP(B194,MATERIALES!$A:$G,7,FALSE()),"")</f>
        <v>Servicios</v>
      </c>
    </row>
    <row r="195" spans="1:10" x14ac:dyDescent="0.35">
      <c r="A195" s="222" t="str">
        <f t="shared" si="2"/>
        <v/>
      </c>
      <c r="B195" s="223" t="s">
        <v>1214</v>
      </c>
      <c r="C195" s="224" t="str">
        <f>IFERROR(VLOOKUP(B195,MATERIALES!$A:$B,2,FALSE()),IFERROR(INDEX(COMPOSICIÓN!$E$2:$E$1879,MATCH(B195,COMPOSICIÓN!$D$2:$D$1879,0)),""))</f>
        <v>Tomado de puntos y niveles</v>
      </c>
      <c r="D195" s="225" t="str">
        <f>IFERROR(VLOOKUP(B195,MATERIALES!$A:$C,3,FALSE()),IFERROR(INDEX(COMPOSICIÓN!$F$2:$F$1879,MATCH(B195,COMPOSICIÓN!$D$2:$D$1879,0)),""))</f>
        <v>d</v>
      </c>
      <c r="E195" s="161">
        <f>SUMIFS(_PLAN_STG!$P$2:$P$1879,_PLAN_STG!$D$2:$D$1879,B195,_PLAN_STG!$B$2:$B$1879,"MAT",_PLAN_STG!$O$2:$O$1879,1)</f>
        <v>0</v>
      </c>
      <c r="F195" s="162">
        <f>IFERROR(VLOOKUP(B195,MATERIALES!$A:$D,4,FALSE()),IFERROR(INDEX(COMPOSICIÓN!$I$2:$I$1879,MATCH(B195,COMPOSICIÓN!$D$2:$D$1879,0)),0))</f>
        <v>20000</v>
      </c>
      <c r="G195" s="163">
        <f>SUMIFS(_PLAN_STG!$Q$2:$Q$1879,_PLAN_STG!$D$2:$D$1879,B195,_PLAN_STG!$B$2:$B$1879,"MAT",_PLAN_STG!$O$2:$O$1879,1)</f>
        <v>0</v>
      </c>
      <c r="H195" s="225" t="str">
        <f>IFERROR(INDEX(COMPOSICIÓN!$C$2:$C$1879,MATCH(B195,COMPOSICIÓN!$D$2:$D$1879,0)),"")</f>
        <v>COR</v>
      </c>
      <c r="I195" s="226">
        <f>SUMPRODUCT((_PLAN_STG!$D$2:$D$1879=B195)*(_PLAN_STG!$B$2:$B$1879="MAT")*(_PLAN_STG!$O$2:$O$1879=1)*(_PLAN_STG!$P$2:$P$1879&gt;0))</f>
        <v>0</v>
      </c>
      <c r="J195" s="224" t="str">
        <f>IFERROR(VLOOKUP(B195,MATERIALES!$A:$G,7,FALSE()),"")</f>
        <v>Servicios</v>
      </c>
    </row>
    <row r="196" spans="1:10" x14ac:dyDescent="0.35">
      <c r="A196" s="222" t="str">
        <f t="shared" si="2"/>
        <v/>
      </c>
      <c r="B196" s="223" t="s">
        <v>1217</v>
      </c>
      <c r="C196" s="224" t="str">
        <f>IFERROR(VLOOKUP(B196,MATERIALES!$A:$B,2,FALSE()),IFERROR(INDEX(COMPOSICIÓN!$E$2:$E$1879,MATCH(B196,COMPOSICIÓN!$D$2:$D$1879,0)),""))</f>
        <v xml:space="preserve">RDC 350 </v>
      </c>
      <c r="D196" s="225" t="str">
        <f>IFERROR(VLOOKUP(B196,MATERIALES!$A:$C,3,FALSE()),IFERROR(INDEX(COMPOSICIÓN!$F$2:$F$1879,MATCH(B196,COMPOSICIÓN!$D$2:$D$1879,0)),""))</f>
        <v>m3</v>
      </c>
      <c r="E196" s="161">
        <f>SUMIFS(_PLAN_STG!$P$2:$P$1879,_PLAN_STG!$D$2:$D$1879,B196,_PLAN_STG!$B$2:$B$1879,"MAT",_PLAN_STG!$O$2:$O$1879,1)</f>
        <v>0</v>
      </c>
      <c r="F196" s="162">
        <f>IFERROR(VLOOKUP(B196,MATERIALES!$A:$D,4,FALSE()),IFERROR(INDEX(COMPOSICIÓN!$I$2:$I$1879,MATCH(B196,COMPOSICIÓN!$D$2:$D$1879,0)),0))</f>
        <v>125000</v>
      </c>
      <c r="G196" s="163">
        <f>SUMIFS(_PLAN_STG!$Q$2:$Q$1879,_PLAN_STG!$D$2:$D$1879,B196,_PLAN_STG!$B$2:$B$1879,"MAT",_PLAN_STG!$O$2:$O$1879,1)</f>
        <v>0</v>
      </c>
      <c r="H196" s="225" t="str">
        <f>IFERROR(INDEX(COMPOSICIÓN!$C$2:$C$1879,MATCH(B196,COMPOSICIÓN!$D$2:$D$1879,0)),"")</f>
        <v>OTR</v>
      </c>
      <c r="I196" s="226">
        <f>SUMPRODUCT((_PLAN_STG!$D$2:$D$1879=B196)*(_PLAN_STG!$B$2:$B$1879="MAT")*(_PLAN_STG!$O$2:$O$1879=1)*(_PLAN_STG!$P$2:$P$1879&gt;0))</f>
        <v>0</v>
      </c>
      <c r="J196" s="224" t="str">
        <f>IFERROR(VLOOKUP(B196,MATERIALES!$A:$G,7,FALSE()),"")</f>
        <v>Servicios</v>
      </c>
    </row>
    <row r="197" spans="1:10" x14ac:dyDescent="0.35">
      <c r="A197" s="222" t="str">
        <f t="shared" si="2"/>
        <v/>
      </c>
      <c r="B197" s="223" t="s">
        <v>1219</v>
      </c>
      <c r="C197" s="224" t="str">
        <f>IFERROR(VLOOKUP(B197,MATERIALES!$A:$B,2,FALSE()),IFERROR(INDEX(COMPOSICIÓN!$E$2:$E$1879,MATCH(B197,COMPOSICIÓN!$D$2:$D$1879,0)),""))</f>
        <v>BOLSON DE BINDER 6/12</v>
      </c>
      <c r="D197" s="225" t="str">
        <f>IFERROR(VLOOKUP(B197,MATERIALES!$A:$C,3,FALSE()),IFERROR(INDEX(COMPOSICIÓN!$F$2:$F$1879,MATCH(B197,COMPOSICIÓN!$D$2:$D$1879,0)),""))</f>
        <v>gl</v>
      </c>
      <c r="E197" s="161">
        <f>SUMIFS(_PLAN_STG!$P$2:$P$1879,_PLAN_STG!$D$2:$D$1879,B197,_PLAN_STG!$B$2:$B$1879,"MAT",_PLAN_STG!$O$2:$O$1879,1)</f>
        <v>0</v>
      </c>
      <c r="F197" s="162">
        <f>IFERROR(VLOOKUP(B197,MATERIALES!$A:$D,4,FALSE()),IFERROR(INDEX(COMPOSICIÓN!$I$2:$I$1879,MATCH(B197,COMPOSICIÓN!$D$2:$D$1879,0)),0))</f>
        <v>57771</v>
      </c>
      <c r="G197" s="163">
        <f>SUMIFS(_PLAN_STG!$Q$2:$Q$1879,_PLAN_STG!$D$2:$D$1879,B197,_PLAN_STG!$B$2:$B$1879,"MAT",_PLAN_STG!$O$2:$O$1879,1)</f>
        <v>0</v>
      </c>
      <c r="H197" s="225" t="str">
        <f>IFERROR(INDEX(COMPOSICIÓN!$C$2:$C$1879,MATCH(B197,COMPOSICIÓN!$D$2:$D$1879,0)),"")</f>
        <v>COR</v>
      </c>
      <c r="I197" s="226">
        <f>SUMPRODUCT((_PLAN_STG!$D$2:$D$1879=B197)*(_PLAN_STG!$B$2:$B$1879="MAT")*(_PLAN_STG!$O$2:$O$1879=1)*(_PLAN_STG!$P$2:$P$1879&gt;0))</f>
        <v>0</v>
      </c>
      <c r="J197" s="224" t="str">
        <f>IFERROR(VLOOKUP(B197,MATERIALES!$A:$G,7,FALSE()),"")</f>
        <v>Corralón</v>
      </c>
    </row>
    <row r="198" spans="1:10" x14ac:dyDescent="0.35">
      <c r="A198" s="222" t="str">
        <f t="shared" si="2"/>
        <v/>
      </c>
      <c r="B198" s="223" t="s">
        <v>1222</v>
      </c>
      <c r="C198" s="224" t="str">
        <f>IFERROR(VLOOKUP(B198,MATERIALES!$A:$B,2,FALSE()),IFERROR(INDEX(COMPOSICIÓN!$E$2:$E$1879,MATCH(B198,COMPOSICIÓN!$D$2:$D$1879,0)),""))</f>
        <v>BOLSON DE ARENA</v>
      </c>
      <c r="D198" s="225" t="str">
        <f>IFERROR(VLOOKUP(B198,MATERIALES!$A:$C,3,FALSE()),IFERROR(INDEX(COMPOSICIÓN!$F$2:$F$1879,MATCH(B198,COMPOSICIÓN!$D$2:$D$1879,0)),""))</f>
        <v>m3</v>
      </c>
      <c r="E198" s="161">
        <f>SUMIFS(_PLAN_STG!$P$2:$P$1879,_PLAN_STG!$D$2:$D$1879,B198,_PLAN_STG!$B$2:$B$1879,"MAT",_PLAN_STG!$O$2:$O$1879,1)</f>
        <v>0</v>
      </c>
      <c r="F198" s="162">
        <f>IFERROR(VLOOKUP(B198,MATERIALES!$A:$D,4,FALSE()),IFERROR(INDEX(COMPOSICIÓN!$I$2:$I$1879,MATCH(B198,COMPOSICIÓN!$D$2:$D$1879,0)),0))</f>
        <v>32399.77</v>
      </c>
      <c r="G198" s="163">
        <f>SUMIFS(_PLAN_STG!$Q$2:$Q$1879,_PLAN_STG!$D$2:$D$1879,B198,_PLAN_STG!$B$2:$B$1879,"MAT",_PLAN_STG!$O$2:$O$1879,1)</f>
        <v>0</v>
      </c>
      <c r="H198" s="225" t="str">
        <f>IFERROR(INDEX(COMPOSICIÓN!$C$2:$C$1879,MATCH(B198,COMPOSICIÓN!$D$2:$D$1879,0)),"")</f>
        <v>COR</v>
      </c>
      <c r="I198" s="226">
        <f>SUMPRODUCT((_PLAN_STG!$D$2:$D$1879=B198)*(_PLAN_STG!$B$2:$B$1879="MAT")*(_PLAN_STG!$O$2:$O$1879=1)*(_PLAN_STG!$P$2:$P$1879&gt;0))</f>
        <v>0</v>
      </c>
      <c r="J198" s="224" t="str">
        <f>IFERROR(VLOOKUP(B198,MATERIALES!$A:$G,7,FALSE()),"")</f>
        <v>Corralón</v>
      </c>
    </row>
    <row r="199" spans="1:10" x14ac:dyDescent="0.35">
      <c r="A199" s="222" t="str">
        <f t="shared" si="2"/>
        <v/>
      </c>
      <c r="B199" s="223" t="s">
        <v>1224</v>
      </c>
      <c r="C199" s="224" t="str">
        <f>IFERROR(VLOOKUP(B199,MATERIALES!$A:$B,2,FALSE()),IFERROR(INDEX(COMPOSICIÓN!$E$2:$E$1879,MATCH(B199,COMPOSICIÓN!$D$2:$D$1879,0)),""))</f>
        <v>Sika Floor 200 Level (25 kg) - 1,5 kg/m2/mm</v>
      </c>
      <c r="D199" s="225" t="str">
        <f>IFERROR(VLOOKUP(B199,MATERIALES!$A:$C,3,FALSE()),IFERROR(INDEX(COMPOSICIÓN!$F$2:$F$1879,MATCH(B199,COMPOSICIÓN!$D$2:$D$1879,0)),""))</f>
        <v>bol</v>
      </c>
      <c r="E199" s="161">
        <f>SUMIFS(_PLAN_STG!$P$2:$P$1879,_PLAN_STG!$D$2:$D$1879,B199,_PLAN_STG!$B$2:$B$1879,"MAT",_PLAN_STG!$O$2:$O$1879,1)</f>
        <v>0</v>
      </c>
      <c r="F199" s="162">
        <f>IFERROR(VLOOKUP(B199,MATERIALES!$A:$D,4,FALSE()),IFERROR(INDEX(COMPOSICIÓN!$I$2:$I$1879,MATCH(B199,COMPOSICIÓN!$D$2:$D$1879,0)),0))</f>
        <v>4958.6776859504098</v>
      </c>
      <c r="G199" s="163">
        <f>SUMIFS(_PLAN_STG!$Q$2:$Q$1879,_PLAN_STG!$D$2:$D$1879,B199,_PLAN_STG!$B$2:$B$1879,"MAT",_PLAN_STG!$O$2:$O$1879,1)</f>
        <v>0</v>
      </c>
      <c r="H199" s="225" t="str">
        <f>IFERROR(INDEX(COMPOSICIÓN!$C$2:$C$1879,MATCH(B199,COMPOSICIÓN!$D$2:$D$1879,0)),"")</f>
        <v>OTR</v>
      </c>
      <c r="I199" s="226">
        <f>SUMPRODUCT((_PLAN_STG!$D$2:$D$1879=B199)*(_PLAN_STG!$B$2:$B$1879="MAT")*(_PLAN_STG!$O$2:$O$1879=1)*(_PLAN_STG!$P$2:$P$1879&gt;0))</f>
        <v>0</v>
      </c>
      <c r="J199" s="224" t="str">
        <f>IFERROR(VLOOKUP(B199,MATERIALES!$A:$G,7,FALSE()),"")</f>
        <v>Revestimientos y yesos</v>
      </c>
    </row>
    <row r="200" spans="1:10" x14ac:dyDescent="0.35">
      <c r="A200" s="222" t="str">
        <f t="shared" si="2"/>
        <v/>
      </c>
      <c r="B200" s="223" t="s">
        <v>1227</v>
      </c>
      <c r="C200" s="224" t="str">
        <f>IFERROR(VLOOKUP(B200,MATERIALES!$A:$B,2,FALSE()),IFERROR(INDEX(COMPOSICIÓN!$E$2:$E$1879,MATCH(B200,COMPOSICIÓN!$D$2:$D$1879,0)),""))</f>
        <v>Sika latex x 5 kg - (200 gr/m2)</v>
      </c>
      <c r="D200" s="225" t="str">
        <f>IFERROR(VLOOKUP(B200,MATERIALES!$A:$C,3,FALSE()),IFERROR(INDEX(COMPOSICIÓN!$F$2:$F$1879,MATCH(B200,COMPOSICIÓN!$D$2:$D$1879,0)),""))</f>
        <v>tac</v>
      </c>
      <c r="E200" s="161">
        <f>SUMIFS(_PLAN_STG!$P$2:$P$1879,_PLAN_STG!$D$2:$D$1879,B200,_PLAN_STG!$B$2:$B$1879,"MAT",_PLAN_STG!$O$2:$O$1879,1)</f>
        <v>0</v>
      </c>
      <c r="F200" s="162">
        <f>IFERROR(VLOOKUP(B200,MATERIALES!$A:$D,4,FALSE()),IFERROR(INDEX(COMPOSICIÓN!$I$2:$I$1879,MATCH(B200,COMPOSICIÓN!$D$2:$D$1879,0)),0))</f>
        <v>66115.702479338797</v>
      </c>
      <c r="G200" s="163">
        <f>SUMIFS(_PLAN_STG!$Q$2:$Q$1879,_PLAN_STG!$D$2:$D$1879,B200,_PLAN_STG!$B$2:$B$1879,"MAT",_PLAN_STG!$O$2:$O$1879,1)</f>
        <v>0</v>
      </c>
      <c r="H200" s="225" t="str">
        <f>IFERROR(INDEX(COMPOSICIÓN!$C$2:$C$1879,MATCH(B200,COMPOSICIÓN!$D$2:$D$1879,0)),"")</f>
        <v>OTR</v>
      </c>
      <c r="I200" s="226">
        <f>SUMPRODUCT((_PLAN_STG!$D$2:$D$1879=B200)*(_PLAN_STG!$B$2:$B$1879="MAT")*(_PLAN_STG!$O$2:$O$1879=1)*(_PLAN_STG!$P$2:$P$1879&gt;0))</f>
        <v>0</v>
      </c>
      <c r="J200" s="224" t="str">
        <f>IFERROR(VLOOKUP(B200,MATERIALES!$A:$G,7,FALSE()),"")</f>
        <v>Revestimientos y yesos</v>
      </c>
    </row>
    <row r="201" spans="1:10" x14ac:dyDescent="0.35">
      <c r="A201" s="222" t="str">
        <f t="shared" si="2"/>
        <v/>
      </c>
      <c r="B201" s="223" t="s">
        <v>1229</v>
      </c>
      <c r="C201" s="224" t="str">
        <f>IFERROR(VLOOKUP(B201,MATERIALES!$A:$B,2,FALSE()),IFERROR(INDEX(COMPOSICIÓN!$E$2:$E$1879,MATCH(B201,COMPOSICIÓN!$D$2:$D$1879,0)),""))</f>
        <v>Carpeta cilindrada</v>
      </c>
      <c r="D201" s="225" t="str">
        <f>IFERROR(VLOOKUP(B201,MATERIALES!$A:$C,3,FALSE()),IFERROR(INDEX(COMPOSICIÓN!$F$2:$F$1879,MATCH(B201,COMPOSICIÓN!$D$2:$D$1879,0)),""))</f>
        <v>m2</v>
      </c>
      <c r="E201" s="161">
        <f>SUMIFS(_PLAN_STG!$P$2:$P$1879,_PLAN_STG!$D$2:$D$1879,B201,_PLAN_STG!$B$2:$B$1879,"MAT",_PLAN_STG!$O$2:$O$1879,1)</f>
        <v>0</v>
      </c>
      <c r="F201" s="162">
        <f>IFERROR(VLOOKUP(B201,MATERIALES!$A:$D,4,FALSE()),IFERROR(INDEX(COMPOSICIÓN!$I$2:$I$1879,MATCH(B201,COMPOSICIÓN!$D$2:$D$1879,0)),0))</f>
        <v>4066.3295640000001</v>
      </c>
      <c r="G201" s="163">
        <f>SUMIFS(_PLAN_STG!$Q$2:$Q$1879,_PLAN_STG!$D$2:$D$1879,B201,_PLAN_STG!$B$2:$B$1879,"MAT",_PLAN_STG!$O$2:$O$1879,1)</f>
        <v>0</v>
      </c>
      <c r="H201" s="225" t="str">
        <f>IFERROR(INDEX(COMPOSICIÓN!$C$2:$C$1879,MATCH(B201,COMPOSICIÓN!$D$2:$D$1879,0)),"")</f>
        <v>COR</v>
      </c>
      <c r="I201" s="226">
        <f>SUMPRODUCT((_PLAN_STG!$D$2:$D$1879=B201)*(_PLAN_STG!$B$2:$B$1879="MAT")*(_PLAN_STG!$O$2:$O$1879=1)*(_PLAN_STG!$P$2:$P$1879&gt;0))</f>
        <v>0</v>
      </c>
      <c r="J201" s="224" t="str">
        <f>IFERROR(VLOOKUP(B201,MATERIALES!$A:$G,7,FALSE()),"")</f>
        <v>Corralón</v>
      </c>
    </row>
    <row r="202" spans="1:10" x14ac:dyDescent="0.35">
      <c r="A202" s="222" t="str">
        <f t="shared" si="2"/>
        <v/>
      </c>
      <c r="B202" s="223" t="s">
        <v>1232</v>
      </c>
      <c r="C202" s="224" t="str">
        <f>IFERROR(VLOOKUP(B202,MATERIALES!$A:$B,2,FALSE()),IFERROR(INDEX(COMPOSICIÓN!$E$2:$E$1879,MATCH(B202,COMPOSICIÓN!$D$2:$D$1879,0)),""))</f>
        <v>PERFIL ANGULO ALAS IGUALES ESTRUCTURAL ACERO 6M X 5/8" X 1/8</v>
      </c>
      <c r="D202" s="225" t="str">
        <f>IFERROR(VLOOKUP(B202,MATERIALES!$A:$C,3,FALSE()),IFERROR(INDEX(COMPOSICIÓN!$F$2:$F$1879,MATCH(B202,COMPOSICIÓN!$D$2:$D$1879,0)),""))</f>
        <v>u</v>
      </c>
      <c r="E202" s="161">
        <f>SUMIFS(_PLAN_STG!$P$2:$P$1879,_PLAN_STG!$D$2:$D$1879,B202,_PLAN_STG!$B$2:$B$1879,"MAT",_PLAN_STG!$O$2:$O$1879,1)</f>
        <v>0</v>
      </c>
      <c r="F202" s="162">
        <f>IFERROR(VLOOKUP(B202,MATERIALES!$A:$D,4,FALSE()),IFERROR(INDEX(COMPOSICIÓN!$I$2:$I$1879,MATCH(B202,COMPOSICIÓN!$D$2:$D$1879,0)),0))</f>
        <v>8951.7603305785105</v>
      </c>
      <c r="G202" s="163">
        <f>SUMIFS(_PLAN_STG!$Q$2:$Q$1879,_PLAN_STG!$D$2:$D$1879,B202,_PLAN_STG!$B$2:$B$1879,"MAT",_PLAN_STG!$O$2:$O$1879,1)</f>
        <v>0</v>
      </c>
      <c r="H202" s="225" t="str">
        <f>IFERROR(INDEX(COMPOSICIÓN!$C$2:$C$1879,MATCH(B202,COMPOSICIÓN!$D$2:$D$1879,0)),"")</f>
        <v>OTR</v>
      </c>
      <c r="I202" s="226">
        <f>SUMPRODUCT((_PLAN_STG!$D$2:$D$1879=B202)*(_PLAN_STG!$B$2:$B$1879="MAT")*(_PLAN_STG!$O$2:$O$1879=1)*(_PLAN_STG!$P$2:$P$1879&gt;0))</f>
        <v>0</v>
      </c>
      <c r="J202" s="224" t="str">
        <f>IFERROR(VLOOKUP(B202,MATERIALES!$A:$G,7,FALSE()),"")</f>
        <v>Ferretería</v>
      </c>
    </row>
    <row r="203" spans="1:10" x14ac:dyDescent="0.35">
      <c r="A203" s="222" t="str">
        <f t="shared" si="2"/>
        <v/>
      </c>
      <c r="B203" s="223" t="s">
        <v>1235</v>
      </c>
      <c r="C203" s="224" t="str">
        <f>IFERROR(VLOOKUP(B203,MATERIALES!$A:$B,2,FALSE()),IFERROR(INDEX(COMPOSICIÓN!$E$2:$E$1879,MATCH(B203,COMPOSICIÓN!$D$2:$D$1879,0)),""))</f>
        <v>Esmalte sintetico</v>
      </c>
      <c r="D203" s="225" t="str">
        <f>IFERROR(VLOOKUP(B203,MATERIALES!$A:$C,3,FALSE()),IFERROR(INDEX(COMPOSICIÓN!$F$2:$F$1879,MATCH(B203,COMPOSICIÓN!$D$2:$D$1879,0)),""))</f>
        <v xml:space="preserve">lts </v>
      </c>
      <c r="E203" s="161">
        <f>SUMIFS(_PLAN_STG!$P$2:$P$1879,_PLAN_STG!$D$2:$D$1879,B203,_PLAN_STG!$B$2:$B$1879,"MAT",_PLAN_STG!$O$2:$O$1879,1)</f>
        <v>0</v>
      </c>
      <c r="F203" s="162">
        <f>IFERROR(VLOOKUP(B203,MATERIALES!$A:$D,4,FALSE()),IFERROR(INDEX(COMPOSICIÓN!$I$2:$I$1879,MATCH(B203,COMPOSICIÓN!$D$2:$D$1879,0)),0))</f>
        <v>12396.694214876001</v>
      </c>
      <c r="G203" s="163">
        <f>SUMIFS(_PLAN_STG!$Q$2:$Q$1879,_PLAN_STG!$D$2:$D$1879,B203,_PLAN_STG!$B$2:$B$1879,"MAT",_PLAN_STG!$O$2:$O$1879,1)</f>
        <v>0</v>
      </c>
      <c r="H203" s="225" t="str">
        <f>IFERROR(INDEX(COMPOSICIÓN!$C$2:$C$1879,MATCH(B203,COMPOSICIÓN!$D$2:$D$1879,0)),"")</f>
        <v>OTR</v>
      </c>
      <c r="I203" s="226">
        <f>SUMPRODUCT((_PLAN_STG!$D$2:$D$1879=B203)*(_PLAN_STG!$B$2:$B$1879="MAT")*(_PLAN_STG!$O$2:$O$1879=1)*(_PLAN_STG!$P$2:$P$1879&gt;0))</f>
        <v>0</v>
      </c>
      <c r="J203" s="224" t="str">
        <f>IFERROR(VLOOKUP(B203,MATERIALES!$A:$G,7,FALSE()),"")</f>
        <v>Pinturas</v>
      </c>
    </row>
    <row r="204" spans="1:10" x14ac:dyDescent="0.35">
      <c r="A204" s="222" t="str">
        <f t="shared" si="2"/>
        <v/>
      </c>
      <c r="B204" s="223" t="s">
        <v>1238</v>
      </c>
      <c r="C204" s="224" t="str">
        <f>IFERROR(VLOOKUP(B204,MATERIALES!$A:$B,2,FALSE()),IFERROR(INDEX(COMPOSICIÓN!$E$2:$E$1879,MATCH(B204,COMPOSICIÓN!$D$2:$D$1879,0)),""))</f>
        <v>Electrodos</v>
      </c>
      <c r="D204" s="225" t="str">
        <f>IFERROR(VLOOKUP(B204,MATERIALES!$A:$C,3,FALSE()),IFERROR(INDEX(COMPOSICIÓN!$F$2:$F$1879,MATCH(B204,COMPOSICIÓN!$D$2:$D$1879,0)),""))</f>
        <v>kg</v>
      </c>
      <c r="E204" s="161">
        <f>SUMIFS(_PLAN_STG!$P$2:$P$1879,_PLAN_STG!$D$2:$D$1879,B204,_PLAN_STG!$B$2:$B$1879,"MAT",_PLAN_STG!$O$2:$O$1879,1)</f>
        <v>0</v>
      </c>
      <c r="F204" s="162">
        <f>IFERROR(VLOOKUP(B204,MATERIALES!$A:$D,4,FALSE()),IFERROR(INDEX(COMPOSICIÓN!$I$2:$I$1879,MATCH(B204,COMPOSICIÓN!$D$2:$D$1879,0)),0))</f>
        <v>6611.5702479338797</v>
      </c>
      <c r="G204" s="163">
        <f>SUMIFS(_PLAN_STG!$Q$2:$Q$1879,_PLAN_STG!$D$2:$D$1879,B204,_PLAN_STG!$B$2:$B$1879,"MAT",_PLAN_STG!$O$2:$O$1879,1)</f>
        <v>0</v>
      </c>
      <c r="H204" s="225" t="str">
        <f>IFERROR(INDEX(COMPOSICIÓN!$C$2:$C$1879,MATCH(B204,COMPOSICIÓN!$D$2:$D$1879,0)),"")</f>
        <v>OTR</v>
      </c>
      <c r="I204" s="226">
        <f>SUMPRODUCT((_PLAN_STG!$D$2:$D$1879=B204)*(_PLAN_STG!$B$2:$B$1879="MAT")*(_PLAN_STG!$O$2:$O$1879=1)*(_PLAN_STG!$P$2:$P$1879&gt;0))</f>
        <v>0</v>
      </c>
      <c r="J204" s="224" t="str">
        <f>IFERROR(VLOOKUP(B204,MATERIALES!$A:$G,7,FALSE()),"")</f>
        <v>Pinturas</v>
      </c>
    </row>
    <row r="205" spans="1:10" x14ac:dyDescent="0.35">
      <c r="A205" s="222" t="str">
        <f t="shared" si="2"/>
        <v/>
      </c>
      <c r="B205" s="223" t="s">
        <v>1242</v>
      </c>
      <c r="C205" s="224" t="str">
        <f>IFERROR(VLOOKUP(B205,MATERIALES!$A:$B,2,FALSE()),IFERROR(INDEX(COMPOSICIÓN!$E$2:$E$1879,MATCH(B205,COMPOSICIÓN!$D$2:$D$1879,0)),""))</f>
        <v>CAL MILAGRO x 25 KG</v>
      </c>
      <c r="D205" s="225" t="str">
        <f>IFERROR(VLOOKUP(B205,MATERIALES!$A:$C,3,FALSE()),IFERROR(INDEX(COMPOSICIÓN!$F$2:$F$1879,MATCH(B205,COMPOSICIÓN!$D$2:$D$1879,0)),""))</f>
        <v>bol</v>
      </c>
      <c r="E205" s="161">
        <f>SUMIFS(_PLAN_STG!$P$2:$P$1879,_PLAN_STG!$D$2:$D$1879,B205,_PLAN_STG!$B$2:$B$1879,"MAT",_PLAN_STG!$O$2:$O$1879,1)</f>
        <v>0</v>
      </c>
      <c r="F205" s="162">
        <f>IFERROR(VLOOKUP(B205,MATERIALES!$A:$D,4,FALSE()),IFERROR(INDEX(COMPOSICIÓN!$I$2:$I$1879,MATCH(B205,COMPOSICIÓN!$D$2:$D$1879,0)),0))</f>
        <v>10936.8</v>
      </c>
      <c r="G205" s="163">
        <f>SUMIFS(_PLAN_STG!$Q$2:$Q$1879,_PLAN_STG!$D$2:$D$1879,B205,_PLAN_STG!$B$2:$B$1879,"MAT",_PLAN_STG!$O$2:$O$1879,1)</f>
        <v>0</v>
      </c>
      <c r="H205" s="225" t="str">
        <f>IFERROR(INDEX(COMPOSICIÓN!$C$2:$C$1879,MATCH(B205,COMPOSICIÓN!$D$2:$D$1879,0)),"")</f>
        <v>COR</v>
      </c>
      <c r="I205" s="226">
        <f>SUMPRODUCT((_PLAN_STG!$D$2:$D$1879=B205)*(_PLAN_STG!$B$2:$B$1879="MAT")*(_PLAN_STG!$O$2:$O$1879=1)*(_PLAN_STG!$P$2:$P$1879&gt;0))</f>
        <v>0</v>
      </c>
      <c r="J205" s="224" t="str">
        <f>IFERROR(VLOOKUP(B205,MATERIALES!$A:$G,7,FALSE()),"")</f>
        <v>Corralón</v>
      </c>
    </row>
    <row r="206" spans="1:10" x14ac:dyDescent="0.35">
      <c r="A206" s="222" t="str">
        <f t="shared" si="2"/>
        <v/>
      </c>
      <c r="B206" s="223" t="s">
        <v>1245</v>
      </c>
      <c r="C206" s="224" t="str">
        <f>IFERROR(VLOOKUP(B206,MATERIALES!$A:$B,2,FALSE()),IFERROR(INDEX(COMPOSICIÓN!$E$2:$E$1879,MATCH(B206,COMPOSICIÓN!$D$2:$D$1879,0)),""))</f>
        <v>PASTINA PRESTIGE NIEVE X 2KG</v>
      </c>
      <c r="D206" s="225" t="str">
        <f>IFERROR(VLOOKUP(B206,MATERIALES!$A:$C,3,FALSE()),IFERROR(INDEX(COMPOSICIÓN!$F$2:$F$1879,MATCH(B206,COMPOSICIÓN!$D$2:$D$1879,0)),""))</f>
        <v>bol</v>
      </c>
      <c r="E206" s="161">
        <f>SUMIFS(_PLAN_STG!$P$2:$P$1879,_PLAN_STG!$D$2:$D$1879,B206,_PLAN_STG!$B$2:$B$1879,"MAT",_PLAN_STG!$O$2:$O$1879,1)</f>
        <v>0</v>
      </c>
      <c r="F206" s="162">
        <f>IFERROR(VLOOKUP(B206,MATERIALES!$A:$D,4,FALSE()),IFERROR(INDEX(COMPOSICIÓN!$I$2:$I$1879,MATCH(B206,COMPOSICIÓN!$D$2:$D$1879,0)),0))</f>
        <v>6428.7</v>
      </c>
      <c r="G206" s="163">
        <f>SUMIFS(_PLAN_STG!$Q$2:$Q$1879,_PLAN_STG!$D$2:$D$1879,B206,_PLAN_STG!$B$2:$B$1879,"MAT",_PLAN_STG!$O$2:$O$1879,1)</f>
        <v>0</v>
      </c>
      <c r="H206" s="225" t="str">
        <f>IFERROR(INDEX(COMPOSICIÓN!$C$2:$C$1879,MATCH(B206,COMPOSICIÓN!$D$2:$D$1879,0)),"")</f>
        <v>COR</v>
      </c>
      <c r="I206" s="226">
        <f>SUMPRODUCT((_PLAN_STG!$D$2:$D$1879=B206)*(_PLAN_STG!$B$2:$B$1879="MAT")*(_PLAN_STG!$O$2:$O$1879=1)*(_PLAN_STG!$P$2:$P$1879&gt;0))</f>
        <v>0</v>
      </c>
      <c r="J206" s="224" t="str">
        <f>IFERROR(VLOOKUP(B206,MATERIALES!$A:$G,7,FALSE()),"")</f>
        <v>Adhesivos y pastinas</v>
      </c>
    </row>
    <row r="207" spans="1:10" x14ac:dyDescent="0.35">
      <c r="A207" s="222" t="str">
        <f t="shared" si="2"/>
        <v/>
      </c>
      <c r="B207" s="223" t="s">
        <v>1247</v>
      </c>
      <c r="C207" s="224" t="str">
        <f>IFERROR(VLOOKUP(B207,MATERIALES!$A:$B,2,FALSE()),IFERROR(INDEX(COMPOSICIÓN!$E$2:$E$1879,MATCH(B207,COMPOSICIÓN!$D$2:$D$1879,0)),""))</f>
        <v>Zocalo 5,6cm Madera Mdf Redondeado Prepintado Blanco Pz-56l</v>
      </c>
      <c r="D207" s="225" t="str">
        <f>IFERROR(VLOOKUP(B207,MATERIALES!$A:$C,3,FALSE()),IFERROR(INDEX(COMPOSICIÓN!$F$2:$F$1879,MATCH(B207,COMPOSICIÓN!$D$2:$D$1879,0)),""))</f>
        <v>ml</v>
      </c>
      <c r="E207" s="161">
        <f>SUMIFS(_PLAN_STG!$P$2:$P$1879,_PLAN_STG!$D$2:$D$1879,B207,_PLAN_STG!$B$2:$B$1879,"MAT",_PLAN_STG!$O$2:$O$1879,1)</f>
        <v>0</v>
      </c>
      <c r="F207" s="162">
        <f>IFERROR(VLOOKUP(B207,MATERIALES!$A:$D,4,FALSE()),IFERROR(INDEX(COMPOSICIÓN!$I$2:$I$1879,MATCH(B207,COMPOSICIÓN!$D$2:$D$1879,0)),0))</f>
        <v>2000</v>
      </c>
      <c r="G207" s="163">
        <f>SUMIFS(_PLAN_STG!$Q$2:$Q$1879,_PLAN_STG!$D$2:$D$1879,B207,_PLAN_STG!$B$2:$B$1879,"MAT",_PLAN_STG!$O$2:$O$1879,1)</f>
        <v>0</v>
      </c>
      <c r="H207" s="225" t="str">
        <f>IFERROR(INDEX(COMPOSICIÓN!$C$2:$C$1879,MATCH(B207,COMPOSICIÓN!$D$2:$D$1879,0)),"")</f>
        <v>OTR</v>
      </c>
      <c r="I207" s="226">
        <f>SUMPRODUCT((_PLAN_STG!$D$2:$D$1879=B207)*(_PLAN_STG!$B$2:$B$1879="MAT")*(_PLAN_STG!$O$2:$O$1879=1)*(_PLAN_STG!$P$2:$P$1879&gt;0))</f>
        <v>0</v>
      </c>
      <c r="J207" s="224" t="str">
        <f>IFERROR(VLOOKUP(B207,MATERIALES!$A:$G,7,FALSE()),"")</f>
        <v>Corralón</v>
      </c>
    </row>
    <row r="208" spans="1:10" x14ac:dyDescent="0.35">
      <c r="A208" s="222" t="str">
        <f t="shared" ref="A208:A271" si="3">IF(G208=0,"",ROW()-16+1)</f>
        <v/>
      </c>
      <c r="B208" s="223" t="s">
        <v>1250</v>
      </c>
      <c r="C208" s="224" t="str">
        <f>IFERROR(VLOOKUP(B208,MATERIALES!$A:$B,2,FALSE()),IFERROR(INDEX(COMPOSICIÓN!$E$2:$E$1879,MATCH(B208,COMPOSICIÓN!$D$2:$D$1879,0)),""))</f>
        <v>WEBER REFRACTARIO X 10KG (rend. 0,5 m2)</v>
      </c>
      <c r="D208" s="225" t="str">
        <f>IFERROR(VLOOKUP(B208,MATERIALES!$A:$C,3,FALSE()),IFERROR(INDEX(COMPOSICIÓN!$F$2:$F$1879,MATCH(B208,COMPOSICIÓN!$D$2:$D$1879,0)),""))</f>
        <v>bol</v>
      </c>
      <c r="E208" s="161">
        <f>SUMIFS(_PLAN_STG!$P$2:$P$1879,_PLAN_STG!$D$2:$D$1879,B208,_PLAN_STG!$B$2:$B$1879,"MAT",_PLAN_STG!$O$2:$O$1879,1)</f>
        <v>0</v>
      </c>
      <c r="F208" s="162">
        <f>IFERROR(VLOOKUP(B208,MATERIALES!$A:$D,4,FALSE()),IFERROR(INDEX(COMPOSICIÓN!$I$2:$I$1879,MATCH(B208,COMPOSICIÓN!$D$2:$D$1879,0)),0))</f>
        <v>16594.68</v>
      </c>
      <c r="G208" s="163">
        <f>SUMIFS(_PLAN_STG!$Q$2:$Q$1879,_PLAN_STG!$D$2:$D$1879,B208,_PLAN_STG!$B$2:$B$1879,"MAT",_PLAN_STG!$O$2:$O$1879,1)</f>
        <v>0</v>
      </c>
      <c r="H208" s="225" t="str">
        <f>IFERROR(INDEX(COMPOSICIÓN!$C$2:$C$1879,MATCH(B208,COMPOSICIÓN!$D$2:$D$1879,0)),"")</f>
        <v>COR</v>
      </c>
      <c r="I208" s="226">
        <f>SUMPRODUCT((_PLAN_STG!$D$2:$D$1879=B208)*(_PLAN_STG!$B$2:$B$1879="MAT")*(_PLAN_STG!$O$2:$O$1879=1)*(_PLAN_STG!$P$2:$P$1879&gt;0))</f>
        <v>0</v>
      </c>
      <c r="J208" s="224" t="str">
        <f>IFERROR(VLOOKUP(B208,MATERIALES!$A:$G,7,FALSE()),"")</f>
        <v>Revestimientos y yesos</v>
      </c>
    </row>
    <row r="209" spans="1:10" x14ac:dyDescent="0.35">
      <c r="A209" s="222" t="str">
        <f t="shared" si="3"/>
        <v/>
      </c>
      <c r="B209" s="223" t="s">
        <v>1253</v>
      </c>
      <c r="C209" s="224" t="str">
        <f>IFERROR(VLOOKUP(B209,MATERIALES!$A:$B,2,FALSE()),IFERROR(INDEX(COMPOSICIÓN!$E$2:$E$1879,MATCH(B209,COMPOSICIÓN!$D$2:$D$1879,0)),""))</f>
        <v>PA-MAX PUENTE DE ADHERENCIA 20LT (150 m2/tac) - Contemplo el 100% de los m2</v>
      </c>
      <c r="D209" s="225" t="str">
        <f>IFERROR(VLOOKUP(B209,MATERIALES!$A:$C,3,FALSE()),IFERROR(INDEX(COMPOSICIÓN!$F$2:$F$1879,MATCH(B209,COMPOSICIÓN!$D$2:$D$1879,0)),""))</f>
        <v>tac</v>
      </c>
      <c r="E209" s="161">
        <f>SUMIFS(_PLAN_STG!$P$2:$P$1879,_PLAN_STG!$D$2:$D$1879,B209,_PLAN_STG!$B$2:$B$1879,"MAT",_PLAN_STG!$O$2:$O$1879,1)</f>
        <v>0</v>
      </c>
      <c r="F209" s="162">
        <f>IFERROR(VLOOKUP(B209,MATERIALES!$A:$D,4,FALSE()),IFERROR(INDEX(COMPOSICIÓN!$I$2:$I$1879,MATCH(B209,COMPOSICIÓN!$D$2:$D$1879,0)),0))</f>
        <v>127350</v>
      </c>
      <c r="G209" s="163">
        <f>SUMIFS(_PLAN_STG!$Q$2:$Q$1879,_PLAN_STG!$D$2:$D$1879,B209,_PLAN_STG!$B$2:$B$1879,"MAT",_PLAN_STG!$O$2:$O$1879,1)</f>
        <v>0</v>
      </c>
      <c r="H209" s="225" t="str">
        <f>IFERROR(INDEX(COMPOSICIÓN!$C$2:$C$1879,MATCH(B209,COMPOSICIÓN!$D$2:$D$1879,0)),"")</f>
        <v>COR</v>
      </c>
      <c r="I209" s="226">
        <f>SUMPRODUCT((_PLAN_STG!$D$2:$D$1879=B209)*(_PLAN_STG!$B$2:$B$1879="MAT")*(_PLAN_STG!$O$2:$O$1879=1)*(_PLAN_STG!$P$2:$P$1879&gt;0))</f>
        <v>0</v>
      </c>
      <c r="J209" s="224" t="str">
        <f>IFERROR(VLOOKUP(B209,MATERIALES!$A:$G,7,FALSE()),"")</f>
        <v>Revestimientos y yesos</v>
      </c>
    </row>
    <row r="210" spans="1:10" x14ac:dyDescent="0.35">
      <c r="A210" s="222" t="str">
        <f t="shared" si="3"/>
        <v/>
      </c>
      <c r="B210" s="223" t="s">
        <v>1256</v>
      </c>
      <c r="C210" s="224" t="str">
        <f>IFERROR(VLOOKUP(B210,MATERIALES!$A:$B,2,FALSE()),IFERROR(INDEX(COMPOSICIÓN!$E$2:$E$1879,MATCH(B210,COMPOSICIÓN!$D$2:$D$1879,0)),""))</f>
        <v>[Materiales] Latex exterior mate en paredes, color bco., sin enduido, a mas de 3 m de altura - Medianeras</v>
      </c>
      <c r="D210" s="225" t="str">
        <f>IFERROR(VLOOKUP(B210,MATERIALES!$A:$C,3,FALSE()),IFERROR(INDEX(COMPOSICIÓN!$F$2:$F$1879,MATCH(B210,COMPOSICIÓN!$D$2:$D$1879,0)),""))</f>
        <v>m2</v>
      </c>
      <c r="E210" s="161">
        <f>SUMIFS(_PLAN_STG!$P$2:$P$1879,_PLAN_STG!$D$2:$D$1879,B210,_PLAN_STG!$B$2:$B$1879,"MAT",_PLAN_STG!$O$2:$O$1879,1)</f>
        <v>0</v>
      </c>
      <c r="F210" s="162">
        <f>IFERROR(VLOOKUP(B210,MATERIALES!$A:$D,4,FALSE()),IFERROR(INDEX(COMPOSICIÓN!$I$2:$I$1879,MATCH(B210,COMPOSICIÓN!$D$2:$D$1879,0)),0))</f>
        <v>1824.926273</v>
      </c>
      <c r="G210" s="163">
        <f>SUMIFS(_PLAN_STG!$Q$2:$Q$1879,_PLAN_STG!$D$2:$D$1879,B210,_PLAN_STG!$B$2:$B$1879,"MAT",_PLAN_STG!$O$2:$O$1879,1)</f>
        <v>0</v>
      </c>
      <c r="H210" s="225" t="str">
        <f>IFERROR(INDEX(COMPOSICIÓN!$C$2:$C$1879,MATCH(B210,COMPOSICIÓN!$D$2:$D$1879,0)),"")</f>
        <v>OTR</v>
      </c>
      <c r="I210" s="226">
        <f>SUMPRODUCT((_PLAN_STG!$D$2:$D$1879=B210)*(_PLAN_STG!$B$2:$B$1879="MAT")*(_PLAN_STG!$O$2:$O$1879=1)*(_PLAN_STG!$P$2:$P$1879&gt;0))</f>
        <v>0</v>
      </c>
      <c r="J210" s="224" t="str">
        <f>IFERROR(VLOOKUP(B210,MATERIALES!$A:$G,7,FALSE()),"")</f>
        <v>Pinturas</v>
      </c>
    </row>
    <row r="211" spans="1:10" x14ac:dyDescent="0.35">
      <c r="A211" s="222" t="str">
        <f t="shared" si="3"/>
        <v/>
      </c>
      <c r="B211" s="223" t="s">
        <v>1259</v>
      </c>
      <c r="C211" s="224" t="str">
        <f>IFERROR(VLOOKUP(B211,MATERIALES!$A:$B,2,FALSE()),IFERROR(INDEX(COMPOSICIÓN!$E$2:$E$1879,MATCH(B211,COMPOSICIÓN!$D$2:$D$1879,0)),""))</f>
        <v>Sikaguard 0,350 lts/m2</v>
      </c>
      <c r="D211" s="225" t="str">
        <f>IFERROR(VLOOKUP(B211,MATERIALES!$A:$C,3,FALSE()),IFERROR(INDEX(COMPOSICIÓN!$F$2:$F$1879,MATCH(B211,COMPOSICIÓN!$D$2:$D$1879,0)),""))</f>
        <v>tac</v>
      </c>
      <c r="E211" s="161">
        <f>SUMIFS(_PLAN_STG!$P$2:$P$1879,_PLAN_STG!$D$2:$D$1879,B211,_PLAN_STG!$B$2:$B$1879,"MAT",_PLAN_STG!$O$2:$O$1879,1)</f>
        <v>0</v>
      </c>
      <c r="F211" s="162">
        <f>IFERROR(VLOOKUP(B211,MATERIALES!$A:$D,4,FALSE()),IFERROR(INDEX(COMPOSICIÓN!$I$2:$I$1879,MATCH(B211,COMPOSICIÓN!$D$2:$D$1879,0)),0))</f>
        <v>200000</v>
      </c>
      <c r="G211" s="163">
        <f>SUMIFS(_PLAN_STG!$Q$2:$Q$1879,_PLAN_STG!$D$2:$D$1879,B211,_PLAN_STG!$B$2:$B$1879,"MAT",_PLAN_STG!$O$2:$O$1879,1)</f>
        <v>0</v>
      </c>
      <c r="H211" s="225" t="str">
        <f>IFERROR(INDEX(COMPOSICIÓN!$C$2:$C$1879,MATCH(B211,COMPOSICIÓN!$D$2:$D$1879,0)),"")</f>
        <v>OTR</v>
      </c>
      <c r="I211" s="226">
        <f>SUMPRODUCT((_PLAN_STG!$D$2:$D$1879=B211)*(_PLAN_STG!$B$2:$B$1879="MAT")*(_PLAN_STG!$O$2:$O$1879=1)*(_PLAN_STG!$P$2:$P$1879&gt;0))</f>
        <v>0</v>
      </c>
      <c r="J211" s="224" t="str">
        <f>IFERROR(VLOOKUP(B211,MATERIALES!$A:$G,7,FALSE()),"")</f>
        <v>Impermeabilizantes</v>
      </c>
    </row>
    <row r="212" spans="1:10" x14ac:dyDescent="0.35">
      <c r="A212" s="222" t="str">
        <f t="shared" si="3"/>
        <v/>
      </c>
      <c r="B212" s="223" t="s">
        <v>1262</v>
      </c>
      <c r="C212" s="224" t="str">
        <f>IFERROR(VLOOKUP(B212,MATERIALES!$A:$B,2,FALSE()),IFERROR(INDEX(COMPOSICIÓN!$E$2:$E$1879,MATCH(B212,COMPOSICIÓN!$D$2:$D$1879,0)),""))</f>
        <v>Pintura acrílica Sintevial para demarcación vial brillante amarillo</v>
      </c>
      <c r="D212" s="225" t="str">
        <f>IFERROR(VLOOKUP(B212,MATERIALES!$A:$C,3,FALSE()),IFERROR(INDEX(COMPOSICIÓN!$F$2:$F$1879,MATCH(B212,COMPOSICIÓN!$D$2:$D$1879,0)),""))</f>
        <v>tac</v>
      </c>
      <c r="E212" s="161">
        <f>SUMIFS(_PLAN_STG!$P$2:$P$1879,_PLAN_STG!$D$2:$D$1879,B212,_PLAN_STG!$B$2:$B$1879,"MAT",_PLAN_STG!$O$2:$O$1879,1)</f>
        <v>0</v>
      </c>
      <c r="F212" s="162">
        <f>IFERROR(VLOOKUP(B212,MATERIALES!$A:$D,4,FALSE()),IFERROR(INDEX(COMPOSICIÓN!$I$2:$I$1879,MATCH(B212,COMPOSICIÓN!$D$2:$D$1879,0)),0))</f>
        <v>50000</v>
      </c>
      <c r="G212" s="163">
        <f>SUMIFS(_PLAN_STG!$Q$2:$Q$1879,_PLAN_STG!$D$2:$D$1879,B212,_PLAN_STG!$B$2:$B$1879,"MAT",_PLAN_STG!$O$2:$O$1879,1)</f>
        <v>0</v>
      </c>
      <c r="H212" s="225" t="str">
        <f>IFERROR(INDEX(COMPOSICIÓN!$C$2:$C$1879,MATCH(B212,COMPOSICIÓN!$D$2:$D$1879,0)),"")</f>
        <v>OTR</v>
      </c>
      <c r="I212" s="226">
        <f>SUMPRODUCT((_PLAN_STG!$D$2:$D$1879=B212)*(_PLAN_STG!$B$2:$B$1879="MAT")*(_PLAN_STG!$O$2:$O$1879=1)*(_PLAN_STG!$P$2:$P$1879&gt;0))</f>
        <v>0</v>
      </c>
      <c r="J212" s="224" t="str">
        <f>IFERROR(VLOOKUP(B212,MATERIALES!$A:$G,7,FALSE()),"")</f>
        <v>Servicios</v>
      </c>
    </row>
    <row r="213" spans="1:10" x14ac:dyDescent="0.35">
      <c r="A213" s="222" t="str">
        <f t="shared" si="3"/>
        <v/>
      </c>
      <c r="B213" s="223" t="s">
        <v>1283</v>
      </c>
      <c r="C213" s="224" t="str">
        <f>IFERROR(VLOOKUP(B213,MATERIALES!$A:$B,2,FALSE()),IFERROR(INDEX(COMPOSICIÓN!$E$2:$E$1879,MATCH(B213,COMPOSICIÓN!$D$2:$D$1879,0)),""))</f>
        <v>Tendido caño cloacal en planta baja [CLOACAL]</v>
      </c>
      <c r="D213" s="225" t="str">
        <f>IFERROR(VLOOKUP(B213,MATERIALES!$A:$C,3,FALSE()),IFERROR(INDEX(COMPOSICIÓN!$F$2:$F$1879,MATCH(B213,COMPOSICIÓN!$D$2:$D$1879,0)),""))</f>
        <v>gl</v>
      </c>
      <c r="E213" s="161">
        <f>SUMIFS(_PLAN_STG!$P$2:$P$1879,_PLAN_STG!$D$2:$D$1879,B213,_PLAN_STG!$B$2:$B$1879,"MAT",_PLAN_STG!$O$2:$O$1879,1)</f>
        <v>0</v>
      </c>
      <c r="F213" s="162">
        <f>IFERROR(VLOOKUP(B213,MATERIALES!$A:$D,4,FALSE()),IFERROR(INDEX(COMPOSICIÓN!$I$2:$I$1879,MATCH(B213,COMPOSICIÓN!$D$2:$D$1879,0)),0))</f>
        <v>2201631.50655</v>
      </c>
      <c r="G213" s="163">
        <f>SUMIFS(_PLAN_STG!$Q$2:$Q$1879,_PLAN_STG!$D$2:$D$1879,B213,_PLAN_STG!$B$2:$B$1879,"MAT",_PLAN_STG!$O$2:$O$1879,1)</f>
        <v>0</v>
      </c>
      <c r="H213" s="225" t="str">
        <f>IFERROR(INDEX(COMPOSICIÓN!$C$2:$C$1879,MATCH(B213,COMPOSICIÓN!$D$2:$D$1879,0)),"")</f>
        <v>OTR</v>
      </c>
      <c r="I213" s="226">
        <f>SUMPRODUCT((_PLAN_STG!$D$2:$D$1879=B213)*(_PLAN_STG!$B$2:$B$1879="MAT")*(_PLAN_STG!$O$2:$O$1879=1)*(_PLAN_STG!$P$2:$P$1879&gt;0))</f>
        <v>0</v>
      </c>
      <c r="J213" s="224" t="str">
        <f>IFERROR(VLOOKUP(B213,MATERIALES!$A:$G,7,FALSE()),"")</f>
        <v>Sanitarios</v>
      </c>
    </row>
    <row r="214" spans="1:10" x14ac:dyDescent="0.35">
      <c r="A214" s="222" t="str">
        <f t="shared" si="3"/>
        <v/>
      </c>
      <c r="B214" s="223" t="s">
        <v>1286</v>
      </c>
      <c r="C214" s="224" t="str">
        <f>IFERROR(VLOOKUP(B214,MATERIALES!$A:$B,2,FALSE()),IFERROR(INDEX(COMPOSICIÓN!$E$2:$E$1879,MATCH(B214,COMPOSICIÓN!$D$2:$D$1879,0)),""))</f>
        <v>Por armar CDV en planta tipo [CLOACAL]</v>
      </c>
      <c r="D214" s="225" t="str">
        <f>IFERROR(VLOOKUP(B214,MATERIALES!$A:$C,3,FALSE()),IFERROR(INDEX(COMPOSICIÓN!$F$2:$F$1879,MATCH(B214,COMPOSICIÓN!$D$2:$D$1879,0)),""))</f>
        <v>gl</v>
      </c>
      <c r="E214" s="161">
        <f>SUMIFS(_PLAN_STG!$P$2:$P$1879,_PLAN_STG!$D$2:$D$1879,B214,_PLAN_STG!$B$2:$B$1879,"MAT",_PLAN_STG!$O$2:$O$1879,1)</f>
        <v>0</v>
      </c>
      <c r="F214" s="162">
        <f>IFERROR(VLOOKUP(B214,MATERIALES!$A:$D,4,FALSE()),IFERROR(INDEX(COMPOSICIÓN!$I$2:$I$1879,MATCH(B214,COMPOSICIÓN!$D$2:$D$1879,0)),0))</f>
        <v>2830669.0798499999</v>
      </c>
      <c r="G214" s="163">
        <f>SUMIFS(_PLAN_STG!$Q$2:$Q$1879,_PLAN_STG!$D$2:$D$1879,B214,_PLAN_STG!$B$2:$B$1879,"MAT",_PLAN_STG!$O$2:$O$1879,1)</f>
        <v>0</v>
      </c>
      <c r="H214" s="225" t="str">
        <f>IFERROR(INDEX(COMPOSICIÓN!$C$2:$C$1879,MATCH(B214,COMPOSICIÓN!$D$2:$D$1879,0)),"")</f>
        <v>OTR</v>
      </c>
      <c r="I214" s="226">
        <f>SUMPRODUCT((_PLAN_STG!$D$2:$D$1879=B214)*(_PLAN_STG!$B$2:$B$1879="MAT")*(_PLAN_STG!$O$2:$O$1879=1)*(_PLAN_STG!$P$2:$P$1879&gt;0))</f>
        <v>0</v>
      </c>
      <c r="J214" s="224" t="str">
        <f>IFERROR(VLOOKUP(B214,MATERIALES!$A:$G,7,FALSE()),"")</f>
        <v>Sanitarios</v>
      </c>
    </row>
    <row r="215" spans="1:10" x14ac:dyDescent="0.35">
      <c r="A215" s="222" t="str">
        <f t="shared" si="3"/>
        <v/>
      </c>
      <c r="B215" s="223" t="s">
        <v>1288</v>
      </c>
      <c r="C215" s="224" t="str">
        <f>IFERROR(VLOOKUP(B215,MATERIALES!$A:$B,2,FALSE()),IFERROR(INDEX(COMPOSICIÓN!$E$2:$E$1879,MATCH(B215,COMPOSICIÓN!$D$2:$D$1879,0)),""))</f>
        <v>Montantes, remate y ventilación a los 4 vientos [CLOACAL]</v>
      </c>
      <c r="D215" s="225" t="str">
        <f>IFERROR(VLOOKUP(B215,MATERIALES!$A:$C,3,FALSE()),IFERROR(INDEX(COMPOSICIÓN!$F$2:$F$1879,MATCH(B215,COMPOSICIÓN!$D$2:$D$1879,0)),""))</f>
        <v>gl</v>
      </c>
      <c r="E215" s="161">
        <f>SUMIFS(_PLAN_STG!$P$2:$P$1879,_PLAN_STG!$D$2:$D$1879,B215,_PLAN_STG!$B$2:$B$1879,"MAT",_PLAN_STG!$O$2:$O$1879,1)</f>
        <v>0</v>
      </c>
      <c r="F215" s="162">
        <f>IFERROR(VLOOKUP(B215,MATERIALES!$A:$D,4,FALSE()),IFERROR(INDEX(COMPOSICIÓN!$I$2:$I$1879,MATCH(B215,COMPOSICIÓN!$D$2:$D$1879,0)),0))</f>
        <v>1258075.1466000001</v>
      </c>
      <c r="G215" s="163">
        <f>SUMIFS(_PLAN_STG!$Q$2:$Q$1879,_PLAN_STG!$D$2:$D$1879,B215,_PLAN_STG!$B$2:$B$1879,"MAT",_PLAN_STG!$O$2:$O$1879,1)</f>
        <v>0</v>
      </c>
      <c r="H215" s="225" t="str">
        <f>IFERROR(INDEX(COMPOSICIÓN!$C$2:$C$1879,MATCH(B215,COMPOSICIÓN!$D$2:$D$1879,0)),"")</f>
        <v>OTR</v>
      </c>
      <c r="I215" s="226">
        <f>SUMPRODUCT((_PLAN_STG!$D$2:$D$1879=B215)*(_PLAN_STG!$B$2:$B$1879="MAT")*(_PLAN_STG!$O$2:$O$1879=1)*(_PLAN_STG!$P$2:$P$1879&gt;0))</f>
        <v>0</v>
      </c>
      <c r="J215" s="224" t="str">
        <f>IFERROR(VLOOKUP(B215,MATERIALES!$A:$G,7,FALSE()),"")</f>
        <v>Sanitarios</v>
      </c>
    </row>
    <row r="216" spans="1:10" x14ac:dyDescent="0.35">
      <c r="A216" s="222" t="str">
        <f t="shared" si="3"/>
        <v/>
      </c>
      <c r="B216" s="223" t="s">
        <v>1290</v>
      </c>
      <c r="C216" s="224" t="str">
        <f>IFERROR(VLOOKUP(B216,MATERIALES!$A:$B,2,FALSE()),IFERROR(INDEX(COMPOSICIÓN!$E$2:$E$1879,MATCH(B216,COMPOSICIÓN!$D$2:$D$1879,0)),""))</f>
        <v>Tendido caño pluvial en planta baja  [CLOACAL]</v>
      </c>
      <c r="D216" s="225" t="str">
        <f>IFERROR(VLOOKUP(B216,MATERIALES!$A:$C,3,FALSE()),IFERROR(INDEX(COMPOSICIÓN!$F$2:$F$1879,MATCH(B216,COMPOSICIÓN!$D$2:$D$1879,0)),""))</f>
        <v>gl</v>
      </c>
      <c r="E216" s="161">
        <f>SUMIFS(_PLAN_STG!$P$2:$P$1879,_PLAN_STG!$D$2:$D$1879,B216,_PLAN_STG!$B$2:$B$1879,"MAT",_PLAN_STG!$O$2:$O$1879,1)</f>
        <v>0</v>
      </c>
      <c r="F216" s="162">
        <f>IFERROR(VLOOKUP(B216,MATERIALES!$A:$D,4,FALSE()),IFERROR(INDEX(COMPOSICIÓN!$I$2:$I$1879,MATCH(B216,COMPOSICIÓN!$D$2:$D$1879,0)),0))</f>
        <v>733877.16885000002</v>
      </c>
      <c r="G216" s="163">
        <f>SUMIFS(_PLAN_STG!$Q$2:$Q$1879,_PLAN_STG!$D$2:$D$1879,B216,_PLAN_STG!$B$2:$B$1879,"MAT",_PLAN_STG!$O$2:$O$1879,1)</f>
        <v>0</v>
      </c>
      <c r="H216" s="225" t="str">
        <f>IFERROR(INDEX(COMPOSICIÓN!$C$2:$C$1879,MATCH(B216,COMPOSICIÓN!$D$2:$D$1879,0)),"")</f>
        <v>OTR</v>
      </c>
      <c r="I216" s="226">
        <f>SUMPRODUCT((_PLAN_STG!$D$2:$D$1879=B216)*(_PLAN_STG!$B$2:$B$1879="MAT")*(_PLAN_STG!$O$2:$O$1879=1)*(_PLAN_STG!$P$2:$P$1879&gt;0))</f>
        <v>0</v>
      </c>
      <c r="J216" s="224" t="str">
        <f>IFERROR(VLOOKUP(B216,MATERIALES!$A:$G,7,FALSE()),"")</f>
        <v>Sanitarios</v>
      </c>
    </row>
    <row r="217" spans="1:10" x14ac:dyDescent="0.35">
      <c r="A217" s="222" t="str">
        <f t="shared" si="3"/>
        <v/>
      </c>
      <c r="B217" s="223" t="s">
        <v>1292</v>
      </c>
      <c r="C217" s="224" t="str">
        <f>IFERROR(VLOOKUP(B217,MATERIALES!$A:$B,2,FALSE()),IFERROR(INDEX(COMPOSICIÓN!$E$2:$E$1879,MATCH(B217,COMPOSICIÓN!$D$2:$D$1879,0)),""))</f>
        <v>Tendido caño pluvial por pisos [CLOACAL]</v>
      </c>
      <c r="D217" s="225" t="str">
        <f>IFERROR(VLOOKUP(B217,MATERIALES!$A:$C,3,FALSE()),IFERROR(INDEX(COMPOSICIÓN!$F$2:$F$1879,MATCH(B217,COMPOSICIÓN!$D$2:$D$1879,0)),""))</f>
        <v>gl</v>
      </c>
      <c r="E217" s="161">
        <f>SUMIFS(_PLAN_STG!$P$2:$P$1879,_PLAN_STG!$D$2:$D$1879,B217,_PLAN_STG!$B$2:$B$1879,"MAT",_PLAN_STG!$O$2:$O$1879,1)</f>
        <v>0</v>
      </c>
      <c r="F217" s="162">
        <f>IFERROR(VLOOKUP(B217,MATERIALES!$A:$D,4,FALSE()),IFERROR(INDEX(COMPOSICIÓN!$I$2:$I$1879,MATCH(B217,COMPOSICIÓN!$D$2:$D$1879,0)),0))</f>
        <v>1048395.9555</v>
      </c>
      <c r="G217" s="163">
        <f>SUMIFS(_PLAN_STG!$Q$2:$Q$1879,_PLAN_STG!$D$2:$D$1879,B217,_PLAN_STG!$B$2:$B$1879,"MAT",_PLAN_STG!$O$2:$O$1879,1)</f>
        <v>0</v>
      </c>
      <c r="H217" s="225" t="str">
        <f>IFERROR(INDEX(COMPOSICIÓN!$C$2:$C$1879,MATCH(B217,COMPOSICIÓN!$D$2:$D$1879,0)),"")</f>
        <v>OTR</v>
      </c>
      <c r="I217" s="226">
        <f>SUMPRODUCT((_PLAN_STG!$D$2:$D$1879=B217)*(_PLAN_STG!$B$2:$B$1879="MAT")*(_PLAN_STG!$O$2:$O$1879=1)*(_PLAN_STG!$P$2:$P$1879&gt;0))</f>
        <v>0</v>
      </c>
      <c r="J217" s="224" t="str">
        <f>IFERROR(VLOOKUP(B217,MATERIALES!$A:$G,7,FALSE()),"")</f>
        <v>Sanitarios</v>
      </c>
    </row>
    <row r="218" spans="1:10" x14ac:dyDescent="0.35">
      <c r="A218" s="222" t="str">
        <f t="shared" si="3"/>
        <v/>
      </c>
      <c r="B218" s="223" t="s">
        <v>1294</v>
      </c>
      <c r="C218" s="224" t="str">
        <f>IFERROR(VLOOKUP(B218,MATERIALES!$A:$B,2,FALSE()),IFERROR(INDEX(COMPOSICIÓN!$E$2:$E$1879,MATCH(B218,COMPOSICIÓN!$D$2:$D$1879,0)),""))</f>
        <v>Instalación tanque de recupero y bombeo pluvial [CLOACAL]</v>
      </c>
      <c r="D218" s="225" t="str">
        <f>IFERROR(VLOOKUP(B218,MATERIALES!$A:$C,3,FALSE()),IFERROR(INDEX(COMPOSICIÓN!$F$2:$F$1879,MATCH(B218,COMPOSICIÓN!$D$2:$D$1879,0)),""))</f>
        <v>gl</v>
      </c>
      <c r="E218" s="161">
        <f>SUMIFS(_PLAN_STG!$P$2:$P$1879,_PLAN_STG!$D$2:$D$1879,B218,_PLAN_STG!$B$2:$B$1879,"MAT",_PLAN_STG!$O$2:$O$1879,1)</f>
        <v>0</v>
      </c>
      <c r="F218" s="162">
        <f>IFERROR(VLOOKUP(B218,MATERIALES!$A:$D,4,FALSE()),IFERROR(INDEX(COMPOSICIÓN!$I$2:$I$1879,MATCH(B218,COMPOSICIÓN!$D$2:$D$1879,0)),0))</f>
        <v>314518.78665000002</v>
      </c>
      <c r="G218" s="163">
        <f>SUMIFS(_PLAN_STG!$Q$2:$Q$1879,_PLAN_STG!$D$2:$D$1879,B218,_PLAN_STG!$B$2:$B$1879,"MAT",_PLAN_STG!$O$2:$O$1879,1)</f>
        <v>0</v>
      </c>
      <c r="H218" s="225" t="str">
        <f>IFERROR(INDEX(COMPOSICIÓN!$C$2:$C$1879,MATCH(B218,COMPOSICIÓN!$D$2:$D$1879,0)),"")</f>
        <v>OTR</v>
      </c>
      <c r="I218" s="226">
        <f>SUMPRODUCT((_PLAN_STG!$D$2:$D$1879=B218)*(_PLAN_STG!$B$2:$B$1879="MAT")*(_PLAN_STG!$O$2:$O$1879=1)*(_PLAN_STG!$P$2:$P$1879&gt;0))</f>
        <v>0</v>
      </c>
      <c r="J218" s="224" t="str">
        <f>IFERROR(VLOOKUP(B218,MATERIALES!$A:$G,7,FALSE()),"")</f>
        <v>Sanitarios</v>
      </c>
    </row>
    <row r="219" spans="1:10" x14ac:dyDescent="0.35">
      <c r="A219" s="222" t="str">
        <f t="shared" si="3"/>
        <v/>
      </c>
      <c r="B219" s="223" t="s">
        <v>1296</v>
      </c>
      <c r="C219" s="224" t="str">
        <f>IFERROR(VLOOKUP(B219,MATERIALES!$A:$B,2,FALSE()),IFERROR(INDEX(COMPOSICIÓN!$E$2:$E$1879,MATCH(B219,COMPOSICIÓN!$D$2:$D$1879,0)),""))</f>
        <v>Tendido caño de agua hasta TB. Colocación de TB, armado de colector y cuadro de bombas [AF.AC]</v>
      </c>
      <c r="D219" s="225" t="str">
        <f>IFERROR(VLOOKUP(B219,MATERIALES!$A:$C,3,FALSE()),IFERROR(INDEX(COMPOSICIÓN!$F$2:$F$1879,MATCH(B219,COMPOSICIÓN!$D$2:$D$1879,0)),""))</f>
        <v>gl</v>
      </c>
      <c r="E219" s="161">
        <f>SUMIFS(_PLAN_STG!$P$2:$P$1879,_PLAN_STG!$D$2:$D$1879,B219,_PLAN_STG!$B$2:$B$1879,"MAT",_PLAN_STG!$O$2:$O$1879,1)</f>
        <v>0</v>
      </c>
      <c r="F219" s="162">
        <f>IFERROR(VLOOKUP(B219,MATERIALES!$A:$D,4,FALSE()),IFERROR(INDEX(COMPOSICIÓN!$I$2:$I$1879,MATCH(B219,COMPOSICIÓN!$D$2:$D$1879,0)),0))</f>
        <v>892886.95565999998</v>
      </c>
      <c r="G219" s="163">
        <f>SUMIFS(_PLAN_STG!$Q$2:$Q$1879,_PLAN_STG!$D$2:$D$1879,B219,_PLAN_STG!$B$2:$B$1879,"MAT",_PLAN_STG!$O$2:$O$1879,1)</f>
        <v>0</v>
      </c>
      <c r="H219" s="225" t="str">
        <f>IFERROR(INDEX(COMPOSICIÓN!$C$2:$C$1879,MATCH(B219,COMPOSICIÓN!$D$2:$D$1879,0)),"")</f>
        <v>OTR</v>
      </c>
      <c r="I219" s="226">
        <f>SUMPRODUCT((_PLAN_STG!$D$2:$D$1879=B219)*(_PLAN_STG!$B$2:$B$1879="MAT")*(_PLAN_STG!$O$2:$O$1879=1)*(_PLAN_STG!$P$2:$P$1879&gt;0))</f>
        <v>0</v>
      </c>
      <c r="J219" s="224" t="str">
        <f>IFERROR(VLOOKUP(B219,MATERIALES!$A:$G,7,FALSE()),"")</f>
        <v>Sanitarios</v>
      </c>
    </row>
    <row r="220" spans="1:10" x14ac:dyDescent="0.35">
      <c r="A220" s="222" t="str">
        <f t="shared" si="3"/>
        <v/>
      </c>
      <c r="B220" s="223" t="s">
        <v>1299</v>
      </c>
      <c r="C220" s="224" t="str">
        <f>IFERROR(VLOOKUP(B220,MATERIALES!$A:$B,2,FALSE()),IFERROR(INDEX(COMPOSICIÓN!$E$2:$E$1879,MATCH(B220,COMPOSICIÓN!$D$2:$D$1879,0)),""))</f>
        <v>Armado de colector, subida y bajadas de AF [AF.AC]</v>
      </c>
      <c r="D220" s="225" t="str">
        <f>IFERROR(VLOOKUP(B220,MATERIALES!$A:$C,3,FALSE()),IFERROR(INDEX(COMPOSICIÓN!$F$2:$F$1879,MATCH(B220,COMPOSICIÓN!$D$2:$D$1879,0)),""))</f>
        <v>gl</v>
      </c>
      <c r="E220" s="161">
        <f>SUMIFS(_PLAN_STG!$P$2:$P$1879,_PLAN_STG!$D$2:$D$1879,B220,_PLAN_STG!$B$2:$B$1879,"MAT",_PLAN_STG!$O$2:$O$1879,1)</f>
        <v>0</v>
      </c>
      <c r="F220" s="162">
        <f>IFERROR(VLOOKUP(B220,MATERIALES!$A:$D,4,FALSE()),IFERROR(INDEX(COMPOSICIÓN!$I$2:$I$1879,MATCH(B220,COMPOSICIÓN!$D$2:$D$1879,0)),0))</f>
        <v>1190515.9408799999</v>
      </c>
      <c r="G220" s="163">
        <f>SUMIFS(_PLAN_STG!$Q$2:$Q$1879,_PLAN_STG!$D$2:$D$1879,B220,_PLAN_STG!$B$2:$B$1879,"MAT",_PLAN_STG!$O$2:$O$1879,1)</f>
        <v>0</v>
      </c>
      <c r="H220" s="225" t="str">
        <f>IFERROR(INDEX(COMPOSICIÓN!$C$2:$C$1879,MATCH(B220,COMPOSICIÓN!$D$2:$D$1879,0)),"")</f>
        <v>OTR</v>
      </c>
      <c r="I220" s="226">
        <f>SUMPRODUCT((_PLAN_STG!$D$2:$D$1879=B220)*(_PLAN_STG!$B$2:$B$1879="MAT")*(_PLAN_STG!$O$2:$O$1879=1)*(_PLAN_STG!$P$2:$P$1879&gt;0))</f>
        <v>0</v>
      </c>
      <c r="J220" s="224" t="str">
        <f>IFERROR(VLOOKUP(B220,MATERIALES!$A:$G,7,FALSE()),"")</f>
        <v>Sanitarios</v>
      </c>
    </row>
    <row r="221" spans="1:10" x14ac:dyDescent="0.35">
      <c r="A221" s="222" t="str">
        <f t="shared" si="3"/>
        <v/>
      </c>
      <c r="B221" s="223" t="s">
        <v>1301</v>
      </c>
      <c r="C221" s="224" t="str">
        <f>IFERROR(VLOOKUP(B221,MATERIALES!$A:$B,2,FALSE()),IFERROR(INDEX(COMPOSICIÓN!$E$2:$E$1879,MATCH(B221,COMPOSICIÓN!$D$2:$D$1879,0)),""))</f>
        <v>Colocación de bomba presurizadora, armado de colector y montantes presurizadas (ultimo piso 4°) AF [AF.AC]</v>
      </c>
      <c r="D221" s="225" t="str">
        <f>IFERROR(VLOOKUP(B221,MATERIALES!$A:$C,3,FALSE()),IFERROR(INDEX(COMPOSICIÓN!$F$2:$F$1879,MATCH(B221,COMPOSICIÓN!$D$2:$D$1879,0)),""))</f>
        <v>gl</v>
      </c>
      <c r="E221" s="161">
        <f>SUMIFS(_PLAN_STG!$P$2:$P$1879,_PLAN_STG!$D$2:$D$1879,B221,_PLAN_STG!$B$2:$B$1879,"MAT",_PLAN_STG!$O$2:$O$1879,1)</f>
        <v>0</v>
      </c>
      <c r="F221" s="162">
        <f>IFERROR(VLOOKUP(B221,MATERIALES!$A:$D,4,FALSE()),IFERROR(INDEX(COMPOSICIÓN!$I$2:$I$1879,MATCH(B221,COMPOSICIÓN!$D$2:$D$1879,0)),0))</f>
        <v>892886.95565999998</v>
      </c>
      <c r="G221" s="163">
        <f>SUMIFS(_PLAN_STG!$Q$2:$Q$1879,_PLAN_STG!$D$2:$D$1879,B221,_PLAN_STG!$B$2:$B$1879,"MAT",_PLAN_STG!$O$2:$O$1879,1)</f>
        <v>0</v>
      </c>
      <c r="H221" s="225" t="str">
        <f>IFERROR(INDEX(COMPOSICIÓN!$C$2:$C$1879,MATCH(B221,COMPOSICIÓN!$D$2:$D$1879,0)),"")</f>
        <v>OTR</v>
      </c>
      <c r="I221" s="226">
        <f>SUMPRODUCT((_PLAN_STG!$D$2:$D$1879=B221)*(_PLAN_STG!$B$2:$B$1879="MAT")*(_PLAN_STG!$O$2:$O$1879=1)*(_PLAN_STG!$P$2:$P$1879&gt;0))</f>
        <v>0</v>
      </c>
      <c r="J221" s="224" t="str">
        <f>IFERROR(VLOOKUP(B221,MATERIALES!$A:$G,7,FALSE()),"")</f>
        <v>Sanitarios</v>
      </c>
    </row>
    <row r="222" spans="1:10" x14ac:dyDescent="0.35">
      <c r="A222" s="222" t="str">
        <f t="shared" si="3"/>
        <v/>
      </c>
      <c r="B222" s="223" t="s">
        <v>1303</v>
      </c>
      <c r="C222" s="224" t="str">
        <f>IFERROR(VLOOKUP(B222,MATERIALES!$A:$B,2,FALSE()),IFERROR(INDEX(COMPOSICIÓN!$E$2:$E$1879,MATCH(B222,COMPOSICIÓN!$D$2:$D$1879,0)),""))</f>
        <v>Distribución agua fria y caliente en planta tipo [AF.AC]</v>
      </c>
      <c r="D222" s="225" t="str">
        <f>IFERROR(VLOOKUP(B222,MATERIALES!$A:$C,3,FALSE()),IFERROR(INDEX(COMPOSICIÓN!$F$2:$F$1879,MATCH(B222,COMPOSICIÓN!$D$2:$D$1879,0)),""))</f>
        <v>gl</v>
      </c>
      <c r="E222" s="161">
        <f>SUMIFS(_PLAN_STG!$P$2:$P$1879,_PLAN_STG!$D$2:$D$1879,B222,_PLAN_STG!$B$2:$B$1879,"MAT",_PLAN_STG!$O$2:$O$1879,1)</f>
        <v>0</v>
      </c>
      <c r="F222" s="162">
        <f>IFERROR(VLOOKUP(B222,MATERIALES!$A:$D,4,FALSE()),IFERROR(INDEX(COMPOSICIÓN!$I$2:$I$1879,MATCH(B222,COMPOSICIÓN!$D$2:$D$1879,0)),0))</f>
        <v>2976289.8522000001</v>
      </c>
      <c r="G222" s="163">
        <f>SUMIFS(_PLAN_STG!$Q$2:$Q$1879,_PLAN_STG!$D$2:$D$1879,B222,_PLAN_STG!$B$2:$B$1879,"MAT",_PLAN_STG!$O$2:$O$1879,1)</f>
        <v>0</v>
      </c>
      <c r="H222" s="225" t="str">
        <f>IFERROR(INDEX(COMPOSICIÓN!$C$2:$C$1879,MATCH(B222,COMPOSICIÓN!$D$2:$D$1879,0)),"")</f>
        <v>OTR</v>
      </c>
      <c r="I222" s="226">
        <f>SUMPRODUCT((_PLAN_STG!$D$2:$D$1879=B222)*(_PLAN_STG!$B$2:$B$1879="MAT")*(_PLAN_STG!$O$2:$O$1879=1)*(_PLAN_STG!$P$2:$P$1879&gt;0))</f>
        <v>0</v>
      </c>
      <c r="J222" s="224" t="str">
        <f>IFERROR(VLOOKUP(B222,MATERIALES!$A:$G,7,FALSE()),"")</f>
        <v>Sanitarios</v>
      </c>
    </row>
    <row r="223" spans="1:10" x14ac:dyDescent="0.35">
      <c r="A223" s="222" t="str">
        <f t="shared" si="3"/>
        <v/>
      </c>
      <c r="B223" s="223" t="s">
        <v>1305</v>
      </c>
      <c r="C223" s="224" t="str">
        <f>IFERROR(VLOOKUP(B223,MATERIALES!$A:$B,2,FALSE()),IFERROR(INDEX(COMPOSICIÓN!$E$2:$E$1879,MATCH(B223,COMPOSICIÓN!$D$2:$D$1879,0)),""))</f>
        <v>Colocación de artefactos y griferias [AF.AC]</v>
      </c>
      <c r="D223" s="225" t="str">
        <f>IFERROR(VLOOKUP(B223,MATERIALES!$A:$C,3,FALSE()),IFERROR(INDEX(COMPOSICIÓN!$F$2:$F$1879,MATCH(B223,COMPOSICIÓN!$D$2:$D$1879,0)),""))</f>
        <v>gl</v>
      </c>
      <c r="E223" s="161">
        <f>SUMIFS(_PLAN_STG!$P$2:$P$1879,_PLAN_STG!$D$2:$D$1879,B223,_PLAN_STG!$B$2:$B$1879,"MAT",_PLAN_STG!$O$2:$O$1879,1)</f>
        <v>0</v>
      </c>
      <c r="F223" s="162">
        <f>IFERROR(VLOOKUP(B223,MATERIALES!$A:$D,4,FALSE()),IFERROR(INDEX(COMPOSICIÓN!$I$2:$I$1879,MATCH(B223,COMPOSICIÓN!$D$2:$D$1879,0)),0))</f>
        <v>2023467.36</v>
      </c>
      <c r="G223" s="163">
        <f>SUMIFS(_PLAN_STG!$Q$2:$Q$1879,_PLAN_STG!$D$2:$D$1879,B223,_PLAN_STG!$B$2:$B$1879,"MAT",_PLAN_STG!$O$2:$O$1879,1)</f>
        <v>0</v>
      </c>
      <c r="H223" s="225" t="str">
        <f>IFERROR(INDEX(COMPOSICIÓN!$C$2:$C$1879,MATCH(B223,COMPOSICIÓN!$D$2:$D$1879,0)),"")</f>
        <v>OTR</v>
      </c>
      <c r="I223" s="226">
        <f>SUMPRODUCT((_PLAN_STG!$D$2:$D$1879=B223)*(_PLAN_STG!$B$2:$B$1879="MAT")*(_PLAN_STG!$O$2:$O$1879=1)*(_PLAN_STG!$P$2:$P$1879&gt;0))</f>
        <v>0</v>
      </c>
      <c r="J223" s="224" t="str">
        <f>IFERROR(VLOOKUP(B223,MATERIALES!$A:$G,7,FALSE()),"")</f>
        <v>Sanitarios</v>
      </c>
    </row>
    <row r="224" spans="1:10" x14ac:dyDescent="0.35">
      <c r="A224" s="222" t="str">
        <f t="shared" si="3"/>
        <v/>
      </c>
      <c r="B224" s="223" t="s">
        <v>1307</v>
      </c>
      <c r="C224" s="224" t="str">
        <f>IFERROR(VLOOKUP(B224,MATERIALES!$A:$B,2,FALSE()),IFERROR(INDEX(COMPOSICIÓN!$E$2:$E$1879,MATCH(B224,COMPOSICIÓN!$D$2:$D$1879,0)),""))</f>
        <v>Armado y conexionado de desagües AA.CC</v>
      </c>
      <c r="D224" s="225" t="str">
        <f>IFERROR(VLOOKUP(B224,MATERIALES!$A:$C,3,FALSE()),IFERROR(INDEX(COMPOSICIÓN!$F$2:$F$1879,MATCH(B224,COMPOSICIÓN!$D$2:$D$1879,0)),""))</f>
        <v>gl</v>
      </c>
      <c r="E224" s="161">
        <f>SUMIFS(_PLAN_STG!$P$2:$P$1879,_PLAN_STG!$D$2:$D$1879,B224,_PLAN_STG!$B$2:$B$1879,"MAT",_PLAN_STG!$O$2:$O$1879,1)</f>
        <v>0</v>
      </c>
      <c r="F224" s="162">
        <f>IFERROR(VLOOKUP(B224,MATERIALES!$A:$D,4,FALSE()),IFERROR(INDEX(COMPOSICIÓN!$I$2:$I$1879,MATCH(B224,COMPOSICIÓN!$D$2:$D$1879,0)),0))</f>
        <v>450000</v>
      </c>
      <c r="G224" s="163">
        <f>SUMIFS(_PLAN_STG!$Q$2:$Q$1879,_PLAN_STG!$D$2:$D$1879,B224,_PLAN_STG!$B$2:$B$1879,"MAT",_PLAN_STG!$O$2:$O$1879,1)</f>
        <v>0</v>
      </c>
      <c r="H224" s="225" t="str">
        <f>IFERROR(INDEX(COMPOSICIÓN!$C$2:$C$1879,MATCH(B224,COMPOSICIÓN!$D$2:$D$1879,0)),"")</f>
        <v>OTR</v>
      </c>
      <c r="I224" s="226">
        <f>SUMPRODUCT((_PLAN_STG!$D$2:$D$1879=B224)*(_PLAN_STG!$B$2:$B$1879="MAT")*(_PLAN_STG!$O$2:$O$1879=1)*(_PLAN_STG!$P$2:$P$1879&gt;0))</f>
        <v>0</v>
      </c>
      <c r="J224" s="224" t="str">
        <f>IFERROR(VLOOKUP(B224,MATERIALES!$A:$G,7,FALSE()),"")</f>
        <v>Piso radiante y calefacción</v>
      </c>
    </row>
    <row r="225" spans="1:10" x14ac:dyDescent="0.35">
      <c r="A225" s="222" t="str">
        <f t="shared" si="3"/>
        <v/>
      </c>
      <c r="B225" s="223" t="s">
        <v>1323</v>
      </c>
      <c r="C225" s="224" t="str">
        <f>IFERROR(VLOOKUP(B225,MATERIALES!$A:$B,2,FALSE()),IFERROR(INDEX(COMPOSICIÓN!$E$2:$E$1879,MATCH(B225,COMPOSICIÓN!$D$2:$D$1879,0)),""))</f>
        <v>Colocación de anafes - Provisión a cargo del comitente</v>
      </c>
      <c r="D225" s="225" t="str">
        <f>IFERROR(VLOOKUP(B225,MATERIALES!$A:$C,3,FALSE()),IFERROR(INDEX(COMPOSICIÓN!$F$2:$F$1879,MATCH(B225,COMPOSICIÓN!$D$2:$D$1879,0)),""))</f>
        <v>u</v>
      </c>
      <c r="E225" s="161">
        <f>SUMIFS(_PLAN_STG!$P$2:$P$1879,_PLAN_STG!$D$2:$D$1879,B225,_PLAN_STG!$B$2:$B$1879,"MAT",_PLAN_STG!$O$2:$O$1879,1)</f>
        <v>0</v>
      </c>
      <c r="F225" s="162">
        <f>IFERROR(VLOOKUP(B225,MATERIALES!$A:$D,4,FALSE()),IFERROR(INDEX(COMPOSICIÓN!$I$2:$I$1879,MATCH(B225,COMPOSICIÓN!$D$2:$D$1879,0)),0))</f>
        <v>15000</v>
      </c>
      <c r="G225" s="163">
        <f>SUMIFS(_PLAN_STG!$Q$2:$Q$1879,_PLAN_STG!$D$2:$D$1879,B225,_PLAN_STG!$B$2:$B$1879,"MAT",_PLAN_STG!$O$2:$O$1879,1)</f>
        <v>0</v>
      </c>
      <c r="H225" s="225" t="str">
        <f>IFERROR(INDEX(COMPOSICIÓN!$C$2:$C$1879,MATCH(B225,COMPOSICIÓN!$D$2:$D$1879,0)),"")</f>
        <v>OTR</v>
      </c>
      <c r="I225" s="226">
        <f>SUMPRODUCT((_PLAN_STG!$D$2:$D$1879=B225)*(_PLAN_STG!$B$2:$B$1879="MAT")*(_PLAN_STG!$O$2:$O$1879=1)*(_PLAN_STG!$P$2:$P$1879&gt;0))</f>
        <v>0</v>
      </c>
      <c r="J225" s="224" t="str">
        <f>IFERROR(VLOOKUP(B225,MATERIALES!$A:$G,7,FALSE()),"")</f>
        <v>Gas</v>
      </c>
    </row>
    <row r="226" spans="1:10" x14ac:dyDescent="0.35">
      <c r="A226" s="222" t="str">
        <f t="shared" si="3"/>
        <v/>
      </c>
      <c r="B226" s="223" t="s">
        <v>1325</v>
      </c>
      <c r="C226" s="224" t="str">
        <f>IFERROR(VLOOKUP(B226,MATERIALES!$A:$B,2,FALSE()),IFERROR(INDEX(COMPOSICIÓN!$E$2:$E$1879,MATCH(B226,COMPOSICIÓN!$D$2:$D$1879,0)),""))</f>
        <v>Provisión y amure de rejillas de ventilación homologadas</v>
      </c>
      <c r="D226" s="225" t="str">
        <f>IFERROR(VLOOKUP(B226,MATERIALES!$A:$C,3,FALSE()),IFERROR(INDEX(COMPOSICIÓN!$F$2:$F$1879,MATCH(B226,COMPOSICIÓN!$D$2:$D$1879,0)),""))</f>
        <v>gl</v>
      </c>
      <c r="E226" s="161">
        <f>SUMIFS(_PLAN_STG!$P$2:$P$1879,_PLAN_STG!$D$2:$D$1879,B226,_PLAN_STG!$B$2:$B$1879,"MAT",_PLAN_STG!$O$2:$O$1879,1)</f>
        <v>0</v>
      </c>
      <c r="F226" s="162">
        <f>IFERROR(VLOOKUP(B226,MATERIALES!$A:$D,4,FALSE()),IFERROR(INDEX(COMPOSICIÓN!$I$2:$I$1879,MATCH(B226,COMPOSICIÓN!$D$2:$D$1879,0)),0))</f>
        <v>1500</v>
      </c>
      <c r="G226" s="163">
        <f>SUMIFS(_PLAN_STG!$Q$2:$Q$1879,_PLAN_STG!$D$2:$D$1879,B226,_PLAN_STG!$B$2:$B$1879,"MAT",_PLAN_STG!$O$2:$O$1879,1)</f>
        <v>0</v>
      </c>
      <c r="H226" s="225" t="str">
        <f>IFERROR(INDEX(COMPOSICIÓN!$C$2:$C$1879,MATCH(B226,COMPOSICIÓN!$D$2:$D$1879,0)),"")</f>
        <v>OTR</v>
      </c>
      <c r="I226" s="226">
        <f>SUMPRODUCT((_PLAN_STG!$D$2:$D$1879=B226)*(_PLAN_STG!$B$2:$B$1879="MAT")*(_PLAN_STG!$O$2:$O$1879=1)*(_PLAN_STG!$P$2:$P$1879&gt;0))</f>
        <v>0</v>
      </c>
      <c r="J226" s="224" t="str">
        <f>IFERROR(VLOOKUP(B226,MATERIALES!$A:$G,7,FALSE()),"")</f>
        <v>Gas</v>
      </c>
    </row>
    <row r="227" spans="1:10" x14ac:dyDescent="0.35">
      <c r="A227" s="222" t="str">
        <f t="shared" si="3"/>
        <v/>
      </c>
      <c r="B227" s="223" t="s">
        <v>1327</v>
      </c>
      <c r="C227" s="224" t="str">
        <f>IFERROR(VLOOKUP(B227,MATERIALES!$A:$B,2,FALSE()),IFERROR(INDEX(COMPOSICIÓN!$E$2:$E$1879,MATCH(B227,COMPOSICIÓN!$D$2:$D$1879,0)),""))</f>
        <v>Mmaposteria</v>
      </c>
      <c r="D227" s="225" t="str">
        <f>IFERROR(VLOOKUP(B227,MATERIALES!$A:$C,3,FALSE()),IFERROR(INDEX(COMPOSICIÓN!$F$2:$F$1879,MATCH(B227,COMPOSICIÓN!$D$2:$D$1879,0)),""))</f>
        <v>gl</v>
      </c>
      <c r="E227" s="161">
        <f>SUMIFS(_PLAN_STG!$P$2:$P$1879,_PLAN_STG!$D$2:$D$1879,B227,_PLAN_STG!$B$2:$B$1879,"MAT",_PLAN_STG!$O$2:$O$1879,1)</f>
        <v>0</v>
      </c>
      <c r="F227" s="162">
        <f>IFERROR(VLOOKUP(B227,MATERIALES!$A:$D,4,FALSE()),IFERROR(INDEX(COMPOSICIÓN!$I$2:$I$1879,MATCH(B227,COMPOSICIÓN!$D$2:$D$1879,0)),0))</f>
        <v>100000</v>
      </c>
      <c r="G227" s="163">
        <f>SUMIFS(_PLAN_STG!$Q$2:$Q$1879,_PLAN_STG!$D$2:$D$1879,B227,_PLAN_STG!$B$2:$B$1879,"MAT",_PLAN_STG!$O$2:$O$1879,1)</f>
        <v>0</v>
      </c>
      <c r="H227" s="225" t="str">
        <f>IFERROR(INDEX(COMPOSICIÓN!$C$2:$C$1879,MATCH(B227,COMPOSICIÓN!$D$2:$D$1879,0)),"")</f>
        <v>COR</v>
      </c>
      <c r="I227" s="226">
        <f>SUMPRODUCT((_PLAN_STG!$D$2:$D$1879=B227)*(_PLAN_STG!$B$2:$B$1879="MAT")*(_PLAN_STG!$O$2:$O$1879=1)*(_PLAN_STG!$P$2:$P$1879&gt;0))</f>
        <v>0</v>
      </c>
      <c r="J227" s="224" t="str">
        <f>IFERROR(VLOOKUP(B227,MATERIALES!$A:$G,7,FALSE()),"")</f>
        <v>Corralón</v>
      </c>
    </row>
    <row r="228" spans="1:10" x14ac:dyDescent="0.35">
      <c r="A228" s="222" t="str">
        <f t="shared" si="3"/>
        <v/>
      </c>
      <c r="B228" s="223" t="s">
        <v>1330</v>
      </c>
      <c r="C228" s="224" t="str">
        <f>IFERROR(VLOOKUP(B228,MATERIALES!$A:$B,2,FALSE()),IFERROR(INDEX(COMPOSICIÓN!$E$2:$E$1879,MATCH(B228,COMPOSICIÓN!$D$2:$D$1879,0)),""))</f>
        <v>Revoque</v>
      </c>
      <c r="D228" s="225" t="str">
        <f>IFERROR(VLOOKUP(B228,MATERIALES!$A:$C,3,FALSE()),IFERROR(INDEX(COMPOSICIÓN!$F$2:$F$1879,MATCH(B228,COMPOSICIÓN!$D$2:$D$1879,0)),""))</f>
        <v>gl</v>
      </c>
      <c r="E228" s="161">
        <f>SUMIFS(_PLAN_STG!$P$2:$P$1879,_PLAN_STG!$D$2:$D$1879,B228,_PLAN_STG!$B$2:$B$1879,"MAT",_PLAN_STG!$O$2:$O$1879,1)</f>
        <v>0</v>
      </c>
      <c r="F228" s="162">
        <f>IFERROR(VLOOKUP(B228,MATERIALES!$A:$D,4,FALSE()),IFERROR(INDEX(COMPOSICIÓN!$I$2:$I$1879,MATCH(B228,COMPOSICIÓN!$D$2:$D$1879,0)),0))</f>
        <v>50000</v>
      </c>
      <c r="G228" s="163">
        <f>SUMIFS(_PLAN_STG!$Q$2:$Q$1879,_PLAN_STG!$D$2:$D$1879,B228,_PLAN_STG!$B$2:$B$1879,"MAT",_PLAN_STG!$O$2:$O$1879,1)</f>
        <v>0</v>
      </c>
      <c r="H228" s="225" t="str">
        <f>IFERROR(INDEX(COMPOSICIÓN!$C$2:$C$1879,MATCH(B228,COMPOSICIÓN!$D$2:$D$1879,0)),"")</f>
        <v>COR</v>
      </c>
      <c r="I228" s="226">
        <f>SUMPRODUCT((_PLAN_STG!$D$2:$D$1879=B228)*(_PLAN_STG!$B$2:$B$1879="MAT")*(_PLAN_STG!$O$2:$O$1879=1)*(_PLAN_STG!$P$2:$P$1879&gt;0))</f>
        <v>0</v>
      </c>
      <c r="J228" s="224" t="str">
        <f>IFERROR(VLOOKUP(B228,MATERIALES!$A:$G,7,FALSE()),"")</f>
        <v>Corralón</v>
      </c>
    </row>
    <row r="229" spans="1:10" x14ac:dyDescent="0.35">
      <c r="A229" s="222" t="str">
        <f t="shared" si="3"/>
        <v/>
      </c>
      <c r="B229" s="223" t="s">
        <v>1332</v>
      </c>
      <c r="C229" s="224" t="str">
        <f>IFERROR(VLOOKUP(B229,MATERIALES!$A:$B,2,FALSE()),IFERROR(INDEX(COMPOSICIÓN!$E$2:$E$1879,MATCH(B229,COMPOSICIÓN!$D$2:$D$1879,0)),""))</f>
        <v xml:space="preserve">Dintel </v>
      </c>
      <c r="D229" s="225" t="str">
        <f>IFERROR(VLOOKUP(B229,MATERIALES!$A:$C,3,FALSE()),IFERROR(INDEX(COMPOSICIÓN!$F$2:$F$1879,MATCH(B229,COMPOSICIÓN!$D$2:$D$1879,0)),""))</f>
        <v>gl</v>
      </c>
      <c r="E229" s="161">
        <f>SUMIFS(_PLAN_STG!$P$2:$P$1879,_PLAN_STG!$D$2:$D$1879,B229,_PLAN_STG!$B$2:$B$1879,"MAT",_PLAN_STG!$O$2:$O$1879,1)</f>
        <v>0</v>
      </c>
      <c r="F229" s="162">
        <f>IFERROR(VLOOKUP(B229,MATERIALES!$A:$D,4,FALSE()),IFERROR(INDEX(COMPOSICIÓN!$I$2:$I$1879,MATCH(B229,COMPOSICIÓN!$D$2:$D$1879,0)),0))</f>
        <v>30000</v>
      </c>
      <c r="G229" s="163">
        <f>SUMIFS(_PLAN_STG!$Q$2:$Q$1879,_PLAN_STG!$D$2:$D$1879,B229,_PLAN_STG!$B$2:$B$1879,"MAT",_PLAN_STG!$O$2:$O$1879,1)</f>
        <v>0</v>
      </c>
      <c r="H229" s="225" t="str">
        <f>IFERROR(INDEX(COMPOSICIÓN!$C$2:$C$1879,MATCH(B229,COMPOSICIÓN!$D$2:$D$1879,0)),"")</f>
        <v>OTR</v>
      </c>
      <c r="I229" s="226">
        <f>SUMPRODUCT((_PLAN_STG!$D$2:$D$1879=B229)*(_PLAN_STG!$B$2:$B$1879="MAT")*(_PLAN_STG!$O$2:$O$1879=1)*(_PLAN_STG!$P$2:$P$1879&gt;0))</f>
        <v>0</v>
      </c>
      <c r="J229" s="224" t="str">
        <f>IFERROR(VLOOKUP(B229,MATERIALES!$A:$G,7,FALSE()),"")</f>
        <v>Corralón</v>
      </c>
    </row>
    <row r="230" spans="1:10" x14ac:dyDescent="0.35">
      <c r="A230" s="222" t="str">
        <f t="shared" si="3"/>
        <v/>
      </c>
      <c r="B230" s="223" t="s">
        <v>1336</v>
      </c>
      <c r="C230" s="224" t="str">
        <f>IFERROR(VLOOKUP(B230,MATERIALES!$A:$B,2,FALSE()),IFERROR(INDEX(COMPOSICIÓN!$E$2:$E$1879,MATCH(B230,COMPOSICIÓN!$D$2:$D$1879,0)),""))</f>
        <v>M.Obra</v>
      </c>
      <c r="D230" s="225" t="str">
        <f>IFERROR(VLOOKUP(B230,MATERIALES!$A:$C,3,FALSE()),IFERROR(INDEX(COMPOSICIÓN!$F$2:$F$1879,MATCH(B230,COMPOSICIÓN!$D$2:$D$1879,0)),""))</f>
        <v>d</v>
      </c>
      <c r="E230" s="161">
        <f>SUMIFS(_PLAN_STG!$P$2:$P$1879,_PLAN_STG!$D$2:$D$1879,B230,_PLAN_STG!$B$2:$B$1879,"MAT",_PLAN_STG!$O$2:$O$1879,1)</f>
        <v>0</v>
      </c>
      <c r="F230" s="162">
        <f>IFERROR(VLOOKUP(B230,MATERIALES!$A:$D,4,FALSE()),IFERROR(INDEX(COMPOSICIÓN!$I$2:$I$1879,MATCH(B230,COMPOSICIÓN!$D$2:$D$1879,0)),0))</f>
        <v>10000</v>
      </c>
      <c r="G230" s="163">
        <f>SUMIFS(_PLAN_STG!$Q$2:$Q$1879,_PLAN_STG!$D$2:$D$1879,B230,_PLAN_STG!$B$2:$B$1879,"MAT",_PLAN_STG!$O$2:$O$1879,1)</f>
        <v>0</v>
      </c>
      <c r="H230" s="225" t="str">
        <f>IFERROR(INDEX(COMPOSICIÓN!$C$2:$C$1879,MATCH(B230,COMPOSICIÓN!$D$2:$D$1879,0)),"")</f>
        <v>COR</v>
      </c>
      <c r="I230" s="226">
        <f>SUMPRODUCT((_PLAN_STG!$D$2:$D$1879=B230)*(_PLAN_STG!$B$2:$B$1879="MAT")*(_PLAN_STG!$O$2:$O$1879=1)*(_PLAN_STG!$P$2:$P$1879&gt;0))</f>
        <v>0</v>
      </c>
      <c r="J230" s="224" t="str">
        <f>IFERROR(VLOOKUP(B230,MATERIALES!$A:$G,7,FALSE()),"")</f>
        <v>Otros</v>
      </c>
    </row>
    <row r="231" spans="1:10" x14ac:dyDescent="0.35">
      <c r="A231" s="222" t="str">
        <f t="shared" si="3"/>
        <v/>
      </c>
      <c r="B231" s="223" t="s">
        <v>1342</v>
      </c>
      <c r="C231" s="224" t="str">
        <f>IFERROR(VLOOKUP(B231,MATERIALES!$A:$B,2,FALSE()),IFERROR(INDEX(COMPOSICIÓN!$E$2:$E$1879,MATCH(B231,COMPOSICIÓN!$D$2:$D$1879,0)),""))</f>
        <v>Defensas</v>
      </c>
      <c r="D231" s="225" t="str">
        <f>IFERROR(VLOOKUP(B231,MATERIALES!$A:$C,3,FALSE()),IFERROR(INDEX(COMPOSICIÓN!$F$2:$F$1879,MATCH(B231,COMPOSICIÓN!$D$2:$D$1879,0)),""))</f>
        <v>ml</v>
      </c>
      <c r="E231" s="161">
        <f>SUMIFS(_PLAN_STG!$P$2:$P$1879,_PLAN_STG!$D$2:$D$1879,B231,_PLAN_STG!$B$2:$B$1879,"MAT",_PLAN_STG!$O$2:$O$1879,1)</f>
        <v>0</v>
      </c>
      <c r="F231" s="162">
        <f>IFERROR(VLOOKUP(B231,MATERIALES!$A:$D,4,FALSE()),IFERROR(INDEX(COMPOSICIÓN!$I$2:$I$1879,MATCH(B231,COMPOSICIÓN!$D$2:$D$1879,0)),0))</f>
        <v>25783.917333333298</v>
      </c>
      <c r="G231" s="163">
        <f>SUMIFS(_PLAN_STG!$Q$2:$Q$1879,_PLAN_STG!$D$2:$D$1879,B231,_PLAN_STG!$B$2:$B$1879,"MAT",_PLAN_STG!$O$2:$O$1879,1)</f>
        <v>0</v>
      </c>
      <c r="H231" s="225" t="str">
        <f>IFERROR(INDEX(COMPOSICIÓN!$C$2:$C$1879,MATCH(B231,COMPOSICIÓN!$D$2:$D$1879,0)),"")</f>
        <v>OTR</v>
      </c>
      <c r="I231" s="226">
        <f>SUMPRODUCT((_PLAN_STG!$D$2:$D$1879=B231)*(_PLAN_STG!$B$2:$B$1879="MAT")*(_PLAN_STG!$O$2:$O$1879=1)*(_PLAN_STG!$P$2:$P$1879&gt;0))</f>
        <v>0</v>
      </c>
      <c r="J231" s="224" t="str">
        <f>IFERROR(VLOOKUP(B231,MATERIALES!$A:$G,7,FALSE()),"")</f>
        <v>Ferretería</v>
      </c>
    </row>
    <row r="232" spans="1:10" x14ac:dyDescent="0.35">
      <c r="A232" s="222" t="str">
        <f t="shared" si="3"/>
        <v/>
      </c>
      <c r="B232" s="223" t="s">
        <v>1345</v>
      </c>
      <c r="C232" s="224" t="str">
        <f>IFERROR(VLOOKUP(B232,MATERIALES!$A:$B,2,FALSE()),IFERROR(INDEX(COMPOSICIÓN!$E$2:$E$1879,MATCH(B232,COMPOSICIÓN!$D$2:$D$1879,0)),""))</f>
        <v>Tabla 4 x 1 x 3,6 Saligna bruto</v>
      </c>
      <c r="D232" s="225" t="str">
        <f>IFERROR(VLOOKUP(B232,MATERIALES!$A:$C,3,FALSE()),IFERROR(INDEX(COMPOSICIÓN!$F$2:$F$1879,MATCH(B232,COMPOSICIÓN!$D$2:$D$1879,0)),""))</f>
        <v>u</v>
      </c>
      <c r="E232" s="161">
        <f>SUMIFS(_PLAN_STG!$P$2:$P$1879,_PLAN_STG!$D$2:$D$1879,B232,_PLAN_STG!$B$2:$B$1879,"MAT",_PLAN_STG!$O$2:$O$1879,1)</f>
        <v>0</v>
      </c>
      <c r="F232" s="162">
        <f>IFERROR(VLOOKUP(B232,MATERIALES!$A:$D,4,FALSE()),IFERROR(INDEX(COMPOSICIÓN!$I$2:$I$1879,MATCH(B232,COMPOSICIÓN!$D$2:$D$1879,0)),0))</f>
        <v>1294.6320000000001</v>
      </c>
      <c r="G232" s="163">
        <f>SUMIFS(_PLAN_STG!$Q$2:$Q$1879,_PLAN_STG!$D$2:$D$1879,B232,_PLAN_STG!$B$2:$B$1879,"MAT",_PLAN_STG!$O$2:$O$1879,1)</f>
        <v>0</v>
      </c>
      <c r="H232" s="225" t="str">
        <f>IFERROR(INDEX(COMPOSICIÓN!$C$2:$C$1879,MATCH(B232,COMPOSICIÓN!$D$2:$D$1879,0)),"")</f>
        <v>OTR</v>
      </c>
      <c r="I232" s="226">
        <f>SUMPRODUCT((_PLAN_STG!$D$2:$D$1879=B232)*(_PLAN_STG!$B$2:$B$1879="MAT")*(_PLAN_STG!$O$2:$O$1879=1)*(_PLAN_STG!$P$2:$P$1879&gt;0))</f>
        <v>0</v>
      </c>
      <c r="J232" s="224" t="str">
        <f>IFERROR(VLOOKUP(B232,MATERIALES!$A:$G,7,FALSE()),"")</f>
        <v>Corralón</v>
      </c>
    </row>
    <row r="233" spans="1:10" x14ac:dyDescent="0.35">
      <c r="A233" s="222" t="str">
        <f t="shared" si="3"/>
        <v/>
      </c>
      <c r="B233" s="223" t="s">
        <v>1347</v>
      </c>
      <c r="C233" s="224" t="str">
        <f>IFERROR(VLOOKUP(B233,MATERIALES!$A:$B,2,FALSE()),IFERROR(INDEX(COMPOSICIÓN!$E$2:$E$1879,MATCH(B233,COMPOSICIÓN!$D$2:$D$1879,0)),""))</f>
        <v>Tirante 3 x 3 x 3,6 Saligna bruto</v>
      </c>
      <c r="D233" s="225" t="str">
        <f>IFERROR(VLOOKUP(B233,MATERIALES!$A:$C,3,FALSE()),IFERROR(INDEX(COMPOSICIÓN!$F$2:$F$1879,MATCH(B233,COMPOSICIÓN!$D$2:$D$1879,0)),""))</f>
        <v>u</v>
      </c>
      <c r="E233" s="161">
        <f>SUMIFS(_PLAN_STG!$P$2:$P$1879,_PLAN_STG!$D$2:$D$1879,B233,_PLAN_STG!$B$2:$B$1879,"MAT",_PLAN_STG!$O$2:$O$1879,1)</f>
        <v>0</v>
      </c>
      <c r="F233" s="162">
        <f>IFERROR(VLOOKUP(B233,MATERIALES!$A:$D,4,FALSE()),IFERROR(INDEX(COMPOSICIÓN!$I$2:$I$1879,MATCH(B233,COMPOSICIÓN!$D$2:$D$1879,0)),0))</f>
        <v>2912.9520000000002</v>
      </c>
      <c r="G233" s="163">
        <f>SUMIFS(_PLAN_STG!$Q$2:$Q$1879,_PLAN_STG!$D$2:$D$1879,B233,_PLAN_STG!$B$2:$B$1879,"MAT",_PLAN_STG!$O$2:$O$1879,1)</f>
        <v>0</v>
      </c>
      <c r="H233" s="225" t="str">
        <f>IFERROR(INDEX(COMPOSICIÓN!$C$2:$C$1879,MATCH(B233,COMPOSICIÓN!$D$2:$D$1879,0)),"")</f>
        <v>OTR</v>
      </c>
      <c r="I233" s="226">
        <f>SUMPRODUCT((_PLAN_STG!$D$2:$D$1879=B233)*(_PLAN_STG!$B$2:$B$1879="MAT")*(_PLAN_STG!$O$2:$O$1879=1)*(_PLAN_STG!$P$2:$P$1879&gt;0))</f>
        <v>0</v>
      </c>
      <c r="J233" s="224" t="str">
        <f>IFERROR(VLOOKUP(B233,MATERIALES!$A:$G,7,FALSE()),"")</f>
        <v>Corralón</v>
      </c>
    </row>
    <row r="234" spans="1:10" x14ac:dyDescent="0.35">
      <c r="A234" s="222" t="str">
        <f t="shared" si="3"/>
        <v/>
      </c>
      <c r="B234" s="223" t="s">
        <v>1349</v>
      </c>
      <c r="C234" s="224" t="str">
        <f>IFERROR(VLOOKUP(B234,MATERIALES!$A:$B,2,FALSE()),IFERROR(INDEX(COMPOSICIÓN!$E$2:$E$1879,MATCH(B234,COMPOSICIÓN!$D$2:$D$1879,0)),""))</f>
        <v xml:space="preserve">Mat. </v>
      </c>
      <c r="D234" s="225" t="str">
        <f>IFERROR(VLOOKUP(B234,MATERIALES!$A:$C,3,FALSE()),IFERROR(INDEX(COMPOSICIÓN!$F$2:$F$1879,MATCH(B234,COMPOSICIÓN!$D$2:$D$1879,0)),""))</f>
        <v>mes</v>
      </c>
      <c r="E234" s="161">
        <f>SUMIFS(_PLAN_STG!$P$2:$P$1879,_PLAN_STG!$D$2:$D$1879,B234,_PLAN_STG!$B$2:$B$1879,"MAT",_PLAN_STG!$O$2:$O$1879,1)</f>
        <v>0</v>
      </c>
      <c r="F234" s="162">
        <f>IFERROR(VLOOKUP(B234,MATERIALES!$A:$D,4,FALSE()),IFERROR(INDEX(COMPOSICIÓN!$I$2:$I$1879,MATCH(B234,COMPOSICIÓN!$D$2:$D$1879,0)),0))</f>
        <v>50000</v>
      </c>
      <c r="G234" s="163">
        <f>SUMIFS(_PLAN_STG!$Q$2:$Q$1879,_PLAN_STG!$D$2:$D$1879,B234,_PLAN_STG!$B$2:$B$1879,"MAT",_PLAN_STG!$O$2:$O$1879,1)</f>
        <v>0</v>
      </c>
      <c r="H234" s="225" t="str">
        <f>IFERROR(INDEX(COMPOSICIÓN!$C$2:$C$1879,MATCH(B234,COMPOSICIÓN!$D$2:$D$1879,0)),"")</f>
        <v>COR</v>
      </c>
      <c r="I234" s="226">
        <f>SUMPRODUCT((_PLAN_STG!$D$2:$D$1879=B234)*(_PLAN_STG!$B$2:$B$1879="MAT")*(_PLAN_STG!$O$2:$O$1879=1)*(_PLAN_STG!$P$2:$P$1879&gt;0))</f>
        <v>0</v>
      </c>
      <c r="J234" s="224" t="str">
        <f>IFERROR(VLOOKUP(B234,MATERIALES!$A:$G,7,FALSE()),"")</f>
        <v>Otros</v>
      </c>
    </row>
    <row r="235" spans="1:10" x14ac:dyDescent="0.35">
      <c r="A235" s="222" t="str">
        <f t="shared" si="3"/>
        <v/>
      </c>
      <c r="B235" s="223" t="s">
        <v>1352</v>
      </c>
      <c r="C235" s="224" t="str">
        <f>IFERROR(VLOOKUP(B235,MATERIALES!$A:$B,2,FALSE()),IFERROR(INDEX(COMPOSICIÓN!$E$2:$E$1879,MATCH(B235,COMPOSICIÓN!$D$2:$D$1879,0)),""))</f>
        <v>MT para Revestimiento tipo Tarquini hasta 3 m de altura</v>
      </c>
      <c r="D235" s="225" t="str">
        <f>IFERROR(VLOOKUP(B235,MATERIALES!$A:$C,3,FALSE()),IFERROR(INDEX(COMPOSICIÓN!$F$2:$F$1879,MATCH(B235,COMPOSICIÓN!$D$2:$D$1879,0)),""))</f>
        <v>u</v>
      </c>
      <c r="E235" s="161">
        <f>SUMIFS(_PLAN_STG!$P$2:$P$1879,_PLAN_STG!$D$2:$D$1879,B235,_PLAN_STG!$B$2:$B$1879,"MAT",_PLAN_STG!$O$2:$O$1879,1)</f>
        <v>0</v>
      </c>
      <c r="F235" s="162">
        <f>IFERROR(VLOOKUP(B235,MATERIALES!$A:$D,4,FALSE()),IFERROR(INDEX(COMPOSICIÓN!$I$2:$I$1879,MATCH(B235,COMPOSICIÓN!$D$2:$D$1879,0)),0))</f>
        <v>10000</v>
      </c>
      <c r="G235" s="163">
        <f>SUMIFS(_PLAN_STG!$Q$2:$Q$1879,_PLAN_STG!$D$2:$D$1879,B235,_PLAN_STG!$B$2:$B$1879,"MAT",_PLAN_STG!$O$2:$O$1879,1)</f>
        <v>0</v>
      </c>
      <c r="H235" s="225" t="str">
        <f>IFERROR(INDEX(COMPOSICIÓN!$C$2:$C$1879,MATCH(B235,COMPOSICIÓN!$D$2:$D$1879,0)),"")</f>
        <v>OTR</v>
      </c>
      <c r="I235" s="226">
        <f>SUMPRODUCT((_PLAN_STG!$D$2:$D$1879=B235)*(_PLAN_STG!$B$2:$B$1879="MAT")*(_PLAN_STG!$O$2:$O$1879=1)*(_PLAN_STG!$P$2:$P$1879&gt;0))</f>
        <v>0</v>
      </c>
      <c r="J235" s="224" t="str">
        <f>IFERROR(VLOOKUP(B235,MATERIALES!$A:$G,7,FALSE()),"")</f>
        <v>Revestimientos y yesos</v>
      </c>
    </row>
    <row r="236" spans="1:10" x14ac:dyDescent="0.35">
      <c r="A236" s="222" t="str">
        <f t="shared" si="3"/>
        <v/>
      </c>
      <c r="B236" s="223" t="s">
        <v>1364</v>
      </c>
      <c r="C236" s="224" t="str">
        <f>IFERROR(VLOOKUP(B236,MATERIALES!$A:$B,2,FALSE()),IFERROR(INDEX(COMPOSICIÓN!$E$2:$E$1879,MATCH(B236,COMPOSICIÓN!$D$2:$D$1879,0)),""))</f>
        <v>Consumibles topógrafo y obras preliminares</v>
      </c>
      <c r="D236" s="225" t="str">
        <f>IFERROR(VLOOKUP(B236,MATERIALES!$A:$C,3,FALSE()),IFERROR(INDEX(COMPOSICIÓN!$F$2:$F$1879,MATCH(B236,COMPOSICIÓN!$D$2:$D$1879,0)),""))</f>
        <v>gl</v>
      </c>
      <c r="E236" s="161">
        <f>SUMIFS(_PLAN_STG!$P$2:$P$1879,_PLAN_STG!$D$2:$D$1879,B236,_PLAN_STG!$B$2:$B$1879,"MAT",_PLAN_STG!$O$2:$O$1879,1)</f>
        <v>0</v>
      </c>
      <c r="F236" s="162">
        <f>IFERROR(VLOOKUP(B236,MATERIALES!$A:$D,4,FALSE()),IFERROR(INDEX(COMPOSICIÓN!$I$2:$I$1879,MATCH(B236,COMPOSICIÓN!$D$2:$D$1879,0)),0))</f>
        <v>25000</v>
      </c>
      <c r="G236" s="163">
        <f>SUMIFS(_PLAN_STG!$Q$2:$Q$1879,_PLAN_STG!$D$2:$D$1879,B236,_PLAN_STG!$B$2:$B$1879,"MAT",_PLAN_STG!$O$2:$O$1879,1)</f>
        <v>0</v>
      </c>
      <c r="H236" s="225" t="str">
        <f>IFERROR(INDEX(COMPOSICIÓN!$C$2:$C$1879,MATCH(B236,COMPOSICIÓN!$D$2:$D$1879,0)),"")</f>
        <v>COR</v>
      </c>
      <c r="I236" s="226">
        <f>SUMPRODUCT((_PLAN_STG!$D$2:$D$1879=B236)*(_PLAN_STG!$B$2:$B$1879="MAT")*(_PLAN_STG!$O$2:$O$1879=1)*(_PLAN_STG!$P$2:$P$1879&gt;0))</f>
        <v>0</v>
      </c>
      <c r="J236" s="224" t="str">
        <f>IFERROR(VLOOKUP(B236,MATERIALES!$A:$G,7,FALSE()),"")</f>
        <v>Consumibles</v>
      </c>
    </row>
    <row r="237" spans="1:10" x14ac:dyDescent="0.35">
      <c r="A237" s="222" t="str">
        <f t="shared" si="3"/>
        <v/>
      </c>
      <c r="B237" s="223" t="s">
        <v>1367</v>
      </c>
      <c r="C237" s="224" t="str">
        <f>IFERROR(VLOOKUP(B237,MATERIALES!$A:$B,2,FALSE()),IFERROR(INDEX(COMPOSICIÓN!$E$2:$E$1879,MATCH(B237,COMPOSICIÓN!$D$2:$D$1879,0)),""))</f>
        <v>Materiales adicionales s/MAT 35% - PTO-0502</v>
      </c>
      <c r="D237" s="225" t="str">
        <f>IFERROR(VLOOKUP(B237,MATERIALES!$A:$C,3,FALSE()),IFERROR(INDEX(COMPOSICIÓN!$F$2:$F$1879,MATCH(B237,COMPOSICIÓN!$D$2:$D$1879,0)),""))</f>
        <v>m2</v>
      </c>
      <c r="E237" s="161">
        <f>SUMIFS(_PLAN_STG!$P$2:$P$1879,_PLAN_STG!$D$2:$D$1879,B237,_PLAN_STG!$B$2:$B$1879,"MAT",_PLAN_STG!$O$2:$O$1879,1)</f>
        <v>0</v>
      </c>
      <c r="F237" s="162">
        <f>IFERROR(VLOOKUP(B237,MATERIALES!$A:$D,4,FALSE()),IFERROR(INDEX(COMPOSICIÓN!$I$2:$I$1879,MATCH(B237,COMPOSICIÓN!$D$2:$D$1879,0)),0))</f>
        <v>3419.20382267378</v>
      </c>
      <c r="G237" s="163">
        <f>SUMIFS(_PLAN_STG!$Q$2:$Q$1879,_PLAN_STG!$D$2:$D$1879,B237,_PLAN_STG!$B$2:$B$1879,"MAT",_PLAN_STG!$O$2:$O$1879,1)</f>
        <v>0</v>
      </c>
      <c r="H237" s="225" t="str">
        <f>IFERROR(INDEX(COMPOSICIÓN!$C$2:$C$1879,MATCH(B237,COMPOSICIÓN!$D$2:$D$1879,0)),"")</f>
        <v>OTR</v>
      </c>
      <c r="I237" s="226">
        <f>SUMPRODUCT((_PLAN_STG!$D$2:$D$1879=B237)*(_PLAN_STG!$B$2:$B$1879="MAT")*(_PLAN_STG!$O$2:$O$1879=1)*(_PLAN_STG!$P$2:$P$1879&gt;0))</f>
        <v>0</v>
      </c>
      <c r="J237" s="224" t="str">
        <f>IFERROR(VLOOKUP(B237,MATERIALES!$A:$G,7,FALSE()),"")</f>
        <v>Consumibles</v>
      </c>
    </row>
    <row r="238" spans="1:10" x14ac:dyDescent="0.35">
      <c r="A238" s="222" t="str">
        <f t="shared" si="3"/>
        <v/>
      </c>
      <c r="B238" s="223" t="s">
        <v>1370</v>
      </c>
      <c r="C238" s="224" t="str">
        <f>IFERROR(VLOOKUP(B238,MATERIALES!$A:$B,2,FALSE()),IFERROR(INDEX(COMPOSICIÓN!$E$2:$E$1879,MATCH(B238,COMPOSICIÓN!$D$2:$D$1879,0)),""))</f>
        <v>Materiales adicionales s/MAT 20% - PTO-0506</v>
      </c>
      <c r="D238" s="225" t="str">
        <f>IFERROR(VLOOKUP(B238,MATERIALES!$A:$C,3,FALSE()),IFERROR(INDEX(COMPOSICIÓN!$F$2:$F$1879,MATCH(B238,COMPOSICIÓN!$D$2:$D$1879,0)),""))</f>
        <v>m2</v>
      </c>
      <c r="E238" s="161">
        <f>SUMIFS(_PLAN_STG!$P$2:$P$1879,_PLAN_STG!$D$2:$D$1879,B238,_PLAN_STG!$B$2:$B$1879,"MAT",_PLAN_STG!$O$2:$O$1879,1)</f>
        <v>0</v>
      </c>
      <c r="F238" s="162">
        <f>IFERROR(VLOOKUP(B238,MATERIALES!$A:$D,4,FALSE()),IFERROR(INDEX(COMPOSICIÓN!$I$2:$I$1879,MATCH(B238,COMPOSICIÓN!$D$2:$D$1879,0)),0))</f>
        <v>1953.83075581359</v>
      </c>
      <c r="G238" s="163">
        <f>SUMIFS(_PLAN_STG!$Q$2:$Q$1879,_PLAN_STG!$D$2:$D$1879,B238,_PLAN_STG!$B$2:$B$1879,"MAT",_PLAN_STG!$O$2:$O$1879,1)</f>
        <v>0</v>
      </c>
      <c r="H238" s="225" t="str">
        <f>IFERROR(INDEX(COMPOSICIÓN!$C$2:$C$1879,MATCH(B238,COMPOSICIÓN!$D$2:$D$1879,0)),"")</f>
        <v>OTR</v>
      </c>
      <c r="I238" s="226">
        <f>SUMPRODUCT((_PLAN_STG!$D$2:$D$1879=B238)*(_PLAN_STG!$B$2:$B$1879="MAT")*(_PLAN_STG!$O$2:$O$1879=1)*(_PLAN_STG!$P$2:$P$1879&gt;0))</f>
        <v>0</v>
      </c>
      <c r="J238" s="224" t="str">
        <f>IFERROR(VLOOKUP(B238,MATERIALES!$A:$G,7,FALSE()),"")</f>
        <v>Consumibles</v>
      </c>
    </row>
    <row r="239" spans="1:10" x14ac:dyDescent="0.35">
      <c r="A239" s="222" t="str">
        <f t="shared" si="3"/>
        <v/>
      </c>
      <c r="B239" s="223" t="s">
        <v>1373</v>
      </c>
      <c r="C239" s="224" t="str">
        <f>IFERROR(VLOOKUP(B239,MATERIALES!$A:$B,2,FALSE()),IFERROR(INDEX(COMPOSICIÓN!$E$2:$E$1879,MATCH(B239,COMPOSICIÓN!$D$2:$D$1879,0)),""))</f>
        <v>Voltimetro Display Ojo de Buey 22 mm (220vca ø22mm / IP44)</v>
      </c>
      <c r="D239" s="225" t="str">
        <f>IFERROR(VLOOKUP(B239,MATERIALES!$A:$C,3,FALSE()),IFERROR(INDEX(COMPOSICIÓN!$F$2:$F$1879,MATCH(B239,COMPOSICIÓN!$D$2:$D$1879,0)),""))</f>
        <v>u</v>
      </c>
      <c r="E239" s="161">
        <f>SUMIFS(_PLAN_STG!$P$2:$P$1879,_PLAN_STG!$D$2:$D$1879,B239,_PLAN_STG!$B$2:$B$1879,"MAT",_PLAN_STG!$O$2:$O$1879,1)</f>
        <v>0</v>
      </c>
      <c r="F239" s="162">
        <f>IFERROR(VLOOKUP(B239,MATERIALES!$A:$D,4,FALSE()),IFERROR(INDEX(COMPOSICIÓN!$I$2:$I$1879,MATCH(B239,COMPOSICIÓN!$D$2:$D$1879,0)),0))</f>
        <v>3656.19834710744</v>
      </c>
      <c r="G239" s="163">
        <f>SUMIFS(_PLAN_STG!$Q$2:$Q$1879,_PLAN_STG!$D$2:$D$1879,B239,_PLAN_STG!$B$2:$B$1879,"MAT",_PLAN_STG!$O$2:$O$1879,1)</f>
        <v>0</v>
      </c>
      <c r="H239" s="225" t="str">
        <f>IFERROR(INDEX(COMPOSICIÓN!$C$2:$C$1879,MATCH(B239,COMPOSICIÓN!$D$2:$D$1879,0)),"")</f>
        <v>OTR</v>
      </c>
      <c r="I239" s="226">
        <f>SUMPRODUCT((_PLAN_STG!$D$2:$D$1879=B239)*(_PLAN_STG!$B$2:$B$1879="MAT")*(_PLAN_STG!$O$2:$O$1879=1)*(_PLAN_STG!$P$2:$P$1879&gt;0))</f>
        <v>0</v>
      </c>
      <c r="J239" s="224" t="str">
        <f>IFERROR(VLOOKUP(B239,MATERIALES!$A:$G,7,FALSE()),"")</f>
        <v>Eléctricos</v>
      </c>
    </row>
    <row r="240" spans="1:10" x14ac:dyDescent="0.35">
      <c r="A240" s="222" t="str">
        <f t="shared" si="3"/>
        <v/>
      </c>
      <c r="B240" s="223" t="s">
        <v>1377</v>
      </c>
      <c r="C240" s="224" t="str">
        <f>IFERROR(VLOOKUP(B240,MATERIALES!$A:$B,2,FALSE()),IFERROR(INDEX(COMPOSICIÓN!$E$2:$E$1879,MATCH(B240,COMPOSICIÓN!$D$2:$D$1879,0)),""))</f>
        <v>STECK DIFERENCIAL 4X40A 30MA (4x40A)</v>
      </c>
      <c r="D240" s="225" t="str">
        <f>IFERROR(VLOOKUP(B240,MATERIALES!$A:$C,3,FALSE()),IFERROR(INDEX(COMPOSICIÓN!$F$2:$F$1879,MATCH(B240,COMPOSICIÓN!$D$2:$D$1879,0)),""))</f>
        <v>u</v>
      </c>
      <c r="E240" s="161">
        <f>SUMIFS(_PLAN_STG!$P$2:$P$1879,_PLAN_STG!$D$2:$D$1879,B240,_PLAN_STG!$B$2:$B$1879,"MAT",_PLAN_STG!$O$2:$O$1879,1)</f>
        <v>0</v>
      </c>
      <c r="F240" s="162">
        <f>IFERROR(VLOOKUP(B240,MATERIALES!$A:$D,4,FALSE()),IFERROR(INDEX(COMPOSICIÓN!$I$2:$I$1879,MATCH(B240,COMPOSICIÓN!$D$2:$D$1879,0)),0))</f>
        <v>35881.19</v>
      </c>
      <c r="G240" s="163">
        <f>SUMIFS(_PLAN_STG!$Q$2:$Q$1879,_PLAN_STG!$D$2:$D$1879,B240,_PLAN_STG!$B$2:$B$1879,"MAT",_PLAN_STG!$O$2:$O$1879,1)</f>
        <v>0</v>
      </c>
      <c r="H240" s="225" t="str">
        <f>IFERROR(INDEX(COMPOSICIÓN!$C$2:$C$1879,MATCH(B240,COMPOSICIÓN!$D$2:$D$1879,0)),"")</f>
        <v>OTR</v>
      </c>
      <c r="I240" s="226">
        <f>SUMPRODUCT((_PLAN_STG!$D$2:$D$1879=B240)*(_PLAN_STG!$B$2:$B$1879="MAT")*(_PLAN_STG!$O$2:$O$1879=1)*(_PLAN_STG!$P$2:$P$1879&gt;0))</f>
        <v>0</v>
      </c>
      <c r="J240" s="224" t="str">
        <f>IFERROR(VLOOKUP(B240,MATERIALES!$A:$G,7,FALSE()),"")</f>
        <v>Eléctricos</v>
      </c>
    </row>
    <row r="241" spans="1:10" x14ac:dyDescent="0.35">
      <c r="A241" s="222" t="str">
        <f t="shared" si="3"/>
        <v/>
      </c>
      <c r="B241" s="223" t="s">
        <v>1379</v>
      </c>
      <c r="C241" s="224" t="str">
        <f>IFERROR(VLOOKUP(B241,MATERIALES!$A:$B,2,FALSE()),IFERROR(INDEX(COMPOSICIÓN!$E$2:$E$1879,MATCH(B241,COMPOSICIÓN!$D$2:$D$1879,0)),""))</f>
        <v>STECK DIFERENCIAL 2X25A 30MA (2X40A)</v>
      </c>
      <c r="D241" s="225" t="str">
        <f>IFERROR(VLOOKUP(B241,MATERIALES!$A:$C,3,FALSE()),IFERROR(INDEX(COMPOSICIÓN!$F$2:$F$1879,MATCH(B241,COMPOSICIÓN!$D$2:$D$1879,0)),""))</f>
        <v>u</v>
      </c>
      <c r="E241" s="161">
        <f>SUMIFS(_PLAN_STG!$P$2:$P$1879,_PLAN_STG!$D$2:$D$1879,B241,_PLAN_STG!$B$2:$B$1879,"MAT",_PLAN_STG!$O$2:$O$1879,1)</f>
        <v>0</v>
      </c>
      <c r="F241" s="162">
        <f>IFERROR(VLOOKUP(B241,MATERIALES!$A:$D,4,FALSE()),IFERROR(INDEX(COMPOSICIÓN!$I$2:$I$1879,MATCH(B241,COMPOSICIÓN!$D$2:$D$1879,0)),0))</f>
        <v>18770.66</v>
      </c>
      <c r="G241" s="163">
        <f>SUMIFS(_PLAN_STG!$Q$2:$Q$1879,_PLAN_STG!$D$2:$D$1879,B241,_PLAN_STG!$B$2:$B$1879,"MAT",_PLAN_STG!$O$2:$O$1879,1)</f>
        <v>0</v>
      </c>
      <c r="H241" s="225" t="str">
        <f>IFERROR(INDEX(COMPOSICIÓN!$C$2:$C$1879,MATCH(B241,COMPOSICIÓN!$D$2:$D$1879,0)),"")</f>
        <v>OTR</v>
      </c>
      <c r="I241" s="226">
        <f>SUMPRODUCT((_PLAN_STG!$D$2:$D$1879=B241)*(_PLAN_STG!$B$2:$B$1879="MAT")*(_PLAN_STG!$O$2:$O$1879=1)*(_PLAN_STG!$P$2:$P$1879&gt;0))</f>
        <v>0</v>
      </c>
      <c r="J241" s="224" t="str">
        <f>IFERROR(VLOOKUP(B241,MATERIALES!$A:$G,7,FALSE()),"")</f>
        <v>Eléctricos</v>
      </c>
    </row>
    <row r="242" spans="1:10" x14ac:dyDescent="0.35">
      <c r="A242" s="222" t="str">
        <f t="shared" si="3"/>
        <v/>
      </c>
      <c r="B242" s="223" t="s">
        <v>1381</v>
      </c>
      <c r="C242" s="224" t="str">
        <f>IFERROR(VLOOKUP(B242,MATERIALES!$A:$B,2,FALSE()),IFERROR(INDEX(COMPOSICIÓN!$E$2:$E$1879,MATCH(B242,COMPOSICIÓN!$D$2:$D$1879,0)),""))</f>
        <v>STECK TM TETRAPOLAR 50A 6KA (4 x 50 A)</v>
      </c>
      <c r="D242" s="225" t="str">
        <f>IFERROR(VLOOKUP(B242,MATERIALES!$A:$C,3,FALSE()),IFERROR(INDEX(COMPOSICIÓN!$F$2:$F$1879,MATCH(B242,COMPOSICIÓN!$D$2:$D$1879,0)),""))</f>
        <v>u</v>
      </c>
      <c r="E242" s="161">
        <f>SUMIFS(_PLAN_STG!$P$2:$P$1879,_PLAN_STG!$D$2:$D$1879,B242,_PLAN_STG!$B$2:$B$1879,"MAT",_PLAN_STG!$O$2:$O$1879,1)</f>
        <v>0</v>
      </c>
      <c r="F242" s="162">
        <f>IFERROR(VLOOKUP(B242,MATERIALES!$A:$D,4,FALSE()),IFERROR(INDEX(COMPOSICIÓN!$I$2:$I$1879,MATCH(B242,COMPOSICIÓN!$D$2:$D$1879,0)),0))</f>
        <v>11960.81</v>
      </c>
      <c r="G242" s="163">
        <f>SUMIFS(_PLAN_STG!$Q$2:$Q$1879,_PLAN_STG!$D$2:$D$1879,B242,_PLAN_STG!$B$2:$B$1879,"MAT",_PLAN_STG!$O$2:$O$1879,1)</f>
        <v>0</v>
      </c>
      <c r="H242" s="225" t="str">
        <f>IFERROR(INDEX(COMPOSICIÓN!$C$2:$C$1879,MATCH(B242,COMPOSICIÓN!$D$2:$D$1879,0)),"")</f>
        <v>OTR</v>
      </c>
      <c r="I242" s="226">
        <f>SUMPRODUCT((_PLAN_STG!$D$2:$D$1879=B242)*(_PLAN_STG!$B$2:$B$1879="MAT")*(_PLAN_STG!$O$2:$O$1879=1)*(_PLAN_STG!$P$2:$P$1879&gt;0))</f>
        <v>0</v>
      </c>
      <c r="J242" s="224" t="str">
        <f>IFERROR(VLOOKUP(B242,MATERIALES!$A:$G,7,FALSE()),"")</f>
        <v>Eléctricos</v>
      </c>
    </row>
    <row r="243" spans="1:10" x14ac:dyDescent="0.35">
      <c r="A243" s="222" t="str">
        <f t="shared" si="3"/>
        <v/>
      </c>
      <c r="B243" s="223" t="s">
        <v>1383</v>
      </c>
      <c r="C243" s="224" t="str">
        <f>IFERROR(VLOOKUP(B243,MATERIALES!$A:$B,2,FALSE()),IFERROR(INDEX(COMPOSICIÓN!$E$2:$E$1879,MATCH(B243,COMPOSICIÓN!$D$2:$D$1879,0)),""))</f>
        <v>STECK TM TETRAPOLAR 32A 6KA (4 X 25A)</v>
      </c>
      <c r="D243" s="225" t="str">
        <f>IFERROR(VLOOKUP(B243,MATERIALES!$A:$C,3,FALSE()),IFERROR(INDEX(COMPOSICIÓN!$F$2:$F$1879,MATCH(B243,COMPOSICIÓN!$D$2:$D$1879,0)),""))</f>
        <v>u</v>
      </c>
      <c r="E243" s="161">
        <f>SUMIFS(_PLAN_STG!$P$2:$P$1879,_PLAN_STG!$D$2:$D$1879,B243,_PLAN_STG!$B$2:$B$1879,"MAT",_PLAN_STG!$O$2:$O$1879,1)</f>
        <v>0</v>
      </c>
      <c r="F243" s="162">
        <f>IFERROR(VLOOKUP(B243,MATERIALES!$A:$D,4,FALSE()),IFERROR(INDEX(COMPOSICIÓN!$I$2:$I$1879,MATCH(B243,COMPOSICIÓN!$D$2:$D$1879,0)),0))</f>
        <v>11163.59</v>
      </c>
      <c r="G243" s="163">
        <f>SUMIFS(_PLAN_STG!$Q$2:$Q$1879,_PLAN_STG!$D$2:$D$1879,B243,_PLAN_STG!$B$2:$B$1879,"MAT",_PLAN_STG!$O$2:$O$1879,1)</f>
        <v>0</v>
      </c>
      <c r="H243" s="225" t="str">
        <f>IFERROR(INDEX(COMPOSICIÓN!$C$2:$C$1879,MATCH(B243,COMPOSICIÓN!$D$2:$D$1879,0)),"")</f>
        <v>OTR</v>
      </c>
      <c r="I243" s="226">
        <f>SUMPRODUCT((_PLAN_STG!$D$2:$D$1879=B243)*(_PLAN_STG!$B$2:$B$1879="MAT")*(_PLAN_STG!$O$2:$O$1879=1)*(_PLAN_STG!$P$2:$P$1879&gt;0))</f>
        <v>0</v>
      </c>
      <c r="J243" s="224" t="str">
        <f>IFERROR(VLOOKUP(B243,MATERIALES!$A:$G,7,FALSE()),"")</f>
        <v>Eléctricos</v>
      </c>
    </row>
    <row r="244" spans="1:10" x14ac:dyDescent="0.35">
      <c r="A244" s="222" t="str">
        <f t="shared" si="3"/>
        <v/>
      </c>
      <c r="B244" s="223" t="s">
        <v>1385</v>
      </c>
      <c r="C244" s="224" t="str">
        <f>IFERROR(VLOOKUP(B244,MATERIALES!$A:$B,2,FALSE()),IFERROR(INDEX(COMPOSICIÓN!$E$2:$E$1879,MATCH(B244,COMPOSICIÓN!$D$2:$D$1879,0)),""))</f>
        <v>STECK TM BIPOLAR 16A 6KA (2 X 16A)</v>
      </c>
      <c r="D244" s="225" t="str">
        <f>IFERROR(VLOOKUP(B244,MATERIALES!$A:$C,3,FALSE()),IFERROR(INDEX(COMPOSICIÓN!$F$2:$F$1879,MATCH(B244,COMPOSICIÓN!$D$2:$D$1879,0)),""))</f>
        <v>u</v>
      </c>
      <c r="E244" s="161">
        <f>SUMIFS(_PLAN_STG!$P$2:$P$1879,_PLAN_STG!$D$2:$D$1879,B244,_PLAN_STG!$B$2:$B$1879,"MAT",_PLAN_STG!$O$2:$O$1879,1)</f>
        <v>0</v>
      </c>
      <c r="F244" s="162">
        <f>IFERROR(VLOOKUP(B244,MATERIALES!$A:$D,4,FALSE()),IFERROR(INDEX(COMPOSICIÓN!$I$2:$I$1879,MATCH(B244,COMPOSICIÓN!$D$2:$D$1879,0)),0))</f>
        <v>5287.23</v>
      </c>
      <c r="G244" s="163">
        <f>SUMIFS(_PLAN_STG!$Q$2:$Q$1879,_PLAN_STG!$D$2:$D$1879,B244,_PLAN_STG!$B$2:$B$1879,"MAT",_PLAN_STG!$O$2:$O$1879,1)</f>
        <v>0</v>
      </c>
      <c r="H244" s="225" t="str">
        <f>IFERROR(INDEX(COMPOSICIÓN!$C$2:$C$1879,MATCH(B244,COMPOSICIÓN!$D$2:$D$1879,0)),"")</f>
        <v>OTR</v>
      </c>
      <c r="I244" s="226">
        <f>SUMPRODUCT((_PLAN_STG!$D$2:$D$1879=B244)*(_PLAN_STG!$B$2:$B$1879="MAT")*(_PLAN_STG!$O$2:$O$1879=1)*(_PLAN_STG!$P$2:$P$1879&gt;0))</f>
        <v>0</v>
      </c>
      <c r="J244" s="224" t="str">
        <f>IFERROR(VLOOKUP(B244,MATERIALES!$A:$G,7,FALSE()),"")</f>
        <v>Eléctricos</v>
      </c>
    </row>
    <row r="245" spans="1:10" x14ac:dyDescent="0.35">
      <c r="A245" s="222" t="str">
        <f t="shared" si="3"/>
        <v/>
      </c>
      <c r="B245" s="223" t="s">
        <v>1387</v>
      </c>
      <c r="C245" s="224" t="str">
        <f>IFERROR(VLOOKUP(B245,MATERIALES!$A:$B,2,FALSE()),IFERROR(INDEX(COMPOSICIÓN!$E$2:$E$1879,MATCH(B245,COMPOSICIÓN!$D$2:$D$1879,0)),""))</f>
        <v>STECK TM BIPOLAR 10A 6KA (2 X 10A)</v>
      </c>
      <c r="D245" s="225" t="str">
        <f>IFERROR(VLOOKUP(B245,MATERIALES!$A:$C,3,FALSE()),IFERROR(INDEX(COMPOSICIÓN!$F$2:$F$1879,MATCH(B245,COMPOSICIÓN!$D$2:$D$1879,0)),""))</f>
        <v>u</v>
      </c>
      <c r="E245" s="161">
        <f>SUMIFS(_PLAN_STG!$P$2:$P$1879,_PLAN_STG!$D$2:$D$1879,B245,_PLAN_STG!$B$2:$B$1879,"MAT",_PLAN_STG!$O$2:$O$1879,1)</f>
        <v>0</v>
      </c>
      <c r="F245" s="162">
        <f>IFERROR(VLOOKUP(B245,MATERIALES!$A:$D,4,FALSE()),IFERROR(INDEX(COMPOSICIÓN!$I$2:$I$1879,MATCH(B245,COMPOSICIÓN!$D$2:$D$1879,0)),0))</f>
        <v>5287.23</v>
      </c>
      <c r="G245" s="163">
        <f>SUMIFS(_PLAN_STG!$Q$2:$Q$1879,_PLAN_STG!$D$2:$D$1879,B245,_PLAN_STG!$B$2:$B$1879,"MAT",_PLAN_STG!$O$2:$O$1879,1)</f>
        <v>0</v>
      </c>
      <c r="H245" s="225" t="str">
        <f>IFERROR(INDEX(COMPOSICIÓN!$C$2:$C$1879,MATCH(B245,COMPOSICIÓN!$D$2:$D$1879,0)),"")</f>
        <v>OTR</v>
      </c>
      <c r="I245" s="226">
        <f>SUMPRODUCT((_PLAN_STG!$D$2:$D$1879=B245)*(_PLAN_STG!$B$2:$B$1879="MAT")*(_PLAN_STG!$O$2:$O$1879=1)*(_PLAN_STG!$P$2:$P$1879&gt;0))</f>
        <v>0</v>
      </c>
      <c r="J245" s="224" t="str">
        <f>IFERROR(VLOOKUP(B245,MATERIALES!$A:$G,7,FALSE()),"")</f>
        <v>Eléctricos</v>
      </c>
    </row>
    <row r="246" spans="1:10" x14ac:dyDescent="0.35">
      <c r="A246" s="222" t="str">
        <f t="shared" si="3"/>
        <v/>
      </c>
      <c r="B246" s="223" t="s">
        <v>1389</v>
      </c>
      <c r="C246" s="224" t="str">
        <f>IFERROR(VLOOKUP(B246,MATERIALES!$A:$B,2,FALSE()),IFERROR(INDEX(COMPOSICIÓN!$E$2:$E$1879,MATCH(B246,COMPOSICIÓN!$D$2:$D$1879,0)),""))</f>
        <v>GAB. IP65 SERIE 9000 600X900X225</v>
      </c>
      <c r="D246" s="225" t="str">
        <f>IFERROR(VLOOKUP(B246,MATERIALES!$A:$C,3,FALSE()),IFERROR(INDEX(COMPOSICIÓN!$F$2:$F$1879,MATCH(B246,COMPOSICIÓN!$D$2:$D$1879,0)),""))</f>
        <v>u</v>
      </c>
      <c r="E246" s="161">
        <f>SUMIFS(_PLAN_STG!$P$2:$P$1879,_PLAN_STG!$D$2:$D$1879,B246,_PLAN_STG!$B$2:$B$1879,"MAT",_PLAN_STG!$O$2:$O$1879,1)</f>
        <v>0</v>
      </c>
      <c r="F246" s="162">
        <f>IFERROR(VLOOKUP(B246,MATERIALES!$A:$D,4,FALSE()),IFERROR(INDEX(COMPOSICIÓN!$I$2:$I$1879,MATCH(B246,COMPOSICIÓN!$D$2:$D$1879,0)),0))</f>
        <v>267503.51</v>
      </c>
      <c r="G246" s="163">
        <f>SUMIFS(_PLAN_STG!$Q$2:$Q$1879,_PLAN_STG!$D$2:$D$1879,B246,_PLAN_STG!$B$2:$B$1879,"MAT",_PLAN_STG!$O$2:$O$1879,1)</f>
        <v>0</v>
      </c>
      <c r="H246" s="225" t="str">
        <f>IFERROR(INDEX(COMPOSICIÓN!$C$2:$C$1879,MATCH(B246,COMPOSICIÓN!$D$2:$D$1879,0)),"")</f>
        <v>OTR</v>
      </c>
      <c r="I246" s="226">
        <f>SUMPRODUCT((_PLAN_STG!$D$2:$D$1879=B246)*(_PLAN_STG!$B$2:$B$1879="MAT")*(_PLAN_STG!$O$2:$O$1879=1)*(_PLAN_STG!$P$2:$P$1879&gt;0))</f>
        <v>0</v>
      </c>
      <c r="J246" s="224" t="str">
        <f>IFERROR(VLOOKUP(B246,MATERIALES!$A:$G,7,FALSE()),"")</f>
        <v>Eléctricos</v>
      </c>
    </row>
    <row r="247" spans="1:10" x14ac:dyDescent="0.35">
      <c r="A247" s="222" t="str">
        <f t="shared" si="3"/>
        <v/>
      </c>
      <c r="B247" s="223" t="s">
        <v>1391</v>
      </c>
      <c r="C247" s="224" t="str">
        <f>IFERROR(VLOOKUP(B247,MATERIALES!$A:$B,2,FALSE()),IFERROR(INDEX(COMPOSICIÓN!$E$2:$E$1879,MATCH(B247,COMPOSICIÓN!$D$2:$D$1879,0)),""))</f>
        <v>CONTRAF ABISAG CALADO 60BIP S9000 600X900</v>
      </c>
      <c r="D247" s="225" t="str">
        <f>IFERROR(VLOOKUP(B247,MATERIALES!$A:$C,3,FALSE()),IFERROR(INDEX(COMPOSICIÓN!$F$2:$F$1879,MATCH(B247,COMPOSICIÓN!$D$2:$D$1879,0)),""))</f>
        <v>u</v>
      </c>
      <c r="E247" s="161">
        <f>SUMIFS(_PLAN_STG!$P$2:$P$1879,_PLAN_STG!$D$2:$D$1879,B247,_PLAN_STG!$B$2:$B$1879,"MAT",_PLAN_STG!$O$2:$O$1879,1)</f>
        <v>0</v>
      </c>
      <c r="F247" s="162">
        <f>IFERROR(VLOOKUP(B247,MATERIALES!$A:$D,4,FALSE()),IFERROR(INDEX(COMPOSICIÓN!$I$2:$I$1879,MATCH(B247,COMPOSICIÓN!$D$2:$D$1879,0)),0))</f>
        <v>96123.97</v>
      </c>
      <c r="G247" s="163">
        <f>SUMIFS(_PLAN_STG!$Q$2:$Q$1879,_PLAN_STG!$D$2:$D$1879,B247,_PLAN_STG!$B$2:$B$1879,"MAT",_PLAN_STG!$O$2:$O$1879,1)</f>
        <v>0</v>
      </c>
      <c r="H247" s="225" t="str">
        <f>IFERROR(INDEX(COMPOSICIÓN!$C$2:$C$1879,MATCH(B247,COMPOSICIÓN!$D$2:$D$1879,0)),"")</f>
        <v>OTR</v>
      </c>
      <c r="I247" s="226">
        <f>SUMPRODUCT((_PLAN_STG!$D$2:$D$1879=B247)*(_PLAN_STG!$B$2:$B$1879="MAT")*(_PLAN_STG!$O$2:$O$1879=1)*(_PLAN_STG!$P$2:$P$1879&gt;0))</f>
        <v>0</v>
      </c>
      <c r="J247" s="224" t="str">
        <f>IFERROR(VLOOKUP(B247,MATERIALES!$A:$G,7,FALSE()),"")</f>
        <v>Eléctricos</v>
      </c>
    </row>
    <row r="248" spans="1:10" x14ac:dyDescent="0.35">
      <c r="A248" s="222" t="str">
        <f t="shared" si="3"/>
        <v/>
      </c>
      <c r="B248" s="223" t="s">
        <v>1393</v>
      </c>
      <c r="C248" s="224" t="str">
        <f>IFERROR(VLOOKUP(B248,MATERIALES!$A:$B,2,FALSE()),IFERROR(INDEX(COMPOSICIÓN!$E$2:$E$1879,MATCH(B248,COMPOSICIÓN!$D$2:$D$1879,0)),""))</f>
        <v>SOP REG P/CONTRAFRENTE PROF 225 X1</v>
      </c>
      <c r="D248" s="225" t="str">
        <f>IFERROR(VLOOKUP(B248,MATERIALES!$A:$C,3,FALSE()),IFERROR(INDEX(COMPOSICIÓN!$F$2:$F$1879,MATCH(B248,COMPOSICIÓN!$D$2:$D$1879,0)),""))</f>
        <v>u</v>
      </c>
      <c r="E248" s="161">
        <f>SUMIFS(_PLAN_STG!$P$2:$P$1879,_PLAN_STG!$D$2:$D$1879,B248,_PLAN_STG!$B$2:$B$1879,"MAT",_PLAN_STG!$O$2:$O$1879,1)</f>
        <v>0</v>
      </c>
      <c r="F248" s="162">
        <f>IFERROR(VLOOKUP(B248,MATERIALES!$A:$D,4,FALSE()),IFERROR(INDEX(COMPOSICIÓN!$I$2:$I$1879,MATCH(B248,COMPOSICIÓN!$D$2:$D$1879,0)),0))</f>
        <v>9297.0300000000007</v>
      </c>
      <c r="G248" s="163">
        <f>SUMIFS(_PLAN_STG!$Q$2:$Q$1879,_PLAN_STG!$D$2:$D$1879,B248,_PLAN_STG!$B$2:$B$1879,"MAT",_PLAN_STG!$O$2:$O$1879,1)</f>
        <v>0</v>
      </c>
      <c r="H248" s="225" t="str">
        <f>IFERROR(INDEX(COMPOSICIÓN!$C$2:$C$1879,MATCH(B248,COMPOSICIÓN!$D$2:$D$1879,0)),"")</f>
        <v>OTR</v>
      </c>
      <c r="I248" s="226">
        <f>SUMPRODUCT((_PLAN_STG!$D$2:$D$1879=B248)*(_PLAN_STG!$B$2:$B$1879="MAT")*(_PLAN_STG!$O$2:$O$1879=1)*(_PLAN_STG!$P$2:$P$1879&gt;0))</f>
        <v>0</v>
      </c>
      <c r="J248" s="224" t="str">
        <f>IFERROR(VLOOKUP(B248,MATERIALES!$A:$G,7,FALSE()),"")</f>
        <v>Eléctricos</v>
      </c>
    </row>
    <row r="249" spans="1:10" x14ac:dyDescent="0.35">
      <c r="A249" s="222" t="str">
        <f t="shared" si="3"/>
        <v/>
      </c>
      <c r="B249" s="223" t="s">
        <v>1395</v>
      </c>
      <c r="C249" s="224" t="str">
        <f>IFERROR(VLOOKUP(B249,MATERIALES!$A:$B,2,FALSE()),IFERROR(INDEX(COMPOSICIÓN!$E$2:$E$1879,MATCH(B249,COMPOSICIÓN!$D$2:$D$1879,0)),""))</f>
        <v>RIEL PORTA ELEMENTOS X 1 METRO</v>
      </c>
      <c r="D249" s="225" t="str">
        <f>IFERROR(VLOOKUP(B249,MATERIALES!$A:$C,3,FALSE()),IFERROR(INDEX(COMPOSICIÓN!$F$2:$F$1879,MATCH(B249,COMPOSICIÓN!$D$2:$D$1879,0)),""))</f>
        <v>u</v>
      </c>
      <c r="E249" s="161">
        <f>SUMIFS(_PLAN_STG!$P$2:$P$1879,_PLAN_STG!$D$2:$D$1879,B249,_PLAN_STG!$B$2:$B$1879,"MAT",_PLAN_STG!$O$2:$O$1879,1)</f>
        <v>0</v>
      </c>
      <c r="F249" s="162">
        <f>IFERROR(VLOOKUP(B249,MATERIALES!$A:$D,4,FALSE()),IFERROR(INDEX(COMPOSICIÓN!$I$2:$I$1879,MATCH(B249,COMPOSICIÓN!$D$2:$D$1879,0)),0))</f>
        <v>14702.99</v>
      </c>
      <c r="G249" s="163">
        <f>SUMIFS(_PLAN_STG!$Q$2:$Q$1879,_PLAN_STG!$D$2:$D$1879,B249,_PLAN_STG!$B$2:$B$1879,"MAT",_PLAN_STG!$O$2:$O$1879,1)</f>
        <v>0</v>
      </c>
      <c r="H249" s="225" t="str">
        <f>IFERROR(INDEX(COMPOSICIÓN!$C$2:$C$1879,MATCH(B249,COMPOSICIÓN!$D$2:$D$1879,0)),"")</f>
        <v>OTR</v>
      </c>
      <c r="I249" s="226">
        <f>SUMPRODUCT((_PLAN_STG!$D$2:$D$1879=B249)*(_PLAN_STG!$B$2:$B$1879="MAT")*(_PLAN_STG!$O$2:$O$1879=1)*(_PLAN_STG!$P$2:$P$1879&gt;0))</f>
        <v>0</v>
      </c>
      <c r="J249" s="224" t="str">
        <f>IFERROR(VLOOKUP(B249,MATERIALES!$A:$G,7,FALSE()),"")</f>
        <v>Eléctricos</v>
      </c>
    </row>
    <row r="250" spans="1:10" x14ac:dyDescent="0.35">
      <c r="A250" s="222" t="str">
        <f t="shared" si="3"/>
        <v/>
      </c>
      <c r="B250" s="223" t="s">
        <v>1397</v>
      </c>
      <c r="C250" s="224" t="str">
        <f>IFERROR(VLOOKUP(B250,MATERIALES!$A:$B,2,FALSE()),IFERROR(INDEX(COMPOSICIÓN!$E$2:$E$1879,MATCH(B250,COMPOSICIÓN!$D$2:$D$1879,0)),""))</f>
        <v>DISTRIBUIDOR TETRAP.160A 15 STD</v>
      </c>
      <c r="D250" s="225" t="str">
        <f>IFERROR(VLOOKUP(B250,MATERIALES!$A:$C,3,FALSE()),IFERROR(INDEX(COMPOSICIÓN!$F$2:$F$1879,MATCH(B250,COMPOSICIÓN!$D$2:$D$1879,0)),""))</f>
        <v>u</v>
      </c>
      <c r="E250" s="161">
        <f>SUMIFS(_PLAN_STG!$P$2:$P$1879,_PLAN_STG!$D$2:$D$1879,B250,_PLAN_STG!$B$2:$B$1879,"MAT",_PLAN_STG!$O$2:$O$1879,1)</f>
        <v>0</v>
      </c>
      <c r="F250" s="162">
        <f>IFERROR(VLOOKUP(B250,MATERIALES!$A:$D,4,FALSE()),IFERROR(INDEX(COMPOSICIÓN!$I$2:$I$1879,MATCH(B250,COMPOSICIÓN!$D$2:$D$1879,0)),0))</f>
        <v>113610.28</v>
      </c>
      <c r="G250" s="163">
        <f>SUMIFS(_PLAN_STG!$Q$2:$Q$1879,_PLAN_STG!$D$2:$D$1879,B250,_PLAN_STG!$B$2:$B$1879,"MAT",_PLAN_STG!$O$2:$O$1879,1)</f>
        <v>0</v>
      </c>
      <c r="H250" s="225" t="str">
        <f>IFERROR(INDEX(COMPOSICIÓN!$C$2:$C$1879,MATCH(B250,COMPOSICIÓN!$D$2:$D$1879,0)),"")</f>
        <v>OTR</v>
      </c>
      <c r="I250" s="226">
        <f>SUMPRODUCT((_PLAN_STG!$D$2:$D$1879=B250)*(_PLAN_STG!$B$2:$B$1879="MAT")*(_PLAN_STG!$O$2:$O$1879=1)*(_PLAN_STG!$P$2:$P$1879&gt;0))</f>
        <v>0</v>
      </c>
      <c r="J250" s="224" t="str">
        <f>IFERROR(VLOOKUP(B250,MATERIALES!$A:$G,7,FALSE()),"")</f>
        <v>Eléctricos</v>
      </c>
    </row>
    <row r="251" spans="1:10" x14ac:dyDescent="0.35">
      <c r="A251" s="222" t="str">
        <f t="shared" si="3"/>
        <v/>
      </c>
      <c r="B251" s="223" t="s">
        <v>1399</v>
      </c>
      <c r="C251" s="224" t="str">
        <f>IFERROR(VLOOKUP(B251,MATERIALES!$A:$B,2,FALSE()),IFERROR(INDEX(COMPOSICIÓN!$E$2:$E$1879,MATCH(B251,COMPOSICIÓN!$D$2:$D$1879,0)),""))</f>
        <v>RLLOX100M 1X 6,0MM NEGRO N.IRAM (1 x 6 mm)</v>
      </c>
      <c r="D251" s="225" t="str">
        <f>IFERROR(VLOOKUP(B251,MATERIALES!$A:$C,3,FALSE()),IFERROR(INDEX(COMPOSICIÓN!$F$2:$F$1879,MATCH(B251,COMPOSICIÓN!$D$2:$D$1879,0)),""))</f>
        <v>u</v>
      </c>
      <c r="E251" s="161">
        <f>SUMIFS(_PLAN_STG!$P$2:$P$1879,_PLAN_STG!$D$2:$D$1879,B251,_PLAN_STG!$B$2:$B$1879,"MAT",_PLAN_STG!$O$2:$O$1879,1)</f>
        <v>0</v>
      </c>
      <c r="F251" s="162">
        <f>IFERROR(VLOOKUP(B251,MATERIALES!$A:$D,4,FALSE()),IFERROR(INDEX(COMPOSICIÓN!$I$2:$I$1879,MATCH(B251,COMPOSICIÓN!$D$2:$D$1879,0)),0))</f>
        <v>95867.7685950413</v>
      </c>
      <c r="G251" s="163">
        <f>SUMIFS(_PLAN_STG!$Q$2:$Q$1879,_PLAN_STG!$D$2:$D$1879,B251,_PLAN_STG!$B$2:$B$1879,"MAT",_PLAN_STG!$O$2:$O$1879,1)</f>
        <v>0</v>
      </c>
      <c r="H251" s="225" t="str">
        <f>IFERROR(INDEX(COMPOSICIÓN!$C$2:$C$1879,MATCH(B251,COMPOSICIÓN!$D$2:$D$1879,0)),"")</f>
        <v>OTR</v>
      </c>
      <c r="I251" s="226">
        <f>SUMPRODUCT((_PLAN_STG!$D$2:$D$1879=B251)*(_PLAN_STG!$B$2:$B$1879="MAT")*(_PLAN_STG!$O$2:$O$1879=1)*(_PLAN_STG!$P$2:$P$1879&gt;0))</f>
        <v>0</v>
      </c>
      <c r="J251" s="224" t="str">
        <f>IFERROR(VLOOKUP(B251,MATERIALES!$A:$G,7,FALSE()),"")</f>
        <v>Eléctricos</v>
      </c>
    </row>
    <row r="252" spans="1:10" x14ac:dyDescent="0.35">
      <c r="A252" s="222" t="str">
        <f t="shared" si="3"/>
        <v/>
      </c>
      <c r="B252" s="223" t="s">
        <v>1401</v>
      </c>
      <c r="C252" s="224" t="str">
        <f>IFERROR(VLOOKUP(B252,MATERIALES!$A:$B,2,FALSE()),IFERROR(INDEX(COMPOSICIÓN!$E$2:$E$1879,MATCH(B252,COMPOSICIÓN!$D$2:$D$1879,0)),""))</f>
        <v>GAB. IP65 SERIE 9000 300X300X150 (300 X 300 X 150)</v>
      </c>
      <c r="D252" s="225" t="str">
        <f>IFERROR(VLOOKUP(B252,MATERIALES!$A:$C,3,FALSE()),IFERROR(INDEX(COMPOSICIÓN!$F$2:$F$1879,MATCH(B252,COMPOSICIÓN!$D$2:$D$1879,0)),""))</f>
        <v>u</v>
      </c>
      <c r="E252" s="161">
        <f>SUMIFS(_PLAN_STG!$P$2:$P$1879,_PLAN_STG!$D$2:$D$1879,B252,_PLAN_STG!$B$2:$B$1879,"MAT",_PLAN_STG!$O$2:$O$1879,1)</f>
        <v>0</v>
      </c>
      <c r="F252" s="162">
        <f>IFERROR(VLOOKUP(B252,MATERIALES!$A:$D,4,FALSE()),IFERROR(INDEX(COMPOSICIÓN!$I$2:$I$1879,MATCH(B252,COMPOSICIÓN!$D$2:$D$1879,0)),0))</f>
        <v>51844.93</v>
      </c>
      <c r="G252" s="163">
        <f>SUMIFS(_PLAN_STG!$Q$2:$Q$1879,_PLAN_STG!$D$2:$D$1879,B252,_PLAN_STG!$B$2:$B$1879,"MAT",_PLAN_STG!$O$2:$O$1879,1)</f>
        <v>0</v>
      </c>
      <c r="H252" s="225" t="str">
        <f>IFERROR(INDEX(COMPOSICIÓN!$C$2:$C$1879,MATCH(B252,COMPOSICIÓN!$D$2:$D$1879,0)),"")</f>
        <v>OTR</v>
      </c>
      <c r="I252" s="226">
        <f>SUMPRODUCT((_PLAN_STG!$D$2:$D$1879=B252)*(_PLAN_STG!$B$2:$B$1879="MAT")*(_PLAN_STG!$O$2:$O$1879=1)*(_PLAN_STG!$P$2:$P$1879&gt;0))</f>
        <v>0</v>
      </c>
      <c r="J252" s="224" t="str">
        <f>IFERROR(VLOOKUP(B252,MATERIALES!$A:$G,7,FALSE()),"")</f>
        <v>Eléctricos</v>
      </c>
    </row>
    <row r="253" spans="1:10" x14ac:dyDescent="0.35">
      <c r="A253" s="222" t="str">
        <f t="shared" si="3"/>
        <v/>
      </c>
      <c r="B253" s="223" t="s">
        <v>1404</v>
      </c>
      <c r="C253" s="224" t="str">
        <f>IFERROR(VLOOKUP(B253,MATERIALES!$A:$B,2,FALSE()),IFERROR(INDEX(COMPOSICIÓN!$E$2:$E$1879,MATCH(B253,COMPOSICIÓN!$D$2:$D$1879,0)),""))</f>
        <v>CONTRAF ABISAG.CALADO 10BIP S9000 300X300</v>
      </c>
      <c r="D253" s="225" t="str">
        <f>IFERROR(VLOOKUP(B253,MATERIALES!$A:$C,3,FALSE()),IFERROR(INDEX(COMPOSICIÓN!$F$2:$F$1879,MATCH(B253,COMPOSICIÓN!$D$2:$D$1879,0)),""))</f>
        <v>u</v>
      </c>
      <c r="E253" s="161">
        <f>SUMIFS(_PLAN_STG!$P$2:$P$1879,_PLAN_STG!$D$2:$D$1879,B253,_PLAN_STG!$B$2:$B$1879,"MAT",_PLAN_STG!$O$2:$O$1879,1)</f>
        <v>0</v>
      </c>
      <c r="F253" s="162">
        <f>IFERROR(VLOOKUP(B253,MATERIALES!$A:$D,4,FALSE()),IFERROR(INDEX(COMPOSICIÓN!$I$2:$I$1879,MATCH(B253,COMPOSICIÓN!$D$2:$D$1879,0)),0))</f>
        <v>33851.08</v>
      </c>
      <c r="G253" s="163">
        <f>SUMIFS(_PLAN_STG!$Q$2:$Q$1879,_PLAN_STG!$D$2:$D$1879,B253,_PLAN_STG!$B$2:$B$1879,"MAT",_PLAN_STG!$O$2:$O$1879,1)</f>
        <v>0</v>
      </c>
      <c r="H253" s="225" t="str">
        <f>IFERROR(INDEX(COMPOSICIÓN!$C$2:$C$1879,MATCH(B253,COMPOSICIÓN!$D$2:$D$1879,0)),"")</f>
        <v>OTR</v>
      </c>
      <c r="I253" s="226">
        <f>SUMPRODUCT((_PLAN_STG!$D$2:$D$1879=B253)*(_PLAN_STG!$B$2:$B$1879="MAT")*(_PLAN_STG!$O$2:$O$1879=1)*(_PLAN_STG!$P$2:$P$1879&gt;0))</f>
        <v>0</v>
      </c>
      <c r="J253" s="224" t="str">
        <f>IFERROR(VLOOKUP(B253,MATERIALES!$A:$G,7,FALSE()),"")</f>
        <v>Eléctricos</v>
      </c>
    </row>
    <row r="254" spans="1:10" x14ac:dyDescent="0.35">
      <c r="A254" s="222" t="str">
        <f t="shared" si="3"/>
        <v/>
      </c>
      <c r="B254" s="223" t="s">
        <v>1406</v>
      </c>
      <c r="C254" s="224" t="str">
        <f>IFERROR(VLOOKUP(B254,MATERIALES!$A:$B,2,FALSE()),IFERROR(INDEX(COMPOSICIÓN!$E$2:$E$1879,MATCH(B254,COMPOSICIÓN!$D$2:$D$1879,0)),""))</f>
        <v>ALTERNADOR 2 BOMBA DIGITAL 24/110/220VCA (220/24v)</v>
      </c>
      <c r="D254" s="225" t="str">
        <f>IFERROR(VLOOKUP(B254,MATERIALES!$A:$C,3,FALSE()),IFERROR(INDEX(COMPOSICIÓN!$F$2:$F$1879,MATCH(B254,COMPOSICIÓN!$D$2:$D$1879,0)),""))</f>
        <v>u</v>
      </c>
      <c r="E254" s="161">
        <f>SUMIFS(_PLAN_STG!$P$2:$P$1879,_PLAN_STG!$D$2:$D$1879,B254,_PLAN_STG!$B$2:$B$1879,"MAT",_PLAN_STG!$O$2:$O$1879,1)</f>
        <v>0</v>
      </c>
      <c r="F254" s="162">
        <f>IFERROR(VLOOKUP(B254,MATERIALES!$A:$D,4,FALSE()),IFERROR(INDEX(COMPOSICIÓN!$I$2:$I$1879,MATCH(B254,COMPOSICIÓN!$D$2:$D$1879,0)),0))</f>
        <v>129189.81</v>
      </c>
      <c r="G254" s="163">
        <f>SUMIFS(_PLAN_STG!$Q$2:$Q$1879,_PLAN_STG!$D$2:$D$1879,B254,_PLAN_STG!$B$2:$B$1879,"MAT",_PLAN_STG!$O$2:$O$1879,1)</f>
        <v>0</v>
      </c>
      <c r="H254" s="225" t="str">
        <f>IFERROR(INDEX(COMPOSICIÓN!$C$2:$C$1879,MATCH(B254,COMPOSICIÓN!$D$2:$D$1879,0)),"")</f>
        <v>OTR</v>
      </c>
      <c r="I254" s="226">
        <f>SUMPRODUCT((_PLAN_STG!$D$2:$D$1879=B254)*(_PLAN_STG!$B$2:$B$1879="MAT")*(_PLAN_STG!$O$2:$O$1879=1)*(_PLAN_STG!$P$2:$P$1879&gt;0))</f>
        <v>0</v>
      </c>
      <c r="J254" s="224" t="str">
        <f>IFERROR(VLOOKUP(B254,MATERIALES!$A:$G,7,FALSE()),"")</f>
        <v>Eléctricos</v>
      </c>
    </row>
    <row r="255" spans="1:10" x14ac:dyDescent="0.35">
      <c r="A255" s="222" t="str">
        <f t="shared" si="3"/>
        <v/>
      </c>
      <c r="B255" s="223" t="s">
        <v>1408</v>
      </c>
      <c r="C255" s="224" t="str">
        <f>IFERROR(VLOOKUP(B255,MATERIALES!$A:$B,2,FALSE()),IFERROR(INDEX(COMPOSICIÓN!$E$2:$E$1879,MATCH(B255,COMPOSICIÓN!$D$2:$D$1879,0)),""))</f>
        <v>Transformador 220/24 V 50 VA</v>
      </c>
      <c r="D255" s="225" t="str">
        <f>IFERROR(VLOOKUP(B255,MATERIALES!$A:$C,3,FALSE()),IFERROR(INDEX(COMPOSICIÓN!$F$2:$F$1879,MATCH(B255,COMPOSICIÓN!$D$2:$D$1879,0)),""))</f>
        <v>u</v>
      </c>
      <c r="E255" s="161">
        <f>SUMIFS(_PLAN_STG!$P$2:$P$1879,_PLAN_STG!$D$2:$D$1879,B255,_PLAN_STG!$B$2:$B$1879,"MAT",_PLAN_STG!$O$2:$O$1879,1)</f>
        <v>0</v>
      </c>
      <c r="F255" s="162">
        <f>IFERROR(VLOOKUP(B255,MATERIALES!$A:$D,4,FALSE()),IFERROR(INDEX(COMPOSICIÓN!$I$2:$I$1879,MATCH(B255,COMPOSICIÓN!$D$2:$D$1879,0)),0))</f>
        <v>40000</v>
      </c>
      <c r="G255" s="163">
        <f>SUMIFS(_PLAN_STG!$Q$2:$Q$1879,_PLAN_STG!$D$2:$D$1879,B255,_PLAN_STG!$B$2:$B$1879,"MAT",_PLAN_STG!$O$2:$O$1879,1)</f>
        <v>0</v>
      </c>
      <c r="H255" s="225" t="str">
        <f>IFERROR(INDEX(COMPOSICIÓN!$C$2:$C$1879,MATCH(B255,COMPOSICIÓN!$D$2:$D$1879,0)),"")</f>
        <v>OTR</v>
      </c>
      <c r="I255" s="226">
        <f>SUMPRODUCT((_PLAN_STG!$D$2:$D$1879=B255)*(_PLAN_STG!$B$2:$B$1879="MAT")*(_PLAN_STG!$O$2:$O$1879=1)*(_PLAN_STG!$P$2:$P$1879&gt;0))</f>
        <v>0</v>
      </c>
      <c r="J255" s="224" t="str">
        <f>IFERROR(VLOOKUP(B255,MATERIALES!$A:$G,7,FALSE()),"")</f>
        <v>Eléctricos</v>
      </c>
    </row>
    <row r="256" spans="1:10" x14ac:dyDescent="0.35">
      <c r="A256" s="222" t="str">
        <f t="shared" si="3"/>
        <v/>
      </c>
      <c r="B256" s="223" t="s">
        <v>1410</v>
      </c>
      <c r="C256" s="224" t="str">
        <f>IFERROR(VLOOKUP(B256,MATERIALES!$A:$B,2,FALSE()),IFERROR(INDEX(COMPOSICIÓN!$E$2:$E$1879,MATCH(B256,COMPOSICIÓN!$D$2:$D$1879,0)),""))</f>
        <v>LC1D18M7 18A 7,5KW 1+1 220V</v>
      </c>
      <c r="D256" s="225" t="str">
        <f>IFERROR(VLOOKUP(B256,MATERIALES!$A:$C,3,FALSE()),IFERROR(INDEX(COMPOSICIÓN!$F$2:$F$1879,MATCH(B256,COMPOSICIÓN!$D$2:$D$1879,0)),""))</f>
        <v>u</v>
      </c>
      <c r="E256" s="161">
        <f>SUMIFS(_PLAN_STG!$P$2:$P$1879,_PLAN_STG!$D$2:$D$1879,B256,_PLAN_STG!$B$2:$B$1879,"MAT",_PLAN_STG!$O$2:$O$1879,1)</f>
        <v>0</v>
      </c>
      <c r="F256" s="162">
        <f>IFERROR(VLOOKUP(B256,MATERIALES!$A:$D,4,FALSE()),IFERROR(INDEX(COMPOSICIÓN!$I$2:$I$1879,MATCH(B256,COMPOSICIÓN!$D$2:$D$1879,0)),0))</f>
        <v>85894.23</v>
      </c>
      <c r="G256" s="163">
        <f>SUMIFS(_PLAN_STG!$Q$2:$Q$1879,_PLAN_STG!$D$2:$D$1879,B256,_PLAN_STG!$B$2:$B$1879,"MAT",_PLAN_STG!$O$2:$O$1879,1)</f>
        <v>0</v>
      </c>
      <c r="H256" s="225" t="str">
        <f>IFERROR(INDEX(COMPOSICIÓN!$C$2:$C$1879,MATCH(B256,COMPOSICIÓN!$D$2:$D$1879,0)),"")</f>
        <v>OTR</v>
      </c>
      <c r="I256" s="226">
        <f>SUMPRODUCT((_PLAN_STG!$D$2:$D$1879=B256)*(_PLAN_STG!$B$2:$B$1879="MAT")*(_PLAN_STG!$O$2:$O$1879=1)*(_PLAN_STG!$P$2:$P$1879&gt;0))</f>
        <v>0</v>
      </c>
      <c r="J256" s="224" t="str">
        <f>IFERROR(VLOOKUP(B256,MATERIALES!$A:$G,7,FALSE()),"")</f>
        <v>Eléctricos</v>
      </c>
    </row>
    <row r="257" spans="1:10" x14ac:dyDescent="0.35">
      <c r="A257" s="222" t="str">
        <f t="shared" si="3"/>
        <v/>
      </c>
      <c r="B257" s="223" t="s">
        <v>1412</v>
      </c>
      <c r="C257" s="224" t="str">
        <f>IFERROR(VLOOKUP(B257,MATERIALES!$A:$B,2,FALSE()),IFERROR(INDEX(COMPOSICIÓN!$E$2:$E$1879,MATCH(B257,COMPOSICIÓN!$D$2:$D$1879,0)),""))</f>
        <v>STECK TM TETRAPOLAR 32A 6KA (4 X 32A)</v>
      </c>
      <c r="D257" s="225" t="str">
        <f>IFERROR(VLOOKUP(B257,MATERIALES!$A:$C,3,FALSE()),IFERROR(INDEX(COMPOSICIÓN!$F$2:$F$1879,MATCH(B257,COMPOSICIÓN!$D$2:$D$1879,0)),""))</f>
        <v>u</v>
      </c>
      <c r="E257" s="161">
        <f>SUMIFS(_PLAN_STG!$P$2:$P$1879,_PLAN_STG!$D$2:$D$1879,B257,_PLAN_STG!$B$2:$B$1879,"MAT",_PLAN_STG!$O$2:$O$1879,1)</f>
        <v>0</v>
      </c>
      <c r="F257" s="162">
        <f>IFERROR(VLOOKUP(B257,MATERIALES!$A:$D,4,FALSE()),IFERROR(INDEX(COMPOSICIÓN!$I$2:$I$1879,MATCH(B257,COMPOSICIÓN!$D$2:$D$1879,0)),0))</f>
        <v>11163.59</v>
      </c>
      <c r="G257" s="163">
        <f>SUMIFS(_PLAN_STG!$Q$2:$Q$1879,_PLAN_STG!$D$2:$D$1879,B257,_PLAN_STG!$B$2:$B$1879,"MAT",_PLAN_STG!$O$2:$O$1879,1)</f>
        <v>0</v>
      </c>
      <c r="H257" s="225" t="str">
        <f>IFERROR(INDEX(COMPOSICIÓN!$C$2:$C$1879,MATCH(B257,COMPOSICIÓN!$D$2:$D$1879,0)),"")</f>
        <v>OTR</v>
      </c>
      <c r="I257" s="226">
        <f>SUMPRODUCT((_PLAN_STG!$D$2:$D$1879=B257)*(_PLAN_STG!$B$2:$B$1879="MAT")*(_PLAN_STG!$O$2:$O$1879=1)*(_PLAN_STG!$P$2:$P$1879&gt;0))</f>
        <v>0</v>
      </c>
      <c r="J257" s="224" t="str">
        <f>IFERROR(VLOOKUP(B257,MATERIALES!$A:$G,7,FALSE()),"")</f>
        <v>Eléctricos</v>
      </c>
    </row>
    <row r="258" spans="1:10" x14ac:dyDescent="0.35">
      <c r="A258" s="222" t="str">
        <f t="shared" si="3"/>
        <v/>
      </c>
      <c r="B258" s="223" t="s">
        <v>1415</v>
      </c>
      <c r="C258" s="224" t="str">
        <f>IFERROR(VLOOKUP(B258,MATERIALES!$A:$B,2,FALSE()),IFERROR(INDEX(COMPOSICIÓN!$E$2:$E$1879,MATCH(B258,COMPOSICIÓN!$D$2:$D$1879,0)),""))</f>
        <v>STECK DIFERENCIAL 2X25A 30MA (2 x 25A)</v>
      </c>
      <c r="D258" s="225" t="str">
        <f>IFERROR(VLOOKUP(B258,MATERIALES!$A:$C,3,FALSE()),IFERROR(INDEX(COMPOSICIÓN!$F$2:$F$1879,MATCH(B258,COMPOSICIÓN!$D$2:$D$1879,0)),""))</f>
        <v>u</v>
      </c>
      <c r="E258" s="161">
        <f>SUMIFS(_PLAN_STG!$P$2:$P$1879,_PLAN_STG!$D$2:$D$1879,B258,_PLAN_STG!$B$2:$B$1879,"MAT",_PLAN_STG!$O$2:$O$1879,1)</f>
        <v>0</v>
      </c>
      <c r="F258" s="162">
        <f>IFERROR(VLOOKUP(B258,MATERIALES!$A:$D,4,FALSE()),IFERROR(INDEX(COMPOSICIÓN!$I$2:$I$1879,MATCH(B258,COMPOSICIÓN!$D$2:$D$1879,0)),0))</f>
        <v>18770.66</v>
      </c>
      <c r="G258" s="163">
        <f>SUMIFS(_PLAN_STG!$Q$2:$Q$1879,_PLAN_STG!$D$2:$D$1879,B258,_PLAN_STG!$B$2:$B$1879,"MAT",_PLAN_STG!$O$2:$O$1879,1)</f>
        <v>0</v>
      </c>
      <c r="H258" s="225" t="str">
        <f>IFERROR(INDEX(COMPOSICIÓN!$C$2:$C$1879,MATCH(B258,COMPOSICIÓN!$D$2:$D$1879,0)),"")</f>
        <v>OTR</v>
      </c>
      <c r="I258" s="226">
        <f>SUMPRODUCT((_PLAN_STG!$D$2:$D$1879=B258)*(_PLAN_STG!$B$2:$B$1879="MAT")*(_PLAN_STG!$O$2:$O$1879=1)*(_PLAN_STG!$P$2:$P$1879&gt;0))</f>
        <v>0</v>
      </c>
      <c r="J258" s="224" t="str">
        <f>IFERROR(VLOOKUP(B258,MATERIALES!$A:$G,7,FALSE()),"")</f>
        <v>Eléctricos</v>
      </c>
    </row>
    <row r="259" spans="1:10" x14ac:dyDescent="0.35">
      <c r="A259" s="222" t="str">
        <f t="shared" si="3"/>
        <v/>
      </c>
      <c r="B259" s="223" t="s">
        <v>1418</v>
      </c>
      <c r="C259" s="224" t="str">
        <f>IFERROR(VLOOKUP(B259,MATERIALES!$A:$B,2,FALSE()),IFERROR(INDEX(COMPOSICIÓN!$E$2:$E$1879,MATCH(B259,COMPOSICIÓN!$D$2:$D$1879,0)),""))</f>
        <v>STECK TM BIPOLAR 10A 6KA (10A)</v>
      </c>
      <c r="D259" s="225" t="str">
        <f>IFERROR(VLOOKUP(B259,MATERIALES!$A:$C,3,FALSE()),IFERROR(INDEX(COMPOSICIÓN!$F$2:$F$1879,MATCH(B259,COMPOSICIÓN!$D$2:$D$1879,0)),""))</f>
        <v>u</v>
      </c>
      <c r="E259" s="161">
        <f>SUMIFS(_PLAN_STG!$P$2:$P$1879,_PLAN_STG!$D$2:$D$1879,B259,_PLAN_STG!$B$2:$B$1879,"MAT",_PLAN_STG!$O$2:$O$1879,1)</f>
        <v>0</v>
      </c>
      <c r="F259" s="162">
        <f>IFERROR(VLOOKUP(B259,MATERIALES!$A:$D,4,FALSE()),IFERROR(INDEX(COMPOSICIÓN!$I$2:$I$1879,MATCH(B259,COMPOSICIÓN!$D$2:$D$1879,0)),0))</f>
        <v>5287.23</v>
      </c>
      <c r="G259" s="163">
        <f>SUMIFS(_PLAN_STG!$Q$2:$Q$1879,_PLAN_STG!$D$2:$D$1879,B259,_PLAN_STG!$B$2:$B$1879,"MAT",_PLAN_STG!$O$2:$O$1879,1)</f>
        <v>0</v>
      </c>
      <c r="H259" s="225" t="str">
        <f>IFERROR(INDEX(COMPOSICIÓN!$C$2:$C$1879,MATCH(B259,COMPOSICIÓN!$D$2:$D$1879,0)),"")</f>
        <v>OTR</v>
      </c>
      <c r="I259" s="226">
        <f>SUMPRODUCT((_PLAN_STG!$D$2:$D$1879=B259)*(_PLAN_STG!$B$2:$B$1879="MAT")*(_PLAN_STG!$O$2:$O$1879=1)*(_PLAN_STG!$P$2:$P$1879&gt;0))</f>
        <v>0</v>
      </c>
      <c r="J259" s="224" t="str">
        <f>IFERROR(VLOOKUP(B259,MATERIALES!$A:$G,7,FALSE()),"")</f>
        <v>Eléctricos</v>
      </c>
    </row>
    <row r="260" spans="1:10" x14ac:dyDescent="0.35">
      <c r="A260" s="222" t="str">
        <f t="shared" si="3"/>
        <v/>
      </c>
      <c r="B260" s="223" t="s">
        <v>1420</v>
      </c>
      <c r="C260" s="224" t="str">
        <f>IFERROR(VLOOKUP(B260,MATERIALES!$A:$B,2,FALSE()),IFERROR(INDEX(COMPOSICIÓN!$E$2:$E$1879,MATCH(B260,COMPOSICIÓN!$D$2:$D$1879,0)),""))</f>
        <v>STECK TM BIPOLAR 16A 6KA (16A)</v>
      </c>
      <c r="D260" s="225" t="str">
        <f>IFERROR(VLOOKUP(B260,MATERIALES!$A:$C,3,FALSE()),IFERROR(INDEX(COMPOSICIÓN!$F$2:$F$1879,MATCH(B260,COMPOSICIÓN!$D$2:$D$1879,0)),""))</f>
        <v>u</v>
      </c>
      <c r="E260" s="161">
        <f>SUMIFS(_PLAN_STG!$P$2:$P$1879,_PLAN_STG!$D$2:$D$1879,B260,_PLAN_STG!$B$2:$B$1879,"MAT",_PLAN_STG!$O$2:$O$1879,1)</f>
        <v>0</v>
      </c>
      <c r="F260" s="162">
        <f>IFERROR(VLOOKUP(B260,MATERIALES!$A:$D,4,FALSE()),IFERROR(INDEX(COMPOSICIÓN!$I$2:$I$1879,MATCH(B260,COMPOSICIÓN!$D$2:$D$1879,0)),0))</f>
        <v>5287.23</v>
      </c>
      <c r="G260" s="163">
        <f>SUMIFS(_PLAN_STG!$Q$2:$Q$1879,_PLAN_STG!$D$2:$D$1879,B260,_PLAN_STG!$B$2:$B$1879,"MAT",_PLAN_STG!$O$2:$O$1879,1)</f>
        <v>0</v>
      </c>
      <c r="H260" s="225" t="str">
        <f>IFERROR(INDEX(COMPOSICIÓN!$C$2:$C$1879,MATCH(B260,COMPOSICIÓN!$D$2:$D$1879,0)),"")</f>
        <v>OTR</v>
      </c>
      <c r="I260" s="226">
        <f>SUMPRODUCT((_PLAN_STG!$D$2:$D$1879=B260)*(_PLAN_STG!$B$2:$B$1879="MAT")*(_PLAN_STG!$O$2:$O$1879=1)*(_PLAN_STG!$P$2:$P$1879&gt;0))</f>
        <v>0</v>
      </c>
      <c r="J260" s="224" t="str">
        <f>IFERROR(VLOOKUP(B260,MATERIALES!$A:$G,7,FALSE()),"")</f>
        <v>Eléctricos</v>
      </c>
    </row>
    <row r="261" spans="1:10" x14ac:dyDescent="0.35">
      <c r="A261" s="222" t="str">
        <f t="shared" si="3"/>
        <v/>
      </c>
      <c r="B261" s="223" t="s">
        <v>1422</v>
      </c>
      <c r="C261" s="224" t="str">
        <f>IFERROR(VLOOKUP(B261,MATERIALES!$A:$B,2,FALSE()),IFERROR(INDEX(COMPOSICIÓN!$E$2:$E$1879,MATCH(B261,COMPOSICIÓN!$D$2:$D$1879,0)),""))</f>
        <v>CAJA EMB P/ TM 36 POLOS BC T/FUME</v>
      </c>
      <c r="D261" s="225" t="str">
        <f>IFERROR(VLOOKUP(B261,MATERIALES!$A:$C,3,FALSE()),IFERROR(INDEX(COMPOSICIÓN!$F$2:$F$1879,MATCH(B261,COMPOSICIÓN!$D$2:$D$1879,0)),""))</f>
        <v>u</v>
      </c>
      <c r="E261" s="161">
        <f>SUMIFS(_PLAN_STG!$P$2:$P$1879,_PLAN_STG!$D$2:$D$1879,B261,_PLAN_STG!$B$2:$B$1879,"MAT",_PLAN_STG!$O$2:$O$1879,1)</f>
        <v>0</v>
      </c>
      <c r="F261" s="162">
        <f>IFERROR(VLOOKUP(B261,MATERIALES!$A:$D,4,FALSE()),IFERROR(INDEX(COMPOSICIÓN!$I$2:$I$1879,MATCH(B261,COMPOSICIÓN!$D$2:$D$1879,0)),0))</f>
        <v>27320.39</v>
      </c>
      <c r="G261" s="163">
        <f>SUMIFS(_PLAN_STG!$Q$2:$Q$1879,_PLAN_STG!$D$2:$D$1879,B261,_PLAN_STG!$B$2:$B$1879,"MAT",_PLAN_STG!$O$2:$O$1879,1)</f>
        <v>0</v>
      </c>
      <c r="H261" s="225" t="str">
        <f>IFERROR(INDEX(COMPOSICIÓN!$C$2:$C$1879,MATCH(B261,COMPOSICIÓN!$D$2:$D$1879,0)),"")</f>
        <v>OTR</v>
      </c>
      <c r="I261" s="226">
        <f>SUMPRODUCT((_PLAN_STG!$D$2:$D$1879=B261)*(_PLAN_STG!$B$2:$B$1879="MAT")*(_PLAN_STG!$O$2:$O$1879=1)*(_PLAN_STG!$P$2:$P$1879&gt;0))</f>
        <v>0</v>
      </c>
      <c r="J261" s="224" t="str">
        <f>IFERROR(VLOOKUP(B261,MATERIALES!$A:$G,7,FALSE()),"")</f>
        <v>Eléctricos</v>
      </c>
    </row>
    <row r="262" spans="1:10" x14ac:dyDescent="0.35">
      <c r="A262" s="222" t="str">
        <f t="shared" si="3"/>
        <v/>
      </c>
      <c r="B262" s="223" t="s">
        <v>1424</v>
      </c>
      <c r="C262" s="224" t="str">
        <f>IFERROR(VLOOKUP(B262,MATERIALES!$A:$B,2,FALSE()),IFERROR(INDEX(COMPOSICIÓN!$E$2:$E$1879,MATCH(B262,COMPOSICIÓN!$D$2:$D$1879,0)),""))</f>
        <v>RIEL DIN 35MM 1 METRO PERFOR.</v>
      </c>
      <c r="D262" s="225" t="str">
        <f>IFERROR(VLOOKUP(B262,MATERIALES!$A:$C,3,FALSE()),IFERROR(INDEX(COMPOSICIÓN!$F$2:$F$1879,MATCH(B262,COMPOSICIÓN!$D$2:$D$1879,0)),""))</f>
        <v>u</v>
      </c>
      <c r="E262" s="161">
        <f>SUMIFS(_PLAN_STG!$P$2:$P$1879,_PLAN_STG!$D$2:$D$1879,B262,_PLAN_STG!$B$2:$B$1879,"MAT",_PLAN_STG!$O$2:$O$1879,1)</f>
        <v>0</v>
      </c>
      <c r="F262" s="162">
        <f>IFERROR(VLOOKUP(B262,MATERIALES!$A:$D,4,FALSE()),IFERROR(INDEX(COMPOSICIÓN!$I$2:$I$1879,MATCH(B262,COMPOSICIÓN!$D$2:$D$1879,0)),0))</f>
        <v>5099.6000000000004</v>
      </c>
      <c r="G262" s="163">
        <f>SUMIFS(_PLAN_STG!$Q$2:$Q$1879,_PLAN_STG!$D$2:$D$1879,B262,_PLAN_STG!$B$2:$B$1879,"MAT",_PLAN_STG!$O$2:$O$1879,1)</f>
        <v>0</v>
      </c>
      <c r="H262" s="225" t="str">
        <f>IFERROR(INDEX(COMPOSICIÓN!$C$2:$C$1879,MATCH(B262,COMPOSICIÓN!$D$2:$D$1879,0)),"")</f>
        <v>OTR</v>
      </c>
      <c r="I262" s="226">
        <f>SUMPRODUCT((_PLAN_STG!$D$2:$D$1879=B262)*(_PLAN_STG!$B$2:$B$1879="MAT")*(_PLAN_STG!$O$2:$O$1879=1)*(_PLAN_STG!$P$2:$P$1879&gt;0))</f>
        <v>0</v>
      </c>
      <c r="J262" s="224" t="str">
        <f>IFERROR(VLOOKUP(B262,MATERIALES!$A:$G,7,FALSE()),"")</f>
        <v>Eléctricos</v>
      </c>
    </row>
    <row r="263" spans="1:10" x14ac:dyDescent="0.35">
      <c r="A263" s="222" t="str">
        <f t="shared" si="3"/>
        <v/>
      </c>
      <c r="B263" s="223" t="s">
        <v>1426</v>
      </c>
      <c r="C263" s="224" t="str">
        <f>IFERROR(VLOOKUP(B263,MATERIALES!$A:$B,2,FALSE()),IFERROR(INDEX(COMPOSICIÓN!$E$2:$E$1879,MATCH(B263,COMPOSICIÓN!$D$2:$D$1879,0)),""))</f>
        <v>CAÑOX3M RIGIDO 25MM PVC TUBE</v>
      </c>
      <c r="D263" s="225" t="str">
        <f>IFERROR(VLOOKUP(B263,MATERIALES!$A:$C,3,FALSE()),IFERROR(INDEX(COMPOSICIÓN!$F$2:$F$1879,MATCH(B263,COMPOSICIÓN!$D$2:$D$1879,0)),""))</f>
        <v>u</v>
      </c>
      <c r="E263" s="161">
        <f>SUMIFS(_PLAN_STG!$P$2:$P$1879,_PLAN_STG!$D$2:$D$1879,B263,_PLAN_STG!$B$2:$B$1879,"MAT",_PLAN_STG!$O$2:$O$1879,1)</f>
        <v>0</v>
      </c>
      <c r="F263" s="162">
        <f>IFERROR(VLOOKUP(B263,MATERIALES!$A:$D,4,FALSE()),IFERROR(INDEX(COMPOSICIÓN!$I$2:$I$1879,MATCH(B263,COMPOSICIÓN!$D$2:$D$1879,0)),0))</f>
        <v>1836.01</v>
      </c>
      <c r="G263" s="163">
        <f>SUMIFS(_PLAN_STG!$Q$2:$Q$1879,_PLAN_STG!$D$2:$D$1879,B263,_PLAN_STG!$B$2:$B$1879,"MAT",_PLAN_STG!$O$2:$O$1879,1)</f>
        <v>0</v>
      </c>
      <c r="H263" s="225" t="str">
        <f>IFERROR(INDEX(COMPOSICIÓN!$C$2:$C$1879,MATCH(B263,COMPOSICIÓN!$D$2:$D$1879,0)),"")</f>
        <v>OTR</v>
      </c>
      <c r="I263" s="226">
        <f>SUMPRODUCT((_PLAN_STG!$D$2:$D$1879=B263)*(_PLAN_STG!$B$2:$B$1879="MAT")*(_PLAN_STG!$O$2:$O$1879=1)*(_PLAN_STG!$P$2:$P$1879&gt;0))</f>
        <v>0</v>
      </c>
      <c r="J263" s="224" t="str">
        <f>IFERROR(VLOOKUP(B263,MATERIALES!$A:$G,7,FALSE()),"")</f>
        <v>Eléctricos</v>
      </c>
    </row>
    <row r="264" spans="1:10" x14ac:dyDescent="0.35">
      <c r="A264" s="222" t="str">
        <f t="shared" si="3"/>
        <v/>
      </c>
      <c r="B264" s="223" t="s">
        <v>1429</v>
      </c>
      <c r="C264" s="224" t="str">
        <f>IFERROR(VLOOKUP(B264,MATERIALES!$A:$B,2,FALSE()),IFERROR(INDEX(COMPOSICIÓN!$E$2:$E$1879,MATCH(B264,COMPOSICIÓN!$D$2:$D$1879,0)),""))</f>
        <v>RIEL DE FIJAC.1.22 OLMAR</v>
      </c>
      <c r="D264" s="225" t="str">
        <f>IFERROR(VLOOKUP(B264,MATERIALES!$A:$C,3,FALSE()),IFERROR(INDEX(COMPOSICIÓN!$F$2:$F$1879,MATCH(B264,COMPOSICIÓN!$D$2:$D$1879,0)),""))</f>
        <v>u</v>
      </c>
      <c r="E264" s="161">
        <f>SUMIFS(_PLAN_STG!$P$2:$P$1879,_PLAN_STG!$D$2:$D$1879,B264,_PLAN_STG!$B$2:$B$1879,"MAT",_PLAN_STG!$O$2:$O$1879,1)</f>
        <v>0</v>
      </c>
      <c r="F264" s="162">
        <f>IFERROR(VLOOKUP(B264,MATERIALES!$A:$D,4,FALSE()),IFERROR(INDEX(COMPOSICIÓN!$I$2:$I$1879,MATCH(B264,COMPOSICIÓN!$D$2:$D$1879,0)),0))</f>
        <v>5067.59</v>
      </c>
      <c r="G264" s="163">
        <f>SUMIFS(_PLAN_STG!$Q$2:$Q$1879,_PLAN_STG!$D$2:$D$1879,B264,_PLAN_STG!$B$2:$B$1879,"MAT",_PLAN_STG!$O$2:$O$1879,1)</f>
        <v>0</v>
      </c>
      <c r="H264" s="225" t="str">
        <f>IFERROR(INDEX(COMPOSICIÓN!$C$2:$C$1879,MATCH(B264,COMPOSICIÓN!$D$2:$D$1879,0)),"")</f>
        <v>OTR</v>
      </c>
      <c r="I264" s="226">
        <f>SUMPRODUCT((_PLAN_STG!$D$2:$D$1879=B264)*(_PLAN_STG!$B$2:$B$1879="MAT")*(_PLAN_STG!$O$2:$O$1879=1)*(_PLAN_STG!$P$2:$P$1879&gt;0))</f>
        <v>0</v>
      </c>
      <c r="J264" s="224" t="str">
        <f>IFERROR(VLOOKUP(B264,MATERIALES!$A:$G,7,FALSE()),"")</f>
        <v>Eléctricos</v>
      </c>
    </row>
    <row r="265" spans="1:10" x14ac:dyDescent="0.35">
      <c r="A265" s="222" t="str">
        <f t="shared" si="3"/>
        <v/>
      </c>
      <c r="B265" s="223" t="s">
        <v>1431</v>
      </c>
      <c r="C265" s="224" t="str">
        <f>IFERROR(VLOOKUP(B265,MATERIALES!$A:$B,2,FALSE()),IFERROR(INDEX(COMPOSICIÓN!$E$2:$E$1879,MATCH(B265,COMPOSICIÓN!$D$2:$D$1879,0)),""))</f>
        <v>BROCA METALICA 1/4 CJA X 100</v>
      </c>
      <c r="D265" s="225" t="str">
        <f>IFERROR(VLOOKUP(B265,MATERIALES!$A:$C,3,FALSE()),IFERROR(INDEX(COMPOSICIÓN!$F$2:$F$1879,MATCH(B265,COMPOSICIÓN!$D$2:$D$1879,0)),""))</f>
        <v>u</v>
      </c>
      <c r="E265" s="161">
        <f>SUMIFS(_PLAN_STG!$P$2:$P$1879,_PLAN_STG!$D$2:$D$1879,B265,_PLAN_STG!$B$2:$B$1879,"MAT",_PLAN_STG!$O$2:$O$1879,1)</f>
        <v>0</v>
      </c>
      <c r="F265" s="162">
        <f>IFERROR(VLOOKUP(B265,MATERIALES!$A:$D,4,FALSE()),IFERROR(INDEX(COMPOSICIÓN!$I$2:$I$1879,MATCH(B265,COMPOSICIÓN!$D$2:$D$1879,0)),0))</f>
        <v>70761.600000000006</v>
      </c>
      <c r="G265" s="163">
        <f>SUMIFS(_PLAN_STG!$Q$2:$Q$1879,_PLAN_STG!$D$2:$D$1879,B265,_PLAN_STG!$B$2:$B$1879,"MAT",_PLAN_STG!$O$2:$O$1879,1)</f>
        <v>0</v>
      </c>
      <c r="H265" s="225" t="str">
        <f>IFERROR(INDEX(COMPOSICIÓN!$C$2:$C$1879,MATCH(B265,COMPOSICIÓN!$D$2:$D$1879,0)),"")</f>
        <v>OTR</v>
      </c>
      <c r="I265" s="226">
        <f>SUMPRODUCT((_PLAN_STG!$D$2:$D$1879=B265)*(_PLAN_STG!$B$2:$B$1879="MAT")*(_PLAN_STG!$O$2:$O$1879=1)*(_PLAN_STG!$P$2:$P$1879&gt;0))</f>
        <v>0</v>
      </c>
      <c r="J265" s="224" t="str">
        <f>IFERROR(VLOOKUP(B265,MATERIALES!$A:$G,7,FALSE()),"")</f>
        <v>Eléctricos</v>
      </c>
    </row>
    <row r="266" spans="1:10" x14ac:dyDescent="0.35">
      <c r="A266" s="222" t="str">
        <f t="shared" si="3"/>
        <v/>
      </c>
      <c r="B266" s="223" t="s">
        <v>1433</v>
      </c>
      <c r="C266" s="224" t="str">
        <f>IFERROR(VLOOKUP(B266,MATERIALES!$A:$B,2,FALSE()),IFERROR(INDEX(COMPOSICIÓN!$E$2:$E$1879,MATCH(B266,COMPOSICIÓN!$D$2:$D$1879,0)),""))</f>
        <v>VARILLA ROSCADA 1/4"X1MTC/BUL.</v>
      </c>
      <c r="D266" s="225" t="str">
        <f>IFERROR(VLOOKUP(B266,MATERIALES!$A:$C,3,FALSE()),IFERROR(INDEX(COMPOSICIÓN!$F$2:$F$1879,MATCH(B266,COMPOSICIÓN!$D$2:$D$1879,0)),""))</f>
        <v>u</v>
      </c>
      <c r="E266" s="161">
        <f>SUMIFS(_PLAN_STG!$P$2:$P$1879,_PLAN_STG!$D$2:$D$1879,B266,_PLAN_STG!$B$2:$B$1879,"MAT",_PLAN_STG!$O$2:$O$1879,1)</f>
        <v>0</v>
      </c>
      <c r="F266" s="162">
        <f>IFERROR(VLOOKUP(B266,MATERIALES!$A:$D,4,FALSE()),IFERROR(INDEX(COMPOSICIÓN!$I$2:$I$1879,MATCH(B266,COMPOSICIÓN!$D$2:$D$1879,0)),0))</f>
        <v>954.29</v>
      </c>
      <c r="G266" s="163">
        <f>SUMIFS(_PLAN_STG!$Q$2:$Q$1879,_PLAN_STG!$D$2:$D$1879,B266,_PLAN_STG!$B$2:$B$1879,"MAT",_PLAN_STG!$O$2:$O$1879,1)</f>
        <v>0</v>
      </c>
      <c r="H266" s="225" t="str">
        <f>IFERROR(INDEX(COMPOSICIÓN!$C$2:$C$1879,MATCH(B266,COMPOSICIÓN!$D$2:$D$1879,0)),"")</f>
        <v>OTR</v>
      </c>
      <c r="I266" s="226">
        <f>SUMPRODUCT((_PLAN_STG!$D$2:$D$1879=B266)*(_PLAN_STG!$B$2:$B$1879="MAT")*(_PLAN_STG!$O$2:$O$1879=1)*(_PLAN_STG!$P$2:$P$1879&gt;0))</f>
        <v>0</v>
      </c>
      <c r="J266" s="224" t="str">
        <f>IFERROR(VLOOKUP(B266,MATERIALES!$A:$G,7,FALSE()),"")</f>
        <v>Eléctricos</v>
      </c>
    </row>
    <row r="267" spans="1:10" x14ac:dyDescent="0.35">
      <c r="A267" s="222" t="str">
        <f t="shared" si="3"/>
        <v/>
      </c>
      <c r="B267" s="223" t="s">
        <v>1435</v>
      </c>
      <c r="C267" s="224" t="str">
        <f>IFERROR(VLOOKUP(B267,MATERIALES!$A:$B,2,FALSE()),IFERROR(INDEX(COMPOSICIÓN!$E$2:$E$1879,MATCH(B267,COMPOSICIÓN!$D$2:$D$1879,0)),""))</f>
        <v>GRAMPA P/RIEL 1</v>
      </c>
      <c r="D267" s="225" t="str">
        <f>IFERROR(VLOOKUP(B267,MATERIALES!$A:$C,3,FALSE()),IFERROR(INDEX(COMPOSICIÓN!$F$2:$F$1879,MATCH(B267,COMPOSICIÓN!$D$2:$D$1879,0)),""))</f>
        <v>u</v>
      </c>
      <c r="E267" s="161">
        <f>SUMIFS(_PLAN_STG!$P$2:$P$1879,_PLAN_STG!$D$2:$D$1879,B267,_PLAN_STG!$B$2:$B$1879,"MAT",_PLAN_STG!$O$2:$O$1879,1)</f>
        <v>0</v>
      </c>
      <c r="F267" s="162">
        <f>IFERROR(VLOOKUP(B267,MATERIALES!$A:$D,4,FALSE()),IFERROR(INDEX(COMPOSICIÓN!$I$2:$I$1879,MATCH(B267,COMPOSICIÓN!$D$2:$D$1879,0)),0))</f>
        <v>670.34</v>
      </c>
      <c r="G267" s="163">
        <f>SUMIFS(_PLAN_STG!$Q$2:$Q$1879,_PLAN_STG!$D$2:$D$1879,B267,_PLAN_STG!$B$2:$B$1879,"MAT",_PLAN_STG!$O$2:$O$1879,1)</f>
        <v>0</v>
      </c>
      <c r="H267" s="225" t="str">
        <f>IFERROR(INDEX(COMPOSICIÓN!$C$2:$C$1879,MATCH(B267,COMPOSICIÓN!$D$2:$D$1879,0)),"")</f>
        <v>OTR</v>
      </c>
      <c r="I267" s="226">
        <f>SUMPRODUCT((_PLAN_STG!$D$2:$D$1879=B267)*(_PLAN_STG!$B$2:$B$1879="MAT")*(_PLAN_STG!$O$2:$O$1879=1)*(_PLAN_STG!$P$2:$P$1879&gt;0))</f>
        <v>0</v>
      </c>
      <c r="J267" s="224" t="str">
        <f>IFERROR(VLOOKUP(B267,MATERIALES!$A:$G,7,FALSE()),"")</f>
        <v>Eléctricos</v>
      </c>
    </row>
    <row r="268" spans="1:10" x14ac:dyDescent="0.35">
      <c r="A268" s="222" t="str">
        <f t="shared" si="3"/>
        <v/>
      </c>
      <c r="B268" s="223" t="s">
        <v>1437</v>
      </c>
      <c r="C268" s="224" t="str">
        <f>IFERROR(VLOOKUP(B268,MATERIALES!$A:$B,2,FALSE()),IFERROR(INDEX(COMPOSICIÓN!$E$2:$E$1879,MATCH(B268,COMPOSICIÓN!$D$2:$D$1879,0)),""))</f>
        <v>CAJA DE CONEXION 30X40X10 CH20</v>
      </c>
      <c r="D268" s="225" t="str">
        <f>IFERROR(VLOOKUP(B268,MATERIALES!$A:$C,3,FALSE()),IFERROR(INDEX(COMPOSICIÓN!$F$2:$F$1879,MATCH(B268,COMPOSICIÓN!$D$2:$D$1879,0)),""))</f>
        <v>u</v>
      </c>
      <c r="E268" s="161">
        <f>SUMIFS(_PLAN_STG!$P$2:$P$1879,_PLAN_STG!$D$2:$D$1879,B268,_PLAN_STG!$B$2:$B$1879,"MAT",_PLAN_STG!$O$2:$O$1879,1)</f>
        <v>0</v>
      </c>
      <c r="F268" s="162">
        <f>IFERROR(VLOOKUP(B268,MATERIALES!$A:$D,4,FALSE()),IFERROR(INDEX(COMPOSICIÓN!$I$2:$I$1879,MATCH(B268,COMPOSICIÓN!$D$2:$D$1879,0)),0))</f>
        <v>16656.23</v>
      </c>
      <c r="G268" s="163">
        <f>SUMIFS(_PLAN_STG!$Q$2:$Q$1879,_PLAN_STG!$D$2:$D$1879,B268,_PLAN_STG!$B$2:$B$1879,"MAT",_PLAN_STG!$O$2:$O$1879,1)</f>
        <v>0</v>
      </c>
      <c r="H268" s="225" t="str">
        <f>IFERROR(INDEX(COMPOSICIÓN!$C$2:$C$1879,MATCH(B268,COMPOSICIÓN!$D$2:$D$1879,0)),"")</f>
        <v>OTR</v>
      </c>
      <c r="I268" s="226">
        <f>SUMPRODUCT((_PLAN_STG!$D$2:$D$1879=B268)*(_PLAN_STG!$B$2:$B$1879="MAT")*(_PLAN_STG!$O$2:$O$1879=1)*(_PLAN_STG!$P$2:$P$1879&gt;0))</f>
        <v>0</v>
      </c>
      <c r="J268" s="224" t="str">
        <f>IFERROR(VLOOKUP(B268,MATERIALES!$A:$G,7,FALSE()),"")</f>
        <v>Eléctricos</v>
      </c>
    </row>
    <row r="269" spans="1:10" x14ac:dyDescent="0.35">
      <c r="A269" s="222" t="str">
        <f t="shared" si="3"/>
        <v/>
      </c>
      <c r="B269" s="223" t="s">
        <v>1439</v>
      </c>
      <c r="C269" s="224" t="str">
        <f>IFERROR(VLOOKUP(B269,MATERIALES!$A:$B,2,FALSE()),IFERROR(INDEX(COMPOSICIÓN!$E$2:$E$1879,MATCH(B269,COMPOSICIÓN!$D$2:$D$1879,0)),""))</f>
        <v>CONECTOR 25MM PVC RIG IP54 TUBE</v>
      </c>
      <c r="D269" s="225" t="str">
        <f>IFERROR(VLOOKUP(B269,MATERIALES!$A:$C,3,FALSE()),IFERROR(INDEX(COMPOSICIÓN!$F$2:$F$1879,MATCH(B269,COMPOSICIÓN!$D$2:$D$1879,0)),""))</f>
        <v>u</v>
      </c>
      <c r="E269" s="161">
        <f>SUMIFS(_PLAN_STG!$P$2:$P$1879,_PLAN_STG!$D$2:$D$1879,B269,_PLAN_STG!$B$2:$B$1879,"MAT",_PLAN_STG!$O$2:$O$1879,1)</f>
        <v>0</v>
      </c>
      <c r="F269" s="162">
        <f>IFERROR(VLOOKUP(B269,MATERIALES!$A:$D,4,FALSE()),IFERROR(INDEX(COMPOSICIÓN!$I$2:$I$1879,MATCH(B269,COMPOSICIÓN!$D$2:$D$1879,0)),0))</f>
        <v>237.27</v>
      </c>
      <c r="G269" s="163">
        <f>SUMIFS(_PLAN_STG!$Q$2:$Q$1879,_PLAN_STG!$D$2:$D$1879,B269,_PLAN_STG!$B$2:$B$1879,"MAT",_PLAN_STG!$O$2:$O$1879,1)</f>
        <v>0</v>
      </c>
      <c r="H269" s="225" t="str">
        <f>IFERROR(INDEX(COMPOSICIÓN!$C$2:$C$1879,MATCH(B269,COMPOSICIÓN!$D$2:$D$1879,0)),"")</f>
        <v>OTR</v>
      </c>
      <c r="I269" s="226">
        <f>SUMPRODUCT((_PLAN_STG!$D$2:$D$1879=B269)*(_PLAN_STG!$B$2:$B$1879="MAT")*(_PLAN_STG!$O$2:$O$1879=1)*(_PLAN_STG!$P$2:$P$1879&gt;0))</f>
        <v>0</v>
      </c>
      <c r="J269" s="224" t="str">
        <f>IFERROR(VLOOKUP(B269,MATERIALES!$A:$G,7,FALSE()),"")</f>
        <v>Eléctricos</v>
      </c>
    </row>
    <row r="270" spans="1:10" x14ac:dyDescent="0.35">
      <c r="A270" s="222" t="str">
        <f t="shared" si="3"/>
        <v/>
      </c>
      <c r="B270" s="223" t="s">
        <v>1441</v>
      </c>
      <c r="C270" s="224" t="str">
        <f>IFERROR(VLOOKUP(B270,MATERIALES!$A:$B,2,FALSE()),IFERROR(INDEX(COMPOSICIÓN!$E$2:$E$1879,MATCH(B270,COMPOSICIÓN!$D$2:$D$1879,0)),""))</f>
        <v>Cable unipolar 10 mm N.IRAM (UF monos (220 ml en syntenax))</v>
      </c>
      <c r="D270" s="225" t="str">
        <f>IFERROR(VLOOKUP(B270,MATERIALES!$A:$C,3,FALSE()),IFERROR(INDEX(COMPOSICIÓN!$F$2:$F$1879,MATCH(B270,COMPOSICIÓN!$D$2:$D$1879,0)),""))</f>
        <v>ml</v>
      </c>
      <c r="E270" s="161">
        <f>SUMIFS(_PLAN_STG!$P$2:$P$1879,_PLAN_STG!$D$2:$D$1879,B270,_PLAN_STG!$B$2:$B$1879,"MAT",_PLAN_STG!$O$2:$O$1879,1)</f>
        <v>0</v>
      </c>
      <c r="F270" s="162">
        <f>IFERROR(VLOOKUP(B270,MATERIALES!$A:$D,4,FALSE()),IFERROR(INDEX(COMPOSICIÓN!$I$2:$I$1879,MATCH(B270,COMPOSICIÓN!$D$2:$D$1879,0)),0))</f>
        <v>1654.54545454546</v>
      </c>
      <c r="G270" s="163">
        <f>SUMIFS(_PLAN_STG!$Q$2:$Q$1879,_PLAN_STG!$D$2:$D$1879,B270,_PLAN_STG!$B$2:$B$1879,"MAT",_PLAN_STG!$O$2:$O$1879,1)</f>
        <v>0</v>
      </c>
      <c r="H270" s="225" t="str">
        <f>IFERROR(INDEX(COMPOSICIÓN!$C$2:$C$1879,MATCH(B270,COMPOSICIÓN!$D$2:$D$1879,0)),"")</f>
        <v>OTR</v>
      </c>
      <c r="I270" s="226">
        <f>SUMPRODUCT((_PLAN_STG!$D$2:$D$1879=B270)*(_PLAN_STG!$B$2:$B$1879="MAT")*(_PLAN_STG!$O$2:$O$1879=1)*(_PLAN_STG!$P$2:$P$1879&gt;0))</f>
        <v>0</v>
      </c>
      <c r="J270" s="224" t="str">
        <f>IFERROR(VLOOKUP(B270,MATERIALES!$A:$G,7,FALSE()),"")</f>
        <v>Eléctricos</v>
      </c>
    </row>
    <row r="271" spans="1:10" x14ac:dyDescent="0.35">
      <c r="A271" s="222" t="str">
        <f t="shared" si="3"/>
        <v/>
      </c>
      <c r="B271" s="223" t="s">
        <v>1443</v>
      </c>
      <c r="C271" s="224" t="str">
        <f>IFERROR(VLOOKUP(B271,MATERIALES!$A:$B,2,FALSE()),IFERROR(INDEX(COMPOSICIÓN!$E$2:$E$1879,MATCH(B271,COMPOSICIÓN!$D$2:$D$1879,0)),""))</f>
        <v>RLLOX100M 1X 6,0MM NEGRO N.IRAM (UF trifasicas (222 ml en syntenax))</v>
      </c>
      <c r="D271" s="225" t="str">
        <f>IFERROR(VLOOKUP(B271,MATERIALES!$A:$C,3,FALSE()),IFERROR(INDEX(COMPOSICIÓN!$F$2:$F$1879,MATCH(B271,COMPOSICIÓN!$D$2:$D$1879,0)),""))</f>
        <v>rol</v>
      </c>
      <c r="E271" s="161">
        <f>SUMIFS(_PLAN_STG!$P$2:$P$1879,_PLAN_STG!$D$2:$D$1879,B271,_PLAN_STG!$B$2:$B$1879,"MAT",_PLAN_STG!$O$2:$O$1879,1)</f>
        <v>0</v>
      </c>
      <c r="F271" s="162">
        <f>IFERROR(VLOOKUP(B271,MATERIALES!$A:$D,4,FALSE()),IFERROR(INDEX(COMPOSICIÓN!$I$2:$I$1879,MATCH(B271,COMPOSICIÓN!$D$2:$D$1879,0)),0))</f>
        <v>95867.7685950413</v>
      </c>
      <c r="G271" s="163">
        <f>SUMIFS(_PLAN_STG!$Q$2:$Q$1879,_PLAN_STG!$D$2:$D$1879,B271,_PLAN_STG!$B$2:$B$1879,"MAT",_PLAN_STG!$O$2:$O$1879,1)</f>
        <v>0</v>
      </c>
      <c r="H271" s="225" t="str">
        <f>IFERROR(INDEX(COMPOSICIÓN!$C$2:$C$1879,MATCH(B271,COMPOSICIÓN!$D$2:$D$1879,0)),"")</f>
        <v>OTR</v>
      </c>
      <c r="I271" s="226">
        <f>SUMPRODUCT((_PLAN_STG!$D$2:$D$1879=B271)*(_PLAN_STG!$B$2:$B$1879="MAT")*(_PLAN_STG!$O$2:$O$1879=1)*(_PLAN_STG!$P$2:$P$1879&gt;0))</f>
        <v>0</v>
      </c>
      <c r="J271" s="224" t="str">
        <f>IFERROR(VLOOKUP(B271,MATERIALES!$A:$G,7,FALSE()),"")</f>
        <v>Eléctricos</v>
      </c>
    </row>
    <row r="272" spans="1:10" x14ac:dyDescent="0.35">
      <c r="A272" s="222" t="str">
        <f t="shared" ref="A272:A335" si="4">IF(G272=0,"",ROW()-16+1)</f>
        <v/>
      </c>
      <c r="B272" s="223" t="s">
        <v>1445</v>
      </c>
      <c r="C272" s="224" t="str">
        <f>IFERROR(VLOOKUP(B272,MATERIALES!$A:$B,2,FALSE()),IFERROR(INDEX(COMPOSICIÓN!$E$2:$E$1879,MATCH(B272,COMPOSICIÓN!$D$2:$D$1879,0)),""))</f>
        <v>RLLOX100M 1X 4,0MM NEGRO N.IRAM (Bombas PB + Bombas Pres. (45 ml))</v>
      </c>
      <c r="D272" s="225" t="str">
        <f>IFERROR(VLOOKUP(B272,MATERIALES!$A:$C,3,FALSE()),IFERROR(INDEX(COMPOSICIÓN!$F$2:$F$1879,MATCH(B272,COMPOSICIÓN!$D$2:$D$1879,0)),""))</f>
        <v>rol</v>
      </c>
      <c r="E272" s="161">
        <f>SUMIFS(_PLAN_STG!$P$2:$P$1879,_PLAN_STG!$D$2:$D$1879,B272,_PLAN_STG!$B$2:$B$1879,"MAT",_PLAN_STG!$O$2:$O$1879,1)</f>
        <v>0</v>
      </c>
      <c r="F272" s="162">
        <f>IFERROR(VLOOKUP(B272,MATERIALES!$A:$D,4,FALSE()),IFERROR(INDEX(COMPOSICIÓN!$I$2:$I$1879,MATCH(B272,COMPOSICIÓN!$D$2:$D$1879,0)),0))</f>
        <v>66520.479999999996</v>
      </c>
      <c r="G272" s="163">
        <f>SUMIFS(_PLAN_STG!$Q$2:$Q$1879,_PLAN_STG!$D$2:$D$1879,B272,_PLAN_STG!$B$2:$B$1879,"MAT",_PLAN_STG!$O$2:$O$1879,1)</f>
        <v>0</v>
      </c>
      <c r="H272" s="225" t="str">
        <f>IFERROR(INDEX(COMPOSICIÓN!$C$2:$C$1879,MATCH(B272,COMPOSICIÓN!$D$2:$D$1879,0)),"")</f>
        <v>OTR</v>
      </c>
      <c r="I272" s="226">
        <f>SUMPRODUCT((_PLAN_STG!$D$2:$D$1879=B272)*(_PLAN_STG!$B$2:$B$1879="MAT")*(_PLAN_STG!$O$2:$O$1879=1)*(_PLAN_STG!$P$2:$P$1879&gt;0))</f>
        <v>0</v>
      </c>
      <c r="J272" s="224" t="str">
        <f>IFERROR(VLOOKUP(B272,MATERIALES!$A:$G,7,FALSE()),"")</f>
        <v>Eléctricos</v>
      </c>
    </row>
    <row r="273" spans="1:10" x14ac:dyDescent="0.35">
      <c r="A273" s="222" t="str">
        <f t="shared" si="4"/>
        <v/>
      </c>
      <c r="B273" s="223" t="s">
        <v>1447</v>
      </c>
      <c r="C273" s="224" t="str">
        <f>IFERROR(VLOOKUP(B273,MATERIALES!$A:$B,2,FALSE()),IFERROR(INDEX(COMPOSICIÓN!$E$2:$E$1879,MATCH(B273,COMPOSICIÓN!$D$2:$D$1879,0)),""))</f>
        <v>RLLOX100M 1X16 MM VD/ AM N.IRAM (UF trifasicas (25 ml en syntenax))</v>
      </c>
      <c r="D273" s="225" t="str">
        <f>IFERROR(VLOOKUP(B273,MATERIALES!$A:$C,3,FALSE()),IFERROR(INDEX(COMPOSICIÓN!$F$2:$F$1879,MATCH(B273,COMPOSICIÓN!$D$2:$D$1879,0)),""))</f>
        <v>rol</v>
      </c>
      <c r="E273" s="161">
        <f>SUMIFS(_PLAN_STG!$P$2:$P$1879,_PLAN_STG!$D$2:$D$1879,B273,_PLAN_STG!$B$2:$B$1879,"MAT",_PLAN_STG!$O$2:$O$1879,1)</f>
        <v>0</v>
      </c>
      <c r="F273" s="162">
        <f>IFERROR(VLOOKUP(B273,MATERIALES!$A:$D,4,FALSE()),IFERROR(INDEX(COMPOSICIÓN!$I$2:$I$1879,MATCH(B273,COMPOSICIÓN!$D$2:$D$1879,0)),0))</f>
        <v>268385.86</v>
      </c>
      <c r="G273" s="163">
        <f>SUMIFS(_PLAN_STG!$Q$2:$Q$1879,_PLAN_STG!$D$2:$D$1879,B273,_PLAN_STG!$B$2:$B$1879,"MAT",_PLAN_STG!$O$2:$O$1879,1)</f>
        <v>0</v>
      </c>
      <c r="H273" s="225" t="str">
        <f>IFERROR(INDEX(COMPOSICIÓN!$C$2:$C$1879,MATCH(B273,COMPOSICIÓN!$D$2:$D$1879,0)),"")</f>
        <v>OTR</v>
      </c>
      <c r="I273" s="226">
        <f>SUMPRODUCT((_PLAN_STG!$D$2:$D$1879=B273)*(_PLAN_STG!$B$2:$B$1879="MAT")*(_PLAN_STG!$O$2:$O$1879=1)*(_PLAN_STG!$P$2:$P$1879&gt;0))</f>
        <v>0</v>
      </c>
      <c r="J273" s="224" t="str">
        <f>IFERROR(VLOOKUP(B273,MATERIALES!$A:$G,7,FALSE()),"")</f>
        <v>Eléctricos</v>
      </c>
    </row>
    <row r="274" spans="1:10" x14ac:dyDescent="0.35">
      <c r="A274" s="222" t="str">
        <f t="shared" si="4"/>
        <v/>
      </c>
      <c r="B274" s="223" t="s">
        <v>1449</v>
      </c>
      <c r="C274" s="224" t="str">
        <f>IFERROR(VLOOKUP(B274,MATERIALES!$A:$B,2,FALSE()),IFERROR(INDEX(COMPOSICIÓN!$E$2:$E$1879,MATCH(B274,COMPOSICIÓN!$D$2:$D$1879,0)),""))</f>
        <v>RLLOX100M 1X 1,5MM NEGRO N.IRAM (Cable testigo)</v>
      </c>
      <c r="D274" s="225" t="str">
        <f>IFERROR(VLOOKUP(B274,MATERIALES!$A:$C,3,FALSE()),IFERROR(INDEX(COMPOSICIÓN!$F$2:$F$1879,MATCH(B274,COMPOSICIÓN!$D$2:$D$1879,0)),""))</f>
        <v>rol</v>
      </c>
      <c r="E274" s="161">
        <f>SUMIFS(_PLAN_STG!$P$2:$P$1879,_PLAN_STG!$D$2:$D$1879,B274,_PLAN_STG!$B$2:$B$1879,"MAT",_PLAN_STG!$O$2:$O$1879,1)</f>
        <v>0</v>
      </c>
      <c r="F274" s="162">
        <f>IFERROR(VLOOKUP(B274,MATERIALES!$A:$D,4,FALSE()),IFERROR(INDEX(COMPOSICIÓN!$I$2:$I$1879,MATCH(B274,COMPOSICIÓN!$D$2:$D$1879,0)),0))</f>
        <v>26467.32</v>
      </c>
      <c r="G274" s="163">
        <f>SUMIFS(_PLAN_STG!$Q$2:$Q$1879,_PLAN_STG!$D$2:$D$1879,B274,_PLAN_STG!$B$2:$B$1879,"MAT",_PLAN_STG!$O$2:$O$1879,1)</f>
        <v>0</v>
      </c>
      <c r="H274" s="225" t="str">
        <f>IFERROR(INDEX(COMPOSICIÓN!$C$2:$C$1879,MATCH(B274,COMPOSICIÓN!$D$2:$D$1879,0)),"")</f>
        <v>OTR</v>
      </c>
      <c r="I274" s="226">
        <f>SUMPRODUCT((_PLAN_STG!$D$2:$D$1879=B274)*(_PLAN_STG!$B$2:$B$1879="MAT")*(_PLAN_STG!$O$2:$O$1879=1)*(_PLAN_STG!$P$2:$P$1879&gt;0))</f>
        <v>0</v>
      </c>
      <c r="J274" s="224" t="str">
        <f>IFERROR(VLOOKUP(B274,MATERIALES!$A:$G,7,FALSE()),"")</f>
        <v>Eléctricos</v>
      </c>
    </row>
    <row r="275" spans="1:10" x14ac:dyDescent="0.35">
      <c r="A275" s="222" t="str">
        <f t="shared" si="4"/>
        <v/>
      </c>
      <c r="B275" s="223" t="s">
        <v>1452</v>
      </c>
      <c r="C275" s="224" t="str">
        <f>IFERROR(VLOOKUP(B275,MATERIALES!$A:$B,2,FALSE()),IFERROR(INDEX(COMPOSICIÓN!$E$2:$E$1879,MATCH(B275,COMPOSICIÓN!$D$2:$D$1879,0)),""))</f>
        <v>M SUBTERRANEO N IRAM 1X 120MM2 (1 x 120)</v>
      </c>
      <c r="D275" s="225" t="str">
        <f>IFERROR(VLOOKUP(B275,MATERIALES!$A:$C,3,FALSE()),IFERROR(INDEX(COMPOSICIÓN!$F$2:$F$1879,MATCH(B275,COMPOSICIÓN!$D$2:$D$1879,0)),""))</f>
        <v>ml</v>
      </c>
      <c r="E275" s="161">
        <f>SUMIFS(_PLAN_STG!$P$2:$P$1879,_PLAN_STG!$D$2:$D$1879,B275,_PLAN_STG!$B$2:$B$1879,"MAT",_PLAN_STG!$O$2:$O$1879,1)</f>
        <v>0</v>
      </c>
      <c r="F275" s="162">
        <f>IFERROR(VLOOKUP(B275,MATERIALES!$A:$D,4,FALSE()),IFERROR(INDEX(COMPOSICIÓN!$I$2:$I$1879,MATCH(B275,COMPOSICIÓN!$D$2:$D$1879,0)),0))</f>
        <v>20537.45</v>
      </c>
      <c r="G275" s="163">
        <f>SUMIFS(_PLAN_STG!$Q$2:$Q$1879,_PLAN_STG!$D$2:$D$1879,B275,_PLAN_STG!$B$2:$B$1879,"MAT",_PLAN_STG!$O$2:$O$1879,1)</f>
        <v>0</v>
      </c>
      <c r="H275" s="225" t="str">
        <f>IFERROR(INDEX(COMPOSICIÓN!$C$2:$C$1879,MATCH(B275,COMPOSICIÓN!$D$2:$D$1879,0)),"")</f>
        <v>OTR</v>
      </c>
      <c r="I275" s="226">
        <f>SUMPRODUCT((_PLAN_STG!$D$2:$D$1879=B275)*(_PLAN_STG!$B$2:$B$1879="MAT")*(_PLAN_STG!$O$2:$O$1879=1)*(_PLAN_STG!$P$2:$P$1879&gt;0))</f>
        <v>0</v>
      </c>
      <c r="J275" s="224" t="str">
        <f>IFERROR(VLOOKUP(B275,MATERIALES!$A:$G,7,FALSE()),"")</f>
        <v>Eléctricos</v>
      </c>
    </row>
    <row r="276" spans="1:10" x14ac:dyDescent="0.35">
      <c r="A276" s="222" t="str">
        <f t="shared" si="4"/>
        <v/>
      </c>
      <c r="B276" s="223" t="s">
        <v>1455</v>
      </c>
      <c r="C276" s="224" t="str">
        <f>IFERROR(VLOOKUP(B276,MATERIALES!$A:$B,2,FALSE()),IFERROR(INDEX(COMPOSICIÓN!$E$2:$E$1879,MATCH(B276,COMPOSICIÓN!$D$2:$D$1879,0)),""))</f>
        <v>[66039162] GAB 4 MED TRIF C/TM + DIF (EDENOR)</v>
      </c>
      <c r="D276" s="225" t="str">
        <f>IFERROR(VLOOKUP(B276,MATERIALES!$A:$C,3,FALSE()),IFERROR(INDEX(COMPOSICIÓN!$F$2:$F$1879,MATCH(B276,COMPOSICIÓN!$D$2:$D$1879,0)),""))</f>
        <v>u</v>
      </c>
      <c r="E276" s="161">
        <f>SUMIFS(_PLAN_STG!$P$2:$P$1879,_PLAN_STG!$D$2:$D$1879,B276,_PLAN_STG!$B$2:$B$1879,"MAT",_PLAN_STG!$O$2:$O$1879,1)</f>
        <v>0</v>
      </c>
      <c r="F276" s="162">
        <f>IFERROR(VLOOKUP(B276,MATERIALES!$A:$D,4,FALSE()),IFERROR(INDEX(COMPOSICIÓN!$I$2:$I$1879,MATCH(B276,COMPOSICIÓN!$D$2:$D$1879,0)),0))</f>
        <v>832346.42</v>
      </c>
      <c r="G276" s="163">
        <f>SUMIFS(_PLAN_STG!$Q$2:$Q$1879,_PLAN_STG!$D$2:$D$1879,B276,_PLAN_STG!$B$2:$B$1879,"MAT",_PLAN_STG!$O$2:$O$1879,1)</f>
        <v>0</v>
      </c>
      <c r="H276" s="225" t="str">
        <f>IFERROR(INDEX(COMPOSICIÓN!$C$2:$C$1879,MATCH(B276,COMPOSICIÓN!$D$2:$D$1879,0)),"")</f>
        <v>OTR</v>
      </c>
      <c r="I276" s="226">
        <f>SUMPRODUCT((_PLAN_STG!$D$2:$D$1879=B276)*(_PLAN_STG!$B$2:$B$1879="MAT")*(_PLAN_STG!$O$2:$O$1879=1)*(_PLAN_STG!$P$2:$P$1879&gt;0))</f>
        <v>0</v>
      </c>
      <c r="J276" s="224" t="str">
        <f>IFERROR(VLOOKUP(B276,MATERIALES!$A:$G,7,FALSE()),"")</f>
        <v>Eléctricos</v>
      </c>
    </row>
    <row r="277" spans="1:10" x14ac:dyDescent="0.35">
      <c r="A277" s="222" t="str">
        <f t="shared" si="4"/>
        <v/>
      </c>
      <c r="B277" s="223" t="s">
        <v>1457</v>
      </c>
      <c r="C277" s="224" t="str">
        <f>IFERROR(VLOOKUP(B277,MATERIALES!$A:$B,2,FALSE()),IFERROR(INDEX(COMPOSICIÓN!$E$2:$E$1879,MATCH(B277,COMPOSICIÓN!$D$2:$D$1879,0)),""))</f>
        <v>[66039155] GAB 1 MED TRIF C/TM + DIF (EDENOR)</v>
      </c>
      <c r="D277" s="225" t="str">
        <f>IFERROR(VLOOKUP(B277,MATERIALES!$A:$C,3,FALSE()),IFERROR(INDEX(COMPOSICIÓN!$F$2:$F$1879,MATCH(B277,COMPOSICIÓN!$D$2:$D$1879,0)),""))</f>
        <v>u</v>
      </c>
      <c r="E277" s="161">
        <f>SUMIFS(_PLAN_STG!$P$2:$P$1879,_PLAN_STG!$D$2:$D$1879,B277,_PLAN_STG!$B$2:$B$1879,"MAT",_PLAN_STG!$O$2:$O$1879,1)</f>
        <v>0</v>
      </c>
      <c r="F277" s="162">
        <f>IFERROR(VLOOKUP(B277,MATERIALES!$A:$D,4,FALSE()),IFERROR(INDEX(COMPOSICIÓN!$I$2:$I$1879,MATCH(B277,COMPOSICIÓN!$D$2:$D$1879,0)),0))</f>
        <v>210583.05</v>
      </c>
      <c r="G277" s="163">
        <f>SUMIFS(_PLAN_STG!$Q$2:$Q$1879,_PLAN_STG!$D$2:$D$1879,B277,_PLAN_STG!$B$2:$B$1879,"MAT",_PLAN_STG!$O$2:$O$1879,1)</f>
        <v>0</v>
      </c>
      <c r="H277" s="225" t="str">
        <f>IFERROR(INDEX(COMPOSICIÓN!$C$2:$C$1879,MATCH(B277,COMPOSICIÓN!$D$2:$D$1879,0)),"")</f>
        <v>OTR</v>
      </c>
      <c r="I277" s="226">
        <f>SUMPRODUCT((_PLAN_STG!$D$2:$D$1879=B277)*(_PLAN_STG!$B$2:$B$1879="MAT")*(_PLAN_STG!$O$2:$O$1879=1)*(_PLAN_STG!$P$2:$P$1879&gt;0))</f>
        <v>0</v>
      </c>
      <c r="J277" s="224" t="str">
        <f>IFERROR(VLOOKUP(B277,MATERIALES!$A:$G,7,FALSE()),"")</f>
        <v>Eléctricos</v>
      </c>
    </row>
    <row r="278" spans="1:10" x14ac:dyDescent="0.35">
      <c r="A278" s="222" t="str">
        <f t="shared" si="4"/>
        <v/>
      </c>
      <c r="B278" s="223" t="s">
        <v>1459</v>
      </c>
      <c r="C278" s="224" t="str">
        <f>IFERROR(VLOOKUP(B278,MATERIALES!$A:$B,2,FALSE()),IFERROR(INDEX(COMPOSICIÓN!$E$2:$E$1879,MATCH(B278,COMPOSICIÓN!$D$2:$D$1879,0)),""))</f>
        <v>[62009010] CAJA TOMA 500A C/ 6 BASES NH (EDENOR)</v>
      </c>
      <c r="D278" s="225" t="str">
        <f>IFERROR(VLOOKUP(B278,MATERIALES!$A:$C,3,FALSE()),IFERROR(INDEX(COMPOSICIÓN!$F$2:$F$1879,MATCH(B278,COMPOSICIÓN!$D$2:$D$1879,0)),""))</f>
        <v>u</v>
      </c>
      <c r="E278" s="161">
        <f>SUMIFS(_PLAN_STG!$P$2:$P$1879,_PLAN_STG!$D$2:$D$1879,B278,_PLAN_STG!$B$2:$B$1879,"MAT",_PLAN_STG!$O$2:$O$1879,1)</f>
        <v>0</v>
      </c>
      <c r="F278" s="162">
        <f>IFERROR(VLOOKUP(B278,MATERIALES!$A:$D,4,FALSE()),IFERROR(INDEX(COMPOSICIÓN!$I$2:$I$1879,MATCH(B278,COMPOSICIÓN!$D$2:$D$1879,0)),0))</f>
        <v>462872.16</v>
      </c>
      <c r="G278" s="163">
        <f>SUMIFS(_PLAN_STG!$Q$2:$Q$1879,_PLAN_STG!$D$2:$D$1879,B278,_PLAN_STG!$B$2:$B$1879,"MAT",_PLAN_STG!$O$2:$O$1879,1)</f>
        <v>0</v>
      </c>
      <c r="H278" s="225" t="str">
        <f>IFERROR(INDEX(COMPOSICIÓN!$C$2:$C$1879,MATCH(B278,COMPOSICIÓN!$D$2:$D$1879,0)),"")</f>
        <v>OTR</v>
      </c>
      <c r="I278" s="226">
        <f>SUMPRODUCT((_PLAN_STG!$D$2:$D$1879=B278)*(_PLAN_STG!$B$2:$B$1879="MAT")*(_PLAN_STG!$O$2:$O$1879=1)*(_PLAN_STG!$P$2:$P$1879&gt;0))</f>
        <v>0</v>
      </c>
      <c r="J278" s="224" t="str">
        <f>IFERROR(VLOOKUP(B278,MATERIALES!$A:$G,7,FALSE()),"")</f>
        <v>Eléctricos</v>
      </c>
    </row>
    <row r="279" spans="1:10" x14ac:dyDescent="0.35">
      <c r="A279" s="222" t="str">
        <f t="shared" si="4"/>
        <v/>
      </c>
      <c r="B279" s="223" t="s">
        <v>1461</v>
      </c>
      <c r="C279" s="224" t="str">
        <f>IFERROR(VLOOKUP(B279,MATERIALES!$A:$B,2,FALSE()),IFERROR(INDEX(COMPOSICIÓN!$E$2:$E$1879,MATCH(B279,COMPOSICIÓN!$D$2:$D$1879,0)),""))</f>
        <v>Fusible NH 00 63 A</v>
      </c>
      <c r="D279" s="225" t="str">
        <f>IFERROR(VLOOKUP(B279,MATERIALES!$A:$C,3,FALSE()),IFERROR(INDEX(COMPOSICIÓN!$F$2:$F$1879,MATCH(B279,COMPOSICIÓN!$D$2:$D$1879,0)),""))</f>
        <v>u</v>
      </c>
      <c r="E279" s="161">
        <f>SUMIFS(_PLAN_STG!$P$2:$P$1879,_PLAN_STG!$D$2:$D$1879,B279,_PLAN_STG!$B$2:$B$1879,"MAT",_PLAN_STG!$O$2:$O$1879,1)</f>
        <v>0</v>
      </c>
      <c r="F279" s="162">
        <f>IFERROR(VLOOKUP(B279,MATERIALES!$A:$D,4,FALSE()),IFERROR(INDEX(COMPOSICIÓN!$I$2:$I$1879,MATCH(B279,COMPOSICIÓN!$D$2:$D$1879,0)),0))</f>
        <v>3784.33</v>
      </c>
      <c r="G279" s="163">
        <f>SUMIFS(_PLAN_STG!$Q$2:$Q$1879,_PLAN_STG!$D$2:$D$1879,B279,_PLAN_STG!$B$2:$B$1879,"MAT",_PLAN_STG!$O$2:$O$1879,1)</f>
        <v>0</v>
      </c>
      <c r="H279" s="225" t="str">
        <f>IFERROR(INDEX(COMPOSICIÓN!$C$2:$C$1879,MATCH(B279,COMPOSICIÓN!$D$2:$D$1879,0)),"")</f>
        <v>OTR</v>
      </c>
      <c r="I279" s="226">
        <f>SUMPRODUCT((_PLAN_STG!$D$2:$D$1879=B279)*(_PLAN_STG!$B$2:$B$1879="MAT")*(_PLAN_STG!$O$2:$O$1879=1)*(_PLAN_STG!$P$2:$P$1879&gt;0))</f>
        <v>0</v>
      </c>
      <c r="J279" s="224" t="str">
        <f>IFERROR(VLOOKUP(B279,MATERIALES!$A:$G,7,FALSE()),"")</f>
        <v>Eléctricos</v>
      </c>
    </row>
    <row r="280" spans="1:10" x14ac:dyDescent="0.35">
      <c r="A280" s="222" t="str">
        <f t="shared" si="4"/>
        <v/>
      </c>
      <c r="B280" s="223" t="s">
        <v>1463</v>
      </c>
      <c r="C280" s="224" t="str">
        <f>IFERROR(VLOOKUP(B280,MATERIALES!$A:$B,2,FALSE()),IFERROR(INDEX(COMPOSICIÓN!$E$2:$E$1879,MATCH(B280,COMPOSICIÓN!$D$2:$D$1879,0)),""))</f>
        <v>Fusible NH 02 a 125 A</v>
      </c>
      <c r="D280" s="225" t="str">
        <f>IFERROR(VLOOKUP(B280,MATERIALES!$A:$C,3,FALSE()),IFERROR(INDEX(COMPOSICIÓN!$F$2:$F$1879,MATCH(B280,COMPOSICIÓN!$D$2:$D$1879,0)),""))</f>
        <v>u</v>
      </c>
      <c r="E280" s="161">
        <f>SUMIFS(_PLAN_STG!$P$2:$P$1879,_PLAN_STG!$D$2:$D$1879,B280,_PLAN_STG!$B$2:$B$1879,"MAT",_PLAN_STG!$O$2:$O$1879,1)</f>
        <v>0</v>
      </c>
      <c r="F280" s="162">
        <f>IFERROR(VLOOKUP(B280,MATERIALES!$A:$D,4,FALSE()),IFERROR(INDEX(COMPOSICIÓN!$I$2:$I$1879,MATCH(B280,COMPOSICIÓN!$D$2:$D$1879,0)),0))</f>
        <v>9642.86</v>
      </c>
      <c r="G280" s="163">
        <f>SUMIFS(_PLAN_STG!$Q$2:$Q$1879,_PLAN_STG!$D$2:$D$1879,B280,_PLAN_STG!$B$2:$B$1879,"MAT",_PLAN_STG!$O$2:$O$1879,1)</f>
        <v>0</v>
      </c>
      <c r="H280" s="225" t="str">
        <f>IFERROR(INDEX(COMPOSICIÓN!$C$2:$C$1879,MATCH(B280,COMPOSICIÓN!$D$2:$D$1879,0)),"")</f>
        <v>OTR</v>
      </c>
      <c r="I280" s="226">
        <f>SUMPRODUCT((_PLAN_STG!$D$2:$D$1879=B280)*(_PLAN_STG!$B$2:$B$1879="MAT")*(_PLAN_STG!$O$2:$O$1879=1)*(_PLAN_STG!$P$2:$P$1879&gt;0))</f>
        <v>0</v>
      </c>
      <c r="J280" s="224" t="str">
        <f>IFERROR(VLOOKUP(B280,MATERIALES!$A:$G,7,FALSE()),"")</f>
        <v>Eléctricos</v>
      </c>
    </row>
    <row r="281" spans="1:10" x14ac:dyDescent="0.35">
      <c r="A281" s="222" t="str">
        <f t="shared" si="4"/>
        <v/>
      </c>
      <c r="B281" s="223" t="s">
        <v>1465</v>
      </c>
      <c r="C281" s="224" t="str">
        <f>IFERROR(VLOOKUP(B281,MATERIALES!$A:$B,2,FALSE()),IFERROR(INDEX(COMPOSICIÓN!$E$2:$E$1879,MATCH(B281,COMPOSICIÓN!$D$2:$D$1879,0)),""))</f>
        <v>M COBRE DESNUDO 7H 25MM (1 x 25 desnudo)</v>
      </c>
      <c r="D281" s="225" t="str">
        <f>IFERROR(VLOOKUP(B281,MATERIALES!$A:$C,3,FALSE()),IFERROR(INDEX(COMPOSICIÓN!$F$2:$F$1879,MATCH(B281,COMPOSICIÓN!$D$2:$D$1879,0)),""))</f>
        <v>ml</v>
      </c>
      <c r="E281" s="161">
        <f>SUMIFS(_PLAN_STG!$P$2:$P$1879,_PLAN_STG!$D$2:$D$1879,B281,_PLAN_STG!$B$2:$B$1879,"MAT",_PLAN_STG!$O$2:$O$1879,1)</f>
        <v>0</v>
      </c>
      <c r="F281" s="162">
        <f>IFERROR(VLOOKUP(B281,MATERIALES!$A:$D,4,FALSE()),IFERROR(INDEX(COMPOSICIÓN!$I$2:$I$1879,MATCH(B281,COMPOSICIÓN!$D$2:$D$1879,0)),0))</f>
        <v>4462.8099173553701</v>
      </c>
      <c r="G281" s="163">
        <f>SUMIFS(_PLAN_STG!$Q$2:$Q$1879,_PLAN_STG!$D$2:$D$1879,B281,_PLAN_STG!$B$2:$B$1879,"MAT",_PLAN_STG!$O$2:$O$1879,1)</f>
        <v>0</v>
      </c>
      <c r="H281" s="225" t="str">
        <f>IFERROR(INDEX(COMPOSICIÓN!$C$2:$C$1879,MATCH(B281,COMPOSICIÓN!$D$2:$D$1879,0)),"")</f>
        <v>OTR</v>
      </c>
      <c r="I281" s="226">
        <f>SUMPRODUCT((_PLAN_STG!$D$2:$D$1879=B281)*(_PLAN_STG!$B$2:$B$1879="MAT")*(_PLAN_STG!$O$2:$O$1879=1)*(_PLAN_STG!$P$2:$P$1879&gt;0))</f>
        <v>0</v>
      </c>
      <c r="J281" s="224" t="str">
        <f>IFERROR(VLOOKUP(B281,MATERIALES!$A:$G,7,FALSE()),"")</f>
        <v>Eléctricos</v>
      </c>
    </row>
    <row r="282" spans="1:10" x14ac:dyDescent="0.35">
      <c r="A282" s="222" t="str">
        <f t="shared" si="4"/>
        <v/>
      </c>
      <c r="B282" s="223" t="s">
        <v>1468</v>
      </c>
      <c r="C282" s="224" t="str">
        <f>IFERROR(VLOOKUP(B282,MATERIALES!$A:$B,2,FALSE()),IFERROR(INDEX(COMPOSICIÓN!$E$2:$E$1879,MATCH(B282,COMPOSICIÓN!$D$2:$D$1879,0)),""))</f>
        <v>CONDUWELD JAB ST 3/4 1.5M (Jabalina 3/4" x 1,5 m)</v>
      </c>
      <c r="D282" s="225" t="str">
        <f>IFERROR(VLOOKUP(B282,MATERIALES!$A:$C,3,FALSE()),IFERROR(INDEX(COMPOSICIÓN!$F$2:$F$1879,MATCH(B282,COMPOSICIÓN!$D$2:$D$1879,0)),""))</f>
        <v>u</v>
      </c>
      <c r="E282" s="161">
        <f>SUMIFS(_PLAN_STG!$P$2:$P$1879,_PLAN_STG!$D$2:$D$1879,B282,_PLAN_STG!$B$2:$B$1879,"MAT",_PLAN_STG!$O$2:$O$1879,1)</f>
        <v>0</v>
      </c>
      <c r="F282" s="162">
        <f>IFERROR(VLOOKUP(B282,MATERIALES!$A:$D,4,FALSE()),IFERROR(INDEX(COMPOSICIÓN!$I$2:$I$1879,MATCH(B282,COMPOSICIÓN!$D$2:$D$1879,0)),0))</f>
        <v>26981.95</v>
      </c>
      <c r="G282" s="163">
        <f>SUMIFS(_PLAN_STG!$Q$2:$Q$1879,_PLAN_STG!$D$2:$D$1879,B282,_PLAN_STG!$B$2:$B$1879,"MAT",_PLAN_STG!$O$2:$O$1879,1)</f>
        <v>0</v>
      </c>
      <c r="H282" s="225" t="str">
        <f>IFERROR(INDEX(COMPOSICIÓN!$C$2:$C$1879,MATCH(B282,COMPOSICIÓN!$D$2:$D$1879,0)),"")</f>
        <v>OTR</v>
      </c>
      <c r="I282" s="226">
        <f>SUMPRODUCT((_PLAN_STG!$D$2:$D$1879=B282)*(_PLAN_STG!$B$2:$B$1879="MAT")*(_PLAN_STG!$O$2:$O$1879=1)*(_PLAN_STG!$P$2:$P$1879&gt;0))</f>
        <v>0</v>
      </c>
      <c r="J282" s="224" t="str">
        <f>IFERROR(VLOOKUP(B282,MATERIALES!$A:$G,7,FALSE()),"")</f>
        <v>Eléctricos</v>
      </c>
    </row>
    <row r="283" spans="1:10" x14ac:dyDescent="0.35">
      <c r="A283" s="222" t="str">
        <f t="shared" si="4"/>
        <v/>
      </c>
      <c r="B283" s="223" t="s">
        <v>1470</v>
      </c>
      <c r="C283" s="224" t="str">
        <f>IFERROR(VLOOKUP(B283,MATERIALES!$A:$B,2,FALSE()),IFERROR(INDEX(COMPOSICIÓN!$E$2:$E$1879,MATCH(B283,COMPOSICIÓN!$D$2:$D$1879,0)),""))</f>
        <v>CAJA INSPECCION 15 x 15 PVC</v>
      </c>
      <c r="D283" s="225" t="str">
        <f>IFERROR(VLOOKUP(B283,MATERIALES!$A:$C,3,FALSE()),IFERROR(INDEX(COMPOSICIÓN!$F$2:$F$1879,MATCH(B283,COMPOSICIÓN!$D$2:$D$1879,0)),""))</f>
        <v>u</v>
      </c>
      <c r="E283" s="161">
        <f>SUMIFS(_PLAN_STG!$P$2:$P$1879,_PLAN_STG!$D$2:$D$1879,B283,_PLAN_STG!$B$2:$B$1879,"MAT",_PLAN_STG!$O$2:$O$1879,1)</f>
        <v>0</v>
      </c>
      <c r="F283" s="162">
        <f>IFERROR(VLOOKUP(B283,MATERIALES!$A:$D,4,FALSE()),IFERROR(INDEX(COMPOSICIÓN!$I$2:$I$1879,MATCH(B283,COMPOSICIÓN!$D$2:$D$1879,0)),0))</f>
        <v>1085.56</v>
      </c>
      <c r="G283" s="163">
        <f>SUMIFS(_PLAN_STG!$Q$2:$Q$1879,_PLAN_STG!$D$2:$D$1879,B283,_PLAN_STG!$B$2:$B$1879,"MAT",_PLAN_STG!$O$2:$O$1879,1)</f>
        <v>0</v>
      </c>
      <c r="H283" s="225" t="str">
        <f>IFERROR(INDEX(COMPOSICIÓN!$C$2:$C$1879,MATCH(B283,COMPOSICIÓN!$D$2:$D$1879,0)),"")</f>
        <v>OTR</v>
      </c>
      <c r="I283" s="226">
        <f>SUMPRODUCT((_PLAN_STG!$D$2:$D$1879=B283)*(_PLAN_STG!$B$2:$B$1879="MAT")*(_PLAN_STG!$O$2:$O$1879=1)*(_PLAN_STG!$P$2:$P$1879&gt;0))</f>
        <v>0</v>
      </c>
      <c r="J283" s="224" t="str">
        <f>IFERROR(VLOOKUP(B283,MATERIALES!$A:$G,7,FALSE()),"")</f>
        <v>Eléctricos</v>
      </c>
    </row>
    <row r="284" spans="1:10" x14ac:dyDescent="0.35">
      <c r="A284" s="222" t="str">
        <f t="shared" si="4"/>
        <v/>
      </c>
      <c r="B284" s="223" t="s">
        <v>1472</v>
      </c>
      <c r="C284" s="224" t="str">
        <f>IFERROR(VLOOKUP(B284,MATERIALES!$A:$B,2,FALSE()),IFERROR(INDEX(COMPOSICIÓN!$E$2:$E$1879,MATCH(B284,COMPOSICIÓN!$D$2:$D$1879,0)),""))</f>
        <v>Tubo Ø 16 mm PEX, rollo por 240 m - HidroFlex Saladillo</v>
      </c>
      <c r="D284" s="225" t="str">
        <f>IFERROR(VLOOKUP(B284,MATERIALES!$A:$C,3,FALSE()),IFERROR(INDEX(COMPOSICIÓN!$F$2:$F$1879,MATCH(B284,COMPOSICIÓN!$D$2:$D$1879,0)),""))</f>
        <v>rol</v>
      </c>
      <c r="E284" s="161">
        <f>SUMIFS(_PLAN_STG!$P$2:$P$1879,_PLAN_STG!$D$2:$D$1879,B284,_PLAN_STG!$B$2:$B$1879,"MAT",_PLAN_STG!$O$2:$O$1879,1)</f>
        <v>0</v>
      </c>
      <c r="F284" s="162">
        <f>IFERROR(VLOOKUP(B284,MATERIALES!$A:$D,4,FALSE()),IFERROR(INDEX(COMPOSICIÓN!$I$2:$I$1879,MATCH(B284,COMPOSICIÓN!$D$2:$D$1879,0)),0))</f>
        <v>190020.54</v>
      </c>
      <c r="G284" s="163">
        <f>SUMIFS(_PLAN_STG!$Q$2:$Q$1879,_PLAN_STG!$D$2:$D$1879,B284,_PLAN_STG!$B$2:$B$1879,"MAT",_PLAN_STG!$O$2:$O$1879,1)</f>
        <v>0</v>
      </c>
      <c r="H284" s="225" t="str">
        <f>IFERROR(INDEX(COMPOSICIÓN!$C$2:$C$1879,MATCH(B284,COMPOSICIÓN!$D$2:$D$1879,0)),"")</f>
        <v>OTR</v>
      </c>
      <c r="I284" s="226">
        <f>SUMPRODUCT((_PLAN_STG!$D$2:$D$1879=B284)*(_PLAN_STG!$B$2:$B$1879="MAT")*(_PLAN_STG!$O$2:$O$1879=1)*(_PLAN_STG!$P$2:$P$1879&gt;0))</f>
        <v>0</v>
      </c>
      <c r="J284" s="224" t="str">
        <f>IFERROR(VLOOKUP(B284,MATERIALES!$A:$G,7,FALSE()),"")</f>
        <v>Piso radiante y calefacción</v>
      </c>
    </row>
    <row r="285" spans="1:10" x14ac:dyDescent="0.35">
      <c r="A285" s="222" t="str">
        <f t="shared" si="4"/>
        <v/>
      </c>
      <c r="B285" s="223" t="s">
        <v>1474</v>
      </c>
      <c r="C285" s="224" t="str">
        <f>IFERROR(VLOOKUP(B285,MATERIALES!$A:$B,2,FALSE()),IFERROR(INDEX(COMPOSICIÓN!$E$2:$E$1879,MATCH(B285,COMPOSICIÓN!$D$2:$D$1879,0)),""))</f>
        <v>Membrana térmica HidroFlex, rollo 1x20 m, e: 10 mm - HidroFlex Saladillo</v>
      </c>
      <c r="D285" s="225" t="str">
        <f>IFERROR(VLOOKUP(B285,MATERIALES!$A:$C,3,FALSE()),IFERROR(INDEX(COMPOSICIÓN!$F$2:$F$1879,MATCH(B285,COMPOSICIÓN!$D$2:$D$1879,0)),""))</f>
        <v>rol</v>
      </c>
      <c r="E285" s="161">
        <f>SUMIFS(_PLAN_STG!$P$2:$P$1879,_PLAN_STG!$D$2:$D$1879,B285,_PLAN_STG!$B$2:$B$1879,"MAT",_PLAN_STG!$O$2:$O$1879,1)</f>
        <v>0</v>
      </c>
      <c r="F285" s="162">
        <f>IFERROR(VLOOKUP(B285,MATERIALES!$A:$D,4,FALSE()),IFERROR(INDEX(COMPOSICIÓN!$I$2:$I$1879,MATCH(B285,COMPOSICIÓN!$D$2:$D$1879,0)),0))</f>
        <v>56674.81</v>
      </c>
      <c r="G285" s="163">
        <f>SUMIFS(_PLAN_STG!$Q$2:$Q$1879,_PLAN_STG!$D$2:$D$1879,B285,_PLAN_STG!$B$2:$B$1879,"MAT",_PLAN_STG!$O$2:$O$1879,1)</f>
        <v>0</v>
      </c>
      <c r="H285" s="225" t="str">
        <f>IFERROR(INDEX(COMPOSICIÓN!$C$2:$C$1879,MATCH(B285,COMPOSICIÓN!$D$2:$D$1879,0)),"")</f>
        <v>OTR</v>
      </c>
      <c r="I285" s="226">
        <f>SUMPRODUCT((_PLAN_STG!$D$2:$D$1879=B285)*(_PLAN_STG!$B$2:$B$1879="MAT")*(_PLAN_STG!$O$2:$O$1879=1)*(_PLAN_STG!$P$2:$P$1879&gt;0))</f>
        <v>0</v>
      </c>
      <c r="J285" s="224" t="str">
        <f>IFERROR(VLOOKUP(B285,MATERIALES!$A:$G,7,FALSE()),"")</f>
        <v>Piso radiante y calefacción</v>
      </c>
    </row>
    <row r="286" spans="1:10" x14ac:dyDescent="0.35">
      <c r="A286" s="222" t="str">
        <f t="shared" si="4"/>
        <v/>
      </c>
      <c r="B286" s="223" t="s">
        <v>1476</v>
      </c>
      <c r="C286" s="224" t="str">
        <f>IFERROR(VLOOKUP(B286,MATERIALES!$A:$B,2,FALSE()),IFERROR(INDEX(COMPOSICIÓN!$E$2:$E$1879,MATCH(B286,COMPOSICIÓN!$D$2:$D$1879,0)),""))</f>
        <v>Curva tubos Ø 16 mm - HidroFlex Saladillo</v>
      </c>
      <c r="D286" s="225" t="str">
        <f>IFERROR(VLOOKUP(B286,MATERIALES!$A:$C,3,FALSE()),IFERROR(INDEX(COMPOSICIÓN!$F$2:$F$1879,MATCH(B286,COMPOSICIÓN!$D$2:$D$1879,0)),""))</f>
        <v>u</v>
      </c>
      <c r="E286" s="161">
        <f>SUMIFS(_PLAN_STG!$P$2:$P$1879,_PLAN_STG!$D$2:$D$1879,B286,_PLAN_STG!$B$2:$B$1879,"MAT",_PLAN_STG!$O$2:$O$1879,1)</f>
        <v>0</v>
      </c>
      <c r="F286" s="162">
        <f>IFERROR(VLOOKUP(B286,MATERIALES!$A:$D,4,FALSE()),IFERROR(INDEX(COMPOSICIÓN!$I$2:$I$1879,MATCH(B286,COMPOSICIÓN!$D$2:$D$1879,0)),0))</f>
        <v>1234.1199999999999</v>
      </c>
      <c r="G286" s="163">
        <f>SUMIFS(_PLAN_STG!$Q$2:$Q$1879,_PLAN_STG!$D$2:$D$1879,B286,_PLAN_STG!$B$2:$B$1879,"MAT",_PLAN_STG!$O$2:$O$1879,1)</f>
        <v>0</v>
      </c>
      <c r="H286" s="225" t="str">
        <f>IFERROR(INDEX(COMPOSICIÓN!$C$2:$C$1879,MATCH(B286,COMPOSICIÓN!$D$2:$D$1879,0)),"")</f>
        <v>OTR</v>
      </c>
      <c r="I286" s="226">
        <f>SUMPRODUCT((_PLAN_STG!$D$2:$D$1879=B286)*(_PLAN_STG!$B$2:$B$1879="MAT")*(_PLAN_STG!$O$2:$O$1879=1)*(_PLAN_STG!$P$2:$P$1879&gt;0))</f>
        <v>0</v>
      </c>
      <c r="J286" s="224" t="str">
        <f>IFERROR(VLOOKUP(B286,MATERIALES!$A:$G,7,FALSE()),"")</f>
        <v>Piso radiante y calefacción</v>
      </c>
    </row>
    <row r="287" spans="1:10" x14ac:dyDescent="0.35">
      <c r="A287" s="222" t="str">
        <f t="shared" si="4"/>
        <v/>
      </c>
      <c r="B287" s="223" t="s">
        <v>1478</v>
      </c>
      <c r="C287" s="224" t="str">
        <f>IFERROR(VLOOKUP(B287,MATERIALES!$A:$B,2,FALSE()),IFERROR(INDEX(COMPOSICIÓN!$E$2:$E$1879,MATCH(B287,COMPOSICIÓN!$D$2:$D$1879,0)),""))</f>
        <v>Precintos 200 mm x paquete</v>
      </c>
      <c r="D287" s="225" t="str">
        <f>IFERROR(VLOOKUP(B287,MATERIALES!$A:$C,3,FALSE()),IFERROR(INDEX(COMPOSICIÓN!$F$2:$F$1879,MATCH(B287,COMPOSICIÓN!$D$2:$D$1879,0)),""))</f>
        <v>paq</v>
      </c>
      <c r="E287" s="161">
        <f>SUMIFS(_PLAN_STG!$P$2:$P$1879,_PLAN_STG!$D$2:$D$1879,B287,_PLAN_STG!$B$2:$B$1879,"MAT",_PLAN_STG!$O$2:$O$1879,1)</f>
        <v>0</v>
      </c>
      <c r="F287" s="162">
        <f>IFERROR(VLOOKUP(B287,MATERIALES!$A:$D,4,FALSE()),IFERROR(INDEX(COMPOSICIÓN!$I$2:$I$1879,MATCH(B287,COMPOSICIÓN!$D$2:$D$1879,0)),0))</f>
        <v>4158.84</v>
      </c>
      <c r="G287" s="163">
        <f>SUMIFS(_PLAN_STG!$Q$2:$Q$1879,_PLAN_STG!$D$2:$D$1879,B287,_PLAN_STG!$B$2:$B$1879,"MAT",_PLAN_STG!$O$2:$O$1879,1)</f>
        <v>0</v>
      </c>
      <c r="H287" s="225" t="str">
        <f>IFERROR(INDEX(COMPOSICIÓN!$C$2:$C$1879,MATCH(B287,COMPOSICIÓN!$D$2:$D$1879,0)),"")</f>
        <v>OTR</v>
      </c>
      <c r="I287" s="226">
        <f>SUMPRODUCT((_PLAN_STG!$D$2:$D$1879=B287)*(_PLAN_STG!$B$2:$B$1879="MAT")*(_PLAN_STG!$O$2:$O$1879=1)*(_PLAN_STG!$P$2:$P$1879&gt;0))</f>
        <v>0</v>
      </c>
      <c r="J287" s="224" t="str">
        <f>IFERROR(VLOOKUP(B287,MATERIALES!$A:$G,7,FALSE()),"")</f>
        <v>Piso radiante y calefacción</v>
      </c>
    </row>
    <row r="288" spans="1:10" x14ac:dyDescent="0.35">
      <c r="A288" s="222" t="str">
        <f t="shared" si="4"/>
        <v/>
      </c>
      <c r="B288" s="223" t="s">
        <v>1480</v>
      </c>
      <c r="C288" s="224" t="str">
        <f>IFERROR(VLOOKUP(B288,MATERIALES!$A:$B,2,FALSE()),IFERROR(INDEX(COMPOSICIÓN!$E$2:$E$1879,MATCH(B288,COMPOSICIÓN!$D$2:$D$1879,0)),""))</f>
        <v>Codo c/rosca 3/4"</v>
      </c>
      <c r="D288" s="225" t="str">
        <f>IFERROR(VLOOKUP(B288,MATERIALES!$A:$C,3,FALSE()),IFERROR(INDEX(COMPOSICIÓN!$F$2:$F$1879,MATCH(B288,COMPOSICIÓN!$D$2:$D$1879,0)),""))</f>
        <v>u</v>
      </c>
      <c r="E288" s="161">
        <f>SUMIFS(_PLAN_STG!$P$2:$P$1879,_PLAN_STG!$D$2:$D$1879,B288,_PLAN_STG!$B$2:$B$1879,"MAT",_PLAN_STG!$O$2:$O$1879,1)</f>
        <v>0</v>
      </c>
      <c r="F288" s="162">
        <f>IFERROR(VLOOKUP(B288,MATERIALES!$A:$D,4,FALSE()),IFERROR(INDEX(COMPOSICIÓN!$I$2:$I$1879,MATCH(B288,COMPOSICIÓN!$D$2:$D$1879,0)),0))</f>
        <v>1943.21</v>
      </c>
      <c r="G288" s="163">
        <f>SUMIFS(_PLAN_STG!$Q$2:$Q$1879,_PLAN_STG!$D$2:$D$1879,B288,_PLAN_STG!$B$2:$B$1879,"MAT",_PLAN_STG!$O$2:$O$1879,1)</f>
        <v>0</v>
      </c>
      <c r="H288" s="225" t="str">
        <f>IFERROR(INDEX(COMPOSICIÓN!$C$2:$C$1879,MATCH(B288,COMPOSICIÓN!$D$2:$D$1879,0)),"")</f>
        <v>OTR</v>
      </c>
      <c r="I288" s="226">
        <f>SUMPRODUCT((_PLAN_STG!$D$2:$D$1879=B288)*(_PLAN_STG!$B$2:$B$1879="MAT")*(_PLAN_STG!$O$2:$O$1879=1)*(_PLAN_STG!$P$2:$P$1879&gt;0))</f>
        <v>0</v>
      </c>
      <c r="J288" s="224" t="str">
        <f>IFERROR(VLOOKUP(B288,MATERIALES!$A:$G,7,FALSE()),"")</f>
        <v>Piso radiante y calefacción</v>
      </c>
    </row>
    <row r="289" spans="1:10" x14ac:dyDescent="0.35">
      <c r="A289" s="222" t="str">
        <f t="shared" si="4"/>
        <v/>
      </c>
      <c r="B289" s="223" t="s">
        <v>1482</v>
      </c>
      <c r="C289" s="224" t="str">
        <f>IFERROR(VLOOKUP(B289,MATERIALES!$A:$B,2,FALSE()),IFERROR(INDEX(COMPOSICIÓN!$E$2:$E$1879,MATCH(B289,COMPOSICIÓN!$D$2:$D$1879,0)),""))</f>
        <v>H-3 TUBO AGUA CALIENTE 19X3.9X6</v>
      </c>
      <c r="D289" s="225" t="str">
        <f>IFERROR(VLOOKUP(B289,MATERIALES!$A:$C,3,FALSE()),IFERROR(INDEX(COMPOSICIÓN!$F$2:$F$1879,MATCH(B289,COMPOSICIÓN!$D$2:$D$1879,0)),""))</f>
        <v>tira</v>
      </c>
      <c r="E289" s="161">
        <f>SUMIFS(_PLAN_STG!$P$2:$P$1879,_PLAN_STG!$D$2:$D$1879,B289,_PLAN_STG!$B$2:$B$1879,"MAT",_PLAN_STG!$O$2:$O$1879,1)</f>
        <v>0</v>
      </c>
      <c r="F289" s="162">
        <f>IFERROR(VLOOKUP(B289,MATERIALES!$A:$D,4,FALSE()),IFERROR(INDEX(COMPOSICIÓN!$I$2:$I$1879,MATCH(B289,COMPOSICIÓN!$D$2:$D$1879,0)),0))</f>
        <v>10449.84</v>
      </c>
      <c r="G289" s="163">
        <f>SUMIFS(_PLAN_STG!$Q$2:$Q$1879,_PLAN_STG!$D$2:$D$1879,B289,_PLAN_STG!$B$2:$B$1879,"MAT",_PLAN_STG!$O$2:$O$1879,1)</f>
        <v>0</v>
      </c>
      <c r="H289" s="225" t="str">
        <f>IFERROR(INDEX(COMPOSICIÓN!$C$2:$C$1879,MATCH(B289,COMPOSICIÓN!$D$2:$D$1879,0)),"")</f>
        <v>OTR</v>
      </c>
      <c r="I289" s="226">
        <f>SUMPRODUCT((_PLAN_STG!$D$2:$D$1879=B289)*(_PLAN_STG!$B$2:$B$1879="MAT")*(_PLAN_STG!$O$2:$O$1879=1)*(_PLAN_STG!$P$2:$P$1879&gt;0))</f>
        <v>0</v>
      </c>
      <c r="J289" s="224" t="str">
        <f>IFERROR(VLOOKUP(B289,MATERIALES!$A:$G,7,FALSE()),"")</f>
        <v>Piso radiante y calefacción</v>
      </c>
    </row>
    <row r="290" spans="1:10" x14ac:dyDescent="0.35">
      <c r="A290" s="222" t="str">
        <f t="shared" si="4"/>
        <v/>
      </c>
      <c r="B290" s="223" t="s">
        <v>1485</v>
      </c>
      <c r="C290" s="224" t="str">
        <f>IFERROR(VLOOKUP(B290,MATERIALES!$A:$B,2,FALSE()),IFERROR(INDEX(COMPOSICIÓN!$E$2:$E$1879,MATCH(B290,COMPOSICIÓN!$D$2:$D$1879,0)),""))</f>
        <v>Codo 3/4"</v>
      </c>
      <c r="D290" s="225" t="str">
        <f>IFERROR(VLOOKUP(B290,MATERIALES!$A:$C,3,FALSE()),IFERROR(INDEX(COMPOSICIÓN!$F$2:$F$1879,MATCH(B290,COMPOSICIÓN!$D$2:$D$1879,0)),""))</f>
        <v>u</v>
      </c>
      <c r="E290" s="161">
        <f>SUMIFS(_PLAN_STG!$P$2:$P$1879,_PLAN_STG!$D$2:$D$1879,B290,_PLAN_STG!$B$2:$B$1879,"MAT",_PLAN_STG!$O$2:$O$1879,1)</f>
        <v>0</v>
      </c>
      <c r="F290" s="162">
        <f>IFERROR(VLOOKUP(B290,MATERIALES!$A:$D,4,FALSE()),IFERROR(INDEX(COMPOSICIÓN!$I$2:$I$1879,MATCH(B290,COMPOSICIÓN!$D$2:$D$1879,0)),0))</f>
        <v>429.89</v>
      </c>
      <c r="G290" s="163">
        <f>SUMIFS(_PLAN_STG!$Q$2:$Q$1879,_PLAN_STG!$D$2:$D$1879,B290,_PLAN_STG!$B$2:$B$1879,"MAT",_PLAN_STG!$O$2:$O$1879,1)</f>
        <v>0</v>
      </c>
      <c r="H290" s="225" t="str">
        <f>IFERROR(INDEX(COMPOSICIÓN!$C$2:$C$1879,MATCH(B290,COMPOSICIÓN!$D$2:$D$1879,0)),"")</f>
        <v>OTR</v>
      </c>
      <c r="I290" s="226">
        <f>SUMPRODUCT((_PLAN_STG!$D$2:$D$1879=B290)*(_PLAN_STG!$B$2:$B$1879="MAT")*(_PLAN_STG!$O$2:$O$1879=1)*(_PLAN_STG!$P$2:$P$1879&gt;0))</f>
        <v>0</v>
      </c>
      <c r="J290" s="224" t="str">
        <f>IFERROR(VLOOKUP(B290,MATERIALES!$A:$G,7,FALSE()),"")</f>
        <v>Piso radiante y calefacción</v>
      </c>
    </row>
    <row r="291" spans="1:10" x14ac:dyDescent="0.35">
      <c r="A291" s="222" t="str">
        <f t="shared" si="4"/>
        <v/>
      </c>
      <c r="B291" s="223" t="s">
        <v>1487</v>
      </c>
      <c r="C291" s="224" t="str">
        <f>IFERROR(VLOOKUP(B291,MATERIALES!$A:$B,2,FALSE()),IFERROR(INDEX(COMPOSICIÓN!$E$2:$E$1879,MATCH(B291,COMPOSICIÓN!$D$2:$D$1879,0)),""))</f>
        <v>Coverthor blanco 3/8" (Ø 16mm) - Coverthor Saladillo</v>
      </c>
      <c r="D291" s="225" t="str">
        <f>IFERROR(VLOOKUP(B291,MATERIALES!$A:$C,3,FALSE()),IFERROR(INDEX(COMPOSICIÓN!$F$2:$F$1879,MATCH(B291,COMPOSICIÓN!$D$2:$D$1879,0)),""))</f>
        <v>tira</v>
      </c>
      <c r="E291" s="161">
        <f>SUMIFS(_PLAN_STG!$P$2:$P$1879,_PLAN_STG!$D$2:$D$1879,B291,_PLAN_STG!$B$2:$B$1879,"MAT",_PLAN_STG!$O$2:$O$1879,1)</f>
        <v>0</v>
      </c>
      <c r="F291" s="162">
        <f>IFERROR(VLOOKUP(B291,MATERIALES!$A:$D,4,FALSE()),IFERROR(INDEX(COMPOSICIÓN!$I$2:$I$1879,MATCH(B291,COMPOSICIÓN!$D$2:$D$1879,0)),0))</f>
        <v>852.41</v>
      </c>
      <c r="G291" s="163">
        <f>SUMIFS(_PLAN_STG!$Q$2:$Q$1879,_PLAN_STG!$D$2:$D$1879,B291,_PLAN_STG!$B$2:$B$1879,"MAT",_PLAN_STG!$O$2:$O$1879,1)</f>
        <v>0</v>
      </c>
      <c r="H291" s="225" t="str">
        <f>IFERROR(INDEX(COMPOSICIÓN!$C$2:$C$1879,MATCH(B291,COMPOSICIÓN!$D$2:$D$1879,0)),"")</f>
        <v>OTR</v>
      </c>
      <c r="I291" s="226">
        <f>SUMPRODUCT((_PLAN_STG!$D$2:$D$1879=B291)*(_PLAN_STG!$B$2:$B$1879="MAT")*(_PLAN_STG!$O$2:$O$1879=1)*(_PLAN_STG!$P$2:$P$1879&gt;0))</f>
        <v>0</v>
      </c>
      <c r="J291" s="224" t="str">
        <f>IFERROR(VLOOKUP(B291,MATERIALES!$A:$G,7,FALSE()),"")</f>
        <v>Piso radiante y calefacción</v>
      </c>
    </row>
    <row r="292" spans="1:10" x14ac:dyDescent="0.35">
      <c r="A292" s="222" t="str">
        <f t="shared" si="4"/>
        <v/>
      </c>
      <c r="B292" s="223" t="s">
        <v>1489</v>
      </c>
      <c r="C292" s="224" t="str">
        <f>IFERROR(VLOOKUP(B292,MATERIALES!$A:$B,2,FALSE()),IFERROR(INDEX(COMPOSICIÓN!$E$2:$E$1879,MATCH(B292,COMPOSICIÓN!$D$2:$D$1879,0)),""))</f>
        <v>Malla N° 4 Liv 15x15 3x2 mt</v>
      </c>
      <c r="D292" s="225" t="str">
        <f>IFERROR(VLOOKUP(B292,MATERIALES!$A:$C,3,FALSE()),IFERROR(INDEX(COMPOSICIÓN!$F$2:$F$1879,MATCH(B292,COMPOSICIÓN!$D$2:$D$1879,0)),""))</f>
        <v>un</v>
      </c>
      <c r="E292" s="161">
        <f>SUMIFS(_PLAN_STG!$P$2:$P$1879,_PLAN_STG!$D$2:$D$1879,B292,_PLAN_STG!$B$2:$B$1879,"MAT",_PLAN_STG!$O$2:$O$1879,1)</f>
        <v>0</v>
      </c>
      <c r="F292" s="162">
        <f>IFERROR(VLOOKUP(B292,MATERIALES!$A:$D,4,FALSE()),IFERROR(INDEX(COMPOSICIÓN!$I$2:$I$1879,MATCH(B292,COMPOSICIÓN!$D$2:$D$1879,0)),0))</f>
        <v>10695.63</v>
      </c>
      <c r="G292" s="163">
        <f>SUMIFS(_PLAN_STG!$Q$2:$Q$1879,_PLAN_STG!$D$2:$D$1879,B292,_PLAN_STG!$B$2:$B$1879,"MAT",_PLAN_STG!$O$2:$O$1879,1)</f>
        <v>0</v>
      </c>
      <c r="H292" s="225" t="str">
        <f>IFERROR(INDEX(COMPOSICIÓN!$C$2:$C$1879,MATCH(B292,COMPOSICIÓN!$D$2:$D$1879,0)),"")</f>
        <v>OTR</v>
      </c>
      <c r="I292" s="226">
        <f>SUMPRODUCT((_PLAN_STG!$D$2:$D$1879=B292)*(_PLAN_STG!$B$2:$B$1879="MAT")*(_PLAN_STG!$O$2:$O$1879=1)*(_PLAN_STG!$P$2:$P$1879&gt;0))</f>
        <v>0</v>
      </c>
      <c r="J292" s="224" t="str">
        <f>IFERROR(VLOOKUP(B292,MATERIALES!$A:$G,7,FALSE()),"")</f>
        <v>Piso radiante y calefacción</v>
      </c>
    </row>
    <row r="293" spans="1:10" x14ac:dyDescent="0.35">
      <c r="A293" s="222" t="str">
        <f t="shared" si="4"/>
        <v/>
      </c>
      <c r="B293" s="223" t="s">
        <v>1491</v>
      </c>
      <c r="C293" s="224" t="str">
        <f>IFERROR(VLOOKUP(B293,MATERIALES!$A:$B,2,FALSE()),IFERROR(INDEX(COMPOSICIÓN!$E$2:$E$1879,MATCH(B293,COMPOSICIÓN!$D$2:$D$1879,0)),""))</f>
        <v>Kit flexible caldera</v>
      </c>
      <c r="D293" s="225" t="str">
        <f>IFERROR(VLOOKUP(B293,MATERIALES!$A:$C,3,FALSE()),IFERROR(INDEX(COMPOSICIÓN!$F$2:$F$1879,MATCH(B293,COMPOSICIÓN!$D$2:$D$1879,0)),""))</f>
        <v>u</v>
      </c>
      <c r="E293" s="161">
        <f>SUMIFS(_PLAN_STG!$P$2:$P$1879,_PLAN_STG!$D$2:$D$1879,B293,_PLAN_STG!$B$2:$B$1879,"MAT",_PLAN_STG!$O$2:$O$1879,1)</f>
        <v>0</v>
      </c>
      <c r="F293" s="162">
        <f>IFERROR(VLOOKUP(B293,MATERIALES!$A:$D,4,FALSE()),IFERROR(INDEX(COMPOSICIÓN!$I$2:$I$1879,MATCH(B293,COMPOSICIÓN!$D$2:$D$1879,0)),0))</f>
        <v>75142.710000000006</v>
      </c>
      <c r="G293" s="163">
        <f>SUMIFS(_PLAN_STG!$Q$2:$Q$1879,_PLAN_STG!$D$2:$D$1879,B293,_PLAN_STG!$B$2:$B$1879,"MAT",_PLAN_STG!$O$2:$O$1879,1)</f>
        <v>0</v>
      </c>
      <c r="H293" s="225" t="str">
        <f>IFERROR(INDEX(COMPOSICIÓN!$C$2:$C$1879,MATCH(B293,COMPOSICIÓN!$D$2:$D$1879,0)),"")</f>
        <v>OTR</v>
      </c>
      <c r="I293" s="226">
        <f>SUMPRODUCT((_PLAN_STG!$D$2:$D$1879=B293)*(_PLAN_STG!$B$2:$B$1879="MAT")*(_PLAN_STG!$O$2:$O$1879=1)*(_PLAN_STG!$P$2:$P$1879&gt;0))</f>
        <v>0</v>
      </c>
      <c r="J293" s="224" t="str">
        <f>IFERROR(VLOOKUP(B293,MATERIALES!$A:$G,7,FALSE()),"")</f>
        <v>Piso radiante y calefacción</v>
      </c>
    </row>
    <row r="294" spans="1:10" x14ac:dyDescent="0.35">
      <c r="A294" s="222" t="str">
        <f t="shared" si="4"/>
        <v/>
      </c>
      <c r="B294" s="223" t="s">
        <v>1493</v>
      </c>
      <c r="C294" s="224" t="str">
        <f>IFERROR(VLOOKUP(B294,MATERIALES!$A:$B,2,FALSE()),IFERROR(INDEX(COMPOSICIÓN!$E$2:$E$1879,MATCH(B294,COMPOSICIÓN!$D$2:$D$1879,0)),""))</f>
        <v>Caño HG sin cupla 2 1/2 x 6,40 mts</v>
      </c>
      <c r="D294" s="225" t="str">
        <f>IFERROR(VLOOKUP(B294,MATERIALES!$A:$C,3,FALSE()),IFERROR(INDEX(COMPOSICIÓN!$F$2:$F$1879,MATCH(B294,COMPOSICIÓN!$D$2:$D$1879,0)),""))</f>
        <v>u</v>
      </c>
      <c r="E294" s="161">
        <f>SUMIFS(_PLAN_STG!$P$2:$P$1879,_PLAN_STG!$D$2:$D$1879,B294,_PLAN_STG!$B$2:$B$1879,"MAT",_PLAN_STG!$O$2:$O$1879,1)</f>
        <v>0</v>
      </c>
      <c r="F294" s="162">
        <f>IFERROR(VLOOKUP(B294,MATERIALES!$A:$D,4,FALSE()),IFERROR(INDEX(COMPOSICIÓN!$I$2:$I$1879,MATCH(B294,COMPOSICIÓN!$D$2:$D$1879,0)),0))</f>
        <v>226738.89</v>
      </c>
      <c r="G294" s="163">
        <f>SUMIFS(_PLAN_STG!$Q$2:$Q$1879,_PLAN_STG!$D$2:$D$1879,B294,_PLAN_STG!$B$2:$B$1879,"MAT",_PLAN_STG!$O$2:$O$1879,1)</f>
        <v>0</v>
      </c>
      <c r="H294" s="225" t="str">
        <f>IFERROR(INDEX(COMPOSICIÓN!$C$2:$C$1879,MATCH(B294,COMPOSICIÓN!$D$2:$D$1879,0)),"")</f>
        <v>OTR</v>
      </c>
      <c r="I294" s="226">
        <f>SUMPRODUCT((_PLAN_STG!$D$2:$D$1879=B294)*(_PLAN_STG!$B$2:$B$1879="MAT")*(_PLAN_STG!$O$2:$O$1879=1)*(_PLAN_STG!$P$2:$P$1879&gt;0))</f>
        <v>0</v>
      </c>
      <c r="J294" s="224" t="str">
        <f>IFERROR(VLOOKUP(B294,MATERIALES!$A:$G,7,FALSE()),"")</f>
        <v>Piso radiante y calefacción</v>
      </c>
    </row>
    <row r="295" spans="1:10" x14ac:dyDescent="0.35">
      <c r="A295" s="222" t="str">
        <f t="shared" si="4"/>
        <v/>
      </c>
      <c r="B295" s="223" t="s">
        <v>1495</v>
      </c>
      <c r="C295" s="224" t="str">
        <f>IFERROR(VLOOKUP(B295,MATERIALES!$A:$B,2,FALSE()),IFERROR(INDEX(COMPOSICIÓN!$E$2:$E$1879,MATCH(B295,COMPOSICIÓN!$D$2:$D$1879,0)),""))</f>
        <v>Codo HG a 90 HH 2 1/2</v>
      </c>
      <c r="D295" s="225" t="str">
        <f>IFERROR(VLOOKUP(B295,MATERIALES!$A:$C,3,FALSE()),IFERROR(INDEX(COMPOSICIÓN!$F$2:$F$1879,MATCH(B295,COMPOSICIÓN!$D$2:$D$1879,0)),""))</f>
        <v>u</v>
      </c>
      <c r="E295" s="161">
        <f>SUMIFS(_PLAN_STG!$P$2:$P$1879,_PLAN_STG!$D$2:$D$1879,B295,_PLAN_STG!$B$2:$B$1879,"MAT",_PLAN_STG!$O$2:$O$1879,1)</f>
        <v>0</v>
      </c>
      <c r="F295" s="162">
        <f>IFERROR(VLOOKUP(B295,MATERIALES!$A:$D,4,FALSE()),IFERROR(INDEX(COMPOSICIÓN!$I$2:$I$1879,MATCH(B295,COMPOSICIÓN!$D$2:$D$1879,0)),0))</f>
        <v>16952.66</v>
      </c>
      <c r="G295" s="163">
        <f>SUMIFS(_PLAN_STG!$Q$2:$Q$1879,_PLAN_STG!$D$2:$D$1879,B295,_PLAN_STG!$B$2:$B$1879,"MAT",_PLAN_STG!$O$2:$O$1879,1)</f>
        <v>0</v>
      </c>
      <c r="H295" s="225" t="str">
        <f>IFERROR(INDEX(COMPOSICIÓN!$C$2:$C$1879,MATCH(B295,COMPOSICIÓN!$D$2:$D$1879,0)),"")</f>
        <v>OTR</v>
      </c>
      <c r="I295" s="226">
        <f>SUMPRODUCT((_PLAN_STG!$D$2:$D$1879=B295)*(_PLAN_STG!$B$2:$B$1879="MAT")*(_PLAN_STG!$O$2:$O$1879=1)*(_PLAN_STG!$P$2:$P$1879&gt;0))</f>
        <v>0</v>
      </c>
      <c r="J295" s="224" t="str">
        <f>IFERROR(VLOOKUP(B295,MATERIALES!$A:$G,7,FALSE()),"")</f>
        <v>Piso radiante y calefacción</v>
      </c>
    </row>
    <row r="296" spans="1:10" x14ac:dyDescent="0.35">
      <c r="A296" s="222" t="str">
        <f t="shared" si="4"/>
        <v/>
      </c>
      <c r="B296" s="223" t="s">
        <v>1497</v>
      </c>
      <c r="C296" s="224" t="str">
        <f>IFERROR(VLOOKUP(B296,MATERIALES!$A:$B,2,FALSE()),IFERROR(INDEX(COMPOSICIÓN!$E$2:$E$1879,MATCH(B296,COMPOSICIÓN!$D$2:$D$1879,0)),""))</f>
        <v>Rosca con tuerca de 2 1/2</v>
      </c>
      <c r="D296" s="225" t="str">
        <f>IFERROR(VLOOKUP(B296,MATERIALES!$A:$C,3,FALSE()),IFERROR(INDEX(COMPOSICIÓN!$F$2:$F$1879,MATCH(B296,COMPOSICIÓN!$D$2:$D$1879,0)),""))</f>
        <v>u</v>
      </c>
      <c r="E296" s="161">
        <f>SUMIFS(_PLAN_STG!$P$2:$P$1879,_PLAN_STG!$D$2:$D$1879,B296,_PLAN_STG!$B$2:$B$1879,"MAT",_PLAN_STG!$O$2:$O$1879,1)</f>
        <v>0</v>
      </c>
      <c r="F296" s="162">
        <f>IFERROR(VLOOKUP(B296,MATERIALES!$A:$D,4,FALSE()),IFERROR(INDEX(COMPOSICIÓN!$I$2:$I$1879,MATCH(B296,COMPOSICIÓN!$D$2:$D$1879,0)),0))</f>
        <v>9333.2000000000007</v>
      </c>
      <c r="G296" s="163">
        <f>SUMIFS(_PLAN_STG!$Q$2:$Q$1879,_PLAN_STG!$D$2:$D$1879,B296,_PLAN_STG!$B$2:$B$1879,"MAT",_PLAN_STG!$O$2:$O$1879,1)</f>
        <v>0</v>
      </c>
      <c r="H296" s="225" t="str">
        <f>IFERROR(INDEX(COMPOSICIÓN!$C$2:$C$1879,MATCH(B296,COMPOSICIÓN!$D$2:$D$1879,0)),"")</f>
        <v>OTR</v>
      </c>
      <c r="I296" s="226">
        <f>SUMPRODUCT((_PLAN_STG!$D$2:$D$1879=B296)*(_PLAN_STG!$B$2:$B$1879="MAT")*(_PLAN_STG!$O$2:$O$1879=1)*(_PLAN_STG!$P$2:$P$1879&gt;0))</f>
        <v>0</v>
      </c>
      <c r="J296" s="224" t="str">
        <f>IFERROR(VLOOKUP(B296,MATERIALES!$A:$G,7,FALSE()),"")</f>
        <v>Piso radiante y calefacción</v>
      </c>
    </row>
    <row r="297" spans="1:10" x14ac:dyDescent="0.35">
      <c r="A297" s="222" t="str">
        <f t="shared" si="4"/>
        <v/>
      </c>
      <c r="B297" s="223" t="s">
        <v>1499</v>
      </c>
      <c r="C297" s="224" t="str">
        <f>IFERROR(VLOOKUP(B297,MATERIALES!$A:$B,2,FALSE()),IFERROR(INDEX(COMPOSICIÓN!$E$2:$E$1879,MATCH(B297,COMPOSICIÓN!$D$2:$D$1879,0)),""))</f>
        <v>Cupla HG 2 1/2</v>
      </c>
      <c r="D297" s="225" t="str">
        <f>IFERROR(VLOOKUP(B297,MATERIALES!$A:$C,3,FALSE()),IFERROR(INDEX(COMPOSICIÓN!$F$2:$F$1879,MATCH(B297,COMPOSICIÓN!$D$2:$D$1879,0)),""))</f>
        <v>u</v>
      </c>
      <c r="E297" s="161">
        <f>SUMIFS(_PLAN_STG!$P$2:$P$1879,_PLAN_STG!$D$2:$D$1879,B297,_PLAN_STG!$B$2:$B$1879,"MAT",_PLAN_STG!$O$2:$O$1879,1)</f>
        <v>0</v>
      </c>
      <c r="F297" s="162">
        <f>IFERROR(VLOOKUP(B297,MATERIALES!$A:$D,4,FALSE()),IFERROR(INDEX(COMPOSICIÓN!$I$2:$I$1879,MATCH(B297,COMPOSICIÓN!$D$2:$D$1879,0)),0))</f>
        <v>15339.5</v>
      </c>
      <c r="G297" s="163">
        <f>SUMIFS(_PLAN_STG!$Q$2:$Q$1879,_PLAN_STG!$D$2:$D$1879,B297,_PLAN_STG!$B$2:$B$1879,"MAT",_PLAN_STG!$O$2:$O$1879,1)</f>
        <v>0</v>
      </c>
      <c r="H297" s="225" t="str">
        <f>IFERROR(INDEX(COMPOSICIÓN!$C$2:$C$1879,MATCH(B297,COMPOSICIÓN!$D$2:$D$1879,0)),"")</f>
        <v>OTR</v>
      </c>
      <c r="I297" s="226">
        <f>SUMPRODUCT((_PLAN_STG!$D$2:$D$1879=B297)*(_PLAN_STG!$B$2:$B$1879="MAT")*(_PLAN_STG!$O$2:$O$1879=1)*(_PLAN_STG!$P$2:$P$1879&gt;0))</f>
        <v>0</v>
      </c>
      <c r="J297" s="224" t="str">
        <f>IFERROR(VLOOKUP(B297,MATERIALES!$A:$G,7,FALSE()),"")</f>
        <v>Piso radiante y calefacción</v>
      </c>
    </row>
    <row r="298" spans="1:10" x14ac:dyDescent="0.35">
      <c r="A298" s="222" t="str">
        <f t="shared" si="4"/>
        <v/>
      </c>
      <c r="B298" s="223" t="s">
        <v>1501</v>
      </c>
      <c r="C298" s="224" t="str">
        <f>IFERROR(VLOOKUP(B298,MATERIALES!$A:$B,2,FALSE()),IFERROR(INDEX(COMPOSICIÓN!$E$2:$E$1879,MATCH(B298,COMPOSICIÓN!$D$2:$D$1879,0)),""))</f>
        <v>Tee reduccion HG 2 1/2 x 2</v>
      </c>
      <c r="D298" s="225" t="str">
        <f>IFERROR(VLOOKUP(B298,MATERIALES!$A:$C,3,FALSE()),IFERROR(INDEX(COMPOSICIÓN!$F$2:$F$1879,MATCH(B298,COMPOSICIÓN!$D$2:$D$1879,0)),""))</f>
        <v>u</v>
      </c>
      <c r="E298" s="161">
        <f>SUMIFS(_PLAN_STG!$P$2:$P$1879,_PLAN_STG!$D$2:$D$1879,B298,_PLAN_STG!$B$2:$B$1879,"MAT",_PLAN_STG!$O$2:$O$1879,1)</f>
        <v>0</v>
      </c>
      <c r="F298" s="162">
        <f>IFERROR(VLOOKUP(B298,MATERIALES!$A:$D,4,FALSE()),IFERROR(INDEX(COMPOSICIÓN!$I$2:$I$1879,MATCH(B298,COMPOSICIÓN!$D$2:$D$1879,0)),0))</f>
        <v>21808.23</v>
      </c>
      <c r="G298" s="163">
        <f>SUMIFS(_PLAN_STG!$Q$2:$Q$1879,_PLAN_STG!$D$2:$D$1879,B298,_PLAN_STG!$B$2:$B$1879,"MAT",_PLAN_STG!$O$2:$O$1879,1)</f>
        <v>0</v>
      </c>
      <c r="H298" s="225" t="str">
        <f>IFERROR(INDEX(COMPOSICIÓN!$C$2:$C$1879,MATCH(B298,COMPOSICIÓN!$D$2:$D$1879,0)),"")</f>
        <v>OTR</v>
      </c>
      <c r="I298" s="226">
        <f>SUMPRODUCT((_PLAN_STG!$D$2:$D$1879=B298)*(_PLAN_STG!$B$2:$B$1879="MAT")*(_PLAN_STG!$O$2:$O$1879=1)*(_PLAN_STG!$P$2:$P$1879&gt;0))</f>
        <v>0</v>
      </c>
      <c r="J298" s="224" t="str">
        <f>IFERROR(VLOOKUP(B298,MATERIALES!$A:$G,7,FALSE()),"")</f>
        <v>Piso radiante y calefacción</v>
      </c>
    </row>
    <row r="299" spans="1:10" x14ac:dyDescent="0.35">
      <c r="A299" s="222" t="str">
        <f t="shared" si="4"/>
        <v/>
      </c>
      <c r="B299" s="223" t="s">
        <v>1503</v>
      </c>
      <c r="C299" s="224" t="str">
        <f>IFERROR(VLOOKUP(B299,MATERIALES!$A:$B,2,FALSE()),IFERROR(INDEX(COMPOSICIÓN!$E$2:$E$1879,MATCH(B299,COMPOSICIÓN!$D$2:$D$1879,0)),""))</f>
        <v>Valvula teatro 2 x 1 3/4</v>
      </c>
      <c r="D299" s="225" t="str">
        <f>IFERROR(VLOOKUP(B299,MATERIALES!$A:$C,3,FALSE()),IFERROR(INDEX(COMPOSICIÓN!$F$2:$F$1879,MATCH(B299,COMPOSICIÓN!$D$2:$D$1879,0)),""))</f>
        <v>u</v>
      </c>
      <c r="E299" s="161">
        <f>SUMIFS(_PLAN_STG!$P$2:$P$1879,_PLAN_STG!$D$2:$D$1879,B299,_PLAN_STG!$B$2:$B$1879,"MAT",_PLAN_STG!$O$2:$O$1879,1)</f>
        <v>0</v>
      </c>
      <c r="F299" s="162">
        <f>IFERROR(VLOOKUP(B299,MATERIALES!$A:$D,4,FALSE()),IFERROR(INDEX(COMPOSICIÓN!$I$2:$I$1879,MATCH(B299,COMPOSICIÓN!$D$2:$D$1879,0)),0))</f>
        <v>39120</v>
      </c>
      <c r="G299" s="163">
        <f>SUMIFS(_PLAN_STG!$Q$2:$Q$1879,_PLAN_STG!$D$2:$D$1879,B299,_PLAN_STG!$B$2:$B$1879,"MAT",_PLAN_STG!$O$2:$O$1879,1)</f>
        <v>0</v>
      </c>
      <c r="H299" s="225" t="str">
        <f>IFERROR(INDEX(COMPOSICIÓN!$C$2:$C$1879,MATCH(B299,COMPOSICIÓN!$D$2:$D$1879,0)),"")</f>
        <v>OTR</v>
      </c>
      <c r="I299" s="226">
        <f>SUMPRODUCT((_PLAN_STG!$D$2:$D$1879=B299)*(_PLAN_STG!$B$2:$B$1879="MAT")*(_PLAN_STG!$O$2:$O$1879=1)*(_PLAN_STG!$P$2:$P$1879&gt;0))</f>
        <v>0</v>
      </c>
      <c r="J299" s="224" t="str">
        <f>IFERROR(VLOOKUP(B299,MATERIALES!$A:$G,7,FALSE()),"")</f>
        <v>Piso radiante y calefacción</v>
      </c>
    </row>
    <row r="300" spans="1:10" x14ac:dyDescent="0.35">
      <c r="A300" s="222" t="str">
        <f t="shared" si="4"/>
        <v/>
      </c>
      <c r="B300" s="223" t="s">
        <v>1505</v>
      </c>
      <c r="C300" s="224" t="str">
        <f>IFERROR(VLOOKUP(B300,MATERIALES!$A:$B,2,FALSE()),IFERROR(INDEX(COMPOSICIÓN!$E$2:$E$1879,MATCH(B300,COMPOSICIÓN!$D$2:$D$1879,0)),""))</f>
        <v>Valvula de impulsion de 2 1/2</v>
      </c>
      <c r="D300" s="225" t="str">
        <f>IFERROR(VLOOKUP(B300,MATERIALES!$A:$C,3,FALSE()),IFERROR(INDEX(COMPOSICIÓN!$F$2:$F$1879,MATCH(B300,COMPOSICIÓN!$D$2:$D$1879,0)),""))</f>
        <v>u</v>
      </c>
      <c r="E300" s="161">
        <f>SUMIFS(_PLAN_STG!$P$2:$P$1879,_PLAN_STG!$D$2:$D$1879,B300,_PLAN_STG!$B$2:$B$1879,"MAT",_PLAN_STG!$O$2:$O$1879,1)</f>
        <v>0</v>
      </c>
      <c r="F300" s="162">
        <f>IFERROR(VLOOKUP(B300,MATERIALES!$A:$D,4,FALSE()),IFERROR(INDEX(COMPOSICIÓN!$I$2:$I$1879,MATCH(B300,COMPOSICIÓN!$D$2:$D$1879,0)),0))</f>
        <v>79361</v>
      </c>
      <c r="G300" s="163">
        <f>SUMIFS(_PLAN_STG!$Q$2:$Q$1879,_PLAN_STG!$D$2:$D$1879,B300,_PLAN_STG!$B$2:$B$1879,"MAT",_PLAN_STG!$O$2:$O$1879,1)</f>
        <v>0</v>
      </c>
      <c r="H300" s="225" t="str">
        <f>IFERROR(INDEX(COMPOSICIÓN!$C$2:$C$1879,MATCH(B300,COMPOSICIÓN!$D$2:$D$1879,0)),"")</f>
        <v>OTR</v>
      </c>
      <c r="I300" s="226">
        <f>SUMPRODUCT((_PLAN_STG!$D$2:$D$1879=B300)*(_PLAN_STG!$B$2:$B$1879="MAT")*(_PLAN_STG!$O$2:$O$1879=1)*(_PLAN_STG!$P$2:$P$1879&gt;0))</f>
        <v>0</v>
      </c>
      <c r="J300" s="224" t="str">
        <f>IFERROR(VLOOKUP(B300,MATERIALES!$A:$G,7,FALSE()),"")</f>
        <v>Piso radiante y calefacción</v>
      </c>
    </row>
    <row r="301" spans="1:10" x14ac:dyDescent="0.35">
      <c r="A301" s="222" t="str">
        <f t="shared" si="4"/>
        <v/>
      </c>
      <c r="B301" s="223" t="s">
        <v>1507</v>
      </c>
      <c r="C301" s="224" t="str">
        <f>IFERROR(VLOOKUP(B301,MATERIALES!$A:$B,2,FALSE()),IFERROR(INDEX(COMPOSICIÓN!$E$2:$E$1879,MATCH(B301,COMPOSICIÓN!$D$2:$D$1879,0)),""))</f>
        <v>VR 2 1/2 BR</v>
      </c>
      <c r="D301" s="225" t="str">
        <f>IFERROR(VLOOKUP(B301,MATERIALES!$A:$C,3,FALSE()),IFERROR(INDEX(COMPOSICIÓN!$F$2:$F$1879,MATCH(B301,COMPOSICIÓN!$D$2:$D$1879,0)),""))</f>
        <v>u</v>
      </c>
      <c r="E301" s="161">
        <f>SUMIFS(_PLAN_STG!$P$2:$P$1879,_PLAN_STG!$D$2:$D$1879,B301,_PLAN_STG!$B$2:$B$1879,"MAT",_PLAN_STG!$O$2:$O$1879,1)</f>
        <v>0</v>
      </c>
      <c r="F301" s="162">
        <f>IFERROR(VLOOKUP(B301,MATERIALES!$A:$D,4,FALSE()),IFERROR(INDEX(COMPOSICIÓN!$I$2:$I$1879,MATCH(B301,COMPOSICIÓN!$D$2:$D$1879,0)),0))</f>
        <v>79361</v>
      </c>
      <c r="G301" s="163">
        <f>SUMIFS(_PLAN_STG!$Q$2:$Q$1879,_PLAN_STG!$D$2:$D$1879,B301,_PLAN_STG!$B$2:$B$1879,"MAT",_PLAN_STG!$O$2:$O$1879,1)</f>
        <v>0</v>
      </c>
      <c r="H301" s="225" t="str">
        <f>IFERROR(INDEX(COMPOSICIÓN!$C$2:$C$1879,MATCH(B301,COMPOSICIÓN!$D$2:$D$1879,0)),"")</f>
        <v>OTR</v>
      </c>
      <c r="I301" s="226">
        <f>SUMPRODUCT((_PLAN_STG!$D$2:$D$1879=B301)*(_PLAN_STG!$B$2:$B$1879="MAT")*(_PLAN_STG!$O$2:$O$1879=1)*(_PLAN_STG!$P$2:$P$1879&gt;0))</f>
        <v>0</v>
      </c>
      <c r="J301" s="224" t="str">
        <f>IFERROR(VLOOKUP(B301,MATERIALES!$A:$G,7,FALSE()),"")</f>
        <v>Piso radiante y calefacción</v>
      </c>
    </row>
    <row r="302" spans="1:10" x14ac:dyDescent="0.35">
      <c r="A302" s="222" t="str">
        <f t="shared" si="4"/>
        <v/>
      </c>
      <c r="B302" s="223" t="s">
        <v>1509</v>
      </c>
      <c r="C302" s="224" t="str">
        <f>IFERROR(VLOOKUP(B302,MATERIALES!$A:$B,2,FALSE()),IFERROR(INDEX(COMPOSICIÓN!$E$2:$E$1879,MATCH(B302,COMPOSICIÓN!$D$2:$D$1879,0)),""))</f>
        <v>Llave de paso esférica de 20mm</v>
      </c>
      <c r="D302" s="225" t="str">
        <f>IFERROR(VLOOKUP(B302,MATERIALES!$A:$C,3,FALSE()),IFERROR(INDEX(COMPOSICIÓN!$F$2:$F$1879,MATCH(B302,COMPOSICIÓN!$D$2:$D$1879,0)),""))</f>
        <v>u</v>
      </c>
      <c r="E302" s="161">
        <f>SUMIFS(_PLAN_STG!$P$2:$P$1879,_PLAN_STG!$D$2:$D$1879,B302,_PLAN_STG!$B$2:$B$1879,"MAT",_PLAN_STG!$O$2:$O$1879,1)</f>
        <v>0</v>
      </c>
      <c r="F302" s="162">
        <f>IFERROR(VLOOKUP(B302,MATERIALES!$A:$D,4,FALSE()),IFERROR(INDEX(COMPOSICIÓN!$I$2:$I$1879,MATCH(B302,COMPOSICIÓN!$D$2:$D$1879,0)),0))</f>
        <v>18420.5</v>
      </c>
      <c r="G302" s="163">
        <f>SUMIFS(_PLAN_STG!$Q$2:$Q$1879,_PLAN_STG!$D$2:$D$1879,B302,_PLAN_STG!$B$2:$B$1879,"MAT",_PLAN_STG!$O$2:$O$1879,1)</f>
        <v>0</v>
      </c>
      <c r="H302" s="225" t="str">
        <f>IFERROR(INDEX(COMPOSICIÓN!$C$2:$C$1879,MATCH(B302,COMPOSICIÓN!$D$2:$D$1879,0)),"")</f>
        <v>OTR</v>
      </c>
      <c r="I302" s="226">
        <f>SUMPRODUCT((_PLAN_STG!$D$2:$D$1879=B302)*(_PLAN_STG!$B$2:$B$1879="MAT")*(_PLAN_STG!$O$2:$O$1879=1)*(_PLAN_STG!$P$2:$P$1879&gt;0))</f>
        <v>0</v>
      </c>
      <c r="J302" s="224" t="str">
        <f>IFERROR(VLOOKUP(B302,MATERIALES!$A:$G,7,FALSE()),"")</f>
        <v>Piso radiante y calefacción</v>
      </c>
    </row>
    <row r="303" spans="1:10" x14ac:dyDescent="0.35">
      <c r="A303" s="222" t="str">
        <f t="shared" si="4"/>
        <v/>
      </c>
      <c r="B303" s="223" t="s">
        <v>1511</v>
      </c>
      <c r="C303" s="224" t="str">
        <f>IFERROR(VLOOKUP(B303,MATERIALES!$A:$B,2,FALSE()),IFERROR(INDEX(COMPOSICIÓN!$E$2:$E$1879,MATCH(B303,COMPOSICIÓN!$D$2:$D$1879,0)),""))</f>
        <v>Llave de paso esférica de 32mm</v>
      </c>
      <c r="D303" s="225" t="str">
        <f>IFERROR(VLOOKUP(B303,MATERIALES!$A:$C,3,FALSE()),IFERROR(INDEX(COMPOSICIÓN!$F$2:$F$1879,MATCH(B303,COMPOSICIÓN!$D$2:$D$1879,0)),""))</f>
        <v>u</v>
      </c>
      <c r="E303" s="161">
        <f>SUMIFS(_PLAN_STG!$P$2:$P$1879,_PLAN_STG!$D$2:$D$1879,B303,_PLAN_STG!$B$2:$B$1879,"MAT",_PLAN_STG!$O$2:$O$1879,1)</f>
        <v>0</v>
      </c>
      <c r="F303" s="162">
        <f>IFERROR(VLOOKUP(B303,MATERIALES!$A:$D,4,FALSE()),IFERROR(INDEX(COMPOSICIÓN!$I$2:$I$1879,MATCH(B303,COMPOSICIÓN!$D$2:$D$1879,0)),0))</f>
        <v>40497.366000000002</v>
      </c>
      <c r="G303" s="163">
        <f>SUMIFS(_PLAN_STG!$Q$2:$Q$1879,_PLAN_STG!$D$2:$D$1879,B303,_PLAN_STG!$B$2:$B$1879,"MAT",_PLAN_STG!$O$2:$O$1879,1)</f>
        <v>0</v>
      </c>
      <c r="H303" s="225" t="str">
        <f>IFERROR(INDEX(COMPOSICIÓN!$C$2:$C$1879,MATCH(B303,COMPOSICIÓN!$D$2:$D$1879,0)),"")</f>
        <v>OTR</v>
      </c>
      <c r="I303" s="226">
        <f>SUMPRODUCT((_PLAN_STG!$D$2:$D$1879=B303)*(_PLAN_STG!$B$2:$B$1879="MAT")*(_PLAN_STG!$O$2:$O$1879=1)*(_PLAN_STG!$P$2:$P$1879&gt;0))</f>
        <v>0</v>
      </c>
      <c r="J303" s="224" t="str">
        <f>IFERROR(VLOOKUP(B303,MATERIALES!$A:$G,7,FALSE()),"")</f>
        <v>Piso radiante y calefacción</v>
      </c>
    </row>
    <row r="304" spans="1:10" x14ac:dyDescent="0.35">
      <c r="A304" s="222" t="str">
        <f t="shared" si="4"/>
        <v/>
      </c>
      <c r="B304" s="223" t="s">
        <v>1513</v>
      </c>
      <c r="C304" s="224" t="str">
        <f>IFERROR(VLOOKUP(B304,MATERIALES!$A:$B,2,FALSE()),IFERROR(INDEX(COMPOSICIÓN!$E$2:$E$1879,MATCH(B304,COMPOSICIÓN!$D$2:$D$1879,0)),""))</f>
        <v>Codo a 90° de 20mm</v>
      </c>
      <c r="D304" s="225" t="str">
        <f>IFERROR(VLOOKUP(B304,MATERIALES!$A:$C,3,FALSE()),IFERROR(INDEX(COMPOSICIÓN!$F$2:$F$1879,MATCH(B304,COMPOSICIÓN!$D$2:$D$1879,0)),""))</f>
        <v>u</v>
      </c>
      <c r="E304" s="161">
        <f>SUMIFS(_PLAN_STG!$P$2:$P$1879,_PLAN_STG!$D$2:$D$1879,B304,_PLAN_STG!$B$2:$B$1879,"MAT",_PLAN_STG!$O$2:$O$1879,1)</f>
        <v>0</v>
      </c>
      <c r="F304" s="162">
        <f>IFERROR(VLOOKUP(B304,MATERIALES!$A:$D,4,FALSE()),IFERROR(INDEX(COMPOSICIÓN!$I$2:$I$1879,MATCH(B304,COMPOSICIÓN!$D$2:$D$1879,0)),0))</f>
        <v>2140.61</v>
      </c>
      <c r="G304" s="163">
        <f>SUMIFS(_PLAN_STG!$Q$2:$Q$1879,_PLAN_STG!$D$2:$D$1879,B304,_PLAN_STG!$B$2:$B$1879,"MAT",_PLAN_STG!$O$2:$O$1879,1)</f>
        <v>0</v>
      </c>
      <c r="H304" s="225" t="str">
        <f>IFERROR(INDEX(COMPOSICIÓN!$C$2:$C$1879,MATCH(B304,COMPOSICIÓN!$D$2:$D$1879,0)),"")</f>
        <v>OTR</v>
      </c>
      <c r="I304" s="226">
        <f>SUMPRODUCT((_PLAN_STG!$D$2:$D$1879=B304)*(_PLAN_STG!$B$2:$B$1879="MAT")*(_PLAN_STG!$O$2:$O$1879=1)*(_PLAN_STG!$P$2:$P$1879&gt;0))</f>
        <v>0</v>
      </c>
      <c r="J304" s="224" t="str">
        <f>IFERROR(VLOOKUP(B304,MATERIALES!$A:$G,7,FALSE()),"")</f>
        <v>Piso radiante y calefacción</v>
      </c>
    </row>
    <row r="305" spans="1:10" x14ac:dyDescent="0.35">
      <c r="A305" s="222" t="str">
        <f t="shared" si="4"/>
        <v/>
      </c>
      <c r="B305" s="223" t="s">
        <v>1515</v>
      </c>
      <c r="C305" s="224" t="str">
        <f>IFERROR(VLOOKUP(B305,MATERIALES!$A:$B,2,FALSE()),IFERROR(INDEX(COMPOSICIÓN!$E$2:$E$1879,MATCH(B305,COMPOSICIÓN!$D$2:$D$1879,0)),""))</f>
        <v>Codo a 90° de 32mm</v>
      </c>
      <c r="D305" s="225" t="str">
        <f>IFERROR(VLOOKUP(B305,MATERIALES!$A:$C,3,FALSE()),IFERROR(INDEX(COMPOSICIÓN!$F$2:$F$1879,MATCH(B305,COMPOSICIÓN!$D$2:$D$1879,0)),""))</f>
        <v>u</v>
      </c>
      <c r="E305" s="161">
        <f>SUMIFS(_PLAN_STG!$P$2:$P$1879,_PLAN_STG!$D$2:$D$1879,B305,_PLAN_STG!$B$2:$B$1879,"MAT",_PLAN_STG!$O$2:$O$1879,1)</f>
        <v>0</v>
      </c>
      <c r="F305" s="162">
        <f>IFERROR(VLOOKUP(B305,MATERIALES!$A:$D,4,FALSE()),IFERROR(INDEX(COMPOSICIÓN!$I$2:$I$1879,MATCH(B305,COMPOSICIÓN!$D$2:$D$1879,0)),0))</f>
        <v>3659.23</v>
      </c>
      <c r="G305" s="163">
        <f>SUMIFS(_PLAN_STG!$Q$2:$Q$1879,_PLAN_STG!$D$2:$D$1879,B305,_PLAN_STG!$B$2:$B$1879,"MAT",_PLAN_STG!$O$2:$O$1879,1)</f>
        <v>0</v>
      </c>
      <c r="H305" s="225" t="str">
        <f>IFERROR(INDEX(COMPOSICIÓN!$C$2:$C$1879,MATCH(B305,COMPOSICIÓN!$D$2:$D$1879,0)),"")</f>
        <v>OTR</v>
      </c>
      <c r="I305" s="226">
        <f>SUMPRODUCT((_PLAN_STG!$D$2:$D$1879=B305)*(_PLAN_STG!$B$2:$B$1879="MAT")*(_PLAN_STG!$O$2:$O$1879=1)*(_PLAN_STG!$P$2:$P$1879&gt;0))</f>
        <v>0</v>
      </c>
      <c r="J305" s="224" t="str">
        <f>IFERROR(VLOOKUP(B305,MATERIALES!$A:$G,7,FALSE()),"")</f>
        <v>Piso radiante y calefacción</v>
      </c>
    </row>
    <row r="306" spans="1:10" x14ac:dyDescent="0.35">
      <c r="A306" s="222" t="str">
        <f t="shared" si="4"/>
        <v/>
      </c>
      <c r="B306" s="223" t="s">
        <v>1517</v>
      </c>
      <c r="C306" s="224" t="str">
        <f>IFERROR(VLOOKUP(B306,MATERIALES!$A:$B,2,FALSE()),IFERROR(INDEX(COMPOSICIÓN!$E$2:$E$1879,MATCH(B306,COMPOSICIÓN!$D$2:$D$1879,0)),""))</f>
        <v>Cupla de reduccion de 32x20mm</v>
      </c>
      <c r="D306" s="225" t="str">
        <f>IFERROR(VLOOKUP(B306,MATERIALES!$A:$C,3,FALSE()),IFERROR(INDEX(COMPOSICIÓN!$F$2:$F$1879,MATCH(B306,COMPOSICIÓN!$D$2:$D$1879,0)),""))</f>
        <v>u</v>
      </c>
      <c r="E306" s="161">
        <f>SUMIFS(_PLAN_STG!$P$2:$P$1879,_PLAN_STG!$D$2:$D$1879,B306,_PLAN_STG!$B$2:$B$1879,"MAT",_PLAN_STG!$O$2:$O$1879,1)</f>
        <v>0</v>
      </c>
      <c r="F306" s="162">
        <f>IFERROR(VLOOKUP(B306,MATERIALES!$A:$D,4,FALSE()),IFERROR(INDEX(COMPOSICIÓN!$I$2:$I$1879,MATCH(B306,COMPOSICIÓN!$D$2:$D$1879,0)),0))</f>
        <v>1826.31</v>
      </c>
      <c r="G306" s="163">
        <f>SUMIFS(_PLAN_STG!$Q$2:$Q$1879,_PLAN_STG!$D$2:$D$1879,B306,_PLAN_STG!$B$2:$B$1879,"MAT",_PLAN_STG!$O$2:$O$1879,1)</f>
        <v>0</v>
      </c>
      <c r="H306" s="225" t="str">
        <f>IFERROR(INDEX(COMPOSICIÓN!$C$2:$C$1879,MATCH(B306,COMPOSICIÓN!$D$2:$D$1879,0)),"")</f>
        <v>OTR</v>
      </c>
      <c r="I306" s="226">
        <f>SUMPRODUCT((_PLAN_STG!$D$2:$D$1879=B306)*(_PLAN_STG!$B$2:$B$1879="MAT")*(_PLAN_STG!$O$2:$O$1879=1)*(_PLAN_STG!$P$2:$P$1879&gt;0))</f>
        <v>0</v>
      </c>
      <c r="J306" s="224" t="str">
        <f>IFERROR(VLOOKUP(B306,MATERIALES!$A:$G,7,FALSE()),"")</f>
        <v>Piso radiante y calefacción</v>
      </c>
    </row>
    <row r="307" spans="1:10" x14ac:dyDescent="0.35">
      <c r="A307" s="222" t="str">
        <f t="shared" si="4"/>
        <v/>
      </c>
      <c r="B307" s="223" t="s">
        <v>1519</v>
      </c>
      <c r="C307" s="224" t="str">
        <f>IFERROR(VLOOKUP(B307,MATERIALES!$A:$B,2,FALSE()),IFERROR(INDEX(COMPOSICIÓN!$E$2:$E$1879,MATCH(B307,COMPOSICIÓN!$D$2:$D$1879,0)),""))</f>
        <v>Niple corto con tope 32mm</v>
      </c>
      <c r="D307" s="225" t="str">
        <f>IFERROR(VLOOKUP(B307,MATERIALES!$A:$C,3,FALSE()),IFERROR(INDEX(COMPOSICIÓN!$F$2:$F$1879,MATCH(B307,COMPOSICIÓN!$D$2:$D$1879,0)),""))</f>
        <v>u</v>
      </c>
      <c r="E307" s="161">
        <f>SUMIFS(_PLAN_STG!$P$2:$P$1879,_PLAN_STG!$D$2:$D$1879,B307,_PLAN_STG!$B$2:$B$1879,"MAT",_PLAN_STG!$O$2:$O$1879,1)</f>
        <v>0</v>
      </c>
      <c r="F307" s="162">
        <f>IFERROR(VLOOKUP(B307,MATERIALES!$A:$D,4,FALSE()),IFERROR(INDEX(COMPOSICIÓN!$I$2:$I$1879,MATCH(B307,COMPOSICIÓN!$D$2:$D$1879,0)),0))</f>
        <v>1291.29</v>
      </c>
      <c r="G307" s="163">
        <f>SUMIFS(_PLAN_STG!$Q$2:$Q$1879,_PLAN_STG!$D$2:$D$1879,B307,_PLAN_STG!$B$2:$B$1879,"MAT",_PLAN_STG!$O$2:$O$1879,1)</f>
        <v>0</v>
      </c>
      <c r="H307" s="225" t="str">
        <f>IFERROR(INDEX(COMPOSICIÓN!$C$2:$C$1879,MATCH(B307,COMPOSICIÓN!$D$2:$D$1879,0)),"")</f>
        <v>OTR</v>
      </c>
      <c r="I307" s="226">
        <f>SUMPRODUCT((_PLAN_STG!$D$2:$D$1879=B307)*(_PLAN_STG!$B$2:$B$1879="MAT")*(_PLAN_STG!$O$2:$O$1879=1)*(_PLAN_STG!$P$2:$P$1879&gt;0))</f>
        <v>0</v>
      </c>
      <c r="J307" s="224" t="str">
        <f>IFERROR(VLOOKUP(B307,MATERIALES!$A:$G,7,FALSE()),"")</f>
        <v>Piso radiante y calefacción</v>
      </c>
    </row>
    <row r="308" spans="1:10" x14ac:dyDescent="0.35">
      <c r="A308" s="222" t="str">
        <f t="shared" si="4"/>
        <v/>
      </c>
      <c r="B308" s="223" t="s">
        <v>1521</v>
      </c>
      <c r="C308" s="224" t="str">
        <f>IFERROR(VLOOKUP(B308,MATERIALES!$A:$B,2,FALSE()),IFERROR(INDEX(COMPOSICIÓN!$E$2:$E$1879,MATCH(B308,COMPOSICIÓN!$D$2:$D$1879,0)),""))</f>
        <v>Te de reduccion central de 32x20mm</v>
      </c>
      <c r="D308" s="225" t="str">
        <f>IFERROR(VLOOKUP(B308,MATERIALES!$A:$C,3,FALSE()),IFERROR(INDEX(COMPOSICIÓN!$F$2:$F$1879,MATCH(B308,COMPOSICIÓN!$D$2:$D$1879,0)),""))</f>
        <v>u</v>
      </c>
      <c r="E308" s="161">
        <f>SUMIFS(_PLAN_STG!$P$2:$P$1879,_PLAN_STG!$D$2:$D$1879,B308,_PLAN_STG!$B$2:$B$1879,"MAT",_PLAN_STG!$O$2:$O$1879,1)</f>
        <v>0</v>
      </c>
      <c r="F308" s="162">
        <f>IFERROR(VLOOKUP(B308,MATERIALES!$A:$D,4,FALSE()),IFERROR(INDEX(COMPOSICIÓN!$I$2:$I$1879,MATCH(B308,COMPOSICIÓN!$D$2:$D$1879,0)),0))</f>
        <v>4980.91</v>
      </c>
      <c r="G308" s="163">
        <f>SUMIFS(_PLAN_STG!$Q$2:$Q$1879,_PLAN_STG!$D$2:$D$1879,B308,_PLAN_STG!$B$2:$B$1879,"MAT",_PLAN_STG!$O$2:$O$1879,1)</f>
        <v>0</v>
      </c>
      <c r="H308" s="225" t="str">
        <f>IFERROR(INDEX(COMPOSICIÓN!$C$2:$C$1879,MATCH(B308,COMPOSICIÓN!$D$2:$D$1879,0)),"")</f>
        <v>OTR</v>
      </c>
      <c r="I308" s="226">
        <f>SUMPRODUCT((_PLAN_STG!$D$2:$D$1879=B308)*(_PLAN_STG!$B$2:$B$1879="MAT")*(_PLAN_STG!$O$2:$O$1879=1)*(_PLAN_STG!$P$2:$P$1879&gt;0))</f>
        <v>0</v>
      </c>
      <c r="J308" s="224" t="str">
        <f>IFERROR(VLOOKUP(B308,MATERIALES!$A:$G,7,FALSE()),"")</f>
        <v>Piso radiante y calefacción</v>
      </c>
    </row>
    <row r="309" spans="1:10" x14ac:dyDescent="0.35">
      <c r="A309" s="222" t="str">
        <f t="shared" si="4"/>
        <v/>
      </c>
      <c r="B309" s="223" t="s">
        <v>1523</v>
      </c>
      <c r="C309" s="224" t="str">
        <f>IFERROR(VLOOKUP(B309,MATERIALES!$A:$B,2,FALSE()),IFERROR(INDEX(COMPOSICIÓN!$E$2:$E$1879,MATCH(B309,COMPOSICIÓN!$D$2:$D$1879,0)),""))</f>
        <v>Te normal de 32mm</v>
      </c>
      <c r="D309" s="225" t="str">
        <f>IFERROR(VLOOKUP(B309,MATERIALES!$A:$C,3,FALSE()),IFERROR(INDEX(COMPOSICIÓN!$F$2:$F$1879,MATCH(B309,COMPOSICIÓN!$D$2:$D$1879,0)),""))</f>
        <v>u</v>
      </c>
      <c r="E309" s="161">
        <f>SUMIFS(_PLAN_STG!$P$2:$P$1879,_PLAN_STG!$D$2:$D$1879,B309,_PLAN_STG!$B$2:$B$1879,"MAT",_PLAN_STG!$O$2:$O$1879,1)</f>
        <v>0</v>
      </c>
      <c r="F309" s="162">
        <f>IFERROR(VLOOKUP(B309,MATERIALES!$A:$D,4,FALSE()),IFERROR(INDEX(COMPOSICIÓN!$I$2:$I$1879,MATCH(B309,COMPOSICIÓN!$D$2:$D$1879,0)),0))</f>
        <v>5575.48</v>
      </c>
      <c r="G309" s="163">
        <f>SUMIFS(_PLAN_STG!$Q$2:$Q$1879,_PLAN_STG!$D$2:$D$1879,B309,_PLAN_STG!$B$2:$B$1879,"MAT",_PLAN_STG!$O$2:$O$1879,1)</f>
        <v>0</v>
      </c>
      <c r="H309" s="225" t="str">
        <f>IFERROR(INDEX(COMPOSICIÓN!$C$2:$C$1879,MATCH(B309,COMPOSICIÓN!$D$2:$D$1879,0)),"")</f>
        <v>OTR</v>
      </c>
      <c r="I309" s="226">
        <f>SUMPRODUCT((_PLAN_STG!$D$2:$D$1879=B309)*(_PLAN_STG!$B$2:$B$1879="MAT")*(_PLAN_STG!$O$2:$O$1879=1)*(_PLAN_STG!$P$2:$P$1879&gt;0))</f>
        <v>0</v>
      </c>
      <c r="J309" s="224" t="str">
        <f>IFERROR(VLOOKUP(B309,MATERIALES!$A:$G,7,FALSE()),"")</f>
        <v>Piso radiante y calefacción</v>
      </c>
    </row>
    <row r="310" spans="1:10" x14ac:dyDescent="0.35">
      <c r="A310" s="222" t="str">
        <f t="shared" si="4"/>
        <v/>
      </c>
      <c r="B310" s="223" t="s">
        <v>1525</v>
      </c>
      <c r="C310" s="224" t="str">
        <f>IFERROR(VLOOKUP(B310,MATERIALES!$A:$B,2,FALSE()),IFERROR(INDEX(COMPOSICIÓN!$E$2:$E$1879,MATCH(B310,COMPOSICIÓN!$D$2:$D$1879,0)),""))</f>
        <v>Tubo acero polietileno de 20mm L=4m</v>
      </c>
      <c r="D310" s="225" t="str">
        <f>IFERROR(VLOOKUP(B310,MATERIALES!$A:$C,3,FALSE()),IFERROR(INDEX(COMPOSICIÓN!$F$2:$F$1879,MATCH(B310,COMPOSICIÓN!$D$2:$D$1879,0)),""))</f>
        <v>u</v>
      </c>
      <c r="E310" s="161">
        <f>SUMIFS(_PLAN_STG!$P$2:$P$1879,_PLAN_STG!$D$2:$D$1879,B310,_PLAN_STG!$B$2:$B$1879,"MAT",_PLAN_STG!$O$2:$O$1879,1)</f>
        <v>0</v>
      </c>
      <c r="F310" s="162">
        <f>IFERROR(VLOOKUP(B310,MATERIALES!$A:$D,4,FALSE()),IFERROR(INDEX(COMPOSICIÓN!$I$2:$I$1879,MATCH(B310,COMPOSICIÓN!$D$2:$D$1879,0)),0))</f>
        <v>18516.939999999999</v>
      </c>
      <c r="G310" s="163">
        <f>SUMIFS(_PLAN_STG!$Q$2:$Q$1879,_PLAN_STG!$D$2:$D$1879,B310,_PLAN_STG!$B$2:$B$1879,"MAT",_PLAN_STG!$O$2:$O$1879,1)</f>
        <v>0</v>
      </c>
      <c r="H310" s="225" t="str">
        <f>IFERROR(INDEX(COMPOSICIÓN!$C$2:$C$1879,MATCH(B310,COMPOSICIÓN!$D$2:$D$1879,0)),"")</f>
        <v>OTR</v>
      </c>
      <c r="I310" s="226">
        <f>SUMPRODUCT((_PLAN_STG!$D$2:$D$1879=B310)*(_PLAN_STG!$B$2:$B$1879="MAT")*(_PLAN_STG!$O$2:$O$1879=1)*(_PLAN_STG!$P$2:$P$1879&gt;0))</f>
        <v>0</v>
      </c>
      <c r="J310" s="224" t="str">
        <f>IFERROR(VLOOKUP(B310,MATERIALES!$A:$G,7,FALSE()),"")</f>
        <v>Piso radiante y calefacción</v>
      </c>
    </row>
    <row r="311" spans="1:10" x14ac:dyDescent="0.35">
      <c r="A311" s="222" t="str">
        <f t="shared" si="4"/>
        <v/>
      </c>
      <c r="B311" s="223" t="s">
        <v>1527</v>
      </c>
      <c r="C311" s="224" t="str">
        <f>IFERROR(VLOOKUP(B311,MATERIALES!$A:$B,2,FALSE()),IFERROR(INDEX(COMPOSICIÓN!$E$2:$E$1879,MATCH(B311,COMPOSICIÓN!$D$2:$D$1879,0)),""))</f>
        <v>Tubo acero polietileno de 32mm L=4m</v>
      </c>
      <c r="D311" s="225" t="str">
        <f>IFERROR(VLOOKUP(B311,MATERIALES!$A:$C,3,FALSE()),IFERROR(INDEX(COMPOSICIÓN!$F$2:$F$1879,MATCH(B311,COMPOSICIÓN!$D$2:$D$1879,0)),""))</f>
        <v>u</v>
      </c>
      <c r="E311" s="161">
        <f>SUMIFS(_PLAN_STG!$P$2:$P$1879,_PLAN_STG!$D$2:$D$1879,B311,_PLAN_STG!$B$2:$B$1879,"MAT",_PLAN_STG!$O$2:$O$1879,1)</f>
        <v>0</v>
      </c>
      <c r="F311" s="162">
        <f>IFERROR(VLOOKUP(B311,MATERIALES!$A:$D,4,FALSE()),IFERROR(INDEX(COMPOSICIÓN!$I$2:$I$1879,MATCH(B311,COMPOSICIÓN!$D$2:$D$1879,0)),0))</f>
        <v>36584.29</v>
      </c>
      <c r="G311" s="163">
        <f>SUMIFS(_PLAN_STG!$Q$2:$Q$1879,_PLAN_STG!$D$2:$D$1879,B311,_PLAN_STG!$B$2:$B$1879,"MAT",_PLAN_STG!$O$2:$O$1879,1)</f>
        <v>0</v>
      </c>
      <c r="H311" s="225" t="str">
        <f>IFERROR(INDEX(COMPOSICIÓN!$C$2:$C$1879,MATCH(B311,COMPOSICIÓN!$D$2:$D$1879,0)),"")</f>
        <v>OTR</v>
      </c>
      <c r="I311" s="226">
        <f>SUMPRODUCT((_PLAN_STG!$D$2:$D$1879=B311)*(_PLAN_STG!$B$2:$B$1879="MAT")*(_PLAN_STG!$O$2:$O$1879=1)*(_PLAN_STG!$P$2:$P$1879&gt;0))</f>
        <v>0</v>
      </c>
      <c r="J311" s="224" t="str">
        <f>IFERROR(VLOOKUP(B311,MATERIALES!$A:$G,7,FALSE()),"")</f>
        <v>Piso radiante y calefacción</v>
      </c>
    </row>
    <row r="312" spans="1:10" x14ac:dyDescent="0.35">
      <c r="A312" s="222" t="str">
        <f t="shared" si="4"/>
        <v/>
      </c>
      <c r="B312" s="223" t="s">
        <v>1529</v>
      </c>
      <c r="C312" s="224" t="str">
        <f>IFERROR(VLOOKUP(B312,MATERIALES!$A:$B,2,FALSE()),IFERROR(INDEX(COMPOSICIÓN!$E$2:$E$1879,MATCH(B312,COMPOSICIÓN!$D$2:$D$1879,0)),""))</f>
        <v>Codo a 90° de 20mm c/RH 1/2"</v>
      </c>
      <c r="D312" s="225" t="str">
        <f>IFERROR(VLOOKUP(B312,MATERIALES!$A:$C,3,FALSE()),IFERROR(INDEX(COMPOSICIÓN!$F$2:$F$1879,MATCH(B312,COMPOSICIÓN!$D$2:$D$1879,0)),""))</f>
        <v>u</v>
      </c>
      <c r="E312" s="161">
        <f>SUMIFS(_PLAN_STG!$P$2:$P$1879,_PLAN_STG!$D$2:$D$1879,B312,_PLAN_STG!$B$2:$B$1879,"MAT",_PLAN_STG!$O$2:$O$1879,1)</f>
        <v>0</v>
      </c>
      <c r="F312" s="162">
        <f>IFERROR(VLOOKUP(B312,MATERIALES!$A:$D,4,FALSE()),IFERROR(INDEX(COMPOSICIÓN!$I$2:$I$1879,MATCH(B312,COMPOSICIÓN!$D$2:$D$1879,0)),0))</f>
        <v>4181</v>
      </c>
      <c r="G312" s="163">
        <f>SUMIFS(_PLAN_STG!$Q$2:$Q$1879,_PLAN_STG!$D$2:$D$1879,B312,_PLAN_STG!$B$2:$B$1879,"MAT",_PLAN_STG!$O$2:$O$1879,1)</f>
        <v>0</v>
      </c>
      <c r="H312" s="225" t="str">
        <f>IFERROR(INDEX(COMPOSICIÓN!$C$2:$C$1879,MATCH(B312,COMPOSICIÓN!$D$2:$D$1879,0)),"")</f>
        <v>OTR</v>
      </c>
      <c r="I312" s="226">
        <f>SUMPRODUCT((_PLAN_STG!$D$2:$D$1879=B312)*(_PLAN_STG!$B$2:$B$1879="MAT")*(_PLAN_STG!$O$2:$O$1879=1)*(_PLAN_STG!$P$2:$P$1879&gt;0))</f>
        <v>0</v>
      </c>
      <c r="J312" s="224" t="str">
        <f>IFERROR(VLOOKUP(B312,MATERIALES!$A:$G,7,FALSE()),"")</f>
        <v>Piso radiante y calefacción</v>
      </c>
    </row>
    <row r="313" spans="1:10" x14ac:dyDescent="0.35">
      <c r="A313" s="222" t="str">
        <f t="shared" si="4"/>
        <v/>
      </c>
      <c r="B313" s="223" t="s">
        <v>1531</v>
      </c>
      <c r="C313" s="224" t="str">
        <f>IFERROR(VLOOKUP(B313,MATERIALES!$A:$B,2,FALSE()),IFERROR(INDEX(COMPOSICIÓN!$E$2:$E$1879,MATCH(B313,COMPOSICIÓN!$D$2:$D$1879,0)),""))</f>
        <v>Codo a 90° de 32mm c/RH 3/4"</v>
      </c>
      <c r="D313" s="225" t="str">
        <f>IFERROR(VLOOKUP(B313,MATERIALES!$A:$C,3,FALSE()),IFERROR(INDEX(COMPOSICIÓN!$F$2:$F$1879,MATCH(B313,COMPOSICIÓN!$D$2:$D$1879,0)),""))</f>
        <v>u</v>
      </c>
      <c r="E313" s="161">
        <f>SUMIFS(_PLAN_STG!$P$2:$P$1879,_PLAN_STG!$D$2:$D$1879,B313,_PLAN_STG!$B$2:$B$1879,"MAT",_PLAN_STG!$O$2:$O$1879,1)</f>
        <v>0</v>
      </c>
      <c r="F313" s="162">
        <f>IFERROR(VLOOKUP(B313,MATERIALES!$A:$D,4,FALSE()),IFERROR(INDEX(COMPOSICIÓN!$I$2:$I$1879,MATCH(B313,COMPOSICIÓN!$D$2:$D$1879,0)),0))</f>
        <v>8559</v>
      </c>
      <c r="G313" s="163">
        <f>SUMIFS(_PLAN_STG!$Q$2:$Q$1879,_PLAN_STG!$D$2:$D$1879,B313,_PLAN_STG!$B$2:$B$1879,"MAT",_PLAN_STG!$O$2:$O$1879,1)</f>
        <v>0</v>
      </c>
      <c r="H313" s="225" t="str">
        <f>IFERROR(INDEX(COMPOSICIÓN!$C$2:$C$1879,MATCH(B313,COMPOSICIÓN!$D$2:$D$1879,0)),"")</f>
        <v>OTR</v>
      </c>
      <c r="I313" s="226">
        <f>SUMPRODUCT((_PLAN_STG!$D$2:$D$1879=B313)*(_PLAN_STG!$B$2:$B$1879="MAT")*(_PLAN_STG!$O$2:$O$1879=1)*(_PLAN_STG!$P$2:$P$1879&gt;0))</f>
        <v>0</v>
      </c>
      <c r="J313" s="224" t="str">
        <f>IFERROR(VLOOKUP(B313,MATERIALES!$A:$G,7,FALSE()),"")</f>
        <v>Piso radiante y calefacción</v>
      </c>
    </row>
    <row r="314" spans="1:10" x14ac:dyDescent="0.35">
      <c r="A314" s="222" t="str">
        <f t="shared" si="4"/>
        <v/>
      </c>
      <c r="B314" s="223" t="s">
        <v>1533</v>
      </c>
      <c r="C314" s="224" t="str">
        <f>IFERROR(VLOOKUP(B314,MATERIALES!$A:$B,2,FALSE()),IFERROR(INDEX(COMPOSICIÓN!$E$2:$E$1879,MATCH(B314,COMPOSICIÓN!$D$2:$D$1879,0)),""))</f>
        <v>CAÑO EPOXI 1 1/4 x 6,40</v>
      </c>
      <c r="D314" s="225" t="str">
        <f>IFERROR(VLOOKUP(B314,MATERIALES!$A:$C,3,FALSE()),IFERROR(INDEX(COMPOSICIÓN!$F$2:$F$1879,MATCH(B314,COMPOSICIÓN!$D$2:$D$1879,0)),""))</f>
        <v>tira</v>
      </c>
      <c r="E314" s="161">
        <f>SUMIFS(_PLAN_STG!$P$2:$P$1879,_PLAN_STG!$D$2:$D$1879,B314,_PLAN_STG!$B$2:$B$1879,"MAT",_PLAN_STG!$O$2:$O$1879,1)</f>
        <v>0</v>
      </c>
      <c r="F314" s="162">
        <f>IFERROR(VLOOKUP(B314,MATERIALES!$A:$D,4,FALSE()),IFERROR(INDEX(COMPOSICIÓN!$I$2:$I$1879,MATCH(B314,COMPOSICIÓN!$D$2:$D$1879,0)),0))</f>
        <v>79820.73</v>
      </c>
      <c r="G314" s="163">
        <f>SUMIFS(_PLAN_STG!$Q$2:$Q$1879,_PLAN_STG!$D$2:$D$1879,B314,_PLAN_STG!$B$2:$B$1879,"MAT",_PLAN_STG!$O$2:$O$1879,1)</f>
        <v>0</v>
      </c>
      <c r="H314" s="225" t="str">
        <f>IFERROR(INDEX(COMPOSICIÓN!$C$2:$C$1879,MATCH(B314,COMPOSICIÓN!$D$2:$D$1879,0)),"")</f>
        <v>OTR</v>
      </c>
      <c r="I314" s="226">
        <f>SUMPRODUCT((_PLAN_STG!$D$2:$D$1879=B314)*(_PLAN_STG!$B$2:$B$1879="MAT")*(_PLAN_STG!$O$2:$O$1879=1)*(_PLAN_STG!$P$2:$P$1879&gt;0))</f>
        <v>0</v>
      </c>
      <c r="J314" s="224" t="str">
        <f>IFERROR(VLOOKUP(B314,MATERIALES!$A:$G,7,FALSE()),"")</f>
        <v>Gas</v>
      </c>
    </row>
    <row r="315" spans="1:10" x14ac:dyDescent="0.35">
      <c r="A315" s="222" t="str">
        <f t="shared" si="4"/>
        <v/>
      </c>
      <c r="B315" s="223" t="s">
        <v>1535</v>
      </c>
      <c r="C315" s="224" t="str">
        <f>IFERROR(VLOOKUP(B315,MATERIALES!$A:$B,2,FALSE()),IFERROR(INDEX(COMPOSICIÓN!$E$2:$E$1879,MATCH(B315,COMPOSICIÓN!$D$2:$D$1879,0)),""))</f>
        <v>EPOXI TEE 1 1/4</v>
      </c>
      <c r="D315" s="225" t="str">
        <f>IFERROR(VLOOKUP(B315,MATERIALES!$A:$C,3,FALSE()),IFERROR(INDEX(COMPOSICIÓN!$F$2:$F$1879,MATCH(B315,COMPOSICIÓN!$D$2:$D$1879,0)),""))</f>
        <v>u</v>
      </c>
      <c r="E315" s="161">
        <f>SUMIFS(_PLAN_STG!$P$2:$P$1879,_PLAN_STG!$D$2:$D$1879,B315,_PLAN_STG!$B$2:$B$1879,"MAT",_PLAN_STG!$O$2:$O$1879,1)</f>
        <v>0</v>
      </c>
      <c r="F315" s="162">
        <f>IFERROR(VLOOKUP(B315,MATERIALES!$A:$D,4,FALSE()),IFERROR(INDEX(COMPOSICIÓN!$I$2:$I$1879,MATCH(B315,COMPOSICIÓN!$D$2:$D$1879,0)),0))</f>
        <v>5026.22</v>
      </c>
      <c r="G315" s="163">
        <f>SUMIFS(_PLAN_STG!$Q$2:$Q$1879,_PLAN_STG!$D$2:$D$1879,B315,_PLAN_STG!$B$2:$B$1879,"MAT",_PLAN_STG!$O$2:$O$1879,1)</f>
        <v>0</v>
      </c>
      <c r="H315" s="225" t="str">
        <f>IFERROR(INDEX(COMPOSICIÓN!$C$2:$C$1879,MATCH(B315,COMPOSICIÓN!$D$2:$D$1879,0)),"")</f>
        <v>OTR</v>
      </c>
      <c r="I315" s="226">
        <f>SUMPRODUCT((_PLAN_STG!$D$2:$D$1879=B315)*(_PLAN_STG!$B$2:$B$1879="MAT")*(_PLAN_STG!$O$2:$O$1879=1)*(_PLAN_STG!$P$2:$P$1879&gt;0))</f>
        <v>0</v>
      </c>
      <c r="J315" s="224" t="str">
        <f>IFERROR(VLOOKUP(B315,MATERIALES!$A:$G,7,FALSE()),"")</f>
        <v>Gas</v>
      </c>
    </row>
    <row r="316" spans="1:10" x14ac:dyDescent="0.35">
      <c r="A316" s="222" t="str">
        <f t="shared" si="4"/>
        <v/>
      </c>
      <c r="B316" s="223" t="s">
        <v>1537</v>
      </c>
      <c r="C316" s="224" t="str">
        <f>IFERROR(VLOOKUP(B316,MATERIALES!$A:$B,2,FALSE()),IFERROR(INDEX(COMPOSICIÓN!$E$2:$E$1879,MATCH(B316,COMPOSICIÓN!$D$2:$D$1879,0)),""))</f>
        <v>EPOXI CODO 90 HH 1 1/4</v>
      </c>
      <c r="D316" s="225" t="str">
        <f>IFERROR(VLOOKUP(B316,MATERIALES!$A:$C,3,FALSE()),IFERROR(INDEX(COMPOSICIÓN!$F$2:$F$1879,MATCH(B316,COMPOSICIÓN!$D$2:$D$1879,0)),""))</f>
        <v>u</v>
      </c>
      <c r="E316" s="161">
        <f>SUMIFS(_PLAN_STG!$P$2:$P$1879,_PLAN_STG!$D$2:$D$1879,B316,_PLAN_STG!$B$2:$B$1879,"MAT",_PLAN_STG!$O$2:$O$1879,1)</f>
        <v>0</v>
      </c>
      <c r="F316" s="162">
        <f>IFERROR(VLOOKUP(B316,MATERIALES!$A:$D,4,FALSE()),IFERROR(INDEX(COMPOSICIÓN!$I$2:$I$1879,MATCH(B316,COMPOSICIÓN!$D$2:$D$1879,0)),0))</f>
        <v>3592.22</v>
      </c>
      <c r="G316" s="163">
        <f>SUMIFS(_PLAN_STG!$Q$2:$Q$1879,_PLAN_STG!$D$2:$D$1879,B316,_PLAN_STG!$B$2:$B$1879,"MAT",_PLAN_STG!$O$2:$O$1879,1)</f>
        <v>0</v>
      </c>
      <c r="H316" s="225" t="str">
        <f>IFERROR(INDEX(COMPOSICIÓN!$C$2:$C$1879,MATCH(B316,COMPOSICIÓN!$D$2:$D$1879,0)),"")</f>
        <v>OTR</v>
      </c>
      <c r="I316" s="226">
        <f>SUMPRODUCT((_PLAN_STG!$D$2:$D$1879=B316)*(_PLAN_STG!$B$2:$B$1879="MAT")*(_PLAN_STG!$O$2:$O$1879=1)*(_PLAN_STG!$P$2:$P$1879&gt;0))</f>
        <v>0</v>
      </c>
      <c r="J316" s="224" t="str">
        <f>IFERROR(VLOOKUP(B316,MATERIALES!$A:$G,7,FALSE()),"")</f>
        <v>Gas</v>
      </c>
    </row>
    <row r="317" spans="1:10" x14ac:dyDescent="0.35">
      <c r="A317" s="222" t="str">
        <f t="shared" si="4"/>
        <v/>
      </c>
      <c r="B317" s="223" t="s">
        <v>1539</v>
      </c>
      <c r="C317" s="224" t="str">
        <f>IFERROR(VLOOKUP(B317,MATERIALES!$A:$B,2,FALSE()),IFERROR(INDEX(COMPOSICIÓN!$E$2:$E$1879,MATCH(B317,COMPOSICIÓN!$D$2:$D$1879,0)),""))</f>
        <v>BRONCE BUJE RED 1 1/4 x 1</v>
      </c>
      <c r="D317" s="225" t="str">
        <f>IFERROR(VLOOKUP(B317,MATERIALES!$A:$C,3,FALSE()),IFERROR(INDEX(COMPOSICIÓN!$F$2:$F$1879,MATCH(B317,COMPOSICIÓN!$D$2:$D$1879,0)),""))</f>
        <v>u</v>
      </c>
      <c r="E317" s="161">
        <f>SUMIFS(_PLAN_STG!$P$2:$P$1879,_PLAN_STG!$D$2:$D$1879,B317,_PLAN_STG!$B$2:$B$1879,"MAT",_PLAN_STG!$O$2:$O$1879,1)</f>
        <v>0</v>
      </c>
      <c r="F317" s="162">
        <f>IFERROR(VLOOKUP(B317,MATERIALES!$A:$D,4,FALSE()),IFERROR(INDEX(COMPOSICIÓN!$I$2:$I$1879,MATCH(B317,COMPOSICIÓN!$D$2:$D$1879,0)),0))</f>
        <v>4009.17</v>
      </c>
      <c r="G317" s="163">
        <f>SUMIFS(_PLAN_STG!$Q$2:$Q$1879,_PLAN_STG!$D$2:$D$1879,B317,_PLAN_STG!$B$2:$B$1879,"MAT",_PLAN_STG!$O$2:$O$1879,1)</f>
        <v>0</v>
      </c>
      <c r="H317" s="225" t="str">
        <f>IFERROR(INDEX(COMPOSICIÓN!$C$2:$C$1879,MATCH(B317,COMPOSICIÓN!$D$2:$D$1879,0)),"")</f>
        <v>OTR</v>
      </c>
      <c r="I317" s="226">
        <f>SUMPRODUCT((_PLAN_STG!$D$2:$D$1879=B317)*(_PLAN_STG!$B$2:$B$1879="MAT")*(_PLAN_STG!$O$2:$O$1879=1)*(_PLAN_STG!$P$2:$P$1879&gt;0))</f>
        <v>0</v>
      </c>
      <c r="J317" s="224" t="str">
        <f>IFERROR(VLOOKUP(B317,MATERIALES!$A:$G,7,FALSE()),"")</f>
        <v>Gas</v>
      </c>
    </row>
    <row r="318" spans="1:10" x14ac:dyDescent="0.35">
      <c r="A318" s="222" t="str">
        <f t="shared" si="4"/>
        <v/>
      </c>
      <c r="B318" s="223" t="s">
        <v>1541</v>
      </c>
      <c r="C318" s="224" t="str">
        <f>IFERROR(VLOOKUP(B318,MATERIALES!$A:$B,2,FALSE()),IFERROR(INDEX(COMPOSICIÓN!$E$2:$E$1879,MATCH(B318,COMPOSICIÓN!$D$2:$D$1879,0)),""))</f>
        <v>SUYAI ESFERICA P/GAS FORJADA 1 1/4</v>
      </c>
      <c r="D318" s="225" t="str">
        <f>IFERROR(VLOOKUP(B318,MATERIALES!$A:$C,3,FALSE()),IFERROR(INDEX(COMPOSICIÓN!$F$2:$F$1879,MATCH(B318,COMPOSICIÓN!$D$2:$D$1879,0)),""))</f>
        <v>u</v>
      </c>
      <c r="E318" s="161">
        <f>SUMIFS(_PLAN_STG!$P$2:$P$1879,_PLAN_STG!$D$2:$D$1879,B318,_PLAN_STG!$B$2:$B$1879,"MAT",_PLAN_STG!$O$2:$O$1879,1)</f>
        <v>0</v>
      </c>
      <c r="F318" s="162">
        <f>IFERROR(VLOOKUP(B318,MATERIALES!$A:$D,4,FALSE()),IFERROR(INDEX(COMPOSICIÓN!$I$2:$I$1879,MATCH(B318,COMPOSICIÓN!$D$2:$D$1879,0)),0))</f>
        <v>88241.07</v>
      </c>
      <c r="G318" s="163">
        <f>SUMIFS(_PLAN_STG!$Q$2:$Q$1879,_PLAN_STG!$D$2:$D$1879,B318,_PLAN_STG!$B$2:$B$1879,"MAT",_PLAN_STG!$O$2:$O$1879,1)</f>
        <v>0</v>
      </c>
      <c r="H318" s="225" t="str">
        <f>IFERROR(INDEX(COMPOSICIÓN!$C$2:$C$1879,MATCH(B318,COMPOSICIÓN!$D$2:$D$1879,0)),"")</f>
        <v>OTR</v>
      </c>
      <c r="I318" s="226">
        <f>SUMPRODUCT((_PLAN_STG!$D$2:$D$1879=B318)*(_PLAN_STG!$B$2:$B$1879="MAT")*(_PLAN_STG!$O$2:$O$1879=1)*(_PLAN_STG!$P$2:$P$1879&gt;0))</f>
        <v>0</v>
      </c>
      <c r="J318" s="224" t="str">
        <f>IFERROR(VLOOKUP(B318,MATERIALES!$A:$G,7,FALSE()),"")</f>
        <v>Gas</v>
      </c>
    </row>
    <row r="319" spans="1:10" x14ac:dyDescent="0.35">
      <c r="A319" s="222" t="str">
        <f t="shared" si="4"/>
        <v/>
      </c>
      <c r="B319" s="223" t="s">
        <v>1543</v>
      </c>
      <c r="C319" s="224" t="str">
        <f>IFERROR(VLOOKUP(B319,MATERIALES!$A:$B,2,FALSE()),IFERROR(INDEX(COMPOSICIÓN!$E$2:$E$1879,MATCH(B319,COMPOSICIÓN!$D$2:$D$1879,0)),""))</f>
        <v>FUSIOGAS TRANSICION HEMBRA 32 x 1</v>
      </c>
      <c r="D319" s="225" t="str">
        <f>IFERROR(VLOOKUP(B319,MATERIALES!$A:$C,3,FALSE()),IFERROR(INDEX(COMPOSICIÓN!$F$2:$F$1879,MATCH(B319,COMPOSICIÓN!$D$2:$D$1879,0)),""))</f>
        <v>u</v>
      </c>
      <c r="E319" s="161">
        <f>SUMIFS(_PLAN_STG!$P$2:$P$1879,_PLAN_STG!$D$2:$D$1879,B319,_PLAN_STG!$B$2:$B$1879,"MAT",_PLAN_STG!$O$2:$O$1879,1)</f>
        <v>0</v>
      </c>
      <c r="F319" s="162">
        <f>IFERROR(VLOOKUP(B319,MATERIALES!$A:$D,4,FALSE()),IFERROR(INDEX(COMPOSICIÓN!$I$2:$I$1879,MATCH(B319,COMPOSICIÓN!$D$2:$D$1879,0)),0))</f>
        <v>4114.5200000000004</v>
      </c>
      <c r="G319" s="163">
        <f>SUMIFS(_PLAN_STG!$Q$2:$Q$1879,_PLAN_STG!$D$2:$D$1879,B319,_PLAN_STG!$B$2:$B$1879,"MAT",_PLAN_STG!$O$2:$O$1879,1)</f>
        <v>0</v>
      </c>
      <c r="H319" s="225" t="str">
        <f>IFERROR(INDEX(COMPOSICIÓN!$C$2:$C$1879,MATCH(B319,COMPOSICIÓN!$D$2:$D$1879,0)),"")</f>
        <v>OTR</v>
      </c>
      <c r="I319" s="226">
        <f>SUMPRODUCT((_PLAN_STG!$D$2:$D$1879=B319)*(_PLAN_STG!$B$2:$B$1879="MAT")*(_PLAN_STG!$O$2:$O$1879=1)*(_PLAN_STG!$P$2:$P$1879&gt;0))</f>
        <v>0</v>
      </c>
      <c r="J319" s="224" t="str">
        <f>IFERROR(VLOOKUP(B319,MATERIALES!$A:$G,7,FALSE()),"")</f>
        <v>Gas</v>
      </c>
    </row>
    <row r="320" spans="1:10" x14ac:dyDescent="0.35">
      <c r="A320" s="222" t="str">
        <f t="shared" si="4"/>
        <v/>
      </c>
      <c r="B320" s="223" t="s">
        <v>1545</v>
      </c>
      <c r="C320" s="224" t="str">
        <f>IFERROR(VLOOKUP(B320,MATERIALES!$A:$B,2,FALSE()),IFERROR(INDEX(COMPOSICIÓN!$E$2:$E$1879,MATCH(B320,COMPOSICIÓN!$D$2:$D$1879,0)),""))</f>
        <v>REGULADOR GAS GS-25 N/M3H</v>
      </c>
      <c r="D320" s="225" t="str">
        <f>IFERROR(VLOOKUP(B320,MATERIALES!$A:$C,3,FALSE()),IFERROR(INDEX(COMPOSICIÓN!$F$2:$F$1879,MATCH(B320,COMPOSICIÓN!$D$2:$D$1879,0)),""))</f>
        <v>u</v>
      </c>
      <c r="E320" s="161">
        <f>SUMIFS(_PLAN_STG!$P$2:$P$1879,_PLAN_STG!$D$2:$D$1879,B320,_PLAN_STG!$B$2:$B$1879,"MAT",_PLAN_STG!$O$2:$O$1879,1)</f>
        <v>0</v>
      </c>
      <c r="F320" s="162">
        <f>IFERROR(VLOOKUP(B320,MATERIALES!$A:$D,4,FALSE()),IFERROR(INDEX(COMPOSICIÓN!$I$2:$I$1879,MATCH(B320,COMPOSICIÓN!$D$2:$D$1879,0)),0))</f>
        <v>130062.5</v>
      </c>
      <c r="G320" s="163">
        <f>SUMIFS(_PLAN_STG!$Q$2:$Q$1879,_PLAN_STG!$D$2:$D$1879,B320,_PLAN_STG!$B$2:$B$1879,"MAT",_PLAN_STG!$O$2:$O$1879,1)</f>
        <v>0</v>
      </c>
      <c r="H320" s="225" t="str">
        <f>IFERROR(INDEX(COMPOSICIÓN!$C$2:$C$1879,MATCH(B320,COMPOSICIÓN!$D$2:$D$1879,0)),"")</f>
        <v>OTR</v>
      </c>
      <c r="I320" s="226">
        <f>SUMPRODUCT((_PLAN_STG!$D$2:$D$1879=B320)*(_PLAN_STG!$B$2:$B$1879="MAT")*(_PLAN_STG!$O$2:$O$1879=1)*(_PLAN_STG!$P$2:$P$1879&gt;0))</f>
        <v>0</v>
      </c>
      <c r="J320" s="224" t="str">
        <f>IFERROR(VLOOKUP(B320,MATERIALES!$A:$G,7,FALSE()),"")</f>
        <v>Gas</v>
      </c>
    </row>
    <row r="321" spans="1:10" x14ac:dyDescent="0.35">
      <c r="A321" s="222" t="str">
        <f t="shared" si="4"/>
        <v/>
      </c>
      <c r="B321" s="223" t="s">
        <v>795</v>
      </c>
      <c r="C321" s="224" t="str">
        <f>IFERROR(VLOOKUP(B321,MATERIALES!$A:$B,2,FALSE()),IFERROR(INDEX(COMPOSICIÓN!$E$2:$E$1879,MATCH(B321,COMPOSICIÓN!$D$2:$D$1879,0)),""))</f>
        <v>Latex Loxon Interior Sherwin Williams Mate Bco x 20lts</v>
      </c>
      <c r="D321" s="225" t="str">
        <f>IFERROR(VLOOKUP(B321,MATERIALES!$A:$C,3,FALSE()),IFERROR(INDEX(COMPOSICIÓN!$F$2:$F$1879,MATCH(B321,COMPOSICIÓN!$D$2:$D$1879,0)),""))</f>
        <v>B</v>
      </c>
      <c r="E321" s="161">
        <f>SUMIFS(_PLAN_STG!$P$2:$P$1879,_PLAN_STG!$D$2:$D$1879,B321,_PLAN_STG!$B$2:$B$1879,"MAT",_PLAN_STG!$O$2:$O$1879,1)</f>
        <v>0</v>
      </c>
      <c r="F321" s="162">
        <f>IFERROR(VLOOKUP(B321,MATERIALES!$A:$D,4,FALSE()),IFERROR(INDEX(COMPOSICIÓN!$I$2:$I$1879,MATCH(B321,COMPOSICIÓN!$D$2:$D$1879,0)),0))</f>
        <v>120622.23</v>
      </c>
      <c r="G321" s="163">
        <f>SUMIFS(_PLAN_STG!$Q$2:$Q$1879,_PLAN_STG!$D$2:$D$1879,B321,_PLAN_STG!$B$2:$B$1879,"MAT",_PLAN_STG!$O$2:$O$1879,1)</f>
        <v>0</v>
      </c>
      <c r="H321" s="225" t="str">
        <f>IFERROR(INDEX(COMPOSICIÓN!$C$2:$C$1879,MATCH(B321,COMPOSICIÓN!$D$2:$D$1879,0)),"")</f>
        <v>OTR</v>
      </c>
      <c r="I321" s="226">
        <f>SUMPRODUCT((_PLAN_STG!$D$2:$D$1879=B321)*(_PLAN_STG!$B$2:$B$1879="MAT")*(_PLAN_STG!$O$2:$O$1879=1)*(_PLAN_STG!$P$2:$P$1879&gt;0))</f>
        <v>0</v>
      </c>
      <c r="J321" s="224" t="str">
        <f>IFERROR(VLOOKUP(B321,MATERIALES!$A:$G,7,FALSE()),"")</f>
        <v>Pinturas</v>
      </c>
    </row>
    <row r="322" spans="1:10" x14ac:dyDescent="0.35">
      <c r="A322" s="222" t="str">
        <f t="shared" si="4"/>
        <v/>
      </c>
      <c r="B322" s="223" t="s">
        <v>806</v>
      </c>
      <c r="C322" s="224" t="str">
        <f>IFERROR(VLOOKUP(B322,MATERIALES!$A:$B,2,FALSE()),IFERROR(INDEX(COMPOSICIÓN!$E$2:$E$1879,MATCH(B322,COMPOSICIÓN!$D$2:$D$1879,0)),""))</f>
        <v>Latex Loxon Exterior Sherwin Williams Mate Bco x 20lts</v>
      </c>
      <c r="D322" s="225" t="str">
        <f>IFERROR(VLOOKUP(B322,MATERIALES!$A:$C,3,FALSE()),IFERROR(INDEX(COMPOSICIÓN!$F$2:$F$1879,MATCH(B322,COMPOSICIÓN!$D$2:$D$1879,0)),""))</f>
        <v>u</v>
      </c>
      <c r="E322" s="161">
        <f>SUMIFS(_PLAN_STG!$P$2:$P$1879,_PLAN_STG!$D$2:$D$1879,B322,_PLAN_STG!$B$2:$B$1879,"MAT",_PLAN_STG!$O$2:$O$1879,1)</f>
        <v>0</v>
      </c>
      <c r="F322" s="162">
        <f>IFERROR(VLOOKUP(B322,MATERIALES!$A:$D,4,FALSE()),IFERROR(INDEX(COMPOSICIÓN!$I$2:$I$1879,MATCH(B322,COMPOSICIÓN!$D$2:$D$1879,0)),0))</f>
        <v>105657.74</v>
      </c>
      <c r="G322" s="163">
        <f>SUMIFS(_PLAN_STG!$Q$2:$Q$1879,_PLAN_STG!$D$2:$D$1879,B322,_PLAN_STG!$B$2:$B$1879,"MAT",_PLAN_STG!$O$2:$O$1879,1)</f>
        <v>0</v>
      </c>
      <c r="H322" s="225" t="str">
        <f>IFERROR(INDEX(COMPOSICIÓN!$C$2:$C$1879,MATCH(B322,COMPOSICIÓN!$D$2:$D$1879,0)),"")</f>
        <v>OTR</v>
      </c>
      <c r="I322" s="226">
        <f>SUMPRODUCT((_PLAN_STG!$D$2:$D$1879=B322)*(_PLAN_STG!$B$2:$B$1879="MAT")*(_PLAN_STG!$O$2:$O$1879=1)*(_PLAN_STG!$P$2:$P$1879&gt;0))</f>
        <v>0</v>
      </c>
      <c r="J322" s="224" t="str">
        <f>IFERROR(VLOOKUP(B322,MATERIALES!$A:$G,7,FALSE()),"")</f>
        <v>Pinturas</v>
      </c>
    </row>
    <row r="323" spans="1:10" x14ac:dyDescent="0.35">
      <c r="A323" s="222" t="str">
        <f t="shared" si="4"/>
        <v/>
      </c>
      <c r="B323" s="223" t="s">
        <v>813</v>
      </c>
      <c r="C323" s="224" t="str">
        <f>IFERROR(VLOOKUP(B323,MATERIALES!$A:$B,2,FALSE()),IFERROR(INDEX(COMPOSICIÓN!$E$2:$E$1879,MATCH(B323,COMPOSICIÓN!$D$2:$D$1879,0)),""))</f>
        <v>Esmalte sintetico satinado Satinol Blanco x 4lts</v>
      </c>
      <c r="D323" s="225" t="str">
        <f>IFERROR(VLOOKUP(B323,MATERIALES!$A:$C,3,FALSE()),IFERROR(INDEX(COMPOSICIÓN!$F$2:$F$1879,MATCH(B323,COMPOSICIÓN!$D$2:$D$1879,0)),""))</f>
        <v>b</v>
      </c>
      <c r="E323" s="161">
        <f>SUMIFS(_PLAN_STG!$P$2:$P$1879,_PLAN_STG!$D$2:$D$1879,B323,_PLAN_STG!$B$2:$B$1879,"MAT",_PLAN_STG!$O$2:$O$1879,1)</f>
        <v>0</v>
      </c>
      <c r="F323" s="162">
        <f>IFERROR(VLOOKUP(B323,MATERIALES!$A:$D,4,FALSE()),IFERROR(INDEX(COMPOSICIÓN!$I$2:$I$1879,MATCH(B323,COMPOSICIÓN!$D$2:$D$1879,0)),0))</f>
        <v>28011.57</v>
      </c>
      <c r="G323" s="163">
        <f>SUMIFS(_PLAN_STG!$Q$2:$Q$1879,_PLAN_STG!$D$2:$D$1879,B323,_PLAN_STG!$B$2:$B$1879,"MAT",_PLAN_STG!$O$2:$O$1879,1)</f>
        <v>0</v>
      </c>
      <c r="H323" s="225" t="str">
        <f>IFERROR(INDEX(COMPOSICIÓN!$C$2:$C$1879,MATCH(B323,COMPOSICIÓN!$D$2:$D$1879,0)),"")</f>
        <v>OTR</v>
      </c>
      <c r="I323" s="226">
        <f>SUMPRODUCT((_PLAN_STG!$D$2:$D$1879=B323)*(_PLAN_STG!$B$2:$B$1879="MAT")*(_PLAN_STG!$O$2:$O$1879=1)*(_PLAN_STG!$P$2:$P$1879&gt;0))</f>
        <v>0</v>
      </c>
      <c r="J323" s="224" t="str">
        <f>IFERROR(VLOOKUP(B323,MATERIALES!$A:$G,7,FALSE()),"")</f>
        <v>Pinturas</v>
      </c>
    </row>
    <row r="324" spans="1:10" x14ac:dyDescent="0.35">
      <c r="A324" s="222" t="str">
        <f t="shared" si="4"/>
        <v/>
      </c>
      <c r="B324" s="223" t="s">
        <v>815</v>
      </c>
      <c r="C324" s="224" t="str">
        <f>IFERROR(VLOOKUP(B324,MATERIALES!$A:$B,2,FALSE()),IFERROR(INDEX(COMPOSICIÓN!$E$2:$E$1879,MATCH(B324,COMPOSICIÓN!$D$2:$D$1879,0)),""))</f>
        <v>Enduido Interior x 20lts</v>
      </c>
      <c r="D324" s="225" t="str">
        <f>IFERROR(VLOOKUP(B324,MATERIALES!$A:$C,3,FALSE()),IFERROR(INDEX(COMPOSICIÓN!$F$2:$F$1879,MATCH(B324,COMPOSICIÓN!$D$2:$D$1879,0)),""))</f>
        <v>B</v>
      </c>
      <c r="E324" s="161">
        <f>SUMIFS(_PLAN_STG!$P$2:$P$1879,_PLAN_STG!$D$2:$D$1879,B324,_PLAN_STG!$B$2:$B$1879,"MAT",_PLAN_STG!$O$2:$O$1879,1)</f>
        <v>0</v>
      </c>
      <c r="F324" s="162">
        <f>IFERROR(VLOOKUP(B324,MATERIALES!$A:$D,4,FALSE()),IFERROR(INDEX(COMPOSICIÓN!$I$2:$I$1879,MATCH(B324,COMPOSICIÓN!$D$2:$D$1879,0)),0))</f>
        <v>18735.77</v>
      </c>
      <c r="G324" s="163">
        <f>SUMIFS(_PLAN_STG!$Q$2:$Q$1879,_PLAN_STG!$D$2:$D$1879,B324,_PLAN_STG!$B$2:$B$1879,"MAT",_PLAN_STG!$O$2:$O$1879,1)</f>
        <v>0</v>
      </c>
      <c r="H324" s="225" t="str">
        <f>IFERROR(INDEX(COMPOSICIÓN!$C$2:$C$1879,MATCH(B324,COMPOSICIÓN!$D$2:$D$1879,0)),"")</f>
        <v>OTR</v>
      </c>
      <c r="I324" s="226">
        <f>SUMPRODUCT((_PLAN_STG!$D$2:$D$1879=B324)*(_PLAN_STG!$B$2:$B$1879="MAT")*(_PLAN_STG!$O$2:$O$1879=1)*(_PLAN_STG!$P$2:$P$1879&gt;0))</f>
        <v>0</v>
      </c>
      <c r="J324" s="224" t="str">
        <f>IFERROR(VLOOKUP(B324,MATERIALES!$A:$G,7,FALSE()),"")</f>
        <v>Pinturas</v>
      </c>
    </row>
    <row r="325" spans="1:10" x14ac:dyDescent="0.35">
      <c r="A325" s="222" t="str">
        <f t="shared" si="4"/>
        <v/>
      </c>
      <c r="B325" s="223" t="s">
        <v>822</v>
      </c>
      <c r="C325" s="224" t="str">
        <f>IFERROR(VLOOKUP(B325,MATERIALES!$A:$B,2,FALSE()),IFERROR(INDEX(COMPOSICIÓN!$E$2:$E$1879,MATCH(B325,COMPOSICIÓN!$D$2:$D$1879,0)),""))</f>
        <v>Pintura Asfaltica Asfasol x18ts</v>
      </c>
      <c r="D325" s="225" t="str">
        <f>IFERROR(VLOOKUP(B325,MATERIALES!$A:$C,3,FALSE()),IFERROR(INDEX(COMPOSICIÓN!$F$2:$F$1879,MATCH(B325,COMPOSICIÓN!$D$2:$D$1879,0)),""))</f>
        <v>b</v>
      </c>
      <c r="E325" s="161">
        <f>SUMIFS(_PLAN_STG!$P$2:$P$1879,_PLAN_STG!$D$2:$D$1879,B325,_PLAN_STG!$B$2:$B$1879,"MAT",_PLAN_STG!$O$2:$O$1879,1)</f>
        <v>0</v>
      </c>
      <c r="F325" s="162">
        <f>IFERROR(VLOOKUP(B325,MATERIALES!$A:$D,4,FALSE()),IFERROR(INDEX(COMPOSICIÓN!$I$2:$I$1879,MATCH(B325,COMPOSICIÓN!$D$2:$D$1879,0)),0))</f>
        <v>32845.78</v>
      </c>
      <c r="G325" s="163">
        <f>SUMIFS(_PLAN_STG!$Q$2:$Q$1879,_PLAN_STG!$D$2:$D$1879,B325,_PLAN_STG!$B$2:$B$1879,"MAT",_PLAN_STG!$O$2:$O$1879,1)</f>
        <v>0</v>
      </c>
      <c r="H325" s="225" t="str">
        <f>IFERROR(INDEX(COMPOSICIÓN!$C$2:$C$1879,MATCH(B325,COMPOSICIÓN!$D$2:$D$1879,0)),"")</f>
        <v>OTR</v>
      </c>
      <c r="I325" s="226">
        <f>SUMPRODUCT((_PLAN_STG!$D$2:$D$1879=B325)*(_PLAN_STG!$B$2:$B$1879="MAT")*(_PLAN_STG!$O$2:$O$1879=1)*(_PLAN_STG!$P$2:$P$1879&gt;0))</f>
        <v>0</v>
      </c>
      <c r="J325" s="224" t="str">
        <f>IFERROR(VLOOKUP(B325,MATERIALES!$A:$G,7,FALSE()),"")</f>
        <v>Pinturas</v>
      </c>
    </row>
    <row r="326" spans="1:10" x14ac:dyDescent="0.35">
      <c r="A326" s="222" t="str">
        <f t="shared" si="4"/>
        <v/>
      </c>
      <c r="B326" s="223" t="s">
        <v>666</v>
      </c>
      <c r="C326" s="224" t="str">
        <f>IFERROR(VLOOKUP(B326,MATERIALES!$A:$B,2,FALSE()),IFERROR(INDEX(COMPOSICIÓN!$E$2:$E$1879,MATCH(B326,COMPOSICIÓN!$D$2:$D$1879,0)),""))</f>
        <v>Yeso Tuyango x 30kg</v>
      </c>
      <c r="D326" s="225" t="str">
        <f>IFERROR(VLOOKUP(B326,MATERIALES!$A:$C,3,FALSE()),IFERROR(INDEX(COMPOSICIÓN!$F$2:$F$1879,MATCH(B326,COMPOSICIÓN!$D$2:$D$1879,0)),""))</f>
        <v>b</v>
      </c>
      <c r="E326" s="161">
        <f>SUMIFS(_PLAN_STG!$P$2:$P$1879,_PLAN_STG!$D$2:$D$1879,B326,_PLAN_STG!$B$2:$B$1879,"MAT",_PLAN_STG!$O$2:$O$1879,1)</f>
        <v>0</v>
      </c>
      <c r="F326" s="162">
        <f>IFERROR(VLOOKUP(B326,MATERIALES!$A:$D,4,FALSE()),IFERROR(INDEX(COMPOSICIÓN!$I$2:$I$1879,MATCH(B326,COMPOSICIÓN!$D$2:$D$1879,0)),0))</f>
        <v>9639</v>
      </c>
      <c r="G326" s="163">
        <f>SUMIFS(_PLAN_STG!$Q$2:$Q$1879,_PLAN_STG!$D$2:$D$1879,B326,_PLAN_STG!$B$2:$B$1879,"MAT",_PLAN_STG!$O$2:$O$1879,1)</f>
        <v>0</v>
      </c>
      <c r="H326" s="225" t="str">
        <f>IFERROR(INDEX(COMPOSICIÓN!$C$2:$C$1879,MATCH(B326,COMPOSICIÓN!$D$2:$D$1879,0)),"")</f>
        <v>OTR</v>
      </c>
      <c r="I326" s="226">
        <f>SUMPRODUCT((_PLAN_STG!$D$2:$D$1879=B326)*(_PLAN_STG!$B$2:$B$1879="MAT")*(_PLAN_STG!$O$2:$O$1879=1)*(_PLAN_STG!$P$2:$P$1879&gt;0))</f>
        <v>0</v>
      </c>
      <c r="J326" s="224" t="str">
        <f>IFERROR(VLOOKUP(B326,MATERIALES!$A:$G,7,FALSE()),"")</f>
        <v>Revestimientos y yesos</v>
      </c>
    </row>
    <row r="327" spans="1:10" x14ac:dyDescent="0.35">
      <c r="A327" s="222" t="str">
        <f t="shared" si="4"/>
        <v/>
      </c>
      <c r="B327" s="223" t="s">
        <v>765</v>
      </c>
      <c r="C327" s="224" t="str">
        <f>IFERROR(VLOOKUP(B327,MATERIALES!$A:$B,2,FALSE()),IFERROR(INDEX(COMPOSICIÓN!$E$2:$E$1879,MATCH(B327,COMPOSICIÓN!$D$2:$D$1879,0)),""))</f>
        <v>Placa Roca de Yeso 1220 x 2440 - 12.5mm - STD</v>
      </c>
      <c r="D327" s="225" t="str">
        <f>IFERROR(VLOOKUP(B327,MATERIALES!$A:$C,3,FALSE()),IFERROR(INDEX(COMPOSICIÓN!$F$2:$F$1879,MATCH(B327,COMPOSICIÓN!$D$2:$D$1879,0)),""))</f>
        <v>u</v>
      </c>
      <c r="E327" s="161">
        <f>SUMIFS(_PLAN_STG!$P$2:$P$1879,_PLAN_STG!$D$2:$D$1879,B327,_PLAN_STG!$B$2:$B$1879,"MAT",_PLAN_STG!$O$2:$O$1879,1)</f>
        <v>0</v>
      </c>
      <c r="F327" s="162">
        <f>IFERROR(VLOOKUP(B327,MATERIALES!$A:$D,4,FALSE()),IFERROR(INDEX(COMPOSICIÓN!$I$2:$I$1879,MATCH(B327,COMPOSICIÓN!$D$2:$D$1879,0)),0))</f>
        <v>10022.959999999999</v>
      </c>
      <c r="G327" s="163">
        <f>SUMIFS(_PLAN_STG!$Q$2:$Q$1879,_PLAN_STG!$D$2:$D$1879,B327,_PLAN_STG!$B$2:$B$1879,"MAT",_PLAN_STG!$O$2:$O$1879,1)</f>
        <v>0</v>
      </c>
      <c r="H327" s="225" t="str">
        <f>IFERROR(INDEX(COMPOSICIÓN!$C$2:$C$1879,MATCH(B327,COMPOSICIÓN!$D$2:$D$1879,0)),"")</f>
        <v>OTR</v>
      </c>
      <c r="I327" s="226">
        <f>SUMPRODUCT((_PLAN_STG!$D$2:$D$1879=B327)*(_PLAN_STG!$B$2:$B$1879="MAT")*(_PLAN_STG!$O$2:$O$1879=1)*(_PLAN_STG!$P$2:$P$1879&gt;0))</f>
        <v>0</v>
      </c>
      <c r="J327" s="224" t="str">
        <f>IFERROR(VLOOKUP(B327,MATERIALES!$A:$G,7,FALSE()),"")</f>
        <v>Revestimientos y yesos</v>
      </c>
    </row>
    <row r="328" spans="1:10" x14ac:dyDescent="0.35">
      <c r="A328" s="222" t="str">
        <f t="shared" si="4"/>
        <v/>
      </c>
      <c r="B328" s="223" t="s">
        <v>767</v>
      </c>
      <c r="C328" s="224" t="str">
        <f>IFERROR(VLOOKUP(B328,MATERIALES!$A:$B,2,FALSE()),IFERROR(INDEX(COMPOSICIÓN!$E$2:$E$1879,MATCH(B328,COMPOSICIÓN!$D$2:$D$1879,0)),""))</f>
        <v>Placa Roca de Yeso 1220 x 2440 - 12.5mm - RH</v>
      </c>
      <c r="D328" s="225" t="str">
        <f>IFERROR(VLOOKUP(B328,MATERIALES!$A:$C,3,FALSE()),IFERROR(INDEX(COMPOSICIÓN!$F$2:$F$1879,MATCH(B328,COMPOSICIÓN!$D$2:$D$1879,0)),""))</f>
        <v>u</v>
      </c>
      <c r="E328" s="161">
        <f>SUMIFS(_PLAN_STG!$P$2:$P$1879,_PLAN_STG!$D$2:$D$1879,B328,_PLAN_STG!$B$2:$B$1879,"MAT",_PLAN_STG!$O$2:$O$1879,1)</f>
        <v>0</v>
      </c>
      <c r="F328" s="162">
        <f>IFERROR(VLOOKUP(B328,MATERIALES!$A:$D,4,FALSE()),IFERROR(INDEX(COMPOSICIÓN!$I$2:$I$1879,MATCH(B328,COMPOSICIÓN!$D$2:$D$1879,0)),0))</f>
        <v>16160.1</v>
      </c>
      <c r="G328" s="163">
        <f>SUMIFS(_PLAN_STG!$Q$2:$Q$1879,_PLAN_STG!$D$2:$D$1879,B328,_PLAN_STG!$B$2:$B$1879,"MAT",_PLAN_STG!$O$2:$O$1879,1)</f>
        <v>0</v>
      </c>
      <c r="H328" s="225" t="str">
        <f>IFERROR(INDEX(COMPOSICIÓN!$C$2:$C$1879,MATCH(B328,COMPOSICIÓN!$D$2:$D$1879,0)),"")</f>
        <v>OTR</v>
      </c>
      <c r="I328" s="226">
        <f>SUMPRODUCT((_PLAN_STG!$D$2:$D$1879=B328)*(_PLAN_STG!$B$2:$B$1879="MAT")*(_PLAN_STG!$O$2:$O$1879=1)*(_PLAN_STG!$P$2:$P$1879&gt;0))</f>
        <v>0</v>
      </c>
      <c r="J328" s="224" t="str">
        <f>IFERROR(VLOOKUP(B328,MATERIALES!$A:$G,7,FALSE()),"")</f>
        <v>Revestimientos y yesos</v>
      </c>
    </row>
    <row r="329" spans="1:10" x14ac:dyDescent="0.35">
      <c r="A329" s="222" t="str">
        <f t="shared" si="4"/>
        <v/>
      </c>
      <c r="B329" s="223" t="s">
        <v>769</v>
      </c>
      <c r="C329" s="224" t="str">
        <f>IFERROR(VLOOKUP(B329,MATERIALES!$A:$B,2,FALSE()),IFERROR(INDEX(COMPOSICIÓN!$E$2:$E$1879,MATCH(B329,COMPOSICIÓN!$D$2:$D$1879,0)),""))</f>
        <v>Placa Roca de Yeso 1220 x 2440 - 12.5mm - RF</v>
      </c>
      <c r="D329" s="225" t="str">
        <f>IFERROR(VLOOKUP(B329,MATERIALES!$A:$C,3,FALSE()),IFERROR(INDEX(COMPOSICIÓN!$F$2:$F$1879,MATCH(B329,COMPOSICIÓN!$D$2:$D$1879,0)),""))</f>
        <v>u</v>
      </c>
      <c r="E329" s="161">
        <f>SUMIFS(_PLAN_STG!$P$2:$P$1879,_PLAN_STG!$D$2:$D$1879,B329,_PLAN_STG!$B$2:$B$1879,"MAT",_PLAN_STG!$O$2:$O$1879,1)</f>
        <v>0</v>
      </c>
      <c r="F329" s="162">
        <f>IFERROR(VLOOKUP(B329,MATERIALES!$A:$D,4,FALSE()),IFERROR(INDEX(COMPOSICIÓN!$I$2:$I$1879,MATCH(B329,COMPOSICIÓN!$D$2:$D$1879,0)),0))</f>
        <v>14217.87</v>
      </c>
      <c r="G329" s="163">
        <f>SUMIFS(_PLAN_STG!$Q$2:$Q$1879,_PLAN_STG!$D$2:$D$1879,B329,_PLAN_STG!$B$2:$B$1879,"MAT",_PLAN_STG!$O$2:$O$1879,1)</f>
        <v>0</v>
      </c>
      <c r="H329" s="225" t="str">
        <f>IFERROR(INDEX(COMPOSICIÓN!$C$2:$C$1879,MATCH(B329,COMPOSICIÓN!$D$2:$D$1879,0)),"")</f>
        <v>OTR</v>
      </c>
      <c r="I329" s="226">
        <f>SUMPRODUCT((_PLAN_STG!$D$2:$D$1879=B329)*(_PLAN_STG!$B$2:$B$1879="MAT")*(_PLAN_STG!$O$2:$O$1879=1)*(_PLAN_STG!$P$2:$P$1879&gt;0))</f>
        <v>0</v>
      </c>
      <c r="J329" s="224" t="str">
        <f>IFERROR(VLOOKUP(B329,MATERIALES!$A:$G,7,FALSE()),"")</f>
        <v>Revestimientos y yesos</v>
      </c>
    </row>
    <row r="330" spans="1:10" x14ac:dyDescent="0.35">
      <c r="A330" s="222" t="str">
        <f t="shared" si="4"/>
        <v/>
      </c>
      <c r="B330" s="223" t="s">
        <v>825</v>
      </c>
      <c r="C330" s="224" t="str">
        <f>IFERROR(VLOOKUP(B330,MATERIALES!$A:$B,2,FALSE()),IFERROR(INDEX(COMPOSICIÓN!$E$2:$E$1879,MATCH(B330,COMPOSICIÓN!$D$2:$D$1879,0)),""))</f>
        <v>Quimtex Romano Fino x 27 kg</v>
      </c>
      <c r="D330" s="225" t="str">
        <f>IFERROR(VLOOKUP(B330,MATERIALES!$A:$C,3,FALSE()),IFERROR(INDEX(COMPOSICIÓN!$F$2:$F$1879,MATCH(B330,COMPOSICIÓN!$D$2:$D$1879,0)),""))</f>
        <v>u</v>
      </c>
      <c r="E330" s="161">
        <f>SUMIFS(_PLAN_STG!$P$2:$P$1879,_PLAN_STG!$D$2:$D$1879,B330,_PLAN_STG!$B$2:$B$1879,"MAT",_PLAN_STG!$O$2:$O$1879,1)</f>
        <v>0</v>
      </c>
      <c r="F330" s="162">
        <f>IFERROR(VLOOKUP(B330,MATERIALES!$A:$D,4,FALSE()),IFERROR(INDEX(COMPOSICIÓN!$I$2:$I$1879,MATCH(B330,COMPOSICIÓN!$D$2:$D$1879,0)),0))</f>
        <v>57033.884297520701</v>
      </c>
      <c r="G330" s="163">
        <f>SUMIFS(_PLAN_STG!$Q$2:$Q$1879,_PLAN_STG!$D$2:$D$1879,B330,_PLAN_STG!$B$2:$B$1879,"MAT",_PLAN_STG!$O$2:$O$1879,1)</f>
        <v>0</v>
      </c>
      <c r="H330" s="225" t="str">
        <f>IFERROR(INDEX(COMPOSICIÓN!$C$2:$C$1879,MATCH(B330,COMPOSICIÓN!$D$2:$D$1879,0)),"")</f>
        <v>OTR</v>
      </c>
      <c r="I330" s="226">
        <f>SUMPRODUCT((_PLAN_STG!$D$2:$D$1879=B330)*(_PLAN_STG!$B$2:$B$1879="MAT")*(_PLAN_STG!$O$2:$O$1879=1)*(_PLAN_STG!$P$2:$P$1879&gt;0))</f>
        <v>0</v>
      </c>
      <c r="J330" s="224" t="str">
        <f>IFERROR(VLOOKUP(B330,MATERIALES!$A:$G,7,FALSE()),"")</f>
        <v>Revestimientos y yesos</v>
      </c>
    </row>
    <row r="331" spans="1:10" x14ac:dyDescent="0.35">
      <c r="A331" s="222" t="str">
        <f t="shared" si="4"/>
        <v/>
      </c>
      <c r="B331" s="223" t="s">
        <v>829</v>
      </c>
      <c r="C331" s="224" t="str">
        <f>IFERROR(VLOOKUP(B331,MATERIALES!$A:$B,2,FALSE()),IFERROR(INDEX(COMPOSICIÓN!$E$2:$E$1879,MATCH(B331,COMPOSICIÓN!$D$2:$D$1879,0)),""))</f>
        <v>Quimtex base cuarzo 18 lts</v>
      </c>
      <c r="D331" s="225" t="str">
        <f>IFERROR(VLOOKUP(B331,MATERIALES!$A:$C,3,FALSE()),IFERROR(INDEX(COMPOSICIÓN!$F$2:$F$1879,MATCH(B331,COMPOSICIÓN!$D$2:$D$1879,0)),""))</f>
        <v>u</v>
      </c>
      <c r="E331" s="161">
        <f>SUMIFS(_PLAN_STG!$P$2:$P$1879,_PLAN_STG!$D$2:$D$1879,B331,_PLAN_STG!$B$2:$B$1879,"MAT",_PLAN_STG!$O$2:$O$1879,1)</f>
        <v>0</v>
      </c>
      <c r="F331" s="162">
        <f>IFERROR(VLOOKUP(B331,MATERIALES!$A:$D,4,FALSE()),IFERROR(INDEX(COMPOSICIÓN!$I$2:$I$1879,MATCH(B331,COMPOSICIÓN!$D$2:$D$1879,0)),0))</f>
        <v>93388.429752066106</v>
      </c>
      <c r="G331" s="163">
        <f>SUMIFS(_PLAN_STG!$Q$2:$Q$1879,_PLAN_STG!$D$2:$D$1879,B331,_PLAN_STG!$B$2:$B$1879,"MAT",_PLAN_STG!$O$2:$O$1879,1)</f>
        <v>0</v>
      </c>
      <c r="H331" s="225" t="str">
        <f>IFERROR(INDEX(COMPOSICIÓN!$C$2:$C$1879,MATCH(B331,COMPOSICIÓN!$D$2:$D$1879,0)),"")</f>
        <v>OTR</v>
      </c>
      <c r="I331" s="226">
        <f>SUMPRODUCT((_PLAN_STG!$D$2:$D$1879=B331)*(_PLAN_STG!$B$2:$B$1879="MAT")*(_PLAN_STG!$O$2:$O$1879=1)*(_PLAN_STG!$P$2:$P$1879&gt;0))</f>
        <v>0</v>
      </c>
      <c r="J331" s="224" t="str">
        <f>IFERROR(VLOOKUP(B331,MATERIALES!$A:$G,7,FALSE()),"")</f>
        <v>Revestimientos y yesos</v>
      </c>
    </row>
    <row r="332" spans="1:10" x14ac:dyDescent="0.35">
      <c r="A332" s="222" t="str">
        <f t="shared" si="4"/>
        <v/>
      </c>
      <c r="B332" s="223" t="s">
        <v>979</v>
      </c>
      <c r="C332" s="224" t="str">
        <f>IFERROR(VLOOKUP(B332,MATERIALES!$A:$B,2,FALSE()),IFERROR(INDEX(COMPOSICIÓN!$E$2:$E$1879,MATCH(B332,COMPOSICIÓN!$D$2:$D$1879,0)),""))</f>
        <v>Arco y cuña niveladores porcelanatos x 150 un</v>
      </c>
      <c r="D332" s="225" t="str">
        <f>IFERROR(VLOOKUP(B332,MATERIALES!$A:$C,3,FALSE()),IFERROR(INDEX(COMPOSICIÓN!$F$2:$F$1879,MATCH(B332,COMPOSICIÓN!$D$2:$D$1879,0)),""))</f>
        <v>b</v>
      </c>
      <c r="E332" s="161">
        <f>SUMIFS(_PLAN_STG!$P$2:$P$1879,_PLAN_STG!$D$2:$D$1879,B332,_PLAN_STG!$B$2:$B$1879,"MAT",_PLAN_STG!$O$2:$O$1879,1)</f>
        <v>0</v>
      </c>
      <c r="F332" s="162">
        <f>IFERROR(VLOOKUP(B332,MATERIALES!$A:$D,4,FALSE()),IFERROR(INDEX(COMPOSICIÓN!$I$2:$I$1879,MATCH(B332,COMPOSICIÓN!$D$2:$D$1879,0)),0))</f>
        <v>44669.4214876033</v>
      </c>
      <c r="G332" s="163">
        <f>SUMIFS(_PLAN_STG!$Q$2:$Q$1879,_PLAN_STG!$D$2:$D$1879,B332,_PLAN_STG!$B$2:$B$1879,"MAT",_PLAN_STG!$O$2:$O$1879,1)</f>
        <v>0</v>
      </c>
      <c r="H332" s="225" t="str">
        <f>IFERROR(INDEX(COMPOSICIÓN!$C$2:$C$1879,MATCH(B332,COMPOSICIÓN!$D$2:$D$1879,0)),"")</f>
        <v>COR</v>
      </c>
      <c r="I332" s="226">
        <f>SUMPRODUCT((_PLAN_STG!$D$2:$D$1879=B332)*(_PLAN_STG!$B$2:$B$1879="MAT")*(_PLAN_STG!$O$2:$O$1879=1)*(_PLAN_STG!$P$2:$P$1879&gt;0))</f>
        <v>0</v>
      </c>
      <c r="J332" s="224" t="str">
        <f>IFERROR(VLOOKUP(B332,MATERIALES!$A:$G,7,FALSE()),"")</f>
        <v>Revestimientos y yesos</v>
      </c>
    </row>
    <row r="333" spans="1:10" x14ac:dyDescent="0.35">
      <c r="A333" s="222" t="str">
        <f t="shared" si="4"/>
        <v/>
      </c>
      <c r="B333" s="223" t="s">
        <v>988</v>
      </c>
      <c r="C333" s="224" t="str">
        <f>IFERROR(VLOOKUP(B333,MATERIALES!$A:$B,2,FALSE()),IFERROR(INDEX(COMPOSICIÓN!$E$2:$E$1879,MATCH(B333,COMPOSICIÓN!$D$2:$D$1879,0)),""))</f>
        <v>Conjunto rotor estator Yeso ASE</v>
      </c>
      <c r="D333" s="225" t="str">
        <f>IFERROR(VLOOKUP(B333,MATERIALES!$A:$C,3,FALSE()),IFERROR(INDEX(COMPOSICIÓN!$F$2:$F$1879,MATCH(B333,COMPOSICIÓN!$D$2:$D$1879,0)),""))</f>
        <v>gl</v>
      </c>
      <c r="E333" s="161">
        <f>SUMIFS(_PLAN_STG!$P$2:$P$1879,_PLAN_STG!$D$2:$D$1879,B333,_PLAN_STG!$B$2:$B$1879,"MAT",_PLAN_STG!$O$2:$O$1879,1)</f>
        <v>0</v>
      </c>
      <c r="F333" s="162">
        <f>IFERROR(VLOOKUP(B333,MATERIALES!$A:$D,4,FALSE()),IFERROR(INDEX(COMPOSICIÓN!$I$2:$I$1879,MATCH(B333,COMPOSICIÓN!$D$2:$D$1879,0)),0))</f>
        <v>465850</v>
      </c>
      <c r="G333" s="163">
        <f>SUMIFS(_PLAN_STG!$Q$2:$Q$1879,_PLAN_STG!$D$2:$D$1879,B333,_PLAN_STG!$B$2:$B$1879,"MAT",_PLAN_STG!$O$2:$O$1879,1)</f>
        <v>0</v>
      </c>
      <c r="H333" s="225" t="str">
        <f>IFERROR(INDEX(COMPOSICIÓN!$C$2:$C$1879,MATCH(B333,COMPOSICIÓN!$D$2:$D$1879,0)),"")</f>
        <v>OTR</v>
      </c>
      <c r="I333" s="226">
        <f>SUMPRODUCT((_PLAN_STG!$D$2:$D$1879=B333)*(_PLAN_STG!$B$2:$B$1879="MAT")*(_PLAN_STG!$O$2:$O$1879=1)*(_PLAN_STG!$P$2:$P$1879&gt;0))</f>
        <v>0</v>
      </c>
      <c r="J333" s="224" t="str">
        <f>IFERROR(VLOOKUP(B333,MATERIALES!$A:$G,7,FALSE()),"")</f>
        <v>Revestimientos y yesos</v>
      </c>
    </row>
    <row r="334" spans="1:10" x14ac:dyDescent="0.35">
      <c r="A334" s="222" t="str">
        <f t="shared" si="4"/>
        <v/>
      </c>
      <c r="B334" s="223"/>
      <c r="C334" s="224" t="str">
        <f>IFERROR(VLOOKUP(B334,MATERIALES!$A:$B,2,FALSE()),IFERROR(INDEX(COMPOSICIÓN!$E$2:$E$1879,MATCH(B334,COMPOSICIÓN!$D$2:$D$1879,0)),""))</f>
        <v/>
      </c>
      <c r="D334" s="225" t="str">
        <f>IFERROR(VLOOKUP(B334,MATERIALES!$A:$C,3,FALSE()),IFERROR(INDEX(COMPOSICIÓN!$F$2:$F$1879,MATCH(B334,COMPOSICIÓN!$D$2:$D$1879,0)),""))</f>
        <v/>
      </c>
      <c r="E334" s="161">
        <f>SUMIFS(_PLAN_STG!$P$2:$P$1879,_PLAN_STG!$D$2:$D$1879,B334,_PLAN_STG!$B$2:$B$1879,"MAT",_PLAN_STG!$O$2:$O$1879,1)</f>
        <v>0</v>
      </c>
      <c r="F334" s="162">
        <f>IFERROR(VLOOKUP(B334,MATERIALES!$A:$D,4,FALSE()),IFERROR(INDEX(COMPOSICIÓN!$I$2:$I$1879,MATCH(B334,COMPOSICIÓN!$D$2:$D$1879,0)),0))</f>
        <v>0</v>
      </c>
      <c r="G334" s="163">
        <f>SUMIFS(_PLAN_STG!$Q$2:$Q$1879,_PLAN_STG!$D$2:$D$1879,B334,_PLAN_STG!$B$2:$B$1879,"MAT",_PLAN_STG!$O$2:$O$1879,1)</f>
        <v>0</v>
      </c>
      <c r="H334" s="225" t="str">
        <f>IFERROR(INDEX(COMPOSICIÓN!$C$2:$C$1879,MATCH(B334,COMPOSICIÓN!$D$2:$D$1879,0)),"")</f>
        <v/>
      </c>
      <c r="I334" s="226">
        <f>SUMPRODUCT((_PLAN_STG!$D$2:$D$1879=B334)*(_PLAN_STG!$B$2:$B$1879="MAT")*(_PLAN_STG!$O$2:$O$1879=1)*(_PLAN_STG!$P$2:$P$1879&gt;0))</f>
        <v>0</v>
      </c>
      <c r="J334" s="224" t="str">
        <f>IFERROR(VLOOKUP(B334,MATERIALES!$A:$G,7,FALSE()),"")</f>
        <v/>
      </c>
    </row>
    <row r="335" spans="1:10" x14ac:dyDescent="0.35">
      <c r="A335" s="222" t="str">
        <f t="shared" si="4"/>
        <v/>
      </c>
      <c r="B335" s="223"/>
      <c r="C335" s="224" t="str">
        <f>IFERROR(VLOOKUP(B335,MATERIALES!$A:$B,2,FALSE()),IFERROR(INDEX(COMPOSICIÓN!$E$2:$E$1879,MATCH(B335,COMPOSICIÓN!$D$2:$D$1879,0)),""))</f>
        <v/>
      </c>
      <c r="D335" s="225" t="str">
        <f>IFERROR(VLOOKUP(B335,MATERIALES!$A:$C,3,FALSE()),IFERROR(INDEX(COMPOSICIÓN!$F$2:$F$1879,MATCH(B335,COMPOSICIÓN!$D$2:$D$1879,0)),""))</f>
        <v/>
      </c>
      <c r="E335" s="161">
        <f>SUMIFS(_PLAN_STG!$P$2:$P$1879,_PLAN_STG!$D$2:$D$1879,B335,_PLAN_STG!$B$2:$B$1879,"MAT",_PLAN_STG!$O$2:$O$1879,1)</f>
        <v>0</v>
      </c>
      <c r="F335" s="162">
        <f>IFERROR(VLOOKUP(B335,MATERIALES!$A:$D,4,FALSE()),IFERROR(INDEX(COMPOSICIÓN!$I$2:$I$1879,MATCH(B335,COMPOSICIÓN!$D$2:$D$1879,0)),0))</f>
        <v>0</v>
      </c>
      <c r="G335" s="163">
        <f>SUMIFS(_PLAN_STG!$Q$2:$Q$1879,_PLAN_STG!$D$2:$D$1879,B335,_PLAN_STG!$B$2:$B$1879,"MAT",_PLAN_STG!$O$2:$O$1879,1)</f>
        <v>0</v>
      </c>
      <c r="H335" s="225" t="str">
        <f>IFERROR(INDEX(COMPOSICIÓN!$C$2:$C$1879,MATCH(B335,COMPOSICIÓN!$D$2:$D$1879,0)),"")</f>
        <v/>
      </c>
      <c r="I335" s="226">
        <f>SUMPRODUCT((_PLAN_STG!$D$2:$D$1879=B335)*(_PLAN_STG!$B$2:$B$1879="MAT")*(_PLAN_STG!$O$2:$O$1879=1)*(_PLAN_STG!$P$2:$P$1879&gt;0))</f>
        <v>0</v>
      </c>
      <c r="J335" s="224" t="str">
        <f>IFERROR(VLOOKUP(B335,MATERIALES!$A:$G,7,FALSE()),"")</f>
        <v/>
      </c>
    </row>
    <row r="336" spans="1:10" x14ac:dyDescent="0.35">
      <c r="A336" s="222" t="str">
        <f t="shared" ref="A336:A365" si="5">IF(G336=0,"",ROW()-16+1)</f>
        <v/>
      </c>
      <c r="B336" s="223"/>
      <c r="C336" s="224" t="str">
        <f>IFERROR(VLOOKUP(B336,MATERIALES!$A:$B,2,FALSE()),IFERROR(INDEX(COMPOSICIÓN!$E$2:$E$1879,MATCH(B336,COMPOSICIÓN!$D$2:$D$1879,0)),""))</f>
        <v/>
      </c>
      <c r="D336" s="225" t="str">
        <f>IFERROR(VLOOKUP(B336,MATERIALES!$A:$C,3,FALSE()),IFERROR(INDEX(COMPOSICIÓN!$F$2:$F$1879,MATCH(B336,COMPOSICIÓN!$D$2:$D$1879,0)),""))</f>
        <v/>
      </c>
      <c r="E336" s="161">
        <f>SUMIFS(_PLAN_STG!$P$2:$P$1879,_PLAN_STG!$D$2:$D$1879,B336,_PLAN_STG!$B$2:$B$1879,"MAT",_PLAN_STG!$O$2:$O$1879,1)</f>
        <v>0</v>
      </c>
      <c r="F336" s="162">
        <f>IFERROR(VLOOKUP(B336,MATERIALES!$A:$D,4,FALSE()),IFERROR(INDEX(COMPOSICIÓN!$I$2:$I$1879,MATCH(B336,COMPOSICIÓN!$D$2:$D$1879,0)),0))</f>
        <v>0</v>
      </c>
      <c r="G336" s="163">
        <f>SUMIFS(_PLAN_STG!$Q$2:$Q$1879,_PLAN_STG!$D$2:$D$1879,B336,_PLAN_STG!$B$2:$B$1879,"MAT",_PLAN_STG!$O$2:$O$1879,1)</f>
        <v>0</v>
      </c>
      <c r="H336" s="225" t="str">
        <f>IFERROR(INDEX(COMPOSICIÓN!$C$2:$C$1879,MATCH(B336,COMPOSICIÓN!$D$2:$D$1879,0)),"")</f>
        <v/>
      </c>
      <c r="I336" s="226">
        <f>SUMPRODUCT((_PLAN_STG!$D$2:$D$1879=B336)*(_PLAN_STG!$B$2:$B$1879="MAT")*(_PLAN_STG!$O$2:$O$1879=1)*(_PLAN_STG!$P$2:$P$1879&gt;0))</f>
        <v>0</v>
      </c>
      <c r="J336" s="224" t="str">
        <f>IFERROR(VLOOKUP(B336,MATERIALES!$A:$G,7,FALSE()),"")</f>
        <v/>
      </c>
    </row>
    <row r="337" spans="1:10" x14ac:dyDescent="0.35">
      <c r="A337" s="222" t="str">
        <f t="shared" si="5"/>
        <v/>
      </c>
      <c r="B337" s="223"/>
      <c r="C337" s="224" t="str">
        <f>IFERROR(VLOOKUP(B337,MATERIALES!$A:$B,2,FALSE()),IFERROR(INDEX(COMPOSICIÓN!$E$2:$E$1879,MATCH(B337,COMPOSICIÓN!$D$2:$D$1879,0)),""))</f>
        <v/>
      </c>
      <c r="D337" s="225" t="str">
        <f>IFERROR(VLOOKUP(B337,MATERIALES!$A:$C,3,FALSE()),IFERROR(INDEX(COMPOSICIÓN!$F$2:$F$1879,MATCH(B337,COMPOSICIÓN!$D$2:$D$1879,0)),""))</f>
        <v/>
      </c>
      <c r="E337" s="161">
        <f>SUMIFS(_PLAN_STG!$P$2:$P$1879,_PLAN_STG!$D$2:$D$1879,B337,_PLAN_STG!$B$2:$B$1879,"MAT",_PLAN_STG!$O$2:$O$1879,1)</f>
        <v>0</v>
      </c>
      <c r="F337" s="162">
        <f>IFERROR(VLOOKUP(B337,MATERIALES!$A:$D,4,FALSE()),IFERROR(INDEX(COMPOSICIÓN!$I$2:$I$1879,MATCH(B337,COMPOSICIÓN!$D$2:$D$1879,0)),0))</f>
        <v>0</v>
      </c>
      <c r="G337" s="163">
        <f>SUMIFS(_PLAN_STG!$Q$2:$Q$1879,_PLAN_STG!$D$2:$D$1879,B337,_PLAN_STG!$B$2:$B$1879,"MAT",_PLAN_STG!$O$2:$O$1879,1)</f>
        <v>0</v>
      </c>
      <c r="H337" s="225" t="str">
        <f>IFERROR(INDEX(COMPOSICIÓN!$C$2:$C$1879,MATCH(B337,COMPOSICIÓN!$D$2:$D$1879,0)),"")</f>
        <v/>
      </c>
      <c r="I337" s="226">
        <f>SUMPRODUCT((_PLAN_STG!$D$2:$D$1879=B337)*(_PLAN_STG!$B$2:$B$1879="MAT")*(_PLAN_STG!$O$2:$O$1879=1)*(_PLAN_STG!$P$2:$P$1879&gt;0))</f>
        <v>0</v>
      </c>
      <c r="J337" s="224" t="str">
        <f>IFERROR(VLOOKUP(B337,MATERIALES!$A:$G,7,FALSE()),"")</f>
        <v/>
      </c>
    </row>
    <row r="338" spans="1:10" x14ac:dyDescent="0.35">
      <c r="A338" s="222" t="str">
        <f t="shared" si="5"/>
        <v/>
      </c>
      <c r="B338" s="223"/>
      <c r="C338" s="224" t="str">
        <f>IFERROR(VLOOKUP(B338,MATERIALES!$A:$B,2,FALSE()),IFERROR(INDEX(COMPOSICIÓN!$E$2:$E$1879,MATCH(B338,COMPOSICIÓN!$D$2:$D$1879,0)),""))</f>
        <v/>
      </c>
      <c r="D338" s="225" t="str">
        <f>IFERROR(VLOOKUP(B338,MATERIALES!$A:$C,3,FALSE()),IFERROR(INDEX(COMPOSICIÓN!$F$2:$F$1879,MATCH(B338,COMPOSICIÓN!$D$2:$D$1879,0)),""))</f>
        <v/>
      </c>
      <c r="E338" s="161">
        <f>SUMIFS(_PLAN_STG!$P$2:$P$1879,_PLAN_STG!$D$2:$D$1879,B338,_PLAN_STG!$B$2:$B$1879,"MAT",_PLAN_STG!$O$2:$O$1879,1)</f>
        <v>0</v>
      </c>
      <c r="F338" s="162">
        <f>IFERROR(VLOOKUP(B338,MATERIALES!$A:$D,4,FALSE()),IFERROR(INDEX(COMPOSICIÓN!$I$2:$I$1879,MATCH(B338,COMPOSICIÓN!$D$2:$D$1879,0)),0))</f>
        <v>0</v>
      </c>
      <c r="G338" s="163">
        <f>SUMIFS(_PLAN_STG!$Q$2:$Q$1879,_PLAN_STG!$D$2:$D$1879,B338,_PLAN_STG!$B$2:$B$1879,"MAT",_PLAN_STG!$O$2:$O$1879,1)</f>
        <v>0</v>
      </c>
      <c r="H338" s="225" t="str">
        <f>IFERROR(INDEX(COMPOSICIÓN!$C$2:$C$1879,MATCH(B338,COMPOSICIÓN!$D$2:$D$1879,0)),"")</f>
        <v/>
      </c>
      <c r="I338" s="226">
        <f>SUMPRODUCT((_PLAN_STG!$D$2:$D$1879=B338)*(_PLAN_STG!$B$2:$B$1879="MAT")*(_PLAN_STG!$O$2:$O$1879=1)*(_PLAN_STG!$P$2:$P$1879&gt;0))</f>
        <v>0</v>
      </c>
      <c r="J338" s="224" t="str">
        <f>IFERROR(VLOOKUP(B338,MATERIALES!$A:$G,7,FALSE()),"")</f>
        <v/>
      </c>
    </row>
    <row r="339" spans="1:10" x14ac:dyDescent="0.35">
      <c r="A339" s="222" t="str">
        <f t="shared" si="5"/>
        <v/>
      </c>
      <c r="B339" s="223"/>
      <c r="C339" s="224" t="str">
        <f>IFERROR(VLOOKUP(B339,MATERIALES!$A:$B,2,FALSE()),IFERROR(INDEX(COMPOSICIÓN!$E$2:$E$1879,MATCH(B339,COMPOSICIÓN!$D$2:$D$1879,0)),""))</f>
        <v/>
      </c>
      <c r="D339" s="225" t="str">
        <f>IFERROR(VLOOKUP(B339,MATERIALES!$A:$C,3,FALSE()),IFERROR(INDEX(COMPOSICIÓN!$F$2:$F$1879,MATCH(B339,COMPOSICIÓN!$D$2:$D$1879,0)),""))</f>
        <v/>
      </c>
      <c r="E339" s="161">
        <f>SUMIFS(_PLAN_STG!$P$2:$P$1879,_PLAN_STG!$D$2:$D$1879,B339,_PLAN_STG!$B$2:$B$1879,"MAT",_PLAN_STG!$O$2:$O$1879,1)</f>
        <v>0</v>
      </c>
      <c r="F339" s="162">
        <f>IFERROR(VLOOKUP(B339,MATERIALES!$A:$D,4,FALSE()),IFERROR(INDEX(COMPOSICIÓN!$I$2:$I$1879,MATCH(B339,COMPOSICIÓN!$D$2:$D$1879,0)),0))</f>
        <v>0</v>
      </c>
      <c r="G339" s="163">
        <f>SUMIFS(_PLAN_STG!$Q$2:$Q$1879,_PLAN_STG!$D$2:$D$1879,B339,_PLAN_STG!$B$2:$B$1879,"MAT",_PLAN_STG!$O$2:$O$1879,1)</f>
        <v>0</v>
      </c>
      <c r="H339" s="225" t="str">
        <f>IFERROR(INDEX(COMPOSICIÓN!$C$2:$C$1879,MATCH(B339,COMPOSICIÓN!$D$2:$D$1879,0)),"")</f>
        <v/>
      </c>
      <c r="I339" s="226">
        <f>SUMPRODUCT((_PLAN_STG!$D$2:$D$1879=B339)*(_PLAN_STG!$B$2:$B$1879="MAT")*(_PLAN_STG!$O$2:$O$1879=1)*(_PLAN_STG!$P$2:$P$1879&gt;0))</f>
        <v>0</v>
      </c>
      <c r="J339" s="224" t="str">
        <f>IFERROR(VLOOKUP(B339,MATERIALES!$A:$G,7,FALSE()),"")</f>
        <v/>
      </c>
    </row>
    <row r="340" spans="1:10" x14ac:dyDescent="0.35">
      <c r="A340" s="222" t="str">
        <f t="shared" si="5"/>
        <v/>
      </c>
      <c r="B340" s="223"/>
      <c r="C340" s="224" t="str">
        <f>IFERROR(VLOOKUP(B340,MATERIALES!$A:$B,2,FALSE()),IFERROR(INDEX(COMPOSICIÓN!$E$2:$E$1879,MATCH(B340,COMPOSICIÓN!$D$2:$D$1879,0)),""))</f>
        <v/>
      </c>
      <c r="D340" s="225" t="str">
        <f>IFERROR(VLOOKUP(B340,MATERIALES!$A:$C,3,FALSE()),IFERROR(INDEX(COMPOSICIÓN!$F$2:$F$1879,MATCH(B340,COMPOSICIÓN!$D$2:$D$1879,0)),""))</f>
        <v/>
      </c>
      <c r="E340" s="161">
        <f>SUMIFS(_PLAN_STG!$P$2:$P$1879,_PLAN_STG!$D$2:$D$1879,B340,_PLAN_STG!$B$2:$B$1879,"MAT",_PLAN_STG!$O$2:$O$1879,1)</f>
        <v>0</v>
      </c>
      <c r="F340" s="162">
        <f>IFERROR(VLOOKUP(B340,MATERIALES!$A:$D,4,FALSE()),IFERROR(INDEX(COMPOSICIÓN!$I$2:$I$1879,MATCH(B340,COMPOSICIÓN!$D$2:$D$1879,0)),0))</f>
        <v>0</v>
      </c>
      <c r="G340" s="163">
        <f>SUMIFS(_PLAN_STG!$Q$2:$Q$1879,_PLAN_STG!$D$2:$D$1879,B340,_PLAN_STG!$B$2:$B$1879,"MAT",_PLAN_STG!$O$2:$O$1879,1)</f>
        <v>0</v>
      </c>
      <c r="H340" s="225" t="str">
        <f>IFERROR(INDEX(COMPOSICIÓN!$C$2:$C$1879,MATCH(B340,COMPOSICIÓN!$D$2:$D$1879,0)),"")</f>
        <v/>
      </c>
      <c r="I340" s="226">
        <f>SUMPRODUCT((_PLAN_STG!$D$2:$D$1879=B340)*(_PLAN_STG!$B$2:$B$1879="MAT")*(_PLAN_STG!$O$2:$O$1879=1)*(_PLAN_STG!$P$2:$P$1879&gt;0))</f>
        <v>0</v>
      </c>
      <c r="J340" s="224" t="str">
        <f>IFERROR(VLOOKUP(B340,MATERIALES!$A:$G,7,FALSE()),"")</f>
        <v/>
      </c>
    </row>
    <row r="341" spans="1:10" x14ac:dyDescent="0.35">
      <c r="A341" s="222" t="str">
        <f t="shared" si="5"/>
        <v/>
      </c>
      <c r="B341" s="223"/>
      <c r="C341" s="224" t="str">
        <f>IFERROR(VLOOKUP(B341,MATERIALES!$A:$B,2,FALSE()),IFERROR(INDEX(COMPOSICIÓN!$E$2:$E$1879,MATCH(B341,COMPOSICIÓN!$D$2:$D$1879,0)),""))</f>
        <v/>
      </c>
      <c r="D341" s="225" t="str">
        <f>IFERROR(VLOOKUP(B341,MATERIALES!$A:$C,3,FALSE()),IFERROR(INDEX(COMPOSICIÓN!$F$2:$F$1879,MATCH(B341,COMPOSICIÓN!$D$2:$D$1879,0)),""))</f>
        <v/>
      </c>
      <c r="E341" s="161">
        <f>SUMIFS(_PLAN_STG!$P$2:$P$1879,_PLAN_STG!$D$2:$D$1879,B341,_PLAN_STG!$B$2:$B$1879,"MAT",_PLAN_STG!$O$2:$O$1879,1)</f>
        <v>0</v>
      </c>
      <c r="F341" s="162">
        <f>IFERROR(VLOOKUP(B341,MATERIALES!$A:$D,4,FALSE()),IFERROR(INDEX(COMPOSICIÓN!$I$2:$I$1879,MATCH(B341,COMPOSICIÓN!$D$2:$D$1879,0)),0))</f>
        <v>0</v>
      </c>
      <c r="G341" s="163">
        <f>SUMIFS(_PLAN_STG!$Q$2:$Q$1879,_PLAN_STG!$D$2:$D$1879,B341,_PLAN_STG!$B$2:$B$1879,"MAT",_PLAN_STG!$O$2:$O$1879,1)</f>
        <v>0</v>
      </c>
      <c r="H341" s="225" t="str">
        <f>IFERROR(INDEX(COMPOSICIÓN!$C$2:$C$1879,MATCH(B341,COMPOSICIÓN!$D$2:$D$1879,0)),"")</f>
        <v/>
      </c>
      <c r="I341" s="226">
        <f>SUMPRODUCT((_PLAN_STG!$D$2:$D$1879=B341)*(_PLAN_STG!$B$2:$B$1879="MAT")*(_PLAN_STG!$O$2:$O$1879=1)*(_PLAN_STG!$P$2:$P$1879&gt;0))</f>
        <v>0</v>
      </c>
      <c r="J341" s="224" t="str">
        <f>IFERROR(VLOOKUP(B341,MATERIALES!$A:$G,7,FALSE()),"")</f>
        <v/>
      </c>
    </row>
    <row r="342" spans="1:10" x14ac:dyDescent="0.35">
      <c r="A342" s="222" t="str">
        <f t="shared" si="5"/>
        <v/>
      </c>
      <c r="B342" s="223"/>
      <c r="C342" s="224" t="str">
        <f>IFERROR(VLOOKUP(B342,MATERIALES!$A:$B,2,FALSE()),IFERROR(INDEX(COMPOSICIÓN!$E$2:$E$1879,MATCH(B342,COMPOSICIÓN!$D$2:$D$1879,0)),""))</f>
        <v/>
      </c>
      <c r="D342" s="225" t="str">
        <f>IFERROR(VLOOKUP(B342,MATERIALES!$A:$C,3,FALSE()),IFERROR(INDEX(COMPOSICIÓN!$F$2:$F$1879,MATCH(B342,COMPOSICIÓN!$D$2:$D$1879,0)),""))</f>
        <v/>
      </c>
      <c r="E342" s="161">
        <f>SUMIFS(_PLAN_STG!$P$2:$P$1879,_PLAN_STG!$D$2:$D$1879,B342,_PLAN_STG!$B$2:$B$1879,"MAT",_PLAN_STG!$O$2:$O$1879,1)</f>
        <v>0</v>
      </c>
      <c r="F342" s="162">
        <f>IFERROR(VLOOKUP(B342,MATERIALES!$A:$D,4,FALSE()),IFERROR(INDEX(COMPOSICIÓN!$I$2:$I$1879,MATCH(B342,COMPOSICIÓN!$D$2:$D$1879,0)),0))</f>
        <v>0</v>
      </c>
      <c r="G342" s="163">
        <f>SUMIFS(_PLAN_STG!$Q$2:$Q$1879,_PLAN_STG!$D$2:$D$1879,B342,_PLAN_STG!$B$2:$B$1879,"MAT",_PLAN_STG!$O$2:$O$1879,1)</f>
        <v>0</v>
      </c>
      <c r="H342" s="225" t="str">
        <f>IFERROR(INDEX(COMPOSICIÓN!$C$2:$C$1879,MATCH(B342,COMPOSICIÓN!$D$2:$D$1879,0)),"")</f>
        <v/>
      </c>
      <c r="I342" s="226">
        <f>SUMPRODUCT((_PLAN_STG!$D$2:$D$1879=B342)*(_PLAN_STG!$B$2:$B$1879="MAT")*(_PLAN_STG!$O$2:$O$1879=1)*(_PLAN_STG!$P$2:$P$1879&gt;0))</f>
        <v>0</v>
      </c>
      <c r="J342" s="224" t="str">
        <f>IFERROR(VLOOKUP(B342,MATERIALES!$A:$G,7,FALSE()),"")</f>
        <v/>
      </c>
    </row>
    <row r="343" spans="1:10" x14ac:dyDescent="0.35">
      <c r="A343" s="222" t="str">
        <f t="shared" si="5"/>
        <v/>
      </c>
      <c r="B343" s="223"/>
      <c r="C343" s="224" t="str">
        <f>IFERROR(VLOOKUP(B343,MATERIALES!$A:$B,2,FALSE()),IFERROR(INDEX(COMPOSICIÓN!$E$2:$E$1879,MATCH(B343,COMPOSICIÓN!$D$2:$D$1879,0)),""))</f>
        <v/>
      </c>
      <c r="D343" s="225" t="str">
        <f>IFERROR(VLOOKUP(B343,MATERIALES!$A:$C,3,FALSE()),IFERROR(INDEX(COMPOSICIÓN!$F$2:$F$1879,MATCH(B343,COMPOSICIÓN!$D$2:$D$1879,0)),""))</f>
        <v/>
      </c>
      <c r="E343" s="161">
        <f>SUMIFS(_PLAN_STG!$P$2:$P$1879,_PLAN_STG!$D$2:$D$1879,B343,_PLAN_STG!$B$2:$B$1879,"MAT",_PLAN_STG!$O$2:$O$1879,1)</f>
        <v>0</v>
      </c>
      <c r="F343" s="162">
        <f>IFERROR(VLOOKUP(B343,MATERIALES!$A:$D,4,FALSE()),IFERROR(INDEX(COMPOSICIÓN!$I$2:$I$1879,MATCH(B343,COMPOSICIÓN!$D$2:$D$1879,0)),0))</f>
        <v>0</v>
      </c>
      <c r="G343" s="163">
        <f>SUMIFS(_PLAN_STG!$Q$2:$Q$1879,_PLAN_STG!$D$2:$D$1879,B343,_PLAN_STG!$B$2:$B$1879,"MAT",_PLAN_STG!$O$2:$O$1879,1)</f>
        <v>0</v>
      </c>
      <c r="H343" s="225" t="str">
        <f>IFERROR(INDEX(COMPOSICIÓN!$C$2:$C$1879,MATCH(B343,COMPOSICIÓN!$D$2:$D$1879,0)),"")</f>
        <v/>
      </c>
      <c r="I343" s="226">
        <f>SUMPRODUCT((_PLAN_STG!$D$2:$D$1879=B343)*(_PLAN_STG!$B$2:$B$1879="MAT")*(_PLAN_STG!$O$2:$O$1879=1)*(_PLAN_STG!$P$2:$P$1879&gt;0))</f>
        <v>0</v>
      </c>
      <c r="J343" s="224" t="str">
        <f>IFERROR(VLOOKUP(B343,MATERIALES!$A:$G,7,FALSE()),"")</f>
        <v/>
      </c>
    </row>
    <row r="344" spans="1:10" x14ac:dyDescent="0.35">
      <c r="A344" s="222" t="str">
        <f t="shared" si="5"/>
        <v/>
      </c>
      <c r="B344" s="223"/>
      <c r="C344" s="224" t="str">
        <f>IFERROR(VLOOKUP(B344,MATERIALES!$A:$B,2,FALSE()),IFERROR(INDEX(COMPOSICIÓN!$E$2:$E$1879,MATCH(B344,COMPOSICIÓN!$D$2:$D$1879,0)),""))</f>
        <v/>
      </c>
      <c r="D344" s="225" t="str">
        <f>IFERROR(VLOOKUP(B344,MATERIALES!$A:$C,3,FALSE()),IFERROR(INDEX(COMPOSICIÓN!$F$2:$F$1879,MATCH(B344,COMPOSICIÓN!$D$2:$D$1879,0)),""))</f>
        <v/>
      </c>
      <c r="E344" s="161">
        <f>SUMIFS(_PLAN_STG!$P$2:$P$1879,_PLAN_STG!$D$2:$D$1879,B344,_PLAN_STG!$B$2:$B$1879,"MAT",_PLAN_STG!$O$2:$O$1879,1)</f>
        <v>0</v>
      </c>
      <c r="F344" s="162">
        <f>IFERROR(VLOOKUP(B344,MATERIALES!$A:$D,4,FALSE()),IFERROR(INDEX(COMPOSICIÓN!$I$2:$I$1879,MATCH(B344,COMPOSICIÓN!$D$2:$D$1879,0)),0))</f>
        <v>0</v>
      </c>
      <c r="G344" s="163">
        <f>SUMIFS(_PLAN_STG!$Q$2:$Q$1879,_PLAN_STG!$D$2:$D$1879,B344,_PLAN_STG!$B$2:$B$1879,"MAT",_PLAN_STG!$O$2:$O$1879,1)</f>
        <v>0</v>
      </c>
      <c r="H344" s="225" t="str">
        <f>IFERROR(INDEX(COMPOSICIÓN!$C$2:$C$1879,MATCH(B344,COMPOSICIÓN!$D$2:$D$1879,0)),"")</f>
        <v/>
      </c>
      <c r="I344" s="226">
        <f>SUMPRODUCT((_PLAN_STG!$D$2:$D$1879=B344)*(_PLAN_STG!$B$2:$B$1879="MAT")*(_PLAN_STG!$O$2:$O$1879=1)*(_PLAN_STG!$P$2:$P$1879&gt;0))</f>
        <v>0</v>
      </c>
      <c r="J344" s="224" t="str">
        <f>IFERROR(VLOOKUP(B344,MATERIALES!$A:$G,7,FALSE()),"")</f>
        <v/>
      </c>
    </row>
    <row r="345" spans="1:10" x14ac:dyDescent="0.35">
      <c r="A345" s="222" t="str">
        <f t="shared" si="5"/>
        <v/>
      </c>
      <c r="B345" s="223"/>
      <c r="C345" s="224" t="str">
        <f>IFERROR(VLOOKUP(B345,MATERIALES!$A:$B,2,FALSE()),IFERROR(INDEX(COMPOSICIÓN!$E$2:$E$1879,MATCH(B345,COMPOSICIÓN!$D$2:$D$1879,0)),""))</f>
        <v/>
      </c>
      <c r="D345" s="225" t="str">
        <f>IFERROR(VLOOKUP(B345,MATERIALES!$A:$C,3,FALSE()),IFERROR(INDEX(COMPOSICIÓN!$F$2:$F$1879,MATCH(B345,COMPOSICIÓN!$D$2:$D$1879,0)),""))</f>
        <v/>
      </c>
      <c r="E345" s="161">
        <f>SUMIFS(_PLAN_STG!$P$2:$P$1879,_PLAN_STG!$D$2:$D$1879,B345,_PLAN_STG!$B$2:$B$1879,"MAT",_PLAN_STG!$O$2:$O$1879,1)</f>
        <v>0</v>
      </c>
      <c r="F345" s="162">
        <f>IFERROR(VLOOKUP(B345,MATERIALES!$A:$D,4,FALSE()),IFERROR(INDEX(COMPOSICIÓN!$I$2:$I$1879,MATCH(B345,COMPOSICIÓN!$D$2:$D$1879,0)),0))</f>
        <v>0</v>
      </c>
      <c r="G345" s="163">
        <f>SUMIFS(_PLAN_STG!$Q$2:$Q$1879,_PLAN_STG!$D$2:$D$1879,B345,_PLAN_STG!$B$2:$B$1879,"MAT",_PLAN_STG!$O$2:$O$1879,1)</f>
        <v>0</v>
      </c>
      <c r="H345" s="225" t="str">
        <f>IFERROR(INDEX(COMPOSICIÓN!$C$2:$C$1879,MATCH(B345,COMPOSICIÓN!$D$2:$D$1879,0)),"")</f>
        <v/>
      </c>
      <c r="I345" s="226">
        <f>SUMPRODUCT((_PLAN_STG!$D$2:$D$1879=B345)*(_PLAN_STG!$B$2:$B$1879="MAT")*(_PLAN_STG!$O$2:$O$1879=1)*(_PLAN_STG!$P$2:$P$1879&gt;0))</f>
        <v>0</v>
      </c>
      <c r="J345" s="224" t="str">
        <f>IFERROR(VLOOKUP(B345,MATERIALES!$A:$G,7,FALSE()),"")</f>
        <v/>
      </c>
    </row>
    <row r="346" spans="1:10" x14ac:dyDescent="0.35">
      <c r="A346" s="222" t="str">
        <f t="shared" si="5"/>
        <v/>
      </c>
      <c r="B346" s="223"/>
      <c r="C346" s="224" t="str">
        <f>IFERROR(VLOOKUP(B346,MATERIALES!$A:$B,2,FALSE()),IFERROR(INDEX(COMPOSICIÓN!$E$2:$E$1879,MATCH(B346,COMPOSICIÓN!$D$2:$D$1879,0)),""))</f>
        <v/>
      </c>
      <c r="D346" s="225" t="str">
        <f>IFERROR(VLOOKUP(B346,MATERIALES!$A:$C,3,FALSE()),IFERROR(INDEX(COMPOSICIÓN!$F$2:$F$1879,MATCH(B346,COMPOSICIÓN!$D$2:$D$1879,0)),""))</f>
        <v/>
      </c>
      <c r="E346" s="161">
        <f>SUMIFS(_PLAN_STG!$P$2:$P$1879,_PLAN_STG!$D$2:$D$1879,B346,_PLAN_STG!$B$2:$B$1879,"MAT",_PLAN_STG!$O$2:$O$1879,1)</f>
        <v>0</v>
      </c>
      <c r="F346" s="162">
        <f>IFERROR(VLOOKUP(B346,MATERIALES!$A:$D,4,FALSE()),IFERROR(INDEX(COMPOSICIÓN!$I$2:$I$1879,MATCH(B346,COMPOSICIÓN!$D$2:$D$1879,0)),0))</f>
        <v>0</v>
      </c>
      <c r="G346" s="163">
        <f>SUMIFS(_PLAN_STG!$Q$2:$Q$1879,_PLAN_STG!$D$2:$D$1879,B346,_PLAN_STG!$B$2:$B$1879,"MAT",_PLAN_STG!$O$2:$O$1879,1)</f>
        <v>0</v>
      </c>
      <c r="H346" s="225" t="str">
        <f>IFERROR(INDEX(COMPOSICIÓN!$C$2:$C$1879,MATCH(B346,COMPOSICIÓN!$D$2:$D$1879,0)),"")</f>
        <v/>
      </c>
      <c r="I346" s="226">
        <f>SUMPRODUCT((_PLAN_STG!$D$2:$D$1879=B346)*(_PLAN_STG!$B$2:$B$1879="MAT")*(_PLAN_STG!$O$2:$O$1879=1)*(_PLAN_STG!$P$2:$P$1879&gt;0))</f>
        <v>0</v>
      </c>
      <c r="J346" s="224" t="str">
        <f>IFERROR(VLOOKUP(B346,MATERIALES!$A:$G,7,FALSE()),"")</f>
        <v/>
      </c>
    </row>
    <row r="347" spans="1:10" x14ac:dyDescent="0.35">
      <c r="A347" s="222" t="str">
        <f t="shared" si="5"/>
        <v/>
      </c>
      <c r="B347" s="223"/>
      <c r="C347" s="224" t="str">
        <f>IFERROR(VLOOKUP(B347,MATERIALES!$A:$B,2,FALSE()),IFERROR(INDEX(COMPOSICIÓN!$E$2:$E$1879,MATCH(B347,COMPOSICIÓN!$D$2:$D$1879,0)),""))</f>
        <v/>
      </c>
      <c r="D347" s="225" t="str">
        <f>IFERROR(VLOOKUP(B347,MATERIALES!$A:$C,3,FALSE()),IFERROR(INDEX(COMPOSICIÓN!$F$2:$F$1879,MATCH(B347,COMPOSICIÓN!$D$2:$D$1879,0)),""))</f>
        <v/>
      </c>
      <c r="E347" s="161">
        <f>SUMIFS(_PLAN_STG!$P$2:$P$1879,_PLAN_STG!$D$2:$D$1879,B347,_PLAN_STG!$B$2:$B$1879,"MAT",_PLAN_STG!$O$2:$O$1879,1)</f>
        <v>0</v>
      </c>
      <c r="F347" s="162">
        <f>IFERROR(VLOOKUP(B347,MATERIALES!$A:$D,4,FALSE()),IFERROR(INDEX(COMPOSICIÓN!$I$2:$I$1879,MATCH(B347,COMPOSICIÓN!$D$2:$D$1879,0)),0))</f>
        <v>0</v>
      </c>
      <c r="G347" s="163">
        <f>SUMIFS(_PLAN_STG!$Q$2:$Q$1879,_PLAN_STG!$D$2:$D$1879,B347,_PLAN_STG!$B$2:$B$1879,"MAT",_PLAN_STG!$O$2:$O$1879,1)</f>
        <v>0</v>
      </c>
      <c r="H347" s="225" t="str">
        <f>IFERROR(INDEX(COMPOSICIÓN!$C$2:$C$1879,MATCH(B347,COMPOSICIÓN!$D$2:$D$1879,0)),"")</f>
        <v/>
      </c>
      <c r="I347" s="226">
        <f>SUMPRODUCT((_PLAN_STG!$D$2:$D$1879=B347)*(_PLAN_STG!$B$2:$B$1879="MAT")*(_PLAN_STG!$O$2:$O$1879=1)*(_PLAN_STG!$P$2:$P$1879&gt;0))</f>
        <v>0</v>
      </c>
      <c r="J347" s="224" t="str">
        <f>IFERROR(VLOOKUP(B347,MATERIALES!$A:$G,7,FALSE()),"")</f>
        <v/>
      </c>
    </row>
    <row r="348" spans="1:10" x14ac:dyDescent="0.35">
      <c r="A348" s="222" t="str">
        <f t="shared" si="5"/>
        <v/>
      </c>
      <c r="B348" s="223"/>
      <c r="C348" s="224" t="str">
        <f>IFERROR(VLOOKUP(B348,MATERIALES!$A:$B,2,FALSE()),IFERROR(INDEX(COMPOSICIÓN!$E$2:$E$1879,MATCH(B348,COMPOSICIÓN!$D$2:$D$1879,0)),""))</f>
        <v/>
      </c>
      <c r="D348" s="225" t="str">
        <f>IFERROR(VLOOKUP(B348,MATERIALES!$A:$C,3,FALSE()),IFERROR(INDEX(COMPOSICIÓN!$F$2:$F$1879,MATCH(B348,COMPOSICIÓN!$D$2:$D$1879,0)),""))</f>
        <v/>
      </c>
      <c r="E348" s="161">
        <f>SUMIFS(_PLAN_STG!$P$2:$P$1879,_PLAN_STG!$D$2:$D$1879,B348,_PLAN_STG!$B$2:$B$1879,"MAT",_PLAN_STG!$O$2:$O$1879,1)</f>
        <v>0</v>
      </c>
      <c r="F348" s="162">
        <f>IFERROR(VLOOKUP(B348,MATERIALES!$A:$D,4,FALSE()),IFERROR(INDEX(COMPOSICIÓN!$I$2:$I$1879,MATCH(B348,COMPOSICIÓN!$D$2:$D$1879,0)),0))</f>
        <v>0</v>
      </c>
      <c r="G348" s="163">
        <f>SUMIFS(_PLAN_STG!$Q$2:$Q$1879,_PLAN_STG!$D$2:$D$1879,B348,_PLAN_STG!$B$2:$B$1879,"MAT",_PLAN_STG!$O$2:$O$1879,1)</f>
        <v>0</v>
      </c>
      <c r="H348" s="225" t="str">
        <f>IFERROR(INDEX(COMPOSICIÓN!$C$2:$C$1879,MATCH(B348,COMPOSICIÓN!$D$2:$D$1879,0)),"")</f>
        <v/>
      </c>
      <c r="I348" s="226">
        <f>SUMPRODUCT((_PLAN_STG!$D$2:$D$1879=B348)*(_PLAN_STG!$B$2:$B$1879="MAT")*(_PLAN_STG!$O$2:$O$1879=1)*(_PLAN_STG!$P$2:$P$1879&gt;0))</f>
        <v>0</v>
      </c>
      <c r="J348" s="224" t="str">
        <f>IFERROR(VLOOKUP(B348,MATERIALES!$A:$G,7,FALSE()),"")</f>
        <v/>
      </c>
    </row>
    <row r="349" spans="1:10" x14ac:dyDescent="0.35">
      <c r="A349" s="222" t="str">
        <f t="shared" si="5"/>
        <v/>
      </c>
      <c r="B349" s="223"/>
      <c r="C349" s="224" t="str">
        <f>IFERROR(VLOOKUP(B349,MATERIALES!$A:$B,2,FALSE()),IFERROR(INDEX(COMPOSICIÓN!$E$2:$E$1879,MATCH(B349,COMPOSICIÓN!$D$2:$D$1879,0)),""))</f>
        <v/>
      </c>
      <c r="D349" s="225" t="str">
        <f>IFERROR(VLOOKUP(B349,MATERIALES!$A:$C,3,FALSE()),IFERROR(INDEX(COMPOSICIÓN!$F$2:$F$1879,MATCH(B349,COMPOSICIÓN!$D$2:$D$1879,0)),""))</f>
        <v/>
      </c>
      <c r="E349" s="161">
        <f>SUMIFS(_PLAN_STG!$P$2:$P$1879,_PLAN_STG!$D$2:$D$1879,B349,_PLAN_STG!$B$2:$B$1879,"MAT",_PLAN_STG!$O$2:$O$1879,1)</f>
        <v>0</v>
      </c>
      <c r="F349" s="162">
        <f>IFERROR(VLOOKUP(B349,MATERIALES!$A:$D,4,FALSE()),IFERROR(INDEX(COMPOSICIÓN!$I$2:$I$1879,MATCH(B349,COMPOSICIÓN!$D$2:$D$1879,0)),0))</f>
        <v>0</v>
      </c>
      <c r="G349" s="163">
        <f>SUMIFS(_PLAN_STG!$Q$2:$Q$1879,_PLAN_STG!$D$2:$D$1879,B349,_PLAN_STG!$B$2:$B$1879,"MAT",_PLAN_STG!$O$2:$O$1879,1)</f>
        <v>0</v>
      </c>
      <c r="H349" s="225" t="str">
        <f>IFERROR(INDEX(COMPOSICIÓN!$C$2:$C$1879,MATCH(B349,COMPOSICIÓN!$D$2:$D$1879,0)),"")</f>
        <v/>
      </c>
      <c r="I349" s="226">
        <f>SUMPRODUCT((_PLAN_STG!$D$2:$D$1879=B349)*(_PLAN_STG!$B$2:$B$1879="MAT")*(_PLAN_STG!$O$2:$O$1879=1)*(_PLAN_STG!$P$2:$P$1879&gt;0))</f>
        <v>0</v>
      </c>
      <c r="J349" s="224" t="str">
        <f>IFERROR(VLOOKUP(B349,MATERIALES!$A:$G,7,FALSE()),"")</f>
        <v/>
      </c>
    </row>
    <row r="350" spans="1:10" x14ac:dyDescent="0.35">
      <c r="A350" s="222" t="str">
        <f t="shared" si="5"/>
        <v/>
      </c>
      <c r="B350" s="223"/>
      <c r="C350" s="224" t="str">
        <f>IFERROR(VLOOKUP(B350,MATERIALES!$A:$B,2,FALSE()),IFERROR(INDEX(COMPOSICIÓN!$E$2:$E$1879,MATCH(B350,COMPOSICIÓN!$D$2:$D$1879,0)),""))</f>
        <v/>
      </c>
      <c r="D350" s="225" t="str">
        <f>IFERROR(VLOOKUP(B350,MATERIALES!$A:$C,3,FALSE()),IFERROR(INDEX(COMPOSICIÓN!$F$2:$F$1879,MATCH(B350,COMPOSICIÓN!$D$2:$D$1879,0)),""))</f>
        <v/>
      </c>
      <c r="E350" s="161">
        <f>SUMIFS(_PLAN_STG!$P$2:$P$1879,_PLAN_STG!$D$2:$D$1879,B350,_PLAN_STG!$B$2:$B$1879,"MAT",_PLAN_STG!$O$2:$O$1879,1)</f>
        <v>0</v>
      </c>
      <c r="F350" s="162">
        <f>IFERROR(VLOOKUP(B350,MATERIALES!$A:$D,4,FALSE()),IFERROR(INDEX(COMPOSICIÓN!$I$2:$I$1879,MATCH(B350,COMPOSICIÓN!$D$2:$D$1879,0)),0))</f>
        <v>0</v>
      </c>
      <c r="G350" s="163">
        <f>SUMIFS(_PLAN_STG!$Q$2:$Q$1879,_PLAN_STG!$D$2:$D$1879,B350,_PLAN_STG!$B$2:$B$1879,"MAT",_PLAN_STG!$O$2:$O$1879,1)</f>
        <v>0</v>
      </c>
      <c r="H350" s="225" t="str">
        <f>IFERROR(INDEX(COMPOSICIÓN!$C$2:$C$1879,MATCH(B350,COMPOSICIÓN!$D$2:$D$1879,0)),"")</f>
        <v/>
      </c>
      <c r="I350" s="226">
        <f>SUMPRODUCT((_PLAN_STG!$D$2:$D$1879=B350)*(_PLAN_STG!$B$2:$B$1879="MAT")*(_PLAN_STG!$O$2:$O$1879=1)*(_PLAN_STG!$P$2:$P$1879&gt;0))</f>
        <v>0</v>
      </c>
      <c r="J350" s="224" t="str">
        <f>IFERROR(VLOOKUP(B350,MATERIALES!$A:$G,7,FALSE()),"")</f>
        <v/>
      </c>
    </row>
    <row r="351" spans="1:10" x14ac:dyDescent="0.35">
      <c r="A351" s="222" t="str">
        <f t="shared" si="5"/>
        <v/>
      </c>
      <c r="B351" s="223"/>
      <c r="C351" s="224" t="str">
        <f>IFERROR(VLOOKUP(B351,MATERIALES!$A:$B,2,FALSE()),IFERROR(INDEX(COMPOSICIÓN!$E$2:$E$1879,MATCH(B351,COMPOSICIÓN!$D$2:$D$1879,0)),""))</f>
        <v/>
      </c>
      <c r="D351" s="225" t="str">
        <f>IFERROR(VLOOKUP(B351,MATERIALES!$A:$C,3,FALSE()),IFERROR(INDEX(COMPOSICIÓN!$F$2:$F$1879,MATCH(B351,COMPOSICIÓN!$D$2:$D$1879,0)),""))</f>
        <v/>
      </c>
      <c r="E351" s="161">
        <f>SUMIFS(_PLAN_STG!$P$2:$P$1879,_PLAN_STG!$D$2:$D$1879,B351,_PLAN_STG!$B$2:$B$1879,"MAT",_PLAN_STG!$O$2:$O$1879,1)</f>
        <v>0</v>
      </c>
      <c r="F351" s="162">
        <f>IFERROR(VLOOKUP(B351,MATERIALES!$A:$D,4,FALSE()),IFERROR(INDEX(COMPOSICIÓN!$I$2:$I$1879,MATCH(B351,COMPOSICIÓN!$D$2:$D$1879,0)),0))</f>
        <v>0</v>
      </c>
      <c r="G351" s="163">
        <f>SUMIFS(_PLAN_STG!$Q$2:$Q$1879,_PLAN_STG!$D$2:$D$1879,B351,_PLAN_STG!$B$2:$B$1879,"MAT",_PLAN_STG!$O$2:$O$1879,1)</f>
        <v>0</v>
      </c>
      <c r="H351" s="225" t="str">
        <f>IFERROR(INDEX(COMPOSICIÓN!$C$2:$C$1879,MATCH(B351,COMPOSICIÓN!$D$2:$D$1879,0)),"")</f>
        <v/>
      </c>
      <c r="I351" s="226">
        <f>SUMPRODUCT((_PLAN_STG!$D$2:$D$1879=B351)*(_PLAN_STG!$B$2:$B$1879="MAT")*(_PLAN_STG!$O$2:$O$1879=1)*(_PLAN_STG!$P$2:$P$1879&gt;0))</f>
        <v>0</v>
      </c>
      <c r="J351" s="224" t="str">
        <f>IFERROR(VLOOKUP(B351,MATERIALES!$A:$G,7,FALSE()),"")</f>
        <v/>
      </c>
    </row>
    <row r="352" spans="1:10" x14ac:dyDescent="0.35">
      <c r="A352" s="222" t="str">
        <f t="shared" si="5"/>
        <v/>
      </c>
      <c r="B352" s="223"/>
      <c r="C352" s="224" t="str">
        <f>IFERROR(VLOOKUP(B352,MATERIALES!$A:$B,2,FALSE()),IFERROR(INDEX(COMPOSICIÓN!$E$2:$E$1879,MATCH(B352,COMPOSICIÓN!$D$2:$D$1879,0)),""))</f>
        <v/>
      </c>
      <c r="D352" s="225" t="str">
        <f>IFERROR(VLOOKUP(B352,MATERIALES!$A:$C,3,FALSE()),IFERROR(INDEX(COMPOSICIÓN!$F$2:$F$1879,MATCH(B352,COMPOSICIÓN!$D$2:$D$1879,0)),""))</f>
        <v/>
      </c>
      <c r="E352" s="161">
        <f>SUMIFS(_PLAN_STG!$P$2:$P$1879,_PLAN_STG!$D$2:$D$1879,B352,_PLAN_STG!$B$2:$B$1879,"MAT",_PLAN_STG!$O$2:$O$1879,1)</f>
        <v>0</v>
      </c>
      <c r="F352" s="162">
        <f>IFERROR(VLOOKUP(B352,MATERIALES!$A:$D,4,FALSE()),IFERROR(INDEX(COMPOSICIÓN!$I$2:$I$1879,MATCH(B352,COMPOSICIÓN!$D$2:$D$1879,0)),0))</f>
        <v>0</v>
      </c>
      <c r="G352" s="163">
        <f>SUMIFS(_PLAN_STG!$Q$2:$Q$1879,_PLAN_STG!$D$2:$D$1879,B352,_PLAN_STG!$B$2:$B$1879,"MAT",_PLAN_STG!$O$2:$O$1879,1)</f>
        <v>0</v>
      </c>
      <c r="H352" s="225" t="str">
        <f>IFERROR(INDEX(COMPOSICIÓN!$C$2:$C$1879,MATCH(B352,COMPOSICIÓN!$D$2:$D$1879,0)),"")</f>
        <v/>
      </c>
      <c r="I352" s="226">
        <f>SUMPRODUCT((_PLAN_STG!$D$2:$D$1879=B352)*(_PLAN_STG!$B$2:$B$1879="MAT")*(_PLAN_STG!$O$2:$O$1879=1)*(_PLAN_STG!$P$2:$P$1879&gt;0))</f>
        <v>0</v>
      </c>
      <c r="J352" s="224" t="str">
        <f>IFERROR(VLOOKUP(B352,MATERIALES!$A:$G,7,FALSE()),"")</f>
        <v/>
      </c>
    </row>
    <row r="353" spans="1:10" x14ac:dyDescent="0.35">
      <c r="A353" s="222" t="str">
        <f t="shared" si="5"/>
        <v/>
      </c>
      <c r="B353" s="223"/>
      <c r="C353" s="224" t="str">
        <f>IFERROR(VLOOKUP(B353,MATERIALES!$A:$B,2,FALSE()),IFERROR(INDEX(COMPOSICIÓN!$E$2:$E$1879,MATCH(B353,COMPOSICIÓN!$D$2:$D$1879,0)),""))</f>
        <v/>
      </c>
      <c r="D353" s="225" t="str">
        <f>IFERROR(VLOOKUP(B353,MATERIALES!$A:$C,3,FALSE()),IFERROR(INDEX(COMPOSICIÓN!$F$2:$F$1879,MATCH(B353,COMPOSICIÓN!$D$2:$D$1879,0)),""))</f>
        <v/>
      </c>
      <c r="E353" s="161">
        <f>SUMIFS(_PLAN_STG!$P$2:$P$1879,_PLAN_STG!$D$2:$D$1879,B353,_PLAN_STG!$B$2:$B$1879,"MAT",_PLAN_STG!$O$2:$O$1879,1)</f>
        <v>0</v>
      </c>
      <c r="F353" s="162">
        <f>IFERROR(VLOOKUP(B353,MATERIALES!$A:$D,4,FALSE()),IFERROR(INDEX(COMPOSICIÓN!$I$2:$I$1879,MATCH(B353,COMPOSICIÓN!$D$2:$D$1879,0)),0))</f>
        <v>0</v>
      </c>
      <c r="G353" s="163">
        <f>SUMIFS(_PLAN_STG!$Q$2:$Q$1879,_PLAN_STG!$D$2:$D$1879,B353,_PLAN_STG!$B$2:$B$1879,"MAT",_PLAN_STG!$O$2:$O$1879,1)</f>
        <v>0</v>
      </c>
      <c r="H353" s="225" t="str">
        <f>IFERROR(INDEX(COMPOSICIÓN!$C$2:$C$1879,MATCH(B353,COMPOSICIÓN!$D$2:$D$1879,0)),"")</f>
        <v/>
      </c>
      <c r="I353" s="226">
        <f>SUMPRODUCT((_PLAN_STG!$D$2:$D$1879=B353)*(_PLAN_STG!$B$2:$B$1879="MAT")*(_PLAN_STG!$O$2:$O$1879=1)*(_PLAN_STG!$P$2:$P$1879&gt;0))</f>
        <v>0</v>
      </c>
      <c r="J353" s="224" t="str">
        <f>IFERROR(VLOOKUP(B353,MATERIALES!$A:$G,7,FALSE()),"")</f>
        <v/>
      </c>
    </row>
    <row r="354" spans="1:10" x14ac:dyDescent="0.35">
      <c r="A354" s="222" t="str">
        <f t="shared" si="5"/>
        <v/>
      </c>
      <c r="B354" s="223"/>
      <c r="C354" s="224" t="str">
        <f>IFERROR(VLOOKUP(B354,MATERIALES!$A:$B,2,FALSE()),IFERROR(INDEX(COMPOSICIÓN!$E$2:$E$1879,MATCH(B354,COMPOSICIÓN!$D$2:$D$1879,0)),""))</f>
        <v/>
      </c>
      <c r="D354" s="225" t="str">
        <f>IFERROR(VLOOKUP(B354,MATERIALES!$A:$C,3,FALSE()),IFERROR(INDEX(COMPOSICIÓN!$F$2:$F$1879,MATCH(B354,COMPOSICIÓN!$D$2:$D$1879,0)),""))</f>
        <v/>
      </c>
      <c r="E354" s="161">
        <f>SUMIFS(_PLAN_STG!$P$2:$P$1879,_PLAN_STG!$D$2:$D$1879,B354,_PLAN_STG!$B$2:$B$1879,"MAT",_PLAN_STG!$O$2:$O$1879,1)</f>
        <v>0</v>
      </c>
      <c r="F354" s="162">
        <f>IFERROR(VLOOKUP(B354,MATERIALES!$A:$D,4,FALSE()),IFERROR(INDEX(COMPOSICIÓN!$I$2:$I$1879,MATCH(B354,COMPOSICIÓN!$D$2:$D$1879,0)),0))</f>
        <v>0</v>
      </c>
      <c r="G354" s="163">
        <f>SUMIFS(_PLAN_STG!$Q$2:$Q$1879,_PLAN_STG!$D$2:$D$1879,B354,_PLAN_STG!$B$2:$B$1879,"MAT",_PLAN_STG!$O$2:$O$1879,1)</f>
        <v>0</v>
      </c>
      <c r="H354" s="225" t="str">
        <f>IFERROR(INDEX(COMPOSICIÓN!$C$2:$C$1879,MATCH(B354,COMPOSICIÓN!$D$2:$D$1879,0)),"")</f>
        <v/>
      </c>
      <c r="I354" s="226">
        <f>SUMPRODUCT((_PLAN_STG!$D$2:$D$1879=B354)*(_PLAN_STG!$B$2:$B$1879="MAT")*(_PLAN_STG!$O$2:$O$1879=1)*(_PLAN_STG!$P$2:$P$1879&gt;0))</f>
        <v>0</v>
      </c>
      <c r="J354" s="224" t="str">
        <f>IFERROR(VLOOKUP(B354,MATERIALES!$A:$G,7,FALSE()),"")</f>
        <v/>
      </c>
    </row>
    <row r="355" spans="1:10" x14ac:dyDescent="0.35">
      <c r="A355" s="222" t="str">
        <f t="shared" si="5"/>
        <v/>
      </c>
      <c r="B355" s="223"/>
      <c r="C355" s="224" t="str">
        <f>IFERROR(VLOOKUP(B355,MATERIALES!$A:$B,2,FALSE()),IFERROR(INDEX(COMPOSICIÓN!$E$2:$E$1879,MATCH(B355,COMPOSICIÓN!$D$2:$D$1879,0)),""))</f>
        <v/>
      </c>
      <c r="D355" s="225" t="str">
        <f>IFERROR(VLOOKUP(B355,MATERIALES!$A:$C,3,FALSE()),IFERROR(INDEX(COMPOSICIÓN!$F$2:$F$1879,MATCH(B355,COMPOSICIÓN!$D$2:$D$1879,0)),""))</f>
        <v/>
      </c>
      <c r="E355" s="161">
        <f>SUMIFS(_PLAN_STG!$P$2:$P$1879,_PLAN_STG!$D$2:$D$1879,B355,_PLAN_STG!$B$2:$B$1879,"MAT",_PLAN_STG!$O$2:$O$1879,1)</f>
        <v>0</v>
      </c>
      <c r="F355" s="162">
        <f>IFERROR(VLOOKUP(B355,MATERIALES!$A:$D,4,FALSE()),IFERROR(INDEX(COMPOSICIÓN!$I$2:$I$1879,MATCH(B355,COMPOSICIÓN!$D$2:$D$1879,0)),0))</f>
        <v>0</v>
      </c>
      <c r="G355" s="163">
        <f>SUMIFS(_PLAN_STG!$Q$2:$Q$1879,_PLAN_STG!$D$2:$D$1879,B355,_PLAN_STG!$B$2:$B$1879,"MAT",_PLAN_STG!$O$2:$O$1879,1)</f>
        <v>0</v>
      </c>
      <c r="H355" s="225" t="str">
        <f>IFERROR(INDEX(COMPOSICIÓN!$C$2:$C$1879,MATCH(B355,COMPOSICIÓN!$D$2:$D$1879,0)),"")</f>
        <v/>
      </c>
      <c r="I355" s="226">
        <f>SUMPRODUCT((_PLAN_STG!$D$2:$D$1879=B355)*(_PLAN_STG!$B$2:$B$1879="MAT")*(_PLAN_STG!$O$2:$O$1879=1)*(_PLAN_STG!$P$2:$P$1879&gt;0))</f>
        <v>0</v>
      </c>
      <c r="J355" s="224" t="str">
        <f>IFERROR(VLOOKUP(B355,MATERIALES!$A:$G,7,FALSE()),"")</f>
        <v/>
      </c>
    </row>
    <row r="356" spans="1:10" x14ac:dyDescent="0.35">
      <c r="A356" s="222" t="str">
        <f t="shared" si="5"/>
        <v/>
      </c>
      <c r="B356" s="223"/>
      <c r="C356" s="224" t="str">
        <f>IFERROR(VLOOKUP(B356,MATERIALES!$A:$B,2,FALSE()),IFERROR(INDEX(COMPOSICIÓN!$E$2:$E$1879,MATCH(B356,COMPOSICIÓN!$D$2:$D$1879,0)),""))</f>
        <v/>
      </c>
      <c r="D356" s="225" t="str">
        <f>IFERROR(VLOOKUP(B356,MATERIALES!$A:$C,3,FALSE()),IFERROR(INDEX(COMPOSICIÓN!$F$2:$F$1879,MATCH(B356,COMPOSICIÓN!$D$2:$D$1879,0)),""))</f>
        <v/>
      </c>
      <c r="E356" s="161">
        <f>SUMIFS(_PLAN_STG!$P$2:$P$1879,_PLAN_STG!$D$2:$D$1879,B356,_PLAN_STG!$B$2:$B$1879,"MAT",_PLAN_STG!$O$2:$O$1879,1)</f>
        <v>0</v>
      </c>
      <c r="F356" s="162">
        <f>IFERROR(VLOOKUP(B356,MATERIALES!$A:$D,4,FALSE()),IFERROR(INDEX(COMPOSICIÓN!$I$2:$I$1879,MATCH(B356,COMPOSICIÓN!$D$2:$D$1879,0)),0))</f>
        <v>0</v>
      </c>
      <c r="G356" s="163">
        <f>SUMIFS(_PLAN_STG!$Q$2:$Q$1879,_PLAN_STG!$D$2:$D$1879,B356,_PLAN_STG!$B$2:$B$1879,"MAT",_PLAN_STG!$O$2:$O$1879,1)</f>
        <v>0</v>
      </c>
      <c r="H356" s="225" t="str">
        <f>IFERROR(INDEX(COMPOSICIÓN!$C$2:$C$1879,MATCH(B356,COMPOSICIÓN!$D$2:$D$1879,0)),"")</f>
        <v/>
      </c>
      <c r="I356" s="226">
        <f>SUMPRODUCT((_PLAN_STG!$D$2:$D$1879=B356)*(_PLAN_STG!$B$2:$B$1879="MAT")*(_PLAN_STG!$O$2:$O$1879=1)*(_PLAN_STG!$P$2:$P$1879&gt;0))</f>
        <v>0</v>
      </c>
      <c r="J356" s="224" t="str">
        <f>IFERROR(VLOOKUP(B356,MATERIALES!$A:$G,7,FALSE()),"")</f>
        <v/>
      </c>
    </row>
    <row r="357" spans="1:10" x14ac:dyDescent="0.35">
      <c r="A357" s="222" t="str">
        <f t="shared" si="5"/>
        <v/>
      </c>
      <c r="B357" s="223"/>
      <c r="C357" s="224" t="str">
        <f>IFERROR(VLOOKUP(B357,MATERIALES!$A:$B,2,FALSE()),IFERROR(INDEX(COMPOSICIÓN!$E$2:$E$1879,MATCH(B357,COMPOSICIÓN!$D$2:$D$1879,0)),""))</f>
        <v/>
      </c>
      <c r="D357" s="225" t="str">
        <f>IFERROR(VLOOKUP(B357,MATERIALES!$A:$C,3,FALSE()),IFERROR(INDEX(COMPOSICIÓN!$F$2:$F$1879,MATCH(B357,COMPOSICIÓN!$D$2:$D$1879,0)),""))</f>
        <v/>
      </c>
      <c r="E357" s="161">
        <f>SUMIFS(_PLAN_STG!$P$2:$P$1879,_PLAN_STG!$D$2:$D$1879,B357,_PLAN_STG!$B$2:$B$1879,"MAT",_PLAN_STG!$O$2:$O$1879,1)</f>
        <v>0</v>
      </c>
      <c r="F357" s="162">
        <f>IFERROR(VLOOKUP(B357,MATERIALES!$A:$D,4,FALSE()),IFERROR(INDEX(COMPOSICIÓN!$I$2:$I$1879,MATCH(B357,COMPOSICIÓN!$D$2:$D$1879,0)),0))</f>
        <v>0</v>
      </c>
      <c r="G357" s="163">
        <f>SUMIFS(_PLAN_STG!$Q$2:$Q$1879,_PLAN_STG!$D$2:$D$1879,B357,_PLAN_STG!$B$2:$B$1879,"MAT",_PLAN_STG!$O$2:$O$1879,1)</f>
        <v>0</v>
      </c>
      <c r="H357" s="225" t="str">
        <f>IFERROR(INDEX(COMPOSICIÓN!$C$2:$C$1879,MATCH(B357,COMPOSICIÓN!$D$2:$D$1879,0)),"")</f>
        <v/>
      </c>
      <c r="I357" s="226">
        <f>SUMPRODUCT((_PLAN_STG!$D$2:$D$1879=B357)*(_PLAN_STG!$B$2:$B$1879="MAT")*(_PLAN_STG!$O$2:$O$1879=1)*(_PLAN_STG!$P$2:$P$1879&gt;0))</f>
        <v>0</v>
      </c>
      <c r="J357" s="224" t="str">
        <f>IFERROR(VLOOKUP(B357,MATERIALES!$A:$G,7,FALSE()),"")</f>
        <v/>
      </c>
    </row>
    <row r="358" spans="1:10" x14ac:dyDescent="0.35">
      <c r="A358" s="222" t="str">
        <f t="shared" si="5"/>
        <v/>
      </c>
      <c r="B358" s="223"/>
      <c r="C358" s="224" t="str">
        <f>IFERROR(VLOOKUP(B358,MATERIALES!$A:$B,2,FALSE()),IFERROR(INDEX(COMPOSICIÓN!$E$2:$E$1879,MATCH(B358,COMPOSICIÓN!$D$2:$D$1879,0)),""))</f>
        <v/>
      </c>
      <c r="D358" s="225" t="str">
        <f>IFERROR(VLOOKUP(B358,MATERIALES!$A:$C,3,FALSE()),IFERROR(INDEX(COMPOSICIÓN!$F$2:$F$1879,MATCH(B358,COMPOSICIÓN!$D$2:$D$1879,0)),""))</f>
        <v/>
      </c>
      <c r="E358" s="161">
        <f>SUMIFS(_PLAN_STG!$P$2:$P$1879,_PLAN_STG!$D$2:$D$1879,B358,_PLAN_STG!$B$2:$B$1879,"MAT",_PLAN_STG!$O$2:$O$1879,1)</f>
        <v>0</v>
      </c>
      <c r="F358" s="162">
        <f>IFERROR(VLOOKUP(B358,MATERIALES!$A:$D,4,FALSE()),IFERROR(INDEX(COMPOSICIÓN!$I$2:$I$1879,MATCH(B358,COMPOSICIÓN!$D$2:$D$1879,0)),0))</f>
        <v>0</v>
      </c>
      <c r="G358" s="163">
        <f>SUMIFS(_PLAN_STG!$Q$2:$Q$1879,_PLAN_STG!$D$2:$D$1879,B358,_PLAN_STG!$B$2:$B$1879,"MAT",_PLAN_STG!$O$2:$O$1879,1)</f>
        <v>0</v>
      </c>
      <c r="H358" s="225" t="str">
        <f>IFERROR(INDEX(COMPOSICIÓN!$C$2:$C$1879,MATCH(B358,COMPOSICIÓN!$D$2:$D$1879,0)),"")</f>
        <v/>
      </c>
      <c r="I358" s="226">
        <f>SUMPRODUCT((_PLAN_STG!$D$2:$D$1879=B358)*(_PLAN_STG!$B$2:$B$1879="MAT")*(_PLAN_STG!$O$2:$O$1879=1)*(_PLAN_STG!$P$2:$P$1879&gt;0))</f>
        <v>0</v>
      </c>
      <c r="J358" s="224" t="str">
        <f>IFERROR(VLOOKUP(B358,MATERIALES!$A:$G,7,FALSE()),"")</f>
        <v/>
      </c>
    </row>
    <row r="359" spans="1:10" x14ac:dyDescent="0.35">
      <c r="A359" s="222" t="str">
        <f t="shared" si="5"/>
        <v/>
      </c>
      <c r="B359" s="223"/>
      <c r="C359" s="224" t="str">
        <f>IFERROR(VLOOKUP(B359,MATERIALES!$A:$B,2,FALSE()),IFERROR(INDEX(COMPOSICIÓN!$E$2:$E$1879,MATCH(B359,COMPOSICIÓN!$D$2:$D$1879,0)),""))</f>
        <v/>
      </c>
      <c r="D359" s="225" t="str">
        <f>IFERROR(VLOOKUP(B359,MATERIALES!$A:$C,3,FALSE()),IFERROR(INDEX(COMPOSICIÓN!$F$2:$F$1879,MATCH(B359,COMPOSICIÓN!$D$2:$D$1879,0)),""))</f>
        <v/>
      </c>
      <c r="E359" s="161">
        <f>SUMIFS(_PLAN_STG!$P$2:$P$1879,_PLAN_STG!$D$2:$D$1879,B359,_PLAN_STG!$B$2:$B$1879,"MAT",_PLAN_STG!$O$2:$O$1879,1)</f>
        <v>0</v>
      </c>
      <c r="F359" s="162">
        <f>IFERROR(VLOOKUP(B359,MATERIALES!$A:$D,4,FALSE()),IFERROR(INDEX(COMPOSICIÓN!$I$2:$I$1879,MATCH(B359,COMPOSICIÓN!$D$2:$D$1879,0)),0))</f>
        <v>0</v>
      </c>
      <c r="G359" s="163">
        <f>SUMIFS(_PLAN_STG!$Q$2:$Q$1879,_PLAN_STG!$D$2:$D$1879,B359,_PLAN_STG!$B$2:$B$1879,"MAT",_PLAN_STG!$O$2:$O$1879,1)</f>
        <v>0</v>
      </c>
      <c r="H359" s="225" t="str">
        <f>IFERROR(INDEX(COMPOSICIÓN!$C$2:$C$1879,MATCH(B359,COMPOSICIÓN!$D$2:$D$1879,0)),"")</f>
        <v/>
      </c>
      <c r="I359" s="226">
        <f>SUMPRODUCT((_PLAN_STG!$D$2:$D$1879=B359)*(_PLAN_STG!$B$2:$B$1879="MAT")*(_PLAN_STG!$O$2:$O$1879=1)*(_PLAN_STG!$P$2:$P$1879&gt;0))</f>
        <v>0</v>
      </c>
      <c r="J359" s="224" t="str">
        <f>IFERROR(VLOOKUP(B359,MATERIALES!$A:$G,7,FALSE()),"")</f>
        <v/>
      </c>
    </row>
    <row r="360" spans="1:10" x14ac:dyDescent="0.35">
      <c r="A360" s="222" t="str">
        <f t="shared" si="5"/>
        <v/>
      </c>
      <c r="B360" s="223"/>
      <c r="C360" s="224" t="str">
        <f>IFERROR(VLOOKUP(B360,MATERIALES!$A:$B,2,FALSE()),IFERROR(INDEX(COMPOSICIÓN!$E$2:$E$1879,MATCH(B360,COMPOSICIÓN!$D$2:$D$1879,0)),""))</f>
        <v/>
      </c>
      <c r="D360" s="225" t="str">
        <f>IFERROR(VLOOKUP(B360,MATERIALES!$A:$C,3,FALSE()),IFERROR(INDEX(COMPOSICIÓN!$F$2:$F$1879,MATCH(B360,COMPOSICIÓN!$D$2:$D$1879,0)),""))</f>
        <v/>
      </c>
      <c r="E360" s="161">
        <f>SUMIFS(_PLAN_STG!$P$2:$P$1879,_PLAN_STG!$D$2:$D$1879,B360,_PLAN_STG!$B$2:$B$1879,"MAT",_PLAN_STG!$O$2:$O$1879,1)</f>
        <v>0</v>
      </c>
      <c r="F360" s="162">
        <f>IFERROR(VLOOKUP(B360,MATERIALES!$A:$D,4,FALSE()),IFERROR(INDEX(COMPOSICIÓN!$I$2:$I$1879,MATCH(B360,COMPOSICIÓN!$D$2:$D$1879,0)),0))</f>
        <v>0</v>
      </c>
      <c r="G360" s="163">
        <f>SUMIFS(_PLAN_STG!$Q$2:$Q$1879,_PLAN_STG!$D$2:$D$1879,B360,_PLAN_STG!$B$2:$B$1879,"MAT",_PLAN_STG!$O$2:$O$1879,1)</f>
        <v>0</v>
      </c>
      <c r="H360" s="225" t="str">
        <f>IFERROR(INDEX(COMPOSICIÓN!$C$2:$C$1879,MATCH(B360,COMPOSICIÓN!$D$2:$D$1879,0)),"")</f>
        <v/>
      </c>
      <c r="I360" s="226">
        <f>SUMPRODUCT((_PLAN_STG!$D$2:$D$1879=B360)*(_PLAN_STG!$B$2:$B$1879="MAT")*(_PLAN_STG!$O$2:$O$1879=1)*(_PLAN_STG!$P$2:$P$1879&gt;0))</f>
        <v>0</v>
      </c>
      <c r="J360" s="224" t="str">
        <f>IFERROR(VLOOKUP(B360,MATERIALES!$A:$G,7,FALSE()),"")</f>
        <v/>
      </c>
    </row>
    <row r="361" spans="1:10" x14ac:dyDescent="0.35">
      <c r="A361" s="222" t="str">
        <f t="shared" si="5"/>
        <v/>
      </c>
      <c r="B361" s="223"/>
      <c r="C361" s="224" t="str">
        <f>IFERROR(VLOOKUP(B361,MATERIALES!$A:$B,2,FALSE()),IFERROR(INDEX(COMPOSICIÓN!$E$2:$E$1879,MATCH(B361,COMPOSICIÓN!$D$2:$D$1879,0)),""))</f>
        <v/>
      </c>
      <c r="D361" s="225" t="str">
        <f>IFERROR(VLOOKUP(B361,MATERIALES!$A:$C,3,FALSE()),IFERROR(INDEX(COMPOSICIÓN!$F$2:$F$1879,MATCH(B361,COMPOSICIÓN!$D$2:$D$1879,0)),""))</f>
        <v/>
      </c>
      <c r="E361" s="161">
        <f>SUMIFS(_PLAN_STG!$P$2:$P$1879,_PLAN_STG!$D$2:$D$1879,B361,_PLAN_STG!$B$2:$B$1879,"MAT",_PLAN_STG!$O$2:$O$1879,1)</f>
        <v>0</v>
      </c>
      <c r="F361" s="162">
        <f>IFERROR(VLOOKUP(B361,MATERIALES!$A:$D,4,FALSE()),IFERROR(INDEX(COMPOSICIÓN!$I$2:$I$1879,MATCH(B361,COMPOSICIÓN!$D$2:$D$1879,0)),0))</f>
        <v>0</v>
      </c>
      <c r="G361" s="163">
        <f>SUMIFS(_PLAN_STG!$Q$2:$Q$1879,_PLAN_STG!$D$2:$D$1879,B361,_PLAN_STG!$B$2:$B$1879,"MAT",_PLAN_STG!$O$2:$O$1879,1)</f>
        <v>0</v>
      </c>
      <c r="H361" s="225" t="str">
        <f>IFERROR(INDEX(COMPOSICIÓN!$C$2:$C$1879,MATCH(B361,COMPOSICIÓN!$D$2:$D$1879,0)),"")</f>
        <v/>
      </c>
      <c r="I361" s="226">
        <f>SUMPRODUCT((_PLAN_STG!$D$2:$D$1879=B361)*(_PLAN_STG!$B$2:$B$1879="MAT")*(_PLAN_STG!$O$2:$O$1879=1)*(_PLAN_STG!$P$2:$P$1879&gt;0))</f>
        <v>0</v>
      </c>
      <c r="J361" s="224" t="str">
        <f>IFERROR(VLOOKUP(B361,MATERIALES!$A:$G,7,FALSE()),"")</f>
        <v/>
      </c>
    </row>
    <row r="362" spans="1:10" x14ac:dyDescent="0.35">
      <c r="A362" s="222" t="str">
        <f t="shared" si="5"/>
        <v/>
      </c>
      <c r="B362" s="223"/>
      <c r="C362" s="224" t="str">
        <f>IFERROR(VLOOKUP(B362,MATERIALES!$A:$B,2,FALSE()),IFERROR(INDEX(COMPOSICIÓN!$E$2:$E$1879,MATCH(B362,COMPOSICIÓN!$D$2:$D$1879,0)),""))</f>
        <v/>
      </c>
      <c r="D362" s="225" t="str">
        <f>IFERROR(VLOOKUP(B362,MATERIALES!$A:$C,3,FALSE()),IFERROR(INDEX(COMPOSICIÓN!$F$2:$F$1879,MATCH(B362,COMPOSICIÓN!$D$2:$D$1879,0)),""))</f>
        <v/>
      </c>
      <c r="E362" s="161">
        <f>SUMIFS(_PLAN_STG!$P$2:$P$1879,_PLAN_STG!$D$2:$D$1879,B362,_PLAN_STG!$B$2:$B$1879,"MAT",_PLAN_STG!$O$2:$O$1879,1)</f>
        <v>0</v>
      </c>
      <c r="F362" s="162">
        <f>IFERROR(VLOOKUP(B362,MATERIALES!$A:$D,4,FALSE()),IFERROR(INDEX(COMPOSICIÓN!$I$2:$I$1879,MATCH(B362,COMPOSICIÓN!$D$2:$D$1879,0)),0))</f>
        <v>0</v>
      </c>
      <c r="G362" s="163">
        <f>SUMIFS(_PLAN_STG!$Q$2:$Q$1879,_PLAN_STG!$D$2:$D$1879,B362,_PLAN_STG!$B$2:$B$1879,"MAT",_PLAN_STG!$O$2:$O$1879,1)</f>
        <v>0</v>
      </c>
      <c r="H362" s="225" t="str">
        <f>IFERROR(INDEX(COMPOSICIÓN!$C$2:$C$1879,MATCH(B362,COMPOSICIÓN!$D$2:$D$1879,0)),"")</f>
        <v/>
      </c>
      <c r="I362" s="226">
        <f>SUMPRODUCT((_PLAN_STG!$D$2:$D$1879=B362)*(_PLAN_STG!$B$2:$B$1879="MAT")*(_PLAN_STG!$O$2:$O$1879=1)*(_PLAN_STG!$P$2:$P$1879&gt;0))</f>
        <v>0</v>
      </c>
      <c r="J362" s="224" t="str">
        <f>IFERROR(VLOOKUP(B362,MATERIALES!$A:$G,7,FALSE()),"")</f>
        <v/>
      </c>
    </row>
    <row r="363" spans="1:10" x14ac:dyDescent="0.35">
      <c r="A363" s="222" t="str">
        <f t="shared" si="5"/>
        <v/>
      </c>
      <c r="B363" s="223"/>
      <c r="C363" s="224" t="str">
        <f>IFERROR(VLOOKUP(B363,MATERIALES!$A:$B,2,FALSE()),IFERROR(INDEX(COMPOSICIÓN!$E$2:$E$1879,MATCH(B363,COMPOSICIÓN!$D$2:$D$1879,0)),""))</f>
        <v/>
      </c>
      <c r="D363" s="225" t="str">
        <f>IFERROR(VLOOKUP(B363,MATERIALES!$A:$C,3,FALSE()),IFERROR(INDEX(COMPOSICIÓN!$F$2:$F$1879,MATCH(B363,COMPOSICIÓN!$D$2:$D$1879,0)),""))</f>
        <v/>
      </c>
      <c r="E363" s="161">
        <f>SUMIFS(_PLAN_STG!$P$2:$P$1879,_PLAN_STG!$D$2:$D$1879,B363,_PLAN_STG!$B$2:$B$1879,"MAT",_PLAN_STG!$O$2:$O$1879,1)</f>
        <v>0</v>
      </c>
      <c r="F363" s="162">
        <f>IFERROR(VLOOKUP(B363,MATERIALES!$A:$D,4,FALSE()),IFERROR(INDEX(COMPOSICIÓN!$I$2:$I$1879,MATCH(B363,COMPOSICIÓN!$D$2:$D$1879,0)),0))</f>
        <v>0</v>
      </c>
      <c r="G363" s="163">
        <f>SUMIFS(_PLAN_STG!$Q$2:$Q$1879,_PLAN_STG!$D$2:$D$1879,B363,_PLAN_STG!$B$2:$B$1879,"MAT",_PLAN_STG!$O$2:$O$1879,1)</f>
        <v>0</v>
      </c>
      <c r="H363" s="225" t="str">
        <f>IFERROR(INDEX(COMPOSICIÓN!$C$2:$C$1879,MATCH(B363,COMPOSICIÓN!$D$2:$D$1879,0)),"")</f>
        <v/>
      </c>
      <c r="I363" s="226">
        <f>SUMPRODUCT((_PLAN_STG!$D$2:$D$1879=B363)*(_PLAN_STG!$B$2:$B$1879="MAT")*(_PLAN_STG!$O$2:$O$1879=1)*(_PLAN_STG!$P$2:$P$1879&gt;0))</f>
        <v>0</v>
      </c>
      <c r="J363" s="224" t="str">
        <f>IFERROR(VLOOKUP(B363,MATERIALES!$A:$G,7,FALSE()),"")</f>
        <v/>
      </c>
    </row>
    <row r="364" spans="1:10" x14ac:dyDescent="0.35">
      <c r="A364" s="222" t="str">
        <f t="shared" si="5"/>
        <v/>
      </c>
      <c r="B364" s="223"/>
      <c r="C364" s="224" t="str">
        <f>IFERROR(VLOOKUP(B364,MATERIALES!$A:$B,2,FALSE()),IFERROR(INDEX(COMPOSICIÓN!$E$2:$E$1879,MATCH(B364,COMPOSICIÓN!$D$2:$D$1879,0)),""))</f>
        <v/>
      </c>
      <c r="D364" s="225" t="str">
        <f>IFERROR(VLOOKUP(B364,MATERIALES!$A:$C,3,FALSE()),IFERROR(INDEX(COMPOSICIÓN!$F$2:$F$1879,MATCH(B364,COMPOSICIÓN!$D$2:$D$1879,0)),""))</f>
        <v/>
      </c>
      <c r="E364" s="161">
        <f>SUMIFS(_PLAN_STG!$P$2:$P$1879,_PLAN_STG!$D$2:$D$1879,B364,_PLAN_STG!$B$2:$B$1879,"MAT",_PLAN_STG!$O$2:$O$1879,1)</f>
        <v>0</v>
      </c>
      <c r="F364" s="162">
        <f>IFERROR(VLOOKUP(B364,MATERIALES!$A:$D,4,FALSE()),IFERROR(INDEX(COMPOSICIÓN!$I$2:$I$1879,MATCH(B364,COMPOSICIÓN!$D$2:$D$1879,0)),0))</f>
        <v>0</v>
      </c>
      <c r="G364" s="163">
        <f>SUMIFS(_PLAN_STG!$Q$2:$Q$1879,_PLAN_STG!$D$2:$D$1879,B364,_PLAN_STG!$B$2:$B$1879,"MAT",_PLAN_STG!$O$2:$O$1879,1)</f>
        <v>0</v>
      </c>
      <c r="H364" s="225" t="str">
        <f>IFERROR(INDEX(COMPOSICIÓN!$C$2:$C$1879,MATCH(B364,COMPOSICIÓN!$D$2:$D$1879,0)),"")</f>
        <v/>
      </c>
      <c r="I364" s="226">
        <f>SUMPRODUCT((_PLAN_STG!$D$2:$D$1879=B364)*(_PLAN_STG!$B$2:$B$1879="MAT")*(_PLAN_STG!$O$2:$O$1879=1)*(_PLAN_STG!$P$2:$P$1879&gt;0))</f>
        <v>0</v>
      </c>
      <c r="J364" s="224" t="str">
        <f>IFERROR(VLOOKUP(B364,MATERIALES!$A:$G,7,FALSE()),"")</f>
        <v/>
      </c>
    </row>
    <row r="365" spans="1:10" x14ac:dyDescent="0.35">
      <c r="A365" s="222" t="str">
        <f t="shared" si="5"/>
        <v/>
      </c>
      <c r="B365" s="223"/>
      <c r="C365" s="224" t="str">
        <f>IFERROR(VLOOKUP(B365,MATERIALES!$A:$B,2,FALSE()),IFERROR(INDEX(COMPOSICIÓN!$E$2:$E$1879,MATCH(B365,COMPOSICIÓN!$D$2:$D$1879,0)),""))</f>
        <v/>
      </c>
      <c r="D365" s="225" t="str">
        <f>IFERROR(VLOOKUP(B365,MATERIALES!$A:$C,3,FALSE()),IFERROR(INDEX(COMPOSICIÓN!$F$2:$F$1879,MATCH(B365,COMPOSICIÓN!$D$2:$D$1879,0)),""))</f>
        <v/>
      </c>
      <c r="E365" s="161">
        <f>SUMIFS(_PLAN_STG!$P$2:$P$1879,_PLAN_STG!$D$2:$D$1879,B365,_PLAN_STG!$B$2:$B$1879,"MAT",_PLAN_STG!$O$2:$O$1879,1)</f>
        <v>0</v>
      </c>
      <c r="F365" s="162">
        <f>IFERROR(VLOOKUP(B365,MATERIALES!$A:$D,4,FALSE()),IFERROR(INDEX(COMPOSICIÓN!$I$2:$I$1879,MATCH(B365,COMPOSICIÓN!$D$2:$D$1879,0)),0))</f>
        <v>0</v>
      </c>
      <c r="G365" s="163">
        <f>SUMIFS(_PLAN_STG!$Q$2:$Q$1879,_PLAN_STG!$D$2:$D$1879,B365,_PLAN_STG!$B$2:$B$1879,"MAT",_PLAN_STG!$O$2:$O$1879,1)</f>
        <v>0</v>
      </c>
      <c r="H365" s="225" t="str">
        <f>IFERROR(INDEX(COMPOSICIÓN!$C$2:$C$1879,MATCH(B365,COMPOSICIÓN!$D$2:$D$1879,0)),"")</f>
        <v/>
      </c>
      <c r="I365" s="226">
        <f>SUMPRODUCT((_PLAN_STG!$D$2:$D$1879=B365)*(_PLAN_STG!$B$2:$B$1879="MAT")*(_PLAN_STG!$O$2:$O$1879=1)*(_PLAN_STG!$P$2:$P$1879&gt;0))</f>
        <v>0</v>
      </c>
      <c r="J365" s="224" t="str">
        <f>IFERROR(VLOOKUP(B365,MATERIALES!$A:$G,7,FALSE()),"")</f>
        <v/>
      </c>
    </row>
    <row r="366" spans="1:10" ht="15.5" customHeight="1" x14ac:dyDescent="0.35">
      <c r="C366" s="164" t="s">
        <v>2830</v>
      </c>
      <c r="G366" s="165">
        <f>SUM(G16:G365)</f>
        <v>16271396.567820555</v>
      </c>
    </row>
    <row r="367" spans="1:10" ht="15.5" customHeight="1" x14ac:dyDescent="0.35">
      <c r="B367" s="280" t="s">
        <v>2831</v>
      </c>
      <c r="C367" s="264"/>
      <c r="D367" s="264"/>
      <c r="E367" s="264"/>
      <c r="F367" s="264"/>
      <c r="G367" s="264"/>
      <c r="H367" s="285" t="str">
        <f>COUNTIF(H369:H498,"&gt;0")&amp;" rubros MO activos · Total $"&amp;TEXT(SUM(H369:H498),"#,##0")</f>
        <v>4 rubros MO activos · Total $21,545,827</v>
      </c>
      <c r="I367" s="264"/>
      <c r="J367" s="264"/>
    </row>
    <row r="368" spans="1:10" x14ac:dyDescent="0.35">
      <c r="A368" s="221" t="s">
        <v>4</v>
      </c>
      <c r="B368" s="221" t="s">
        <v>579</v>
      </c>
      <c r="C368" s="221" t="s">
        <v>6</v>
      </c>
      <c r="D368" s="221" t="s">
        <v>2832</v>
      </c>
      <c r="E368" s="221" t="s">
        <v>580</v>
      </c>
      <c r="F368" s="221" t="s">
        <v>2833</v>
      </c>
      <c r="G368" s="221" t="s">
        <v>2834</v>
      </c>
      <c r="H368" s="221" t="s">
        <v>2827</v>
      </c>
      <c r="I368" s="221" t="s">
        <v>2829</v>
      </c>
      <c r="J368" s="221" t="s">
        <v>584</v>
      </c>
    </row>
    <row r="369" spans="1:10" x14ac:dyDescent="0.35">
      <c r="A369" s="222" t="str">
        <f t="shared" ref="A369:A400" si="6">IF(H369=0,"",ROW()-369+1)</f>
        <v/>
      </c>
      <c r="B369" s="223" t="s">
        <v>1553</v>
      </c>
      <c r="C369" s="224" t="str">
        <f>IFERROR(IF(D369="MO/ALB",VLOOKUP(B369,MANO_DE_OBRA!$A:$B,2,FALSE()),VLOOKUP(B369,SUBCONTRATOS_PRY!$A:$B,2,FALSE())),IFERROR(INDEX(COMPOSICIÓN!$E$2:$E$1879,MATCH(B369,COMPOSICIÓN!$D$2:$D$1879,0)),""))</f>
        <v/>
      </c>
      <c r="D369" s="225" t="s">
        <v>2835</v>
      </c>
      <c r="E369" s="225" t="str">
        <f>IF(D369="MO/ALB","jornal",IFERROR(VLOOKUP(B369,SUBCONTRATOS_PRY!$A:$C,3,FALSE()),IFERROR(INDEX(COMPOSICIÓN!$F$2:$F$1879,MATCH(B369,COMPOSICIÓN!$D$2:$D$1879,0)),"")))</f>
        <v>jornal</v>
      </c>
      <c r="F369" s="161">
        <f>SUMIFS(_PLAN_STG!$P$2:$P$1879,_PLAN_STG!$D$2:$D$1879,B369,_PLAN_STG!$B$2:$B$1879,"MO",_PLAN_STG!$O$2:$O$1879,1)</f>
        <v>0</v>
      </c>
      <c r="G369" s="162">
        <f>IFERROR(IF(D369="MO/ALB",VLOOKUP(B369,MANO_DE_OBRA!$A:$C,3,FALSE()),VLOOKUP(B369,SUBCONTRATOS_PRY!$A:$D,4,FALSE())),IFERROR(INDEX(COMPOSICIÓN!$I$2:$I$1879,MATCH(B369,COMPOSICIÓN!$D$2:$D$1879,0)),0))</f>
        <v>0</v>
      </c>
      <c r="H369" s="163">
        <f>SUMIFS(_PLAN_STG!$Q$2:$Q$1879,_PLAN_STG!$D$2:$D$1879,B369,_PLAN_STG!$B$2:$B$1879,"MO",_PLAN_STG!$O$2:$O$1879,1)</f>
        <v>0</v>
      </c>
      <c r="I369" s="226">
        <f>SUMPRODUCT((_PLAN_STG!$D$2:$D$1879=B369)*(_PLAN_STG!$B$2:$B$1879="MO")*(_PLAN_STG!$O$2:$O$1879=1)*(_PLAN_STG!$P$2:$P$1879&gt;0))</f>
        <v>0</v>
      </c>
      <c r="J369" s="224" t="str">
        <f>IF(D369="MO/ALB",IFERROR(VLOOKUP(B369,MANO_DE_OBRA!$A:$F,6,FALSE()),""),IF(D369="MO/OTR",IFERROR(VLOOKUP(B369,SUBCONTRATOS_PRY!$A:$E,5,FALSE()),""),""))</f>
        <v/>
      </c>
    </row>
    <row r="370" spans="1:10" x14ac:dyDescent="0.35">
      <c r="A370" s="222" t="str">
        <f t="shared" si="6"/>
        <v/>
      </c>
      <c r="B370" s="223" t="s">
        <v>1554</v>
      </c>
      <c r="C370" s="224" t="str">
        <f>IFERROR(IF(D370="MO/ALB",VLOOKUP(B370,MANO_DE_OBRA!$A:$B,2,FALSE()),VLOOKUP(B370,SUBCONTRATOS_PRY!$A:$B,2,FALSE())),IFERROR(INDEX(COMPOSICIÓN!$E$2:$E$1879,MATCH(B370,COMPOSICIÓN!$D$2:$D$1879,0)),""))</f>
        <v/>
      </c>
      <c r="D370" s="225" t="s">
        <v>2835</v>
      </c>
      <c r="E370" s="225" t="str">
        <f>IF(D370="MO/ALB","jornal",IFERROR(VLOOKUP(B370,SUBCONTRATOS_PRY!$A:$C,3,FALSE()),IFERROR(INDEX(COMPOSICIÓN!$F$2:$F$1879,MATCH(B370,COMPOSICIÓN!$D$2:$D$1879,0)),"")))</f>
        <v>jornal</v>
      </c>
      <c r="F370" s="161">
        <f>SUMIFS(_PLAN_STG!$P$2:$P$1879,_PLAN_STG!$D$2:$D$1879,B370,_PLAN_STG!$B$2:$B$1879,"MO",_PLAN_STG!$O$2:$O$1879,1)</f>
        <v>0</v>
      </c>
      <c r="G370" s="162">
        <f>IFERROR(IF(D370="MO/ALB",VLOOKUP(B370,MANO_DE_OBRA!$A:$C,3,FALSE()),VLOOKUP(B370,SUBCONTRATOS_PRY!$A:$D,4,FALSE())),IFERROR(INDEX(COMPOSICIÓN!$I$2:$I$1879,MATCH(B370,COMPOSICIÓN!$D$2:$D$1879,0)),0))</f>
        <v>0</v>
      </c>
      <c r="H370" s="163">
        <f>SUMIFS(_PLAN_STG!$Q$2:$Q$1879,_PLAN_STG!$D$2:$D$1879,B370,_PLAN_STG!$B$2:$B$1879,"MO",_PLAN_STG!$O$2:$O$1879,1)</f>
        <v>0</v>
      </c>
      <c r="I370" s="226">
        <f>SUMPRODUCT((_PLAN_STG!$D$2:$D$1879=B370)*(_PLAN_STG!$B$2:$B$1879="MO")*(_PLAN_STG!$O$2:$O$1879=1)*(_PLAN_STG!$P$2:$P$1879&gt;0))</f>
        <v>0</v>
      </c>
      <c r="J370" s="224" t="str">
        <f>IF(D370="MO/ALB",IFERROR(VLOOKUP(B370,MANO_DE_OBRA!$A:$F,6,FALSE()),""),IF(D370="MO/OTR",IFERROR(VLOOKUP(B370,SUBCONTRATOS_PRY!$A:$E,5,FALSE()),""),""))</f>
        <v/>
      </c>
    </row>
    <row r="371" spans="1:10" x14ac:dyDescent="0.35">
      <c r="A371" s="222" t="str">
        <f t="shared" si="6"/>
        <v/>
      </c>
      <c r="B371" s="223" t="s">
        <v>1552</v>
      </c>
      <c r="C371" s="224" t="str">
        <f>IFERROR(IF(D371="MO/ALB",VLOOKUP(B371,MANO_DE_OBRA!$A:$B,2,FALSE()),VLOOKUP(B371,SUBCONTRATOS_PRY!$A:$B,2,FALSE())),IFERROR(INDEX(COMPOSICIÓN!$E$2:$E$1879,MATCH(B371,COMPOSICIÓN!$D$2:$D$1879,0)),""))</f>
        <v/>
      </c>
      <c r="D371" s="225" t="s">
        <v>2835</v>
      </c>
      <c r="E371" s="225" t="str">
        <f>IF(D371="MO/ALB","jornal",IFERROR(VLOOKUP(B371,SUBCONTRATOS_PRY!$A:$C,3,FALSE()),IFERROR(INDEX(COMPOSICIÓN!$F$2:$F$1879,MATCH(B371,COMPOSICIÓN!$D$2:$D$1879,0)),"")))</f>
        <v>jornal</v>
      </c>
      <c r="F371" s="161">
        <f>SUMIFS(_PLAN_STG!$P$2:$P$1879,_PLAN_STG!$D$2:$D$1879,B371,_PLAN_STG!$B$2:$B$1879,"MO",_PLAN_STG!$O$2:$O$1879,1)</f>
        <v>0</v>
      </c>
      <c r="G371" s="162">
        <f>IFERROR(IF(D371="MO/ALB",VLOOKUP(B371,MANO_DE_OBRA!$A:$C,3,FALSE()),VLOOKUP(B371,SUBCONTRATOS_PRY!$A:$D,4,FALSE())),IFERROR(INDEX(COMPOSICIÓN!$I$2:$I$1879,MATCH(B371,COMPOSICIÓN!$D$2:$D$1879,0)),0))</f>
        <v>0</v>
      </c>
      <c r="H371" s="163">
        <f>SUMIFS(_PLAN_STG!$Q$2:$Q$1879,_PLAN_STG!$D$2:$D$1879,B371,_PLAN_STG!$B$2:$B$1879,"MO",_PLAN_STG!$O$2:$O$1879,1)</f>
        <v>0</v>
      </c>
      <c r="I371" s="226">
        <f>SUMPRODUCT((_PLAN_STG!$D$2:$D$1879=B371)*(_PLAN_STG!$B$2:$B$1879="MO")*(_PLAN_STG!$O$2:$O$1879=1)*(_PLAN_STG!$P$2:$P$1879&gt;0))</f>
        <v>0</v>
      </c>
      <c r="J371" s="224" t="str">
        <f>IF(D371="MO/ALB",IFERROR(VLOOKUP(B371,MANO_DE_OBRA!$A:$F,6,FALSE()),""),IF(D371="MO/OTR",IFERROR(VLOOKUP(B371,SUBCONTRATOS_PRY!$A:$E,5,FALSE()),""),""))</f>
        <v/>
      </c>
    </row>
    <row r="372" spans="1:10" x14ac:dyDescent="0.35">
      <c r="A372" s="222">
        <f t="shared" si="6"/>
        <v>4</v>
      </c>
      <c r="B372" s="223" t="s">
        <v>1577</v>
      </c>
      <c r="C372" s="224" t="str">
        <f>IFERROR(IF(D372="MO/ALB",VLOOKUP(B372,MANO_DE_OBRA!$A:$B,2,FALSE()),VLOOKUP(B372,SUBCONTRATOS_PRY!$A:$B,2,FALSE())),IFERROR(INDEX(COMPOSICIÓN!$E$2:$E$1879,MATCH(B372,COMPOSICIÓN!$D$2:$D$1879,0)),""))</f>
        <v>AYUDANTE</v>
      </c>
      <c r="D372" s="225" t="s">
        <v>2835</v>
      </c>
      <c r="E372" s="225" t="str">
        <f>IF(D372="MO/ALB","jornal",IFERROR(VLOOKUP(B372,SUBCONTRATOS_PRY!$A:$C,3,FALSE()),IFERROR(INDEX(COMPOSICIÓN!$F$2:$F$1879,MATCH(B372,COMPOSICIÓN!$D$2:$D$1879,0)),"")))</f>
        <v>jornal</v>
      </c>
      <c r="F372" s="161">
        <f>SUMIFS(_PLAN_STG!$P$2:$P$1879,_PLAN_STG!$D$2:$D$1879,B372,_PLAN_STG!$B$2:$B$1879,"MO",_PLAN_STG!$O$2:$O$1879,1)</f>
        <v>150.31904761904764</v>
      </c>
      <c r="G372" s="162">
        <f>IFERROR(IF(D372="MO/ALB",VLOOKUP(B372,MANO_DE_OBRA!$A:$C,3,FALSE()),VLOOKUP(B372,SUBCONTRATOS_PRY!$A:$D,4,FALSE())),IFERROR(INDEX(COMPOSICIÓN!$I$2:$I$1879,MATCH(B372,COMPOSICIÓN!$D$2:$D$1879,0)),0))</f>
        <v>60860.580776572002</v>
      </c>
      <c r="H372" s="163">
        <f>SUMIFS(_PLAN_STG!$Q$2:$Q$1879,_PLAN_STG!$D$2:$D$1879,B372,_PLAN_STG!$B$2:$B$1879,"MO",_PLAN_STG!$O$2:$O$1879,1)</f>
        <v>9148504.5398764219</v>
      </c>
      <c r="I372" s="228" t="s">
        <v>2836</v>
      </c>
      <c r="J372" s="224" t="str">
        <f>IF(D372="MO/ALB",IFERROR(VLOOKUP(B372,MANO_DE_OBRA!$A:$F,6,FALSE()),""),IF(D372="MO/OTR",IFERROR(VLOOKUP(B372,SUBCONTRATOS_PRY!$A:$E,5,FALSE()),""),""))</f>
        <v>Estructura</v>
      </c>
    </row>
    <row r="373" spans="1:10" x14ac:dyDescent="0.35">
      <c r="A373" s="222">
        <f t="shared" si="6"/>
        <v>5</v>
      </c>
      <c r="B373" s="223" t="s">
        <v>1568</v>
      </c>
      <c r="C373" s="224" t="str">
        <f>IFERROR(IF(D373="MO/ALB",VLOOKUP(B373,MANO_DE_OBRA!$A:$B,2,FALSE()),VLOOKUP(B373,SUBCONTRATOS_PRY!$A:$B,2,FALSE())),IFERROR(INDEX(COMPOSICIÓN!$E$2:$E$1879,MATCH(B373,COMPOSICIÓN!$D$2:$D$1879,0)),""))</f>
        <v>ESPECIALIZADO</v>
      </c>
      <c r="D373" s="225" t="s">
        <v>2835</v>
      </c>
      <c r="E373" s="225" t="str">
        <f>IF(D373="MO/ALB","jornal",IFERROR(VLOOKUP(B373,SUBCONTRATOS_PRY!$A:$C,3,FALSE()),IFERROR(INDEX(COMPOSICIÓN!$F$2:$F$1879,MATCH(B373,COMPOSICIÓN!$D$2:$D$1879,0)),"")))</f>
        <v>jornal</v>
      </c>
      <c r="F373" s="161">
        <f>SUMIFS(_PLAN_STG!$P$2:$P$1879,_PLAN_STG!$D$2:$D$1879,B373,_PLAN_STG!$B$2:$B$1879,"MO",_PLAN_STG!$O$2:$O$1879,1)</f>
        <v>129.31904761904764</v>
      </c>
      <c r="G373" s="162">
        <f>IFERROR(IF(D373="MO/ALB",VLOOKUP(B373,MANO_DE_OBRA!$A:$C,3,FALSE()),VLOOKUP(B373,SUBCONTRATOS_PRY!$A:$D,4,FALSE())),IFERROR(INDEX(COMPOSICIÓN!$I$2:$I$1879,MATCH(B373,COMPOSICIÓN!$D$2:$D$1879,0)),0))</f>
        <v>85927.097156571996</v>
      </c>
      <c r="H373" s="163">
        <f>SUMIFS(_PLAN_STG!$Q$2:$Q$1879,_PLAN_STG!$D$2:$D$1879,B373,_PLAN_STG!$B$2:$B$1879,"MO",_PLAN_STG!$O$2:$O$1879,1)</f>
        <v>11112010.368957262</v>
      </c>
      <c r="I373" s="226">
        <f>SUMPRODUCT((_PLAN_STG!$D$2:$D$1879=B373)*(_PLAN_STG!$B$2:$B$1879="MO")*(_PLAN_STG!$O$2:$O$1879=1)*(_PLAN_STG!$P$2:$P$1879&gt;0))</f>
        <v>11</v>
      </c>
      <c r="J373" s="224" t="str">
        <f>IF(D373="MO/ALB",IFERROR(VLOOKUP(B373,MANO_DE_OBRA!$A:$F,6,FALSE()),""),IF(D373="MO/OTR",IFERROR(VLOOKUP(B373,SUBCONTRATOS_PRY!$A:$E,5,FALSE()),""),""))</f>
        <v>Estructura</v>
      </c>
    </row>
    <row r="374" spans="1:10" x14ac:dyDescent="0.35">
      <c r="A374" s="222">
        <f t="shared" si="6"/>
        <v>6</v>
      </c>
      <c r="B374" s="223" t="s">
        <v>1574</v>
      </c>
      <c r="C374" s="224" t="str">
        <f>IFERROR(IF(D374="MO/ALB",VLOOKUP(B374,MANO_DE_OBRA!$A:$B,2,FALSE()),VLOOKUP(B374,SUBCONTRATOS_PRY!$A:$B,2,FALSE())),IFERROR(INDEX(COMPOSICIÓN!$E$2:$E$1879,MATCH(B374,COMPOSICIÓN!$D$2:$D$1879,0)),""))</f>
        <v>MEDIO OFICIAL</v>
      </c>
      <c r="D374" s="225" t="s">
        <v>2835</v>
      </c>
      <c r="E374" s="225" t="str">
        <f>IF(D374="MO/ALB","jornal",IFERROR(VLOOKUP(B374,SUBCONTRATOS_PRY!$A:$C,3,FALSE()),IFERROR(INDEX(COMPOSICIÓN!$F$2:$F$1879,MATCH(B374,COMPOSICIÓN!$D$2:$D$1879,0)),"")))</f>
        <v>jornal</v>
      </c>
      <c r="F374" s="161">
        <f>SUMIFS(_PLAN_STG!$P$2:$P$1879,_PLAN_STG!$D$2:$D$1879,B374,_PLAN_STG!$B$2:$B$1879,"MO",_PLAN_STG!$O$2:$O$1879,1)</f>
        <v>2</v>
      </c>
      <c r="G374" s="162">
        <f>IFERROR(IF(D374="MO/ALB",VLOOKUP(B374,MANO_DE_OBRA!$A:$C,3,FALSE()),VLOOKUP(B374,SUBCONTRATOS_PRY!$A:$D,4,FALSE())),IFERROR(INDEX(COMPOSICIÓN!$I$2:$I$1879,MATCH(B374,COMPOSICIÓN!$D$2:$D$1879,0)),0))</f>
        <v>65493.071636572</v>
      </c>
      <c r="H374" s="163">
        <f>SUMIFS(_PLAN_STG!$Q$2:$Q$1879,_PLAN_STG!$D$2:$D$1879,B374,_PLAN_STG!$B$2:$B$1879,"MO",_PLAN_STG!$O$2:$O$1879,1)</f>
        <v>130986.143273144</v>
      </c>
      <c r="I374" s="226">
        <f>SUMPRODUCT((_PLAN_STG!$D$2:$D$1879=B374)*(_PLAN_STG!$B$2:$B$1879="MO")*(_PLAN_STG!$O$2:$O$1879=1)*(_PLAN_STG!$P$2:$P$1879&gt;0))</f>
        <v>1</v>
      </c>
      <c r="J374" s="224" t="str">
        <f>IF(D374="MO/ALB",IFERROR(VLOOKUP(B374,MANO_DE_OBRA!$A:$F,6,FALSE()),""),IF(D374="MO/OTR",IFERROR(VLOOKUP(B374,SUBCONTRATOS_PRY!$A:$E,5,FALSE()),""),""))</f>
        <v>Estructura</v>
      </c>
    </row>
    <row r="375" spans="1:10" x14ac:dyDescent="0.35">
      <c r="A375" s="222">
        <f t="shared" si="6"/>
        <v>7</v>
      </c>
      <c r="B375" s="223" t="s">
        <v>1571</v>
      </c>
      <c r="C375" s="224" t="str">
        <f>IFERROR(IF(D375="MO/ALB",VLOOKUP(B375,MANO_DE_OBRA!$A:$B,2,FALSE()),VLOOKUP(B375,SUBCONTRATOS_PRY!$A:$B,2,FALSE())),IFERROR(INDEX(COMPOSICIÓN!$E$2:$E$1879,MATCH(B375,COMPOSICIÓN!$D$2:$D$1879,0)),""))</f>
        <v>OFICIAL</v>
      </c>
      <c r="D375" s="225" t="s">
        <v>2835</v>
      </c>
      <c r="E375" s="225" t="str">
        <f>IF(D375="MO/ALB","jornal",IFERROR(VLOOKUP(B375,SUBCONTRATOS_PRY!$A:$C,3,FALSE()),IFERROR(INDEX(COMPOSICIÓN!$F$2:$F$1879,MATCH(B375,COMPOSICIÓN!$D$2:$D$1879,0)),"")))</f>
        <v>jornal</v>
      </c>
      <c r="F375" s="161">
        <f>SUMIFS(_PLAN_STG!$P$2:$P$1879,_PLAN_STG!$D$2:$D$1879,B375,_PLAN_STG!$B$2:$B$1879,"MO",_PLAN_STG!$O$2:$O$1879,1)</f>
        <v>15</v>
      </c>
      <c r="G375" s="162">
        <f>IFERROR(IF(D375="MO/ALB",VLOOKUP(B375,MANO_DE_OBRA!$A:$C,3,FALSE()),VLOOKUP(B375,SUBCONTRATOS_PRY!$A:$D,4,FALSE())),IFERROR(INDEX(COMPOSICIÓN!$I$2:$I$1879,MATCH(B375,COMPOSICIÓN!$D$2:$D$1879,0)),0))</f>
        <v>76955.079706571996</v>
      </c>
      <c r="H375" s="163">
        <f>SUMIFS(_PLAN_STG!$Q$2:$Q$1879,_PLAN_STG!$D$2:$D$1879,B375,_PLAN_STG!$B$2:$B$1879,"MO",_PLAN_STG!$O$2:$O$1879,1)</f>
        <v>1154326.1955985799</v>
      </c>
      <c r="I375" s="226">
        <f>SUMPRODUCT((_PLAN_STG!$D$2:$D$1879=B375)*(_PLAN_STG!$B$2:$B$1879="MO")*(_PLAN_STG!$O$2:$O$1879=1)*(_PLAN_STG!$P$2:$P$1879&gt;0))</f>
        <v>4</v>
      </c>
      <c r="J375" s="224" t="str">
        <f>IF(D375="MO/ALB",IFERROR(VLOOKUP(B375,MANO_DE_OBRA!$A:$F,6,FALSE()),""),IF(D375="MO/OTR",IFERROR(VLOOKUP(B375,SUBCONTRATOS_PRY!$A:$E,5,FALSE()),""),""))</f>
        <v>Estructura</v>
      </c>
    </row>
    <row r="376" spans="1:10" x14ac:dyDescent="0.35">
      <c r="A376" s="222" t="str">
        <f t="shared" si="6"/>
        <v/>
      </c>
      <c r="B376" s="223" t="s">
        <v>1556</v>
      </c>
      <c r="C376" s="224" t="str">
        <f>IFERROR(IF(D376="MO/ALB",VLOOKUP(B376,MANO_DE_OBRA!$A:$B,2,FALSE()),VLOOKUP(B376,SUBCONTRATOS_PRY!$A:$B,2,FALSE())),IFERROR(INDEX(COMPOSICIÓN!$E$2:$E$1879,MATCH(B376,COMPOSICIÓN!$D$2:$D$1879,0)),""))</f>
        <v/>
      </c>
      <c r="D376" s="225" t="s">
        <v>2835</v>
      </c>
      <c r="E376" s="225" t="str">
        <f>IF(D376="MO/ALB","jornal",IFERROR(VLOOKUP(B376,SUBCONTRATOS_PRY!$A:$C,3,FALSE()),IFERROR(INDEX(COMPOSICIÓN!$F$2:$F$1879,MATCH(B376,COMPOSICIÓN!$D$2:$D$1879,0)),"")))</f>
        <v>jornal</v>
      </c>
      <c r="F376" s="161">
        <f>SUMIFS(_PLAN_STG!$P$2:$P$1879,_PLAN_STG!$D$2:$D$1879,B376,_PLAN_STG!$B$2:$B$1879,"MO",_PLAN_STG!$O$2:$O$1879,1)</f>
        <v>0</v>
      </c>
      <c r="G376" s="162">
        <f>IFERROR(IF(D376="MO/ALB",VLOOKUP(B376,MANO_DE_OBRA!$A:$C,3,FALSE()),VLOOKUP(B376,SUBCONTRATOS_PRY!$A:$D,4,FALSE())),IFERROR(INDEX(COMPOSICIÓN!$I$2:$I$1879,MATCH(B376,COMPOSICIÓN!$D$2:$D$1879,0)),0))</f>
        <v>0</v>
      </c>
      <c r="H376" s="163">
        <f>SUMIFS(_PLAN_STG!$Q$2:$Q$1879,_PLAN_STG!$D$2:$D$1879,B376,_PLAN_STG!$B$2:$B$1879,"MO",_PLAN_STG!$O$2:$O$1879,1)</f>
        <v>0</v>
      </c>
      <c r="I376" s="226">
        <f>SUMPRODUCT((_PLAN_STG!$D$2:$D$1879=B376)*(_PLAN_STG!$B$2:$B$1879="MO")*(_PLAN_STG!$O$2:$O$1879=1)*(_PLAN_STG!$P$2:$P$1879&gt;0))</f>
        <v>0</v>
      </c>
      <c r="J376" s="224" t="str">
        <f>IF(D376="MO/ALB",IFERROR(VLOOKUP(B376,MANO_DE_OBRA!$A:$F,6,FALSE()),""),IF(D376="MO/OTR",IFERROR(VLOOKUP(B376,SUBCONTRATOS_PRY!$A:$E,5,FALSE()),""),""))</f>
        <v/>
      </c>
    </row>
    <row r="377" spans="1:10" x14ac:dyDescent="0.35">
      <c r="A377" s="222" t="str">
        <f t="shared" si="6"/>
        <v/>
      </c>
      <c r="B377" s="223" t="s">
        <v>1555</v>
      </c>
      <c r="C377" s="224" t="str">
        <f>IFERROR(IF(D377="MO/ALB",VLOOKUP(B377,MANO_DE_OBRA!$A:$B,2,FALSE()),VLOOKUP(B377,SUBCONTRATOS_PRY!$A:$B,2,FALSE())),IFERROR(INDEX(COMPOSICIÓN!$E$2:$E$1879,MATCH(B377,COMPOSICIÓN!$D$2:$D$1879,0)),""))</f>
        <v/>
      </c>
      <c r="D377" s="225" t="s">
        <v>2835</v>
      </c>
      <c r="E377" s="225" t="str">
        <f>IF(D377="MO/ALB","jornal",IFERROR(VLOOKUP(B377,SUBCONTRATOS_PRY!$A:$C,3,FALSE()),IFERROR(INDEX(COMPOSICIÓN!$F$2:$F$1879,MATCH(B377,COMPOSICIÓN!$D$2:$D$1879,0)),"")))</f>
        <v>jornal</v>
      </c>
      <c r="F377" s="161">
        <f>SUMIFS(_PLAN_STG!$P$2:$P$1879,_PLAN_STG!$D$2:$D$1879,B377,_PLAN_STG!$B$2:$B$1879,"MO",_PLAN_STG!$O$2:$O$1879,1)</f>
        <v>0</v>
      </c>
      <c r="G377" s="162">
        <f>IFERROR(IF(D377="MO/ALB",VLOOKUP(B377,MANO_DE_OBRA!$A:$C,3,FALSE()),VLOOKUP(B377,SUBCONTRATOS_PRY!$A:$D,4,FALSE())),IFERROR(INDEX(COMPOSICIÓN!$I$2:$I$1879,MATCH(B377,COMPOSICIÓN!$D$2:$D$1879,0)),0))</f>
        <v>0</v>
      </c>
      <c r="H377" s="163">
        <f>SUMIFS(_PLAN_STG!$Q$2:$Q$1879,_PLAN_STG!$D$2:$D$1879,B377,_PLAN_STG!$B$2:$B$1879,"MO",_PLAN_STG!$O$2:$O$1879,1)</f>
        <v>0</v>
      </c>
      <c r="I377" s="226">
        <f>SUMPRODUCT((_PLAN_STG!$D$2:$D$1879=B377)*(_PLAN_STG!$B$2:$B$1879="MO")*(_PLAN_STG!$O$2:$O$1879=1)*(_PLAN_STG!$P$2:$P$1879&gt;0))</f>
        <v>0</v>
      </c>
      <c r="J377" s="224" t="str">
        <f>IF(D377="MO/ALB",IFERROR(VLOOKUP(B377,MANO_DE_OBRA!$A:$F,6,FALSE()),""),IF(D377="MO/OTR",IFERROR(VLOOKUP(B377,SUBCONTRATOS_PRY!$A:$E,5,FALSE()),""),""))</f>
        <v/>
      </c>
    </row>
    <row r="378" spans="1:10" x14ac:dyDescent="0.35">
      <c r="A378" s="222" t="str">
        <f t="shared" si="6"/>
        <v/>
      </c>
      <c r="B378" s="223" t="s">
        <v>1557</v>
      </c>
      <c r="C378" s="224" t="str">
        <f>IFERROR(IF(D378="MO/ALB",VLOOKUP(B378,MANO_DE_OBRA!$A:$B,2,FALSE()),VLOOKUP(B378,SUBCONTRATOS_PRY!$A:$B,2,FALSE())),IFERROR(INDEX(COMPOSICIÓN!$E$2:$E$1879,MATCH(B378,COMPOSICIÓN!$D$2:$D$1879,0)),""))</f>
        <v/>
      </c>
      <c r="D378" s="225" t="s">
        <v>2835</v>
      </c>
      <c r="E378" s="225" t="str">
        <f>IF(D378="MO/ALB","jornal",IFERROR(VLOOKUP(B378,SUBCONTRATOS_PRY!$A:$C,3,FALSE()),IFERROR(INDEX(COMPOSICIÓN!$F$2:$F$1879,MATCH(B378,COMPOSICIÓN!$D$2:$D$1879,0)),"")))</f>
        <v>jornal</v>
      </c>
      <c r="F378" s="161">
        <f>SUMIFS(_PLAN_STG!$P$2:$P$1879,_PLAN_STG!$D$2:$D$1879,B378,_PLAN_STG!$B$2:$B$1879,"MO",_PLAN_STG!$O$2:$O$1879,1)</f>
        <v>0</v>
      </c>
      <c r="G378" s="162">
        <f>IFERROR(IF(D378="MO/ALB",VLOOKUP(B378,MANO_DE_OBRA!$A:$C,3,FALSE()),VLOOKUP(B378,SUBCONTRATOS_PRY!$A:$D,4,FALSE())),IFERROR(INDEX(COMPOSICIÓN!$I$2:$I$1879,MATCH(B378,COMPOSICIÓN!$D$2:$D$1879,0)),0))</f>
        <v>0</v>
      </c>
      <c r="H378" s="163">
        <f>SUMIFS(_PLAN_STG!$Q$2:$Q$1879,_PLAN_STG!$D$2:$D$1879,B378,_PLAN_STG!$B$2:$B$1879,"MO",_PLAN_STG!$O$2:$O$1879,1)</f>
        <v>0</v>
      </c>
      <c r="I378" s="226">
        <f>SUMPRODUCT((_PLAN_STG!$D$2:$D$1879=B378)*(_PLAN_STG!$B$2:$B$1879="MO")*(_PLAN_STG!$O$2:$O$1879=1)*(_PLAN_STG!$P$2:$P$1879&gt;0))</f>
        <v>0</v>
      </c>
      <c r="J378" s="224" t="str">
        <f>IF(D378="MO/ALB",IFERROR(VLOOKUP(B378,MANO_DE_OBRA!$A:$F,6,FALSE()),""),IF(D378="MO/OTR",IFERROR(VLOOKUP(B378,SUBCONTRATOS_PRY!$A:$E,5,FALSE()),""),""))</f>
        <v/>
      </c>
    </row>
    <row r="379" spans="1:10" x14ac:dyDescent="0.35">
      <c r="A379" s="222" t="str">
        <f t="shared" si="6"/>
        <v/>
      </c>
      <c r="B379" s="223" t="s">
        <v>1559</v>
      </c>
      <c r="C379" s="224" t="str">
        <f>IFERROR(IF(D379="MO/ALB",VLOOKUP(B379,MANO_DE_OBRA!$A:$B,2,FALSE()),VLOOKUP(B379,SUBCONTRATOS_PRY!$A:$B,2,FALSE())),IFERROR(INDEX(COMPOSICIÓN!$E$2:$E$1879,MATCH(B379,COMPOSICIÓN!$D$2:$D$1879,0)),""))</f>
        <v/>
      </c>
      <c r="D379" s="225" t="s">
        <v>2835</v>
      </c>
      <c r="E379" s="225" t="str">
        <f>IF(D379="MO/ALB","jornal",IFERROR(VLOOKUP(B379,SUBCONTRATOS_PRY!$A:$C,3,FALSE()),IFERROR(INDEX(COMPOSICIÓN!$F$2:$F$1879,MATCH(B379,COMPOSICIÓN!$D$2:$D$1879,0)),"")))</f>
        <v>jornal</v>
      </c>
      <c r="F379" s="161">
        <f>SUMIFS(_PLAN_STG!$P$2:$P$1879,_PLAN_STG!$D$2:$D$1879,B379,_PLAN_STG!$B$2:$B$1879,"MO",_PLAN_STG!$O$2:$O$1879,1)</f>
        <v>0</v>
      </c>
      <c r="G379" s="162">
        <f>IFERROR(IF(D379="MO/ALB",VLOOKUP(B379,MANO_DE_OBRA!$A:$C,3,FALSE()),VLOOKUP(B379,SUBCONTRATOS_PRY!$A:$D,4,FALSE())),IFERROR(INDEX(COMPOSICIÓN!$I$2:$I$1879,MATCH(B379,COMPOSICIÓN!$D$2:$D$1879,0)),0))</f>
        <v>0</v>
      </c>
      <c r="H379" s="163">
        <f>SUMIFS(_PLAN_STG!$Q$2:$Q$1879,_PLAN_STG!$D$2:$D$1879,B379,_PLAN_STG!$B$2:$B$1879,"MO",_PLAN_STG!$O$2:$O$1879,1)</f>
        <v>0</v>
      </c>
      <c r="I379" s="226">
        <f>SUMPRODUCT((_PLAN_STG!$D$2:$D$1879=B379)*(_PLAN_STG!$B$2:$B$1879="MO")*(_PLAN_STG!$O$2:$O$1879=1)*(_PLAN_STG!$P$2:$P$1879&gt;0))</f>
        <v>0</v>
      </c>
      <c r="J379" s="224" t="str">
        <f>IF(D379="MO/ALB",IFERROR(VLOOKUP(B379,MANO_DE_OBRA!$A:$F,6,FALSE()),""),IF(D379="MO/OTR",IFERROR(VLOOKUP(B379,SUBCONTRATOS_PRY!$A:$E,5,FALSE()),""),""))</f>
        <v/>
      </c>
    </row>
    <row r="380" spans="1:10" x14ac:dyDescent="0.35">
      <c r="A380" s="222" t="str">
        <f t="shared" si="6"/>
        <v/>
      </c>
      <c r="B380" s="223" t="s">
        <v>1560</v>
      </c>
      <c r="C380" s="224" t="str">
        <f>IFERROR(IF(D380="MO/ALB",VLOOKUP(B380,MANO_DE_OBRA!$A:$B,2,FALSE()),VLOOKUP(B380,SUBCONTRATOS_PRY!$A:$B,2,FALSE())),IFERROR(INDEX(COMPOSICIÓN!$E$2:$E$1879,MATCH(B380,COMPOSICIÓN!$D$2:$D$1879,0)),""))</f>
        <v/>
      </c>
      <c r="D380" s="225" t="s">
        <v>2835</v>
      </c>
      <c r="E380" s="225" t="str">
        <f>IF(D380="MO/ALB","jornal",IFERROR(VLOOKUP(B380,SUBCONTRATOS_PRY!$A:$C,3,FALSE()),IFERROR(INDEX(COMPOSICIÓN!$F$2:$F$1879,MATCH(B380,COMPOSICIÓN!$D$2:$D$1879,0)),"")))</f>
        <v>jornal</v>
      </c>
      <c r="F380" s="161">
        <f>SUMIFS(_PLAN_STG!$P$2:$P$1879,_PLAN_STG!$D$2:$D$1879,B380,_PLAN_STG!$B$2:$B$1879,"MO",_PLAN_STG!$O$2:$O$1879,1)</f>
        <v>0</v>
      </c>
      <c r="G380" s="162">
        <f>IFERROR(IF(D380="MO/ALB",VLOOKUP(B380,MANO_DE_OBRA!$A:$C,3,FALSE()),VLOOKUP(B380,SUBCONTRATOS_PRY!$A:$D,4,FALSE())),IFERROR(INDEX(COMPOSICIÓN!$I$2:$I$1879,MATCH(B380,COMPOSICIÓN!$D$2:$D$1879,0)),0))</f>
        <v>0</v>
      </c>
      <c r="H380" s="163">
        <f>SUMIFS(_PLAN_STG!$Q$2:$Q$1879,_PLAN_STG!$D$2:$D$1879,B380,_PLAN_STG!$B$2:$B$1879,"MO",_PLAN_STG!$O$2:$O$1879,1)</f>
        <v>0</v>
      </c>
      <c r="I380" s="226">
        <f>SUMPRODUCT((_PLAN_STG!$D$2:$D$1879=B380)*(_PLAN_STG!$B$2:$B$1879="MO")*(_PLAN_STG!$O$2:$O$1879=1)*(_PLAN_STG!$P$2:$P$1879&gt;0))</f>
        <v>0</v>
      </c>
      <c r="J380" s="224" t="str">
        <f>IF(D380="MO/ALB",IFERROR(VLOOKUP(B380,MANO_DE_OBRA!$A:$F,6,FALSE()),""),IF(D380="MO/OTR",IFERROR(VLOOKUP(B380,SUBCONTRATOS_PRY!$A:$E,5,FALSE()),""),""))</f>
        <v/>
      </c>
    </row>
    <row r="381" spans="1:10" x14ac:dyDescent="0.35">
      <c r="A381" s="222" t="str">
        <f t="shared" si="6"/>
        <v/>
      </c>
      <c r="B381" s="223" t="s">
        <v>1561</v>
      </c>
      <c r="C381" s="224" t="str">
        <f>IFERROR(IF(D381="MO/ALB",VLOOKUP(B381,MANO_DE_OBRA!$A:$B,2,FALSE()),VLOOKUP(B381,SUBCONTRATOS_PRY!$A:$B,2,FALSE())),IFERROR(INDEX(COMPOSICIÓN!$E$2:$E$1879,MATCH(B381,COMPOSICIÓN!$D$2:$D$1879,0)),""))</f>
        <v/>
      </c>
      <c r="D381" s="225" t="s">
        <v>2835</v>
      </c>
      <c r="E381" s="225" t="str">
        <f>IF(D381="MO/ALB","jornal",IFERROR(VLOOKUP(B381,SUBCONTRATOS_PRY!$A:$C,3,FALSE()),IFERROR(INDEX(COMPOSICIÓN!$F$2:$F$1879,MATCH(B381,COMPOSICIÓN!$D$2:$D$1879,0)),"")))</f>
        <v>jornal</v>
      </c>
      <c r="F381" s="161">
        <f>SUMIFS(_PLAN_STG!$P$2:$P$1879,_PLAN_STG!$D$2:$D$1879,B381,_PLAN_STG!$B$2:$B$1879,"MO",_PLAN_STG!$O$2:$O$1879,1)</f>
        <v>0</v>
      </c>
      <c r="G381" s="162">
        <f>IFERROR(IF(D381="MO/ALB",VLOOKUP(B381,MANO_DE_OBRA!$A:$C,3,FALSE()),VLOOKUP(B381,SUBCONTRATOS_PRY!$A:$D,4,FALSE())),IFERROR(INDEX(COMPOSICIÓN!$I$2:$I$1879,MATCH(B381,COMPOSICIÓN!$D$2:$D$1879,0)),0))</f>
        <v>0</v>
      </c>
      <c r="H381" s="163">
        <f>SUMIFS(_PLAN_STG!$Q$2:$Q$1879,_PLAN_STG!$D$2:$D$1879,B381,_PLAN_STG!$B$2:$B$1879,"MO",_PLAN_STG!$O$2:$O$1879,1)</f>
        <v>0</v>
      </c>
      <c r="I381" s="226">
        <f>SUMPRODUCT((_PLAN_STG!$D$2:$D$1879=B381)*(_PLAN_STG!$B$2:$B$1879="MO")*(_PLAN_STG!$O$2:$O$1879=1)*(_PLAN_STG!$P$2:$P$1879&gt;0))</f>
        <v>0</v>
      </c>
      <c r="J381" s="224" t="str">
        <f>IF(D381="MO/ALB",IFERROR(VLOOKUP(B381,MANO_DE_OBRA!$A:$F,6,FALSE()),""),IF(D381="MO/OTR",IFERROR(VLOOKUP(B381,SUBCONTRATOS_PRY!$A:$E,5,FALSE()),""),""))</f>
        <v/>
      </c>
    </row>
    <row r="382" spans="1:10" x14ac:dyDescent="0.35">
      <c r="A382" s="222" t="str">
        <f t="shared" si="6"/>
        <v/>
      </c>
      <c r="B382" s="223" t="s">
        <v>1558</v>
      </c>
      <c r="C382" s="224" t="str">
        <f>IFERROR(IF(D382="MO/ALB",VLOOKUP(B382,MANO_DE_OBRA!$A:$B,2,FALSE()),VLOOKUP(B382,SUBCONTRATOS_PRY!$A:$B,2,FALSE())),IFERROR(INDEX(COMPOSICIÓN!$E$2:$E$1879,MATCH(B382,COMPOSICIÓN!$D$2:$D$1879,0)),""))</f>
        <v/>
      </c>
      <c r="D382" s="225" t="s">
        <v>2835</v>
      </c>
      <c r="E382" s="225" t="str">
        <f>IF(D382="MO/ALB","jornal",IFERROR(VLOOKUP(B382,SUBCONTRATOS_PRY!$A:$C,3,FALSE()),IFERROR(INDEX(COMPOSICIÓN!$F$2:$F$1879,MATCH(B382,COMPOSICIÓN!$D$2:$D$1879,0)),"")))</f>
        <v>jornal</v>
      </c>
      <c r="F382" s="161">
        <f>SUMIFS(_PLAN_STG!$P$2:$P$1879,_PLAN_STG!$D$2:$D$1879,B382,_PLAN_STG!$B$2:$B$1879,"MO",_PLAN_STG!$O$2:$O$1879,1)</f>
        <v>0</v>
      </c>
      <c r="G382" s="162">
        <f>IFERROR(IF(D382="MO/ALB",VLOOKUP(B382,MANO_DE_OBRA!$A:$C,3,FALSE()),VLOOKUP(B382,SUBCONTRATOS_PRY!$A:$D,4,FALSE())),IFERROR(INDEX(COMPOSICIÓN!$I$2:$I$1879,MATCH(B382,COMPOSICIÓN!$D$2:$D$1879,0)),0))</f>
        <v>0</v>
      </c>
      <c r="H382" s="163">
        <f>SUMIFS(_PLAN_STG!$Q$2:$Q$1879,_PLAN_STG!$D$2:$D$1879,B382,_PLAN_STG!$B$2:$B$1879,"MO",_PLAN_STG!$O$2:$O$1879,1)</f>
        <v>0</v>
      </c>
      <c r="I382" s="226">
        <f>SUMPRODUCT((_PLAN_STG!$D$2:$D$1879=B382)*(_PLAN_STG!$B$2:$B$1879="MO")*(_PLAN_STG!$O$2:$O$1879=1)*(_PLAN_STG!$P$2:$P$1879&gt;0))</f>
        <v>0</v>
      </c>
      <c r="J382" s="224" t="str">
        <f>IF(D382="MO/ALB",IFERROR(VLOOKUP(B382,MANO_DE_OBRA!$A:$F,6,FALSE()),""),IF(D382="MO/OTR",IFERROR(VLOOKUP(B382,SUBCONTRATOS_PRY!$A:$E,5,FALSE()),""),""))</f>
        <v/>
      </c>
    </row>
    <row r="383" spans="1:10" x14ac:dyDescent="0.35">
      <c r="A383" s="222" t="str">
        <f t="shared" si="6"/>
        <v/>
      </c>
      <c r="B383" s="223" t="s">
        <v>1562</v>
      </c>
      <c r="C383" s="224" t="str">
        <f>IFERROR(IF(D383="MO/ALB",VLOOKUP(B383,MANO_DE_OBRA!$A:$B,2,FALSE()),VLOOKUP(B383,SUBCONTRATOS_PRY!$A:$B,2,FALSE())),IFERROR(INDEX(COMPOSICIÓN!$E$2:$E$1879,MATCH(B383,COMPOSICIÓN!$D$2:$D$1879,0)),""))</f>
        <v/>
      </c>
      <c r="D383" s="225" t="s">
        <v>2835</v>
      </c>
      <c r="E383" s="225" t="str">
        <f>IF(D383="MO/ALB","jornal",IFERROR(VLOOKUP(B383,SUBCONTRATOS_PRY!$A:$C,3,FALSE()),IFERROR(INDEX(COMPOSICIÓN!$F$2:$F$1879,MATCH(B383,COMPOSICIÓN!$D$2:$D$1879,0)),"")))</f>
        <v>jornal</v>
      </c>
      <c r="F383" s="161">
        <f>SUMIFS(_PLAN_STG!$P$2:$P$1879,_PLAN_STG!$D$2:$D$1879,B383,_PLAN_STG!$B$2:$B$1879,"MO",_PLAN_STG!$O$2:$O$1879,1)</f>
        <v>0</v>
      </c>
      <c r="G383" s="162">
        <f>IFERROR(IF(D383="MO/ALB",VLOOKUP(B383,MANO_DE_OBRA!$A:$C,3,FALSE()),VLOOKUP(B383,SUBCONTRATOS_PRY!$A:$D,4,FALSE())),IFERROR(INDEX(COMPOSICIÓN!$I$2:$I$1879,MATCH(B383,COMPOSICIÓN!$D$2:$D$1879,0)),0))</f>
        <v>0</v>
      </c>
      <c r="H383" s="163">
        <f>SUMIFS(_PLAN_STG!$Q$2:$Q$1879,_PLAN_STG!$D$2:$D$1879,B383,_PLAN_STG!$B$2:$B$1879,"MO",_PLAN_STG!$O$2:$O$1879,1)</f>
        <v>0</v>
      </c>
      <c r="I383" s="226">
        <f>SUMPRODUCT((_PLAN_STG!$D$2:$D$1879=B383)*(_PLAN_STG!$B$2:$B$1879="MO")*(_PLAN_STG!$O$2:$O$1879=1)*(_PLAN_STG!$P$2:$P$1879&gt;0))</f>
        <v>0</v>
      </c>
      <c r="J383" s="224" t="str">
        <f>IF(D383="MO/ALB",IFERROR(VLOOKUP(B383,MANO_DE_OBRA!$A:$F,6,FALSE()),""),IF(D383="MO/OTR",IFERROR(VLOOKUP(B383,SUBCONTRATOS_PRY!$A:$E,5,FALSE()),""),""))</f>
        <v/>
      </c>
    </row>
    <row r="384" spans="1:10" x14ac:dyDescent="0.35">
      <c r="A384" s="222" t="str">
        <f t="shared" si="6"/>
        <v/>
      </c>
      <c r="B384" s="223" t="s">
        <v>1563</v>
      </c>
      <c r="C384" s="224" t="str">
        <f>IFERROR(IF(D384="MO/ALB",VLOOKUP(B384,MANO_DE_OBRA!$A:$B,2,FALSE()),VLOOKUP(B384,SUBCONTRATOS_PRY!$A:$B,2,FALSE())),IFERROR(INDEX(COMPOSICIÓN!$E$2:$E$1879,MATCH(B384,COMPOSICIÓN!$D$2:$D$1879,0)),""))</f>
        <v/>
      </c>
      <c r="D384" s="225" t="s">
        <v>2835</v>
      </c>
      <c r="E384" s="225" t="str">
        <f>IF(D384="MO/ALB","jornal",IFERROR(VLOOKUP(B384,SUBCONTRATOS_PRY!$A:$C,3,FALSE()),IFERROR(INDEX(COMPOSICIÓN!$F$2:$F$1879,MATCH(B384,COMPOSICIÓN!$D$2:$D$1879,0)),"")))</f>
        <v>jornal</v>
      </c>
      <c r="F384" s="161">
        <f>SUMIFS(_PLAN_STG!$P$2:$P$1879,_PLAN_STG!$D$2:$D$1879,B384,_PLAN_STG!$B$2:$B$1879,"MO",_PLAN_STG!$O$2:$O$1879,1)</f>
        <v>0</v>
      </c>
      <c r="G384" s="162">
        <f>IFERROR(IF(D384="MO/ALB",VLOOKUP(B384,MANO_DE_OBRA!$A:$C,3,FALSE()),VLOOKUP(B384,SUBCONTRATOS_PRY!$A:$D,4,FALSE())),IFERROR(INDEX(COMPOSICIÓN!$I$2:$I$1879,MATCH(B384,COMPOSICIÓN!$D$2:$D$1879,0)),0))</f>
        <v>0</v>
      </c>
      <c r="H384" s="163">
        <f>SUMIFS(_PLAN_STG!$Q$2:$Q$1879,_PLAN_STG!$D$2:$D$1879,B384,_PLAN_STG!$B$2:$B$1879,"MO",_PLAN_STG!$O$2:$O$1879,1)</f>
        <v>0</v>
      </c>
      <c r="I384" s="226">
        <f>SUMPRODUCT((_PLAN_STG!$D$2:$D$1879=B384)*(_PLAN_STG!$B$2:$B$1879="MO")*(_PLAN_STG!$O$2:$O$1879=1)*(_PLAN_STG!$P$2:$P$1879&gt;0))</f>
        <v>0</v>
      </c>
      <c r="J384" s="224" t="str">
        <f>IF(D384="MO/ALB",IFERROR(VLOOKUP(B384,MANO_DE_OBRA!$A:$F,6,FALSE()),""),IF(D384="MO/OTR",IFERROR(VLOOKUP(B384,SUBCONTRATOS_PRY!$A:$E,5,FALSE()),""),""))</f>
        <v/>
      </c>
    </row>
    <row r="385" spans="1:10" x14ac:dyDescent="0.35">
      <c r="A385" s="222" t="str">
        <f t="shared" si="6"/>
        <v/>
      </c>
      <c r="B385" s="223" t="s">
        <v>2430</v>
      </c>
      <c r="C385" s="224" t="str">
        <f>IFERROR(IF(D385="MO/ALB",VLOOKUP(B385,MANO_DE_OBRA!$A:$B,2,FALSE()),VLOOKUP(B385,SUBCONTRATOS_PRY!$A:$B,2,FALSE())),IFERROR(INDEX(COMPOSICIÓN!$E$2:$E$1879,MATCH(B385,COMPOSICIÓN!$D$2:$D$1879,0)),""))</f>
        <v>Boca completa</v>
      </c>
      <c r="D385" s="225" t="s">
        <v>2837</v>
      </c>
      <c r="E385" s="225" t="str">
        <f>IF(D385="MO/ALB","jornal",IFERROR(VLOOKUP(B385,SUBCONTRATOS_PRY!$A:$C,3,FALSE()),IFERROR(INDEX(COMPOSICIÓN!$F$2:$F$1879,MATCH(B385,COMPOSICIÓN!$D$2:$D$1879,0)),"")))</f>
        <v>u</v>
      </c>
      <c r="F385" s="161">
        <f>SUMIFS(_PLAN_STG!$P$2:$P$1879,_PLAN_STG!$D$2:$D$1879,B385,_PLAN_STG!$B$2:$B$1879,"MO",_PLAN_STG!$O$2:$O$1879,1)</f>
        <v>0</v>
      </c>
      <c r="G385" s="162">
        <f>IFERROR(IF(D385="MO/ALB",VLOOKUP(B385,MANO_DE_OBRA!$A:$C,3,FALSE()),VLOOKUP(B385,SUBCONTRATOS_PRY!$A:$D,4,FALSE())),IFERROR(INDEX(COMPOSICIÓN!$I$2:$I$1879,MATCH(B385,COMPOSICIÓN!$D$2:$D$1879,0)),0))</f>
        <v>35416.5</v>
      </c>
      <c r="H385" s="163">
        <f>SUMIFS(_PLAN_STG!$Q$2:$Q$1879,_PLAN_STG!$D$2:$D$1879,B385,_PLAN_STG!$B$2:$B$1879,"MO",_PLAN_STG!$O$2:$O$1879,1)</f>
        <v>0</v>
      </c>
      <c r="I385" s="226">
        <f>SUMPRODUCT((_PLAN_STG!$D$2:$D$1879=B385)*(_PLAN_STG!$B$2:$B$1879="MO")*(_PLAN_STG!$O$2:$O$1879=1)*(_PLAN_STG!$P$2:$P$1879&gt;0))</f>
        <v>0</v>
      </c>
      <c r="J385" s="224" t="str">
        <f>IF(D385="MO/ALB",IFERROR(VLOOKUP(B385,MANO_DE_OBRA!$A:$F,6,FALSE()),""),IF(D385="MO/OTR",IFERROR(VLOOKUP(B385,SUBCONTRATOS_PRY!$A:$E,5,FALSE()),""),""))</f>
        <v>Electricidad — Instalación</v>
      </c>
    </row>
    <row r="386" spans="1:10" x14ac:dyDescent="0.35">
      <c r="A386" s="222" t="str">
        <f t="shared" si="6"/>
        <v/>
      </c>
      <c r="B386" s="223" t="s">
        <v>2196</v>
      </c>
      <c r="C386" s="224" t="str">
        <f>IFERROR(IF(D386="MO/ALB",VLOOKUP(B386,MANO_DE_OBRA!$A:$B,2,FALSE()),VLOOKUP(B386,SUBCONTRATOS_PRY!$A:$B,2,FALSE())),IFERROR(INDEX(COMPOSICIÓN!$E$2:$E$1879,MATCH(B386,COMPOSICIÓN!$D$2:$D$1879,0)),""))</f>
        <v>Caño de acometida</v>
      </c>
      <c r="D386" s="225" t="s">
        <v>2837</v>
      </c>
      <c r="E386" s="225" t="str">
        <f>IF(D386="MO/ALB","jornal",IFERROR(VLOOKUP(B386,SUBCONTRATOS_PRY!$A:$C,3,FALSE()),IFERROR(INDEX(COMPOSICIÓN!$F$2:$F$1879,MATCH(B386,COMPOSICIÓN!$D$2:$D$1879,0)),"")))</f>
        <v>u</v>
      </c>
      <c r="F386" s="161">
        <f>SUMIFS(_PLAN_STG!$P$2:$P$1879,_PLAN_STG!$D$2:$D$1879,B386,_PLAN_STG!$B$2:$B$1879,"MO",_PLAN_STG!$O$2:$O$1879,1)</f>
        <v>0</v>
      </c>
      <c r="G386" s="162">
        <f>IFERROR(IF(D386="MO/ALB",VLOOKUP(B386,MANO_DE_OBRA!$A:$C,3,FALSE()),VLOOKUP(B386,SUBCONTRATOS_PRY!$A:$D,4,FALSE())),IFERROR(INDEX(COMPOSICIÓN!$I$2:$I$1879,MATCH(B386,COMPOSICIÓN!$D$2:$D$1879,0)),0))</f>
        <v>90526.8</v>
      </c>
      <c r="H386" s="163">
        <f>SUMIFS(_PLAN_STG!$Q$2:$Q$1879,_PLAN_STG!$D$2:$D$1879,B386,_PLAN_STG!$B$2:$B$1879,"MO",_PLAN_STG!$O$2:$O$1879,1)</f>
        <v>0</v>
      </c>
      <c r="I386" s="226">
        <f>SUMPRODUCT((_PLAN_STG!$D$2:$D$1879=B386)*(_PLAN_STG!$B$2:$B$1879="MO")*(_PLAN_STG!$O$2:$O$1879=1)*(_PLAN_STG!$P$2:$P$1879&gt;0))</f>
        <v>0</v>
      </c>
      <c r="J386" s="224" t="str">
        <f>IF(D386="MO/ALB",IFERROR(VLOOKUP(B386,MANO_DE_OBRA!$A:$F,6,FALSE()),""),IF(D386="MO/OTR",IFERROR(VLOOKUP(B386,SUBCONTRATOS_PRY!$A:$E,5,FALSE()),""),""))</f>
        <v>Electricidad — Instalación</v>
      </c>
    </row>
    <row r="387" spans="1:10" x14ac:dyDescent="0.35">
      <c r="A387" s="222" t="str">
        <f t="shared" si="6"/>
        <v/>
      </c>
      <c r="B387" s="223" t="s">
        <v>2198</v>
      </c>
      <c r="C387" s="224" t="str">
        <f>IFERROR(IF(D387="MO/ALB",VLOOKUP(B387,MANO_DE_OBRA!$A:$B,2,FALSE()),VLOOKUP(B387,SUBCONTRATOS_PRY!$A:$B,2,FALSE())),IFERROR(INDEX(COMPOSICIÓN!$E$2:$E$1879,MATCH(B387,COMPOSICIÓN!$D$2:$D$1879,0)),""))</f>
        <v>Caja de toma</v>
      </c>
      <c r="D387" s="225" t="s">
        <v>2837</v>
      </c>
      <c r="E387" s="225" t="str">
        <f>IF(D387="MO/ALB","jornal",IFERROR(VLOOKUP(B387,SUBCONTRATOS_PRY!$A:$C,3,FALSE()),IFERROR(INDEX(COMPOSICIÓN!$F$2:$F$1879,MATCH(B387,COMPOSICIÓN!$D$2:$D$1879,0)),"")))</f>
        <v>u</v>
      </c>
      <c r="F387" s="161">
        <f>SUMIFS(_PLAN_STG!$P$2:$P$1879,_PLAN_STG!$D$2:$D$1879,B387,_PLAN_STG!$B$2:$B$1879,"MO",_PLAN_STG!$O$2:$O$1879,1)</f>
        <v>0</v>
      </c>
      <c r="G387" s="162">
        <f>IFERROR(IF(D387="MO/ALB",VLOOKUP(B387,MANO_DE_OBRA!$A:$C,3,FALSE()),VLOOKUP(B387,SUBCONTRATOS_PRY!$A:$D,4,FALSE())),IFERROR(INDEX(COMPOSICIÓN!$I$2:$I$1879,MATCH(B387,COMPOSICIÓN!$D$2:$D$1879,0)),0))</f>
        <v>129373.3</v>
      </c>
      <c r="H387" s="163">
        <f>SUMIFS(_PLAN_STG!$Q$2:$Q$1879,_PLAN_STG!$D$2:$D$1879,B387,_PLAN_STG!$B$2:$B$1879,"MO",_PLAN_STG!$O$2:$O$1879,1)</f>
        <v>0</v>
      </c>
      <c r="I387" s="226">
        <f>SUMPRODUCT((_PLAN_STG!$D$2:$D$1879=B387)*(_PLAN_STG!$B$2:$B$1879="MO")*(_PLAN_STG!$O$2:$O$1879=1)*(_PLAN_STG!$P$2:$P$1879&gt;0))</f>
        <v>0</v>
      </c>
      <c r="J387" s="224" t="str">
        <f>IF(D387="MO/ALB",IFERROR(VLOOKUP(B387,MANO_DE_OBRA!$A:$F,6,FALSE()),""),IF(D387="MO/OTR",IFERROR(VLOOKUP(B387,SUBCONTRATOS_PRY!$A:$E,5,FALSE()),""),""))</f>
        <v>Electricidad — Instalación</v>
      </c>
    </row>
    <row r="388" spans="1:10" x14ac:dyDescent="0.35">
      <c r="A388" s="222" t="str">
        <f t="shared" si="6"/>
        <v/>
      </c>
      <c r="B388" s="223" t="s">
        <v>2168</v>
      </c>
      <c r="C388" s="224" t="str">
        <f>IFERROR(IF(D388="MO/ALB",VLOOKUP(B388,MANO_DE_OBRA!$A:$B,2,FALSE()),VLOOKUP(B388,SUBCONTRATOS_PRY!$A:$B,2,FALSE())),IFERROR(INDEX(COMPOSICIÓN!$E$2:$E$1879,MATCH(B388,COMPOSICIÓN!$D$2:$D$1879,0)),""))</f>
        <v>Canalización</v>
      </c>
      <c r="D388" s="225" t="s">
        <v>2837</v>
      </c>
      <c r="E388" s="225" t="str">
        <f>IF(D388="MO/ALB","jornal",IFERROR(VLOOKUP(B388,SUBCONTRATOS_PRY!$A:$C,3,FALSE()),IFERROR(INDEX(COMPOSICIÓN!$F$2:$F$1879,MATCH(B388,COMPOSICIÓN!$D$2:$D$1879,0)),"")))</f>
        <v>b</v>
      </c>
      <c r="F388" s="161">
        <f>SUMIFS(_PLAN_STG!$P$2:$P$1879,_PLAN_STG!$D$2:$D$1879,B388,_PLAN_STG!$B$2:$B$1879,"MO",_PLAN_STG!$O$2:$O$1879,1)</f>
        <v>0</v>
      </c>
      <c r="G388" s="162">
        <f>IFERROR(IF(D388="MO/ALB",VLOOKUP(B388,MANO_DE_OBRA!$A:$C,3,FALSE()),VLOOKUP(B388,SUBCONTRATOS_PRY!$A:$D,4,FALSE())),IFERROR(INDEX(COMPOSICIÓN!$I$2:$I$1879,MATCH(B388,COMPOSICIÓN!$D$2:$D$1879,0)),0))</f>
        <v>24807.3</v>
      </c>
      <c r="H388" s="163">
        <f>SUMIFS(_PLAN_STG!$Q$2:$Q$1879,_PLAN_STG!$D$2:$D$1879,B388,_PLAN_STG!$B$2:$B$1879,"MO",_PLAN_STG!$O$2:$O$1879,1)</f>
        <v>0</v>
      </c>
      <c r="I388" s="226">
        <f>SUMPRODUCT((_PLAN_STG!$D$2:$D$1879=B388)*(_PLAN_STG!$B$2:$B$1879="MO")*(_PLAN_STG!$O$2:$O$1879=1)*(_PLAN_STG!$P$2:$P$1879&gt;0))</f>
        <v>0</v>
      </c>
      <c r="J388" s="224" t="str">
        <f>IF(D388="MO/ALB",IFERROR(VLOOKUP(B388,MANO_DE_OBRA!$A:$F,6,FALSE()),""),IF(D388="MO/OTR",IFERROR(VLOOKUP(B388,SUBCONTRATOS_PRY!$A:$E,5,FALSE()),""),""))</f>
        <v>Electricidad — Instalación</v>
      </c>
    </row>
    <row r="389" spans="1:10" x14ac:dyDescent="0.35">
      <c r="A389" s="222" t="str">
        <f t="shared" si="6"/>
        <v/>
      </c>
      <c r="B389" s="223" t="s">
        <v>2128</v>
      </c>
      <c r="C389" s="224" t="str">
        <f>IFERROR(IF(D389="MO/ALB",VLOOKUP(B389,MANO_DE_OBRA!$A:$B,2,FALSE()),VLOOKUP(B389,SUBCONTRATOS_PRY!$A:$B,2,FALSE())),IFERROR(INDEX(COMPOSICIÓN!$E$2:$E$1879,MATCH(B389,COMPOSICIÓN!$D$2:$D$1879,0)),""))</f>
        <v>Luz de Obra</v>
      </c>
      <c r="D389" s="225" t="s">
        <v>2837</v>
      </c>
      <c r="E389" s="225" t="str">
        <f>IF(D389="MO/ALB","jornal",IFERROR(VLOOKUP(B389,SUBCONTRATOS_PRY!$A:$C,3,FALSE()),IFERROR(INDEX(COMPOSICIÓN!$F$2:$F$1879,MATCH(B389,COMPOSICIÓN!$D$2:$D$1879,0)),"")))</f>
        <v>u</v>
      </c>
      <c r="F389" s="161">
        <f>SUMIFS(_PLAN_STG!$P$2:$P$1879,_PLAN_STG!$D$2:$D$1879,B389,_PLAN_STG!$B$2:$B$1879,"MO",_PLAN_STG!$O$2:$O$1879,1)</f>
        <v>0</v>
      </c>
      <c r="G389" s="162">
        <f>IFERROR(IF(D389="MO/ALB",VLOOKUP(B389,MANO_DE_OBRA!$A:$C,3,FALSE()),VLOOKUP(B389,SUBCONTRATOS_PRY!$A:$D,4,FALSE())),IFERROR(INDEX(COMPOSICIÓN!$I$2:$I$1879,MATCH(B389,COMPOSICIÓN!$D$2:$D$1879,0)),0))</f>
        <v>107023.598877166</v>
      </c>
      <c r="H389" s="163">
        <f>SUMIFS(_PLAN_STG!$Q$2:$Q$1879,_PLAN_STG!$D$2:$D$1879,B389,_PLAN_STG!$B$2:$B$1879,"MO",_PLAN_STG!$O$2:$O$1879,1)</f>
        <v>0</v>
      </c>
      <c r="I389" s="226">
        <f>SUMPRODUCT((_PLAN_STG!$D$2:$D$1879=B389)*(_PLAN_STG!$B$2:$B$1879="MO")*(_PLAN_STG!$O$2:$O$1879=1)*(_PLAN_STG!$P$2:$P$1879&gt;0))</f>
        <v>0</v>
      </c>
      <c r="J389" s="224" t="str">
        <f>IF(D389="MO/ALB",IFERROR(VLOOKUP(B389,MANO_DE_OBRA!$A:$F,6,FALSE()),""),IF(D389="MO/OTR",IFERROR(VLOOKUP(B389,SUBCONTRATOS_PRY!$A:$E,5,FALSE()),""),""))</f>
        <v>Electricidad — Gestión</v>
      </c>
    </row>
    <row r="390" spans="1:10" x14ac:dyDescent="0.35">
      <c r="A390" s="222" t="str">
        <f t="shared" si="6"/>
        <v/>
      </c>
      <c r="B390" s="223" t="s">
        <v>2224</v>
      </c>
      <c r="C390" s="224" t="str">
        <f>IFERROR(IF(D390="MO/ALB",VLOOKUP(B390,MANO_DE_OBRA!$A:$B,2,FALSE()),VLOOKUP(B390,SUBCONTRATOS_PRY!$A:$B,2,FALSE())),IFERROR(INDEX(COMPOSICIÓN!$E$2:$E$1879,MATCH(B390,COMPOSICIÓN!$D$2:$D$1879,0)),""))</f>
        <v>Medicion PAT luz de obra</v>
      </c>
      <c r="D390" s="225" t="s">
        <v>2837</v>
      </c>
      <c r="E390" s="225" t="str">
        <f>IF(D390="MO/ALB","jornal",IFERROR(VLOOKUP(B390,SUBCONTRATOS_PRY!$A:$C,3,FALSE()),IFERROR(INDEX(COMPOSICIÓN!$F$2:$F$1879,MATCH(B390,COMPOSICIÓN!$D$2:$D$1879,0)),"")))</f>
        <v>gl</v>
      </c>
      <c r="F390" s="161">
        <f>SUMIFS(_PLAN_STG!$P$2:$P$1879,_PLAN_STG!$D$2:$D$1879,B390,_PLAN_STG!$B$2:$B$1879,"MO",_PLAN_STG!$O$2:$O$1879,1)</f>
        <v>0</v>
      </c>
      <c r="G390" s="162">
        <f>IFERROR(IF(D390="MO/ALB",VLOOKUP(B390,MANO_DE_OBRA!$A:$C,3,FALSE()),VLOOKUP(B390,SUBCONTRATOS_PRY!$A:$D,4,FALSE())),IFERROR(INDEX(COMPOSICIÓN!$I$2:$I$1879,MATCH(B390,COMPOSICIÓN!$D$2:$D$1879,0)),0))</f>
        <v>93645.649017520103</v>
      </c>
      <c r="H390" s="163">
        <f>SUMIFS(_PLAN_STG!$Q$2:$Q$1879,_PLAN_STG!$D$2:$D$1879,B390,_PLAN_STG!$B$2:$B$1879,"MO",_PLAN_STG!$O$2:$O$1879,1)</f>
        <v>0</v>
      </c>
      <c r="I390" s="226">
        <f>SUMPRODUCT((_PLAN_STG!$D$2:$D$1879=B390)*(_PLAN_STG!$B$2:$B$1879="MO")*(_PLAN_STG!$O$2:$O$1879=1)*(_PLAN_STG!$P$2:$P$1879&gt;0))</f>
        <v>0</v>
      </c>
      <c r="J390" s="224" t="str">
        <f>IF(D390="MO/ALB",IFERROR(VLOOKUP(B390,MANO_DE_OBRA!$A:$F,6,FALSE()),""),IF(D390="MO/OTR",IFERROR(VLOOKUP(B390,SUBCONTRATOS_PRY!$A:$E,5,FALSE()),""),""))</f>
        <v>Electricidad — Gestión</v>
      </c>
    </row>
    <row r="391" spans="1:10" x14ac:dyDescent="0.35">
      <c r="A391" s="222" t="str">
        <f t="shared" si="6"/>
        <v/>
      </c>
      <c r="B391" s="223" t="s">
        <v>2200</v>
      </c>
      <c r="C391" s="224" t="str">
        <f>IFERROR(IF(D391="MO/ALB",VLOOKUP(B391,MANO_DE_OBRA!$A:$B,2,FALSE()),VLOOKUP(B391,SUBCONTRATOS_PRY!$A:$B,2,FALSE())),IFERROR(INDEX(COMPOSICIÓN!$E$2:$E$1879,MATCH(B391,COMPOSICIÓN!$D$2:$D$1879,0)),""))</f>
        <v>PAT de Servicio</v>
      </c>
      <c r="D391" s="225" t="s">
        <v>2837</v>
      </c>
      <c r="E391" s="225" t="str">
        <f>IF(D391="MO/ALB","jornal",IFERROR(VLOOKUP(B391,SUBCONTRATOS_PRY!$A:$C,3,FALSE()),IFERROR(INDEX(COMPOSICIÓN!$F$2:$F$1879,MATCH(B391,COMPOSICIÓN!$D$2:$D$1879,0)),"")))</f>
        <v>u</v>
      </c>
      <c r="F391" s="161">
        <f>SUMIFS(_PLAN_STG!$P$2:$P$1879,_PLAN_STG!$D$2:$D$1879,B391,_PLAN_STG!$B$2:$B$1879,"MO",_PLAN_STG!$O$2:$O$1879,1)</f>
        <v>0</v>
      </c>
      <c r="G391" s="162">
        <f>IFERROR(IF(D391="MO/ALB",VLOOKUP(B391,MANO_DE_OBRA!$A:$C,3,FALSE()),VLOOKUP(B391,SUBCONTRATOS_PRY!$A:$D,4,FALSE())),IFERROR(INDEX(COMPOSICIÓN!$I$2:$I$1879,MATCH(B391,COMPOSICIÓN!$D$2:$D$1879,0)),0))</f>
        <v>64652.7</v>
      </c>
      <c r="H391" s="163">
        <f>SUMIFS(_PLAN_STG!$Q$2:$Q$1879,_PLAN_STG!$D$2:$D$1879,B391,_PLAN_STG!$B$2:$B$1879,"MO",_PLAN_STG!$O$2:$O$1879,1)</f>
        <v>0</v>
      </c>
      <c r="I391" s="226">
        <f>SUMPRODUCT((_PLAN_STG!$D$2:$D$1879=B391)*(_PLAN_STG!$B$2:$B$1879="MO")*(_PLAN_STG!$O$2:$O$1879=1)*(_PLAN_STG!$P$2:$P$1879&gt;0))</f>
        <v>0</v>
      </c>
      <c r="J391" s="224" t="str">
        <f>IF(D391="MO/ALB",IFERROR(VLOOKUP(B391,MANO_DE_OBRA!$A:$F,6,FALSE()),""),IF(D391="MO/OTR",IFERROR(VLOOKUP(B391,SUBCONTRATOS_PRY!$A:$E,5,FALSE()),""),""))</f>
        <v>Electricidad — Instalación</v>
      </c>
    </row>
    <row r="392" spans="1:10" x14ac:dyDescent="0.35">
      <c r="A392" s="222" t="str">
        <f t="shared" si="6"/>
        <v/>
      </c>
      <c r="B392" s="223" t="s">
        <v>2227</v>
      </c>
      <c r="C392" s="224" t="str">
        <f>IFERROR(IF(D392="MO/ALB",VLOOKUP(B392,MANO_DE_OBRA!$A:$B,2,FALSE()),VLOOKUP(B392,SUBCONTRATOS_PRY!$A:$B,2,FALSE())),IFERROR(INDEX(COMPOSICIÓN!$E$2:$E$1879,MATCH(B392,COMPOSICIÓN!$D$2:$D$1879,0)),""))</f>
        <v>M.Obra topografo</v>
      </c>
      <c r="D392" s="225" t="s">
        <v>2837</v>
      </c>
      <c r="E392" s="225" t="str">
        <f>IF(D392="MO/ALB","jornal",IFERROR(VLOOKUP(B392,SUBCONTRATOS_PRY!$A:$C,3,FALSE()),IFERROR(INDEX(COMPOSICIÓN!$F$2:$F$1879,MATCH(B392,COMPOSICIÓN!$D$2:$D$1879,0)),"")))</f>
        <v>d</v>
      </c>
      <c r="F392" s="161">
        <f>SUMIFS(_PLAN_STG!$P$2:$P$1879,_PLAN_STG!$D$2:$D$1879,B392,_PLAN_STG!$B$2:$B$1879,"MO",_PLAN_STG!$O$2:$O$1879,1)</f>
        <v>0</v>
      </c>
      <c r="G392" s="162">
        <f>IFERROR(IF(D392="MO/ALB",VLOOKUP(B392,MANO_DE_OBRA!$A:$C,3,FALSE()),VLOOKUP(B392,SUBCONTRATOS_PRY!$A:$D,4,FALSE())),IFERROR(INDEX(COMPOSICIÓN!$I$2:$I$1879,MATCH(B392,COMPOSICIÓN!$D$2:$D$1879,0)),0))</f>
        <v>198736.844636364</v>
      </c>
      <c r="H392" s="163">
        <f>SUMIFS(_PLAN_STG!$Q$2:$Q$1879,_PLAN_STG!$D$2:$D$1879,B392,_PLAN_STG!$B$2:$B$1879,"MO",_PLAN_STG!$O$2:$O$1879,1)</f>
        <v>0</v>
      </c>
      <c r="I392" s="226">
        <f>SUMPRODUCT((_PLAN_STG!$D$2:$D$1879=B392)*(_PLAN_STG!$B$2:$B$1879="MO")*(_PLAN_STG!$O$2:$O$1879=1)*(_PLAN_STG!$P$2:$P$1879&gt;0))</f>
        <v>0</v>
      </c>
      <c r="J392" s="224" t="str">
        <f>IF(D392="MO/ALB",IFERROR(VLOOKUP(B392,MANO_DE_OBRA!$A:$F,6,FALSE()),""),IF(D392="MO/OTR",IFERROR(VLOOKUP(B392,SUBCONTRATOS_PRY!$A:$E,5,FALSE()),""),""))</f>
        <v>Varios</v>
      </c>
    </row>
    <row r="393" spans="1:10" x14ac:dyDescent="0.35">
      <c r="A393" s="222" t="str">
        <f t="shared" si="6"/>
        <v/>
      </c>
      <c r="B393" s="223" t="s">
        <v>2230</v>
      </c>
      <c r="C393" s="224" t="str">
        <f>IFERROR(IF(D393="MO/ALB",VLOOKUP(B393,MANO_DE_OBRA!$A:$B,2,FALSE()),VLOOKUP(B393,SUBCONTRATOS_PRY!$A:$B,2,FALSE())),IFERROR(INDEX(COMPOSICIÓN!$E$2:$E$1879,MATCH(B393,COMPOSICIÓN!$D$2:$D$1879,0)),""))</f>
        <v>Flete madera</v>
      </c>
      <c r="D393" s="225" t="s">
        <v>2837</v>
      </c>
      <c r="E393" s="225" t="str">
        <f>IF(D393="MO/ALB","jornal",IFERROR(VLOOKUP(B393,SUBCONTRATOS_PRY!$A:$C,3,FALSE()),IFERROR(INDEX(COMPOSICIÓN!$F$2:$F$1879,MATCH(B393,COMPOSICIÓN!$D$2:$D$1879,0)),"")))</f>
        <v>u</v>
      </c>
      <c r="F393" s="161">
        <f>SUMIFS(_PLAN_STG!$P$2:$P$1879,_PLAN_STG!$D$2:$D$1879,B393,_PLAN_STG!$B$2:$B$1879,"MO",_PLAN_STG!$O$2:$O$1879,1)</f>
        <v>0</v>
      </c>
      <c r="G393" s="162">
        <f>IFERROR(IF(D393="MO/ALB",VLOOKUP(B393,MANO_DE_OBRA!$A:$C,3,FALSE()),VLOOKUP(B393,SUBCONTRATOS_PRY!$A:$D,4,FALSE())),IFERROR(INDEX(COMPOSICIÓN!$I$2:$I$1879,MATCH(B393,COMPOSICIÓN!$D$2:$D$1879,0)),0))</f>
        <v>250000</v>
      </c>
      <c r="H393" s="163">
        <f>SUMIFS(_PLAN_STG!$Q$2:$Q$1879,_PLAN_STG!$D$2:$D$1879,B393,_PLAN_STG!$B$2:$B$1879,"MO",_PLAN_STG!$O$2:$O$1879,1)</f>
        <v>0</v>
      </c>
      <c r="I393" s="226">
        <f>SUMPRODUCT((_PLAN_STG!$D$2:$D$1879=B393)*(_PLAN_STG!$B$2:$B$1879="MO")*(_PLAN_STG!$O$2:$O$1879=1)*(_PLAN_STG!$P$2:$P$1879&gt;0))</f>
        <v>0</v>
      </c>
      <c r="J393" s="224" t="str">
        <f>IF(D393="MO/ALB",IFERROR(VLOOKUP(B393,MANO_DE_OBRA!$A:$F,6,FALSE()),""),IF(D393="MO/OTR",IFERROR(VLOOKUP(B393,SUBCONTRATOS_PRY!$A:$E,5,FALSE()),""),""))</f>
        <v>Varios</v>
      </c>
    </row>
    <row r="394" spans="1:10" x14ac:dyDescent="0.35">
      <c r="A394" s="222" t="str">
        <f t="shared" si="6"/>
        <v/>
      </c>
      <c r="B394" s="223" t="s">
        <v>2233</v>
      </c>
      <c r="C394" s="224" t="str">
        <f>IFERROR(IF(D394="MO/ALB",VLOOKUP(B394,MANO_DE_OBRA!$A:$B,2,FALSE()),VLOOKUP(B394,SUBCONTRATOS_PRY!$A:$B,2,FALSE())),IFERROR(INDEX(COMPOSICIÓN!$E$2:$E$1879,MATCH(B394,COMPOSICIÓN!$D$2:$D$1879,0)),""))</f>
        <v>Flete retiro</v>
      </c>
      <c r="D394" s="225" t="s">
        <v>2837</v>
      </c>
      <c r="E394" s="225" t="str">
        <f>IF(D394="MO/ALB","jornal",IFERROR(VLOOKUP(B394,SUBCONTRATOS_PRY!$A:$C,3,FALSE()),IFERROR(INDEX(COMPOSICIÓN!$F$2:$F$1879,MATCH(B394,COMPOSICIÓN!$D$2:$D$1879,0)),"")))</f>
        <v>gl</v>
      </c>
      <c r="F394" s="161">
        <f>SUMIFS(_PLAN_STG!$P$2:$P$1879,_PLAN_STG!$D$2:$D$1879,B394,_PLAN_STG!$B$2:$B$1879,"MO",_PLAN_STG!$O$2:$O$1879,1)</f>
        <v>0</v>
      </c>
      <c r="G394" s="162">
        <f>IFERROR(IF(D394="MO/ALB",VLOOKUP(B394,MANO_DE_OBRA!$A:$C,3,FALSE()),VLOOKUP(B394,SUBCONTRATOS_PRY!$A:$D,4,FALSE())),IFERROR(INDEX(COMPOSICIÓN!$I$2:$I$1879,MATCH(B394,COMPOSICIÓN!$D$2:$D$1879,0)),0))</f>
        <v>250000</v>
      </c>
      <c r="H394" s="163">
        <f>SUMIFS(_PLAN_STG!$Q$2:$Q$1879,_PLAN_STG!$D$2:$D$1879,B394,_PLAN_STG!$B$2:$B$1879,"MO",_PLAN_STG!$O$2:$O$1879,1)</f>
        <v>0</v>
      </c>
      <c r="I394" s="226">
        <f>SUMPRODUCT((_PLAN_STG!$D$2:$D$1879=B394)*(_PLAN_STG!$B$2:$B$1879="MO")*(_PLAN_STG!$O$2:$O$1879=1)*(_PLAN_STG!$P$2:$P$1879&gt;0))</f>
        <v>0</v>
      </c>
      <c r="J394" s="224" t="str">
        <f>IF(D394="MO/ALB",IFERROR(VLOOKUP(B394,MANO_DE_OBRA!$A:$F,6,FALSE()),""),IF(D394="MO/OTR",IFERROR(VLOOKUP(B394,SUBCONTRATOS_PRY!$A:$E,5,FALSE()),""),""))</f>
        <v>Varios</v>
      </c>
    </row>
    <row r="395" spans="1:10" x14ac:dyDescent="0.35">
      <c r="A395" s="222" t="str">
        <f t="shared" si="6"/>
        <v/>
      </c>
      <c r="B395" s="223" t="s">
        <v>2235</v>
      </c>
      <c r="C395" s="224" t="str">
        <f>IFERROR(IF(D395="MO/ALB",VLOOKUP(B395,MANO_DE_OBRA!$A:$B,2,FALSE()),VLOOKUP(B395,SUBCONTRATOS_PRY!$A:$B,2,FALSE())),IFERROR(INDEX(COMPOSICIÓN!$E$2:$E$1879,MATCH(B395,COMPOSICIÓN!$D$2:$D$1879,0)),""))</f>
        <v>Gestion suministro luz de obra</v>
      </c>
      <c r="D395" s="225" t="s">
        <v>2837</v>
      </c>
      <c r="E395" s="225" t="str">
        <f>IF(D395="MO/ALB","jornal",IFERROR(VLOOKUP(B395,SUBCONTRATOS_PRY!$A:$C,3,FALSE()),IFERROR(INDEX(COMPOSICIÓN!$F$2:$F$1879,MATCH(B395,COMPOSICIÓN!$D$2:$D$1879,0)),"")))</f>
        <v>u</v>
      </c>
      <c r="F395" s="161">
        <f>SUMIFS(_PLAN_STG!$P$2:$P$1879,_PLAN_STG!$D$2:$D$1879,B395,_PLAN_STG!$B$2:$B$1879,"MO",_PLAN_STG!$O$2:$O$1879,1)</f>
        <v>0</v>
      </c>
      <c r="G395" s="162">
        <f>IFERROR(IF(D395="MO/ALB",VLOOKUP(B395,MANO_DE_OBRA!$A:$C,3,FALSE()),VLOOKUP(B395,SUBCONTRATOS_PRY!$A:$D,4,FALSE())),IFERROR(INDEX(COMPOSICIÓN!$I$2:$I$1879,MATCH(B395,COMPOSICIÓN!$D$2:$D$1879,0)),0))</f>
        <v>148643.887329397</v>
      </c>
      <c r="H395" s="163">
        <f>SUMIFS(_PLAN_STG!$Q$2:$Q$1879,_PLAN_STG!$D$2:$D$1879,B395,_PLAN_STG!$B$2:$B$1879,"MO",_PLAN_STG!$O$2:$O$1879,1)</f>
        <v>0</v>
      </c>
      <c r="I395" s="226">
        <f>SUMPRODUCT((_PLAN_STG!$D$2:$D$1879=B395)*(_PLAN_STG!$B$2:$B$1879="MO")*(_PLAN_STG!$O$2:$O$1879=1)*(_PLAN_STG!$P$2:$P$1879&gt;0))</f>
        <v>0</v>
      </c>
      <c r="J395" s="224" t="str">
        <f>IF(D395="MO/ALB",IFERROR(VLOOKUP(B395,MANO_DE_OBRA!$A:$F,6,FALSE()),""),IF(D395="MO/OTR",IFERROR(VLOOKUP(B395,SUBCONTRATOS_PRY!$A:$E,5,FALSE()),""),""))</f>
        <v>Varios</v>
      </c>
    </row>
    <row r="396" spans="1:10" x14ac:dyDescent="0.35">
      <c r="A396" s="222" t="str">
        <f t="shared" si="6"/>
        <v/>
      </c>
      <c r="B396" s="223" t="s">
        <v>2238</v>
      </c>
      <c r="C396" s="224" t="str">
        <f>IFERROR(IF(D396="MO/ALB",VLOOKUP(B396,MANO_DE_OBRA!$A:$B,2,FALSE()),VLOOKUP(B396,SUBCONTRATOS_PRY!$A:$B,2,FALSE())),IFERROR(INDEX(COMPOSICIÓN!$E$2:$E$1879,MATCH(B396,COMPOSICIÓN!$D$2:$D$1879,0)),""))</f>
        <v>Subcontrato + 50%  - Celsi VIAL</v>
      </c>
      <c r="D396" s="225" t="s">
        <v>2837</v>
      </c>
      <c r="E396" s="225" t="str">
        <f>IF(D396="MO/ALB","jornal",IFERROR(VLOOKUP(B396,SUBCONTRATOS_PRY!$A:$C,3,FALSE()),IFERROR(INDEX(COMPOSICIÓN!$F$2:$F$1879,MATCH(B396,COMPOSICIÓN!$D$2:$D$1879,0)),"")))</f>
        <v>gl</v>
      </c>
      <c r="F396" s="161">
        <f>SUMIFS(_PLAN_STG!$P$2:$P$1879,_PLAN_STG!$D$2:$D$1879,B396,_PLAN_STG!$B$2:$B$1879,"MO",_PLAN_STG!$O$2:$O$1879,1)</f>
        <v>0</v>
      </c>
      <c r="G396" s="162">
        <f>IFERROR(IF(D396="MO/ALB",VLOOKUP(B396,MANO_DE_OBRA!$A:$C,3,FALSE()),VLOOKUP(B396,SUBCONTRATOS_PRY!$A:$D,4,FALSE())),IFERROR(INDEX(COMPOSICIÓN!$I$2:$I$1879,MATCH(B396,COMPOSICIÓN!$D$2:$D$1879,0)),0))</f>
        <v>22000</v>
      </c>
      <c r="H396" s="163">
        <f>SUMIFS(_PLAN_STG!$Q$2:$Q$1879,_PLAN_STG!$D$2:$D$1879,B396,_PLAN_STG!$B$2:$B$1879,"MO",_PLAN_STG!$O$2:$O$1879,1)</f>
        <v>0</v>
      </c>
      <c r="I396" s="226">
        <f>SUMPRODUCT((_PLAN_STG!$D$2:$D$1879=B396)*(_PLAN_STG!$B$2:$B$1879="MO")*(_PLAN_STG!$O$2:$O$1879=1)*(_PLAN_STG!$P$2:$P$1879&gt;0))</f>
        <v>0</v>
      </c>
      <c r="J396" s="224" t="str">
        <f>IF(D396="MO/ALB",IFERROR(VLOOKUP(B396,MANO_DE_OBRA!$A:$F,6,FALSE()),""),IF(D396="MO/OTR",IFERROR(VLOOKUP(B396,SUBCONTRATOS_PRY!$A:$E,5,FALSE()),""),""))</f>
        <v>Movimiento de suelos</v>
      </c>
    </row>
    <row r="397" spans="1:10" x14ac:dyDescent="0.35">
      <c r="A397" s="222" t="str">
        <f t="shared" si="6"/>
        <v/>
      </c>
      <c r="B397" s="223" t="s">
        <v>2241</v>
      </c>
      <c r="C397" s="224" t="str">
        <f>IFERROR(IF(D397="MO/ALB",VLOOKUP(B397,MANO_DE_OBRA!$A:$B,2,FALSE()),VLOOKUP(B397,SUBCONTRATOS_PRY!$A:$B,2,FALSE())),IFERROR(INDEX(COMPOSICIÓN!$E$2:$E$1879,MATCH(B397,COMPOSICIÓN!$D$2:$D$1879,0)),""))</f>
        <v>MO Excavación manual para vigas de fundación</v>
      </c>
      <c r="D397" s="225" t="s">
        <v>2837</v>
      </c>
      <c r="E397" s="225" t="str">
        <f>IF(D397="MO/ALB","jornal",IFERROR(VLOOKUP(B397,SUBCONTRATOS_PRY!$A:$C,3,FALSE()),IFERROR(INDEX(COMPOSICIÓN!$F$2:$F$1879,MATCH(B397,COMPOSICIÓN!$D$2:$D$1879,0)),"")))</f>
        <v>m3</v>
      </c>
      <c r="F397" s="161">
        <f>SUMIFS(_PLAN_STG!$P$2:$P$1879,_PLAN_STG!$D$2:$D$1879,B397,_PLAN_STG!$B$2:$B$1879,"MO",_PLAN_STG!$O$2:$O$1879,1)</f>
        <v>0</v>
      </c>
      <c r="G397" s="162">
        <f>IFERROR(IF(D397="MO/ALB",VLOOKUP(B397,MANO_DE_OBRA!$A:$C,3,FALSE()),VLOOKUP(B397,SUBCONTRATOS_PRY!$A:$D,4,FALSE())),IFERROR(INDEX(COMPOSICIÓN!$I$2:$I$1879,MATCH(B397,COMPOSICIÓN!$D$2:$D$1879,0)),0))</f>
        <v>60860.580776572002</v>
      </c>
      <c r="H397" s="163">
        <f>SUMIFS(_PLAN_STG!$Q$2:$Q$1879,_PLAN_STG!$D$2:$D$1879,B397,_PLAN_STG!$B$2:$B$1879,"MO",_PLAN_STG!$O$2:$O$1879,1)</f>
        <v>0</v>
      </c>
      <c r="I397" s="226">
        <f>SUMPRODUCT((_PLAN_STG!$D$2:$D$1879=B397)*(_PLAN_STG!$B$2:$B$1879="MO")*(_PLAN_STG!$O$2:$O$1879=1)*(_PLAN_STG!$P$2:$P$1879&gt;0))</f>
        <v>0</v>
      </c>
      <c r="J397" s="224" t="str">
        <f>IF(D397="MO/ALB",IFERROR(VLOOKUP(B397,MANO_DE_OBRA!$A:$F,6,FALSE()),""),IF(D397="MO/OTR",IFERROR(VLOOKUP(B397,SUBCONTRATOS_PRY!$A:$E,5,FALSE()),""),""))</f>
        <v>Movimiento de suelos</v>
      </c>
    </row>
    <row r="398" spans="1:10" x14ac:dyDescent="0.35">
      <c r="A398" s="222" t="str">
        <f t="shared" si="6"/>
        <v/>
      </c>
      <c r="B398" s="223" t="s">
        <v>2243</v>
      </c>
      <c r="C398" s="224" t="str">
        <f>IFERROR(IF(D398="MO/ALB",VLOOKUP(B398,MANO_DE_OBRA!$A:$B,2,FALSE()),VLOOKUP(B398,SUBCONTRATOS_PRY!$A:$B,2,FALSE())),IFERROR(INDEX(COMPOSICIÓN!$E$2:$E$1879,MATCH(B398,COMPOSICIÓN!$D$2:$D$1879,0)),""))</f>
        <v>M.O</v>
      </c>
      <c r="D398" s="225" t="s">
        <v>2837</v>
      </c>
      <c r="E398" s="225" t="str">
        <f>IF(D398="MO/ALB","jornal",IFERROR(VLOOKUP(B398,SUBCONTRATOS_PRY!$A:$C,3,FALSE()),IFERROR(INDEX(COMPOSICIÓN!$F$2:$F$1879,MATCH(B398,COMPOSICIÓN!$D$2:$D$1879,0)),"")))</f>
        <v>gl</v>
      </c>
      <c r="F398" s="161">
        <f>SUMIFS(_PLAN_STG!$P$2:$P$1879,_PLAN_STG!$D$2:$D$1879,B398,_PLAN_STG!$B$2:$B$1879,"MO",_PLAN_STG!$O$2:$O$1879,1)</f>
        <v>0</v>
      </c>
      <c r="G398" s="162">
        <f>IFERROR(IF(D398="MO/ALB",VLOOKUP(B398,MANO_DE_OBRA!$A:$C,3,FALSE()),VLOOKUP(B398,SUBCONTRATOS_PRY!$A:$D,4,FALSE())),IFERROR(INDEX(COMPOSICIÓN!$I$2:$I$1879,MATCH(B398,COMPOSICIÓN!$D$2:$D$1879,0)),0))</f>
        <v>4500000</v>
      </c>
      <c r="H398" s="163">
        <f>SUMIFS(_PLAN_STG!$Q$2:$Q$1879,_PLAN_STG!$D$2:$D$1879,B398,_PLAN_STG!$B$2:$B$1879,"MO",_PLAN_STG!$O$2:$O$1879,1)</f>
        <v>0</v>
      </c>
      <c r="I398" s="226">
        <f>SUMPRODUCT((_PLAN_STG!$D$2:$D$1879=B398)*(_PLAN_STG!$B$2:$B$1879="MO")*(_PLAN_STG!$O$2:$O$1879=1)*(_PLAN_STG!$P$2:$P$1879&gt;0))</f>
        <v>0</v>
      </c>
      <c r="J398" s="224" t="str">
        <f>IF(D398="MO/ALB",IFERROR(VLOOKUP(B398,MANO_DE_OBRA!$A:$F,6,FALSE()),""),IF(D398="MO/OTR",IFERROR(VLOOKUP(B398,SUBCONTRATOS_PRY!$A:$E,5,FALSE()),""),""))</f>
        <v>Hormigón — Mano de obra</v>
      </c>
    </row>
    <row r="399" spans="1:10" x14ac:dyDescent="0.35">
      <c r="A399" s="222" t="str">
        <f t="shared" si="6"/>
        <v/>
      </c>
      <c r="B399" s="223" t="s">
        <v>2246</v>
      </c>
      <c r="C399" s="224" t="str">
        <f>IFERROR(IF(D399="MO/ALB",VLOOKUP(B399,MANO_DE_OBRA!$A:$B,2,FALSE()),VLOOKUP(B399,SUBCONTRATOS_PRY!$A:$B,2,FALSE())),IFERROR(INDEX(COMPOSICIÓN!$E$2:$E$1879,MATCH(B399,COMPOSICIÓN!$D$2:$D$1879,0)),""))</f>
        <v>MO Tabique submuración - H35 (95 kg/m3 de hierro)</v>
      </c>
      <c r="D399" s="225" t="s">
        <v>2837</v>
      </c>
      <c r="E399" s="225" t="str">
        <f>IF(D399="MO/ALB","jornal",IFERROR(VLOOKUP(B399,SUBCONTRATOS_PRY!$A:$C,3,FALSE()),IFERROR(INDEX(COMPOSICIÓN!$F$2:$F$1879,MATCH(B399,COMPOSICIÓN!$D$2:$D$1879,0)),"")))</f>
        <v>m3</v>
      </c>
      <c r="F399" s="161">
        <f>SUMIFS(_PLAN_STG!$P$2:$P$1879,_PLAN_STG!$D$2:$D$1879,B399,_PLAN_STG!$B$2:$B$1879,"MO",_PLAN_STG!$O$2:$O$1879,1)</f>
        <v>0</v>
      </c>
      <c r="G399" s="162">
        <f>IFERROR(IF(D399="MO/ALB",VLOOKUP(B399,MANO_DE_OBRA!$A:$C,3,FALSE()),VLOOKUP(B399,SUBCONTRATOS_PRY!$A:$D,4,FALSE())),IFERROR(INDEX(COMPOSICIÓN!$I$2:$I$1879,MATCH(B399,COMPOSICIÓN!$D$2:$D$1879,0)),0))</f>
        <v>357640.8998745</v>
      </c>
      <c r="H399" s="163">
        <f>SUMIFS(_PLAN_STG!$Q$2:$Q$1879,_PLAN_STG!$D$2:$D$1879,B399,_PLAN_STG!$B$2:$B$1879,"MO",_PLAN_STG!$O$2:$O$1879,1)</f>
        <v>0</v>
      </c>
      <c r="I399" s="226">
        <f>SUMPRODUCT((_PLAN_STG!$D$2:$D$1879=B399)*(_PLAN_STG!$B$2:$B$1879="MO")*(_PLAN_STG!$O$2:$O$1879=1)*(_PLAN_STG!$P$2:$P$1879&gt;0))</f>
        <v>0</v>
      </c>
      <c r="J399" s="224" t="str">
        <f>IF(D399="MO/ALB",IFERROR(VLOOKUP(B399,MANO_DE_OBRA!$A:$F,6,FALSE()),""),IF(D399="MO/OTR",IFERROR(VLOOKUP(B399,SUBCONTRATOS_PRY!$A:$E,5,FALSE()),""),""))</f>
        <v>Hormigón — Mano de obra</v>
      </c>
    </row>
    <row r="400" spans="1:10" x14ac:dyDescent="0.35">
      <c r="A400" s="222" t="str">
        <f t="shared" si="6"/>
        <v/>
      </c>
      <c r="B400" s="223" t="s">
        <v>2248</v>
      </c>
      <c r="C400" s="224" t="str">
        <f>IFERROR(IF(D400="MO/ALB",VLOOKUP(B400,MANO_DE_OBRA!$A:$B,2,FALSE()),VLOOKUP(B400,SUBCONTRATOS_PRY!$A:$B,2,FALSE())),IFERROR(INDEX(COMPOSICIÓN!$E$2:$E$1879,MATCH(B400,COMPOSICIÓN!$D$2:$D$1879,0)),""))</f>
        <v>MO Zapata corrida tabique - H35 (120 kg/m3 de hierro)</v>
      </c>
      <c r="D400" s="225" t="s">
        <v>2837</v>
      </c>
      <c r="E400" s="225" t="str">
        <f>IF(D400="MO/ALB","jornal",IFERROR(VLOOKUP(B400,SUBCONTRATOS_PRY!$A:$C,3,FALSE()),IFERROR(INDEX(COMPOSICIÓN!$F$2:$F$1879,MATCH(B400,COMPOSICIÓN!$D$2:$D$1879,0)),"")))</f>
        <v>m3</v>
      </c>
      <c r="F400" s="161">
        <f>SUMIFS(_PLAN_STG!$P$2:$P$1879,_PLAN_STG!$D$2:$D$1879,B400,_PLAN_STG!$B$2:$B$1879,"MO",_PLAN_STG!$O$2:$O$1879,1)</f>
        <v>0</v>
      </c>
      <c r="G400" s="162">
        <f>IFERROR(IF(D400="MO/ALB",VLOOKUP(B400,MANO_DE_OBRA!$A:$C,3,FALSE()),VLOOKUP(B400,SUBCONTRATOS_PRY!$A:$D,4,FALSE())),IFERROR(INDEX(COMPOSICIÓN!$I$2:$I$1879,MATCH(B400,COMPOSICIÓN!$D$2:$D$1879,0)),0))</f>
        <v>281633.96217538603</v>
      </c>
      <c r="H400" s="163">
        <f>SUMIFS(_PLAN_STG!$Q$2:$Q$1879,_PLAN_STG!$D$2:$D$1879,B400,_PLAN_STG!$B$2:$B$1879,"MO",_PLAN_STG!$O$2:$O$1879,1)</f>
        <v>0</v>
      </c>
      <c r="I400" s="226">
        <f>SUMPRODUCT((_PLAN_STG!$D$2:$D$1879=B400)*(_PLAN_STG!$B$2:$B$1879="MO")*(_PLAN_STG!$O$2:$O$1879=1)*(_PLAN_STG!$P$2:$P$1879&gt;0))</f>
        <v>0</v>
      </c>
      <c r="J400" s="224" t="str">
        <f>IF(D400="MO/ALB",IFERROR(VLOOKUP(B400,MANO_DE_OBRA!$A:$F,6,FALSE()),""),IF(D400="MO/OTR",IFERROR(VLOOKUP(B400,SUBCONTRATOS_PRY!$A:$E,5,FALSE()),""),""))</f>
        <v>Hormigón — Mano de obra</v>
      </c>
    </row>
    <row r="401" spans="1:10" x14ac:dyDescent="0.35">
      <c r="A401" s="222" t="str">
        <f t="shared" ref="A401:A423" si="7">IF(H401=0,"",ROW()-369+1)</f>
        <v/>
      </c>
      <c r="B401" s="223" t="s">
        <v>2250</v>
      </c>
      <c r="C401" s="224" t="str">
        <f>IFERROR(IF(D401="MO/ALB",VLOOKUP(B401,MANO_DE_OBRA!$A:$B,2,FALSE()),VLOOKUP(B401,SUBCONTRATOS_PRY!$A:$B,2,FALSE())),IFERROR(INDEX(COMPOSICIÓN!$E$2:$E$1879,MATCH(B401,COMPOSICIÓN!$D$2:$D$1879,0)),""))</f>
        <v>MO Platea - H35 (95 kg/m3 de hierro)</v>
      </c>
      <c r="D401" s="225" t="s">
        <v>2837</v>
      </c>
      <c r="E401" s="225" t="str">
        <f>IF(D401="MO/ALB","jornal",IFERROR(VLOOKUP(B401,SUBCONTRATOS_PRY!$A:$C,3,FALSE()),IFERROR(INDEX(COMPOSICIÓN!$F$2:$F$1879,MATCH(B401,COMPOSICIÓN!$D$2:$D$1879,0)),"")))</f>
        <v>m3</v>
      </c>
      <c r="F401" s="161">
        <f>SUMIFS(_PLAN_STG!$P$2:$P$1879,_PLAN_STG!$D$2:$D$1879,B401,_PLAN_STG!$B$2:$B$1879,"MO",_PLAN_STG!$O$2:$O$1879,1)</f>
        <v>0</v>
      </c>
      <c r="G401" s="162">
        <f>IFERROR(IF(D401="MO/ALB",VLOOKUP(B401,MANO_DE_OBRA!$A:$C,3,FALSE()),VLOOKUP(B401,SUBCONTRATOS_PRY!$A:$D,4,FALSE())),IFERROR(INDEX(COMPOSICIÓN!$I$2:$I$1879,MATCH(B401,COMPOSICIÓN!$D$2:$D$1879,0)),0))</f>
        <v>194327.43390101599</v>
      </c>
      <c r="H401" s="163">
        <f>SUMIFS(_PLAN_STG!$Q$2:$Q$1879,_PLAN_STG!$D$2:$D$1879,B401,_PLAN_STG!$B$2:$B$1879,"MO",_PLAN_STG!$O$2:$O$1879,1)</f>
        <v>0</v>
      </c>
      <c r="I401" s="226">
        <f>SUMPRODUCT((_PLAN_STG!$D$2:$D$1879=B401)*(_PLAN_STG!$B$2:$B$1879="MO")*(_PLAN_STG!$O$2:$O$1879=1)*(_PLAN_STG!$P$2:$P$1879&gt;0))</f>
        <v>0</v>
      </c>
      <c r="J401" s="224" t="str">
        <f>IF(D401="MO/ALB",IFERROR(VLOOKUP(B401,MANO_DE_OBRA!$A:$F,6,FALSE()),""),IF(D401="MO/OTR",IFERROR(VLOOKUP(B401,SUBCONTRATOS_PRY!$A:$E,5,FALSE()),""),""))</f>
        <v>Hormigón — Mano de obra</v>
      </c>
    </row>
    <row r="402" spans="1:10" x14ac:dyDescent="0.35">
      <c r="A402" s="222" t="str">
        <f t="shared" si="7"/>
        <v/>
      </c>
      <c r="B402" s="223" t="s">
        <v>2252</v>
      </c>
      <c r="C402" s="224" t="str">
        <f>IFERROR(IF(D402="MO/ALB",VLOOKUP(B402,MANO_DE_OBRA!$A:$B,2,FALSE()),VLOOKUP(B402,SUBCONTRATOS_PRY!$A:$B,2,FALSE())),IFERROR(INDEX(COMPOSICIÓN!$E$2:$E$1879,MATCH(B402,COMPOSICIÓN!$D$2:$D$1879,0)),""))</f>
        <v>MO Bases aisladas - (60 kg/m3 de hierro)</v>
      </c>
      <c r="D402" s="225" t="s">
        <v>2837</v>
      </c>
      <c r="E402" s="225" t="str">
        <f>IF(D402="MO/ALB","jornal",IFERROR(VLOOKUP(B402,SUBCONTRATOS_PRY!$A:$C,3,FALSE()),IFERROR(INDEX(COMPOSICIÓN!$F$2:$F$1879,MATCH(B402,COMPOSICIÓN!$D$2:$D$1879,0)),"")))</f>
        <v>m3</v>
      </c>
      <c r="F402" s="161">
        <f>SUMIFS(_PLAN_STG!$P$2:$P$1879,_PLAN_STG!$D$2:$D$1879,B402,_PLAN_STG!$B$2:$B$1879,"MO",_PLAN_STG!$O$2:$O$1879,1)</f>
        <v>0</v>
      </c>
      <c r="G402" s="162">
        <f>IFERROR(IF(D402="MO/ALB",VLOOKUP(B402,MANO_DE_OBRA!$A:$C,3,FALSE()),VLOOKUP(B402,SUBCONTRATOS_PRY!$A:$D,4,FALSE())),IFERROR(INDEX(COMPOSICIÓN!$I$2:$I$1879,MATCH(B402,COMPOSICIÓN!$D$2:$D$1879,0)),0))</f>
        <v>194327.43390101599</v>
      </c>
      <c r="H402" s="163">
        <f>SUMIFS(_PLAN_STG!$Q$2:$Q$1879,_PLAN_STG!$D$2:$D$1879,B402,_PLAN_STG!$B$2:$B$1879,"MO",_PLAN_STG!$O$2:$O$1879,1)</f>
        <v>0</v>
      </c>
      <c r="I402" s="226">
        <f>SUMPRODUCT((_PLAN_STG!$D$2:$D$1879=B402)*(_PLAN_STG!$B$2:$B$1879="MO")*(_PLAN_STG!$O$2:$O$1879=1)*(_PLAN_STG!$P$2:$P$1879&gt;0))</f>
        <v>0</v>
      </c>
      <c r="J402" s="224" t="str">
        <f>IF(D402="MO/ALB",IFERROR(VLOOKUP(B402,MANO_DE_OBRA!$A:$F,6,FALSE()),""),IF(D402="MO/OTR",IFERROR(VLOOKUP(B402,SUBCONTRATOS_PRY!$A:$E,5,FALSE()),""),""))</f>
        <v>Hormigón — Mano de obra</v>
      </c>
    </row>
    <row r="403" spans="1:10" x14ac:dyDescent="0.35">
      <c r="A403" s="222" t="str">
        <f t="shared" si="7"/>
        <v/>
      </c>
      <c r="B403" s="223" t="s">
        <v>2254</v>
      </c>
      <c r="C403" s="224" t="str">
        <f>IFERROR(IF(D403="MO/ALB",VLOOKUP(B403,MANO_DE_OBRA!$A:$B,2,FALSE()),VLOOKUP(B403,SUBCONTRATOS_PRY!$A:$B,2,FALSE())),IFERROR(INDEX(COMPOSICIÓN!$E$2:$E$1879,MATCH(B403,COMPOSICIÓN!$D$2:$D$1879,0)),""))</f>
        <v>MO Troncos de columnas - H35 (240 kg/m3 de hierro)</v>
      </c>
      <c r="D403" s="225" t="s">
        <v>2837</v>
      </c>
      <c r="E403" s="225" t="str">
        <f>IF(D403="MO/ALB","jornal",IFERROR(VLOOKUP(B403,SUBCONTRATOS_PRY!$A:$C,3,FALSE()),IFERROR(INDEX(COMPOSICIÓN!$F$2:$F$1879,MATCH(B403,COMPOSICIÓN!$D$2:$D$1879,0)),"")))</f>
        <v>m3</v>
      </c>
      <c r="F403" s="161">
        <f>SUMIFS(_PLAN_STG!$P$2:$P$1879,_PLAN_STG!$D$2:$D$1879,B403,_PLAN_STG!$B$2:$B$1879,"MO",_PLAN_STG!$O$2:$O$1879,1)</f>
        <v>0</v>
      </c>
      <c r="G403" s="162">
        <f>IFERROR(IF(D403="MO/ALB",VLOOKUP(B403,MANO_DE_OBRA!$A:$C,3,FALSE()),VLOOKUP(B403,SUBCONTRATOS_PRY!$A:$D,4,FALSE())),IFERROR(INDEX(COMPOSICIÓN!$I$2:$I$1879,MATCH(B403,COMPOSICIÓN!$D$2:$D$1879,0)),0))</f>
        <v>317914.04751247499</v>
      </c>
      <c r="H403" s="163">
        <f>SUMIFS(_PLAN_STG!$Q$2:$Q$1879,_PLAN_STG!$D$2:$D$1879,B403,_PLAN_STG!$B$2:$B$1879,"MO",_PLAN_STG!$O$2:$O$1879,1)</f>
        <v>0</v>
      </c>
      <c r="I403" s="226">
        <f>SUMPRODUCT((_PLAN_STG!$D$2:$D$1879=B403)*(_PLAN_STG!$B$2:$B$1879="MO")*(_PLAN_STG!$O$2:$O$1879=1)*(_PLAN_STG!$P$2:$P$1879&gt;0))</f>
        <v>0</v>
      </c>
      <c r="J403" s="224" t="str">
        <f>IF(D403="MO/ALB",IFERROR(VLOOKUP(B403,MANO_DE_OBRA!$A:$F,6,FALSE()),""),IF(D403="MO/OTR",IFERROR(VLOOKUP(B403,SUBCONTRATOS_PRY!$A:$E,5,FALSE()),""),""))</f>
        <v>Hormigón — Mano de obra</v>
      </c>
    </row>
    <row r="404" spans="1:10" x14ac:dyDescent="0.35">
      <c r="A404" s="222" t="str">
        <f t="shared" si="7"/>
        <v/>
      </c>
      <c r="B404" s="223" t="s">
        <v>2256</v>
      </c>
      <c r="C404" s="224" t="str">
        <f>IFERROR(IF(D404="MO/ALB",VLOOKUP(B404,MANO_DE_OBRA!$A:$B,2,FALSE()),VLOOKUP(B404,SUBCONTRATOS_PRY!$A:$B,2,FALSE())),IFERROR(INDEX(COMPOSICIÓN!$E$2:$E$1879,MATCH(B404,COMPOSICIÓN!$D$2:$D$1879,0)),""))</f>
        <v>MO Viga de encadenado - H35 (180 kg/m3 de hierro)</v>
      </c>
      <c r="D404" s="225" t="s">
        <v>2837</v>
      </c>
      <c r="E404" s="225" t="str">
        <f>IF(D404="MO/ALB","jornal",IFERROR(VLOOKUP(B404,SUBCONTRATOS_PRY!$A:$C,3,FALSE()),IFERROR(INDEX(COMPOSICIÓN!$F$2:$F$1879,MATCH(B404,COMPOSICIÓN!$D$2:$D$1879,0)),"")))</f>
        <v>m3</v>
      </c>
      <c r="F404" s="161">
        <f>SUMIFS(_PLAN_STG!$P$2:$P$1879,_PLAN_STG!$D$2:$D$1879,B404,_PLAN_STG!$B$2:$B$1879,"MO",_PLAN_STG!$O$2:$O$1879,1)</f>
        <v>0</v>
      </c>
      <c r="G404" s="162">
        <f>IFERROR(IF(D404="MO/ALB",VLOOKUP(B404,MANO_DE_OBRA!$A:$C,3,FALSE()),VLOOKUP(B404,SUBCONTRATOS_PRY!$A:$D,4,FALSE())),IFERROR(INDEX(COMPOSICIÓN!$I$2:$I$1879,MATCH(B404,COMPOSICIÓN!$D$2:$D$1879,0)),0))</f>
        <v>281633.96217538603</v>
      </c>
      <c r="H404" s="163">
        <f>SUMIFS(_PLAN_STG!$Q$2:$Q$1879,_PLAN_STG!$D$2:$D$1879,B404,_PLAN_STG!$B$2:$B$1879,"MO",_PLAN_STG!$O$2:$O$1879,1)</f>
        <v>0</v>
      </c>
      <c r="I404" s="226">
        <f>SUMPRODUCT((_PLAN_STG!$D$2:$D$1879=B404)*(_PLAN_STG!$B$2:$B$1879="MO")*(_PLAN_STG!$O$2:$O$1879=1)*(_PLAN_STG!$P$2:$P$1879&gt;0))</f>
        <v>0</v>
      </c>
      <c r="J404" s="224" t="str">
        <f>IF(D404="MO/ALB",IFERROR(VLOOKUP(B404,MANO_DE_OBRA!$A:$F,6,FALSE()),""),IF(D404="MO/OTR",IFERROR(VLOOKUP(B404,SUBCONTRATOS_PRY!$A:$E,5,FALSE()),""),""))</f>
        <v>Hormigón — Mano de obra</v>
      </c>
    </row>
    <row r="405" spans="1:10" x14ac:dyDescent="0.35">
      <c r="A405" s="222" t="str">
        <f t="shared" si="7"/>
        <v/>
      </c>
      <c r="B405" s="223" t="s">
        <v>2258</v>
      </c>
      <c r="C405" s="224" t="str">
        <f>IFERROR(IF(D405="MO/ALB",VLOOKUP(B405,MANO_DE_OBRA!$A:$B,2,FALSE()),VLOOKUP(B405,SUBCONTRATOS_PRY!$A:$B,2,FALSE())),IFERROR(INDEX(COMPOSICIÓN!$E$2:$E$1879,MATCH(B405,COMPOSICIÓN!$D$2:$D$1879,0)),""))</f>
        <v>MO Losa maciza - H35 (100 kg/m3 de hierro)</v>
      </c>
      <c r="D405" s="225" t="s">
        <v>2837</v>
      </c>
      <c r="E405" s="225" t="str">
        <f>IF(D405="MO/ALB","jornal",IFERROR(VLOOKUP(B405,SUBCONTRATOS_PRY!$A:$C,3,FALSE()),IFERROR(INDEX(COMPOSICIÓN!$F$2:$F$1879,MATCH(B405,COMPOSICIÓN!$D$2:$D$1879,0)),"")))</f>
        <v>m3</v>
      </c>
      <c r="F405" s="161">
        <f>SUMIFS(_PLAN_STG!$P$2:$P$1879,_PLAN_STG!$D$2:$D$1879,B405,_PLAN_STG!$B$2:$B$1879,"MO",_PLAN_STG!$O$2:$O$1879,1)</f>
        <v>0</v>
      </c>
      <c r="G405" s="162">
        <f>IFERROR(IF(D405="MO/ALB",VLOOKUP(B405,MANO_DE_OBRA!$A:$C,3,FALSE()),VLOOKUP(B405,SUBCONTRATOS_PRY!$A:$D,4,FALSE())),IFERROR(INDEX(COMPOSICIÓN!$I$2:$I$1879,MATCH(B405,COMPOSICIÓN!$D$2:$D$1879,0)),0))</f>
        <v>221790.794932641</v>
      </c>
      <c r="H405" s="163">
        <f>SUMIFS(_PLAN_STG!$Q$2:$Q$1879,_PLAN_STG!$D$2:$D$1879,B405,_PLAN_STG!$B$2:$B$1879,"MO",_PLAN_STG!$O$2:$O$1879,1)</f>
        <v>0</v>
      </c>
      <c r="I405" s="226">
        <f>SUMPRODUCT((_PLAN_STG!$D$2:$D$1879=B405)*(_PLAN_STG!$B$2:$B$1879="MO")*(_PLAN_STG!$O$2:$O$1879=1)*(_PLAN_STG!$P$2:$P$1879&gt;0))</f>
        <v>0</v>
      </c>
      <c r="J405" s="224" t="str">
        <f>IF(D405="MO/ALB",IFERROR(VLOOKUP(B405,MANO_DE_OBRA!$A:$F,6,FALSE()),""),IF(D405="MO/OTR",IFERROR(VLOOKUP(B405,SUBCONTRATOS_PRY!$A:$E,5,FALSE()),""),""))</f>
        <v>Hormigón — Mano de obra</v>
      </c>
    </row>
    <row r="406" spans="1:10" x14ac:dyDescent="0.35">
      <c r="A406" s="222" t="str">
        <f t="shared" si="7"/>
        <v/>
      </c>
      <c r="B406" s="223" t="s">
        <v>2260</v>
      </c>
      <c r="C406" s="224" t="str">
        <f>IFERROR(IF(D406="MO/ALB",VLOOKUP(B406,MANO_DE_OBRA!$A:$B,2,FALSE()),VLOOKUP(B406,SUBCONTRATOS_PRY!$A:$B,2,FALSE())),IFERROR(INDEX(COMPOSICIÓN!$E$2:$E$1879,MATCH(B406,COMPOSICIÓN!$D$2:$D$1879,0)),""))</f>
        <v xml:space="preserve">MO Losa maciza de Hº visto - H35 (100 kg/m3 de hierro) </v>
      </c>
      <c r="D406" s="225" t="s">
        <v>2837</v>
      </c>
      <c r="E406" s="225" t="str">
        <f>IF(D406="MO/ALB","jornal",IFERROR(VLOOKUP(B406,SUBCONTRATOS_PRY!$A:$C,3,FALSE()),IFERROR(INDEX(COMPOSICIÓN!$F$2:$F$1879,MATCH(B406,COMPOSICIÓN!$D$2:$D$1879,0)),"")))</f>
        <v>m3</v>
      </c>
      <c r="F406" s="161">
        <f>SUMIFS(_PLAN_STG!$P$2:$P$1879,_PLAN_STG!$D$2:$D$1879,B406,_PLAN_STG!$B$2:$B$1879,"MO",_PLAN_STG!$O$2:$O$1879,1)</f>
        <v>0</v>
      </c>
      <c r="G406" s="162">
        <f>IFERROR(IF(D406="MO/ALB",VLOOKUP(B406,MANO_DE_OBRA!$A:$C,3,FALSE()),VLOOKUP(B406,SUBCONTRATOS_PRY!$A:$D,4,FALSE())),IFERROR(INDEX(COMPOSICIÓN!$I$2:$I$1879,MATCH(B406,COMPOSICIÓN!$D$2:$D$1879,0)),0))</f>
        <v>277238.49366580101</v>
      </c>
      <c r="H406" s="163">
        <f>SUMIFS(_PLAN_STG!$Q$2:$Q$1879,_PLAN_STG!$D$2:$D$1879,B406,_PLAN_STG!$B$2:$B$1879,"MO",_PLAN_STG!$O$2:$O$1879,1)</f>
        <v>0</v>
      </c>
      <c r="I406" s="226">
        <f>SUMPRODUCT((_PLAN_STG!$D$2:$D$1879=B406)*(_PLAN_STG!$B$2:$B$1879="MO")*(_PLAN_STG!$O$2:$O$1879=1)*(_PLAN_STG!$P$2:$P$1879&gt;0))</f>
        <v>0</v>
      </c>
      <c r="J406" s="224" t="str">
        <f>IF(D406="MO/ALB",IFERROR(VLOOKUP(B406,MANO_DE_OBRA!$A:$F,6,FALSE()),""),IF(D406="MO/OTR",IFERROR(VLOOKUP(B406,SUBCONTRATOS_PRY!$A:$E,5,FALSE()),""),""))</f>
        <v>Hormigón — Mano de obra</v>
      </c>
    </row>
    <row r="407" spans="1:10" x14ac:dyDescent="0.35">
      <c r="A407" s="222" t="str">
        <f t="shared" si="7"/>
        <v/>
      </c>
      <c r="B407" s="223" t="s">
        <v>2262</v>
      </c>
      <c r="C407" s="224" t="str">
        <f>IFERROR(IF(D407="MO/ALB",VLOOKUP(B407,MANO_DE_OBRA!$A:$B,2,FALSE()),VLOOKUP(B407,SUBCONTRATOS_PRY!$A:$B,2,FALSE())),IFERROR(INDEX(COMPOSICIÓN!$E$2:$E$1879,MATCH(B407,COMPOSICIÓN!$D$2:$D$1879,0)),""))</f>
        <v>MO Vigas - H35 (180 kg/m3 de hierro)</v>
      </c>
      <c r="D407" s="225" t="s">
        <v>2837</v>
      </c>
      <c r="E407" s="225" t="str">
        <f>IF(D407="MO/ALB","jornal",IFERROR(VLOOKUP(B407,SUBCONTRATOS_PRY!$A:$C,3,FALSE()),IFERROR(INDEX(COMPOSICIÓN!$F$2:$F$1879,MATCH(B407,COMPOSICIÓN!$D$2:$D$1879,0)),"")))</f>
        <v>m3</v>
      </c>
      <c r="F407" s="161">
        <f>SUMIFS(_PLAN_STG!$P$2:$P$1879,_PLAN_STG!$D$2:$D$1879,B407,_PLAN_STG!$B$2:$B$1879,"MO",_PLAN_STG!$O$2:$O$1879,1)</f>
        <v>0</v>
      </c>
      <c r="G407" s="162">
        <f>IFERROR(IF(D407="MO/ALB",VLOOKUP(B407,MANO_DE_OBRA!$A:$C,3,FALSE()),VLOOKUP(B407,SUBCONTRATOS_PRY!$A:$D,4,FALSE())),IFERROR(INDEX(COMPOSICIÓN!$I$2:$I$1879,MATCH(B407,COMPOSICIÓN!$D$2:$D$1879,0)),0))</f>
        <v>537036.80674123298</v>
      </c>
      <c r="H407" s="163">
        <f>SUMIFS(_PLAN_STG!$Q$2:$Q$1879,_PLAN_STG!$D$2:$D$1879,B407,_PLAN_STG!$B$2:$B$1879,"MO",_PLAN_STG!$O$2:$O$1879,1)</f>
        <v>0</v>
      </c>
      <c r="I407" s="226">
        <f>SUMPRODUCT((_PLAN_STG!$D$2:$D$1879=B407)*(_PLAN_STG!$B$2:$B$1879="MO")*(_PLAN_STG!$O$2:$O$1879=1)*(_PLAN_STG!$P$2:$P$1879&gt;0))</f>
        <v>0</v>
      </c>
      <c r="J407" s="224" t="str">
        <f>IF(D407="MO/ALB",IFERROR(VLOOKUP(B407,MANO_DE_OBRA!$A:$F,6,FALSE()),""),IF(D407="MO/OTR",IFERROR(VLOOKUP(B407,SUBCONTRATOS_PRY!$A:$E,5,FALSE()),""),""))</f>
        <v>Hormigón — Mano de obra</v>
      </c>
    </row>
    <row r="408" spans="1:10" x14ac:dyDescent="0.35">
      <c r="A408" s="222" t="str">
        <f t="shared" si="7"/>
        <v/>
      </c>
      <c r="B408" s="223" t="s">
        <v>2264</v>
      </c>
      <c r="C408" s="224" t="str">
        <f>IFERROR(IF(D408="MO/ALB",VLOOKUP(B408,MANO_DE_OBRA!$A:$B,2,FALSE()),VLOOKUP(B408,SUBCONTRATOS_PRY!$A:$B,2,FALSE())),IFERROR(INDEX(COMPOSICIÓN!$E$2:$E$1879,MATCH(B408,COMPOSICIÓN!$D$2:$D$1879,0)),""))</f>
        <v xml:space="preserve">MO Vigas de H° visto - H35 (180 kg/m3 de hierro) </v>
      </c>
      <c r="D408" s="225" t="s">
        <v>2837</v>
      </c>
      <c r="E408" s="225" t="str">
        <f>IF(D408="MO/ALB","jornal",IFERROR(VLOOKUP(B408,SUBCONTRATOS_PRY!$A:$C,3,FALSE()),IFERROR(INDEX(COMPOSICIÓN!$F$2:$F$1879,MATCH(B408,COMPOSICIÓN!$D$2:$D$1879,0)),"")))</f>
        <v>m3</v>
      </c>
      <c r="F408" s="161">
        <f>SUMIFS(_PLAN_STG!$P$2:$P$1879,_PLAN_STG!$D$2:$D$1879,B408,_PLAN_STG!$B$2:$B$1879,"MO",_PLAN_STG!$O$2:$O$1879,1)</f>
        <v>0</v>
      </c>
      <c r="G408" s="162">
        <f>IFERROR(IF(D408="MO/ALB",VLOOKUP(B408,MANO_DE_OBRA!$A:$C,3,FALSE()),VLOOKUP(B408,SUBCONTRATOS_PRY!$A:$D,4,FALSE())),IFERROR(INDEX(COMPOSICIÓN!$I$2:$I$1879,MATCH(B408,COMPOSICIÓN!$D$2:$D$1879,0)),0))</f>
        <v>671296.008426541</v>
      </c>
      <c r="H408" s="163">
        <f>SUMIFS(_PLAN_STG!$Q$2:$Q$1879,_PLAN_STG!$D$2:$D$1879,B408,_PLAN_STG!$B$2:$B$1879,"MO",_PLAN_STG!$O$2:$O$1879,1)</f>
        <v>0</v>
      </c>
      <c r="I408" s="226">
        <f>SUMPRODUCT((_PLAN_STG!$D$2:$D$1879=B408)*(_PLAN_STG!$B$2:$B$1879="MO")*(_PLAN_STG!$O$2:$O$1879=1)*(_PLAN_STG!$P$2:$P$1879&gt;0))</f>
        <v>0</v>
      </c>
      <c r="J408" s="224" t="str">
        <f>IF(D408="MO/ALB",IFERROR(VLOOKUP(B408,MANO_DE_OBRA!$A:$F,6,FALSE()),""),IF(D408="MO/OTR",IFERROR(VLOOKUP(B408,SUBCONTRATOS_PRY!$A:$E,5,FALSE()),""),""))</f>
        <v>Hormigón — Mano de obra</v>
      </c>
    </row>
    <row r="409" spans="1:10" x14ac:dyDescent="0.35">
      <c r="A409" s="222" t="str">
        <f t="shared" si="7"/>
        <v/>
      </c>
      <c r="B409" s="223" t="s">
        <v>2266</v>
      </c>
      <c r="C409" s="224" t="str">
        <f>IFERROR(IF(D409="MO/ALB",VLOOKUP(B409,MANO_DE_OBRA!$A:$B,2,FALSE()),VLOOKUP(B409,SUBCONTRATOS_PRY!$A:$B,2,FALSE())),IFERROR(INDEX(COMPOSICIÓN!$E$2:$E$1879,MATCH(B409,COMPOSICIÓN!$D$2:$D$1879,0)),""))</f>
        <v>MO Tabiques - H35 (100 kg/m3 de hierro)</v>
      </c>
      <c r="D409" s="225" t="s">
        <v>2837</v>
      </c>
      <c r="E409" s="225" t="str">
        <f>IF(D409="MO/ALB","jornal",IFERROR(VLOOKUP(B409,SUBCONTRATOS_PRY!$A:$C,3,FALSE()),IFERROR(INDEX(COMPOSICIÓN!$F$2:$F$1879,MATCH(B409,COMPOSICIÓN!$D$2:$D$1879,0)),"")))</f>
        <v>m3</v>
      </c>
      <c r="F409" s="161">
        <f>SUMIFS(_PLAN_STG!$P$2:$P$1879,_PLAN_STG!$D$2:$D$1879,B409,_PLAN_STG!$B$2:$B$1879,"MO",_PLAN_STG!$O$2:$O$1879,1)</f>
        <v>0</v>
      </c>
      <c r="G409" s="162">
        <f>IFERROR(IF(D409="MO/ALB",VLOOKUP(B409,MANO_DE_OBRA!$A:$C,3,FALSE()),VLOOKUP(B409,SUBCONTRATOS_PRY!$A:$D,4,FALSE())),IFERROR(INDEX(COMPOSICIÓN!$I$2:$I$1879,MATCH(B409,COMPOSICIÓN!$D$2:$D$1879,0)),0))</f>
        <v>357640.8998745</v>
      </c>
      <c r="H409" s="163">
        <f>SUMIFS(_PLAN_STG!$Q$2:$Q$1879,_PLAN_STG!$D$2:$D$1879,B409,_PLAN_STG!$B$2:$B$1879,"MO",_PLAN_STG!$O$2:$O$1879,1)</f>
        <v>0</v>
      </c>
      <c r="I409" s="226">
        <f>SUMPRODUCT((_PLAN_STG!$D$2:$D$1879=B409)*(_PLAN_STG!$B$2:$B$1879="MO")*(_PLAN_STG!$O$2:$O$1879=1)*(_PLAN_STG!$P$2:$P$1879&gt;0))</f>
        <v>0</v>
      </c>
      <c r="J409" s="224" t="str">
        <f>IF(D409="MO/ALB",IFERROR(VLOOKUP(B409,MANO_DE_OBRA!$A:$F,6,FALSE()),""),IF(D409="MO/OTR",IFERROR(VLOOKUP(B409,SUBCONTRATOS_PRY!$A:$E,5,FALSE()),""),""))</f>
        <v>Hormigón — Mano de obra</v>
      </c>
    </row>
    <row r="410" spans="1:10" x14ac:dyDescent="0.35">
      <c r="A410" s="222" t="str">
        <f t="shared" si="7"/>
        <v/>
      </c>
      <c r="B410" s="223" t="s">
        <v>2268</v>
      </c>
      <c r="C410" s="224" t="str">
        <f>IFERROR(IF(D410="MO/ALB",VLOOKUP(B410,MANO_DE_OBRA!$A:$B,2,FALSE()),VLOOKUP(B410,SUBCONTRATOS_PRY!$A:$B,2,FALSE())),IFERROR(INDEX(COMPOSICIÓN!$E$2:$E$1879,MATCH(B410,COMPOSICIÓN!$D$2:$D$1879,0)),""))</f>
        <v>MO Columna - H35 (180 Kg/m3 de hierro)</v>
      </c>
      <c r="D410" s="225" t="s">
        <v>2837</v>
      </c>
      <c r="E410" s="225" t="str">
        <f>IF(D410="MO/ALB","jornal",IFERROR(VLOOKUP(B410,SUBCONTRATOS_PRY!$A:$C,3,FALSE()),IFERROR(INDEX(COMPOSICIÓN!$F$2:$F$1879,MATCH(B410,COMPOSICIÓN!$D$2:$D$1879,0)),"")))</f>
        <v>m3</v>
      </c>
      <c r="F410" s="161">
        <f>SUMIFS(_PLAN_STG!$P$2:$P$1879,_PLAN_STG!$D$2:$D$1879,B410,_PLAN_STG!$B$2:$B$1879,"MO",_PLAN_STG!$O$2:$O$1879,1)</f>
        <v>0</v>
      </c>
      <c r="G410" s="162">
        <f>IFERROR(IF(D410="MO/ALB",VLOOKUP(B410,MANO_DE_OBRA!$A:$C,3,FALSE()),VLOOKUP(B410,SUBCONTRATOS_PRY!$A:$D,4,FALSE())),IFERROR(INDEX(COMPOSICIÓN!$I$2:$I$1879,MATCH(B410,COMPOSICIÓN!$D$2:$D$1879,0)),0))</f>
        <v>317914.04751247499</v>
      </c>
      <c r="H410" s="163">
        <f>SUMIFS(_PLAN_STG!$Q$2:$Q$1879,_PLAN_STG!$D$2:$D$1879,B410,_PLAN_STG!$B$2:$B$1879,"MO",_PLAN_STG!$O$2:$O$1879,1)</f>
        <v>0</v>
      </c>
      <c r="I410" s="226">
        <f>SUMPRODUCT((_PLAN_STG!$D$2:$D$1879=B410)*(_PLAN_STG!$B$2:$B$1879="MO")*(_PLAN_STG!$O$2:$O$1879=1)*(_PLAN_STG!$P$2:$P$1879&gt;0))</f>
        <v>0</v>
      </c>
      <c r="J410" s="224" t="str">
        <f>IF(D410="MO/ALB",IFERROR(VLOOKUP(B410,MANO_DE_OBRA!$A:$F,6,FALSE()),""),IF(D410="MO/OTR",IFERROR(VLOOKUP(B410,SUBCONTRATOS_PRY!$A:$E,5,FALSE()),""),""))</f>
        <v>Hormigón — Mano de obra</v>
      </c>
    </row>
    <row r="411" spans="1:10" x14ac:dyDescent="0.35">
      <c r="A411" s="222" t="str">
        <f t="shared" si="7"/>
        <v/>
      </c>
      <c r="B411" s="223" t="s">
        <v>2270</v>
      </c>
      <c r="C411" s="224" t="str">
        <f>IFERROR(IF(D411="MO/ALB",VLOOKUP(B411,MANO_DE_OBRA!$A:$B,2,FALSE()),VLOOKUP(B411,SUBCONTRATOS_PRY!$A:$B,2,FALSE())),IFERROR(INDEX(COMPOSICIÓN!$E$2:$E$1879,MATCH(B411,COMPOSICIÓN!$D$2:$D$1879,0)),""))</f>
        <v>MO Columna vista- H35 (180 Kg/m3 de hierro)</v>
      </c>
      <c r="D411" s="225" t="s">
        <v>2837</v>
      </c>
      <c r="E411" s="225" t="str">
        <f>IF(D411="MO/ALB","jornal",IFERROR(VLOOKUP(B411,SUBCONTRATOS_PRY!$A:$C,3,FALSE()),IFERROR(INDEX(COMPOSICIÓN!$F$2:$F$1879,MATCH(B411,COMPOSICIÓN!$D$2:$D$1879,0)),"")))</f>
        <v>m3</v>
      </c>
      <c r="F411" s="161">
        <f>SUMIFS(_PLAN_STG!$P$2:$P$1879,_PLAN_STG!$D$2:$D$1879,B411,_PLAN_STG!$B$2:$B$1879,"MO",_PLAN_STG!$O$2:$O$1879,1)</f>
        <v>0</v>
      </c>
      <c r="G411" s="162">
        <f>IFERROR(IF(D411="MO/ALB",VLOOKUP(B411,MANO_DE_OBRA!$A:$C,3,FALSE()),VLOOKUP(B411,SUBCONTRATOS_PRY!$A:$D,4,FALSE())),IFERROR(INDEX(COMPOSICIÓN!$I$2:$I$1879,MATCH(B411,COMPOSICIÓN!$D$2:$D$1879,0)),0))</f>
        <v>397392.55939059303</v>
      </c>
      <c r="H411" s="163">
        <f>SUMIFS(_PLAN_STG!$Q$2:$Q$1879,_PLAN_STG!$D$2:$D$1879,B411,_PLAN_STG!$B$2:$B$1879,"MO",_PLAN_STG!$O$2:$O$1879,1)</f>
        <v>0</v>
      </c>
      <c r="I411" s="226">
        <f>SUMPRODUCT((_PLAN_STG!$D$2:$D$1879=B411)*(_PLAN_STG!$B$2:$B$1879="MO")*(_PLAN_STG!$O$2:$O$1879=1)*(_PLAN_STG!$P$2:$P$1879&gt;0))</f>
        <v>0</v>
      </c>
      <c r="J411" s="224" t="str">
        <f>IF(D411="MO/ALB",IFERROR(VLOOKUP(B411,MANO_DE_OBRA!$A:$F,6,FALSE()),""),IF(D411="MO/OTR",IFERROR(VLOOKUP(B411,SUBCONTRATOS_PRY!$A:$E,5,FALSE()),""),""))</f>
        <v>Hormigón — Mano de obra</v>
      </c>
    </row>
    <row r="412" spans="1:10" x14ac:dyDescent="0.35">
      <c r="A412" s="222" t="str">
        <f t="shared" si="7"/>
        <v/>
      </c>
      <c r="B412" s="223" t="s">
        <v>2272</v>
      </c>
      <c r="C412" s="224" t="str">
        <f>IFERROR(IF(D412="MO/ALB",VLOOKUP(B412,MANO_DE_OBRA!$A:$B,2,FALSE()),VLOOKUP(B412,SUBCONTRATOS_PRY!$A:$B,2,FALSE())),IFERROR(INDEX(COMPOSICIÓN!$E$2:$E$1879,MATCH(B412,COMPOSICIÓN!$D$2:$D$1879,0)),""))</f>
        <v>MO Escaleras de Hº visto - H35 (105 kg/m3 de hierro)</v>
      </c>
      <c r="D412" s="225" t="s">
        <v>2837</v>
      </c>
      <c r="E412" s="225" t="str">
        <f>IF(D412="MO/ALB","jornal",IFERROR(VLOOKUP(B412,SUBCONTRATOS_PRY!$A:$C,3,FALSE()),IFERROR(INDEX(COMPOSICIÓN!$F$2:$F$1879,MATCH(B412,COMPOSICIÓN!$D$2:$D$1879,0)),"")))</f>
        <v>m3</v>
      </c>
      <c r="F412" s="161">
        <f>SUMIFS(_PLAN_STG!$P$2:$P$1879,_PLAN_STG!$D$2:$D$1879,B412,_PLAN_STG!$B$2:$B$1879,"MO",_PLAN_STG!$O$2:$O$1879,1)</f>
        <v>0</v>
      </c>
      <c r="G412" s="162">
        <f>IFERROR(IF(D412="MO/ALB",VLOOKUP(B412,MANO_DE_OBRA!$A:$C,3,FALSE()),VLOOKUP(B412,SUBCONTRATOS_PRY!$A:$D,4,FALSE())),IFERROR(INDEX(COMPOSICIÓN!$I$2:$I$1879,MATCH(B412,COMPOSICIÓN!$D$2:$D$1879,0)),0))</f>
        <v>405530.54369979398</v>
      </c>
      <c r="H412" s="163">
        <f>SUMIFS(_PLAN_STG!$Q$2:$Q$1879,_PLAN_STG!$D$2:$D$1879,B412,_PLAN_STG!$B$2:$B$1879,"MO",_PLAN_STG!$O$2:$O$1879,1)</f>
        <v>0</v>
      </c>
      <c r="I412" s="226">
        <f>SUMPRODUCT((_PLAN_STG!$D$2:$D$1879=B412)*(_PLAN_STG!$B$2:$B$1879="MO")*(_PLAN_STG!$O$2:$O$1879=1)*(_PLAN_STG!$P$2:$P$1879&gt;0))</f>
        <v>0</v>
      </c>
      <c r="J412" s="224" t="str">
        <f>IF(D412="MO/ALB",IFERROR(VLOOKUP(B412,MANO_DE_OBRA!$A:$F,6,FALSE()),""),IF(D412="MO/OTR",IFERROR(VLOOKUP(B412,SUBCONTRATOS_PRY!$A:$E,5,FALSE()),""),""))</f>
        <v>Hormigón — Mano de obra</v>
      </c>
    </row>
    <row r="413" spans="1:10" x14ac:dyDescent="0.35">
      <c r="A413" s="222" t="str">
        <f t="shared" si="7"/>
        <v/>
      </c>
      <c r="B413" s="223" t="s">
        <v>2274</v>
      </c>
      <c r="C413" s="224" t="str">
        <f>IFERROR(IF(D413="MO/ALB",VLOOKUP(B413,MANO_DE_OBRA!$A:$B,2,FALSE()),VLOOKUP(B413,SUBCONTRATOS_PRY!$A:$B,2,FALSE())),IFERROR(INDEX(COMPOSICIÓN!$E$2:$E$1879,MATCH(B413,COMPOSICIÓN!$D$2:$D$1879,0)),""))</f>
        <v>MO Tanques de HºAº - H35 (100 kg/m3 de hierro) - Tanque de reserva</v>
      </c>
      <c r="D413" s="225" t="s">
        <v>2837</v>
      </c>
      <c r="E413" s="225" t="str">
        <f>IF(D413="MO/ALB","jornal",IFERROR(VLOOKUP(B413,SUBCONTRATOS_PRY!$A:$C,3,FALSE()),IFERROR(INDEX(COMPOSICIÓN!$F$2:$F$1879,MATCH(B413,COMPOSICIÓN!$D$2:$D$1879,0)),"")))</f>
        <v>m3</v>
      </c>
      <c r="F413" s="161">
        <f>SUMIFS(_PLAN_STG!$P$2:$P$1879,_PLAN_STG!$D$2:$D$1879,B413,_PLAN_STG!$B$2:$B$1879,"MO",_PLAN_STG!$O$2:$O$1879,1)</f>
        <v>0</v>
      </c>
      <c r="G413" s="162">
        <f>IFERROR(IF(D413="MO/ALB",VLOOKUP(B413,MANO_DE_OBRA!$A:$C,3,FALSE()),VLOOKUP(B413,SUBCONTRATOS_PRY!$A:$D,4,FALSE())),IFERROR(INDEX(COMPOSICIÓN!$I$2:$I$1879,MATCH(B413,COMPOSICIÓN!$D$2:$D$1879,0)),0))</f>
        <v>357640.8998745</v>
      </c>
      <c r="H413" s="163">
        <f>SUMIFS(_PLAN_STG!$Q$2:$Q$1879,_PLAN_STG!$D$2:$D$1879,B413,_PLAN_STG!$B$2:$B$1879,"MO",_PLAN_STG!$O$2:$O$1879,1)</f>
        <v>0</v>
      </c>
      <c r="I413" s="226">
        <f>SUMPRODUCT((_PLAN_STG!$D$2:$D$1879=B413)*(_PLAN_STG!$B$2:$B$1879="MO")*(_PLAN_STG!$O$2:$O$1879=1)*(_PLAN_STG!$P$2:$P$1879&gt;0))</f>
        <v>0</v>
      </c>
      <c r="J413" s="224" t="str">
        <f>IF(D413="MO/ALB",IFERROR(VLOOKUP(B413,MANO_DE_OBRA!$A:$F,6,FALSE()),""),IF(D413="MO/OTR",IFERROR(VLOOKUP(B413,SUBCONTRATOS_PRY!$A:$E,5,FALSE()),""),""))</f>
        <v>Hormigón — Mano de obra</v>
      </c>
    </row>
    <row r="414" spans="1:10" x14ac:dyDescent="0.35">
      <c r="A414" s="222" t="str">
        <f t="shared" si="7"/>
        <v/>
      </c>
      <c r="B414" s="223" t="s">
        <v>2276</v>
      </c>
      <c r="C414" s="224" t="str">
        <f>IFERROR(IF(D414="MO/ALB",VLOOKUP(B414,MANO_DE_OBRA!$A:$B,2,FALSE()),VLOOKUP(B414,SUBCONTRATOS_PRY!$A:$B,2,FALSE())),IFERROR(INDEX(COMPOSICIÓN!$E$2:$E$1879,MATCH(B414,COMPOSICIÓN!$D$2:$D$1879,0)),""))</f>
        <v xml:space="preserve">MO Ensayos de hormigon por etapas de hormigonado </v>
      </c>
      <c r="D414" s="225" t="s">
        <v>2837</v>
      </c>
      <c r="E414" s="225" t="str">
        <f>IF(D414="MO/ALB","jornal",IFERROR(VLOOKUP(B414,SUBCONTRATOS_PRY!$A:$C,3,FALSE()),IFERROR(INDEX(COMPOSICIÓN!$F$2:$F$1879,MATCH(B414,COMPOSICIÓN!$D$2:$D$1879,0)),"")))</f>
        <v>u</v>
      </c>
      <c r="F414" s="161">
        <f>SUMIFS(_PLAN_STG!$P$2:$P$1879,_PLAN_STG!$D$2:$D$1879,B414,_PLAN_STG!$B$2:$B$1879,"MO",_PLAN_STG!$O$2:$O$1879,1)</f>
        <v>0</v>
      </c>
      <c r="G414" s="162">
        <f>IFERROR(IF(D414="MO/ALB",VLOOKUP(B414,MANO_DE_OBRA!$A:$C,3,FALSE()),VLOOKUP(B414,SUBCONTRATOS_PRY!$A:$D,4,FALSE())),IFERROR(INDEX(COMPOSICIÓN!$I$2:$I$1879,MATCH(B414,COMPOSICIÓN!$D$2:$D$1879,0)),0))</f>
        <v>228712</v>
      </c>
      <c r="H414" s="163">
        <f>SUMIFS(_PLAN_STG!$Q$2:$Q$1879,_PLAN_STG!$D$2:$D$1879,B414,_PLAN_STG!$B$2:$B$1879,"MO",_PLAN_STG!$O$2:$O$1879,1)</f>
        <v>0</v>
      </c>
      <c r="I414" s="226">
        <f>SUMPRODUCT((_PLAN_STG!$D$2:$D$1879=B414)*(_PLAN_STG!$B$2:$B$1879="MO")*(_PLAN_STG!$O$2:$O$1879=1)*(_PLAN_STG!$P$2:$P$1879&gt;0))</f>
        <v>0</v>
      </c>
      <c r="J414" s="224" t="str">
        <f>IF(D414="MO/ALB",IFERROR(VLOOKUP(B414,MANO_DE_OBRA!$A:$F,6,FALSE()),""),IF(D414="MO/OTR",IFERROR(VLOOKUP(B414,SUBCONTRATOS_PRY!$A:$E,5,FALSE()),""),""))</f>
        <v>Hormigón — Ensayos</v>
      </c>
    </row>
    <row r="415" spans="1:10" x14ac:dyDescent="0.35">
      <c r="A415" s="222" t="str">
        <f t="shared" si="7"/>
        <v/>
      </c>
      <c r="B415" s="223" t="s">
        <v>2279</v>
      </c>
      <c r="C415" s="224" t="str">
        <f>IFERROR(IF(D415="MO/ALB",VLOOKUP(B415,MANO_DE_OBRA!$A:$B,2,FALSE()),VLOOKUP(B415,SUBCONTRATOS_PRY!$A:$B,2,FALSE())),IFERROR(INDEX(COMPOSICIÓN!$E$2:$E$1879,MATCH(B415,COMPOSICIÓN!$D$2:$D$1879,0)),""))</f>
        <v>MO Impermeabilización de tanque de reserva de HºAº [SUBCONTRATOS]</v>
      </c>
      <c r="D415" s="225" t="s">
        <v>2837</v>
      </c>
      <c r="E415" s="225" t="str">
        <f>IF(D415="MO/ALB","jornal",IFERROR(VLOOKUP(B415,SUBCONTRATOS_PRY!$A:$C,3,FALSE()),IFERROR(INDEX(COMPOSICIÓN!$F$2:$F$1879,MATCH(B415,COMPOSICIÓN!$D$2:$D$1879,0)),"")))</f>
        <v>gl</v>
      </c>
      <c r="F415" s="161">
        <f>SUMIFS(_PLAN_STG!$P$2:$P$1879,_PLAN_STG!$D$2:$D$1879,B415,_PLAN_STG!$B$2:$B$1879,"MO",_PLAN_STG!$O$2:$O$1879,1)</f>
        <v>0</v>
      </c>
      <c r="G415" s="162">
        <f>IFERROR(IF(D415="MO/ALB",VLOOKUP(B415,MANO_DE_OBRA!$A:$C,3,FALSE()),VLOOKUP(B415,SUBCONTRATOS_PRY!$A:$D,4,FALSE())),IFERROR(INDEX(COMPOSICIÓN!$I$2:$I$1879,MATCH(B415,COMPOSICIÓN!$D$2:$D$1879,0)),0))</f>
        <v>1829911.58844288</v>
      </c>
      <c r="H415" s="163">
        <f>SUMIFS(_PLAN_STG!$Q$2:$Q$1879,_PLAN_STG!$D$2:$D$1879,B415,_PLAN_STG!$B$2:$B$1879,"MO",_PLAN_STG!$O$2:$O$1879,1)</f>
        <v>0</v>
      </c>
      <c r="I415" s="226">
        <f>SUMPRODUCT((_PLAN_STG!$D$2:$D$1879=B415)*(_PLAN_STG!$B$2:$B$1879="MO")*(_PLAN_STG!$O$2:$O$1879=1)*(_PLAN_STG!$P$2:$P$1879&gt;0))</f>
        <v>0</v>
      </c>
      <c r="J415" s="224" t="str">
        <f>IF(D415="MO/ALB",IFERROR(VLOOKUP(B415,MANO_DE_OBRA!$A:$F,6,FALSE()),""),IF(D415="MO/OTR",IFERROR(VLOOKUP(B415,SUBCONTRATOS_PRY!$A:$E,5,FALSE()),""),""))</f>
        <v>Impermeabilización</v>
      </c>
    </row>
    <row r="416" spans="1:10" x14ac:dyDescent="0.35">
      <c r="A416" s="222" t="str">
        <f t="shared" si="7"/>
        <v/>
      </c>
      <c r="B416" s="223" t="s">
        <v>2282</v>
      </c>
      <c r="C416" s="224" t="str">
        <f>IFERROR(IF(D416="MO/ALB",VLOOKUP(B416,MANO_DE_OBRA!$A:$B,2,FALSE()),VLOOKUP(B416,SUBCONTRATOS_PRY!$A:$B,2,FALSE())),IFERROR(INDEX(COMPOSICIÓN!$E$2:$E$1879,MATCH(B416,COMPOSICIÓN!$D$2:$D$1879,0)),""))</f>
        <v>M.Obra</v>
      </c>
      <c r="D416" s="225" t="s">
        <v>2837</v>
      </c>
      <c r="E416" s="225" t="str">
        <f>IF(D416="MO/ALB","jornal",IFERROR(VLOOKUP(B416,SUBCONTRATOS_PRY!$A:$C,3,FALSE()),IFERROR(INDEX(COMPOSICIÓN!$F$2:$F$1879,MATCH(B416,COMPOSICIÓN!$D$2:$D$1879,0)),"")))</f>
        <v>m2</v>
      </c>
      <c r="F416" s="161">
        <f>SUMIFS(_PLAN_STG!$P$2:$P$1879,_PLAN_STG!$D$2:$D$1879,B416,_PLAN_STG!$B$2:$B$1879,"MO",_PLAN_STG!$O$2:$O$1879,1)</f>
        <v>0</v>
      </c>
      <c r="G416" s="162">
        <f>IFERROR(IF(D416="MO/ALB",VLOOKUP(B416,MANO_DE_OBRA!$A:$C,3,FALSE()),VLOOKUP(B416,SUBCONTRATOS_PRY!$A:$D,4,FALSE())),IFERROR(INDEX(COMPOSICIÓN!$I$2:$I$1879,MATCH(B416,COMPOSICIÓN!$D$2:$D$1879,0)),0))</f>
        <v>11651.218312086001</v>
      </c>
      <c r="H416" s="163">
        <f>SUMIFS(_PLAN_STG!$Q$2:$Q$1879,_PLAN_STG!$D$2:$D$1879,B416,_PLAN_STG!$B$2:$B$1879,"MO",_PLAN_STG!$O$2:$O$1879,1)</f>
        <v>0</v>
      </c>
      <c r="I416" s="226">
        <f>SUMPRODUCT((_PLAN_STG!$D$2:$D$1879=B416)*(_PLAN_STG!$B$2:$B$1879="MO")*(_PLAN_STG!$O$2:$O$1879=1)*(_PLAN_STG!$P$2:$P$1879&gt;0))</f>
        <v>0</v>
      </c>
      <c r="J416" s="224" t="str">
        <f>IF(D416="MO/ALB",IFERROR(VLOOKUP(B416,MANO_DE_OBRA!$A:$F,6,FALSE()),""),IF(D416="MO/OTR",IFERROR(VLOOKUP(B416,SUBCONTRATOS_PRY!$A:$E,5,FALSE()),""),""))</f>
        <v>Revestimientos y yesos</v>
      </c>
    </row>
    <row r="417" spans="1:10" x14ac:dyDescent="0.35">
      <c r="A417" s="222" t="str">
        <f t="shared" si="7"/>
        <v/>
      </c>
      <c r="B417" s="223" t="s">
        <v>2284</v>
      </c>
      <c r="C417" s="224" t="str">
        <f>IFERROR(IF(D417="MO/ALB",VLOOKUP(B417,MANO_DE_OBRA!$A:$B,2,FALSE()),VLOOKUP(B417,SUBCONTRATOS_PRY!$A:$B,2,FALSE())),IFERROR(INDEX(COMPOSICIÓN!$E$2:$E$1879,MATCH(B417,COMPOSICIÓN!$D$2:$D$1879,0)),""))</f>
        <v xml:space="preserve">Arista en yeso </v>
      </c>
      <c r="D417" s="225" t="s">
        <v>2837</v>
      </c>
      <c r="E417" s="225" t="str">
        <f>IF(D417="MO/ALB","jornal",IFERROR(VLOOKUP(B417,SUBCONTRATOS_PRY!$A:$C,3,FALSE()),IFERROR(INDEX(COMPOSICIÓN!$F$2:$F$1879,MATCH(B417,COMPOSICIÓN!$D$2:$D$1879,0)),"")))</f>
        <v>ml</v>
      </c>
      <c r="F417" s="161">
        <f>SUMIFS(_PLAN_STG!$P$2:$P$1879,_PLAN_STG!$D$2:$D$1879,B417,_PLAN_STG!$B$2:$B$1879,"MO",_PLAN_STG!$O$2:$O$1879,1)</f>
        <v>0</v>
      </c>
      <c r="G417" s="162">
        <f>IFERROR(IF(D417="MO/ALB",VLOOKUP(B417,MANO_DE_OBRA!$A:$C,3,FALSE()),VLOOKUP(B417,SUBCONTRATOS_PRY!$A:$D,4,FALSE())),IFERROR(INDEX(COMPOSICIÓN!$I$2:$I$1879,MATCH(B417,COMPOSICIÓN!$D$2:$D$1879,0)),0))</f>
        <v>12499.4731571067</v>
      </c>
      <c r="H417" s="163">
        <f>SUMIFS(_PLAN_STG!$Q$2:$Q$1879,_PLAN_STG!$D$2:$D$1879,B417,_PLAN_STG!$B$2:$B$1879,"MO",_PLAN_STG!$O$2:$O$1879,1)</f>
        <v>0</v>
      </c>
      <c r="I417" s="226">
        <f>SUMPRODUCT((_PLAN_STG!$D$2:$D$1879=B417)*(_PLAN_STG!$B$2:$B$1879="MO")*(_PLAN_STG!$O$2:$O$1879=1)*(_PLAN_STG!$P$2:$P$1879&gt;0))</f>
        <v>0</v>
      </c>
      <c r="J417" s="224" t="str">
        <f>IF(D417="MO/ALB",IFERROR(VLOOKUP(B417,MANO_DE_OBRA!$A:$F,6,FALSE()),""),IF(D417="MO/OTR",IFERROR(VLOOKUP(B417,SUBCONTRATOS_PRY!$A:$E,5,FALSE()),""),""))</f>
        <v>Revestimientos y yesos</v>
      </c>
    </row>
    <row r="418" spans="1:10" x14ac:dyDescent="0.35">
      <c r="A418" s="222" t="str">
        <f t="shared" si="7"/>
        <v/>
      </c>
      <c r="B418" s="223" t="s">
        <v>2287</v>
      </c>
      <c r="C418" s="224" t="str">
        <f>IFERROR(IF(D418="MO/ALB",VLOOKUP(B418,MANO_DE_OBRA!$A:$B,2,FALSE()),VLOOKUP(B418,SUBCONTRATOS_PRY!$A:$B,2,FALSE())),IFERROR(INDEX(COMPOSICIÓN!$E$2:$E$1879,MATCH(B418,COMPOSICIÓN!$D$2:$D$1879,0)),""))</f>
        <v>Guardacanto yesero 2,00 mts</v>
      </c>
      <c r="D418" s="225" t="s">
        <v>2837</v>
      </c>
      <c r="E418" s="225" t="str">
        <f>IF(D418="MO/ALB","jornal",IFERROR(VLOOKUP(B418,SUBCONTRATOS_PRY!$A:$C,3,FALSE()),IFERROR(INDEX(COMPOSICIÓN!$F$2:$F$1879,MATCH(B418,COMPOSICIÓN!$D$2:$D$1879,0)),"")))</f>
        <v>u</v>
      </c>
      <c r="F418" s="161">
        <f>SUMIFS(_PLAN_STG!$P$2:$P$1879,_PLAN_STG!$D$2:$D$1879,B418,_PLAN_STG!$B$2:$B$1879,"MO",_PLAN_STG!$O$2:$O$1879,1)</f>
        <v>0</v>
      </c>
      <c r="G418" s="162">
        <f>IFERROR(IF(D418="MO/ALB",VLOOKUP(B418,MANO_DE_OBRA!$A:$C,3,FALSE()),VLOOKUP(B418,SUBCONTRATOS_PRY!$A:$D,4,FALSE())),IFERROR(INDEX(COMPOSICIÓN!$I$2:$I$1879,MATCH(B418,COMPOSICIÓN!$D$2:$D$1879,0)),0))</f>
        <v>12499.4731571067</v>
      </c>
      <c r="H418" s="163">
        <f>SUMIFS(_PLAN_STG!$Q$2:$Q$1879,_PLAN_STG!$D$2:$D$1879,B418,_PLAN_STG!$B$2:$B$1879,"MO",_PLAN_STG!$O$2:$O$1879,1)</f>
        <v>0</v>
      </c>
      <c r="I418" s="226">
        <f>SUMPRODUCT((_PLAN_STG!$D$2:$D$1879=B418)*(_PLAN_STG!$B$2:$B$1879="MO")*(_PLAN_STG!$O$2:$O$1879=1)*(_PLAN_STG!$P$2:$P$1879&gt;0))</f>
        <v>0</v>
      </c>
      <c r="J418" s="224" t="str">
        <f>IF(D418="MO/ALB",IFERROR(VLOOKUP(B418,MANO_DE_OBRA!$A:$F,6,FALSE()),""),IF(D418="MO/OTR",IFERROR(VLOOKUP(B418,SUBCONTRATOS_PRY!$A:$E,5,FALSE()),""),""))</f>
        <v>Revestimientos y yesos</v>
      </c>
    </row>
    <row r="419" spans="1:10" x14ac:dyDescent="0.35">
      <c r="A419" s="222" t="str">
        <f t="shared" si="7"/>
        <v/>
      </c>
      <c r="B419" s="223" t="s">
        <v>2289</v>
      </c>
      <c r="C419" s="224" t="str">
        <f>IFERROR(IF(D419="MO/ALB",VLOOKUP(B419,MANO_DE_OBRA!$A:$B,2,FALSE()),VLOOKUP(B419,SUBCONTRATOS_PRY!$A:$B,2,FALSE())),IFERROR(INDEX(COMPOSICIÓN!$E$2:$E$1879,MATCH(B419,COMPOSICIÓN!$D$2:$D$1879,0)),""))</f>
        <v>Combustible</v>
      </c>
      <c r="D419" s="225" t="s">
        <v>2837</v>
      </c>
      <c r="E419" s="225" t="str">
        <f>IF(D419="MO/ALB","jornal",IFERROR(VLOOKUP(B419,SUBCONTRATOS_PRY!$A:$C,3,FALSE()),IFERROR(INDEX(COMPOSICIÓN!$F$2:$F$1879,MATCH(B419,COMPOSICIÓN!$D$2:$D$1879,0)),"")))</f>
        <v xml:space="preserve">lts </v>
      </c>
      <c r="F419" s="161">
        <f>SUMIFS(_PLAN_STG!$P$2:$P$1879,_PLAN_STG!$D$2:$D$1879,B419,_PLAN_STG!$B$2:$B$1879,"MO",_PLAN_STG!$O$2:$O$1879,1)</f>
        <v>0</v>
      </c>
      <c r="G419" s="162">
        <f>IFERROR(IF(D419="MO/ALB",VLOOKUP(B419,MANO_DE_OBRA!$A:$C,3,FALSE()),VLOOKUP(B419,SUBCONTRATOS_PRY!$A:$D,4,FALSE())),IFERROR(INDEX(COMPOSICIÓN!$I$2:$I$1879,MATCH(B419,COMPOSICIÓN!$D$2:$D$1879,0)),0))</f>
        <v>1500</v>
      </c>
      <c r="H419" s="163">
        <f>SUMIFS(_PLAN_STG!$Q$2:$Q$1879,_PLAN_STG!$D$2:$D$1879,B419,_PLAN_STG!$B$2:$B$1879,"MO",_PLAN_STG!$O$2:$O$1879,1)</f>
        <v>0</v>
      </c>
      <c r="I419" s="226">
        <f>SUMPRODUCT((_PLAN_STG!$D$2:$D$1879=B419)*(_PLAN_STG!$B$2:$B$1879="MO")*(_PLAN_STG!$O$2:$O$1879=1)*(_PLAN_STG!$P$2:$P$1879&gt;0))</f>
        <v>0</v>
      </c>
      <c r="J419" s="224" t="str">
        <f>IF(D419="MO/ALB",IFERROR(VLOOKUP(B419,MANO_DE_OBRA!$A:$F,6,FALSE()),""),IF(D419="MO/OTR",IFERROR(VLOOKUP(B419,SUBCONTRATOS_PRY!$A:$E,5,FALSE()),""),""))</f>
        <v>Varios</v>
      </c>
    </row>
    <row r="420" spans="1:10" x14ac:dyDescent="0.35">
      <c r="A420" s="222" t="str">
        <f t="shared" si="7"/>
        <v/>
      </c>
      <c r="B420" s="223" t="s">
        <v>2294</v>
      </c>
      <c r="C420" s="224" t="str">
        <f>IFERROR(IF(D420="MO/ALB",VLOOKUP(B420,MANO_DE_OBRA!$A:$B,2,FALSE()),VLOOKUP(B420,SUBCONTRATOS_PRY!$A:$B,2,FALSE())),IFERROR(INDEX(COMPOSICIÓN!$E$2:$E$1879,MATCH(B420,COMPOSICIÓN!$D$2:$D$1879,0)),""))</f>
        <v>MO Buña en yeso aplicado [SUBCONTRATOS]</v>
      </c>
      <c r="D420" s="225" t="s">
        <v>2837</v>
      </c>
      <c r="E420" s="225" t="str">
        <f>IF(D420="MO/ALB","jornal",IFERROR(VLOOKUP(B420,SUBCONTRATOS_PRY!$A:$C,3,FALSE()),IFERROR(INDEX(COMPOSICIÓN!$F$2:$F$1879,MATCH(B420,COMPOSICIÓN!$D$2:$D$1879,0)),"")))</f>
        <v>ml</v>
      </c>
      <c r="F420" s="161">
        <f>SUMIFS(_PLAN_STG!$P$2:$P$1879,_PLAN_STG!$D$2:$D$1879,B420,_PLAN_STG!$B$2:$B$1879,"MO",_PLAN_STG!$O$2:$O$1879,1)</f>
        <v>0</v>
      </c>
      <c r="G420" s="162">
        <f>IFERROR(IF(D420="MO/ALB",VLOOKUP(B420,MANO_DE_OBRA!$A:$C,3,FALSE()),VLOOKUP(B420,SUBCONTRATOS_PRY!$A:$D,4,FALSE())),IFERROR(INDEX(COMPOSICIÓN!$I$2:$I$1879,MATCH(B420,COMPOSICIÓN!$D$2:$D$1879,0)),0))</f>
        <v>12499.4731571067</v>
      </c>
      <c r="H420" s="163">
        <f>SUMIFS(_PLAN_STG!$Q$2:$Q$1879,_PLAN_STG!$D$2:$D$1879,B420,_PLAN_STG!$B$2:$B$1879,"MO",_PLAN_STG!$O$2:$O$1879,1)</f>
        <v>0</v>
      </c>
      <c r="I420" s="226">
        <f>SUMPRODUCT((_PLAN_STG!$D$2:$D$1879=B420)*(_PLAN_STG!$B$2:$B$1879="MO")*(_PLAN_STG!$O$2:$O$1879=1)*(_PLAN_STG!$P$2:$P$1879&gt;0))</f>
        <v>0</v>
      </c>
      <c r="J420" s="224" t="str">
        <f>IF(D420="MO/ALB",IFERROR(VLOOKUP(B420,MANO_DE_OBRA!$A:$F,6,FALSE()),""),IF(D420="MO/OTR",IFERROR(VLOOKUP(B420,SUBCONTRATOS_PRY!$A:$E,5,FALSE()),""),""))</f>
        <v>Revestimientos y yesos</v>
      </c>
    </row>
    <row r="421" spans="1:10" x14ac:dyDescent="0.35">
      <c r="A421" s="222" t="str">
        <f t="shared" si="7"/>
        <v/>
      </c>
      <c r="B421" s="223" t="s">
        <v>2296</v>
      </c>
      <c r="C421" s="224" t="str">
        <f>IFERROR(IF(D421="MO/ALB",VLOOKUP(B421,MANO_DE_OBRA!$A:$B,2,FALSE()),VLOOKUP(B421,SUBCONTRATOS_PRY!$A:$B,2,FALSE())),IFERROR(INDEX(COMPOSICIÓN!$E$2:$E$1879,MATCH(B421,COMPOSICIÓN!$D$2:$D$1879,0)),""))</f>
        <v>[MO] Latex exterior mate en paredes, color bco., sin enduido, a mas de 3 m de altura - Medianeras</v>
      </c>
      <c r="D421" s="225" t="s">
        <v>2837</v>
      </c>
      <c r="E421" s="225" t="str">
        <f>IF(D421="MO/ALB","jornal",IFERROR(VLOOKUP(B421,SUBCONTRATOS_PRY!$A:$C,3,FALSE()),IFERROR(INDEX(COMPOSICIÓN!$F$2:$F$1879,MATCH(B421,COMPOSICIÓN!$D$2:$D$1879,0)),"")))</f>
        <v>m2</v>
      </c>
      <c r="F421" s="161">
        <f>SUMIFS(_PLAN_STG!$P$2:$P$1879,_PLAN_STG!$D$2:$D$1879,B421,_PLAN_STG!$B$2:$B$1879,"MO",_PLAN_STG!$O$2:$O$1879,1)</f>
        <v>0</v>
      </c>
      <c r="G421" s="162">
        <f>IFERROR(IF(D421="MO/ALB",VLOOKUP(B421,MANO_DE_OBRA!$A:$C,3,FALSE()),VLOOKUP(B421,SUBCONTRATOS_PRY!$A:$D,4,FALSE())),IFERROR(INDEX(COMPOSICIÓN!$I$2:$I$1879,MATCH(B421,COMPOSICIÓN!$D$2:$D$1879,0)),0))</f>
        <v>14504.129532884899</v>
      </c>
      <c r="H421" s="163">
        <f>SUMIFS(_PLAN_STG!$Q$2:$Q$1879,_PLAN_STG!$D$2:$D$1879,B421,_PLAN_STG!$B$2:$B$1879,"MO",_PLAN_STG!$O$2:$O$1879,1)</f>
        <v>0</v>
      </c>
      <c r="I421" s="226">
        <f>SUMPRODUCT((_PLAN_STG!$D$2:$D$1879=B421)*(_PLAN_STG!$B$2:$B$1879="MO")*(_PLAN_STG!$O$2:$O$1879=1)*(_PLAN_STG!$P$2:$P$1879&gt;0))</f>
        <v>0</v>
      </c>
      <c r="J421" s="224" t="str">
        <f>IF(D421="MO/ALB",IFERROR(VLOOKUP(B421,MANO_DE_OBRA!$A:$F,6,FALSE()),""),IF(D421="MO/OTR",IFERROR(VLOOKUP(B421,SUBCONTRATOS_PRY!$A:$E,5,FALSE()),""),""))</f>
        <v>Pinturas</v>
      </c>
    </row>
    <row r="422" spans="1:10" x14ac:dyDescent="0.35">
      <c r="A422" s="222" t="str">
        <f t="shared" si="7"/>
        <v/>
      </c>
      <c r="B422" s="223" t="s">
        <v>2298</v>
      </c>
      <c r="C422" s="224" t="str">
        <f>IFERROR(IF(D422="MO/ALB",VLOOKUP(B422,MANO_DE_OBRA!$A:$B,2,FALSE()),VLOOKUP(B422,SUBCONTRATOS_PRY!$A:$B,2,FALSE())),IFERROR(INDEX(COMPOSICIÓN!$E$2:$E$1879,MATCH(B422,COMPOSICIÓN!$D$2:$D$1879,0)),""))</f>
        <v>MO Revestimiento tipo Tarquini hasta 3 m de altura [SUBCONTRATOS]</v>
      </c>
      <c r="D422" s="225" t="s">
        <v>2837</v>
      </c>
      <c r="E422" s="225" t="str">
        <f>IF(D422="MO/ALB","jornal",IFERROR(VLOOKUP(B422,SUBCONTRATOS_PRY!$A:$C,3,FALSE()),IFERROR(INDEX(COMPOSICIÓN!$F$2:$F$1879,MATCH(B422,COMPOSICIÓN!$D$2:$D$1879,0)),"")))</f>
        <v>m2</v>
      </c>
      <c r="F422" s="161">
        <f>SUMIFS(_PLAN_STG!$P$2:$P$1879,_PLAN_STG!$D$2:$D$1879,B422,_PLAN_STG!$B$2:$B$1879,"MO",_PLAN_STG!$O$2:$O$1879,1)</f>
        <v>0</v>
      </c>
      <c r="G422" s="162">
        <f>IFERROR(IF(D422="MO/ALB",VLOOKUP(B422,MANO_DE_OBRA!$A:$C,3,FALSE()),VLOOKUP(B422,SUBCONTRATOS_PRY!$A:$D,4,FALSE())),IFERROR(INDEX(COMPOSICIÓN!$I$2:$I$1879,MATCH(B422,COMPOSICIÓN!$D$2:$D$1879,0)),0))</f>
        <v>9614.97935162053</v>
      </c>
      <c r="H422" s="163">
        <f>SUMIFS(_PLAN_STG!$Q$2:$Q$1879,_PLAN_STG!$D$2:$D$1879,B422,_PLAN_STG!$B$2:$B$1879,"MO",_PLAN_STG!$O$2:$O$1879,1)</f>
        <v>0</v>
      </c>
      <c r="I422" s="226">
        <f>SUMPRODUCT((_PLAN_STG!$D$2:$D$1879=B422)*(_PLAN_STG!$B$2:$B$1879="MO")*(_PLAN_STG!$O$2:$O$1879=1)*(_PLAN_STG!$P$2:$P$1879&gt;0))</f>
        <v>0</v>
      </c>
      <c r="J422" s="224" t="str">
        <f>IF(D422="MO/ALB",IFERROR(VLOOKUP(B422,MANO_DE_OBRA!$A:$F,6,FALSE()),""),IF(D422="MO/OTR",IFERROR(VLOOKUP(B422,SUBCONTRATOS_PRY!$A:$E,5,FALSE()),""),""))</f>
        <v>Revestimientos y yesos</v>
      </c>
    </row>
    <row r="423" spans="1:10" x14ac:dyDescent="0.35">
      <c r="A423" s="222" t="str">
        <f t="shared" si="7"/>
        <v/>
      </c>
      <c r="B423" s="223" t="s">
        <v>2300</v>
      </c>
      <c r="C423" s="224" t="str">
        <f>IFERROR(IF(D423="MO/ALB",VLOOKUP(B423,MANO_DE_OBRA!$A:$B,2,FALSE()),VLOOKUP(B423,SUBCONTRATOS_PRY!$A:$B,2,FALSE())),IFERROR(INDEX(COMPOSICIÓN!$E$2:$E$1879,MATCH(B423,COMPOSICIÓN!$D$2:$D$1879,0)),""))</f>
        <v>MO Revestimiento tipo Tarquini a mas de 3 m de altura [SUBCONTRATOS]</v>
      </c>
      <c r="D423" s="225" t="s">
        <v>2837</v>
      </c>
      <c r="E423" s="225" t="str">
        <f>IF(D423="MO/ALB","jornal",IFERROR(VLOOKUP(B423,SUBCONTRATOS_PRY!$A:$C,3,FALSE()),IFERROR(INDEX(COMPOSICIÓN!$F$2:$F$1879,MATCH(B423,COMPOSICIÓN!$D$2:$D$1879,0)),"")))</f>
        <v>m2</v>
      </c>
      <c r="F423" s="161">
        <f>SUMIFS(_PLAN_STG!$P$2:$P$1879,_PLAN_STG!$D$2:$D$1879,B423,_PLAN_STG!$B$2:$B$1879,"MO",_PLAN_STG!$O$2:$O$1879,1)</f>
        <v>0</v>
      </c>
      <c r="G423" s="162">
        <f>IFERROR(IF(D423="MO/ALB",VLOOKUP(B423,MANO_DE_OBRA!$A:$C,3,FALSE()),VLOOKUP(B423,SUBCONTRATOS_PRY!$A:$D,4,FALSE())),IFERROR(INDEX(COMPOSICIÓN!$I$2:$I$1879,MATCH(B423,COMPOSICIÓN!$D$2:$D$1879,0)),0))</f>
        <v>13460.971092268701</v>
      </c>
      <c r="H423" s="163">
        <f>SUMIFS(_PLAN_STG!$Q$2:$Q$1879,_PLAN_STG!$D$2:$D$1879,B423,_PLAN_STG!$B$2:$B$1879,"MO",_PLAN_STG!$O$2:$O$1879,1)</f>
        <v>0</v>
      </c>
      <c r="I423" s="226">
        <f>SUMPRODUCT((_PLAN_STG!$D$2:$D$1879=B423)*(_PLAN_STG!$B$2:$B$1879="MO")*(_PLAN_STG!$O$2:$O$1879=1)*(_PLAN_STG!$P$2:$P$1879&gt;0))</f>
        <v>0</v>
      </c>
      <c r="J423" s="224" t="str">
        <f>IF(D423="MO/ALB",IFERROR(VLOOKUP(B423,MANO_DE_OBRA!$A:$F,6,FALSE()),""),IF(D423="MO/OTR",IFERROR(VLOOKUP(B423,SUBCONTRATOS_PRY!$A:$E,5,FALSE()),""),""))</f>
        <v>Revestimientos y yesos</v>
      </c>
    </row>
    <row r="424" spans="1:10" x14ac:dyDescent="0.35">
      <c r="A424" s="222" t="s">
        <v>2838</v>
      </c>
      <c r="B424" s="223" t="s">
        <v>2302</v>
      </c>
      <c r="C424" s="224" t="str">
        <f>IFERROR(IF(D424="MO/ALB",VLOOKUP(B424,MANO_DE_OBRA!$A:$B,2,FALSE()),VLOOKUP(B424,SUBCONTRATOS_PRY!$A:$B,2,FALSE())),IFERROR(INDEX(COMPOSICIÓN!$E$2:$E$1879,MATCH(B424,COMPOSICIÓN!$D$2:$D$1879,0)),""))</f>
        <v>Esmalte sintetico</v>
      </c>
      <c r="D424" s="225" t="s">
        <v>2837</v>
      </c>
      <c r="E424" s="225" t="str">
        <f>IF(D424="MO/ALB","jornal",IFERROR(VLOOKUP(B424,SUBCONTRATOS_PRY!$A:$C,3,FALSE()),IFERROR(INDEX(COMPOSICIÓN!$F$2:$F$1879,MATCH(B424,COMPOSICIÓN!$D$2:$D$1879,0)),"")))</f>
        <v>m2</v>
      </c>
      <c r="F424" s="161">
        <f>SUMIFS(_PLAN_STG!$P$2:$P$1879,_PLAN_STG!$D$2:$D$1879,B424,_PLAN_STG!$B$2:$B$1879,"MO",_PLAN_STG!$O$2:$O$1879,1)</f>
        <v>0</v>
      </c>
      <c r="G424" s="162">
        <f>IFERROR(IF(D424="MO/ALB",VLOOKUP(B424,MANO_DE_OBRA!$A:$C,3,FALSE()),VLOOKUP(B424,SUBCONTRATOS_PRY!$A:$D,4,FALSE())),IFERROR(INDEX(COMPOSICIÓN!$I$2:$I$1879,MATCH(B424,COMPOSICIÓN!$D$2:$D$1879,0)),0))</f>
        <v>10981.3720244489</v>
      </c>
      <c r="H424" s="163">
        <f>SUMIFS(_PLAN_STG!$Q$2:$Q$1879,_PLAN_STG!$D$2:$D$1879,B424,_PLAN_STG!$B$2:$B$1879,"MO",_PLAN_STG!$O$2:$O$1879,1)</f>
        <v>0</v>
      </c>
      <c r="I424" s="226">
        <f>SUMPRODUCT((_PLAN_STG!$D$2:$D$1879=B424)*(_PLAN_STG!$B$2:$B$1879="MO")*(_PLAN_STG!$O$2:$O$1879=1)*(_PLAN_STG!$P$2:$P$1879&gt;0))</f>
        <v>0</v>
      </c>
      <c r="J424" s="224" t="str">
        <f>IF(D424="MO/ALB",IFERROR(VLOOKUP(B424,MANO_DE_OBRA!$A:$F,6,FALSE()),""),IF(D424="MO/OTR",IFERROR(VLOOKUP(B424,SUBCONTRATOS_PRY!$A:$E,5,FALSE()),""),""))</f>
        <v>Pinturas</v>
      </c>
    </row>
    <row r="425" spans="1:10" x14ac:dyDescent="0.35">
      <c r="A425" s="222" t="str">
        <f t="shared" ref="A425:A456" si="8">IF(H425=0,"",ROW()-369+1)</f>
        <v/>
      </c>
      <c r="B425" s="223" t="s">
        <v>2304</v>
      </c>
      <c r="C425" s="224" t="str">
        <f>IFERROR(IF(D425="MO/ALB",VLOOKUP(B425,MANO_DE_OBRA!$A:$B,2,FALSE()),VLOOKUP(B425,SUBCONTRATOS_PRY!$A:$B,2,FALSE())),IFERROR(INDEX(COMPOSICIÓN!$E$2:$E$1879,MATCH(B425,COMPOSICIÓN!$D$2:$D$1879,0)),""))</f>
        <v>MO Esmalte sintético sobre carpintería metálica</v>
      </c>
      <c r="D425" s="225" t="s">
        <v>2837</v>
      </c>
      <c r="E425" s="225" t="str">
        <f>IF(D425="MO/ALB","jornal",IFERROR(VLOOKUP(B425,SUBCONTRATOS_PRY!$A:$C,3,FALSE()),IFERROR(INDEX(COMPOSICIÓN!$F$2:$F$1879,MATCH(B425,COMPOSICIÓN!$D$2:$D$1879,0)),"")))</f>
        <v>m2</v>
      </c>
      <c r="F425" s="161">
        <f>SUMIFS(_PLAN_STG!$P$2:$P$1879,_PLAN_STG!$D$2:$D$1879,B425,_PLAN_STG!$B$2:$B$1879,"MO",_PLAN_STG!$O$2:$O$1879,1)</f>
        <v>0</v>
      </c>
      <c r="G425" s="162">
        <f>IFERROR(IF(D425="MO/ALB",VLOOKUP(B425,MANO_DE_OBRA!$A:$C,3,FALSE()),VLOOKUP(B425,SUBCONTRATOS_PRY!$A:$D,4,FALSE())),IFERROR(INDEX(COMPOSICIÓN!$I$2:$I$1879,MATCH(B425,COMPOSICIÓN!$D$2:$D$1879,0)),0))</f>
        <v>10981.3720244489</v>
      </c>
      <c r="H425" s="163">
        <f>SUMIFS(_PLAN_STG!$Q$2:$Q$1879,_PLAN_STG!$D$2:$D$1879,B425,_PLAN_STG!$B$2:$B$1879,"MO",_PLAN_STG!$O$2:$O$1879,1)</f>
        <v>0</v>
      </c>
      <c r="I425" s="226">
        <f>SUMPRODUCT((_PLAN_STG!$D$2:$D$1879=B425)*(_PLAN_STG!$B$2:$B$1879="MO")*(_PLAN_STG!$O$2:$O$1879=1)*(_PLAN_STG!$P$2:$P$1879&gt;0))</f>
        <v>0</v>
      </c>
      <c r="J425" s="224" t="str">
        <f>IF(D425="MO/ALB",IFERROR(VLOOKUP(B425,MANO_DE_OBRA!$A:$F,6,FALSE()),""),IF(D425="MO/OTR",IFERROR(VLOOKUP(B425,SUBCONTRATOS_PRY!$A:$E,5,FALSE()),""),""))</f>
        <v>Pinturas</v>
      </c>
    </row>
    <row r="426" spans="1:10" x14ac:dyDescent="0.35">
      <c r="A426" s="222" t="str">
        <f t="shared" si="8"/>
        <v/>
      </c>
      <c r="B426" s="223" t="s">
        <v>2315</v>
      </c>
      <c r="C426" s="224" t="str">
        <f>IFERROR(IF(D426="MO/ALB",VLOOKUP(B426,MANO_DE_OBRA!$A:$B,2,FALSE()),VLOOKUP(B426,SUBCONTRATOS_PRY!$A:$B,2,FALSE())),IFERROR(INDEX(COMPOSICIÓN!$E$2:$E$1879,MATCH(B426,COMPOSICIÓN!$D$2:$D$1879,0)),""))</f>
        <v>MO Colocación de sensor de movimiento - Provisión a cargo del comitente [SUBCONTRATOS]</v>
      </c>
      <c r="D426" s="225" t="s">
        <v>2837</v>
      </c>
      <c r="E426" s="225" t="str">
        <f>IF(D426="MO/ALB","jornal",IFERROR(VLOOKUP(B426,SUBCONTRATOS_PRY!$A:$C,3,FALSE()),IFERROR(INDEX(COMPOSICIÓN!$F$2:$F$1879,MATCH(B426,COMPOSICIÓN!$D$2:$D$1879,0)),"")))</f>
        <v>u</v>
      </c>
      <c r="F426" s="161">
        <f>SUMIFS(_PLAN_STG!$P$2:$P$1879,_PLAN_STG!$D$2:$D$1879,B426,_PLAN_STG!$B$2:$B$1879,"MO",_PLAN_STG!$O$2:$O$1879,1)</f>
        <v>0</v>
      </c>
      <c r="G426" s="162">
        <f>IFERROR(IF(D426="MO/ALB",VLOOKUP(B426,MANO_DE_OBRA!$A:$C,3,FALSE()),VLOOKUP(B426,SUBCONTRATOS_PRY!$A:$D,4,FALSE())),IFERROR(INDEX(COMPOSICIÓN!$I$2:$I$1879,MATCH(B426,COMPOSICIÓN!$D$2:$D$1879,0)),0))</f>
        <v>11816</v>
      </c>
      <c r="H426" s="163">
        <f>SUMIFS(_PLAN_STG!$Q$2:$Q$1879,_PLAN_STG!$D$2:$D$1879,B426,_PLAN_STG!$B$2:$B$1879,"MO",_PLAN_STG!$O$2:$O$1879,1)</f>
        <v>0</v>
      </c>
      <c r="I426" s="226">
        <f>SUMPRODUCT((_PLAN_STG!$D$2:$D$1879=B426)*(_PLAN_STG!$B$2:$B$1879="MO")*(_PLAN_STG!$O$2:$O$1879=1)*(_PLAN_STG!$P$2:$P$1879&gt;0))</f>
        <v>0</v>
      </c>
      <c r="J426" s="224" t="str">
        <f>IF(D426="MO/ALB",IFERROR(VLOOKUP(B426,MANO_DE_OBRA!$A:$F,6,FALSE()),""),IF(D426="MO/OTR",IFERROR(VLOOKUP(B426,SUBCONTRATOS_PRY!$A:$E,5,FALSE()),""),""))</f>
        <v>Electricidad — Instalación</v>
      </c>
    </row>
    <row r="427" spans="1:10" x14ac:dyDescent="0.35">
      <c r="A427" s="222" t="str">
        <f t="shared" si="8"/>
        <v/>
      </c>
      <c r="B427" s="223" t="s">
        <v>2317</v>
      </c>
      <c r="C427" s="224" t="str">
        <f>IFERROR(IF(D427="MO/ALB",VLOOKUP(B427,MANO_DE_OBRA!$A:$B,2,FALSE()),VLOOKUP(B427,SUBCONTRATOS_PRY!$A:$B,2,FALSE())),IFERROR(INDEX(COMPOSICIÓN!$E$2:$E$1879,MATCH(B427,COMPOSICIÓN!$D$2:$D$1879,0)),""))</f>
        <v>MO Colocación de teclas simples y/o combinadas, pulsadores - Provisión a cargo del comitente [SUBCONTRATOS]</v>
      </c>
      <c r="D427" s="225" t="s">
        <v>2837</v>
      </c>
      <c r="E427" s="225" t="str">
        <f>IF(D427="MO/ALB","jornal",IFERROR(VLOOKUP(B427,SUBCONTRATOS_PRY!$A:$C,3,FALSE()),IFERROR(INDEX(COMPOSICIÓN!$F$2:$F$1879,MATCH(B427,COMPOSICIÓN!$D$2:$D$1879,0)),"")))</f>
        <v>u</v>
      </c>
      <c r="F427" s="161">
        <f>SUMIFS(_PLAN_STG!$P$2:$P$1879,_PLAN_STG!$D$2:$D$1879,B427,_PLAN_STG!$B$2:$B$1879,"MO",_PLAN_STG!$O$2:$O$1879,1)</f>
        <v>0</v>
      </c>
      <c r="G427" s="162">
        <f>IFERROR(IF(D427="MO/ALB",VLOOKUP(B427,MANO_DE_OBRA!$A:$C,3,FALSE()),VLOOKUP(B427,SUBCONTRATOS_PRY!$A:$D,4,FALSE())),IFERROR(INDEX(COMPOSICIÓN!$I$2:$I$1879,MATCH(B427,COMPOSICIÓN!$D$2:$D$1879,0)),0))</f>
        <v>7700</v>
      </c>
      <c r="H427" s="163">
        <f>SUMIFS(_PLAN_STG!$Q$2:$Q$1879,_PLAN_STG!$D$2:$D$1879,B427,_PLAN_STG!$B$2:$B$1879,"MO",_PLAN_STG!$O$2:$O$1879,1)</f>
        <v>0</v>
      </c>
      <c r="I427" s="226">
        <f>SUMPRODUCT((_PLAN_STG!$D$2:$D$1879=B427)*(_PLAN_STG!$B$2:$B$1879="MO")*(_PLAN_STG!$O$2:$O$1879=1)*(_PLAN_STG!$P$2:$P$1879&gt;0))</f>
        <v>0</v>
      </c>
      <c r="J427" s="224" t="str">
        <f>IF(D427="MO/ALB",IFERROR(VLOOKUP(B427,MANO_DE_OBRA!$A:$F,6,FALSE()),""),IF(D427="MO/OTR",IFERROR(VLOOKUP(B427,SUBCONTRATOS_PRY!$A:$E,5,FALSE()),""),""))</f>
        <v>Electricidad — Instalación</v>
      </c>
    </row>
    <row r="428" spans="1:10" x14ac:dyDescent="0.35">
      <c r="A428" s="222" t="str">
        <f t="shared" si="8"/>
        <v/>
      </c>
      <c r="B428" s="223" t="s">
        <v>2319</v>
      </c>
      <c r="C428" s="224" t="str">
        <f>IFERROR(IF(D428="MO/ALB",VLOOKUP(B428,MANO_DE_OBRA!$A:$B,2,FALSE()),VLOOKUP(B428,SUBCONTRATOS_PRY!$A:$B,2,FALSE())),IFERROR(INDEX(COMPOSICIÓN!$E$2:$E$1879,MATCH(B428,COMPOSICIÓN!$D$2:$D$1879,0)),""))</f>
        <v>MO Colocación de tomas simples/dobles/encapsulados - Provisión a cargo del comitente [SUBCONTRATOS]</v>
      </c>
      <c r="D428" s="225" t="s">
        <v>2837</v>
      </c>
      <c r="E428" s="225" t="str">
        <f>IF(D428="MO/ALB","jornal",IFERROR(VLOOKUP(B428,SUBCONTRATOS_PRY!$A:$C,3,FALSE()),IFERROR(INDEX(COMPOSICIÓN!$F$2:$F$1879,MATCH(B428,COMPOSICIÓN!$D$2:$D$1879,0)),"")))</f>
        <v>u</v>
      </c>
      <c r="F428" s="161">
        <f>SUMIFS(_PLAN_STG!$P$2:$P$1879,_PLAN_STG!$D$2:$D$1879,B428,_PLAN_STG!$B$2:$B$1879,"MO",_PLAN_STG!$O$2:$O$1879,1)</f>
        <v>0</v>
      </c>
      <c r="G428" s="162">
        <f>IFERROR(IF(D428="MO/ALB",VLOOKUP(B428,MANO_DE_OBRA!$A:$C,3,FALSE()),VLOOKUP(B428,SUBCONTRATOS_PRY!$A:$D,4,FALSE())),IFERROR(INDEX(COMPOSICIÓN!$I$2:$I$1879,MATCH(B428,COMPOSICIÓN!$D$2:$D$1879,0)),0))</f>
        <v>7700</v>
      </c>
      <c r="H428" s="163">
        <f>SUMIFS(_PLAN_STG!$Q$2:$Q$1879,_PLAN_STG!$D$2:$D$1879,B428,_PLAN_STG!$B$2:$B$1879,"MO",_PLAN_STG!$O$2:$O$1879,1)</f>
        <v>0</v>
      </c>
      <c r="I428" s="226">
        <f>SUMPRODUCT((_PLAN_STG!$D$2:$D$1879=B428)*(_PLAN_STG!$B$2:$B$1879="MO")*(_PLAN_STG!$O$2:$O$1879=1)*(_PLAN_STG!$P$2:$P$1879&gt;0))</f>
        <v>0</v>
      </c>
      <c r="J428" s="224" t="str">
        <f>IF(D428="MO/ALB",IFERROR(VLOOKUP(B428,MANO_DE_OBRA!$A:$F,6,FALSE()),""),IF(D428="MO/OTR",IFERROR(VLOOKUP(B428,SUBCONTRATOS_PRY!$A:$E,5,FALSE()),""),""))</f>
        <v>Electricidad — Instalación</v>
      </c>
    </row>
    <row r="429" spans="1:10" x14ac:dyDescent="0.35">
      <c r="A429" s="222" t="str">
        <f t="shared" si="8"/>
        <v/>
      </c>
      <c r="B429" s="223" t="s">
        <v>2321</v>
      </c>
      <c r="C429" s="224" t="str">
        <f>IFERROR(IF(D429="MO/ALB",VLOOKUP(B429,MANO_DE_OBRA!$A:$B,2,FALSE()),VLOOKUP(B429,SUBCONTRATOS_PRY!$A:$B,2,FALSE())),IFERROR(INDEX(COMPOSICIÓN!$E$2:$E$1879,MATCH(B429,COMPOSICIÓN!$D$2:$D$1879,0)),""))</f>
        <v>MO Colocación de campanilla/zumbadores - Provisión a cargo del comitente [SUBCONTRATOS]</v>
      </c>
      <c r="D429" s="225" t="s">
        <v>2837</v>
      </c>
      <c r="E429" s="225" t="str">
        <f>IF(D429="MO/ALB","jornal",IFERROR(VLOOKUP(B429,SUBCONTRATOS_PRY!$A:$C,3,FALSE()),IFERROR(INDEX(COMPOSICIÓN!$F$2:$F$1879,MATCH(B429,COMPOSICIÓN!$D$2:$D$1879,0)),"")))</f>
        <v>u</v>
      </c>
      <c r="F429" s="161">
        <f>SUMIFS(_PLAN_STG!$P$2:$P$1879,_PLAN_STG!$D$2:$D$1879,B429,_PLAN_STG!$B$2:$B$1879,"MO",_PLAN_STG!$O$2:$O$1879,1)</f>
        <v>0</v>
      </c>
      <c r="G429" s="162">
        <f>IFERROR(IF(D429="MO/ALB",VLOOKUP(B429,MANO_DE_OBRA!$A:$C,3,FALSE()),VLOOKUP(B429,SUBCONTRATOS_PRY!$A:$D,4,FALSE())),IFERROR(INDEX(COMPOSICIÓN!$I$2:$I$1879,MATCH(B429,COMPOSICIÓN!$D$2:$D$1879,0)),0))</f>
        <v>18760</v>
      </c>
      <c r="H429" s="163">
        <f>SUMIFS(_PLAN_STG!$Q$2:$Q$1879,_PLAN_STG!$D$2:$D$1879,B429,_PLAN_STG!$B$2:$B$1879,"MO",_PLAN_STG!$O$2:$O$1879,1)</f>
        <v>0</v>
      </c>
      <c r="I429" s="226">
        <f>SUMPRODUCT((_PLAN_STG!$D$2:$D$1879=B429)*(_PLAN_STG!$B$2:$B$1879="MO")*(_PLAN_STG!$O$2:$O$1879=1)*(_PLAN_STG!$P$2:$P$1879&gt;0))</f>
        <v>0</v>
      </c>
      <c r="J429" s="224" t="str">
        <f>IF(D429="MO/ALB",IFERROR(VLOOKUP(B429,MANO_DE_OBRA!$A:$F,6,FALSE()),""),IF(D429="MO/OTR",IFERROR(VLOOKUP(B429,SUBCONTRATOS_PRY!$A:$E,5,FALSE()),""),""))</f>
        <v>Electricidad — Instalación</v>
      </c>
    </row>
    <row r="430" spans="1:10" x14ac:dyDescent="0.35">
      <c r="A430" s="222" t="str">
        <f t="shared" si="8"/>
        <v/>
      </c>
      <c r="B430" s="223" t="s">
        <v>2323</v>
      </c>
      <c r="C430" s="224" t="str">
        <f>IFERROR(IF(D430="MO/ALB",VLOOKUP(B430,MANO_DE_OBRA!$A:$B,2,FALSE()),VLOOKUP(B430,SUBCONTRATOS_PRY!$A:$B,2,FALSE())),IFERROR(INDEX(COMPOSICIÓN!$E$2:$E$1879,MATCH(B430,COMPOSICIÓN!$D$2:$D$1879,0)),""))</f>
        <v>MO Colocación de extractor de baño - Provisión a cargo del comitente [SUBCONTRATOS]</v>
      </c>
      <c r="D430" s="225" t="s">
        <v>2837</v>
      </c>
      <c r="E430" s="225" t="str">
        <f>IF(D430="MO/ALB","jornal",IFERROR(VLOOKUP(B430,SUBCONTRATOS_PRY!$A:$C,3,FALSE()),IFERROR(INDEX(COMPOSICIÓN!$F$2:$F$1879,MATCH(B430,COMPOSICIÓN!$D$2:$D$1879,0)),"")))</f>
        <v>u</v>
      </c>
      <c r="F430" s="161">
        <f>SUMIFS(_PLAN_STG!$P$2:$P$1879,_PLAN_STG!$D$2:$D$1879,B430,_PLAN_STG!$B$2:$B$1879,"MO",_PLAN_STG!$O$2:$O$1879,1)</f>
        <v>0</v>
      </c>
      <c r="G430" s="162">
        <f>IFERROR(IF(D430="MO/ALB",VLOOKUP(B430,MANO_DE_OBRA!$A:$C,3,FALSE()),VLOOKUP(B430,SUBCONTRATOS_PRY!$A:$D,4,FALSE())),IFERROR(INDEX(COMPOSICIÓN!$I$2:$I$1879,MATCH(B430,COMPOSICIÓN!$D$2:$D$1879,0)),0))</f>
        <v>68810</v>
      </c>
      <c r="H430" s="163">
        <f>SUMIFS(_PLAN_STG!$Q$2:$Q$1879,_PLAN_STG!$D$2:$D$1879,B430,_PLAN_STG!$B$2:$B$1879,"MO",_PLAN_STG!$O$2:$O$1879,1)</f>
        <v>0</v>
      </c>
      <c r="I430" s="226">
        <f>SUMPRODUCT((_PLAN_STG!$D$2:$D$1879=B430)*(_PLAN_STG!$B$2:$B$1879="MO")*(_PLAN_STG!$O$2:$O$1879=1)*(_PLAN_STG!$P$2:$P$1879&gt;0))</f>
        <v>0</v>
      </c>
      <c r="J430" s="224" t="str">
        <f>IF(D430="MO/ALB",IFERROR(VLOOKUP(B430,MANO_DE_OBRA!$A:$F,6,FALSE()),""),IF(D430="MO/OTR",IFERROR(VLOOKUP(B430,SUBCONTRATOS_PRY!$A:$E,5,FALSE()),""),""))</f>
        <v>Electricidad — Instalación</v>
      </c>
    </row>
    <row r="431" spans="1:10" x14ac:dyDescent="0.35">
      <c r="A431" s="222" t="str">
        <f t="shared" si="8"/>
        <v/>
      </c>
      <c r="B431" s="223" t="s">
        <v>2325</v>
      </c>
      <c r="C431" s="224" t="str">
        <f>IFERROR(IF(D431="MO/ALB",VLOOKUP(B431,MANO_DE_OBRA!$A:$B,2,FALSE()),VLOOKUP(B431,SUBCONTRATOS_PRY!$A:$B,2,FALSE())),IFERROR(INDEX(COMPOSICIÓN!$E$2:$E$1879,MATCH(B431,COMPOSICIÓN!$D$2:$D$1879,0)),""))</f>
        <v>MO Colocación de luz de emergencia - Provisión a cargo del comitente [SUBCONTRATOS]</v>
      </c>
      <c r="D431" s="225" t="s">
        <v>2837</v>
      </c>
      <c r="E431" s="225" t="str">
        <f>IF(D431="MO/ALB","jornal",IFERROR(VLOOKUP(B431,SUBCONTRATOS_PRY!$A:$C,3,FALSE()),IFERROR(INDEX(COMPOSICIÓN!$F$2:$F$1879,MATCH(B431,COMPOSICIÓN!$D$2:$D$1879,0)),"")))</f>
        <v>u</v>
      </c>
      <c r="F431" s="161">
        <f>SUMIFS(_PLAN_STG!$P$2:$P$1879,_PLAN_STG!$D$2:$D$1879,B431,_PLAN_STG!$B$2:$B$1879,"MO",_PLAN_STG!$O$2:$O$1879,1)</f>
        <v>0</v>
      </c>
      <c r="G431" s="162">
        <f>IFERROR(IF(D431="MO/ALB",VLOOKUP(B431,MANO_DE_OBRA!$A:$C,3,FALSE()),VLOOKUP(B431,SUBCONTRATOS_PRY!$A:$D,4,FALSE())),IFERROR(INDEX(COMPOSICIÓN!$I$2:$I$1879,MATCH(B431,COMPOSICIÓN!$D$2:$D$1879,0)),0))</f>
        <v>18760</v>
      </c>
      <c r="H431" s="163">
        <f>SUMIFS(_PLAN_STG!$Q$2:$Q$1879,_PLAN_STG!$D$2:$D$1879,B431,_PLAN_STG!$B$2:$B$1879,"MO",_PLAN_STG!$O$2:$O$1879,1)</f>
        <v>0</v>
      </c>
      <c r="I431" s="226">
        <f>SUMPRODUCT((_PLAN_STG!$D$2:$D$1879=B431)*(_PLAN_STG!$B$2:$B$1879="MO")*(_PLAN_STG!$O$2:$O$1879=1)*(_PLAN_STG!$P$2:$P$1879&gt;0))</f>
        <v>0</v>
      </c>
      <c r="J431" s="224" t="str">
        <f>IF(D431="MO/ALB",IFERROR(VLOOKUP(B431,MANO_DE_OBRA!$A:$F,6,FALSE()),""),IF(D431="MO/OTR",IFERROR(VLOOKUP(B431,SUBCONTRATOS_PRY!$A:$E,5,FALSE()),""),""))</f>
        <v>Electricidad — Instalación</v>
      </c>
    </row>
    <row r="432" spans="1:10" x14ac:dyDescent="0.35">
      <c r="A432" s="222" t="str">
        <f t="shared" si="8"/>
        <v/>
      </c>
      <c r="B432" s="223" t="s">
        <v>2327</v>
      </c>
      <c r="C432" s="224" t="str">
        <f>IFERROR(IF(D432="MO/ALB",VLOOKUP(B432,MANO_DE_OBRA!$A:$B,2,FALSE()),VLOOKUP(B432,SUBCONTRATOS_PRY!$A:$B,2,FALSE())),IFERROR(INDEX(COMPOSICIÓN!$E$2:$E$1879,MATCH(B432,COMPOSICIÓN!$D$2:$D$1879,0)),""))</f>
        <v>MO Colocación de semáforo - Provisión a cargo del comitente [SUBCONTRATOS]</v>
      </c>
      <c r="D432" s="225" t="s">
        <v>2837</v>
      </c>
      <c r="E432" s="225" t="str">
        <f>IF(D432="MO/ALB","jornal",IFERROR(VLOOKUP(B432,SUBCONTRATOS_PRY!$A:$C,3,FALSE()),IFERROR(INDEX(COMPOSICIÓN!$F$2:$F$1879,MATCH(B432,COMPOSICIÓN!$D$2:$D$1879,0)),"")))</f>
        <v>u</v>
      </c>
      <c r="F432" s="161">
        <f>SUMIFS(_PLAN_STG!$P$2:$P$1879,_PLAN_STG!$D$2:$D$1879,B432,_PLAN_STG!$B$2:$B$1879,"MO",_PLAN_STG!$O$2:$O$1879,1)</f>
        <v>0</v>
      </c>
      <c r="G432" s="162">
        <f>IFERROR(IF(D432="MO/ALB",VLOOKUP(B432,MANO_DE_OBRA!$A:$C,3,FALSE()),VLOOKUP(B432,SUBCONTRATOS_PRY!$A:$D,4,FALSE())),IFERROR(INDEX(COMPOSICIÓN!$I$2:$I$1879,MATCH(B432,COMPOSICIÓN!$D$2:$D$1879,0)),0))</f>
        <v>18760</v>
      </c>
      <c r="H432" s="163">
        <f>SUMIFS(_PLAN_STG!$Q$2:$Q$1879,_PLAN_STG!$D$2:$D$1879,B432,_PLAN_STG!$B$2:$B$1879,"MO",_PLAN_STG!$O$2:$O$1879,1)</f>
        <v>0</v>
      </c>
      <c r="I432" s="226">
        <f>SUMPRODUCT((_PLAN_STG!$D$2:$D$1879=B432)*(_PLAN_STG!$B$2:$B$1879="MO")*(_PLAN_STG!$O$2:$O$1879=1)*(_PLAN_STG!$P$2:$P$1879&gt;0))</f>
        <v>0</v>
      </c>
      <c r="J432" s="224" t="str">
        <f>IF(D432="MO/ALB",IFERROR(VLOOKUP(B432,MANO_DE_OBRA!$A:$F,6,FALSE()),""),IF(D432="MO/OTR",IFERROR(VLOOKUP(B432,SUBCONTRATOS_PRY!$A:$E,5,FALSE()),""),""))</f>
        <v>Electricidad — Instalación</v>
      </c>
    </row>
    <row r="433" spans="1:10" x14ac:dyDescent="0.35">
      <c r="A433" s="222" t="str">
        <f t="shared" si="8"/>
        <v/>
      </c>
      <c r="B433" s="223" t="s">
        <v>2329</v>
      </c>
      <c r="C433" s="224" t="str">
        <f>IFERROR(IF(D433="MO/ALB",VLOOKUP(B433,MANO_DE_OBRA!$A:$B,2,FALSE()),VLOOKUP(B433,SUBCONTRATOS_PRY!$A:$B,2,FALSE())),IFERROR(INDEX(COMPOSICIÓN!$E$2:$E$1879,MATCH(B433,COMPOSICIÓN!$D$2:$D$1879,0)),""))</f>
        <v>MO Colocación artefactos en espacios comunes y balcones - Provisión a cargo del comitente. NO incluye provisión, ni colocación de artefactos en interior de UF [SUBCONTRATOS]</v>
      </c>
      <c r="D433" s="225" t="s">
        <v>2837</v>
      </c>
      <c r="E433" s="225" t="str">
        <f>IF(D433="MO/ALB","jornal",IFERROR(VLOOKUP(B433,SUBCONTRATOS_PRY!$A:$C,3,FALSE()),IFERROR(INDEX(COMPOSICIÓN!$F$2:$F$1879,MATCH(B433,COMPOSICIÓN!$D$2:$D$1879,0)),"")))</f>
        <v>u</v>
      </c>
      <c r="F433" s="161">
        <f>SUMIFS(_PLAN_STG!$P$2:$P$1879,_PLAN_STG!$D$2:$D$1879,B433,_PLAN_STG!$B$2:$B$1879,"MO",_PLAN_STG!$O$2:$O$1879,1)</f>
        <v>0</v>
      </c>
      <c r="G433" s="162">
        <f>IFERROR(IF(D433="MO/ALB",VLOOKUP(B433,MANO_DE_OBRA!$A:$C,3,FALSE()),VLOOKUP(B433,SUBCONTRATOS_PRY!$A:$D,4,FALSE())),IFERROR(INDEX(COMPOSICIÓN!$I$2:$I$1879,MATCH(B433,COMPOSICIÓN!$D$2:$D$1879,0)),0))</f>
        <v>11816</v>
      </c>
      <c r="H433" s="163">
        <f>SUMIFS(_PLAN_STG!$Q$2:$Q$1879,_PLAN_STG!$D$2:$D$1879,B433,_PLAN_STG!$B$2:$B$1879,"MO",_PLAN_STG!$O$2:$O$1879,1)</f>
        <v>0</v>
      </c>
      <c r="I433" s="226">
        <f>SUMPRODUCT((_PLAN_STG!$D$2:$D$1879=B433)*(_PLAN_STG!$B$2:$B$1879="MO")*(_PLAN_STG!$O$2:$O$1879=1)*(_PLAN_STG!$P$2:$P$1879&gt;0))</f>
        <v>0</v>
      </c>
      <c r="J433" s="224" t="str">
        <f>IF(D433="MO/ALB",IFERROR(VLOOKUP(B433,MANO_DE_OBRA!$A:$F,6,FALSE()),""),IF(D433="MO/OTR",IFERROR(VLOOKUP(B433,SUBCONTRATOS_PRY!$A:$E,5,FALSE()),""),""))</f>
        <v>Electricidad — Instalación</v>
      </c>
    </row>
    <row r="434" spans="1:10" x14ac:dyDescent="0.35">
      <c r="A434" s="222" t="str">
        <f t="shared" si="8"/>
        <v/>
      </c>
      <c r="B434" s="223" t="s">
        <v>2331</v>
      </c>
      <c r="C434" s="224" t="str">
        <f>IFERROR(IF(D434="MO/ALB",VLOOKUP(B434,MANO_DE_OBRA!$A:$B,2,FALSE()),VLOOKUP(B434,SUBCONTRATOS_PRY!$A:$B,2,FALSE())),IFERROR(INDEX(COMPOSICIÓN!$E$2:$E$1879,MATCH(B434,COMPOSICIÓN!$D$2:$D$1879,0)),""))</f>
        <v xml:space="preserve">Gabinete columna 4 modulos trifasico Edesur </v>
      </c>
      <c r="D434" s="225" t="s">
        <v>2837</v>
      </c>
      <c r="E434" s="225" t="str">
        <f>IF(D434="MO/ALB","jornal",IFERROR(VLOOKUP(B434,SUBCONTRATOS_PRY!$A:$C,3,FALSE()),IFERROR(INDEX(COMPOSICIÓN!$F$2:$F$1879,MATCH(B434,COMPOSICIÓN!$D$2:$D$1879,0)),"")))</f>
        <v>u</v>
      </c>
      <c r="F434" s="161">
        <f>SUMIFS(_PLAN_STG!$P$2:$P$1879,_PLAN_STG!$D$2:$D$1879,B434,_PLAN_STG!$B$2:$B$1879,"MO",_PLAN_STG!$O$2:$O$1879,1)</f>
        <v>0</v>
      </c>
      <c r="G434" s="162">
        <f>IFERROR(IF(D434="MO/ALB",VLOOKUP(B434,MANO_DE_OBRA!$A:$C,3,FALSE()),VLOOKUP(B434,SUBCONTRATOS_PRY!$A:$D,4,FALSE())),IFERROR(INDEX(COMPOSICIÓN!$I$2:$I$1879,MATCH(B434,COMPOSICIÓN!$D$2:$D$1879,0)),0))</f>
        <v>344928.5</v>
      </c>
      <c r="H434" s="163">
        <f>SUMIFS(_PLAN_STG!$Q$2:$Q$1879,_PLAN_STG!$D$2:$D$1879,B434,_PLAN_STG!$B$2:$B$1879,"MO",_PLAN_STG!$O$2:$O$1879,1)</f>
        <v>0</v>
      </c>
      <c r="I434" s="226">
        <f>SUMPRODUCT((_PLAN_STG!$D$2:$D$1879=B434)*(_PLAN_STG!$B$2:$B$1879="MO")*(_PLAN_STG!$O$2:$O$1879=1)*(_PLAN_STG!$P$2:$P$1879&gt;0))</f>
        <v>0</v>
      </c>
      <c r="J434" s="224" t="str">
        <f>IF(D434="MO/ALB",IFERROR(VLOOKUP(B434,MANO_DE_OBRA!$A:$F,6,FALSE()),""),IF(D434="MO/OTR",IFERROR(VLOOKUP(B434,SUBCONTRATOS_PRY!$A:$E,5,FALSE()),""),""))</f>
        <v>Electricidad — Instalación</v>
      </c>
    </row>
    <row r="435" spans="1:10" x14ac:dyDescent="0.35">
      <c r="A435" s="222" t="str">
        <f t="shared" si="8"/>
        <v/>
      </c>
      <c r="B435" s="223" t="s">
        <v>2334</v>
      </c>
      <c r="C435" s="224" t="str">
        <f>IFERROR(IF(D435="MO/ALB",VLOOKUP(B435,MANO_DE_OBRA!$A:$B,2,FALSE()),VLOOKUP(B435,SUBCONTRATOS_PRY!$A:$B,2,FALSE())),IFERROR(INDEX(COMPOSICIÓN!$E$2:$E$1879,MATCH(B435,COMPOSICIÓN!$D$2:$D$1879,0)),""))</f>
        <v xml:space="preserve">Gabinete columna 2 modulos trifasico Edesur </v>
      </c>
      <c r="D435" s="225" t="s">
        <v>2837</v>
      </c>
      <c r="E435" s="225" t="str">
        <f>IF(D435="MO/ALB","jornal",IFERROR(VLOOKUP(B435,SUBCONTRATOS_PRY!$A:$C,3,FALSE()),IFERROR(INDEX(COMPOSICIÓN!$F$2:$F$1879,MATCH(B435,COMPOSICIÓN!$D$2:$D$1879,0)),"")))</f>
        <v>u</v>
      </c>
      <c r="F435" s="161">
        <f>SUMIFS(_PLAN_STG!$P$2:$P$1879,_PLAN_STG!$D$2:$D$1879,B435,_PLAN_STG!$B$2:$B$1879,"MO",_PLAN_STG!$O$2:$O$1879,1)</f>
        <v>0</v>
      </c>
      <c r="G435" s="162">
        <f>IFERROR(IF(D435="MO/ALB",VLOOKUP(B435,MANO_DE_OBRA!$A:$C,3,FALSE()),VLOOKUP(B435,SUBCONTRATOS_PRY!$A:$D,4,FALSE())),IFERROR(INDEX(COMPOSICIÓN!$I$2:$I$1879,MATCH(B435,COMPOSICIÓN!$D$2:$D$1879,0)),0))</f>
        <v>92822.1</v>
      </c>
      <c r="H435" s="163">
        <f>SUMIFS(_PLAN_STG!$Q$2:$Q$1879,_PLAN_STG!$D$2:$D$1879,B435,_PLAN_STG!$B$2:$B$1879,"MO",_PLAN_STG!$O$2:$O$1879,1)</f>
        <v>0</v>
      </c>
      <c r="I435" s="226">
        <f>SUMPRODUCT((_PLAN_STG!$D$2:$D$1879=B435)*(_PLAN_STG!$B$2:$B$1879="MO")*(_PLAN_STG!$O$2:$O$1879=1)*(_PLAN_STG!$P$2:$P$1879&gt;0))</f>
        <v>0</v>
      </c>
      <c r="J435" s="224" t="str">
        <f>IF(D435="MO/ALB",IFERROR(VLOOKUP(B435,MANO_DE_OBRA!$A:$F,6,FALSE()),""),IF(D435="MO/OTR",IFERROR(VLOOKUP(B435,SUBCONTRATOS_PRY!$A:$E,5,FALSE()),""),""))</f>
        <v>Electricidad — Instalación</v>
      </c>
    </row>
    <row r="436" spans="1:10" x14ac:dyDescent="0.35">
      <c r="A436" s="222" t="str">
        <f t="shared" si="8"/>
        <v/>
      </c>
      <c r="B436" s="223" t="s">
        <v>2339</v>
      </c>
      <c r="C436" s="224" t="str">
        <f>IFERROR(IF(D436="MO/ALB",VLOOKUP(B436,MANO_DE_OBRA!$A:$B,2,FALSE()),VLOOKUP(B436,SUBCONTRATOS_PRY!$A:$B,2,FALSE())),IFERROR(INDEX(COMPOSICIÓN!$E$2:$E$1879,MATCH(B436,COMPOSICIÓN!$D$2:$D$1879,0)),""))</f>
        <v>MO Certificado DCI para servicios generales [SUBCONTRATOS]</v>
      </c>
      <c r="D436" s="225" t="s">
        <v>2837</v>
      </c>
      <c r="E436" s="225" t="str">
        <f>IF(D436="MO/ALB","jornal",IFERROR(VLOOKUP(B436,SUBCONTRATOS_PRY!$A:$C,3,FALSE()),IFERROR(INDEX(COMPOSICIÓN!$F$2:$F$1879,MATCH(B436,COMPOSICIÓN!$D$2:$D$1879,0)),"")))</f>
        <v>gl</v>
      </c>
      <c r="F436" s="161">
        <f>SUMIFS(_PLAN_STG!$P$2:$P$1879,_PLAN_STG!$D$2:$D$1879,B436,_PLAN_STG!$B$2:$B$1879,"MO",_PLAN_STG!$O$2:$O$1879,1)</f>
        <v>0</v>
      </c>
      <c r="G436" s="162">
        <f>IFERROR(IF(D436="MO/ALB",VLOOKUP(B436,MANO_DE_OBRA!$A:$C,3,FALSE()),VLOOKUP(B436,SUBCONTRATOS_PRY!$A:$D,4,FALSE())),IFERROR(INDEX(COMPOSICIÓN!$I$2:$I$1879,MATCH(B436,COMPOSICIÓN!$D$2:$D$1879,0)),0))</f>
        <v>107023.598877166</v>
      </c>
      <c r="H436" s="163">
        <f>SUMIFS(_PLAN_STG!$Q$2:$Q$1879,_PLAN_STG!$D$2:$D$1879,B436,_PLAN_STG!$B$2:$B$1879,"MO",_PLAN_STG!$O$2:$O$1879,1)</f>
        <v>0</v>
      </c>
      <c r="I436" s="226">
        <f>SUMPRODUCT((_PLAN_STG!$D$2:$D$1879=B436)*(_PLAN_STG!$B$2:$B$1879="MO")*(_PLAN_STG!$O$2:$O$1879=1)*(_PLAN_STG!$P$2:$P$1879&gt;0))</f>
        <v>0</v>
      </c>
      <c r="J436" s="224" t="str">
        <f>IF(D436="MO/ALB",IFERROR(VLOOKUP(B436,MANO_DE_OBRA!$A:$F,6,FALSE()),""),IF(D436="MO/OTR",IFERROR(VLOOKUP(B436,SUBCONTRATOS_PRY!$A:$E,5,FALSE()),""),""))</f>
        <v>Electricidad — Gestión</v>
      </c>
    </row>
    <row r="437" spans="1:10" x14ac:dyDescent="0.35">
      <c r="A437" s="222" t="str">
        <f t="shared" si="8"/>
        <v/>
      </c>
      <c r="B437" s="223" t="s">
        <v>2341</v>
      </c>
      <c r="C437" s="224" t="str">
        <f>IFERROR(IF(D437="MO/ALB",VLOOKUP(B437,MANO_DE_OBRA!$A:$B,2,FALSE()),VLOOKUP(B437,SUBCONTRATOS_PRY!$A:$B,2,FALSE())),IFERROR(INDEX(COMPOSICIÓN!$E$2:$E$1879,MATCH(B437,COMPOSICIÓN!$D$2:$D$1879,0)),""))</f>
        <v>MO Tendido caño cloacal en planta baja [CLOACAL]</v>
      </c>
      <c r="D437" s="225" t="s">
        <v>2837</v>
      </c>
      <c r="E437" s="225" t="str">
        <f>IF(D437="MO/ALB","jornal",IFERROR(VLOOKUP(B437,SUBCONTRATOS_PRY!$A:$C,3,FALSE()),IFERROR(INDEX(COMPOSICIÓN!$F$2:$F$1879,MATCH(B437,COMPOSICIÓN!$D$2:$D$1879,0)),"")))</f>
        <v>gl</v>
      </c>
      <c r="F437" s="161">
        <f>SUMIFS(_PLAN_STG!$P$2:$P$1879,_PLAN_STG!$D$2:$D$1879,B437,_PLAN_STG!$B$2:$B$1879,"MO",_PLAN_STG!$O$2:$O$1879,1)</f>
        <v>0</v>
      </c>
      <c r="G437" s="162">
        <f>IFERROR(IF(D437="MO/ALB",VLOOKUP(B437,MANO_DE_OBRA!$A:$C,3,FALSE()),VLOOKUP(B437,SUBCONTRATOS_PRY!$A:$D,4,FALSE())),IFERROR(INDEX(COMPOSICIÓN!$I$2:$I$1879,MATCH(B437,COMPOSICIÓN!$D$2:$D$1879,0)),0))</f>
        <v>2820732.3578660199</v>
      </c>
      <c r="H437" s="163">
        <f>SUMIFS(_PLAN_STG!$Q$2:$Q$1879,_PLAN_STG!$D$2:$D$1879,B437,_PLAN_STG!$B$2:$B$1879,"MO",_PLAN_STG!$O$2:$O$1879,1)</f>
        <v>0</v>
      </c>
      <c r="I437" s="226">
        <f>SUMPRODUCT((_PLAN_STG!$D$2:$D$1879=B437)*(_PLAN_STG!$B$2:$B$1879="MO")*(_PLAN_STG!$O$2:$O$1879=1)*(_PLAN_STG!$P$2:$P$1879&gt;0))</f>
        <v>0</v>
      </c>
      <c r="J437" s="224" t="str">
        <f>IF(D437="MO/ALB",IFERROR(VLOOKUP(B437,MANO_DE_OBRA!$A:$F,6,FALSE()),""),IF(D437="MO/OTR",IFERROR(VLOOKUP(B437,SUBCONTRATOS_PRY!$A:$E,5,FALSE()),""),""))</f>
        <v>Sanitarios</v>
      </c>
    </row>
    <row r="438" spans="1:10" x14ac:dyDescent="0.35">
      <c r="A438" s="222" t="str">
        <f t="shared" si="8"/>
        <v/>
      </c>
      <c r="B438" s="223" t="s">
        <v>2343</v>
      </c>
      <c r="C438" s="224" t="str">
        <f>IFERROR(IF(D438="MO/ALB",VLOOKUP(B438,MANO_DE_OBRA!$A:$B,2,FALSE()),VLOOKUP(B438,SUBCONTRATOS_PRY!$A:$B,2,FALSE())),IFERROR(INDEX(COMPOSICIÓN!$E$2:$E$1879,MATCH(B438,COMPOSICIÓN!$D$2:$D$1879,0)),""))</f>
        <v>MO Por armar CDV en planta tipo [CLOACAL]</v>
      </c>
      <c r="D438" s="225" t="s">
        <v>2837</v>
      </c>
      <c r="E438" s="225" t="str">
        <f>IF(D438="MO/ALB","jornal",IFERROR(VLOOKUP(B438,SUBCONTRATOS_PRY!$A:$C,3,FALSE()),IFERROR(INDEX(COMPOSICIÓN!$F$2:$F$1879,MATCH(B438,COMPOSICIÓN!$D$2:$D$1879,0)),"")))</f>
        <v>gl</v>
      </c>
      <c r="F438" s="161">
        <f>SUMIFS(_PLAN_STG!$P$2:$P$1879,_PLAN_STG!$D$2:$D$1879,B438,_PLAN_STG!$B$2:$B$1879,"MO",_PLAN_STG!$O$2:$O$1879,1)</f>
        <v>0</v>
      </c>
      <c r="G438" s="162">
        <f>IFERROR(IF(D438="MO/ALB",VLOOKUP(B438,MANO_DE_OBRA!$A:$C,3,FALSE()),VLOOKUP(B438,SUBCONTRATOS_PRY!$A:$D,4,FALSE())),IFERROR(INDEX(COMPOSICIÓN!$I$2:$I$1879,MATCH(B438,COMPOSICIÓN!$D$2:$D$1879,0)),0))</f>
        <v>4231098.5367990304</v>
      </c>
      <c r="H438" s="163">
        <f>SUMIFS(_PLAN_STG!$Q$2:$Q$1879,_PLAN_STG!$D$2:$D$1879,B438,_PLAN_STG!$B$2:$B$1879,"MO",_PLAN_STG!$O$2:$O$1879,1)</f>
        <v>0</v>
      </c>
      <c r="I438" s="226">
        <f>SUMPRODUCT((_PLAN_STG!$D$2:$D$1879=B438)*(_PLAN_STG!$B$2:$B$1879="MO")*(_PLAN_STG!$O$2:$O$1879=1)*(_PLAN_STG!$P$2:$P$1879&gt;0))</f>
        <v>0</v>
      </c>
      <c r="J438" s="224" t="str">
        <f>IF(D438="MO/ALB",IFERROR(VLOOKUP(B438,MANO_DE_OBRA!$A:$F,6,FALSE()),""),IF(D438="MO/OTR",IFERROR(VLOOKUP(B438,SUBCONTRATOS_PRY!$A:$E,5,FALSE()),""),""))</f>
        <v>Sanitarios</v>
      </c>
    </row>
    <row r="439" spans="1:10" x14ac:dyDescent="0.35">
      <c r="A439" s="222" t="str">
        <f t="shared" si="8"/>
        <v/>
      </c>
      <c r="B439" s="223" t="s">
        <v>2345</v>
      </c>
      <c r="C439" s="224" t="str">
        <f>IFERROR(IF(D439="MO/ALB",VLOOKUP(B439,MANO_DE_OBRA!$A:$B,2,FALSE()),VLOOKUP(B439,SUBCONTRATOS_PRY!$A:$B,2,FALSE())),IFERROR(INDEX(COMPOSICIÓN!$E$2:$E$1879,MATCH(B439,COMPOSICIÓN!$D$2:$D$1879,0)),""))</f>
        <v>MO Montantes, remate y ventilación a los 4 vientos [CLOACAL]</v>
      </c>
      <c r="D439" s="225" t="s">
        <v>2837</v>
      </c>
      <c r="E439" s="225" t="str">
        <f>IF(D439="MO/ALB","jornal",IFERROR(VLOOKUP(B439,SUBCONTRATOS_PRY!$A:$C,3,FALSE()),IFERROR(INDEX(COMPOSICIÓN!$F$2:$F$1879,MATCH(B439,COMPOSICIÓN!$D$2:$D$1879,0)),"")))</f>
        <v>gl</v>
      </c>
      <c r="F439" s="161">
        <f>SUMIFS(_PLAN_STG!$P$2:$P$1879,_PLAN_STG!$D$2:$D$1879,B439,_PLAN_STG!$B$2:$B$1879,"MO",_PLAN_STG!$O$2:$O$1879,1)</f>
        <v>0</v>
      </c>
      <c r="G439" s="162">
        <f>IFERROR(IF(D439="MO/ALB",VLOOKUP(B439,MANO_DE_OBRA!$A:$C,3,FALSE()),VLOOKUP(B439,SUBCONTRATOS_PRY!$A:$D,4,FALSE())),IFERROR(INDEX(COMPOSICIÓN!$I$2:$I$1879,MATCH(B439,COMPOSICIÓN!$D$2:$D$1879,0)),0))</f>
        <v>2350610.2982216901</v>
      </c>
      <c r="H439" s="163">
        <f>SUMIFS(_PLAN_STG!$Q$2:$Q$1879,_PLAN_STG!$D$2:$D$1879,B439,_PLAN_STG!$B$2:$B$1879,"MO",_PLAN_STG!$O$2:$O$1879,1)</f>
        <v>0</v>
      </c>
      <c r="I439" s="226">
        <f>SUMPRODUCT((_PLAN_STG!$D$2:$D$1879=B439)*(_PLAN_STG!$B$2:$B$1879="MO")*(_PLAN_STG!$O$2:$O$1879=1)*(_PLAN_STG!$P$2:$P$1879&gt;0))</f>
        <v>0</v>
      </c>
      <c r="J439" s="224" t="str">
        <f>IF(D439="MO/ALB",IFERROR(VLOOKUP(B439,MANO_DE_OBRA!$A:$F,6,FALSE()),""),IF(D439="MO/OTR",IFERROR(VLOOKUP(B439,SUBCONTRATOS_PRY!$A:$E,5,FALSE()),""),""))</f>
        <v>Sanitarios</v>
      </c>
    </row>
    <row r="440" spans="1:10" x14ac:dyDescent="0.35">
      <c r="A440" s="222" t="str">
        <f t="shared" si="8"/>
        <v/>
      </c>
      <c r="B440" s="223" t="s">
        <v>2347</v>
      </c>
      <c r="C440" s="224" t="str">
        <f>IFERROR(IF(D440="MO/ALB",VLOOKUP(B440,MANO_DE_OBRA!$A:$B,2,FALSE()),VLOOKUP(B440,SUBCONTRATOS_PRY!$A:$B,2,FALSE())),IFERROR(INDEX(COMPOSICIÓN!$E$2:$E$1879,MATCH(B440,COMPOSICIÓN!$D$2:$D$1879,0)),""))</f>
        <v>MO Tendido caño pluvial en planta baja  [CLOACAL]</v>
      </c>
      <c r="D440" s="225" t="s">
        <v>2837</v>
      </c>
      <c r="E440" s="225" t="str">
        <f>IF(D440="MO/ALB","jornal",IFERROR(VLOOKUP(B440,SUBCONTRATOS_PRY!$A:$C,3,FALSE()),IFERROR(INDEX(COMPOSICIÓN!$F$2:$F$1879,MATCH(B440,COMPOSICIÓN!$D$2:$D$1879,0)),"")))</f>
        <v>gl</v>
      </c>
      <c r="F440" s="161">
        <f>SUMIFS(_PLAN_STG!$P$2:$P$1879,_PLAN_STG!$D$2:$D$1879,B440,_PLAN_STG!$B$2:$B$1879,"MO",_PLAN_STG!$O$2:$O$1879,1)</f>
        <v>0</v>
      </c>
      <c r="G440" s="162">
        <f>IFERROR(IF(D440="MO/ALB",VLOOKUP(B440,MANO_DE_OBRA!$A:$C,3,FALSE()),VLOOKUP(B440,SUBCONTRATOS_PRY!$A:$D,4,FALSE())),IFERROR(INDEX(COMPOSICIÓN!$I$2:$I$1879,MATCH(B440,COMPOSICIÓN!$D$2:$D$1879,0)),0))</f>
        <v>1096951.47250345</v>
      </c>
      <c r="H440" s="163">
        <f>SUMIFS(_PLAN_STG!$Q$2:$Q$1879,_PLAN_STG!$D$2:$D$1879,B440,_PLAN_STG!$B$2:$B$1879,"MO",_PLAN_STG!$O$2:$O$1879,1)</f>
        <v>0</v>
      </c>
      <c r="I440" s="226">
        <f>SUMPRODUCT((_PLAN_STG!$D$2:$D$1879=B440)*(_PLAN_STG!$B$2:$B$1879="MO")*(_PLAN_STG!$O$2:$O$1879=1)*(_PLAN_STG!$P$2:$P$1879&gt;0))</f>
        <v>0</v>
      </c>
      <c r="J440" s="224" t="str">
        <f>IF(D440="MO/ALB",IFERROR(VLOOKUP(B440,MANO_DE_OBRA!$A:$F,6,FALSE()),""),IF(D440="MO/OTR",IFERROR(VLOOKUP(B440,SUBCONTRATOS_PRY!$A:$E,5,FALSE()),""),""))</f>
        <v>Sanitarios</v>
      </c>
    </row>
    <row r="441" spans="1:10" x14ac:dyDescent="0.35">
      <c r="A441" s="222" t="str">
        <f t="shared" si="8"/>
        <v/>
      </c>
      <c r="B441" s="223" t="s">
        <v>2349</v>
      </c>
      <c r="C441" s="224" t="str">
        <f>IFERROR(IF(D441="MO/ALB",VLOOKUP(B441,MANO_DE_OBRA!$A:$B,2,FALSE()),VLOOKUP(B441,SUBCONTRATOS_PRY!$A:$B,2,FALSE())),IFERROR(INDEX(COMPOSICIÓN!$E$2:$E$1879,MATCH(B441,COMPOSICIÓN!$D$2:$D$1879,0)),""))</f>
        <v>MO Tendido caño pluvial por pisos [CLOACAL]</v>
      </c>
      <c r="D441" s="225" t="s">
        <v>2837</v>
      </c>
      <c r="E441" s="225" t="str">
        <f>IF(D441="MO/ALB","jornal",IFERROR(VLOOKUP(B441,SUBCONTRATOS_PRY!$A:$C,3,FALSE()),IFERROR(INDEX(COMPOSICIÓN!$F$2:$F$1879,MATCH(B441,COMPOSICIÓN!$D$2:$D$1879,0)),"")))</f>
        <v>gl</v>
      </c>
      <c r="F441" s="161">
        <f>SUMIFS(_PLAN_STG!$P$2:$P$1879,_PLAN_STG!$D$2:$D$1879,B441,_PLAN_STG!$B$2:$B$1879,"MO",_PLAN_STG!$O$2:$O$1879,1)</f>
        <v>0</v>
      </c>
      <c r="G441" s="162">
        <f>IFERROR(IF(D441="MO/ALB",VLOOKUP(B441,MANO_DE_OBRA!$A:$C,3,FALSE()),VLOOKUP(B441,SUBCONTRATOS_PRY!$A:$D,4,FALSE())),IFERROR(INDEX(COMPOSICIÓN!$I$2:$I$1879,MATCH(B441,COMPOSICIÓN!$D$2:$D$1879,0)),0))</f>
        <v>1567073.5321477901</v>
      </c>
      <c r="H441" s="163">
        <f>SUMIFS(_PLAN_STG!$Q$2:$Q$1879,_PLAN_STG!$D$2:$D$1879,B441,_PLAN_STG!$B$2:$B$1879,"MO",_PLAN_STG!$O$2:$O$1879,1)</f>
        <v>0</v>
      </c>
      <c r="I441" s="226">
        <f>SUMPRODUCT((_PLAN_STG!$D$2:$D$1879=B441)*(_PLAN_STG!$B$2:$B$1879="MO")*(_PLAN_STG!$O$2:$O$1879=1)*(_PLAN_STG!$P$2:$P$1879&gt;0))</f>
        <v>0</v>
      </c>
      <c r="J441" s="224" t="str">
        <f>IF(D441="MO/ALB",IFERROR(VLOOKUP(B441,MANO_DE_OBRA!$A:$F,6,FALSE()),""),IF(D441="MO/OTR",IFERROR(VLOOKUP(B441,SUBCONTRATOS_PRY!$A:$E,5,FALSE()),""),""))</f>
        <v>Sanitarios</v>
      </c>
    </row>
    <row r="442" spans="1:10" x14ac:dyDescent="0.35">
      <c r="A442" s="222" t="str">
        <f t="shared" si="8"/>
        <v/>
      </c>
      <c r="B442" s="223" t="s">
        <v>2351</v>
      </c>
      <c r="C442" s="224" t="str">
        <f>IFERROR(IF(D442="MO/ALB",VLOOKUP(B442,MANO_DE_OBRA!$A:$B,2,FALSE()),VLOOKUP(B442,SUBCONTRATOS_PRY!$A:$B,2,FALSE())),IFERROR(INDEX(COMPOSICIÓN!$E$2:$E$1879,MATCH(B442,COMPOSICIÓN!$D$2:$D$1879,0)),""))</f>
        <v>MO Instalación tanque de recupero y bombeo pluvial [CLOACAL]</v>
      </c>
      <c r="D442" s="225" t="s">
        <v>2837</v>
      </c>
      <c r="E442" s="225" t="str">
        <f>IF(D442="MO/ALB","jornal",IFERROR(VLOOKUP(B442,SUBCONTRATOS_PRY!$A:$C,3,FALSE()),IFERROR(INDEX(COMPOSICIÓN!$F$2:$F$1879,MATCH(B442,COMPOSICIÓN!$D$2:$D$1879,0)),"")))</f>
        <v>gl</v>
      </c>
      <c r="F442" s="161">
        <f>SUMIFS(_PLAN_STG!$P$2:$P$1879,_PLAN_STG!$D$2:$D$1879,B442,_PLAN_STG!$B$2:$B$1879,"MO",_PLAN_STG!$O$2:$O$1879,1)</f>
        <v>0</v>
      </c>
      <c r="G442" s="162">
        <f>IFERROR(IF(D442="MO/ALB",VLOOKUP(B442,MANO_DE_OBRA!$A:$C,3,FALSE()),VLOOKUP(B442,SUBCONTRATOS_PRY!$A:$D,4,FALSE())),IFERROR(INDEX(COMPOSICIÓN!$I$2:$I$1879,MATCH(B442,COMPOSICIÓN!$D$2:$D$1879,0)),0))</f>
        <v>470122.05964433699</v>
      </c>
      <c r="H442" s="163">
        <f>SUMIFS(_PLAN_STG!$Q$2:$Q$1879,_PLAN_STG!$D$2:$D$1879,B442,_PLAN_STG!$B$2:$B$1879,"MO",_PLAN_STG!$O$2:$O$1879,1)</f>
        <v>0</v>
      </c>
      <c r="I442" s="226">
        <f>SUMPRODUCT((_PLAN_STG!$D$2:$D$1879=B442)*(_PLAN_STG!$B$2:$B$1879="MO")*(_PLAN_STG!$O$2:$O$1879=1)*(_PLAN_STG!$P$2:$P$1879&gt;0))</f>
        <v>0</v>
      </c>
      <c r="J442" s="224" t="str">
        <f>IF(D442="MO/ALB",IFERROR(VLOOKUP(B442,MANO_DE_OBRA!$A:$F,6,FALSE()),""),IF(D442="MO/OTR",IFERROR(VLOOKUP(B442,SUBCONTRATOS_PRY!$A:$E,5,FALSE()),""),""))</f>
        <v>Sanitarios</v>
      </c>
    </row>
    <row r="443" spans="1:10" x14ac:dyDescent="0.35">
      <c r="A443" s="222" t="str">
        <f t="shared" si="8"/>
        <v/>
      </c>
      <c r="B443" s="223" t="s">
        <v>2353</v>
      </c>
      <c r="C443" s="224" t="str">
        <f>IFERROR(IF(D443="MO/ALB",VLOOKUP(B443,MANO_DE_OBRA!$A:$B,2,FALSE()),VLOOKUP(B443,SUBCONTRATOS_PRY!$A:$B,2,FALSE())),IFERROR(INDEX(COMPOSICIÓN!$E$2:$E$1879,MATCH(B443,COMPOSICIÓN!$D$2:$D$1879,0)),""))</f>
        <v>MO Tendido caño de agua hasta TB. Colocación de TB, armado de colector y cuadro de bombas [AF.AC]</v>
      </c>
      <c r="D443" s="225" t="s">
        <v>2837</v>
      </c>
      <c r="E443" s="225" t="str">
        <f>IF(D443="MO/ALB","jornal",IFERROR(VLOOKUP(B443,SUBCONTRATOS_PRY!$A:$C,3,FALSE()),IFERROR(INDEX(COMPOSICIÓN!$F$2:$F$1879,MATCH(B443,COMPOSICIÓN!$D$2:$D$1879,0)),"")))</f>
        <v>gl</v>
      </c>
      <c r="F443" s="161">
        <f>SUMIFS(_PLAN_STG!$P$2:$P$1879,_PLAN_STG!$D$2:$D$1879,B443,_PLAN_STG!$B$2:$B$1879,"MO",_PLAN_STG!$O$2:$O$1879,1)</f>
        <v>0</v>
      </c>
      <c r="G443" s="162">
        <f>IFERROR(IF(D443="MO/ALB",VLOOKUP(B443,MANO_DE_OBRA!$A:$C,3,FALSE()),VLOOKUP(B443,SUBCONTRATOS_PRY!$A:$D,4,FALSE())),IFERROR(INDEX(COMPOSICIÓN!$I$2:$I$1879,MATCH(B443,COMPOSICIÓN!$D$2:$D$1879,0)),0))</f>
        <v>1519457.57657935</v>
      </c>
      <c r="H443" s="163">
        <f>SUMIFS(_PLAN_STG!$Q$2:$Q$1879,_PLAN_STG!$D$2:$D$1879,B443,_PLAN_STG!$B$2:$B$1879,"MO",_PLAN_STG!$O$2:$O$1879,1)</f>
        <v>0</v>
      </c>
      <c r="I443" s="226">
        <f>SUMPRODUCT((_PLAN_STG!$D$2:$D$1879=B443)*(_PLAN_STG!$B$2:$B$1879="MO")*(_PLAN_STG!$O$2:$O$1879=1)*(_PLAN_STG!$P$2:$P$1879&gt;0))</f>
        <v>0</v>
      </c>
      <c r="J443" s="224" t="str">
        <f>IF(D443="MO/ALB",IFERROR(VLOOKUP(B443,MANO_DE_OBRA!$A:$F,6,FALSE()),""),IF(D443="MO/OTR",IFERROR(VLOOKUP(B443,SUBCONTRATOS_PRY!$A:$E,5,FALSE()),""),""))</f>
        <v>Sanitarios</v>
      </c>
    </row>
    <row r="444" spans="1:10" x14ac:dyDescent="0.35">
      <c r="A444" s="222" t="str">
        <f t="shared" si="8"/>
        <v/>
      </c>
      <c r="B444" s="223" t="s">
        <v>2355</v>
      </c>
      <c r="C444" s="224" t="str">
        <f>IFERROR(IF(D444="MO/ALB",VLOOKUP(B444,MANO_DE_OBRA!$A:$B,2,FALSE()),VLOOKUP(B444,SUBCONTRATOS_PRY!$A:$B,2,FALSE())),IFERROR(INDEX(COMPOSICIÓN!$E$2:$E$1879,MATCH(B444,COMPOSICIÓN!$D$2:$D$1879,0)),""))</f>
        <v>MO Armado de colector, subida y bajadas de AF [AF.AC]</v>
      </c>
      <c r="D444" s="225" t="s">
        <v>2837</v>
      </c>
      <c r="E444" s="225" t="str">
        <f>IF(D444="MO/ALB","jornal",IFERROR(VLOOKUP(B444,SUBCONTRATOS_PRY!$A:$C,3,FALSE()),IFERROR(INDEX(COMPOSICIÓN!$F$2:$F$1879,MATCH(B444,COMPOSICIÓN!$D$2:$D$1879,0)),"")))</f>
        <v>gl</v>
      </c>
      <c r="F444" s="161">
        <f>SUMIFS(_PLAN_STG!$P$2:$P$1879,_PLAN_STG!$D$2:$D$1879,B444,_PLAN_STG!$B$2:$B$1879,"MO",_PLAN_STG!$O$2:$O$1879,1)</f>
        <v>0</v>
      </c>
      <c r="G444" s="162">
        <f>IFERROR(IF(D444="MO/ALB",VLOOKUP(B444,MANO_DE_OBRA!$A:$C,3,FALSE()),VLOOKUP(B444,SUBCONTRATOS_PRY!$A:$D,4,FALSE())),IFERROR(INDEX(COMPOSICIÓN!$I$2:$I$1879,MATCH(B444,COMPOSICIÓN!$D$2:$D$1879,0)),0))</f>
        <v>1519457.57657935</v>
      </c>
      <c r="H444" s="163">
        <f>SUMIFS(_PLAN_STG!$Q$2:$Q$1879,_PLAN_STG!$D$2:$D$1879,B444,_PLAN_STG!$B$2:$B$1879,"MO",_PLAN_STG!$O$2:$O$1879,1)</f>
        <v>0</v>
      </c>
      <c r="I444" s="226">
        <f>SUMPRODUCT((_PLAN_STG!$D$2:$D$1879=B444)*(_PLAN_STG!$B$2:$B$1879="MO")*(_PLAN_STG!$O$2:$O$1879=1)*(_PLAN_STG!$P$2:$P$1879&gt;0))</f>
        <v>0</v>
      </c>
      <c r="J444" s="224" t="str">
        <f>IF(D444="MO/ALB",IFERROR(VLOOKUP(B444,MANO_DE_OBRA!$A:$F,6,FALSE()),""),IF(D444="MO/OTR",IFERROR(VLOOKUP(B444,SUBCONTRATOS_PRY!$A:$E,5,FALSE()),""),""))</f>
        <v>Sanitarios</v>
      </c>
    </row>
    <row r="445" spans="1:10" x14ac:dyDescent="0.35">
      <c r="A445" s="222" t="str">
        <f t="shared" si="8"/>
        <v/>
      </c>
      <c r="B445" s="223" t="s">
        <v>2357</v>
      </c>
      <c r="C445" s="224" t="str">
        <f>IFERROR(IF(D445="MO/ALB",VLOOKUP(B445,MANO_DE_OBRA!$A:$B,2,FALSE()),VLOOKUP(B445,SUBCONTRATOS_PRY!$A:$B,2,FALSE())),IFERROR(INDEX(COMPOSICIÓN!$E$2:$E$1879,MATCH(B445,COMPOSICIÓN!$D$2:$D$1879,0)),""))</f>
        <v>MO Colocación de bomba presurizadora, armado de colector y montantes presurizadas (ultimo piso 4°) AF [AF.AC]</v>
      </c>
      <c r="D445" s="225" t="s">
        <v>2837</v>
      </c>
      <c r="E445" s="225" t="str">
        <f>IF(D445="MO/ALB","jornal",IFERROR(VLOOKUP(B445,SUBCONTRATOS_PRY!$A:$C,3,FALSE()),IFERROR(INDEX(COMPOSICIÓN!$F$2:$F$1879,MATCH(B445,COMPOSICIÓN!$D$2:$D$1879,0)),"")))</f>
        <v>gl</v>
      </c>
      <c r="F445" s="161">
        <f>SUMIFS(_PLAN_STG!$P$2:$P$1879,_PLAN_STG!$D$2:$D$1879,B445,_PLAN_STG!$B$2:$B$1879,"MO",_PLAN_STG!$O$2:$O$1879,1)</f>
        <v>0</v>
      </c>
      <c r="G445" s="162">
        <f>IFERROR(IF(D445="MO/ALB",VLOOKUP(B445,MANO_DE_OBRA!$A:$C,3,FALSE()),VLOOKUP(B445,SUBCONTRATOS_PRY!$A:$D,4,FALSE())),IFERROR(INDEX(COMPOSICIÓN!$I$2:$I$1879,MATCH(B445,COMPOSICIÓN!$D$2:$D$1879,0)),0))</f>
        <v>1519457.57657935</v>
      </c>
      <c r="H445" s="163">
        <f>SUMIFS(_PLAN_STG!$Q$2:$Q$1879,_PLAN_STG!$D$2:$D$1879,B445,_PLAN_STG!$B$2:$B$1879,"MO",_PLAN_STG!$O$2:$O$1879,1)</f>
        <v>0</v>
      </c>
      <c r="I445" s="226">
        <f>SUMPRODUCT((_PLAN_STG!$D$2:$D$1879=B445)*(_PLAN_STG!$B$2:$B$1879="MO")*(_PLAN_STG!$O$2:$O$1879=1)*(_PLAN_STG!$P$2:$P$1879&gt;0))</f>
        <v>0</v>
      </c>
      <c r="J445" s="224" t="str">
        <f>IF(D445="MO/ALB",IFERROR(VLOOKUP(B445,MANO_DE_OBRA!$A:$F,6,FALSE()),""),IF(D445="MO/OTR",IFERROR(VLOOKUP(B445,SUBCONTRATOS_PRY!$A:$E,5,FALSE()),""),""))</f>
        <v>Sanitarios</v>
      </c>
    </row>
    <row r="446" spans="1:10" x14ac:dyDescent="0.35">
      <c r="A446" s="222" t="str">
        <f t="shared" si="8"/>
        <v/>
      </c>
      <c r="B446" s="223" t="s">
        <v>2359</v>
      </c>
      <c r="C446" s="224" t="str">
        <f>IFERROR(IF(D446="MO/ALB",VLOOKUP(B446,MANO_DE_OBRA!$A:$B,2,FALSE()),VLOOKUP(B446,SUBCONTRATOS_PRY!$A:$B,2,FALSE())),IFERROR(INDEX(COMPOSICIÓN!$E$2:$E$1879,MATCH(B446,COMPOSICIÓN!$D$2:$D$1879,0)),""))</f>
        <v>MO Distribución agua fria y caliente en planta tipo [AF.AC]</v>
      </c>
      <c r="D446" s="225" t="s">
        <v>2837</v>
      </c>
      <c r="E446" s="225" t="str">
        <f>IF(D446="MO/ALB","jornal",IFERROR(VLOOKUP(B446,SUBCONTRATOS_PRY!$A:$C,3,FALSE()),IFERROR(INDEX(COMPOSICIÓN!$F$2:$F$1879,MATCH(B446,COMPOSICIÓN!$D$2:$D$1879,0)),"")))</f>
        <v>gl</v>
      </c>
      <c r="F446" s="161">
        <f>SUMIFS(_PLAN_STG!$P$2:$P$1879,_PLAN_STG!$D$2:$D$1879,B446,_PLAN_STG!$B$2:$B$1879,"MO",_PLAN_STG!$O$2:$O$1879,1)</f>
        <v>0</v>
      </c>
      <c r="G446" s="162">
        <f>IFERROR(IF(D446="MO/ALB",VLOOKUP(B446,MANO_DE_OBRA!$A:$C,3,FALSE()),VLOOKUP(B446,SUBCONTRATOS_PRY!$A:$D,4,FALSE())),IFERROR(INDEX(COMPOSICIÓN!$I$2:$I$1879,MATCH(B446,COMPOSICIÓN!$D$2:$D$1879,0)),0))</f>
        <v>10636203.036055399</v>
      </c>
      <c r="H446" s="163">
        <f>SUMIFS(_PLAN_STG!$Q$2:$Q$1879,_PLAN_STG!$D$2:$D$1879,B446,_PLAN_STG!$B$2:$B$1879,"MO",_PLAN_STG!$O$2:$O$1879,1)</f>
        <v>0</v>
      </c>
      <c r="I446" s="226">
        <f>SUMPRODUCT((_PLAN_STG!$D$2:$D$1879=B446)*(_PLAN_STG!$B$2:$B$1879="MO")*(_PLAN_STG!$O$2:$O$1879=1)*(_PLAN_STG!$P$2:$P$1879&gt;0))</f>
        <v>0</v>
      </c>
      <c r="J446" s="224" t="str">
        <f>IF(D446="MO/ALB",IFERROR(VLOOKUP(B446,MANO_DE_OBRA!$A:$F,6,FALSE()),""),IF(D446="MO/OTR",IFERROR(VLOOKUP(B446,SUBCONTRATOS_PRY!$A:$E,5,FALSE()),""),""))</f>
        <v>Sanitarios</v>
      </c>
    </row>
    <row r="447" spans="1:10" x14ac:dyDescent="0.35">
      <c r="A447" s="222" t="str">
        <f t="shared" si="8"/>
        <v/>
      </c>
      <c r="B447" s="223" t="s">
        <v>2361</v>
      </c>
      <c r="C447" s="224" t="str">
        <f>IFERROR(IF(D447="MO/ALB",VLOOKUP(B447,MANO_DE_OBRA!$A:$B,2,FALSE()),VLOOKUP(B447,SUBCONTRATOS_PRY!$A:$B,2,FALSE())),IFERROR(INDEX(COMPOSICIÓN!$E$2:$E$1879,MATCH(B447,COMPOSICIÓN!$D$2:$D$1879,0)),""))</f>
        <v>MO Colocación de artefactos y griferias [AF.AC]</v>
      </c>
      <c r="D447" s="225" t="s">
        <v>2837</v>
      </c>
      <c r="E447" s="225" t="str">
        <f>IF(D447="MO/ALB","jornal",IFERROR(VLOOKUP(B447,SUBCONTRATOS_PRY!$A:$C,3,FALSE()),IFERROR(INDEX(COMPOSICIÓN!$F$2:$F$1879,MATCH(B447,COMPOSICIÓN!$D$2:$D$1879,0)),"")))</f>
        <v>gl</v>
      </c>
      <c r="F447" s="161">
        <f>SUMIFS(_PLAN_STG!$P$2:$P$1879,_PLAN_STG!$D$2:$D$1879,B447,_PLAN_STG!$B$2:$B$1879,"MO",_PLAN_STG!$O$2:$O$1879,1)</f>
        <v>0</v>
      </c>
      <c r="G447" s="162">
        <f>IFERROR(IF(D447="MO/ALB",VLOOKUP(B447,MANO_DE_OBRA!$A:$C,3,FALSE()),VLOOKUP(B447,SUBCONTRATOS_PRY!$A:$D,4,FALSE())),IFERROR(INDEX(COMPOSICIÓN!$I$2:$I$1879,MATCH(B447,COMPOSICIÓN!$D$2:$D$1879,0)),0))</f>
        <v>2577248.88227659</v>
      </c>
      <c r="H447" s="163">
        <f>SUMIFS(_PLAN_STG!$Q$2:$Q$1879,_PLAN_STG!$D$2:$D$1879,B447,_PLAN_STG!$B$2:$B$1879,"MO",_PLAN_STG!$O$2:$O$1879,1)</f>
        <v>0</v>
      </c>
      <c r="I447" s="226">
        <f>SUMPRODUCT((_PLAN_STG!$D$2:$D$1879=B447)*(_PLAN_STG!$B$2:$B$1879="MO")*(_PLAN_STG!$O$2:$O$1879=1)*(_PLAN_STG!$P$2:$P$1879&gt;0))</f>
        <v>0</v>
      </c>
      <c r="J447" s="224" t="str">
        <f>IF(D447="MO/ALB",IFERROR(VLOOKUP(B447,MANO_DE_OBRA!$A:$F,6,FALSE()),""),IF(D447="MO/OTR",IFERROR(VLOOKUP(B447,SUBCONTRATOS_PRY!$A:$E,5,FALSE()),""),""))</f>
        <v>Sanitarios</v>
      </c>
    </row>
    <row r="448" spans="1:10" x14ac:dyDescent="0.35">
      <c r="A448" s="222" t="str">
        <f t="shared" si="8"/>
        <v/>
      </c>
      <c r="B448" s="223" t="s">
        <v>2363</v>
      </c>
      <c r="C448" s="224" t="str">
        <f>IFERROR(IF(D448="MO/ALB",VLOOKUP(B448,MANO_DE_OBRA!$A:$B,2,FALSE()),VLOOKUP(B448,SUBCONTRATOS_PRY!$A:$B,2,FALSE())),IFERROR(INDEX(COMPOSICIÓN!$E$2:$E$1879,MATCH(B448,COMPOSICIÓN!$D$2:$D$1879,0)),""))</f>
        <v>MO Armado y conexionado de desagües AA.CC</v>
      </c>
      <c r="D448" s="225" t="s">
        <v>2837</v>
      </c>
      <c r="E448" s="225" t="str">
        <f>IF(D448="MO/ALB","jornal",IFERROR(VLOOKUP(B448,SUBCONTRATOS_PRY!$A:$C,3,FALSE()),IFERROR(INDEX(COMPOSICIÓN!$F$2:$F$1879,MATCH(B448,COMPOSICIÓN!$D$2:$D$1879,0)),"")))</f>
        <v>gl</v>
      </c>
      <c r="F448" s="161">
        <f>SUMIFS(_PLAN_STG!$P$2:$P$1879,_PLAN_STG!$D$2:$D$1879,B448,_PLAN_STG!$B$2:$B$1879,"MO",_PLAN_STG!$O$2:$O$1879,1)</f>
        <v>0</v>
      </c>
      <c r="G448" s="162">
        <f>IFERROR(IF(D448="MO/ALB",VLOOKUP(B448,MANO_DE_OBRA!$A:$C,3,FALSE()),VLOOKUP(B448,SUBCONTRATOS_PRY!$A:$D,4,FALSE())),IFERROR(INDEX(COMPOSICIÓN!$I$2:$I$1879,MATCH(B448,COMPOSICIÓN!$D$2:$D$1879,0)),0))</f>
        <v>1500000</v>
      </c>
      <c r="H448" s="163">
        <f>SUMIFS(_PLAN_STG!$Q$2:$Q$1879,_PLAN_STG!$D$2:$D$1879,B448,_PLAN_STG!$B$2:$B$1879,"MO",_PLAN_STG!$O$2:$O$1879,1)</f>
        <v>0</v>
      </c>
      <c r="I448" s="226">
        <f>SUMPRODUCT((_PLAN_STG!$D$2:$D$1879=B448)*(_PLAN_STG!$B$2:$B$1879="MO")*(_PLAN_STG!$O$2:$O$1879=1)*(_PLAN_STG!$P$2:$P$1879&gt;0))</f>
        <v>0</v>
      </c>
      <c r="J448" s="224" t="str">
        <f>IF(D448="MO/ALB",IFERROR(VLOOKUP(B448,MANO_DE_OBRA!$A:$F,6,FALSE()),""),IF(D448="MO/OTR",IFERROR(VLOOKUP(B448,SUBCONTRATOS_PRY!$A:$E,5,FALSE()),""),""))</f>
        <v>Calefacción — AA.CC</v>
      </c>
    </row>
    <row r="449" spans="1:10" x14ac:dyDescent="0.35">
      <c r="A449" s="222" t="str">
        <f t="shared" si="8"/>
        <v/>
      </c>
      <c r="B449" s="223" t="s">
        <v>2365</v>
      </c>
      <c r="C449" s="224" t="str">
        <f>IFERROR(IF(D449="MO/ALB",VLOOKUP(B449,MANO_DE_OBRA!$A:$B,2,FALSE()),VLOOKUP(B449,SUBCONTRATOS_PRY!$A:$B,2,FALSE())),IFERROR(INDEX(COMPOSICIÓN!$E$2:$E$1879,MATCH(B449,COMPOSICIÓN!$D$2:$D$1879,0)),""))</f>
        <v>MO Tendido de cañerías de piso radiante - Colectores, gabinetes y termostatos a cargo del comitente [SUBCONTRATOS]</v>
      </c>
      <c r="D449" s="225" t="s">
        <v>2837</v>
      </c>
      <c r="E449" s="225" t="str">
        <f>IF(D449="MO/ALB","jornal",IFERROR(VLOOKUP(B449,SUBCONTRATOS_PRY!$A:$C,3,FALSE()),IFERROR(INDEX(COMPOSICIÓN!$F$2:$F$1879,MATCH(B449,COMPOSICIÓN!$D$2:$D$1879,0)),"")))</f>
        <v>gl</v>
      </c>
      <c r="F449" s="161">
        <f>SUMIFS(_PLAN_STG!$P$2:$P$1879,_PLAN_STG!$D$2:$D$1879,B449,_PLAN_STG!$B$2:$B$1879,"MO",_PLAN_STG!$O$2:$O$1879,1)</f>
        <v>0</v>
      </c>
      <c r="G449" s="162">
        <f>IFERROR(IF(D449="MO/ALB",VLOOKUP(B449,MANO_DE_OBRA!$A:$C,3,FALSE()),VLOOKUP(B449,SUBCONTRATOS_PRY!$A:$D,4,FALSE())),IFERROR(INDEX(COMPOSICIÓN!$I$2:$I$1879,MATCH(B449,COMPOSICIÓN!$D$2:$D$1879,0)),0))</f>
        <v>19750412.0247702</v>
      </c>
      <c r="H449" s="163">
        <f>SUMIFS(_PLAN_STG!$Q$2:$Q$1879,_PLAN_STG!$D$2:$D$1879,B449,_PLAN_STG!$B$2:$B$1879,"MO",_PLAN_STG!$O$2:$O$1879,1)</f>
        <v>0</v>
      </c>
      <c r="I449" s="226">
        <f>SUMPRODUCT((_PLAN_STG!$D$2:$D$1879=B449)*(_PLAN_STG!$B$2:$B$1879="MO")*(_PLAN_STG!$O$2:$O$1879=1)*(_PLAN_STG!$P$2:$P$1879&gt;0))</f>
        <v>0</v>
      </c>
      <c r="J449" s="224" t="str">
        <f>IF(D449="MO/ALB",IFERROR(VLOOKUP(B449,MANO_DE_OBRA!$A:$F,6,FALSE()),""),IF(D449="MO/OTR",IFERROR(VLOOKUP(B449,SUBCONTRATOS_PRY!$A:$E,5,FALSE()),""),""))</f>
        <v>Calefacción — Piso radiante</v>
      </c>
    </row>
    <row r="450" spans="1:10" x14ac:dyDescent="0.35">
      <c r="A450" s="222" t="str">
        <f t="shared" si="8"/>
        <v/>
      </c>
      <c r="B450" s="223" t="s">
        <v>2367</v>
      </c>
      <c r="C450" s="224" t="str">
        <f>IFERROR(IF(D450="MO/ALB",VLOOKUP(B450,MANO_DE_OBRA!$A:$B,2,FALSE()),VLOOKUP(B450,SUBCONTRATOS_PRY!$A:$B,2,FALSE())),IFERROR(INDEX(COMPOSICIÓN!$E$2:$E$1879,MATCH(B450,COMPOSICIÓN!$D$2:$D$1879,0)),""))</f>
        <v>MO Montaje de caldera y puesta en marcha - Provisión a cargo del comitente, incluida las ventilaciones [SUBCONTRATOS]</v>
      </c>
      <c r="D450" s="225" t="s">
        <v>2837</v>
      </c>
      <c r="E450" s="225" t="str">
        <f>IF(D450="MO/ALB","jornal",IFERROR(VLOOKUP(B450,SUBCONTRATOS_PRY!$A:$C,3,FALSE()),IFERROR(INDEX(COMPOSICIÓN!$F$2:$F$1879,MATCH(B450,COMPOSICIÓN!$D$2:$D$1879,0)),"")))</f>
        <v>gl</v>
      </c>
      <c r="F450" s="161">
        <f>SUMIFS(_PLAN_STG!$P$2:$P$1879,_PLAN_STG!$D$2:$D$1879,B450,_PLAN_STG!$B$2:$B$1879,"MO",_PLAN_STG!$O$2:$O$1879,1)</f>
        <v>0</v>
      </c>
      <c r="G450" s="162">
        <f>IFERROR(IF(D450="MO/ALB",VLOOKUP(B450,MANO_DE_OBRA!$A:$C,3,FALSE()),VLOOKUP(B450,SUBCONTRATOS_PRY!$A:$D,4,FALSE())),IFERROR(INDEX(COMPOSICIÓN!$I$2:$I$1879,MATCH(B450,COMPOSICIÓN!$D$2:$D$1879,0)),0))</f>
        <v>2194490.2249744702</v>
      </c>
      <c r="H450" s="163">
        <f>SUMIFS(_PLAN_STG!$Q$2:$Q$1879,_PLAN_STG!$D$2:$D$1879,B450,_PLAN_STG!$B$2:$B$1879,"MO",_PLAN_STG!$O$2:$O$1879,1)</f>
        <v>0</v>
      </c>
      <c r="I450" s="226">
        <f>SUMPRODUCT((_PLAN_STG!$D$2:$D$1879=B450)*(_PLAN_STG!$B$2:$B$1879="MO")*(_PLAN_STG!$O$2:$O$1879=1)*(_PLAN_STG!$P$2:$P$1879&gt;0))</f>
        <v>0</v>
      </c>
      <c r="J450" s="224" t="str">
        <f>IF(D450="MO/ALB",IFERROR(VLOOKUP(B450,MANO_DE_OBRA!$A:$F,6,FALSE()),""),IF(D450="MO/OTR",IFERROR(VLOOKUP(B450,SUBCONTRATOS_PRY!$A:$E,5,FALSE()),""),""))</f>
        <v>Calefacción — Piso radiante</v>
      </c>
    </row>
    <row r="451" spans="1:10" x14ac:dyDescent="0.35">
      <c r="A451" s="222" t="str">
        <f t="shared" si="8"/>
        <v/>
      </c>
      <c r="B451" s="223" t="s">
        <v>2369</v>
      </c>
      <c r="C451" s="224" t="str">
        <f>IFERROR(IF(D451="MO/ALB",VLOOKUP(B451,MANO_DE_OBRA!$A:$B,2,FALSE()),VLOOKUP(B451,SUBCONTRATOS_PRY!$A:$B,2,FALSE())),IFERROR(INDEX(COMPOSICIÓN!$E$2:$E$1879,MATCH(B451,COMPOSICIÓN!$D$2:$D$1879,0)),""))</f>
        <v>MO Colocación de anafes - Provisión a cargo del comitente</v>
      </c>
      <c r="D451" s="225" t="s">
        <v>2837</v>
      </c>
      <c r="E451" s="225" t="str">
        <f>IF(D451="MO/ALB","jornal",IFERROR(VLOOKUP(B451,SUBCONTRATOS_PRY!$A:$C,3,FALSE()),IFERROR(INDEX(COMPOSICIÓN!$F$2:$F$1879,MATCH(B451,COMPOSICIÓN!$D$2:$D$1879,0)),"")))</f>
        <v>u</v>
      </c>
      <c r="F451" s="161">
        <f>SUMIFS(_PLAN_STG!$P$2:$P$1879,_PLAN_STG!$D$2:$D$1879,B451,_PLAN_STG!$B$2:$B$1879,"MO",_PLAN_STG!$O$2:$O$1879,1)</f>
        <v>0</v>
      </c>
      <c r="G451" s="162">
        <f>IFERROR(IF(D451="MO/ALB",VLOOKUP(B451,MANO_DE_OBRA!$A:$C,3,FALSE()),VLOOKUP(B451,SUBCONTRATOS_PRY!$A:$D,4,FALSE())),IFERROR(INDEX(COMPOSICIÓN!$I$2:$I$1879,MATCH(B451,COMPOSICIÓN!$D$2:$D$1879,0)),0))</f>
        <v>30000</v>
      </c>
      <c r="H451" s="163">
        <f>SUMIFS(_PLAN_STG!$Q$2:$Q$1879,_PLAN_STG!$D$2:$D$1879,B451,_PLAN_STG!$B$2:$B$1879,"MO",_PLAN_STG!$O$2:$O$1879,1)</f>
        <v>0</v>
      </c>
      <c r="I451" s="226">
        <f>SUMPRODUCT((_PLAN_STG!$D$2:$D$1879=B451)*(_PLAN_STG!$B$2:$B$1879="MO")*(_PLAN_STG!$O$2:$O$1879=1)*(_PLAN_STG!$P$2:$P$1879&gt;0))</f>
        <v>0</v>
      </c>
      <c r="J451" s="224" t="str">
        <f>IF(D451="MO/ALB",IFERROR(VLOOKUP(B451,MANO_DE_OBRA!$A:$F,6,FALSE()),""),IF(D451="MO/OTR",IFERROR(VLOOKUP(B451,SUBCONTRATOS_PRY!$A:$E,5,FALSE()),""),""))</f>
        <v>Gas</v>
      </c>
    </row>
    <row r="452" spans="1:10" x14ac:dyDescent="0.35">
      <c r="A452" s="222" t="str">
        <f t="shared" si="8"/>
        <v/>
      </c>
      <c r="B452" s="223" t="s">
        <v>2371</v>
      </c>
      <c r="C452" s="224" t="str">
        <f>IFERROR(IF(D452="MO/ALB",VLOOKUP(B452,MANO_DE_OBRA!$A:$B,2,FALSE()),VLOOKUP(B452,SUBCONTRATOS_PRY!$A:$B,2,FALSE())),IFERROR(INDEX(COMPOSICIÓN!$E$2:$E$1879,MATCH(B452,COMPOSICIÓN!$D$2:$D$1879,0)),""))</f>
        <v>MO Provisión y amure de rejillas de ventilación homologadas</v>
      </c>
      <c r="D452" s="225" t="s">
        <v>2837</v>
      </c>
      <c r="E452" s="225" t="str">
        <f>IF(D452="MO/ALB","jornal",IFERROR(VLOOKUP(B452,SUBCONTRATOS_PRY!$A:$C,3,FALSE()),IFERROR(INDEX(COMPOSICIÓN!$F$2:$F$1879,MATCH(B452,COMPOSICIÓN!$D$2:$D$1879,0)),"")))</f>
        <v>gl</v>
      </c>
      <c r="F452" s="161">
        <f>SUMIFS(_PLAN_STG!$P$2:$P$1879,_PLAN_STG!$D$2:$D$1879,B452,_PLAN_STG!$B$2:$B$1879,"MO",_PLAN_STG!$O$2:$O$1879,1)</f>
        <v>0</v>
      </c>
      <c r="G452" s="162">
        <f>IFERROR(IF(D452="MO/ALB",VLOOKUP(B452,MANO_DE_OBRA!$A:$C,3,FALSE()),VLOOKUP(B452,SUBCONTRATOS_PRY!$A:$D,4,FALSE())),IFERROR(INDEX(COMPOSICIÓN!$I$2:$I$1879,MATCH(B452,COMPOSICIÓN!$D$2:$D$1879,0)),0))</f>
        <v>19238.769926642999</v>
      </c>
      <c r="H452" s="163">
        <f>SUMIFS(_PLAN_STG!$Q$2:$Q$1879,_PLAN_STG!$D$2:$D$1879,B452,_PLAN_STG!$B$2:$B$1879,"MO",_PLAN_STG!$O$2:$O$1879,1)</f>
        <v>0</v>
      </c>
      <c r="I452" s="226">
        <f>SUMPRODUCT((_PLAN_STG!$D$2:$D$1879=B452)*(_PLAN_STG!$B$2:$B$1879="MO")*(_PLAN_STG!$O$2:$O$1879=1)*(_PLAN_STG!$P$2:$P$1879&gt;0))</f>
        <v>0</v>
      </c>
      <c r="J452" s="224" t="str">
        <f>IF(D452="MO/ALB",IFERROR(VLOOKUP(B452,MANO_DE_OBRA!$A:$F,6,FALSE()),""),IF(D452="MO/OTR",IFERROR(VLOOKUP(B452,SUBCONTRATOS_PRY!$A:$E,5,FALSE()),""),""))</f>
        <v>Gas</v>
      </c>
    </row>
    <row r="453" spans="1:10" x14ac:dyDescent="0.35">
      <c r="A453" s="222" t="str">
        <f t="shared" si="8"/>
        <v/>
      </c>
      <c r="B453" s="223" t="s">
        <v>2373</v>
      </c>
      <c r="C453" s="224" t="str">
        <f>IFERROR(IF(D453="MO/ALB",VLOOKUP(B453,MANO_DE_OBRA!$A:$B,2,FALSE()),VLOOKUP(B453,SUBCONTRATOS_PRY!$A:$B,2,FALSE())),IFERROR(INDEX(COMPOSICIÓN!$E$2:$E$1879,MATCH(B453,COMPOSICIÓN!$D$2:$D$1879,0)),""))</f>
        <v>MO Tramites gas - Prefactibilidad, inspección parcial, final</v>
      </c>
      <c r="D453" s="225" t="s">
        <v>2837</v>
      </c>
      <c r="E453" s="225" t="str">
        <f>IF(D453="MO/ALB","jornal",IFERROR(VLOOKUP(B453,SUBCONTRATOS_PRY!$A:$C,3,FALSE()),IFERROR(INDEX(COMPOSICIÓN!$F$2:$F$1879,MATCH(B453,COMPOSICIÓN!$D$2:$D$1879,0)),"")))</f>
        <v>gl</v>
      </c>
      <c r="F453" s="161">
        <f>SUMIFS(_PLAN_STG!$P$2:$P$1879,_PLAN_STG!$D$2:$D$1879,B453,_PLAN_STG!$B$2:$B$1879,"MO",_PLAN_STG!$O$2:$O$1879,1)</f>
        <v>0</v>
      </c>
      <c r="G453" s="162">
        <f>IFERROR(IF(D453="MO/ALB",VLOOKUP(B453,MANO_DE_OBRA!$A:$C,3,FALSE()),VLOOKUP(B453,SUBCONTRATOS_PRY!$A:$D,4,FALSE())),IFERROR(INDEX(COMPOSICIÓN!$I$2:$I$1879,MATCH(B453,COMPOSICIÓN!$D$2:$D$1879,0)),0))</f>
        <v>3510000</v>
      </c>
      <c r="H453" s="163">
        <f>SUMIFS(_PLAN_STG!$Q$2:$Q$1879,_PLAN_STG!$D$2:$D$1879,B453,_PLAN_STG!$B$2:$B$1879,"MO",_PLAN_STG!$O$2:$O$1879,1)</f>
        <v>0</v>
      </c>
      <c r="I453" s="226">
        <f>SUMPRODUCT((_PLAN_STG!$D$2:$D$1879=B453)*(_PLAN_STG!$B$2:$B$1879="MO")*(_PLAN_STG!$O$2:$O$1879=1)*(_PLAN_STG!$P$2:$P$1879&gt;0))</f>
        <v>0</v>
      </c>
      <c r="J453" s="224" t="str">
        <f>IF(D453="MO/ALB",IFERROR(VLOOKUP(B453,MANO_DE_OBRA!$A:$F,6,FALSE()),""),IF(D453="MO/OTR",IFERROR(VLOOKUP(B453,SUBCONTRATOS_PRY!$A:$E,5,FALSE()),""),""))</f>
        <v>Gas</v>
      </c>
    </row>
    <row r="454" spans="1:10" x14ac:dyDescent="0.35">
      <c r="A454" s="222" t="str">
        <f t="shared" si="8"/>
        <v/>
      </c>
      <c r="B454" s="223" t="s">
        <v>2376</v>
      </c>
      <c r="C454" s="224" t="str">
        <f>IFERROR(IF(D454="MO/ALB",VLOOKUP(B454,MANO_DE_OBRA!$A:$B,2,FALSE()),VLOOKUP(B454,SUBCONTRATOS_PRY!$A:$B,2,FALSE())),IFERROR(INDEX(COMPOSICIÓN!$E$2:$E$1879,MATCH(B454,COMPOSICIÓN!$D$2:$D$1879,0)),""))</f>
        <v>MO Instalación de artefactos de cocina, hornos - Provisión a cargo del comitente [SUBCONTRATOS]</v>
      </c>
      <c r="D454" s="225" t="s">
        <v>2837</v>
      </c>
      <c r="E454" s="225" t="str">
        <f>IF(D454="MO/ALB","jornal",IFERROR(VLOOKUP(B454,SUBCONTRATOS_PRY!$A:$C,3,FALSE()),IFERROR(INDEX(COMPOSICIÓN!$F$2:$F$1879,MATCH(B454,COMPOSICIÓN!$D$2:$D$1879,0)),"")))</f>
        <v>u</v>
      </c>
      <c r="F454" s="161">
        <f>SUMIFS(_PLAN_STG!$P$2:$P$1879,_PLAN_STG!$D$2:$D$1879,B454,_PLAN_STG!$B$2:$B$1879,"MO",_PLAN_STG!$O$2:$O$1879,1)</f>
        <v>0</v>
      </c>
      <c r="G454" s="162">
        <f>IFERROR(IF(D454="MO/ALB",VLOOKUP(B454,MANO_DE_OBRA!$A:$C,3,FALSE()),VLOOKUP(B454,SUBCONTRATOS_PRY!$A:$D,4,FALSE())),IFERROR(INDEX(COMPOSICIÓN!$I$2:$I$1879,MATCH(B454,COMPOSICIÓN!$D$2:$D$1879,0)),0))</f>
        <v>68810</v>
      </c>
      <c r="H454" s="163">
        <f>SUMIFS(_PLAN_STG!$Q$2:$Q$1879,_PLAN_STG!$D$2:$D$1879,B454,_PLAN_STG!$B$2:$B$1879,"MO",_PLAN_STG!$O$2:$O$1879,1)</f>
        <v>0</v>
      </c>
      <c r="I454" s="226">
        <f>SUMPRODUCT((_PLAN_STG!$D$2:$D$1879=B454)*(_PLAN_STG!$B$2:$B$1879="MO")*(_PLAN_STG!$O$2:$O$1879=1)*(_PLAN_STG!$P$2:$P$1879&gt;0))</f>
        <v>0</v>
      </c>
      <c r="J454" s="224" t="str">
        <f>IF(D454="MO/ALB",IFERROR(VLOOKUP(B454,MANO_DE_OBRA!$A:$F,6,FALSE()),""),IF(D454="MO/OTR",IFERROR(VLOOKUP(B454,SUBCONTRATOS_PRY!$A:$E,5,FALSE()),""),""))</f>
        <v>Varios</v>
      </c>
    </row>
    <row r="455" spans="1:10" x14ac:dyDescent="0.35">
      <c r="A455" s="222" t="str">
        <f t="shared" si="8"/>
        <v/>
      </c>
      <c r="B455" s="223" t="s">
        <v>2378</v>
      </c>
      <c r="C455" s="224" t="str">
        <f>IFERROR(IF(D455="MO/ALB",VLOOKUP(B455,MANO_DE_OBRA!$A:$B,2,FALSE()),VLOOKUP(B455,SUBCONTRATOS_PRY!$A:$B,2,FALSE())),IFERROR(INDEX(COMPOSICIÓN!$E$2:$E$1879,MATCH(B455,COMPOSICIÓN!$D$2:$D$1879,0)),""))</f>
        <v>MO Instalacion de extractores de baños - Provisión a cargo del comitente [SUBCONTRATOS]</v>
      </c>
      <c r="D455" s="225" t="s">
        <v>2837</v>
      </c>
      <c r="E455" s="225" t="str">
        <f>IF(D455="MO/ALB","jornal",IFERROR(VLOOKUP(B455,SUBCONTRATOS_PRY!$A:$C,3,FALSE()),IFERROR(INDEX(COMPOSICIÓN!$F$2:$F$1879,MATCH(B455,COMPOSICIÓN!$D$2:$D$1879,0)),"")))</f>
        <v>u</v>
      </c>
      <c r="F455" s="161">
        <f>SUMIFS(_PLAN_STG!$P$2:$P$1879,_PLAN_STG!$D$2:$D$1879,B455,_PLAN_STG!$B$2:$B$1879,"MO",_PLAN_STG!$O$2:$O$1879,1)</f>
        <v>0</v>
      </c>
      <c r="G455" s="162">
        <f>IFERROR(IF(D455="MO/ALB",VLOOKUP(B455,MANO_DE_OBRA!$A:$C,3,FALSE()),VLOOKUP(B455,SUBCONTRATOS_PRY!$A:$D,4,FALSE())),IFERROR(INDEX(COMPOSICIÓN!$I$2:$I$1879,MATCH(B455,COMPOSICIÓN!$D$2:$D$1879,0)),0))</f>
        <v>68810</v>
      </c>
      <c r="H455" s="163">
        <f>SUMIFS(_PLAN_STG!$Q$2:$Q$1879,_PLAN_STG!$D$2:$D$1879,B455,_PLAN_STG!$B$2:$B$1879,"MO",_PLAN_STG!$O$2:$O$1879,1)</f>
        <v>0</v>
      </c>
      <c r="I455" s="226">
        <f>SUMPRODUCT((_PLAN_STG!$D$2:$D$1879=B455)*(_PLAN_STG!$B$2:$B$1879="MO")*(_PLAN_STG!$O$2:$O$1879=1)*(_PLAN_STG!$P$2:$P$1879&gt;0))</f>
        <v>0</v>
      </c>
      <c r="J455" s="224" t="str">
        <f>IF(D455="MO/ALB",IFERROR(VLOOKUP(B455,MANO_DE_OBRA!$A:$F,6,FALSE()),""),IF(D455="MO/OTR",IFERROR(VLOOKUP(B455,SUBCONTRATOS_PRY!$A:$E,5,FALSE()),""),""))</f>
        <v>Varios</v>
      </c>
    </row>
    <row r="456" spans="1:10" x14ac:dyDescent="0.35">
      <c r="A456" s="222" t="str">
        <f t="shared" si="8"/>
        <v/>
      </c>
      <c r="B456" s="223" t="s">
        <v>2380</v>
      </c>
      <c r="C456" s="224" t="str">
        <f>IFERROR(IF(D456="MO/ALB",VLOOKUP(B456,MANO_DE_OBRA!$A:$B,2,FALSE()),VLOOKUP(B456,SUBCONTRATOS_PRY!$A:$B,2,FALSE())),IFERROR(INDEX(COMPOSICIÓN!$E$2:$E$1879,MATCH(B456,COMPOSICIÓN!$D$2:$D$1879,0)),""))</f>
        <v>MO Sereno</v>
      </c>
      <c r="D456" s="225" t="s">
        <v>2837</v>
      </c>
      <c r="E456" s="225" t="str">
        <f>IF(D456="MO/ALB","jornal",IFERROR(VLOOKUP(B456,SUBCONTRATOS_PRY!$A:$C,3,FALSE()),IFERROR(INDEX(COMPOSICIÓN!$F$2:$F$1879,MATCH(B456,COMPOSICIÓN!$D$2:$D$1879,0)),"")))</f>
        <v>mes</v>
      </c>
      <c r="F456" s="161">
        <f>SUMIFS(_PLAN_STG!$P$2:$P$1879,_PLAN_STG!$D$2:$D$1879,B456,_PLAN_STG!$B$2:$B$1879,"MO",_PLAN_STG!$O$2:$O$1879,1)</f>
        <v>0</v>
      </c>
      <c r="G456" s="162">
        <f>IFERROR(IF(D456="MO/ALB",VLOOKUP(B456,MANO_DE_OBRA!$A:$C,3,FALSE()),VLOOKUP(B456,SUBCONTRATOS_PRY!$A:$D,4,FALSE())),IFERROR(INDEX(COMPOSICIÓN!$I$2:$I$1879,MATCH(B456,COMPOSICIÓN!$D$2:$D$1879,0)),0))</f>
        <v>730326.96931886405</v>
      </c>
      <c r="H456" s="163">
        <f>SUMIFS(_PLAN_STG!$Q$2:$Q$1879,_PLAN_STG!$D$2:$D$1879,B456,_PLAN_STG!$B$2:$B$1879,"MO",_PLAN_STG!$O$2:$O$1879,1)</f>
        <v>0</v>
      </c>
      <c r="I456" s="226">
        <f>SUMPRODUCT((_PLAN_STG!$D$2:$D$1879=B456)*(_PLAN_STG!$B$2:$B$1879="MO")*(_PLAN_STG!$O$2:$O$1879=1)*(_PLAN_STG!$P$2:$P$1879&gt;0))</f>
        <v>0</v>
      </c>
      <c r="J456" s="224" t="str">
        <f>IF(D456="MO/ALB",IFERROR(VLOOKUP(B456,MANO_DE_OBRA!$A:$F,6,FALSE()),""),IF(D456="MO/OTR",IFERROR(VLOOKUP(B456,SUBCONTRATOS_PRY!$A:$E,5,FALSE()),""),""))</f>
        <v>Gastos generales</v>
      </c>
    </row>
    <row r="457" spans="1:10" x14ac:dyDescent="0.35">
      <c r="A457" s="222" t="str">
        <f t="shared" ref="A457:A488" si="9">IF(H457=0,"",ROW()-369+1)</f>
        <v/>
      </c>
      <c r="B457" s="223" t="s">
        <v>2383</v>
      </c>
      <c r="C457" s="224" t="str">
        <f>IFERROR(IF(D457="MO/ALB",VLOOKUP(B457,MANO_DE_OBRA!$A:$B,2,FALSE()),VLOOKUP(B457,SUBCONTRATOS_PRY!$A:$B,2,FALSE())),IFERROR(INDEX(COMPOSICIÓN!$E$2:$E$1879,MATCH(B457,COMPOSICIÓN!$D$2:$D$1879,0)),""))</f>
        <v>MO Tecnico de seguridad &amp; higiene permanente en Obra</v>
      </c>
      <c r="D457" s="225" t="s">
        <v>2837</v>
      </c>
      <c r="E457" s="225" t="str">
        <f>IF(D457="MO/ALB","jornal",IFERROR(VLOOKUP(B457,SUBCONTRATOS_PRY!$A:$C,3,FALSE()),IFERROR(INDEX(COMPOSICIÓN!$F$2:$F$1879,MATCH(B457,COMPOSICIÓN!$D$2:$D$1879,0)),"")))</f>
        <v>mes</v>
      </c>
      <c r="F457" s="161">
        <f>SUMIFS(_PLAN_STG!$P$2:$P$1879,_PLAN_STG!$D$2:$D$1879,B457,_PLAN_STG!$B$2:$B$1879,"MO",_PLAN_STG!$O$2:$O$1879,1)</f>
        <v>0</v>
      </c>
      <c r="G457" s="162">
        <f>IFERROR(IF(D457="MO/ALB",VLOOKUP(B457,MANO_DE_OBRA!$A:$C,3,FALSE()),VLOOKUP(B457,SUBCONTRATOS_PRY!$A:$D,4,FALSE())),IFERROR(INDEX(COMPOSICIÓN!$I$2:$I$1879,MATCH(B457,COMPOSICIÓN!$D$2:$D$1879,0)),0))</f>
        <v>1504670.291</v>
      </c>
      <c r="H457" s="163">
        <f>SUMIFS(_PLAN_STG!$Q$2:$Q$1879,_PLAN_STG!$D$2:$D$1879,B457,_PLAN_STG!$B$2:$B$1879,"MO",_PLAN_STG!$O$2:$O$1879,1)</f>
        <v>0</v>
      </c>
      <c r="I457" s="226">
        <f>SUMPRODUCT((_PLAN_STG!$D$2:$D$1879=B457)*(_PLAN_STG!$B$2:$B$1879="MO")*(_PLAN_STG!$O$2:$O$1879=1)*(_PLAN_STG!$P$2:$P$1879&gt;0))</f>
        <v>0</v>
      </c>
      <c r="J457" s="224" t="str">
        <f>IF(D457="MO/ALB",IFERROR(VLOOKUP(B457,MANO_DE_OBRA!$A:$F,6,FALSE()),""),IF(D457="MO/OTR",IFERROR(VLOOKUP(B457,SUBCONTRATOS_PRY!$A:$E,5,FALSE()),""),""))</f>
        <v>Gastos generales</v>
      </c>
    </row>
    <row r="458" spans="1:10" x14ac:dyDescent="0.35">
      <c r="A458" s="222" t="str">
        <f t="shared" si="9"/>
        <v/>
      </c>
      <c r="B458" s="223" t="s">
        <v>2386</v>
      </c>
      <c r="C458" s="224" t="str">
        <f>IFERROR(IF(D458="MO/ALB",VLOOKUP(B458,MANO_DE_OBRA!$A:$B,2,FALSE()),VLOOKUP(B458,SUBCONTRATOS_PRY!$A:$B,2,FALSE())),IFERROR(INDEX(COMPOSICIÓN!$E$2:$E$1879,MATCH(B458,COMPOSICIÓN!$D$2:$D$1879,0)),""))</f>
        <v>MO Higiene y seguridad Res 51</v>
      </c>
      <c r="D458" s="225" t="s">
        <v>2837</v>
      </c>
      <c r="E458" s="225" t="str">
        <f>IF(D458="MO/ALB","jornal",IFERROR(VLOOKUP(B458,SUBCONTRATOS_PRY!$A:$C,3,FALSE()),IFERROR(INDEX(COMPOSICIÓN!$F$2:$F$1879,MATCH(B458,COMPOSICIÓN!$D$2:$D$1879,0)),"")))</f>
        <v>mes</v>
      </c>
      <c r="F458" s="161">
        <f>SUMIFS(_PLAN_STG!$P$2:$P$1879,_PLAN_STG!$D$2:$D$1879,B458,_PLAN_STG!$B$2:$B$1879,"MO",_PLAN_STG!$O$2:$O$1879,1)</f>
        <v>0</v>
      </c>
      <c r="G458" s="162">
        <f>IFERROR(IF(D458="MO/ALB",VLOOKUP(B458,MANO_DE_OBRA!$A:$C,3,FALSE()),VLOOKUP(B458,SUBCONTRATOS_PRY!$A:$D,4,FALSE())),IFERROR(INDEX(COMPOSICIÓN!$I$2:$I$1879,MATCH(B458,COMPOSICIÓN!$D$2:$D$1879,0)),0))</f>
        <v>150000</v>
      </c>
      <c r="H458" s="163">
        <f>SUMIFS(_PLAN_STG!$Q$2:$Q$1879,_PLAN_STG!$D$2:$D$1879,B458,_PLAN_STG!$B$2:$B$1879,"MO",_PLAN_STG!$O$2:$O$1879,1)</f>
        <v>0</v>
      </c>
      <c r="I458" s="226">
        <f>SUMPRODUCT((_PLAN_STG!$D$2:$D$1879=B458)*(_PLAN_STG!$B$2:$B$1879="MO")*(_PLAN_STG!$O$2:$O$1879=1)*(_PLAN_STG!$P$2:$P$1879&gt;0))</f>
        <v>0</v>
      </c>
      <c r="J458" s="224" t="str">
        <f>IF(D458="MO/ALB",IFERROR(VLOOKUP(B458,MANO_DE_OBRA!$A:$F,6,FALSE()),""),IF(D458="MO/OTR",IFERROR(VLOOKUP(B458,SUBCONTRATOS_PRY!$A:$E,5,FALSE()),""),""))</f>
        <v>Gastos generales</v>
      </c>
    </row>
    <row r="459" spans="1:10" x14ac:dyDescent="0.35">
      <c r="A459" s="222" t="str">
        <f t="shared" si="9"/>
        <v/>
      </c>
      <c r="B459" s="223" t="s">
        <v>2389</v>
      </c>
      <c r="C459" s="224" t="str">
        <f>IFERROR(IF(D459="MO/ALB",VLOOKUP(B459,MANO_DE_OBRA!$A:$B,2,FALSE()),VLOOKUP(B459,SUBCONTRATOS_PRY!$A:$B,2,FALSE())),IFERROR(INDEX(COMPOSICIÓN!$E$2:$E$1879,MATCH(B459,COMPOSICIÓN!$D$2:$D$1879,0)),""))</f>
        <v>MO Fletes</v>
      </c>
      <c r="D459" s="225" t="s">
        <v>2837</v>
      </c>
      <c r="E459" s="225" t="str">
        <f>IF(D459="MO/ALB","jornal",IFERROR(VLOOKUP(B459,SUBCONTRATOS_PRY!$A:$C,3,FALSE()),IFERROR(INDEX(COMPOSICIÓN!$F$2:$F$1879,MATCH(B459,COMPOSICIÓN!$D$2:$D$1879,0)),"")))</f>
        <v>mes</v>
      </c>
      <c r="F459" s="161">
        <f>SUMIFS(_PLAN_STG!$P$2:$P$1879,_PLAN_STG!$D$2:$D$1879,B459,_PLAN_STG!$B$2:$B$1879,"MO",_PLAN_STG!$O$2:$O$1879,1)</f>
        <v>0</v>
      </c>
      <c r="G459" s="162">
        <f>IFERROR(IF(D459="MO/ALB",VLOOKUP(B459,MANO_DE_OBRA!$A:$C,3,FALSE()),VLOOKUP(B459,SUBCONTRATOS_PRY!$A:$D,4,FALSE())),IFERROR(INDEX(COMPOSICIÓN!$I$2:$I$1879,MATCH(B459,COMPOSICIÓN!$D$2:$D$1879,0)),0))</f>
        <v>300000</v>
      </c>
      <c r="H459" s="163">
        <f>SUMIFS(_PLAN_STG!$Q$2:$Q$1879,_PLAN_STG!$D$2:$D$1879,B459,_PLAN_STG!$B$2:$B$1879,"MO",_PLAN_STG!$O$2:$O$1879,1)</f>
        <v>0</v>
      </c>
      <c r="I459" s="226">
        <f>SUMPRODUCT((_PLAN_STG!$D$2:$D$1879=B459)*(_PLAN_STG!$B$2:$B$1879="MO")*(_PLAN_STG!$O$2:$O$1879=1)*(_PLAN_STG!$P$2:$P$1879&gt;0))</f>
        <v>0</v>
      </c>
      <c r="J459" s="224" t="str">
        <f>IF(D459="MO/ALB",IFERROR(VLOOKUP(B459,MANO_DE_OBRA!$A:$F,6,FALSE()),""),IF(D459="MO/OTR",IFERROR(VLOOKUP(B459,SUBCONTRATOS_PRY!$A:$E,5,FALSE()),""),""))</f>
        <v>Gastos generales</v>
      </c>
    </row>
    <row r="460" spans="1:10" x14ac:dyDescent="0.35">
      <c r="A460" s="222" t="str">
        <f t="shared" si="9"/>
        <v/>
      </c>
      <c r="B460" s="223" t="s">
        <v>2392</v>
      </c>
      <c r="C460" s="224" t="str">
        <f>IFERROR(IF(D460="MO/ALB",VLOOKUP(B460,MANO_DE_OBRA!$A:$B,2,FALSE()),VLOOKUP(B460,SUBCONTRATOS_PRY!$A:$B,2,FALSE())),IFERROR(INDEX(COMPOSICIÓN!$E$2:$E$1879,MATCH(B460,COMPOSICIÓN!$D$2:$D$1879,0)),""))</f>
        <v>MO Volquetes</v>
      </c>
      <c r="D460" s="225" t="s">
        <v>2837</v>
      </c>
      <c r="E460" s="225" t="str">
        <f>IF(D460="MO/ALB","jornal",IFERROR(VLOOKUP(B460,SUBCONTRATOS_PRY!$A:$C,3,FALSE()),IFERROR(INDEX(COMPOSICIÓN!$F$2:$F$1879,MATCH(B460,COMPOSICIÓN!$D$2:$D$1879,0)),"")))</f>
        <v>mes</v>
      </c>
      <c r="F460" s="161">
        <f>SUMIFS(_PLAN_STG!$P$2:$P$1879,_PLAN_STG!$D$2:$D$1879,B460,_PLAN_STG!$B$2:$B$1879,"MO",_PLAN_STG!$O$2:$O$1879,1)</f>
        <v>0</v>
      </c>
      <c r="G460" s="162">
        <f>IFERROR(IF(D460="MO/ALB",VLOOKUP(B460,MANO_DE_OBRA!$A:$C,3,FALSE()),VLOOKUP(B460,SUBCONTRATOS_PRY!$A:$D,4,FALSE())),IFERROR(INDEX(COMPOSICIÓN!$I$2:$I$1879,MATCH(B460,COMPOSICIÓN!$D$2:$D$1879,0)),0))</f>
        <v>60860.580776572002</v>
      </c>
      <c r="H460" s="163">
        <f>SUMIFS(_PLAN_STG!$Q$2:$Q$1879,_PLAN_STG!$D$2:$D$1879,B460,_PLAN_STG!$B$2:$B$1879,"MO",_PLAN_STG!$O$2:$O$1879,1)</f>
        <v>0</v>
      </c>
      <c r="I460" s="226">
        <f>SUMPRODUCT((_PLAN_STG!$D$2:$D$1879=B460)*(_PLAN_STG!$B$2:$B$1879="MO")*(_PLAN_STG!$O$2:$O$1879=1)*(_PLAN_STG!$P$2:$P$1879&gt;0))</f>
        <v>0</v>
      </c>
      <c r="J460" s="224" t="str">
        <f>IF(D460="MO/ALB",IFERROR(VLOOKUP(B460,MANO_DE_OBRA!$A:$F,6,FALSE()),""),IF(D460="MO/OTR",IFERROR(VLOOKUP(B460,SUBCONTRATOS_PRY!$A:$E,5,FALSE()),""),""))</f>
        <v>Gastos generales</v>
      </c>
    </row>
    <row r="461" spans="1:10" x14ac:dyDescent="0.35">
      <c r="A461" s="222" t="str">
        <f t="shared" si="9"/>
        <v/>
      </c>
      <c r="B461" s="223" t="s">
        <v>2395</v>
      </c>
      <c r="C461" s="224" t="str">
        <f>IFERROR(IF(D461="MO/ALB",VLOOKUP(B461,MANO_DE_OBRA!$A:$B,2,FALSE()),VLOOKUP(B461,SUBCONTRATOS_PRY!$A:$B,2,FALSE())),IFERROR(INDEX(COMPOSICIÓN!$E$2:$E$1879,MATCH(B461,COMPOSICIÓN!$D$2:$D$1879,0)),""))</f>
        <v>MO Supervisión profesional de Obra</v>
      </c>
      <c r="D461" s="225" t="s">
        <v>2837</v>
      </c>
      <c r="E461" s="225" t="str">
        <f>IF(D461="MO/ALB","jornal",IFERROR(VLOOKUP(B461,SUBCONTRATOS_PRY!$A:$C,3,FALSE()),IFERROR(INDEX(COMPOSICIÓN!$F$2:$F$1879,MATCH(B461,COMPOSICIÓN!$D$2:$D$1879,0)),"")))</f>
        <v>mes</v>
      </c>
      <c r="F461" s="161">
        <f>SUMIFS(_PLAN_STG!$P$2:$P$1879,_PLAN_STG!$D$2:$D$1879,B461,_PLAN_STG!$B$2:$B$1879,"MO",_PLAN_STG!$O$2:$O$1879,1)</f>
        <v>0</v>
      </c>
      <c r="G461" s="162">
        <f>IFERROR(IF(D461="MO/ALB",VLOOKUP(B461,MANO_DE_OBRA!$A:$C,3,FALSE()),VLOOKUP(B461,SUBCONTRATOS_PRY!$A:$D,4,FALSE())),IFERROR(INDEX(COMPOSICIÓN!$I$2:$I$1879,MATCH(B461,COMPOSICIÓN!$D$2:$D$1879,0)),0))</f>
        <v>4372210.5820000004</v>
      </c>
      <c r="H461" s="163">
        <f>SUMIFS(_PLAN_STG!$Q$2:$Q$1879,_PLAN_STG!$D$2:$D$1879,B461,_PLAN_STG!$B$2:$B$1879,"MO",_PLAN_STG!$O$2:$O$1879,1)</f>
        <v>0</v>
      </c>
      <c r="I461" s="226">
        <f>SUMPRODUCT((_PLAN_STG!$D$2:$D$1879=B461)*(_PLAN_STG!$B$2:$B$1879="MO")*(_PLAN_STG!$O$2:$O$1879=1)*(_PLAN_STG!$P$2:$P$1879&gt;0))</f>
        <v>0</v>
      </c>
      <c r="J461" s="224" t="str">
        <f>IF(D461="MO/ALB",IFERROR(VLOOKUP(B461,MANO_DE_OBRA!$A:$F,6,FALSE()),""),IF(D461="MO/OTR",IFERROR(VLOOKUP(B461,SUBCONTRATOS_PRY!$A:$E,5,FALSE()),""),""))</f>
        <v>Gastos generales</v>
      </c>
    </row>
    <row r="462" spans="1:10" x14ac:dyDescent="0.35">
      <c r="A462" s="222" t="str">
        <f t="shared" si="9"/>
        <v/>
      </c>
      <c r="B462" s="223" t="s">
        <v>2398</v>
      </c>
      <c r="C462" s="224" t="str">
        <f>IFERROR(IF(D462="MO/ALB",VLOOKUP(B462,MANO_DE_OBRA!$A:$B,2,FALSE()),VLOOKUP(B462,SUBCONTRATOS_PRY!$A:$B,2,FALSE())),IFERROR(INDEX(COMPOSICIÓN!$E$2:$E$1879,MATCH(B462,COMPOSICIÓN!$D$2:$D$1879,0)),""))</f>
        <v>MO Movilidad y viaticos</v>
      </c>
      <c r="D462" s="225" t="s">
        <v>2837</v>
      </c>
      <c r="E462" s="225" t="str">
        <f>IF(D462="MO/ALB","jornal",IFERROR(VLOOKUP(B462,SUBCONTRATOS_PRY!$A:$C,3,FALSE()),IFERROR(INDEX(COMPOSICIÓN!$F$2:$F$1879,MATCH(B462,COMPOSICIÓN!$D$2:$D$1879,0)),"")))</f>
        <v>mes</v>
      </c>
      <c r="F462" s="161">
        <f>SUMIFS(_PLAN_STG!$P$2:$P$1879,_PLAN_STG!$D$2:$D$1879,B462,_PLAN_STG!$B$2:$B$1879,"MO",_PLAN_STG!$O$2:$O$1879,1)</f>
        <v>0</v>
      </c>
      <c r="G462" s="162">
        <f>IFERROR(IF(D462="MO/ALB",VLOOKUP(B462,MANO_DE_OBRA!$A:$C,3,FALSE()),VLOOKUP(B462,SUBCONTRATOS_PRY!$A:$D,4,FALSE())),IFERROR(INDEX(COMPOSICIÓN!$I$2:$I$1879,MATCH(B462,COMPOSICIÓN!$D$2:$D$1879,0)),0))</f>
        <v>500000</v>
      </c>
      <c r="H462" s="163">
        <f>SUMIFS(_PLAN_STG!$Q$2:$Q$1879,_PLAN_STG!$D$2:$D$1879,B462,_PLAN_STG!$B$2:$B$1879,"MO",_PLAN_STG!$O$2:$O$1879,1)</f>
        <v>0</v>
      </c>
      <c r="I462" s="226">
        <f>SUMPRODUCT((_PLAN_STG!$D$2:$D$1879=B462)*(_PLAN_STG!$B$2:$B$1879="MO")*(_PLAN_STG!$O$2:$O$1879=1)*(_PLAN_STG!$P$2:$P$1879&gt;0))</f>
        <v>0</v>
      </c>
      <c r="J462" s="224" t="str">
        <f>IF(D462="MO/ALB",IFERROR(VLOOKUP(B462,MANO_DE_OBRA!$A:$F,6,FALSE()),""),IF(D462="MO/OTR",IFERROR(VLOOKUP(B462,SUBCONTRATOS_PRY!$A:$E,5,FALSE()),""),""))</f>
        <v>Gastos generales</v>
      </c>
    </row>
    <row r="463" spans="1:10" x14ac:dyDescent="0.35">
      <c r="A463" s="222" t="str">
        <f t="shared" si="9"/>
        <v/>
      </c>
      <c r="B463" s="223" t="s">
        <v>2401</v>
      </c>
      <c r="C463" s="224" t="str">
        <f>IFERROR(IF(D463="MO/ALB",VLOOKUP(B463,MANO_DE_OBRA!$A:$B,2,FALSE()),VLOOKUP(B463,SUBCONTRATOS_PRY!$A:$B,2,FALSE())),IFERROR(INDEX(COMPOSICIÓN!$E$2:$E$1879,MATCH(B463,COMPOSICIÓN!$D$2:$D$1879,0)),""))</f>
        <v xml:space="preserve">Baño portatil / Ducha </v>
      </c>
      <c r="D463" s="225" t="s">
        <v>2837</v>
      </c>
      <c r="E463" s="225" t="str">
        <f>IF(D463="MO/ALB","jornal",IFERROR(VLOOKUP(B463,SUBCONTRATOS_PRY!$A:$C,3,FALSE()),IFERROR(INDEX(COMPOSICIÓN!$F$2:$F$1879,MATCH(B463,COMPOSICIÓN!$D$2:$D$1879,0)),"")))</f>
        <v>gl</v>
      </c>
      <c r="F463" s="161">
        <f>SUMIFS(_PLAN_STG!$P$2:$P$1879,_PLAN_STG!$D$2:$D$1879,B463,_PLAN_STG!$B$2:$B$1879,"MO",_PLAN_STG!$O$2:$O$1879,1)</f>
        <v>0</v>
      </c>
      <c r="G463" s="162">
        <f>IFERROR(IF(D463="MO/ALB",VLOOKUP(B463,MANO_DE_OBRA!$A:$C,3,FALSE()),VLOOKUP(B463,SUBCONTRATOS_PRY!$A:$D,4,FALSE())),IFERROR(INDEX(COMPOSICIÓN!$I$2:$I$1879,MATCH(B463,COMPOSICIÓN!$D$2:$D$1879,0)),0))</f>
        <v>79748.530293941207</v>
      </c>
      <c r="H463" s="163">
        <f>SUMIFS(_PLAN_STG!$Q$2:$Q$1879,_PLAN_STG!$D$2:$D$1879,B463,_PLAN_STG!$B$2:$B$1879,"MO",_PLAN_STG!$O$2:$O$1879,1)</f>
        <v>0</v>
      </c>
      <c r="I463" s="226">
        <f>SUMPRODUCT((_PLAN_STG!$D$2:$D$1879=B463)*(_PLAN_STG!$B$2:$B$1879="MO")*(_PLAN_STG!$O$2:$O$1879=1)*(_PLAN_STG!$P$2:$P$1879&gt;0))</f>
        <v>0</v>
      </c>
      <c r="J463" s="224" t="str">
        <f>IF(D463="MO/ALB",IFERROR(VLOOKUP(B463,MANO_DE_OBRA!$A:$F,6,FALSE()),""),IF(D463="MO/OTR",IFERROR(VLOOKUP(B463,SUBCONTRATOS_PRY!$A:$E,5,FALSE()),""),""))</f>
        <v>Varios</v>
      </c>
    </row>
    <row r="464" spans="1:10" x14ac:dyDescent="0.35">
      <c r="A464" s="222" t="str">
        <f t="shared" si="9"/>
        <v/>
      </c>
      <c r="B464" s="223" t="s">
        <v>2403</v>
      </c>
      <c r="C464" s="224" t="str">
        <f>IFERROR(IF(D464="MO/ALB",VLOOKUP(B464,MANO_DE_OBRA!$A:$B,2,FALSE()),VLOOKUP(B464,SUBCONTRATOS_PRY!$A:$B,2,FALSE())),IFERROR(INDEX(COMPOSICIÓN!$E$2:$E$1879,MATCH(B464,COMPOSICIÓN!$D$2:$D$1879,0)),""))</f>
        <v xml:space="preserve">Traslado flete entrega/ retiro </v>
      </c>
      <c r="D464" s="225" t="s">
        <v>2837</v>
      </c>
      <c r="E464" s="225" t="str">
        <f>IF(D464="MO/ALB","jornal",IFERROR(VLOOKUP(B464,SUBCONTRATOS_PRY!$A:$C,3,FALSE()),IFERROR(INDEX(COMPOSICIÓN!$F$2:$F$1879,MATCH(B464,COMPOSICIÓN!$D$2:$D$1879,0)),"")))</f>
        <v>gl</v>
      </c>
      <c r="F464" s="161">
        <f>SUMIFS(_PLAN_STG!$P$2:$P$1879,_PLAN_STG!$D$2:$D$1879,B464,_PLAN_STG!$B$2:$B$1879,"MO",_PLAN_STG!$O$2:$O$1879,1)</f>
        <v>0</v>
      </c>
      <c r="G464" s="162">
        <f>IFERROR(IF(D464="MO/ALB",VLOOKUP(B464,MANO_DE_OBRA!$A:$C,3,FALSE()),VLOOKUP(B464,SUBCONTRATOS_PRY!$A:$D,4,FALSE())),IFERROR(INDEX(COMPOSICIÓN!$I$2:$I$1879,MATCH(B464,COMPOSICIÓN!$D$2:$D$1879,0)),0))</f>
        <v>13291.421715656899</v>
      </c>
      <c r="H464" s="163">
        <f>SUMIFS(_PLAN_STG!$Q$2:$Q$1879,_PLAN_STG!$D$2:$D$1879,B464,_PLAN_STG!$B$2:$B$1879,"MO",_PLAN_STG!$O$2:$O$1879,1)</f>
        <v>0</v>
      </c>
      <c r="I464" s="226">
        <f>SUMPRODUCT((_PLAN_STG!$D$2:$D$1879=B464)*(_PLAN_STG!$B$2:$B$1879="MO")*(_PLAN_STG!$O$2:$O$1879=1)*(_PLAN_STG!$P$2:$P$1879&gt;0))</f>
        <v>0</v>
      </c>
      <c r="J464" s="224" t="str">
        <f>IF(D464="MO/ALB",IFERROR(VLOOKUP(B464,MANO_DE_OBRA!$A:$F,6,FALSE()),""),IF(D464="MO/OTR",IFERROR(VLOOKUP(B464,SUBCONTRATOS_PRY!$A:$E,5,FALSE()),""),""))</f>
        <v>Varios</v>
      </c>
    </row>
    <row r="465" spans="1:10" x14ac:dyDescent="0.35">
      <c r="A465" s="222" t="str">
        <f t="shared" si="9"/>
        <v/>
      </c>
      <c r="B465" s="223" t="s">
        <v>2411</v>
      </c>
      <c r="C465" s="224" t="str">
        <f>IFERROR(IF(D465="MO/ALB",VLOOKUP(B465,MANO_DE_OBRA!$A:$B,2,FALSE()),VLOOKUP(B465,SUBCONTRATOS_PRY!$A:$B,2,FALSE())),IFERROR(INDEX(COMPOSICIÓN!$E$2:$E$1879,MATCH(B465,COMPOSICIÓN!$D$2:$D$1879,0)),""))</f>
        <v>MO adicional s/MO 100% - PTO-0502</v>
      </c>
      <c r="D465" s="225" t="s">
        <v>2837</v>
      </c>
      <c r="E465" s="225" t="str">
        <f>IF(D465="MO/ALB","jornal",IFERROR(VLOOKUP(B465,SUBCONTRATOS_PRY!$A:$C,3,FALSE()),IFERROR(INDEX(COMPOSICIÓN!$F$2:$F$1879,MATCH(B465,COMPOSICIÓN!$D$2:$D$1879,0)),"")))</f>
        <v>m2</v>
      </c>
      <c r="F465" s="161">
        <f>SUMIFS(_PLAN_STG!$P$2:$P$1879,_PLAN_STG!$D$2:$D$1879,B465,_PLAN_STG!$B$2:$B$1879,"MO",_PLAN_STG!$O$2:$O$1879,1)</f>
        <v>0</v>
      </c>
      <c r="G465" s="162">
        <f>IFERROR(IF(D465="MO/ALB",VLOOKUP(B465,MANO_DE_OBRA!$A:$C,3,FALSE()),VLOOKUP(B465,SUBCONTRATOS_PRY!$A:$D,4,FALSE())),IFERROR(INDEX(COMPOSICIÓN!$I$2:$I$1879,MATCH(B465,COMPOSICIÓN!$D$2:$D$1879,0)),0))</f>
        <v>146787.677933144</v>
      </c>
      <c r="H465" s="163">
        <f>SUMIFS(_PLAN_STG!$Q$2:$Q$1879,_PLAN_STG!$D$2:$D$1879,B465,_PLAN_STG!$B$2:$B$1879,"MO",_PLAN_STG!$O$2:$O$1879,1)</f>
        <v>0</v>
      </c>
      <c r="I465" s="226">
        <f>SUMPRODUCT((_PLAN_STG!$D$2:$D$1879=B465)*(_PLAN_STG!$B$2:$B$1879="MO")*(_PLAN_STG!$O$2:$O$1879=1)*(_PLAN_STG!$P$2:$P$1879&gt;0))</f>
        <v>0</v>
      </c>
      <c r="J465" s="224" t="str">
        <f>IF(D465="MO/ALB",IFERROR(VLOOKUP(B465,MANO_DE_OBRA!$A:$F,6,FALSE()),""),IF(D465="MO/OTR",IFERROR(VLOOKUP(B465,SUBCONTRATOS_PRY!$A:$E,5,FALSE()),""),""))</f>
        <v>Varios</v>
      </c>
    </row>
    <row r="466" spans="1:10" x14ac:dyDescent="0.35">
      <c r="A466" s="222" t="str">
        <f t="shared" si="9"/>
        <v/>
      </c>
      <c r="B466" s="223" t="s">
        <v>2413</v>
      </c>
      <c r="C466" s="224" t="str">
        <f>IFERROR(IF(D466="MO/ALB",VLOOKUP(B466,MANO_DE_OBRA!$A:$B,2,FALSE()),VLOOKUP(B466,SUBCONTRATOS_PRY!$A:$B,2,FALSE())),IFERROR(INDEX(COMPOSICIÓN!$E$2:$E$1879,MATCH(B466,COMPOSICIÓN!$D$2:$D$1879,0)),""))</f>
        <v>MO adicional s/MO 60% - PTO-0506</v>
      </c>
      <c r="D466" s="225" t="s">
        <v>2837</v>
      </c>
      <c r="E466" s="225" t="str">
        <f>IF(D466="MO/ALB","jornal",IFERROR(VLOOKUP(B466,SUBCONTRATOS_PRY!$A:$C,3,FALSE()),IFERROR(INDEX(COMPOSICIÓN!$F$2:$F$1879,MATCH(B466,COMPOSICIÓN!$D$2:$D$1879,0)),"")))</f>
        <v>m2</v>
      </c>
      <c r="F466" s="161">
        <f>SUMIFS(_PLAN_STG!$P$2:$P$1879,_PLAN_STG!$D$2:$D$1879,B466,_PLAN_STG!$B$2:$B$1879,"MO",_PLAN_STG!$O$2:$O$1879,1)</f>
        <v>0</v>
      </c>
      <c r="G466" s="162">
        <f>IFERROR(IF(D466="MO/ALB",VLOOKUP(B466,MANO_DE_OBRA!$A:$C,3,FALSE()),VLOOKUP(B466,SUBCONTRATOS_PRY!$A:$D,4,FALSE())),IFERROR(INDEX(COMPOSICIÓN!$I$2:$I$1879,MATCH(B466,COMPOSICIÓN!$D$2:$D$1879,0)),0))</f>
        <v>88072.606759886403</v>
      </c>
      <c r="H466" s="163">
        <f>SUMIFS(_PLAN_STG!$Q$2:$Q$1879,_PLAN_STG!$D$2:$D$1879,B466,_PLAN_STG!$B$2:$B$1879,"MO",_PLAN_STG!$O$2:$O$1879,1)</f>
        <v>0</v>
      </c>
      <c r="I466" s="226">
        <f>SUMPRODUCT((_PLAN_STG!$D$2:$D$1879=B466)*(_PLAN_STG!$B$2:$B$1879="MO")*(_PLAN_STG!$O$2:$O$1879=1)*(_PLAN_STG!$P$2:$P$1879&gt;0))</f>
        <v>0</v>
      </c>
      <c r="J466" s="224" t="str">
        <f>IF(D466="MO/ALB",IFERROR(VLOOKUP(B466,MANO_DE_OBRA!$A:$F,6,FALSE()),""),IF(D466="MO/OTR",IFERROR(VLOOKUP(B466,SUBCONTRATOS_PRY!$A:$E,5,FALSE()),""),""))</f>
        <v>Varios</v>
      </c>
    </row>
    <row r="467" spans="1:10" x14ac:dyDescent="0.35">
      <c r="A467" s="222" t="str">
        <f t="shared" si="9"/>
        <v/>
      </c>
      <c r="B467" s="223" t="s">
        <v>2418</v>
      </c>
      <c r="C467" s="224" t="str">
        <f>IFERROR(IF(D467="MO/ALB",VLOOKUP(B467,MANO_DE_OBRA!$A:$B,2,FALSE()),VLOOKUP(B467,SUBCONTRATOS_PRY!$A:$B,2,FALSE())),IFERROR(INDEX(COMPOSICIÓN!$E$2:$E$1879,MATCH(B467,COMPOSICIÓN!$D$2:$D$1879,0)),""))</f>
        <v xml:space="preserve">MO Amure Puertas de Ascensor </v>
      </c>
      <c r="D467" s="225" t="s">
        <v>2837</v>
      </c>
      <c r="E467" s="225" t="str">
        <f>IF(D467="MO/ALB","jornal",IFERROR(VLOOKUP(B467,SUBCONTRATOS_PRY!$A:$C,3,FALSE()),IFERROR(INDEX(COMPOSICIÓN!$F$2:$F$1879,MATCH(B467,COMPOSICIÓN!$D$2:$D$1879,0)),"")))</f>
        <v>u</v>
      </c>
      <c r="F467" s="161">
        <f>SUMIFS(_PLAN_STG!$P$2:$P$1879,_PLAN_STG!$D$2:$D$1879,B467,_PLAN_STG!$B$2:$B$1879,"MO",_PLAN_STG!$O$2:$O$1879,1)</f>
        <v>0</v>
      </c>
      <c r="G467" s="162">
        <f>IFERROR(IF(D467="MO/ALB",VLOOKUP(B467,MANO_DE_OBRA!$A:$C,3,FALSE()),VLOOKUP(B467,SUBCONTRATOS_PRY!$A:$D,4,FALSE())),IFERROR(INDEX(COMPOSICIÓN!$I$2:$I$1879,MATCH(B467,COMPOSICIÓN!$D$2:$D$1879,0)),0))</f>
        <v>27522.689612464499</v>
      </c>
      <c r="H467" s="163">
        <f>SUMIFS(_PLAN_STG!$Q$2:$Q$1879,_PLAN_STG!$D$2:$D$1879,B467,_PLAN_STG!$B$2:$B$1879,"MO",_PLAN_STG!$O$2:$O$1879,1)</f>
        <v>0</v>
      </c>
      <c r="I467" s="226">
        <f>SUMPRODUCT((_PLAN_STG!$D$2:$D$1879=B467)*(_PLAN_STG!$B$2:$B$1879="MO")*(_PLAN_STG!$O$2:$O$1879=1)*(_PLAN_STG!$P$2:$P$1879&gt;0))</f>
        <v>0</v>
      </c>
      <c r="J467" s="224" t="str">
        <f>IF(D467="MO/ALB",IFERROR(VLOOKUP(B467,MANO_DE_OBRA!$A:$F,6,FALSE()),""),IF(D467="MO/OTR",IFERROR(VLOOKUP(B467,SUBCONTRATOS_PRY!$A:$E,5,FALSE()),""),""))</f>
        <v>Varios</v>
      </c>
    </row>
    <row r="468" spans="1:10" x14ac:dyDescent="0.35">
      <c r="A468" s="222" t="str">
        <f t="shared" si="9"/>
        <v/>
      </c>
      <c r="B468" s="223" t="s">
        <v>2421</v>
      </c>
      <c r="C468" s="224" t="str">
        <f>IFERROR(IF(D468="MO/ALB",VLOOKUP(B468,MANO_DE_OBRA!$A:$B,2,FALSE()),VLOOKUP(B468,SUBCONTRATOS_PRY!$A:$B,2,FALSE())),IFERROR(INDEX(COMPOSICIÓN!$E$2:$E$1879,MATCH(B468,COMPOSICIÓN!$D$2:$D$1879,0)),""))</f>
        <v>MO Incendio</v>
      </c>
      <c r="D468" s="225" t="s">
        <v>2837</v>
      </c>
      <c r="E468" s="225" t="str">
        <f>IF(D468="MO/ALB","jornal",IFERROR(VLOOKUP(B468,SUBCONTRATOS_PRY!$A:$C,3,FALSE()),IFERROR(INDEX(COMPOSICIÓN!$F$2:$F$1879,MATCH(B468,COMPOSICIÓN!$D$2:$D$1879,0)),"")))</f>
        <v>u</v>
      </c>
      <c r="F468" s="161">
        <f>SUMIFS(_PLAN_STG!$P$2:$P$1879,_PLAN_STG!$D$2:$D$1879,B468,_PLAN_STG!$B$2:$B$1879,"MO",_PLAN_STG!$O$2:$O$1879,1)</f>
        <v>0</v>
      </c>
      <c r="G468" s="162">
        <f>IFERROR(IF(D468="MO/ALB",VLOOKUP(B468,MANO_DE_OBRA!$A:$C,3,FALSE()),VLOOKUP(B468,SUBCONTRATOS_PRY!$A:$D,4,FALSE())),IFERROR(INDEX(COMPOSICIÓN!$I$2:$I$1879,MATCH(B468,COMPOSICIÓN!$D$2:$D$1879,0)),0))</f>
        <v>1816615.8408501199</v>
      </c>
      <c r="H468" s="163">
        <f>SUMIFS(_PLAN_STG!$Q$2:$Q$1879,_PLAN_STG!$D$2:$D$1879,B468,_PLAN_STG!$B$2:$B$1879,"MO",_PLAN_STG!$O$2:$O$1879,1)</f>
        <v>0</v>
      </c>
      <c r="I468" s="226">
        <f>SUMPRODUCT((_PLAN_STG!$D$2:$D$1879=B468)*(_PLAN_STG!$B$2:$B$1879="MO")*(_PLAN_STG!$O$2:$O$1879=1)*(_PLAN_STG!$P$2:$P$1879&gt;0))</f>
        <v>0</v>
      </c>
      <c r="J468" s="224" t="str">
        <f>IF(D468="MO/ALB",IFERROR(VLOOKUP(B468,MANO_DE_OBRA!$A:$F,6,FALSE()),""),IF(D468="MO/OTR",IFERROR(VLOOKUP(B468,SUBCONTRATOS_PRY!$A:$E,5,FALSE()),""),""))</f>
        <v>Incendio</v>
      </c>
    </row>
    <row r="469" spans="1:10" x14ac:dyDescent="0.35">
      <c r="A469" s="222" t="str">
        <f t="shared" si="9"/>
        <v/>
      </c>
      <c r="B469" s="223" t="s">
        <v>2424</v>
      </c>
      <c r="C469" s="224" t="str">
        <f>IFERROR(IF(D469="MO/ALB",VLOOKUP(B469,MANO_DE_OBRA!$A:$B,2,FALSE()),VLOOKUP(B469,SUBCONTRATOS_PRY!$A:$B,2,FALSE())),IFERROR(INDEX(COMPOSICIÓN!$E$2:$E$1879,MATCH(B469,COMPOSICIÓN!$D$2:$D$1879,0)),""))</f>
        <v>MO Provisión y tendido de cañerías de gas a cada UF</v>
      </c>
      <c r="D469" s="225" t="s">
        <v>2837</v>
      </c>
      <c r="E469" s="225" t="str">
        <f>IF(D469="MO/ALB","jornal",IFERROR(VLOOKUP(B469,SUBCONTRATOS_PRY!$A:$C,3,FALSE()),IFERROR(INDEX(COMPOSICIÓN!$F$2:$F$1879,MATCH(B469,COMPOSICIÓN!$D$2:$D$1879,0)),"")))</f>
        <v>u</v>
      </c>
      <c r="F469" s="161">
        <f>SUMIFS(_PLAN_STG!$P$2:$P$1879,_PLAN_STG!$D$2:$D$1879,B469,_PLAN_STG!$B$2:$B$1879,"MO",_PLAN_STG!$O$2:$O$1879,1)</f>
        <v>0</v>
      </c>
      <c r="G469" s="162">
        <f>IFERROR(IF(D469="MO/ALB",VLOOKUP(B469,MANO_DE_OBRA!$A:$C,3,FALSE()),VLOOKUP(B469,SUBCONTRATOS_PRY!$A:$D,4,FALSE())),IFERROR(INDEX(COMPOSICIÓN!$I$2:$I$1879,MATCH(B469,COMPOSICIÓN!$D$2:$D$1879,0)),0))</f>
        <v>15641236.6044</v>
      </c>
      <c r="H469" s="163">
        <f>SUMIFS(_PLAN_STG!$Q$2:$Q$1879,_PLAN_STG!$D$2:$D$1879,B469,_PLAN_STG!$B$2:$B$1879,"MO",_PLAN_STG!$O$2:$O$1879,1)</f>
        <v>0</v>
      </c>
      <c r="I469" s="226">
        <f>SUMPRODUCT((_PLAN_STG!$D$2:$D$1879=B469)*(_PLAN_STG!$B$2:$B$1879="MO")*(_PLAN_STG!$O$2:$O$1879=1)*(_PLAN_STG!$P$2:$P$1879&gt;0))</f>
        <v>0</v>
      </c>
      <c r="J469" s="224" t="str">
        <f>IF(D469="MO/ALB",IFERROR(VLOOKUP(B469,MANO_DE_OBRA!$A:$F,6,FALSE()),""),IF(D469="MO/OTR",IFERROR(VLOOKUP(B469,SUBCONTRATOS_PRY!$A:$E,5,FALSE()),""),""))</f>
        <v>Incendio</v>
      </c>
    </row>
    <row r="470" spans="1:10" x14ac:dyDescent="0.35">
      <c r="A470" s="222" t="str">
        <f t="shared" si="9"/>
        <v/>
      </c>
      <c r="B470" s="223" t="s">
        <v>2427</v>
      </c>
      <c r="C470" s="224" t="str">
        <f>IFERROR(IF(D470="MO/ALB",VLOOKUP(B470,MANO_DE_OBRA!$A:$B,2,FALSE()),VLOOKUP(B470,SUBCONTRATOS_PRY!$A:$B,2,FALSE())),IFERROR(INDEX(COMPOSICIÓN!$E$2:$E$1879,MATCH(B470,COMPOSICIÓN!$D$2:$D$1879,0)),""))</f>
        <v>MO Tabique divisorio dormitorios</v>
      </c>
      <c r="D470" s="225" t="s">
        <v>2837</v>
      </c>
      <c r="E470" s="225" t="str">
        <f>IF(D470="MO/ALB","jornal",IFERROR(VLOOKUP(B470,SUBCONTRATOS_PRY!$A:$C,3,FALSE()),IFERROR(INDEX(COMPOSICIÓN!$F$2:$F$1879,MATCH(B470,COMPOSICIÓN!$D$2:$D$1879,0)),"")))</f>
        <v>u</v>
      </c>
      <c r="F470" s="161">
        <f>SUMIFS(_PLAN_STG!$P$2:$P$1879,_PLAN_STG!$D$2:$D$1879,B470,_PLAN_STG!$B$2:$B$1879,"MO",_PLAN_STG!$O$2:$O$1879,1)</f>
        <v>0</v>
      </c>
      <c r="G470" s="162">
        <f>IFERROR(IF(D470="MO/ALB",VLOOKUP(B470,MANO_DE_OBRA!$A:$C,3,FALSE()),VLOOKUP(B470,SUBCONTRATOS_PRY!$A:$D,4,FALSE())),IFERROR(INDEX(COMPOSICIÓN!$I$2:$I$1879,MATCH(B470,COMPOSICIÓN!$D$2:$D$1879,0)),0))</f>
        <v>5407.8631711837097</v>
      </c>
      <c r="H470" s="163">
        <f>SUMIFS(_PLAN_STG!$Q$2:$Q$1879,_PLAN_STG!$D$2:$D$1879,B470,_PLAN_STG!$B$2:$B$1879,"MO",_PLAN_STG!$O$2:$O$1879,1)</f>
        <v>0</v>
      </c>
      <c r="I470" s="226">
        <f>SUMPRODUCT((_PLAN_STG!$D$2:$D$1879=B470)*(_PLAN_STG!$B$2:$B$1879="MO")*(_PLAN_STG!$O$2:$O$1879=1)*(_PLAN_STG!$P$2:$P$1879&gt;0))</f>
        <v>0</v>
      </c>
      <c r="J470" s="224" t="str">
        <f>IF(D470="MO/ALB",IFERROR(VLOOKUP(B470,MANO_DE_OBRA!$A:$F,6,FALSE()),""),IF(D470="MO/OTR",IFERROR(VLOOKUP(B470,SUBCONTRATOS_PRY!$A:$E,5,FALSE()),""),""))</f>
        <v>Construcción en seco</v>
      </c>
    </row>
    <row r="471" spans="1:10" x14ac:dyDescent="0.35">
      <c r="A471" s="222" t="str">
        <f t="shared" si="9"/>
        <v/>
      </c>
      <c r="B471" s="223" t="s">
        <v>2186</v>
      </c>
      <c r="C471" s="224" t="str">
        <f>IFERROR(IF(D471="MO/ALB",VLOOKUP(B471,MANO_DE_OBRA!$A:$B,2,FALSE()),VLOOKUP(B471,SUBCONTRATOS_PRY!$A:$B,2,FALSE())),IFERROR(INDEX(COMPOSICIÓN!$E$2:$E$1879,MATCH(B471,COMPOSICIÓN!$D$2:$D$1879,0)),""))</f>
        <v>Tablero seccional de 36 a 54 polos</v>
      </c>
      <c r="D471" s="225" t="s">
        <v>2837</v>
      </c>
      <c r="E471" s="225" t="str">
        <f>IF(D471="MO/ALB","jornal",IFERROR(VLOOKUP(B471,SUBCONTRATOS_PRY!$A:$C,3,FALSE()),IFERROR(INDEX(COMPOSICIÓN!$F$2:$F$1879,MATCH(B471,COMPOSICIÓN!$D$2:$D$1879,0)),"")))</f>
        <v>u</v>
      </c>
      <c r="F471" s="161">
        <f>SUMIFS(_PLAN_STG!$P$2:$P$1879,_PLAN_STG!$D$2:$D$1879,B471,_PLAN_STG!$B$2:$B$1879,"MO",_PLAN_STG!$O$2:$O$1879,1)</f>
        <v>0</v>
      </c>
      <c r="G471" s="162">
        <f>IFERROR(IF(D471="MO/ALB",VLOOKUP(B471,MANO_DE_OBRA!$A:$C,3,FALSE()),VLOOKUP(B471,SUBCONTRATOS_PRY!$A:$D,4,FALSE())),IFERROR(INDEX(COMPOSICIÓN!$I$2:$I$1879,MATCH(B471,COMPOSICIÓN!$D$2:$D$1879,0)),0))</f>
        <v>349202.7</v>
      </c>
      <c r="H471" s="163">
        <f>SUMIFS(_PLAN_STG!$Q$2:$Q$1879,_PLAN_STG!$D$2:$D$1879,B471,_PLAN_STG!$B$2:$B$1879,"MO",_PLAN_STG!$O$2:$O$1879,1)</f>
        <v>0</v>
      </c>
      <c r="I471" s="226">
        <f>SUMPRODUCT((_PLAN_STG!$D$2:$D$1879=B471)*(_PLAN_STG!$B$2:$B$1879="MO")*(_PLAN_STG!$O$2:$O$1879=1)*(_PLAN_STG!$P$2:$P$1879&gt;0))</f>
        <v>0</v>
      </c>
      <c r="J471" s="224" t="str">
        <f>IF(D471="MO/ALB",IFERROR(VLOOKUP(B471,MANO_DE_OBRA!$A:$F,6,FALSE()),""),IF(D471="MO/OTR",IFERROR(VLOOKUP(B471,SUBCONTRATOS_PRY!$A:$E,5,FALSE()),""),""))</f>
        <v>Electricidad — Instalación</v>
      </c>
    </row>
    <row r="472" spans="1:10" x14ac:dyDescent="0.35">
      <c r="A472" s="222" t="str">
        <f t="shared" si="9"/>
        <v/>
      </c>
      <c r="B472" s="223" t="s">
        <v>2184</v>
      </c>
      <c r="C472" s="224" t="str">
        <f>IFERROR(IF(D472="MO/ALB",VLOOKUP(B472,MANO_DE_OBRA!$A:$B,2,FALSE()),VLOOKUP(B472,SUBCONTRATOS_PRY!$A:$B,2,FALSE())),IFERROR(INDEX(COMPOSICIÓN!$E$2:$E$1879,MATCH(B472,COMPOSICIÓN!$D$2:$D$1879,0)),""))</f>
        <v>Tablero seccional de 8 a 36 polos</v>
      </c>
      <c r="D472" s="225" t="s">
        <v>2837</v>
      </c>
      <c r="E472" s="225" t="str">
        <f>IF(D472="MO/ALB","jornal",IFERROR(VLOOKUP(B472,SUBCONTRATOS_PRY!$A:$C,3,FALSE()),IFERROR(INDEX(COMPOSICIÓN!$F$2:$F$1879,MATCH(B472,COMPOSICIÓN!$D$2:$D$1879,0)),"")))</f>
        <v>u</v>
      </c>
      <c r="F472" s="161">
        <f>SUMIFS(_PLAN_STG!$P$2:$P$1879,_PLAN_STG!$D$2:$D$1879,B472,_PLAN_STG!$B$2:$B$1879,"MO",_PLAN_STG!$O$2:$O$1879,1)</f>
        <v>0</v>
      </c>
      <c r="G472" s="162">
        <f>IFERROR(IF(D472="MO/ALB",VLOOKUP(B472,MANO_DE_OBRA!$A:$C,3,FALSE()),VLOOKUP(B472,SUBCONTRATOS_PRY!$A:$D,4,FALSE())),IFERROR(INDEX(COMPOSICIÓN!$I$2:$I$1879,MATCH(B472,COMPOSICIÓN!$D$2:$D$1879,0)),0))</f>
        <v>232812.45</v>
      </c>
      <c r="H472" s="163">
        <f>SUMIFS(_PLAN_STG!$Q$2:$Q$1879,_PLAN_STG!$D$2:$D$1879,B472,_PLAN_STG!$B$2:$B$1879,"MO",_PLAN_STG!$O$2:$O$1879,1)</f>
        <v>0</v>
      </c>
      <c r="I472" s="226">
        <f>SUMPRODUCT((_PLAN_STG!$D$2:$D$1879=B472)*(_PLAN_STG!$B$2:$B$1879="MO")*(_PLAN_STG!$O$2:$O$1879=1)*(_PLAN_STG!$P$2:$P$1879&gt;0))</f>
        <v>0</v>
      </c>
      <c r="J472" s="224" t="str">
        <f>IF(D472="MO/ALB",IFERROR(VLOOKUP(B472,MANO_DE_OBRA!$A:$F,6,FALSE()),""),IF(D472="MO/OTR",IFERROR(VLOOKUP(B472,SUBCONTRATOS_PRY!$A:$E,5,FALSE()),""),""))</f>
        <v>Electricidad — Instalación</v>
      </c>
    </row>
    <row r="473" spans="1:10" x14ac:dyDescent="0.35">
      <c r="A473" s="222" t="str">
        <f t="shared" si="9"/>
        <v/>
      </c>
      <c r="B473" s="223" t="s">
        <v>2433</v>
      </c>
      <c r="C473" s="224" t="str">
        <f>IFERROR(IF(D473="MO/ALB",VLOOKUP(B473,MANO_DE_OBRA!$A:$B,2,FALSE()),VLOOKUP(B473,SUBCONTRATOS_PRY!$A:$B,2,FALSE())),IFERROR(INDEX(COMPOSICIÓN!$E$2:$E$1879,MATCH(B473,COMPOSICIÓN!$D$2:$D$1879,0)),""))</f>
        <v>Alquiler vibropisson</v>
      </c>
      <c r="D473" s="225" t="s">
        <v>2837</v>
      </c>
      <c r="E473" s="225" t="str">
        <f>IF(D473="MO/ALB","jornal",IFERROR(VLOOKUP(B473,SUBCONTRATOS_PRY!$A:$C,3,FALSE()),IFERROR(INDEX(COMPOSICIÓN!$F$2:$F$1879,MATCH(B473,COMPOSICIÓN!$D$2:$D$1879,0)),"")))</f>
        <v>d</v>
      </c>
      <c r="F473" s="161">
        <f>SUMIFS(_PLAN_STG!$P$2:$P$1879,_PLAN_STG!$D$2:$D$1879,B473,_PLAN_STG!$B$2:$B$1879,"MO",_PLAN_STG!$O$2:$O$1879,1)</f>
        <v>0</v>
      </c>
      <c r="G473" s="162">
        <f>IFERROR(IF(D473="MO/ALB",VLOOKUP(B473,MANO_DE_OBRA!$A:$C,3,FALSE()),VLOOKUP(B473,SUBCONTRATOS_PRY!$A:$D,4,FALSE())),IFERROR(INDEX(COMPOSICIÓN!$I$2:$I$1879,MATCH(B473,COMPOSICIÓN!$D$2:$D$1879,0)),0))</f>
        <v>65000</v>
      </c>
      <c r="H473" s="163">
        <f>SUMIFS(_PLAN_STG!$Q$2:$Q$1879,_PLAN_STG!$D$2:$D$1879,B473,_PLAN_STG!$B$2:$B$1879,"MO",_PLAN_STG!$O$2:$O$1879,1)</f>
        <v>0</v>
      </c>
      <c r="I473" s="226">
        <f>SUMPRODUCT((_PLAN_STG!$D$2:$D$1879=B473)*(_PLAN_STG!$B$2:$B$1879="MO")*(_PLAN_STG!$O$2:$O$1879=1)*(_PLAN_STG!$P$2:$P$1879&gt;0))</f>
        <v>0</v>
      </c>
      <c r="J473" s="224" t="str">
        <f>IF(D473="MO/ALB",IFERROR(VLOOKUP(B473,MANO_DE_OBRA!$A:$F,6,FALSE()),""),IF(D473="MO/OTR",IFERROR(VLOOKUP(B473,SUBCONTRATOS_PRY!$A:$E,5,FALSE()),""),""))</f>
        <v>Varios</v>
      </c>
    </row>
    <row r="474" spans="1:10" x14ac:dyDescent="0.35">
      <c r="A474" s="222" t="str">
        <f t="shared" si="9"/>
        <v/>
      </c>
      <c r="B474" s="223" t="s">
        <v>2435</v>
      </c>
      <c r="C474" s="224" t="str">
        <f>IFERROR(IF(D474="MO/ALB",VLOOKUP(B474,MANO_DE_OBRA!$A:$B,2,FALSE()),VLOOKUP(B474,SUBCONTRATOS_PRY!$A:$B,2,FALSE())),IFERROR(INDEX(COMPOSICIÓN!$E$2:$E$1879,MATCH(B474,COMPOSICIÓN!$D$2:$D$1879,0)),""))</f>
        <v>Alquiler vibropison</v>
      </c>
      <c r="D474" s="225" t="s">
        <v>2837</v>
      </c>
      <c r="E474" s="225" t="str">
        <f>IF(D474="MO/ALB","jornal",IFERROR(VLOOKUP(B474,SUBCONTRATOS_PRY!$A:$C,3,FALSE()),IFERROR(INDEX(COMPOSICIÓN!$F$2:$F$1879,MATCH(B474,COMPOSICIÓN!$D$2:$D$1879,0)),"")))</f>
        <v>sem</v>
      </c>
      <c r="F474" s="161">
        <f>SUMIFS(_PLAN_STG!$P$2:$P$1879,_PLAN_STG!$D$2:$D$1879,B474,_PLAN_STG!$B$2:$B$1879,"MO",_PLAN_STG!$O$2:$O$1879,1)</f>
        <v>0</v>
      </c>
      <c r="G474" s="162">
        <f>IFERROR(IF(D474="MO/ALB",VLOOKUP(B474,MANO_DE_OBRA!$A:$C,3,FALSE()),VLOOKUP(B474,SUBCONTRATOS_PRY!$A:$D,4,FALSE())),IFERROR(INDEX(COMPOSICIÓN!$I$2:$I$1879,MATCH(B474,COMPOSICIÓN!$D$2:$D$1879,0)),0))</f>
        <v>230000</v>
      </c>
      <c r="H474" s="163">
        <f>SUMIFS(_PLAN_STG!$Q$2:$Q$1879,_PLAN_STG!$D$2:$D$1879,B474,_PLAN_STG!$B$2:$B$1879,"MO",_PLAN_STG!$O$2:$O$1879,1)</f>
        <v>0</v>
      </c>
      <c r="I474" s="226">
        <f>SUMPRODUCT((_PLAN_STG!$D$2:$D$1879=B474)*(_PLAN_STG!$B$2:$B$1879="MO")*(_PLAN_STG!$O$2:$O$1879=1)*(_PLAN_STG!$P$2:$P$1879&gt;0))</f>
        <v>0</v>
      </c>
      <c r="J474" s="224" t="str">
        <f>IF(D474="MO/ALB",IFERROR(VLOOKUP(B474,MANO_DE_OBRA!$A:$F,6,FALSE()),""),IF(D474="MO/OTR",IFERROR(VLOOKUP(B474,SUBCONTRATOS_PRY!$A:$E,5,FALSE()),""),""))</f>
        <v>Varios</v>
      </c>
    </row>
    <row r="475" spans="1:10" x14ac:dyDescent="0.35">
      <c r="A475" s="222" t="str">
        <f t="shared" si="9"/>
        <v/>
      </c>
      <c r="B475" s="223" t="s">
        <v>2437</v>
      </c>
      <c r="C475" s="224" t="str">
        <f>IFERROR(IF(D475="MO/ALB",VLOOKUP(B475,MANO_DE_OBRA!$A:$B,2,FALSE()),VLOOKUP(B475,SUBCONTRATOS_PRY!$A:$B,2,FALSE())),IFERROR(INDEX(COMPOSICIÓN!$E$2:$E$1879,MATCH(B475,COMPOSICIÓN!$D$2:$D$1879,0)),""))</f>
        <v>Alquiler vibropison</v>
      </c>
      <c r="D475" s="225" t="s">
        <v>2837</v>
      </c>
      <c r="E475" s="225" t="str">
        <f>IF(D475="MO/ALB","jornal",IFERROR(VLOOKUP(B475,SUBCONTRATOS_PRY!$A:$C,3,FALSE()),IFERROR(INDEX(COMPOSICIÓN!$F$2:$F$1879,MATCH(B475,COMPOSICIÓN!$D$2:$D$1879,0)),"")))</f>
        <v>sem</v>
      </c>
      <c r="F475" s="161">
        <f>SUMIFS(_PLAN_STG!$P$2:$P$1879,_PLAN_STG!$D$2:$D$1879,B475,_PLAN_STG!$B$2:$B$1879,"MO",_PLAN_STG!$O$2:$O$1879,1)</f>
        <v>0</v>
      </c>
      <c r="G475" s="162">
        <f>IFERROR(IF(D475="MO/ALB",VLOOKUP(B475,MANO_DE_OBRA!$A:$C,3,FALSE()),VLOOKUP(B475,SUBCONTRATOS_PRY!$A:$D,4,FALSE())),IFERROR(INDEX(COMPOSICIÓN!$I$2:$I$1879,MATCH(B475,COMPOSICIÓN!$D$2:$D$1879,0)),0))</f>
        <v>250000</v>
      </c>
      <c r="H475" s="163">
        <f>SUMIFS(_PLAN_STG!$Q$2:$Q$1879,_PLAN_STG!$D$2:$D$1879,B475,_PLAN_STG!$B$2:$B$1879,"MO",_PLAN_STG!$O$2:$O$1879,1)</f>
        <v>0</v>
      </c>
      <c r="I475" s="226">
        <f>SUMPRODUCT((_PLAN_STG!$D$2:$D$1879=B475)*(_PLAN_STG!$B$2:$B$1879="MO")*(_PLAN_STG!$O$2:$O$1879=1)*(_PLAN_STG!$P$2:$P$1879&gt;0))</f>
        <v>0</v>
      </c>
      <c r="J475" s="224" t="str">
        <f>IF(D475="MO/ALB",IFERROR(VLOOKUP(B475,MANO_DE_OBRA!$A:$F,6,FALSE()),""),IF(D475="MO/OTR",IFERROR(VLOOKUP(B475,SUBCONTRATOS_PRY!$A:$E,5,FALSE()),""),""))</f>
        <v>Varios</v>
      </c>
    </row>
    <row r="476" spans="1:10" x14ac:dyDescent="0.35">
      <c r="A476" s="222" t="str">
        <f t="shared" si="9"/>
        <v/>
      </c>
      <c r="B476" s="223"/>
      <c r="C476" s="224" t="str">
        <f>IFERROR(IF(D476="MO/ALB",VLOOKUP(B476,MANO_DE_OBRA!$A:$B,2,FALSE()),VLOOKUP(B476,SUBCONTRATOS_PRY!$A:$B,2,FALSE())),IFERROR(INDEX(COMPOSICIÓN!$E$2:$E$1879,MATCH(B476,COMPOSICIÓN!$D$2:$D$1879,0)),""))</f>
        <v/>
      </c>
      <c r="D476" s="225"/>
      <c r="E476" s="225" t="str">
        <f>IF(D476="MO/ALB","jornal",IFERROR(VLOOKUP(B476,SUBCONTRATOS_PRY!$A:$C,3,FALSE()),IFERROR(INDEX(COMPOSICIÓN!$F$2:$F$1879,MATCH(B476,COMPOSICIÓN!$D$2:$D$1879,0)),"")))</f>
        <v/>
      </c>
      <c r="F476" s="161">
        <f>SUMIFS(_PLAN_STG!$P$2:$P$1879,_PLAN_STG!$D$2:$D$1879,B476,_PLAN_STG!$B$2:$B$1879,"MO",_PLAN_STG!$O$2:$O$1879,1)</f>
        <v>0</v>
      </c>
      <c r="G476" s="162">
        <f>IFERROR(IF(D476="MO/ALB",VLOOKUP(B476,MANO_DE_OBRA!$A:$C,3,FALSE()),VLOOKUP(B476,SUBCONTRATOS_PRY!$A:$D,4,FALSE())),IFERROR(INDEX(COMPOSICIÓN!$I$2:$I$1879,MATCH(B476,COMPOSICIÓN!$D$2:$D$1879,0)),0))</f>
        <v>0</v>
      </c>
      <c r="H476" s="163">
        <f>SUMIFS(_PLAN_STG!$Q$2:$Q$1879,_PLAN_STG!$D$2:$D$1879,B476,_PLAN_STG!$B$2:$B$1879,"MO",_PLAN_STG!$O$2:$O$1879,1)</f>
        <v>0</v>
      </c>
      <c r="I476" s="226">
        <f>SUMPRODUCT((_PLAN_STG!$D$2:$D$1879=B476)*(_PLAN_STG!$B$2:$B$1879="MO")*(_PLAN_STG!$O$2:$O$1879=1)*(_PLAN_STG!$P$2:$P$1879&gt;0))</f>
        <v>0</v>
      </c>
      <c r="J476" s="224" t="str">
        <f>IF(D476="MO/ALB",IFERROR(VLOOKUP(B476,MANO_DE_OBRA!$A:$F,6,FALSE()),""),IF(D476="MO/OTR",IFERROR(VLOOKUP(B476,SUBCONTRATOS_PRY!$A:$E,5,FALSE()),""),""))</f>
        <v/>
      </c>
    </row>
    <row r="477" spans="1:10" x14ac:dyDescent="0.35">
      <c r="A477" s="222" t="str">
        <f t="shared" si="9"/>
        <v/>
      </c>
      <c r="B477" s="223"/>
      <c r="C477" s="224" t="str">
        <f>IFERROR(IF(D477="MO/ALB",VLOOKUP(B477,MANO_DE_OBRA!$A:$B,2,FALSE()),VLOOKUP(B477,SUBCONTRATOS_PRY!$A:$B,2,FALSE())),IFERROR(INDEX(COMPOSICIÓN!$E$2:$E$1879,MATCH(B477,COMPOSICIÓN!$D$2:$D$1879,0)),""))</f>
        <v/>
      </c>
      <c r="D477" s="225"/>
      <c r="E477" s="225" t="str">
        <f>IF(D477="MO/ALB","jornal",IFERROR(VLOOKUP(B477,SUBCONTRATOS_PRY!$A:$C,3,FALSE()),IFERROR(INDEX(COMPOSICIÓN!$F$2:$F$1879,MATCH(B477,COMPOSICIÓN!$D$2:$D$1879,0)),"")))</f>
        <v/>
      </c>
      <c r="F477" s="161">
        <f>SUMIFS(_PLAN_STG!$P$2:$P$1879,_PLAN_STG!$D$2:$D$1879,B477,_PLAN_STG!$B$2:$B$1879,"MO",_PLAN_STG!$O$2:$O$1879,1)</f>
        <v>0</v>
      </c>
      <c r="G477" s="162">
        <f>IFERROR(IF(D477="MO/ALB",VLOOKUP(B477,MANO_DE_OBRA!$A:$C,3,FALSE()),VLOOKUP(B477,SUBCONTRATOS_PRY!$A:$D,4,FALSE())),IFERROR(INDEX(COMPOSICIÓN!$I$2:$I$1879,MATCH(B477,COMPOSICIÓN!$D$2:$D$1879,0)),0))</f>
        <v>0</v>
      </c>
      <c r="H477" s="163">
        <f>SUMIFS(_PLAN_STG!$Q$2:$Q$1879,_PLAN_STG!$D$2:$D$1879,B477,_PLAN_STG!$B$2:$B$1879,"MO",_PLAN_STG!$O$2:$O$1879,1)</f>
        <v>0</v>
      </c>
      <c r="I477" s="226">
        <f>SUMPRODUCT((_PLAN_STG!$D$2:$D$1879=B477)*(_PLAN_STG!$B$2:$B$1879="MO")*(_PLAN_STG!$O$2:$O$1879=1)*(_PLAN_STG!$P$2:$P$1879&gt;0))</f>
        <v>0</v>
      </c>
      <c r="J477" s="224" t="str">
        <f>IF(D477="MO/ALB",IFERROR(VLOOKUP(B477,MANO_DE_OBRA!$A:$F,6,FALSE()),""),IF(D477="MO/OTR",IFERROR(VLOOKUP(B477,SUBCONTRATOS_PRY!$A:$E,5,FALSE()),""),""))</f>
        <v/>
      </c>
    </row>
    <row r="478" spans="1:10" x14ac:dyDescent="0.35">
      <c r="A478" s="222" t="str">
        <f t="shared" si="9"/>
        <v/>
      </c>
      <c r="B478" s="223"/>
      <c r="C478" s="224" t="str">
        <f>IFERROR(IF(D478="MO/ALB",VLOOKUP(B478,MANO_DE_OBRA!$A:$B,2,FALSE()),VLOOKUP(B478,SUBCONTRATOS_PRY!$A:$B,2,FALSE())),IFERROR(INDEX(COMPOSICIÓN!$E$2:$E$1879,MATCH(B478,COMPOSICIÓN!$D$2:$D$1879,0)),""))</f>
        <v/>
      </c>
      <c r="D478" s="225"/>
      <c r="E478" s="225" t="str">
        <f>IF(D478="MO/ALB","jornal",IFERROR(VLOOKUP(B478,SUBCONTRATOS_PRY!$A:$C,3,FALSE()),IFERROR(INDEX(COMPOSICIÓN!$F$2:$F$1879,MATCH(B478,COMPOSICIÓN!$D$2:$D$1879,0)),"")))</f>
        <v/>
      </c>
      <c r="F478" s="161">
        <f>SUMIFS(_PLAN_STG!$P$2:$P$1879,_PLAN_STG!$D$2:$D$1879,B478,_PLAN_STG!$B$2:$B$1879,"MO",_PLAN_STG!$O$2:$O$1879,1)</f>
        <v>0</v>
      </c>
      <c r="G478" s="162">
        <f>IFERROR(IF(D478="MO/ALB",VLOOKUP(B478,MANO_DE_OBRA!$A:$C,3,FALSE()),VLOOKUP(B478,SUBCONTRATOS_PRY!$A:$D,4,FALSE())),IFERROR(INDEX(COMPOSICIÓN!$I$2:$I$1879,MATCH(B478,COMPOSICIÓN!$D$2:$D$1879,0)),0))</f>
        <v>0</v>
      </c>
      <c r="H478" s="163">
        <f>SUMIFS(_PLAN_STG!$Q$2:$Q$1879,_PLAN_STG!$D$2:$D$1879,B478,_PLAN_STG!$B$2:$B$1879,"MO",_PLAN_STG!$O$2:$O$1879,1)</f>
        <v>0</v>
      </c>
      <c r="I478" s="226">
        <f>SUMPRODUCT((_PLAN_STG!$D$2:$D$1879=B478)*(_PLAN_STG!$B$2:$B$1879="MO")*(_PLAN_STG!$O$2:$O$1879=1)*(_PLAN_STG!$P$2:$P$1879&gt;0))</f>
        <v>0</v>
      </c>
      <c r="J478" s="224" t="str">
        <f>IF(D478="MO/ALB",IFERROR(VLOOKUP(B478,MANO_DE_OBRA!$A:$F,6,FALSE()),""),IF(D478="MO/OTR",IFERROR(VLOOKUP(B478,SUBCONTRATOS_PRY!$A:$E,5,FALSE()),""),""))</f>
        <v/>
      </c>
    </row>
    <row r="479" spans="1:10" x14ac:dyDescent="0.35">
      <c r="A479" s="222" t="str">
        <f t="shared" si="9"/>
        <v/>
      </c>
      <c r="B479" s="223"/>
      <c r="C479" s="224" t="str">
        <f>IFERROR(IF(D479="MO/ALB",VLOOKUP(B479,MANO_DE_OBRA!$A:$B,2,FALSE()),VLOOKUP(B479,SUBCONTRATOS_PRY!$A:$B,2,FALSE())),IFERROR(INDEX(COMPOSICIÓN!$E$2:$E$1879,MATCH(B479,COMPOSICIÓN!$D$2:$D$1879,0)),""))</f>
        <v/>
      </c>
      <c r="D479" s="225"/>
      <c r="E479" s="225" t="str">
        <f>IF(D479="MO/ALB","jornal",IFERROR(VLOOKUP(B479,SUBCONTRATOS_PRY!$A:$C,3,FALSE()),IFERROR(INDEX(COMPOSICIÓN!$F$2:$F$1879,MATCH(B479,COMPOSICIÓN!$D$2:$D$1879,0)),"")))</f>
        <v/>
      </c>
      <c r="F479" s="161">
        <f>SUMIFS(_PLAN_STG!$P$2:$P$1879,_PLAN_STG!$D$2:$D$1879,B479,_PLAN_STG!$B$2:$B$1879,"MO",_PLAN_STG!$O$2:$O$1879,1)</f>
        <v>0</v>
      </c>
      <c r="G479" s="162">
        <f>IFERROR(IF(D479="MO/ALB",VLOOKUP(B479,MANO_DE_OBRA!$A:$C,3,FALSE()),VLOOKUP(B479,SUBCONTRATOS_PRY!$A:$D,4,FALSE())),IFERROR(INDEX(COMPOSICIÓN!$I$2:$I$1879,MATCH(B479,COMPOSICIÓN!$D$2:$D$1879,0)),0))</f>
        <v>0</v>
      </c>
      <c r="H479" s="163">
        <f>SUMIFS(_PLAN_STG!$Q$2:$Q$1879,_PLAN_STG!$D$2:$D$1879,B479,_PLAN_STG!$B$2:$B$1879,"MO",_PLAN_STG!$O$2:$O$1879,1)</f>
        <v>0</v>
      </c>
      <c r="I479" s="226">
        <f>SUMPRODUCT((_PLAN_STG!$D$2:$D$1879=B479)*(_PLAN_STG!$B$2:$B$1879="MO")*(_PLAN_STG!$O$2:$O$1879=1)*(_PLAN_STG!$P$2:$P$1879&gt;0))</f>
        <v>0</v>
      </c>
      <c r="J479" s="224" t="str">
        <f>IF(D479="MO/ALB",IFERROR(VLOOKUP(B479,MANO_DE_OBRA!$A:$F,6,FALSE()),""),IF(D479="MO/OTR",IFERROR(VLOOKUP(B479,SUBCONTRATOS_PRY!$A:$E,5,FALSE()),""),""))</f>
        <v/>
      </c>
    </row>
    <row r="480" spans="1:10" x14ac:dyDescent="0.35">
      <c r="A480" s="222" t="str">
        <f t="shared" si="9"/>
        <v/>
      </c>
      <c r="B480" s="223"/>
      <c r="C480" s="224" t="str">
        <f>IFERROR(IF(D480="MO/ALB",VLOOKUP(B480,MANO_DE_OBRA!$A:$B,2,FALSE()),VLOOKUP(B480,SUBCONTRATOS_PRY!$A:$B,2,FALSE())),IFERROR(INDEX(COMPOSICIÓN!$E$2:$E$1879,MATCH(B480,COMPOSICIÓN!$D$2:$D$1879,0)),""))</f>
        <v/>
      </c>
      <c r="D480" s="225"/>
      <c r="E480" s="225" t="str">
        <f>IF(D480="MO/ALB","jornal",IFERROR(VLOOKUP(B480,SUBCONTRATOS_PRY!$A:$C,3,FALSE()),IFERROR(INDEX(COMPOSICIÓN!$F$2:$F$1879,MATCH(B480,COMPOSICIÓN!$D$2:$D$1879,0)),"")))</f>
        <v/>
      </c>
      <c r="F480" s="161">
        <f>SUMIFS(_PLAN_STG!$P$2:$P$1879,_PLAN_STG!$D$2:$D$1879,B480,_PLAN_STG!$B$2:$B$1879,"MO",_PLAN_STG!$O$2:$O$1879,1)</f>
        <v>0</v>
      </c>
      <c r="G480" s="162">
        <f>IFERROR(IF(D480="MO/ALB",VLOOKUP(B480,MANO_DE_OBRA!$A:$C,3,FALSE()),VLOOKUP(B480,SUBCONTRATOS_PRY!$A:$D,4,FALSE())),IFERROR(INDEX(COMPOSICIÓN!$I$2:$I$1879,MATCH(B480,COMPOSICIÓN!$D$2:$D$1879,0)),0))</f>
        <v>0</v>
      </c>
      <c r="H480" s="163">
        <f>SUMIFS(_PLAN_STG!$Q$2:$Q$1879,_PLAN_STG!$D$2:$D$1879,B480,_PLAN_STG!$B$2:$B$1879,"MO",_PLAN_STG!$O$2:$O$1879,1)</f>
        <v>0</v>
      </c>
      <c r="I480" s="226">
        <f>SUMPRODUCT((_PLAN_STG!$D$2:$D$1879=B480)*(_PLAN_STG!$B$2:$B$1879="MO")*(_PLAN_STG!$O$2:$O$1879=1)*(_PLAN_STG!$P$2:$P$1879&gt;0))</f>
        <v>0</v>
      </c>
      <c r="J480" s="224" t="str">
        <f>IF(D480="MO/ALB",IFERROR(VLOOKUP(B480,MANO_DE_OBRA!$A:$F,6,FALSE()),""),IF(D480="MO/OTR",IFERROR(VLOOKUP(B480,SUBCONTRATOS_PRY!$A:$E,5,FALSE()),""),""))</f>
        <v/>
      </c>
    </row>
    <row r="481" spans="1:10" x14ac:dyDescent="0.35">
      <c r="A481" s="222" t="str">
        <f t="shared" si="9"/>
        <v/>
      </c>
      <c r="B481" s="223"/>
      <c r="C481" s="224" t="str">
        <f>IFERROR(IF(D481="MO/ALB",VLOOKUP(B481,MANO_DE_OBRA!$A:$B,2,FALSE()),VLOOKUP(B481,SUBCONTRATOS_PRY!$A:$B,2,FALSE())),IFERROR(INDEX(COMPOSICIÓN!$E$2:$E$1879,MATCH(B481,COMPOSICIÓN!$D$2:$D$1879,0)),""))</f>
        <v/>
      </c>
      <c r="D481" s="225"/>
      <c r="E481" s="225" t="str">
        <f>IF(D481="MO/ALB","jornal",IFERROR(VLOOKUP(B481,SUBCONTRATOS_PRY!$A:$C,3,FALSE()),IFERROR(INDEX(COMPOSICIÓN!$F$2:$F$1879,MATCH(B481,COMPOSICIÓN!$D$2:$D$1879,0)),"")))</f>
        <v/>
      </c>
      <c r="F481" s="161">
        <f>SUMIFS(_PLAN_STG!$P$2:$P$1879,_PLAN_STG!$D$2:$D$1879,B481,_PLAN_STG!$B$2:$B$1879,"MO",_PLAN_STG!$O$2:$O$1879,1)</f>
        <v>0</v>
      </c>
      <c r="G481" s="162">
        <f>IFERROR(IF(D481="MO/ALB",VLOOKUP(B481,MANO_DE_OBRA!$A:$C,3,FALSE()),VLOOKUP(B481,SUBCONTRATOS_PRY!$A:$D,4,FALSE())),IFERROR(INDEX(COMPOSICIÓN!$I$2:$I$1879,MATCH(B481,COMPOSICIÓN!$D$2:$D$1879,0)),0))</f>
        <v>0</v>
      </c>
      <c r="H481" s="163">
        <f>SUMIFS(_PLAN_STG!$Q$2:$Q$1879,_PLAN_STG!$D$2:$D$1879,B481,_PLAN_STG!$B$2:$B$1879,"MO",_PLAN_STG!$O$2:$O$1879,1)</f>
        <v>0</v>
      </c>
      <c r="I481" s="226">
        <f>SUMPRODUCT((_PLAN_STG!$D$2:$D$1879=B481)*(_PLAN_STG!$B$2:$B$1879="MO")*(_PLAN_STG!$O$2:$O$1879=1)*(_PLAN_STG!$P$2:$P$1879&gt;0))</f>
        <v>0</v>
      </c>
      <c r="J481" s="224" t="str">
        <f>IF(D481="MO/ALB",IFERROR(VLOOKUP(B481,MANO_DE_OBRA!$A:$F,6,FALSE()),""),IF(D481="MO/OTR",IFERROR(VLOOKUP(B481,SUBCONTRATOS_PRY!$A:$E,5,FALSE()),""),""))</f>
        <v/>
      </c>
    </row>
    <row r="482" spans="1:10" x14ac:dyDescent="0.35">
      <c r="A482" s="222" t="str">
        <f t="shared" si="9"/>
        <v/>
      </c>
      <c r="B482" s="223"/>
      <c r="C482" s="224" t="str">
        <f>IFERROR(IF(D482="MO/ALB",VLOOKUP(B482,MANO_DE_OBRA!$A:$B,2,FALSE()),VLOOKUP(B482,SUBCONTRATOS_PRY!$A:$B,2,FALSE())),IFERROR(INDEX(COMPOSICIÓN!$E$2:$E$1879,MATCH(B482,COMPOSICIÓN!$D$2:$D$1879,0)),""))</f>
        <v/>
      </c>
      <c r="D482" s="225"/>
      <c r="E482" s="225" t="str">
        <f>IF(D482="MO/ALB","jornal",IFERROR(VLOOKUP(B482,SUBCONTRATOS_PRY!$A:$C,3,FALSE()),IFERROR(INDEX(COMPOSICIÓN!$F$2:$F$1879,MATCH(B482,COMPOSICIÓN!$D$2:$D$1879,0)),"")))</f>
        <v/>
      </c>
      <c r="F482" s="161">
        <f>SUMIFS(_PLAN_STG!$P$2:$P$1879,_PLAN_STG!$D$2:$D$1879,B482,_PLAN_STG!$B$2:$B$1879,"MO",_PLAN_STG!$O$2:$O$1879,1)</f>
        <v>0</v>
      </c>
      <c r="G482" s="162">
        <f>IFERROR(IF(D482="MO/ALB",VLOOKUP(B482,MANO_DE_OBRA!$A:$C,3,FALSE()),VLOOKUP(B482,SUBCONTRATOS_PRY!$A:$D,4,FALSE())),IFERROR(INDEX(COMPOSICIÓN!$I$2:$I$1879,MATCH(B482,COMPOSICIÓN!$D$2:$D$1879,0)),0))</f>
        <v>0</v>
      </c>
      <c r="H482" s="163">
        <f>SUMIFS(_PLAN_STG!$Q$2:$Q$1879,_PLAN_STG!$D$2:$D$1879,B482,_PLAN_STG!$B$2:$B$1879,"MO",_PLAN_STG!$O$2:$O$1879,1)</f>
        <v>0</v>
      </c>
      <c r="I482" s="226">
        <f>SUMPRODUCT((_PLAN_STG!$D$2:$D$1879=B482)*(_PLAN_STG!$B$2:$B$1879="MO")*(_PLAN_STG!$O$2:$O$1879=1)*(_PLAN_STG!$P$2:$P$1879&gt;0))</f>
        <v>0</v>
      </c>
      <c r="J482" s="224" t="str">
        <f>IF(D482="MO/ALB",IFERROR(VLOOKUP(B482,MANO_DE_OBRA!$A:$F,6,FALSE()),""),IF(D482="MO/OTR",IFERROR(VLOOKUP(B482,SUBCONTRATOS_PRY!$A:$E,5,FALSE()),""),""))</f>
        <v/>
      </c>
    </row>
    <row r="483" spans="1:10" x14ac:dyDescent="0.35">
      <c r="A483" s="222" t="str">
        <f t="shared" si="9"/>
        <v/>
      </c>
      <c r="B483" s="223"/>
      <c r="C483" s="224" t="str">
        <f>IFERROR(IF(D483="MO/ALB",VLOOKUP(B483,MANO_DE_OBRA!$A:$B,2,FALSE()),VLOOKUP(B483,SUBCONTRATOS_PRY!$A:$B,2,FALSE())),IFERROR(INDEX(COMPOSICIÓN!$E$2:$E$1879,MATCH(B483,COMPOSICIÓN!$D$2:$D$1879,0)),""))</f>
        <v/>
      </c>
      <c r="D483" s="225"/>
      <c r="E483" s="225" t="str">
        <f>IF(D483="MO/ALB","jornal",IFERROR(VLOOKUP(B483,SUBCONTRATOS_PRY!$A:$C,3,FALSE()),IFERROR(INDEX(COMPOSICIÓN!$F$2:$F$1879,MATCH(B483,COMPOSICIÓN!$D$2:$D$1879,0)),"")))</f>
        <v/>
      </c>
      <c r="F483" s="161">
        <f>SUMIFS(_PLAN_STG!$P$2:$P$1879,_PLAN_STG!$D$2:$D$1879,B483,_PLAN_STG!$B$2:$B$1879,"MO",_PLAN_STG!$O$2:$O$1879,1)</f>
        <v>0</v>
      </c>
      <c r="G483" s="162">
        <f>IFERROR(IF(D483="MO/ALB",VLOOKUP(B483,MANO_DE_OBRA!$A:$C,3,FALSE()),VLOOKUP(B483,SUBCONTRATOS_PRY!$A:$D,4,FALSE())),IFERROR(INDEX(COMPOSICIÓN!$I$2:$I$1879,MATCH(B483,COMPOSICIÓN!$D$2:$D$1879,0)),0))</f>
        <v>0</v>
      </c>
      <c r="H483" s="163">
        <f>SUMIFS(_PLAN_STG!$Q$2:$Q$1879,_PLAN_STG!$D$2:$D$1879,B483,_PLAN_STG!$B$2:$B$1879,"MO",_PLAN_STG!$O$2:$O$1879,1)</f>
        <v>0</v>
      </c>
      <c r="I483" s="226">
        <f>SUMPRODUCT((_PLAN_STG!$D$2:$D$1879=B483)*(_PLAN_STG!$B$2:$B$1879="MO")*(_PLAN_STG!$O$2:$O$1879=1)*(_PLAN_STG!$P$2:$P$1879&gt;0))</f>
        <v>0</v>
      </c>
      <c r="J483" s="224" t="str">
        <f>IF(D483="MO/ALB",IFERROR(VLOOKUP(B483,MANO_DE_OBRA!$A:$F,6,FALSE()),""),IF(D483="MO/OTR",IFERROR(VLOOKUP(B483,SUBCONTRATOS_PRY!$A:$E,5,FALSE()),""),""))</f>
        <v/>
      </c>
    </row>
    <row r="484" spans="1:10" x14ac:dyDescent="0.35">
      <c r="A484" s="222" t="str">
        <f t="shared" si="9"/>
        <v/>
      </c>
      <c r="B484" s="223"/>
      <c r="C484" s="224" t="str">
        <f>IFERROR(IF(D484="MO/ALB",VLOOKUP(B484,MANO_DE_OBRA!$A:$B,2,FALSE()),VLOOKUP(B484,SUBCONTRATOS_PRY!$A:$B,2,FALSE())),IFERROR(INDEX(COMPOSICIÓN!$E$2:$E$1879,MATCH(B484,COMPOSICIÓN!$D$2:$D$1879,0)),""))</f>
        <v/>
      </c>
      <c r="D484" s="225"/>
      <c r="E484" s="225" t="str">
        <f>IF(D484="MO/ALB","jornal",IFERROR(VLOOKUP(B484,SUBCONTRATOS_PRY!$A:$C,3,FALSE()),IFERROR(INDEX(COMPOSICIÓN!$F$2:$F$1879,MATCH(B484,COMPOSICIÓN!$D$2:$D$1879,0)),"")))</f>
        <v/>
      </c>
      <c r="F484" s="161">
        <f>SUMIFS(_PLAN_STG!$P$2:$P$1879,_PLAN_STG!$D$2:$D$1879,B484,_PLAN_STG!$B$2:$B$1879,"MO",_PLAN_STG!$O$2:$O$1879,1)</f>
        <v>0</v>
      </c>
      <c r="G484" s="162">
        <f>IFERROR(IF(D484="MO/ALB",VLOOKUP(B484,MANO_DE_OBRA!$A:$C,3,FALSE()),VLOOKUP(B484,SUBCONTRATOS_PRY!$A:$D,4,FALSE())),IFERROR(INDEX(COMPOSICIÓN!$I$2:$I$1879,MATCH(B484,COMPOSICIÓN!$D$2:$D$1879,0)),0))</f>
        <v>0</v>
      </c>
      <c r="H484" s="163">
        <f>SUMIFS(_PLAN_STG!$Q$2:$Q$1879,_PLAN_STG!$D$2:$D$1879,B484,_PLAN_STG!$B$2:$B$1879,"MO",_PLAN_STG!$O$2:$O$1879,1)</f>
        <v>0</v>
      </c>
      <c r="I484" s="226">
        <f>SUMPRODUCT((_PLAN_STG!$D$2:$D$1879=B484)*(_PLAN_STG!$B$2:$B$1879="MO")*(_PLAN_STG!$O$2:$O$1879=1)*(_PLAN_STG!$P$2:$P$1879&gt;0))</f>
        <v>0</v>
      </c>
      <c r="J484" s="224" t="str">
        <f>IF(D484="MO/ALB",IFERROR(VLOOKUP(B484,MANO_DE_OBRA!$A:$F,6,FALSE()),""),IF(D484="MO/OTR",IFERROR(VLOOKUP(B484,SUBCONTRATOS_PRY!$A:$E,5,FALSE()),""),""))</f>
        <v/>
      </c>
    </row>
    <row r="485" spans="1:10" x14ac:dyDescent="0.35">
      <c r="A485" s="222" t="str">
        <f t="shared" si="9"/>
        <v/>
      </c>
      <c r="B485" s="223"/>
      <c r="C485" s="224" t="str">
        <f>IFERROR(IF(D485="MO/ALB",VLOOKUP(B485,MANO_DE_OBRA!$A:$B,2,FALSE()),VLOOKUP(B485,SUBCONTRATOS_PRY!$A:$B,2,FALSE())),IFERROR(INDEX(COMPOSICIÓN!$E$2:$E$1879,MATCH(B485,COMPOSICIÓN!$D$2:$D$1879,0)),""))</f>
        <v/>
      </c>
      <c r="D485" s="225"/>
      <c r="E485" s="225" t="str">
        <f>IF(D485="MO/ALB","jornal",IFERROR(VLOOKUP(B485,SUBCONTRATOS_PRY!$A:$C,3,FALSE()),IFERROR(INDEX(COMPOSICIÓN!$F$2:$F$1879,MATCH(B485,COMPOSICIÓN!$D$2:$D$1879,0)),"")))</f>
        <v/>
      </c>
      <c r="F485" s="161">
        <f>SUMIFS(_PLAN_STG!$P$2:$P$1879,_PLAN_STG!$D$2:$D$1879,B485,_PLAN_STG!$B$2:$B$1879,"MO",_PLAN_STG!$O$2:$O$1879,1)</f>
        <v>0</v>
      </c>
      <c r="G485" s="162">
        <f>IFERROR(IF(D485="MO/ALB",VLOOKUP(B485,MANO_DE_OBRA!$A:$C,3,FALSE()),VLOOKUP(B485,SUBCONTRATOS_PRY!$A:$D,4,FALSE())),IFERROR(INDEX(COMPOSICIÓN!$I$2:$I$1879,MATCH(B485,COMPOSICIÓN!$D$2:$D$1879,0)),0))</f>
        <v>0</v>
      </c>
      <c r="H485" s="163">
        <f>SUMIFS(_PLAN_STG!$Q$2:$Q$1879,_PLAN_STG!$D$2:$D$1879,B485,_PLAN_STG!$B$2:$B$1879,"MO",_PLAN_STG!$O$2:$O$1879,1)</f>
        <v>0</v>
      </c>
      <c r="I485" s="226">
        <f>SUMPRODUCT((_PLAN_STG!$D$2:$D$1879=B485)*(_PLAN_STG!$B$2:$B$1879="MO")*(_PLAN_STG!$O$2:$O$1879=1)*(_PLAN_STG!$P$2:$P$1879&gt;0))</f>
        <v>0</v>
      </c>
      <c r="J485" s="224" t="str">
        <f>IF(D485="MO/ALB",IFERROR(VLOOKUP(B485,MANO_DE_OBRA!$A:$F,6,FALSE()),""),IF(D485="MO/OTR",IFERROR(VLOOKUP(B485,SUBCONTRATOS_PRY!$A:$E,5,FALSE()),""),""))</f>
        <v/>
      </c>
    </row>
    <row r="486" spans="1:10" x14ac:dyDescent="0.35">
      <c r="A486" s="222" t="str">
        <f t="shared" si="9"/>
        <v/>
      </c>
      <c r="B486" s="223"/>
      <c r="C486" s="224" t="str">
        <f>IFERROR(IF(D486="MO/ALB",VLOOKUP(B486,MANO_DE_OBRA!$A:$B,2,FALSE()),VLOOKUP(B486,SUBCONTRATOS_PRY!$A:$B,2,FALSE())),IFERROR(INDEX(COMPOSICIÓN!$E$2:$E$1879,MATCH(B486,COMPOSICIÓN!$D$2:$D$1879,0)),""))</f>
        <v/>
      </c>
      <c r="D486" s="225"/>
      <c r="E486" s="225" t="str">
        <f>IF(D486="MO/ALB","jornal",IFERROR(VLOOKUP(B486,SUBCONTRATOS_PRY!$A:$C,3,FALSE()),IFERROR(INDEX(COMPOSICIÓN!$F$2:$F$1879,MATCH(B486,COMPOSICIÓN!$D$2:$D$1879,0)),"")))</f>
        <v/>
      </c>
      <c r="F486" s="161">
        <f>SUMIFS(_PLAN_STG!$P$2:$P$1879,_PLAN_STG!$D$2:$D$1879,B486,_PLAN_STG!$B$2:$B$1879,"MO",_PLAN_STG!$O$2:$O$1879,1)</f>
        <v>0</v>
      </c>
      <c r="G486" s="162">
        <f>IFERROR(IF(D486="MO/ALB",VLOOKUP(B486,MANO_DE_OBRA!$A:$C,3,FALSE()),VLOOKUP(B486,SUBCONTRATOS_PRY!$A:$D,4,FALSE())),IFERROR(INDEX(COMPOSICIÓN!$I$2:$I$1879,MATCH(B486,COMPOSICIÓN!$D$2:$D$1879,0)),0))</f>
        <v>0</v>
      </c>
      <c r="H486" s="163">
        <f>SUMIFS(_PLAN_STG!$Q$2:$Q$1879,_PLAN_STG!$D$2:$D$1879,B486,_PLAN_STG!$B$2:$B$1879,"MO",_PLAN_STG!$O$2:$O$1879,1)</f>
        <v>0</v>
      </c>
      <c r="I486" s="226">
        <f>SUMPRODUCT((_PLAN_STG!$D$2:$D$1879=B486)*(_PLAN_STG!$B$2:$B$1879="MO")*(_PLAN_STG!$O$2:$O$1879=1)*(_PLAN_STG!$P$2:$P$1879&gt;0))</f>
        <v>0</v>
      </c>
      <c r="J486" s="224" t="str">
        <f>IF(D486="MO/ALB",IFERROR(VLOOKUP(B486,MANO_DE_OBRA!$A:$F,6,FALSE()),""),IF(D486="MO/OTR",IFERROR(VLOOKUP(B486,SUBCONTRATOS_PRY!$A:$E,5,FALSE()),""),""))</f>
        <v/>
      </c>
    </row>
    <row r="487" spans="1:10" x14ac:dyDescent="0.35">
      <c r="A487" s="222" t="str">
        <f t="shared" si="9"/>
        <v/>
      </c>
      <c r="B487" s="223"/>
      <c r="C487" s="224" t="str">
        <f>IFERROR(IF(D487="MO/ALB",VLOOKUP(B487,MANO_DE_OBRA!$A:$B,2,FALSE()),VLOOKUP(B487,SUBCONTRATOS_PRY!$A:$B,2,FALSE())),IFERROR(INDEX(COMPOSICIÓN!$E$2:$E$1879,MATCH(B487,COMPOSICIÓN!$D$2:$D$1879,0)),""))</f>
        <v/>
      </c>
      <c r="D487" s="225"/>
      <c r="E487" s="225" t="str">
        <f>IF(D487="MO/ALB","jornal",IFERROR(VLOOKUP(B487,SUBCONTRATOS_PRY!$A:$C,3,FALSE()),IFERROR(INDEX(COMPOSICIÓN!$F$2:$F$1879,MATCH(B487,COMPOSICIÓN!$D$2:$D$1879,0)),"")))</f>
        <v/>
      </c>
      <c r="F487" s="161">
        <f>SUMIFS(_PLAN_STG!$P$2:$P$1879,_PLAN_STG!$D$2:$D$1879,B487,_PLAN_STG!$B$2:$B$1879,"MO",_PLAN_STG!$O$2:$O$1879,1)</f>
        <v>0</v>
      </c>
      <c r="G487" s="162">
        <f>IFERROR(IF(D487="MO/ALB",VLOOKUP(B487,MANO_DE_OBRA!$A:$C,3,FALSE()),VLOOKUP(B487,SUBCONTRATOS_PRY!$A:$D,4,FALSE())),IFERROR(INDEX(COMPOSICIÓN!$I$2:$I$1879,MATCH(B487,COMPOSICIÓN!$D$2:$D$1879,0)),0))</f>
        <v>0</v>
      </c>
      <c r="H487" s="163">
        <f>SUMIFS(_PLAN_STG!$Q$2:$Q$1879,_PLAN_STG!$D$2:$D$1879,B487,_PLAN_STG!$B$2:$B$1879,"MO",_PLAN_STG!$O$2:$O$1879,1)</f>
        <v>0</v>
      </c>
      <c r="I487" s="226">
        <f>SUMPRODUCT((_PLAN_STG!$D$2:$D$1879=B487)*(_PLAN_STG!$B$2:$B$1879="MO")*(_PLAN_STG!$O$2:$O$1879=1)*(_PLAN_STG!$P$2:$P$1879&gt;0))</f>
        <v>0</v>
      </c>
      <c r="J487" s="224" t="str">
        <f>IF(D487="MO/ALB",IFERROR(VLOOKUP(B487,MANO_DE_OBRA!$A:$F,6,FALSE()),""),IF(D487="MO/OTR",IFERROR(VLOOKUP(B487,SUBCONTRATOS_PRY!$A:$E,5,FALSE()),""),""))</f>
        <v/>
      </c>
    </row>
    <row r="488" spans="1:10" x14ac:dyDescent="0.35">
      <c r="A488" s="222" t="str">
        <f t="shared" si="9"/>
        <v/>
      </c>
      <c r="B488" s="223"/>
      <c r="C488" s="224" t="str">
        <f>IFERROR(IF(D488="MO/ALB",VLOOKUP(B488,MANO_DE_OBRA!$A:$B,2,FALSE()),VLOOKUP(B488,SUBCONTRATOS_PRY!$A:$B,2,FALSE())),IFERROR(INDEX(COMPOSICIÓN!$E$2:$E$1879,MATCH(B488,COMPOSICIÓN!$D$2:$D$1879,0)),""))</f>
        <v/>
      </c>
      <c r="D488" s="225"/>
      <c r="E488" s="225" t="str">
        <f>IF(D488="MO/ALB","jornal",IFERROR(VLOOKUP(B488,SUBCONTRATOS_PRY!$A:$C,3,FALSE()),IFERROR(INDEX(COMPOSICIÓN!$F$2:$F$1879,MATCH(B488,COMPOSICIÓN!$D$2:$D$1879,0)),"")))</f>
        <v/>
      </c>
      <c r="F488" s="161">
        <f>SUMIFS(_PLAN_STG!$P$2:$P$1879,_PLAN_STG!$D$2:$D$1879,B488,_PLAN_STG!$B$2:$B$1879,"MO",_PLAN_STG!$O$2:$O$1879,1)</f>
        <v>0</v>
      </c>
      <c r="G488" s="162">
        <f>IFERROR(IF(D488="MO/ALB",VLOOKUP(B488,MANO_DE_OBRA!$A:$C,3,FALSE()),VLOOKUP(B488,SUBCONTRATOS_PRY!$A:$D,4,FALSE())),IFERROR(INDEX(COMPOSICIÓN!$I$2:$I$1879,MATCH(B488,COMPOSICIÓN!$D$2:$D$1879,0)),0))</f>
        <v>0</v>
      </c>
      <c r="H488" s="163">
        <f>SUMIFS(_PLAN_STG!$Q$2:$Q$1879,_PLAN_STG!$D$2:$D$1879,B488,_PLAN_STG!$B$2:$B$1879,"MO",_PLAN_STG!$O$2:$O$1879,1)</f>
        <v>0</v>
      </c>
      <c r="I488" s="226">
        <f>SUMPRODUCT((_PLAN_STG!$D$2:$D$1879=B488)*(_PLAN_STG!$B$2:$B$1879="MO")*(_PLAN_STG!$O$2:$O$1879=1)*(_PLAN_STG!$P$2:$P$1879&gt;0))</f>
        <v>0</v>
      </c>
      <c r="J488" s="224" t="str">
        <f>IF(D488="MO/ALB",IFERROR(VLOOKUP(B488,MANO_DE_OBRA!$A:$F,6,FALSE()),""),IF(D488="MO/OTR",IFERROR(VLOOKUP(B488,SUBCONTRATOS_PRY!$A:$E,5,FALSE()),""),""))</f>
        <v/>
      </c>
    </row>
    <row r="489" spans="1:10" x14ac:dyDescent="0.35">
      <c r="A489" s="222" t="str">
        <f t="shared" ref="A489:A498" si="10">IF(H489=0,"",ROW()-369+1)</f>
        <v/>
      </c>
      <c r="B489" s="223"/>
      <c r="C489" s="224" t="str">
        <f>IFERROR(IF(D489="MO/ALB",VLOOKUP(B489,MANO_DE_OBRA!$A:$B,2,FALSE()),VLOOKUP(B489,SUBCONTRATOS_PRY!$A:$B,2,FALSE())),IFERROR(INDEX(COMPOSICIÓN!$E$2:$E$1879,MATCH(B489,COMPOSICIÓN!$D$2:$D$1879,0)),""))</f>
        <v/>
      </c>
      <c r="D489" s="225"/>
      <c r="E489" s="225" t="str">
        <f>IF(D489="MO/ALB","jornal",IFERROR(VLOOKUP(B489,SUBCONTRATOS_PRY!$A:$C,3,FALSE()),IFERROR(INDEX(COMPOSICIÓN!$F$2:$F$1879,MATCH(B489,COMPOSICIÓN!$D$2:$D$1879,0)),"")))</f>
        <v/>
      </c>
      <c r="F489" s="161">
        <f>SUMIFS(_PLAN_STG!$P$2:$P$1879,_PLAN_STG!$D$2:$D$1879,B489,_PLAN_STG!$B$2:$B$1879,"MO",_PLAN_STG!$O$2:$O$1879,1)</f>
        <v>0</v>
      </c>
      <c r="G489" s="162">
        <f>IFERROR(IF(D489="MO/ALB",VLOOKUP(B489,MANO_DE_OBRA!$A:$C,3,FALSE()),VLOOKUP(B489,SUBCONTRATOS_PRY!$A:$D,4,FALSE())),IFERROR(INDEX(COMPOSICIÓN!$I$2:$I$1879,MATCH(B489,COMPOSICIÓN!$D$2:$D$1879,0)),0))</f>
        <v>0</v>
      </c>
      <c r="H489" s="163">
        <f>SUMIFS(_PLAN_STG!$Q$2:$Q$1879,_PLAN_STG!$D$2:$D$1879,B489,_PLAN_STG!$B$2:$B$1879,"MO",_PLAN_STG!$O$2:$O$1879,1)</f>
        <v>0</v>
      </c>
      <c r="I489" s="226">
        <f>SUMPRODUCT((_PLAN_STG!$D$2:$D$1879=B489)*(_PLAN_STG!$B$2:$B$1879="MO")*(_PLAN_STG!$O$2:$O$1879=1)*(_PLAN_STG!$P$2:$P$1879&gt;0))</f>
        <v>0</v>
      </c>
      <c r="J489" s="224" t="str">
        <f>IF(D489="MO/ALB",IFERROR(VLOOKUP(B489,MANO_DE_OBRA!$A:$F,6,FALSE()),""),IF(D489="MO/OTR",IFERROR(VLOOKUP(B489,SUBCONTRATOS_PRY!$A:$E,5,FALSE()),""),""))</f>
        <v/>
      </c>
    </row>
    <row r="490" spans="1:10" x14ac:dyDescent="0.35">
      <c r="A490" s="222" t="str">
        <f t="shared" si="10"/>
        <v/>
      </c>
      <c r="B490" s="223"/>
      <c r="C490" s="224" t="str">
        <f>IFERROR(IF(D490="MO/ALB",VLOOKUP(B490,MANO_DE_OBRA!$A:$B,2,FALSE()),VLOOKUP(B490,SUBCONTRATOS_PRY!$A:$B,2,FALSE())),IFERROR(INDEX(COMPOSICIÓN!$E$2:$E$1879,MATCH(B490,COMPOSICIÓN!$D$2:$D$1879,0)),""))</f>
        <v/>
      </c>
      <c r="D490" s="225"/>
      <c r="E490" s="225" t="str">
        <f>IF(D490="MO/ALB","jornal",IFERROR(VLOOKUP(B490,SUBCONTRATOS_PRY!$A:$C,3,FALSE()),IFERROR(INDEX(COMPOSICIÓN!$F$2:$F$1879,MATCH(B490,COMPOSICIÓN!$D$2:$D$1879,0)),"")))</f>
        <v/>
      </c>
      <c r="F490" s="161">
        <f>SUMIFS(_PLAN_STG!$P$2:$P$1879,_PLAN_STG!$D$2:$D$1879,B490,_PLAN_STG!$B$2:$B$1879,"MO",_PLAN_STG!$O$2:$O$1879,1)</f>
        <v>0</v>
      </c>
      <c r="G490" s="162">
        <f>IFERROR(IF(D490="MO/ALB",VLOOKUP(B490,MANO_DE_OBRA!$A:$C,3,FALSE()),VLOOKUP(B490,SUBCONTRATOS_PRY!$A:$D,4,FALSE())),IFERROR(INDEX(COMPOSICIÓN!$I$2:$I$1879,MATCH(B490,COMPOSICIÓN!$D$2:$D$1879,0)),0))</f>
        <v>0</v>
      </c>
      <c r="H490" s="163">
        <f>SUMIFS(_PLAN_STG!$Q$2:$Q$1879,_PLAN_STG!$D$2:$D$1879,B490,_PLAN_STG!$B$2:$B$1879,"MO",_PLAN_STG!$O$2:$O$1879,1)</f>
        <v>0</v>
      </c>
      <c r="I490" s="226">
        <f>SUMPRODUCT((_PLAN_STG!$D$2:$D$1879=B490)*(_PLAN_STG!$B$2:$B$1879="MO")*(_PLAN_STG!$O$2:$O$1879=1)*(_PLAN_STG!$P$2:$P$1879&gt;0))</f>
        <v>0</v>
      </c>
      <c r="J490" s="224" t="str">
        <f>IF(D490="MO/ALB",IFERROR(VLOOKUP(B490,MANO_DE_OBRA!$A:$F,6,FALSE()),""),IF(D490="MO/OTR",IFERROR(VLOOKUP(B490,SUBCONTRATOS_PRY!$A:$E,5,FALSE()),""),""))</f>
        <v/>
      </c>
    </row>
    <row r="491" spans="1:10" x14ac:dyDescent="0.35">
      <c r="A491" s="222" t="str">
        <f t="shared" si="10"/>
        <v/>
      </c>
      <c r="B491" s="223"/>
      <c r="C491" s="224" t="str">
        <f>IFERROR(IF(D491="MO/ALB",VLOOKUP(B491,MANO_DE_OBRA!$A:$B,2,FALSE()),VLOOKUP(B491,SUBCONTRATOS_PRY!$A:$B,2,FALSE())),IFERROR(INDEX(COMPOSICIÓN!$E$2:$E$1879,MATCH(B491,COMPOSICIÓN!$D$2:$D$1879,0)),""))</f>
        <v/>
      </c>
      <c r="D491" s="225"/>
      <c r="E491" s="225" t="str">
        <f>IF(D491="MO/ALB","jornal",IFERROR(VLOOKUP(B491,SUBCONTRATOS_PRY!$A:$C,3,FALSE()),IFERROR(INDEX(COMPOSICIÓN!$F$2:$F$1879,MATCH(B491,COMPOSICIÓN!$D$2:$D$1879,0)),"")))</f>
        <v/>
      </c>
      <c r="F491" s="161">
        <f>SUMIFS(_PLAN_STG!$P$2:$P$1879,_PLAN_STG!$D$2:$D$1879,B491,_PLAN_STG!$B$2:$B$1879,"MO",_PLAN_STG!$O$2:$O$1879,1)</f>
        <v>0</v>
      </c>
      <c r="G491" s="162">
        <f>IFERROR(IF(D491="MO/ALB",VLOOKUP(B491,MANO_DE_OBRA!$A:$C,3,FALSE()),VLOOKUP(B491,SUBCONTRATOS_PRY!$A:$D,4,FALSE())),IFERROR(INDEX(COMPOSICIÓN!$I$2:$I$1879,MATCH(B491,COMPOSICIÓN!$D$2:$D$1879,0)),0))</f>
        <v>0</v>
      </c>
      <c r="H491" s="163">
        <f>SUMIFS(_PLAN_STG!$Q$2:$Q$1879,_PLAN_STG!$D$2:$D$1879,B491,_PLAN_STG!$B$2:$B$1879,"MO",_PLAN_STG!$O$2:$O$1879,1)</f>
        <v>0</v>
      </c>
      <c r="I491" s="226">
        <f>SUMPRODUCT((_PLAN_STG!$D$2:$D$1879=B491)*(_PLAN_STG!$B$2:$B$1879="MO")*(_PLAN_STG!$O$2:$O$1879=1)*(_PLAN_STG!$P$2:$P$1879&gt;0))</f>
        <v>0</v>
      </c>
      <c r="J491" s="224" t="str">
        <f>IF(D491="MO/ALB",IFERROR(VLOOKUP(B491,MANO_DE_OBRA!$A:$F,6,FALSE()),""),IF(D491="MO/OTR",IFERROR(VLOOKUP(B491,SUBCONTRATOS_PRY!$A:$E,5,FALSE()),""),""))</f>
        <v/>
      </c>
    </row>
    <row r="492" spans="1:10" x14ac:dyDescent="0.35">
      <c r="A492" s="222" t="str">
        <f t="shared" si="10"/>
        <v/>
      </c>
      <c r="B492" s="223"/>
      <c r="C492" s="224" t="str">
        <f>IFERROR(IF(D492="MO/ALB",VLOOKUP(B492,MANO_DE_OBRA!$A:$B,2,FALSE()),VLOOKUP(B492,SUBCONTRATOS_PRY!$A:$B,2,FALSE())),IFERROR(INDEX(COMPOSICIÓN!$E$2:$E$1879,MATCH(B492,COMPOSICIÓN!$D$2:$D$1879,0)),""))</f>
        <v/>
      </c>
      <c r="D492" s="225"/>
      <c r="E492" s="225" t="str">
        <f>IF(D492="MO/ALB","jornal",IFERROR(VLOOKUP(B492,SUBCONTRATOS_PRY!$A:$C,3,FALSE()),IFERROR(INDEX(COMPOSICIÓN!$F$2:$F$1879,MATCH(B492,COMPOSICIÓN!$D$2:$D$1879,0)),"")))</f>
        <v/>
      </c>
      <c r="F492" s="161">
        <f>SUMIFS(_PLAN_STG!$P$2:$P$1879,_PLAN_STG!$D$2:$D$1879,B492,_PLAN_STG!$B$2:$B$1879,"MO",_PLAN_STG!$O$2:$O$1879,1)</f>
        <v>0</v>
      </c>
      <c r="G492" s="162">
        <f>IFERROR(IF(D492="MO/ALB",VLOOKUP(B492,MANO_DE_OBRA!$A:$C,3,FALSE()),VLOOKUP(B492,SUBCONTRATOS_PRY!$A:$D,4,FALSE())),IFERROR(INDEX(COMPOSICIÓN!$I$2:$I$1879,MATCH(B492,COMPOSICIÓN!$D$2:$D$1879,0)),0))</f>
        <v>0</v>
      </c>
      <c r="H492" s="163">
        <f>SUMIFS(_PLAN_STG!$Q$2:$Q$1879,_PLAN_STG!$D$2:$D$1879,B492,_PLAN_STG!$B$2:$B$1879,"MO",_PLAN_STG!$O$2:$O$1879,1)</f>
        <v>0</v>
      </c>
      <c r="I492" s="226">
        <f>SUMPRODUCT((_PLAN_STG!$D$2:$D$1879=B492)*(_PLAN_STG!$B$2:$B$1879="MO")*(_PLAN_STG!$O$2:$O$1879=1)*(_PLAN_STG!$P$2:$P$1879&gt;0))</f>
        <v>0</v>
      </c>
      <c r="J492" s="224" t="str">
        <f>IF(D492="MO/ALB",IFERROR(VLOOKUP(B492,MANO_DE_OBRA!$A:$F,6,FALSE()),""),IF(D492="MO/OTR",IFERROR(VLOOKUP(B492,SUBCONTRATOS_PRY!$A:$E,5,FALSE()),""),""))</f>
        <v/>
      </c>
    </row>
    <row r="493" spans="1:10" x14ac:dyDescent="0.35">
      <c r="A493" s="222" t="str">
        <f t="shared" si="10"/>
        <v/>
      </c>
      <c r="B493" s="223"/>
      <c r="C493" s="224" t="str">
        <f>IFERROR(IF(D493="MO/ALB",VLOOKUP(B493,MANO_DE_OBRA!$A:$B,2,FALSE()),VLOOKUP(B493,SUBCONTRATOS_PRY!$A:$B,2,FALSE())),IFERROR(INDEX(COMPOSICIÓN!$E$2:$E$1879,MATCH(B493,COMPOSICIÓN!$D$2:$D$1879,0)),""))</f>
        <v/>
      </c>
      <c r="D493" s="225"/>
      <c r="E493" s="225" t="str">
        <f>IF(D493="MO/ALB","jornal",IFERROR(VLOOKUP(B493,SUBCONTRATOS_PRY!$A:$C,3,FALSE()),IFERROR(INDEX(COMPOSICIÓN!$F$2:$F$1879,MATCH(B493,COMPOSICIÓN!$D$2:$D$1879,0)),"")))</f>
        <v/>
      </c>
      <c r="F493" s="161">
        <f>SUMIFS(_PLAN_STG!$P$2:$P$1879,_PLAN_STG!$D$2:$D$1879,B493,_PLAN_STG!$B$2:$B$1879,"MO",_PLAN_STG!$O$2:$O$1879,1)</f>
        <v>0</v>
      </c>
      <c r="G493" s="162">
        <f>IFERROR(IF(D493="MO/ALB",VLOOKUP(B493,MANO_DE_OBRA!$A:$C,3,FALSE()),VLOOKUP(B493,SUBCONTRATOS_PRY!$A:$D,4,FALSE())),IFERROR(INDEX(COMPOSICIÓN!$I$2:$I$1879,MATCH(B493,COMPOSICIÓN!$D$2:$D$1879,0)),0))</f>
        <v>0</v>
      </c>
      <c r="H493" s="163">
        <f>SUMIFS(_PLAN_STG!$Q$2:$Q$1879,_PLAN_STG!$D$2:$D$1879,B493,_PLAN_STG!$B$2:$B$1879,"MO",_PLAN_STG!$O$2:$O$1879,1)</f>
        <v>0</v>
      </c>
      <c r="I493" s="226">
        <f>SUMPRODUCT((_PLAN_STG!$D$2:$D$1879=B493)*(_PLAN_STG!$B$2:$B$1879="MO")*(_PLAN_STG!$O$2:$O$1879=1)*(_PLAN_STG!$P$2:$P$1879&gt;0))</f>
        <v>0</v>
      </c>
      <c r="J493" s="224" t="str">
        <f>IF(D493="MO/ALB",IFERROR(VLOOKUP(B493,MANO_DE_OBRA!$A:$F,6,FALSE()),""),IF(D493="MO/OTR",IFERROR(VLOOKUP(B493,SUBCONTRATOS_PRY!$A:$E,5,FALSE()),""),""))</f>
        <v/>
      </c>
    </row>
    <row r="494" spans="1:10" x14ac:dyDescent="0.35">
      <c r="A494" s="222" t="str">
        <f t="shared" si="10"/>
        <v/>
      </c>
      <c r="B494" s="223"/>
      <c r="C494" s="224" t="str">
        <f>IFERROR(IF(D494="MO/ALB",VLOOKUP(B494,MANO_DE_OBRA!$A:$B,2,FALSE()),VLOOKUP(B494,SUBCONTRATOS_PRY!$A:$B,2,FALSE())),IFERROR(INDEX(COMPOSICIÓN!$E$2:$E$1879,MATCH(B494,COMPOSICIÓN!$D$2:$D$1879,0)),""))</f>
        <v/>
      </c>
      <c r="D494" s="225"/>
      <c r="E494" s="225" t="str">
        <f>IF(D494="MO/ALB","jornal",IFERROR(VLOOKUP(B494,SUBCONTRATOS_PRY!$A:$C,3,FALSE()),IFERROR(INDEX(COMPOSICIÓN!$F$2:$F$1879,MATCH(B494,COMPOSICIÓN!$D$2:$D$1879,0)),"")))</f>
        <v/>
      </c>
      <c r="F494" s="161">
        <f>SUMIFS(_PLAN_STG!$P$2:$P$1879,_PLAN_STG!$D$2:$D$1879,B494,_PLAN_STG!$B$2:$B$1879,"MO",_PLAN_STG!$O$2:$O$1879,1)</f>
        <v>0</v>
      </c>
      <c r="G494" s="162">
        <f>IFERROR(IF(D494="MO/ALB",VLOOKUP(B494,MANO_DE_OBRA!$A:$C,3,FALSE()),VLOOKUP(B494,SUBCONTRATOS_PRY!$A:$D,4,FALSE())),IFERROR(INDEX(COMPOSICIÓN!$I$2:$I$1879,MATCH(B494,COMPOSICIÓN!$D$2:$D$1879,0)),0))</f>
        <v>0</v>
      </c>
      <c r="H494" s="163">
        <f>SUMIFS(_PLAN_STG!$Q$2:$Q$1879,_PLAN_STG!$D$2:$D$1879,B494,_PLAN_STG!$B$2:$B$1879,"MO",_PLAN_STG!$O$2:$O$1879,1)</f>
        <v>0</v>
      </c>
      <c r="I494" s="226">
        <f>SUMPRODUCT((_PLAN_STG!$D$2:$D$1879=B494)*(_PLAN_STG!$B$2:$B$1879="MO")*(_PLAN_STG!$O$2:$O$1879=1)*(_PLAN_STG!$P$2:$P$1879&gt;0))</f>
        <v>0</v>
      </c>
      <c r="J494" s="224" t="str">
        <f>IF(D494="MO/ALB",IFERROR(VLOOKUP(B494,MANO_DE_OBRA!$A:$F,6,FALSE()),""),IF(D494="MO/OTR",IFERROR(VLOOKUP(B494,SUBCONTRATOS_PRY!$A:$E,5,FALSE()),""),""))</f>
        <v/>
      </c>
    </row>
    <row r="495" spans="1:10" x14ac:dyDescent="0.35">
      <c r="A495" s="222" t="str">
        <f t="shared" si="10"/>
        <v/>
      </c>
      <c r="B495" s="223"/>
      <c r="C495" s="224" t="str">
        <f>IFERROR(IF(D495="MO/ALB",VLOOKUP(B495,MANO_DE_OBRA!$A:$B,2,FALSE()),VLOOKUP(B495,SUBCONTRATOS_PRY!$A:$B,2,FALSE())),IFERROR(INDEX(COMPOSICIÓN!$E$2:$E$1879,MATCH(B495,COMPOSICIÓN!$D$2:$D$1879,0)),""))</f>
        <v/>
      </c>
      <c r="D495" s="225"/>
      <c r="E495" s="225" t="str">
        <f>IF(D495="MO/ALB","jornal",IFERROR(VLOOKUP(B495,SUBCONTRATOS_PRY!$A:$C,3,FALSE()),IFERROR(INDEX(COMPOSICIÓN!$F$2:$F$1879,MATCH(B495,COMPOSICIÓN!$D$2:$D$1879,0)),"")))</f>
        <v/>
      </c>
      <c r="F495" s="161">
        <f>SUMIFS(_PLAN_STG!$P$2:$P$1879,_PLAN_STG!$D$2:$D$1879,B495,_PLAN_STG!$B$2:$B$1879,"MO",_PLAN_STG!$O$2:$O$1879,1)</f>
        <v>0</v>
      </c>
      <c r="G495" s="162">
        <f>IFERROR(IF(D495="MO/ALB",VLOOKUP(B495,MANO_DE_OBRA!$A:$C,3,FALSE()),VLOOKUP(B495,SUBCONTRATOS_PRY!$A:$D,4,FALSE())),IFERROR(INDEX(COMPOSICIÓN!$I$2:$I$1879,MATCH(B495,COMPOSICIÓN!$D$2:$D$1879,0)),0))</f>
        <v>0</v>
      </c>
      <c r="H495" s="163">
        <f>SUMIFS(_PLAN_STG!$Q$2:$Q$1879,_PLAN_STG!$D$2:$D$1879,B495,_PLAN_STG!$B$2:$B$1879,"MO",_PLAN_STG!$O$2:$O$1879,1)</f>
        <v>0</v>
      </c>
      <c r="I495" s="226">
        <f>SUMPRODUCT((_PLAN_STG!$D$2:$D$1879=B495)*(_PLAN_STG!$B$2:$B$1879="MO")*(_PLAN_STG!$O$2:$O$1879=1)*(_PLAN_STG!$P$2:$P$1879&gt;0))</f>
        <v>0</v>
      </c>
      <c r="J495" s="224" t="str">
        <f>IF(D495="MO/ALB",IFERROR(VLOOKUP(B495,MANO_DE_OBRA!$A:$F,6,FALSE()),""),IF(D495="MO/OTR",IFERROR(VLOOKUP(B495,SUBCONTRATOS_PRY!$A:$E,5,FALSE()),""),""))</f>
        <v/>
      </c>
    </row>
    <row r="496" spans="1:10" x14ac:dyDescent="0.35">
      <c r="A496" s="222" t="str">
        <f t="shared" si="10"/>
        <v/>
      </c>
      <c r="B496" s="223"/>
      <c r="C496" s="224" t="str">
        <f>IFERROR(IF(D496="MO/ALB",VLOOKUP(B496,MANO_DE_OBRA!$A:$B,2,FALSE()),VLOOKUP(B496,SUBCONTRATOS_PRY!$A:$B,2,FALSE())),IFERROR(INDEX(COMPOSICIÓN!$E$2:$E$1879,MATCH(B496,COMPOSICIÓN!$D$2:$D$1879,0)),""))</f>
        <v/>
      </c>
      <c r="D496" s="225"/>
      <c r="E496" s="225" t="str">
        <f>IF(D496="MO/ALB","jornal",IFERROR(VLOOKUP(B496,SUBCONTRATOS_PRY!$A:$C,3,FALSE()),IFERROR(INDEX(COMPOSICIÓN!$F$2:$F$1879,MATCH(B496,COMPOSICIÓN!$D$2:$D$1879,0)),"")))</f>
        <v/>
      </c>
      <c r="F496" s="161">
        <f>SUMIFS(_PLAN_STG!$P$2:$P$1879,_PLAN_STG!$D$2:$D$1879,B496,_PLAN_STG!$B$2:$B$1879,"MO",_PLAN_STG!$O$2:$O$1879,1)</f>
        <v>0</v>
      </c>
      <c r="G496" s="162">
        <f>IFERROR(IF(D496="MO/ALB",VLOOKUP(B496,MANO_DE_OBRA!$A:$C,3,FALSE()),VLOOKUP(B496,SUBCONTRATOS_PRY!$A:$D,4,FALSE())),IFERROR(INDEX(COMPOSICIÓN!$I$2:$I$1879,MATCH(B496,COMPOSICIÓN!$D$2:$D$1879,0)),0))</f>
        <v>0</v>
      </c>
      <c r="H496" s="163">
        <f>SUMIFS(_PLAN_STG!$Q$2:$Q$1879,_PLAN_STG!$D$2:$D$1879,B496,_PLAN_STG!$B$2:$B$1879,"MO",_PLAN_STG!$O$2:$O$1879,1)</f>
        <v>0</v>
      </c>
      <c r="I496" s="226">
        <f>SUMPRODUCT((_PLAN_STG!$D$2:$D$1879=B496)*(_PLAN_STG!$B$2:$B$1879="MO")*(_PLAN_STG!$O$2:$O$1879=1)*(_PLAN_STG!$P$2:$P$1879&gt;0))</f>
        <v>0</v>
      </c>
      <c r="J496" s="224" t="str">
        <f>IF(D496="MO/ALB",IFERROR(VLOOKUP(B496,MANO_DE_OBRA!$A:$F,6,FALSE()),""),IF(D496="MO/OTR",IFERROR(VLOOKUP(B496,SUBCONTRATOS_PRY!$A:$E,5,FALSE()),""),""))</f>
        <v/>
      </c>
    </row>
    <row r="497" spans="1:10" x14ac:dyDescent="0.35">
      <c r="A497" s="222" t="str">
        <f t="shared" si="10"/>
        <v/>
      </c>
      <c r="B497" s="223"/>
      <c r="C497" s="224" t="str">
        <f>IFERROR(IF(D497="MO/ALB",VLOOKUP(B497,MANO_DE_OBRA!$A:$B,2,FALSE()),VLOOKUP(B497,SUBCONTRATOS_PRY!$A:$B,2,FALSE())),IFERROR(INDEX(COMPOSICIÓN!$E$2:$E$1879,MATCH(B497,COMPOSICIÓN!$D$2:$D$1879,0)),""))</f>
        <v/>
      </c>
      <c r="D497" s="225"/>
      <c r="E497" s="225" t="str">
        <f>IF(D497="MO/ALB","jornal",IFERROR(VLOOKUP(B497,SUBCONTRATOS_PRY!$A:$C,3,FALSE()),IFERROR(INDEX(COMPOSICIÓN!$F$2:$F$1879,MATCH(B497,COMPOSICIÓN!$D$2:$D$1879,0)),"")))</f>
        <v/>
      </c>
      <c r="F497" s="161">
        <f>SUMIFS(_PLAN_STG!$P$2:$P$1879,_PLAN_STG!$D$2:$D$1879,B497,_PLAN_STG!$B$2:$B$1879,"MO",_PLAN_STG!$O$2:$O$1879,1)</f>
        <v>0</v>
      </c>
      <c r="G497" s="162">
        <f>IFERROR(IF(D497="MO/ALB",VLOOKUP(B497,MANO_DE_OBRA!$A:$C,3,FALSE()),VLOOKUP(B497,SUBCONTRATOS_PRY!$A:$D,4,FALSE())),IFERROR(INDEX(COMPOSICIÓN!$I$2:$I$1879,MATCH(B497,COMPOSICIÓN!$D$2:$D$1879,0)),0))</f>
        <v>0</v>
      </c>
      <c r="H497" s="163">
        <f>SUMIFS(_PLAN_STG!$Q$2:$Q$1879,_PLAN_STG!$D$2:$D$1879,B497,_PLAN_STG!$B$2:$B$1879,"MO",_PLAN_STG!$O$2:$O$1879,1)</f>
        <v>0</v>
      </c>
      <c r="I497" s="226">
        <f>SUMPRODUCT((_PLAN_STG!$D$2:$D$1879=B497)*(_PLAN_STG!$B$2:$B$1879="MO")*(_PLAN_STG!$O$2:$O$1879=1)*(_PLAN_STG!$P$2:$P$1879&gt;0))</f>
        <v>0</v>
      </c>
      <c r="J497" s="224" t="str">
        <f>IF(D497="MO/ALB",IFERROR(VLOOKUP(B497,MANO_DE_OBRA!$A:$F,6,FALSE()),""),IF(D497="MO/OTR",IFERROR(VLOOKUP(B497,SUBCONTRATOS_PRY!$A:$E,5,FALSE()),""),""))</f>
        <v/>
      </c>
    </row>
    <row r="498" spans="1:10" x14ac:dyDescent="0.35">
      <c r="A498" s="222" t="str">
        <f t="shared" si="10"/>
        <v/>
      </c>
      <c r="B498" s="223"/>
      <c r="C498" s="224" t="str">
        <f>IFERROR(IF(D498="MO/ALB",VLOOKUP(B498,MANO_DE_OBRA!$A:$B,2,FALSE()),VLOOKUP(B498,SUBCONTRATOS_PRY!$A:$B,2,FALSE())),IFERROR(INDEX(COMPOSICIÓN!$E$2:$E$1879,MATCH(B498,COMPOSICIÓN!$D$2:$D$1879,0)),""))</f>
        <v/>
      </c>
      <c r="D498" s="225"/>
      <c r="E498" s="225" t="str">
        <f>IF(D498="MO/ALB","jornal",IFERROR(VLOOKUP(B498,SUBCONTRATOS_PRY!$A:$C,3,FALSE()),IFERROR(INDEX(COMPOSICIÓN!$F$2:$F$1879,MATCH(B498,COMPOSICIÓN!$D$2:$D$1879,0)),"")))</f>
        <v/>
      </c>
      <c r="F498" s="161">
        <f>SUMIFS(_PLAN_STG!$P$2:$P$1879,_PLAN_STG!$D$2:$D$1879,B498,_PLAN_STG!$B$2:$B$1879,"MO",_PLAN_STG!$O$2:$O$1879,1)</f>
        <v>0</v>
      </c>
      <c r="G498" s="162">
        <f>IFERROR(IF(D498="MO/ALB",VLOOKUP(B498,MANO_DE_OBRA!$A:$C,3,FALSE()),VLOOKUP(B498,SUBCONTRATOS_PRY!$A:$D,4,FALSE())),IFERROR(INDEX(COMPOSICIÓN!$I$2:$I$1879,MATCH(B498,COMPOSICIÓN!$D$2:$D$1879,0)),0))</f>
        <v>0</v>
      </c>
      <c r="H498" s="163">
        <f>SUMIFS(_PLAN_STG!$Q$2:$Q$1879,_PLAN_STG!$D$2:$D$1879,B498,_PLAN_STG!$B$2:$B$1879,"MO",_PLAN_STG!$O$2:$O$1879,1)</f>
        <v>0</v>
      </c>
      <c r="I498" s="226">
        <f>SUMPRODUCT((_PLAN_STG!$D$2:$D$1879=B498)*(_PLAN_STG!$B$2:$B$1879="MO")*(_PLAN_STG!$O$2:$O$1879=1)*(_PLAN_STG!$P$2:$P$1879&gt;0))</f>
        <v>0</v>
      </c>
      <c r="J498" s="224" t="str">
        <f>IF(D498="MO/ALB",IFERROR(VLOOKUP(B498,MANO_DE_OBRA!$A:$F,6,FALSE()),""),IF(D498="MO/OTR",IFERROR(VLOOKUP(B498,SUBCONTRATOS_PRY!$A:$E,5,FALSE()),""),""))</f>
        <v/>
      </c>
    </row>
    <row r="499" spans="1:10" ht="15.5" customHeight="1" x14ac:dyDescent="0.35">
      <c r="C499" s="164" t="s">
        <v>2839</v>
      </c>
      <c r="H499" s="166">
        <f>SUM(H369:H498)</f>
        <v>21545827.247705407</v>
      </c>
    </row>
    <row r="500" spans="1:10" ht="15.5" customHeight="1" x14ac:dyDescent="0.35">
      <c r="B500" s="273" t="s">
        <v>2840</v>
      </c>
      <c r="C500" s="264"/>
      <c r="D500" s="264"/>
      <c r="E500" s="264"/>
      <c r="F500" s="264"/>
      <c r="G500" s="264"/>
      <c r="H500" s="272" t="str">
        <f>COUNTIF(G502:G643,"&gt;0")&amp;" equipos activos · Total $"&amp;TEXT(SUM(G502:G643),"#,##0")</f>
        <v>11 equipos activos · Total $550,634</v>
      </c>
      <c r="I500" s="264"/>
      <c r="J500" s="264"/>
    </row>
    <row r="501" spans="1:10" x14ac:dyDescent="0.35">
      <c r="A501" s="221" t="s">
        <v>4</v>
      </c>
      <c r="B501" s="221" t="s">
        <v>579</v>
      </c>
      <c r="C501" s="221" t="s">
        <v>6</v>
      </c>
      <c r="D501" s="221" t="s">
        <v>1591</v>
      </c>
      <c r="E501" s="221" t="s">
        <v>2841</v>
      </c>
      <c r="F501" s="221" t="s">
        <v>565</v>
      </c>
      <c r="G501" s="221" t="s">
        <v>2827</v>
      </c>
      <c r="H501" s="221"/>
      <c r="I501" s="221" t="s">
        <v>2829</v>
      </c>
      <c r="J501" s="221"/>
    </row>
    <row r="502" spans="1:10" x14ac:dyDescent="0.35">
      <c r="A502" s="222">
        <f t="shared" ref="A502:A533" si="11">IF(G502=0,"",ROW()-502+1)</f>
        <v>1</v>
      </c>
      <c r="B502" s="223" t="s">
        <v>1592</v>
      </c>
      <c r="C502" s="224" t="str">
        <f>IFERROR(VLOOKUP(B502,EQUIPOS!$A:$B,2,FALSE()),IFERROR(INDEX(COMPOSICIÓN!$E$2:$E$1879,MATCH(B502,COMPOSICIÓN!$D$2:$D$1879,0)),""))</f>
        <v>ANDAMIO TUBULAR DE UNO A TRES CUERPOS</v>
      </c>
      <c r="D502" s="226">
        <f>IFERROR(VLOOKUP(B502,EQUIPOS!$A:$E,5,FALSE()),"")</f>
        <v>1800</v>
      </c>
      <c r="E502" s="161">
        <f>SUMIFS(_PLAN_STG!$P$2:$P$1879,_PLAN_STG!$D$2:$D$1879,B502,_PLAN_STG!$B$2:$B$1879,"EQ",_PLAN_STG!$O$2:$O$1879,1)</f>
        <v>59.159523809523812</v>
      </c>
      <c r="F502" s="162">
        <f>IFERROR(VLOOKUP(B502,EQUIPOS!$A:$F,6,FALSE()),IFERROR(INDEX(COMPOSICIÓN!$I$2:$I$1879,MATCH(B502,COMPOSICIÓN!$D$2:$D$1879,0)),0))</f>
        <v>571.1794909807611</v>
      </c>
      <c r="G502" s="163">
        <f>SUMIFS(_PLAN_STG!$Q$2:$Q$1879,_PLAN_STG!$D$2:$D$1879,B502,_PLAN_STG!$B$2:$B$1879,"EQ",_PLAN_STG!$O$2:$O$1879,1)</f>
        <v>33790.706696188026</v>
      </c>
      <c r="H502" s="227"/>
      <c r="I502" s="226">
        <f>SUMPRODUCT((_PLAN_STG!$D$2:$D$1879=B502)*(_PLAN_STG!$B$2:$B$1879="EQ")*(_PLAN_STG!$O$2:$O$1879=1)*(_PLAN_STG!$P$2:$P$1879&gt;0))</f>
        <v>6</v>
      </c>
      <c r="J502" s="227"/>
    </row>
    <row r="503" spans="1:10" x14ac:dyDescent="0.35">
      <c r="A503" s="222" t="str">
        <f t="shared" si="11"/>
        <v/>
      </c>
      <c r="B503" s="223" t="s">
        <v>1628</v>
      </c>
      <c r="C503" s="224" t="str">
        <f>IFERROR(VLOOKUP(B503,EQUIPOS!$A:$B,2,FALSE()),IFERROR(INDEX(COMPOSICIÓN!$E$2:$E$1879,MATCH(B503,COMPOSICIÓN!$D$2:$D$1879,0)),""))</f>
        <v>Balancin</v>
      </c>
      <c r="D503" s="226">
        <f>IFERROR(VLOOKUP(B503,EQUIPOS!$A:$E,5,FALSE()),"")</f>
        <v>3600</v>
      </c>
      <c r="E503" s="161">
        <f>SUMIFS(_PLAN_STG!$P$2:$P$1879,_PLAN_STG!$D$2:$D$1879,B503,_PLAN_STG!$B$2:$B$1879,"EQ",_PLAN_STG!$O$2:$O$1879,1)</f>
        <v>0</v>
      </c>
      <c r="F503" s="162">
        <f>IFERROR(VLOOKUP(B503,EQUIPOS!$A:$F,6,FALSE()),IFERROR(INDEX(COMPOSICIÓN!$I$2:$I$1879,MATCH(B503,COMPOSICIÓN!$D$2:$D$1879,0)),0))</f>
        <v>2910.133166666667</v>
      </c>
      <c r="G503" s="163">
        <f>SUMIFS(_PLAN_STG!$Q$2:$Q$1879,_PLAN_STG!$D$2:$D$1879,B503,_PLAN_STG!$B$2:$B$1879,"EQ",_PLAN_STG!$O$2:$O$1879,1)</f>
        <v>0</v>
      </c>
      <c r="H503" s="227"/>
      <c r="I503" s="226">
        <f>SUMPRODUCT((_PLAN_STG!$D$2:$D$1879=B503)*(_PLAN_STG!$B$2:$B$1879="EQ")*(_PLAN_STG!$O$2:$O$1879=1)*(_PLAN_STG!$P$2:$P$1879&gt;0))</f>
        <v>0</v>
      </c>
      <c r="J503" s="227"/>
    </row>
    <row r="504" spans="1:10" x14ac:dyDescent="0.35">
      <c r="A504" s="222" t="str">
        <f t="shared" si="11"/>
        <v/>
      </c>
      <c r="B504" s="223" t="s">
        <v>1661</v>
      </c>
      <c r="C504" s="224" t="str">
        <f>IFERROR(VLOOKUP(B504,EQUIPOS!$A:$B,2,FALSE()),IFERROR(INDEX(COMPOSICIÓN!$E$2:$E$1879,MATCH(B504,COMPOSICIÓN!$D$2:$D$1879,0)),""))</f>
        <v>Compactador pata de cabra 612H - (c/operario y combustible) - Alq. X dia</v>
      </c>
      <c r="D504" s="226">
        <f>IFERROR(VLOOKUP(B504,EQUIPOS!$A:$E,5,FALSE()),"")</f>
        <v>1</v>
      </c>
      <c r="E504" s="161">
        <f>SUMIFS(_PLAN_STG!$P$2:$P$1879,_PLAN_STG!$D$2:$D$1879,B504,_PLAN_STG!$B$2:$B$1879,"EQ",_PLAN_STG!$O$2:$O$1879,1)</f>
        <v>0</v>
      </c>
      <c r="F504" s="162">
        <f>IFERROR(VLOOKUP(B504,EQUIPOS!$A:$F,6,FALSE()),IFERROR(INDEX(COMPOSICIÓN!$I$2:$I$1879,MATCH(B504,COMPOSICIÓN!$D$2:$D$1879,0)),0))</f>
        <v>568150</v>
      </c>
      <c r="G504" s="163">
        <f>SUMIFS(_PLAN_STG!$Q$2:$Q$1879,_PLAN_STG!$D$2:$D$1879,B504,_PLAN_STG!$B$2:$B$1879,"EQ",_PLAN_STG!$O$2:$O$1879,1)</f>
        <v>0</v>
      </c>
      <c r="H504" s="227"/>
      <c r="I504" s="226">
        <f>SUMPRODUCT((_PLAN_STG!$D$2:$D$1879=B504)*(_PLAN_STG!$B$2:$B$1879="EQ")*(_PLAN_STG!$O$2:$O$1879=1)*(_PLAN_STG!$P$2:$P$1879&gt;0))</f>
        <v>0</v>
      </c>
      <c r="J504" s="227"/>
    </row>
    <row r="505" spans="1:10" x14ac:dyDescent="0.35">
      <c r="A505" s="222" t="str">
        <f t="shared" si="11"/>
        <v/>
      </c>
      <c r="B505" s="223" t="s">
        <v>1619</v>
      </c>
      <c r="C505" s="224" t="str">
        <f>IFERROR(VLOOKUP(B505,EQUIPOS!$A:$B,2,FALSE()),IFERROR(INDEX(COMPOSICIÓN!$E$2:$E$1879,MATCH(B505,COMPOSICIÓN!$D$2:$D$1879,0)),""))</f>
        <v>CORTADORA CERAMICA PROFESIONAL 1200MM (PORCELANATO HASTA 16MM)</v>
      </c>
      <c r="D505" s="226">
        <f>IFERROR(VLOOKUP(B505,EQUIPOS!$A:$E,5,FALSE()),"")</f>
        <v>1800</v>
      </c>
      <c r="E505" s="161">
        <f>SUMIFS(_PLAN_STG!$P$2:$P$1879,_PLAN_STG!$D$2:$D$1879,B505,_PLAN_STG!$B$2:$B$1879,"EQ",_PLAN_STG!$O$2:$O$1879,1)</f>
        <v>0</v>
      </c>
      <c r="F505" s="162">
        <f>IFERROR(VLOOKUP(B505,EQUIPOS!$A:$F,6,FALSE()),IFERROR(INDEX(COMPOSICIÓN!$I$2:$I$1879,MATCH(B505,COMPOSICIÓN!$D$2:$D$1879,0)),0))</f>
        <v>298.42384358082836</v>
      </c>
      <c r="G505" s="163">
        <f>SUMIFS(_PLAN_STG!$Q$2:$Q$1879,_PLAN_STG!$D$2:$D$1879,B505,_PLAN_STG!$B$2:$B$1879,"EQ",_PLAN_STG!$O$2:$O$1879,1)</f>
        <v>0</v>
      </c>
      <c r="H505" s="227"/>
      <c r="I505" s="226">
        <f>SUMPRODUCT((_PLAN_STG!$D$2:$D$1879=B505)*(_PLAN_STG!$B$2:$B$1879="EQ")*(_PLAN_STG!$O$2:$O$1879=1)*(_PLAN_STG!$P$2:$P$1879&gt;0))</f>
        <v>0</v>
      </c>
      <c r="J505" s="227"/>
    </row>
    <row r="506" spans="1:10" x14ac:dyDescent="0.35">
      <c r="A506" s="222">
        <f t="shared" si="11"/>
        <v>5</v>
      </c>
      <c r="B506" s="223" t="s">
        <v>1595</v>
      </c>
      <c r="C506" s="224" t="str">
        <f>IFERROR(VLOOKUP(B506,EQUIPOS!$A:$B,2,FALSE()),IFERROR(INDEX(COMPOSICIÓN!$E$2:$E$1879,MATCH(B506,COMPOSICIÓN!$D$2:$D$1879,0)),""))</f>
        <v>EQUIPO DE ALBAÑILERIA, carpetas, ladrillo</v>
      </c>
      <c r="D506" s="226">
        <f>IFERROR(VLOOKUP(B506,EQUIPOS!$A:$E,5,FALSE()),"")</f>
        <v>1080</v>
      </c>
      <c r="E506" s="161">
        <f>SUMIFS(_PLAN_STG!$P$2:$P$1879,_PLAN_STG!$D$2:$D$1879,B506,_PLAN_STG!$B$2:$B$1879,"EQ",_PLAN_STG!$O$2:$O$1879,1)</f>
        <v>118.31904761904762</v>
      </c>
      <c r="F506" s="162">
        <f>IFERROR(VLOOKUP(B506,EQUIPOS!$A:$F,6,FALSE()),IFERROR(INDEX(COMPOSICIÓN!$I$2:$I$1879,MATCH(B506,COMPOSICIÓN!$D$2:$D$1879,0)),0))</f>
        <v>2287.1357450968057</v>
      </c>
      <c r="G506" s="163">
        <f>SUMIFS(_PLAN_STG!$Q$2:$Q$1879,_PLAN_STG!$D$2:$D$1879,B506,_PLAN_STG!$B$2:$B$1879,"EQ",_PLAN_STG!$O$2:$O$1879,1)</f>
        <v>270611.72313533491</v>
      </c>
      <c r="H506" s="227"/>
      <c r="I506" s="226">
        <f>SUMPRODUCT((_PLAN_STG!$D$2:$D$1879=B506)*(_PLAN_STG!$B$2:$B$1879="EQ")*(_PLAN_STG!$O$2:$O$1879=1)*(_PLAN_STG!$P$2:$P$1879&gt;0))</f>
        <v>6</v>
      </c>
      <c r="J506" s="227"/>
    </row>
    <row r="507" spans="1:10" x14ac:dyDescent="0.35">
      <c r="A507" s="222" t="str">
        <f t="shared" si="11"/>
        <v/>
      </c>
      <c r="B507" s="223" t="s">
        <v>1598</v>
      </c>
      <c r="C507" s="224" t="str">
        <f>IFERROR(VLOOKUP(B507,EQUIPOS!$A:$B,2,FALSE()),IFERROR(INDEX(COMPOSICIÓN!$E$2:$E$1879,MATCH(B507,COMPOSICIÓN!$D$2:$D$1879,0)),""))</f>
        <v>EQUIPO PARA COLOCACION DE CERAMICA</v>
      </c>
      <c r="D507" s="226">
        <f>IFERROR(VLOOKUP(B507,EQUIPOS!$A:$E,5,FALSE()),"")</f>
        <v>540</v>
      </c>
      <c r="E507" s="161">
        <f>SUMIFS(_PLAN_STG!$P$2:$P$1879,_PLAN_STG!$D$2:$D$1879,B507,_PLAN_STG!$B$2:$B$1879,"EQ",_PLAN_STG!$O$2:$O$1879,1)</f>
        <v>0</v>
      </c>
      <c r="F507" s="162">
        <f>IFERROR(VLOOKUP(B507,EQUIPOS!$A:$F,6,FALSE()),IFERROR(INDEX(COMPOSICIÓN!$I$2:$I$1879,MATCH(B507,COMPOSICIÓN!$D$2:$D$1879,0)),0))</f>
        <v>2637.1418444899073</v>
      </c>
      <c r="G507" s="163">
        <f>SUMIFS(_PLAN_STG!$Q$2:$Q$1879,_PLAN_STG!$D$2:$D$1879,B507,_PLAN_STG!$B$2:$B$1879,"EQ",_PLAN_STG!$O$2:$O$1879,1)</f>
        <v>0</v>
      </c>
      <c r="H507" s="227"/>
      <c r="I507" s="226">
        <f>SUMPRODUCT((_PLAN_STG!$D$2:$D$1879=B507)*(_PLAN_STG!$B$2:$B$1879="EQ")*(_PLAN_STG!$O$2:$O$1879=1)*(_PLAN_STG!$P$2:$P$1879&gt;0))</f>
        <v>0</v>
      </c>
      <c r="J507" s="227"/>
    </row>
    <row r="508" spans="1:10" x14ac:dyDescent="0.35">
      <c r="A508" s="222" t="str">
        <f t="shared" si="11"/>
        <v/>
      </c>
      <c r="B508" s="223" t="s">
        <v>1601</v>
      </c>
      <c r="C508" s="224" t="str">
        <f>IFERROR(VLOOKUP(B508,EQUIPOS!$A:$B,2,FALSE()),IFERROR(INDEX(COMPOSICIÓN!$E$2:$E$1879,MATCH(B508,COMPOSICIÓN!$D$2:$D$1879,0)),""))</f>
        <v>EQUIPO PARA INSTALACION ELECTRICA</v>
      </c>
      <c r="D508" s="226">
        <f>IFERROR(VLOOKUP(B508,EQUIPOS!$A:$E,5,FALSE()),"")</f>
        <v>540</v>
      </c>
      <c r="E508" s="161">
        <f>SUMIFS(_PLAN_STG!$P$2:$P$1879,_PLAN_STG!$D$2:$D$1879,B508,_PLAN_STG!$B$2:$B$1879,"EQ",_PLAN_STG!$O$2:$O$1879,1)</f>
        <v>0</v>
      </c>
      <c r="F508" s="162">
        <f>IFERROR(VLOOKUP(B508,EQUIPOS!$A:$F,6,FALSE()),IFERROR(INDEX(COMPOSICIÓN!$I$2:$I$1879,MATCH(B508,COMPOSICIÓN!$D$2:$D$1879,0)),0))</f>
        <v>5063.0947914732405</v>
      </c>
      <c r="G508" s="163">
        <f>SUMIFS(_PLAN_STG!$Q$2:$Q$1879,_PLAN_STG!$D$2:$D$1879,B508,_PLAN_STG!$B$2:$B$1879,"EQ",_PLAN_STG!$O$2:$O$1879,1)</f>
        <v>0</v>
      </c>
      <c r="H508" s="227"/>
      <c r="I508" s="226">
        <f>SUMPRODUCT((_PLAN_STG!$D$2:$D$1879=B508)*(_PLAN_STG!$B$2:$B$1879="EQ")*(_PLAN_STG!$O$2:$O$1879=1)*(_PLAN_STG!$P$2:$P$1879&gt;0))</f>
        <v>0</v>
      </c>
      <c r="J508" s="227"/>
    </row>
    <row r="509" spans="1:10" x14ac:dyDescent="0.35">
      <c r="A509" s="222" t="str">
        <f t="shared" si="11"/>
        <v/>
      </c>
      <c r="B509" s="223" t="s">
        <v>1604</v>
      </c>
      <c r="C509" s="224" t="str">
        <f>IFERROR(VLOOKUP(B509,EQUIPOS!$A:$B,2,FALSE()),IFERROR(INDEX(COMPOSICIÓN!$E$2:$E$1879,MATCH(B509,COMPOSICIÓN!$D$2:$D$1879,0)),""))</f>
        <v>EQUIPO PARA PINTAR</v>
      </c>
      <c r="D509" s="226">
        <f>IFERROR(VLOOKUP(B509,EQUIPOS!$A:$E,5,FALSE()),"")</f>
        <v>720</v>
      </c>
      <c r="E509" s="161">
        <f>SUMIFS(_PLAN_STG!$P$2:$P$1879,_PLAN_STG!$D$2:$D$1879,B509,_PLAN_STG!$B$2:$B$1879,"EQ",_PLAN_STG!$O$2:$O$1879,1)</f>
        <v>0</v>
      </c>
      <c r="F509" s="162">
        <f>IFERROR(VLOOKUP(B509,EQUIPOS!$A:$F,6,FALSE()),IFERROR(INDEX(COMPOSICIÓN!$I$2:$I$1879,MATCH(B509,COMPOSICIÓN!$D$2:$D$1879,0)),0))</f>
        <v>1723.6259595547085</v>
      </c>
      <c r="G509" s="163">
        <f>SUMIFS(_PLAN_STG!$Q$2:$Q$1879,_PLAN_STG!$D$2:$D$1879,B509,_PLAN_STG!$B$2:$B$1879,"EQ",_PLAN_STG!$O$2:$O$1879,1)</f>
        <v>0</v>
      </c>
      <c r="H509" s="227"/>
      <c r="I509" s="226">
        <f>SUMPRODUCT((_PLAN_STG!$D$2:$D$1879=B509)*(_PLAN_STG!$B$2:$B$1879="EQ")*(_PLAN_STG!$O$2:$O$1879=1)*(_PLAN_STG!$P$2:$P$1879&gt;0))</f>
        <v>0</v>
      </c>
      <c r="J509" s="227"/>
    </row>
    <row r="510" spans="1:10" x14ac:dyDescent="0.35">
      <c r="A510" s="222" t="str">
        <f t="shared" si="11"/>
        <v/>
      </c>
      <c r="B510" s="223" t="s">
        <v>1622</v>
      </c>
      <c r="C510" s="224" t="str">
        <f>IFERROR(VLOOKUP(B510,EQUIPOS!$A:$B,2,FALSE()),IFERROR(INDEX(COMPOSICIÓN!$E$2:$E$1879,MATCH(B510,COMPOSICIÓN!$D$2:$D$1879,0)),""))</f>
        <v>ESCALERA GLOSS ALUMINIO ARTICULADA 4 X 4 ESCALONES HASTA 150KG</v>
      </c>
      <c r="D510" s="226">
        <f>IFERROR(VLOOKUP(B510,EQUIPOS!$A:$E,5,FALSE()),"")</f>
        <v>1440</v>
      </c>
      <c r="E510" s="161">
        <f>SUMIFS(_PLAN_STG!$P$2:$P$1879,_PLAN_STG!$D$2:$D$1879,B510,_PLAN_STG!$B$2:$B$1879,"EQ",_PLAN_STG!$O$2:$O$1879,1)</f>
        <v>0</v>
      </c>
      <c r="F510" s="162">
        <f>IFERROR(VLOOKUP(B510,EQUIPOS!$A:$F,6,FALSE()),IFERROR(INDEX(COMPOSICIÓN!$I$2:$I$1879,MATCH(B510,COMPOSICIÓN!$D$2:$D$1879,0)),0))</f>
        <v>140.19809259430903</v>
      </c>
      <c r="G510" s="163">
        <f>SUMIFS(_PLAN_STG!$Q$2:$Q$1879,_PLAN_STG!$D$2:$D$1879,B510,_PLAN_STG!$B$2:$B$1879,"EQ",_PLAN_STG!$O$2:$O$1879,1)</f>
        <v>0</v>
      </c>
      <c r="H510" s="227"/>
      <c r="I510" s="226">
        <f>SUMPRODUCT((_PLAN_STG!$D$2:$D$1879=B510)*(_PLAN_STG!$B$2:$B$1879="EQ")*(_PLAN_STG!$O$2:$O$1879=1)*(_PLAN_STG!$P$2:$P$1879&gt;0))</f>
        <v>0</v>
      </c>
      <c r="J510" s="227"/>
    </row>
    <row r="511" spans="1:10" x14ac:dyDescent="0.35">
      <c r="A511" s="222" t="str">
        <f t="shared" si="11"/>
        <v/>
      </c>
      <c r="B511" s="223" t="s">
        <v>1675</v>
      </c>
      <c r="C511" s="224" t="str">
        <f>IFERROR(VLOOKUP(B511,EQUIPOS!$A:$B,2,FALSE()),IFERROR(INDEX(COMPOSICIÓN!$E$2:$E$1879,MATCH(B511,COMPOSICIÓN!$D$2:$D$1879,0)),""))</f>
        <v>Pala y retro 310J (c/ operario y combustible)</v>
      </c>
      <c r="D511" s="226">
        <f>IFERROR(VLOOKUP(B511,EQUIPOS!$A:$E,5,FALSE()),"")</f>
        <v>1</v>
      </c>
      <c r="E511" s="161">
        <f>SUMIFS(_PLAN_STG!$P$2:$P$1879,_PLAN_STG!$D$2:$D$1879,B511,_PLAN_STG!$B$2:$B$1879,"EQ",_PLAN_STG!$O$2:$O$1879,1)</f>
        <v>0</v>
      </c>
      <c r="F511" s="162">
        <f>IFERROR(VLOOKUP(B511,EQUIPOS!$A:$F,6,FALSE()),IFERROR(INDEX(COMPOSICIÓN!$I$2:$I$1879,MATCH(B511,COMPOSICIÓN!$D$2:$D$1879,0)),0))</f>
        <v>464850</v>
      </c>
      <c r="G511" s="163">
        <f>SUMIFS(_PLAN_STG!$Q$2:$Q$1879,_PLAN_STG!$D$2:$D$1879,B511,_PLAN_STG!$B$2:$B$1879,"EQ",_PLAN_STG!$O$2:$O$1879,1)</f>
        <v>0</v>
      </c>
      <c r="H511" s="227"/>
      <c r="I511" s="226">
        <f>SUMPRODUCT((_PLAN_STG!$D$2:$D$1879=B511)*(_PLAN_STG!$B$2:$B$1879="EQ")*(_PLAN_STG!$O$2:$O$1879=1)*(_PLAN_STG!$P$2:$P$1879&gt;0))</f>
        <v>0</v>
      </c>
      <c r="J511" s="227"/>
    </row>
    <row r="512" spans="1:10" x14ac:dyDescent="0.35">
      <c r="A512" s="222" t="str">
        <f t="shared" si="11"/>
        <v/>
      </c>
      <c r="B512" s="223" t="s">
        <v>1686</v>
      </c>
      <c r="C512" s="224" t="str">
        <f>IFERROR(VLOOKUP(B512,EQUIPOS!$A:$B,2,FALSE()),IFERROR(INDEX(COMPOSICIÓN!$E$2:$E$1879,MATCH(B512,COMPOSICIÓN!$D$2:$D$1879,0)),""))</f>
        <v>Herramientas y consumibles Excavación manual para vigas de fundación</v>
      </c>
      <c r="D512" s="226">
        <f>IFERROR(VLOOKUP(B512,EQUIPOS!$A:$E,5,FALSE()),"")</f>
        <v>1</v>
      </c>
      <c r="E512" s="161">
        <f>SUMIFS(_PLAN_STG!$P$2:$P$1879,_PLAN_STG!$D$2:$D$1879,B512,_PLAN_STG!$B$2:$B$1879,"EQ",_PLAN_STG!$O$2:$O$1879,1)</f>
        <v>0</v>
      </c>
      <c r="F512" s="162">
        <f>IFERROR(VLOOKUP(B512,EQUIPOS!$A:$F,6,FALSE()),IFERROR(INDEX(COMPOSICIÓN!$I$2:$I$1879,MATCH(B512,COMPOSICIÓN!$D$2:$D$1879,0)),0))</f>
        <v>1302.90871164858</v>
      </c>
      <c r="G512" s="163">
        <f>SUMIFS(_PLAN_STG!$Q$2:$Q$1879,_PLAN_STG!$D$2:$D$1879,B512,_PLAN_STG!$B$2:$B$1879,"EQ",_PLAN_STG!$O$2:$O$1879,1)</f>
        <v>0</v>
      </c>
      <c r="H512" s="227"/>
      <c r="I512" s="226">
        <f>SUMPRODUCT((_PLAN_STG!$D$2:$D$1879=B512)*(_PLAN_STG!$B$2:$B$1879="EQ")*(_PLAN_STG!$O$2:$O$1879=1)*(_PLAN_STG!$P$2:$P$1879&gt;0))</f>
        <v>0</v>
      </c>
      <c r="J512" s="227"/>
    </row>
    <row r="513" spans="1:10" x14ac:dyDescent="0.35">
      <c r="A513" s="222" t="str">
        <f t="shared" si="11"/>
        <v/>
      </c>
      <c r="B513" s="223" t="s">
        <v>1689</v>
      </c>
      <c r="C513" s="224" t="str">
        <f>IFERROR(VLOOKUP(B513,EQUIPOS!$A:$B,2,FALSE()),IFERROR(INDEX(COMPOSICIÓN!$E$2:$E$1879,MATCH(B513,COMPOSICIÓN!$D$2:$D$1879,0)),""))</f>
        <v>Herramientas y consumibles Tabique submuración - H35 (95 kg/m3 de hierro)</v>
      </c>
      <c r="D513" s="226">
        <f>IFERROR(VLOOKUP(B513,EQUIPOS!$A:$E,5,FALSE()),"")</f>
        <v>1</v>
      </c>
      <c r="E513" s="161">
        <f>SUMIFS(_PLAN_STG!$P$2:$P$1879,_PLAN_STG!$D$2:$D$1879,B513,_PLAN_STG!$B$2:$B$1879,"EQ",_PLAN_STG!$O$2:$O$1879,1)</f>
        <v>0</v>
      </c>
      <c r="F513" s="162">
        <f>IFERROR(VLOOKUP(B513,EQUIPOS!$A:$F,6,FALSE()),IFERROR(INDEX(COMPOSICIÓN!$I$2:$I$1879,MATCH(B513,COMPOSICIÓN!$D$2:$D$1879,0)),0))</f>
        <v>11395.701623995201</v>
      </c>
      <c r="G513" s="163">
        <f>SUMIFS(_PLAN_STG!$Q$2:$Q$1879,_PLAN_STG!$D$2:$D$1879,B513,_PLAN_STG!$B$2:$B$1879,"EQ",_PLAN_STG!$O$2:$O$1879,1)</f>
        <v>0</v>
      </c>
      <c r="H513" s="227"/>
      <c r="I513" s="226">
        <f>SUMPRODUCT((_PLAN_STG!$D$2:$D$1879=B513)*(_PLAN_STG!$B$2:$B$1879="EQ")*(_PLAN_STG!$O$2:$O$1879=1)*(_PLAN_STG!$P$2:$P$1879&gt;0))</f>
        <v>0</v>
      </c>
      <c r="J513" s="227"/>
    </row>
    <row r="514" spans="1:10" x14ac:dyDescent="0.35">
      <c r="A514" s="222" t="str">
        <f t="shared" si="11"/>
        <v/>
      </c>
      <c r="B514" s="223" t="s">
        <v>1692</v>
      </c>
      <c r="C514" s="224" t="str">
        <f>IFERROR(VLOOKUP(B514,EQUIPOS!$A:$B,2,FALSE()),IFERROR(INDEX(COMPOSICIÓN!$E$2:$E$1879,MATCH(B514,COMPOSICIÓN!$D$2:$D$1879,0)),""))</f>
        <v>Herramientas y consumibles Zapata corrida tabique - H35 (120 kg/m3 de hierro)</v>
      </c>
      <c r="D514" s="226">
        <f>IFERROR(VLOOKUP(B514,EQUIPOS!$A:$E,5,FALSE()),"")</f>
        <v>1</v>
      </c>
      <c r="E514" s="161">
        <f>SUMIFS(_PLAN_STG!$P$2:$P$1879,_PLAN_STG!$D$2:$D$1879,B514,_PLAN_STG!$B$2:$B$1879,"EQ",_PLAN_STG!$O$2:$O$1879,1)</f>
        <v>0</v>
      </c>
      <c r="F514" s="162">
        <f>IFERROR(VLOOKUP(B514,EQUIPOS!$A:$F,6,FALSE()),IFERROR(INDEX(COMPOSICIÓN!$I$2:$I$1879,MATCH(B514,COMPOSICIÓN!$D$2:$D$1879,0)),0))</f>
        <v>10647.458136473801</v>
      </c>
      <c r="G514" s="163">
        <f>SUMIFS(_PLAN_STG!$Q$2:$Q$1879,_PLAN_STG!$D$2:$D$1879,B514,_PLAN_STG!$B$2:$B$1879,"EQ",_PLAN_STG!$O$2:$O$1879,1)</f>
        <v>0</v>
      </c>
      <c r="H514" s="227"/>
      <c r="I514" s="226">
        <f>SUMPRODUCT((_PLAN_STG!$D$2:$D$1879=B514)*(_PLAN_STG!$B$2:$B$1879="EQ")*(_PLAN_STG!$O$2:$O$1879=1)*(_PLAN_STG!$P$2:$P$1879&gt;0))</f>
        <v>0</v>
      </c>
      <c r="J514" s="227"/>
    </row>
    <row r="515" spans="1:10" x14ac:dyDescent="0.35">
      <c r="A515" s="222" t="str">
        <f t="shared" si="11"/>
        <v/>
      </c>
      <c r="B515" s="223" t="s">
        <v>1695</v>
      </c>
      <c r="C515" s="224" t="str">
        <f>IFERROR(VLOOKUP(B515,EQUIPOS!$A:$B,2,FALSE()),IFERROR(INDEX(COMPOSICIÓN!$E$2:$E$1879,MATCH(B515,COMPOSICIÓN!$D$2:$D$1879,0)),""))</f>
        <v>Herramientas y consumibles Platea - H35 (95 kg/m3 de hierro)</v>
      </c>
      <c r="D515" s="226">
        <f>IFERROR(VLOOKUP(B515,EQUIPOS!$A:$E,5,FALSE()),"")</f>
        <v>1</v>
      </c>
      <c r="E515" s="161">
        <f>SUMIFS(_PLAN_STG!$P$2:$P$1879,_PLAN_STG!$D$2:$D$1879,B515,_PLAN_STG!$B$2:$B$1879,"EQ",_PLAN_STG!$O$2:$O$1879,1)</f>
        <v>0</v>
      </c>
      <c r="F515" s="162">
        <f>IFERROR(VLOOKUP(B515,EQUIPOS!$A:$F,6,FALSE()),IFERROR(INDEX(COMPOSICIÓN!$I$2:$I$1879,MATCH(B515,COMPOSICIÓN!$D$2:$D$1879,0)),0))</f>
        <v>7920.4190953709203</v>
      </c>
      <c r="G515" s="163">
        <f>SUMIFS(_PLAN_STG!$Q$2:$Q$1879,_PLAN_STG!$D$2:$D$1879,B515,_PLAN_STG!$B$2:$B$1879,"EQ",_PLAN_STG!$O$2:$O$1879,1)</f>
        <v>0</v>
      </c>
      <c r="H515" s="227"/>
      <c r="I515" s="226">
        <f>SUMPRODUCT((_PLAN_STG!$D$2:$D$1879=B515)*(_PLAN_STG!$B$2:$B$1879="EQ")*(_PLAN_STG!$O$2:$O$1879=1)*(_PLAN_STG!$P$2:$P$1879&gt;0))</f>
        <v>0</v>
      </c>
      <c r="J515" s="227"/>
    </row>
    <row r="516" spans="1:10" x14ac:dyDescent="0.35">
      <c r="A516" s="222" t="str">
        <f t="shared" si="11"/>
        <v/>
      </c>
      <c r="B516" s="223" t="s">
        <v>1698</v>
      </c>
      <c r="C516" s="224" t="str">
        <f>IFERROR(VLOOKUP(B516,EQUIPOS!$A:$B,2,FALSE()),IFERROR(INDEX(COMPOSICIÓN!$E$2:$E$1879,MATCH(B516,COMPOSICIÓN!$D$2:$D$1879,0)),""))</f>
        <v>Herramientas y consumibles Bases aisladas - (60 kg/m3 de hierro)</v>
      </c>
      <c r="D516" s="226">
        <f>IFERROR(VLOOKUP(B516,EQUIPOS!$A:$E,5,FALSE()),"")</f>
        <v>1</v>
      </c>
      <c r="E516" s="161">
        <f>SUMIFS(_PLAN_STG!$P$2:$P$1879,_PLAN_STG!$D$2:$D$1879,B516,_PLAN_STG!$B$2:$B$1879,"EQ",_PLAN_STG!$O$2:$O$1879,1)</f>
        <v>0</v>
      </c>
      <c r="F516" s="162">
        <f>IFERROR(VLOOKUP(B516,EQUIPOS!$A:$F,6,FALSE()),IFERROR(INDEX(COMPOSICIÓN!$I$2:$I$1879,MATCH(B516,COMPOSICIÓN!$D$2:$D$1879,0)),0))</f>
        <v>7040.5471828709196</v>
      </c>
      <c r="G516" s="163">
        <f>SUMIFS(_PLAN_STG!$Q$2:$Q$1879,_PLAN_STG!$D$2:$D$1879,B516,_PLAN_STG!$B$2:$B$1879,"EQ",_PLAN_STG!$O$2:$O$1879,1)</f>
        <v>0</v>
      </c>
      <c r="H516" s="227"/>
      <c r="I516" s="226">
        <f>SUMPRODUCT((_PLAN_STG!$D$2:$D$1879=B516)*(_PLAN_STG!$B$2:$B$1879="EQ")*(_PLAN_STG!$O$2:$O$1879=1)*(_PLAN_STG!$P$2:$P$1879&gt;0))</f>
        <v>0</v>
      </c>
      <c r="J516" s="227"/>
    </row>
    <row r="517" spans="1:10" x14ac:dyDescent="0.35">
      <c r="A517" s="222" t="str">
        <f t="shared" si="11"/>
        <v/>
      </c>
      <c r="B517" s="223" t="s">
        <v>1701</v>
      </c>
      <c r="C517" s="224" t="str">
        <f>IFERROR(VLOOKUP(B517,EQUIPOS!$A:$B,2,FALSE()),IFERROR(INDEX(COMPOSICIÓN!$E$2:$E$1879,MATCH(B517,COMPOSICIÓN!$D$2:$D$1879,0)),""))</f>
        <v>Herramientas y consumibles Troncos de columnas - H35 (240 kg/m3 de hierro)</v>
      </c>
      <c r="D517" s="226">
        <f>IFERROR(VLOOKUP(B517,EQUIPOS!$A:$E,5,FALSE()),"")</f>
        <v>1</v>
      </c>
      <c r="E517" s="161">
        <f>SUMIFS(_PLAN_STG!$P$2:$P$1879,_PLAN_STG!$D$2:$D$1879,B517,_PLAN_STG!$B$2:$B$1879,"EQ",_PLAN_STG!$O$2:$O$1879,1)</f>
        <v>0</v>
      </c>
      <c r="F517" s="162">
        <f>IFERROR(VLOOKUP(B517,EQUIPOS!$A:$F,6,FALSE()),IFERROR(INDEX(COMPOSICIÓN!$I$2:$I$1879,MATCH(B517,COMPOSICIÓN!$D$2:$D$1879,0)),0))</f>
        <v>14296.601471079201</v>
      </c>
      <c r="G517" s="163">
        <f>SUMIFS(_PLAN_STG!$Q$2:$Q$1879,_PLAN_STG!$D$2:$D$1879,B517,_PLAN_STG!$B$2:$B$1879,"EQ",_PLAN_STG!$O$2:$O$1879,1)</f>
        <v>0</v>
      </c>
      <c r="H517" s="227"/>
      <c r="I517" s="226">
        <f>SUMPRODUCT((_PLAN_STG!$D$2:$D$1879=B517)*(_PLAN_STG!$B$2:$B$1879="EQ")*(_PLAN_STG!$O$2:$O$1879=1)*(_PLAN_STG!$P$2:$P$1879&gt;0))</f>
        <v>0</v>
      </c>
      <c r="J517" s="227"/>
    </row>
    <row r="518" spans="1:10" x14ac:dyDescent="0.35">
      <c r="A518" s="222" t="str">
        <f t="shared" si="11"/>
        <v/>
      </c>
      <c r="B518" s="223" t="s">
        <v>1704</v>
      </c>
      <c r="C518" s="224" t="str">
        <f>IFERROR(VLOOKUP(B518,EQUIPOS!$A:$B,2,FALSE()),IFERROR(INDEX(COMPOSICIÓN!$E$2:$E$1879,MATCH(B518,COMPOSICIÓN!$D$2:$D$1879,0)),""))</f>
        <v>Herramientas y consumibles Viga de encadenado - H35 (180 kg/m3 de hierro)</v>
      </c>
      <c r="D518" s="226">
        <f>IFERROR(VLOOKUP(B518,EQUIPOS!$A:$E,5,FALSE()),"")</f>
        <v>1</v>
      </c>
      <c r="E518" s="161">
        <f>SUMIFS(_PLAN_STG!$P$2:$P$1879,_PLAN_STG!$D$2:$D$1879,B518,_PLAN_STG!$B$2:$B$1879,"EQ",_PLAN_STG!$O$2:$O$1879,1)</f>
        <v>0</v>
      </c>
      <c r="F518" s="162">
        <f>IFERROR(VLOOKUP(B518,EQUIPOS!$A:$F,6,FALSE()),IFERROR(INDEX(COMPOSICIÓN!$I$2:$I$1879,MATCH(B518,COMPOSICIÓN!$D$2:$D$1879,0)),0))</f>
        <v>12155.8099864738</v>
      </c>
      <c r="G518" s="163">
        <f>SUMIFS(_PLAN_STG!$Q$2:$Q$1879,_PLAN_STG!$D$2:$D$1879,B518,_PLAN_STG!$B$2:$B$1879,"EQ",_PLAN_STG!$O$2:$O$1879,1)</f>
        <v>0</v>
      </c>
      <c r="H518" s="227"/>
      <c r="I518" s="226">
        <f>SUMPRODUCT((_PLAN_STG!$D$2:$D$1879=B518)*(_PLAN_STG!$B$2:$B$1879="EQ")*(_PLAN_STG!$O$2:$O$1879=1)*(_PLAN_STG!$P$2:$P$1879&gt;0))</f>
        <v>0</v>
      </c>
      <c r="J518" s="227"/>
    </row>
    <row r="519" spans="1:10" x14ac:dyDescent="0.35">
      <c r="A519" s="222" t="str">
        <f t="shared" si="11"/>
        <v/>
      </c>
      <c r="B519" s="223" t="s">
        <v>1707</v>
      </c>
      <c r="C519" s="224" t="str">
        <f>IFERROR(VLOOKUP(B519,EQUIPOS!$A:$B,2,FALSE()),IFERROR(INDEX(COMPOSICIÓN!$E$2:$E$1879,MATCH(B519,COMPOSICIÓN!$D$2:$D$1879,0)),""))</f>
        <v>Herramientas y consumibles Losa maciza - H35 (100 kg/m3 de hierro)</v>
      </c>
      <c r="D519" s="226">
        <f>IFERROR(VLOOKUP(B519,EQUIPOS!$A:$E,5,FALSE()),"")</f>
        <v>1</v>
      </c>
      <c r="E519" s="161">
        <f>SUMIFS(_PLAN_STG!$P$2:$P$1879,_PLAN_STG!$D$2:$D$1879,B519,_PLAN_STG!$B$2:$B$1879,"EQ",_PLAN_STG!$O$2:$O$1879,1)</f>
        <v>0</v>
      </c>
      <c r="F519" s="162">
        <f>IFERROR(VLOOKUP(B519,EQUIPOS!$A:$F,6,FALSE()),IFERROR(INDEX(COMPOSICIÓN!$I$2:$I$1879,MATCH(B519,COMPOSICIÓN!$D$2:$D$1879,0)),0))</f>
        <v>8915.6268732254393</v>
      </c>
      <c r="G519" s="163">
        <f>SUMIFS(_PLAN_STG!$Q$2:$Q$1879,_PLAN_STG!$D$2:$D$1879,B519,_PLAN_STG!$B$2:$B$1879,"EQ",_PLAN_STG!$O$2:$O$1879,1)</f>
        <v>0</v>
      </c>
      <c r="H519" s="227"/>
      <c r="I519" s="226">
        <f>SUMPRODUCT((_PLAN_STG!$D$2:$D$1879=B519)*(_PLAN_STG!$B$2:$B$1879="EQ")*(_PLAN_STG!$O$2:$O$1879=1)*(_PLAN_STG!$P$2:$P$1879&gt;0))</f>
        <v>0</v>
      </c>
      <c r="J519" s="227"/>
    </row>
    <row r="520" spans="1:10" x14ac:dyDescent="0.35">
      <c r="A520" s="222" t="str">
        <f t="shared" si="11"/>
        <v/>
      </c>
      <c r="B520" s="223" t="s">
        <v>1710</v>
      </c>
      <c r="C520" s="224" t="str">
        <f>IFERROR(VLOOKUP(B520,EQUIPOS!$A:$B,2,FALSE()),IFERROR(INDEX(COMPOSICIÓN!$E$2:$E$1879,MATCH(B520,COMPOSICIÓN!$D$2:$D$1879,0)),""))</f>
        <v>Herramientas y consumibles Losa maciza de Hº visto - H35 (100 kg/m3 de hierro</v>
      </c>
      <c r="D520" s="226">
        <f>IFERROR(VLOOKUP(B520,EQUIPOS!$A:$E,5,FALSE()),"")</f>
        <v>1</v>
      </c>
      <c r="E520" s="161">
        <f>SUMIFS(_PLAN_STG!$P$2:$P$1879,_PLAN_STG!$D$2:$D$1879,B520,_PLAN_STG!$B$2:$B$1879,"EQ",_PLAN_STG!$O$2:$O$1879,1)</f>
        <v>0</v>
      </c>
      <c r="F520" s="162">
        <f>IFERROR(VLOOKUP(B520,EQUIPOS!$A:$F,6,FALSE()),IFERROR(INDEX(COMPOSICIÓN!$I$2:$I$1879,MATCH(B520,COMPOSICIÓN!$D$2:$D$1879,0)),0))</f>
        <v>9854.9599131873692</v>
      </c>
      <c r="G520" s="163">
        <f>SUMIFS(_PLAN_STG!$Q$2:$Q$1879,_PLAN_STG!$D$2:$D$1879,B520,_PLAN_STG!$B$2:$B$1879,"EQ",_PLAN_STG!$O$2:$O$1879,1)</f>
        <v>0</v>
      </c>
      <c r="H520" s="227"/>
      <c r="I520" s="226">
        <f>SUMPRODUCT((_PLAN_STG!$D$2:$D$1879=B520)*(_PLAN_STG!$B$2:$B$1879="EQ")*(_PLAN_STG!$O$2:$O$1879=1)*(_PLAN_STG!$P$2:$P$1879&gt;0))</f>
        <v>0</v>
      </c>
      <c r="J520" s="227"/>
    </row>
    <row r="521" spans="1:10" x14ac:dyDescent="0.35">
      <c r="A521" s="222" t="str">
        <f t="shared" si="11"/>
        <v/>
      </c>
      <c r="B521" s="223" t="s">
        <v>1713</v>
      </c>
      <c r="C521" s="224" t="str">
        <f>IFERROR(VLOOKUP(B521,EQUIPOS!$A:$B,2,FALSE()),IFERROR(INDEX(COMPOSICIÓN!$E$2:$E$1879,MATCH(B521,COMPOSICIÓN!$D$2:$D$1879,0)),""))</f>
        <v>Herramientas y consumibles Vigas - H35 (180 kg/m3 de hierro)</v>
      </c>
      <c r="D521" s="226">
        <f>IFERROR(VLOOKUP(B521,EQUIPOS!$A:$E,5,FALSE()),"")</f>
        <v>1</v>
      </c>
      <c r="E521" s="161">
        <f>SUMIFS(_PLAN_STG!$P$2:$P$1879,_PLAN_STG!$D$2:$D$1879,B521,_PLAN_STG!$B$2:$B$1879,"EQ",_PLAN_STG!$O$2:$O$1879,1)</f>
        <v>0</v>
      </c>
      <c r="F521" s="162">
        <f>IFERROR(VLOOKUP(B521,EQUIPOS!$A:$F,6,FALSE()),IFERROR(INDEX(COMPOSICIÓN!$I$2:$I$1879,MATCH(B521,COMPOSICIÓN!$D$2:$D$1879,0)),0))</f>
        <v>16574.254700785801</v>
      </c>
      <c r="G521" s="163">
        <f>SUMIFS(_PLAN_STG!$Q$2:$Q$1879,_PLAN_STG!$D$2:$D$1879,B521,_PLAN_STG!$B$2:$B$1879,"EQ",_PLAN_STG!$O$2:$O$1879,1)</f>
        <v>0</v>
      </c>
      <c r="H521" s="227"/>
      <c r="I521" s="226">
        <f>SUMPRODUCT((_PLAN_STG!$D$2:$D$1879=B521)*(_PLAN_STG!$B$2:$B$1879="EQ")*(_PLAN_STG!$O$2:$O$1879=1)*(_PLAN_STG!$P$2:$P$1879&gt;0))</f>
        <v>0</v>
      </c>
      <c r="J521" s="227"/>
    </row>
    <row r="522" spans="1:10" x14ac:dyDescent="0.35">
      <c r="A522" s="222" t="str">
        <f t="shared" si="11"/>
        <v/>
      </c>
      <c r="B522" s="223" t="s">
        <v>1716</v>
      </c>
      <c r="C522" s="224" t="str">
        <f>IFERROR(VLOOKUP(B522,EQUIPOS!$A:$B,2,FALSE()),IFERROR(INDEX(COMPOSICIÓN!$E$2:$E$1879,MATCH(B522,COMPOSICIÓN!$D$2:$D$1879,0)),""))</f>
        <v xml:space="preserve">Herramientas y consumibles Vigas de H° visto - H35 (180 kg/m3 de hierro) </v>
      </c>
      <c r="D522" s="226">
        <f>IFERROR(VLOOKUP(B522,EQUIPOS!$A:$E,5,FALSE()),"")</f>
        <v>1</v>
      </c>
      <c r="E522" s="161">
        <f>SUMIFS(_PLAN_STG!$P$2:$P$1879,_PLAN_STG!$D$2:$D$1879,B522,_PLAN_STG!$B$2:$B$1879,"EQ",_PLAN_STG!$O$2:$O$1879,1)</f>
        <v>0</v>
      </c>
      <c r="F522" s="162">
        <f>IFERROR(VLOOKUP(B522,EQUIPOS!$A:$F,6,FALSE()),IFERROR(INDEX(COMPOSICIÓN!$I$2:$I$1879,MATCH(B522,COMPOSICIÓN!$D$2:$D$1879,0)),0))</f>
        <v>18555.793102383701</v>
      </c>
      <c r="G522" s="163">
        <f>SUMIFS(_PLAN_STG!$Q$2:$Q$1879,_PLAN_STG!$D$2:$D$1879,B522,_PLAN_STG!$B$2:$B$1879,"EQ",_PLAN_STG!$O$2:$O$1879,1)</f>
        <v>0</v>
      </c>
      <c r="H522" s="227"/>
      <c r="I522" s="226">
        <f>SUMPRODUCT((_PLAN_STG!$D$2:$D$1879=B522)*(_PLAN_STG!$B$2:$B$1879="EQ")*(_PLAN_STG!$O$2:$O$1879=1)*(_PLAN_STG!$P$2:$P$1879&gt;0))</f>
        <v>0</v>
      </c>
      <c r="J522" s="227"/>
    </row>
    <row r="523" spans="1:10" x14ac:dyDescent="0.35">
      <c r="A523" s="222" t="str">
        <f t="shared" si="11"/>
        <v/>
      </c>
      <c r="B523" s="223" t="s">
        <v>1719</v>
      </c>
      <c r="C523" s="224" t="str">
        <f>IFERROR(VLOOKUP(B523,EQUIPOS!$A:$B,2,FALSE()),IFERROR(INDEX(COMPOSICIÓN!$E$2:$E$1879,MATCH(B523,COMPOSICIÓN!$D$2:$D$1879,0)),""))</f>
        <v>Herramientas y consumibles Tabiques - H35 (100 kg/m3 de hierro)</v>
      </c>
      <c r="D523" s="226">
        <f>IFERROR(VLOOKUP(B523,EQUIPOS!$A:$E,5,FALSE()),"")</f>
        <v>1</v>
      </c>
      <c r="E523" s="161">
        <f>SUMIFS(_PLAN_STG!$P$2:$P$1879,_PLAN_STG!$D$2:$D$1879,B523,_PLAN_STG!$B$2:$B$1879,"EQ",_PLAN_STG!$O$2:$O$1879,1)</f>
        <v>0</v>
      </c>
      <c r="F523" s="162">
        <f>IFERROR(VLOOKUP(B523,EQUIPOS!$A:$F,6,FALSE()),IFERROR(INDEX(COMPOSICIÓN!$I$2:$I$1879,MATCH(B523,COMPOSICIÓN!$D$2:$D$1879,0)),0))</f>
        <v>11521.3976114952</v>
      </c>
      <c r="G523" s="163">
        <f>SUMIFS(_PLAN_STG!$Q$2:$Q$1879,_PLAN_STG!$D$2:$D$1879,B523,_PLAN_STG!$B$2:$B$1879,"EQ",_PLAN_STG!$O$2:$O$1879,1)</f>
        <v>0</v>
      </c>
      <c r="H523" s="227"/>
      <c r="I523" s="226">
        <f>SUMPRODUCT((_PLAN_STG!$D$2:$D$1879=B523)*(_PLAN_STG!$B$2:$B$1879="EQ")*(_PLAN_STG!$O$2:$O$1879=1)*(_PLAN_STG!$P$2:$P$1879&gt;0))</f>
        <v>0</v>
      </c>
      <c r="J523" s="227"/>
    </row>
    <row r="524" spans="1:10" x14ac:dyDescent="0.35">
      <c r="A524" s="222" t="str">
        <f t="shared" si="11"/>
        <v/>
      </c>
      <c r="B524" s="223" t="s">
        <v>1722</v>
      </c>
      <c r="C524" s="224" t="str">
        <f>IFERROR(VLOOKUP(B524,EQUIPOS!$A:$B,2,FALSE()),IFERROR(INDEX(COMPOSICIÓN!$E$2:$E$1879,MATCH(B524,COMPOSICIÓN!$D$2:$D$1879,0)),""))</f>
        <v>Herramientas y consumibles Columna - H35 (180 Kg/m3 de hierro)</v>
      </c>
      <c r="D524" s="226">
        <f>IFERROR(VLOOKUP(B524,EQUIPOS!$A:$E,5,FALSE()),"")</f>
        <v>1</v>
      </c>
      <c r="E524" s="161">
        <f>SUMIFS(_PLAN_STG!$P$2:$P$1879,_PLAN_STG!$D$2:$D$1879,B524,_PLAN_STG!$B$2:$B$1879,"EQ",_PLAN_STG!$O$2:$O$1879,1)</f>
        <v>0</v>
      </c>
      <c r="F524" s="162">
        <f>IFERROR(VLOOKUP(B524,EQUIPOS!$A:$F,6,FALSE()),IFERROR(INDEX(COMPOSICIÓN!$I$2:$I$1879,MATCH(B524,COMPOSICIÓN!$D$2:$D$1879,0)),0))</f>
        <v>12788.2496210792</v>
      </c>
      <c r="G524" s="163">
        <f>SUMIFS(_PLAN_STG!$Q$2:$Q$1879,_PLAN_STG!$D$2:$D$1879,B524,_PLAN_STG!$B$2:$B$1879,"EQ",_PLAN_STG!$O$2:$O$1879,1)</f>
        <v>0</v>
      </c>
      <c r="H524" s="227"/>
      <c r="I524" s="226">
        <f>SUMPRODUCT((_PLAN_STG!$D$2:$D$1879=B524)*(_PLAN_STG!$B$2:$B$1879="EQ")*(_PLAN_STG!$O$2:$O$1879=1)*(_PLAN_STG!$P$2:$P$1879&gt;0))</f>
        <v>0</v>
      </c>
      <c r="J524" s="227"/>
    </row>
    <row r="525" spans="1:10" x14ac:dyDescent="0.35">
      <c r="A525" s="222" t="str">
        <f t="shared" si="11"/>
        <v/>
      </c>
      <c r="B525" s="223" t="s">
        <v>1725</v>
      </c>
      <c r="C525" s="224" t="str">
        <f>IFERROR(VLOOKUP(B525,EQUIPOS!$A:$B,2,FALSE()),IFERROR(INDEX(COMPOSICIÓN!$E$2:$E$1879,MATCH(B525,COMPOSICIÓN!$D$2:$D$1879,0)),""))</f>
        <v>Herramientas y consumibles Escaleras de Hº visto - H35 (105 kg/m3 de hierro)</v>
      </c>
      <c r="D525" s="226">
        <f>IFERROR(VLOOKUP(B525,EQUIPOS!$A:$E,5,FALSE()),"")</f>
        <v>1</v>
      </c>
      <c r="E525" s="161">
        <f>SUMIFS(_PLAN_STG!$P$2:$P$1879,_PLAN_STG!$D$2:$D$1879,B525,_PLAN_STG!$B$2:$B$1879,"EQ",_PLAN_STG!$O$2:$O$1879,1)</f>
        <v>0</v>
      </c>
      <c r="F525" s="162">
        <f>IFERROR(VLOOKUP(B525,EQUIPOS!$A:$F,6,FALSE()),IFERROR(INDEX(COMPOSICIÓN!$I$2:$I$1879,MATCH(B525,COMPOSICIÓN!$D$2:$D$1879,0)),0))</f>
        <v>12325.562186123399</v>
      </c>
      <c r="G525" s="163">
        <f>SUMIFS(_PLAN_STG!$Q$2:$Q$1879,_PLAN_STG!$D$2:$D$1879,B525,_PLAN_STG!$B$2:$B$1879,"EQ",_PLAN_STG!$O$2:$O$1879,1)</f>
        <v>0</v>
      </c>
      <c r="H525" s="227"/>
      <c r="I525" s="226">
        <f>SUMPRODUCT((_PLAN_STG!$D$2:$D$1879=B525)*(_PLAN_STG!$B$2:$B$1879="EQ")*(_PLAN_STG!$O$2:$O$1879=1)*(_PLAN_STG!$P$2:$P$1879&gt;0))</f>
        <v>0</v>
      </c>
      <c r="J525" s="227"/>
    </row>
    <row r="526" spans="1:10" x14ac:dyDescent="0.35">
      <c r="A526" s="222" t="str">
        <f t="shared" si="11"/>
        <v/>
      </c>
      <c r="B526" s="223" t="s">
        <v>1728</v>
      </c>
      <c r="C526" s="224" t="str">
        <f>IFERROR(VLOOKUP(B526,EQUIPOS!$A:$B,2,FALSE()),IFERROR(INDEX(COMPOSICIÓN!$E$2:$E$1879,MATCH(B526,COMPOSICIÓN!$D$2:$D$1879,0)),""))</f>
        <v>Herramientas y consumibles Tanques de HºAº - H35 (100 kg/m3 de hierro) - Tanq</v>
      </c>
      <c r="D526" s="226">
        <f>IFERROR(VLOOKUP(B526,EQUIPOS!$A:$E,5,FALSE()),"")</f>
        <v>1</v>
      </c>
      <c r="E526" s="161">
        <f>SUMIFS(_PLAN_STG!$P$2:$P$1879,_PLAN_STG!$D$2:$D$1879,B526,_PLAN_STG!$B$2:$B$1879,"EQ",_PLAN_STG!$O$2:$O$1879,1)</f>
        <v>0</v>
      </c>
      <c r="F526" s="162">
        <f>IFERROR(VLOOKUP(B526,EQUIPOS!$A:$F,6,FALSE()),IFERROR(INDEX(COMPOSICIÓN!$I$2:$I$1879,MATCH(B526,COMPOSICIÓN!$D$2:$D$1879,0)),0))</f>
        <v>11521.3976114952</v>
      </c>
      <c r="G526" s="163">
        <f>SUMIFS(_PLAN_STG!$Q$2:$Q$1879,_PLAN_STG!$D$2:$D$1879,B526,_PLAN_STG!$B$2:$B$1879,"EQ",_PLAN_STG!$O$2:$O$1879,1)</f>
        <v>0</v>
      </c>
      <c r="H526" s="227"/>
      <c r="I526" s="226">
        <f>SUMPRODUCT((_PLAN_STG!$D$2:$D$1879=B526)*(_PLAN_STG!$B$2:$B$1879="EQ")*(_PLAN_STG!$O$2:$O$1879=1)*(_PLAN_STG!$P$2:$P$1879&gt;0))</f>
        <v>0</v>
      </c>
      <c r="J526" s="227"/>
    </row>
    <row r="527" spans="1:10" x14ac:dyDescent="0.35">
      <c r="A527" s="222" t="str">
        <f t="shared" si="11"/>
        <v/>
      </c>
      <c r="B527" s="223" t="s">
        <v>1731</v>
      </c>
      <c r="C527" s="224" t="str">
        <f>IFERROR(VLOOKUP(B527,EQUIPOS!$A:$B,2,FALSE()),IFERROR(INDEX(COMPOSICIÓN!$E$2:$E$1879,MATCH(B527,COMPOSICIÓN!$D$2:$D$1879,0)),""))</f>
        <v>EQ Sistema de apuntalamiento y reapuntalamiento [ENCOFRADO]</v>
      </c>
      <c r="D527" s="226">
        <f>IFERROR(VLOOKUP(B527,EQUIPOS!$A:$E,5,FALSE()),"")</f>
        <v>1</v>
      </c>
      <c r="E527" s="161">
        <f>SUMIFS(_PLAN_STG!$P$2:$P$1879,_PLAN_STG!$D$2:$D$1879,B527,_PLAN_STG!$B$2:$B$1879,"EQ",_PLAN_STG!$O$2:$O$1879,1)</f>
        <v>0</v>
      </c>
      <c r="F527" s="162">
        <f>IFERROR(VLOOKUP(B527,EQUIPOS!$A:$F,6,FALSE()),IFERROR(INDEX(COMPOSICIÓN!$I$2:$I$1879,MATCH(B527,COMPOSICIÓN!$D$2:$D$1879,0)),0))</f>
        <v>8458556.625</v>
      </c>
      <c r="G527" s="163">
        <f>SUMIFS(_PLAN_STG!$Q$2:$Q$1879,_PLAN_STG!$D$2:$D$1879,B527,_PLAN_STG!$B$2:$B$1879,"EQ",_PLAN_STG!$O$2:$O$1879,1)</f>
        <v>0</v>
      </c>
      <c r="H527" s="227"/>
      <c r="I527" s="226">
        <f>SUMPRODUCT((_PLAN_STG!$D$2:$D$1879=B527)*(_PLAN_STG!$B$2:$B$1879="EQ")*(_PLAN_STG!$O$2:$O$1879=1)*(_PLAN_STG!$P$2:$P$1879&gt;0))</f>
        <v>0</v>
      </c>
      <c r="J527" s="227"/>
    </row>
    <row r="528" spans="1:10" x14ac:dyDescent="0.35">
      <c r="A528" s="222" t="str">
        <f t="shared" si="11"/>
        <v/>
      </c>
      <c r="B528" s="223" t="s">
        <v>1741</v>
      </c>
      <c r="C528" s="224" t="str">
        <f>IFERROR(VLOOKUP(B528,EQUIPOS!$A:$B,2,FALSE()),IFERROR(INDEX(COMPOSICIÓN!$E$2:$E$1879,MATCH(B528,COMPOSICIÓN!$D$2:$D$1879,0)),""))</f>
        <v>Herramientas y consumibles Colocación de garden block, incluye provisión y co</v>
      </c>
      <c r="D528" s="226">
        <f>IFERROR(VLOOKUP(B528,EQUIPOS!$A:$E,5,FALSE()),"")</f>
        <v>1</v>
      </c>
      <c r="E528" s="161">
        <f>SUMIFS(_PLAN_STG!$P$2:$P$1879,_PLAN_STG!$D$2:$D$1879,B528,_PLAN_STG!$B$2:$B$1879,"EQ",_PLAN_STG!$O$2:$O$1879,1)</f>
        <v>0</v>
      </c>
      <c r="F528" s="162">
        <f>IFERROR(VLOOKUP(B528,EQUIPOS!$A:$F,6,FALSE()),IFERROR(INDEX(COMPOSICIÓN!$I$2:$I$1879,MATCH(B528,COMPOSICIÓN!$D$2:$D$1879,0)),0))</f>
        <v>212.50168340278501</v>
      </c>
      <c r="G528" s="163">
        <f>SUMIFS(_PLAN_STG!$Q$2:$Q$1879,_PLAN_STG!$D$2:$D$1879,B528,_PLAN_STG!$B$2:$B$1879,"EQ",_PLAN_STG!$O$2:$O$1879,1)</f>
        <v>0</v>
      </c>
      <c r="H528" s="227"/>
      <c r="I528" s="226">
        <f>SUMPRODUCT((_PLAN_STG!$D$2:$D$1879=B528)*(_PLAN_STG!$B$2:$B$1879="EQ")*(_PLAN_STG!$O$2:$O$1879=1)*(_PLAN_STG!$P$2:$P$1879&gt;0))</f>
        <v>0</v>
      </c>
      <c r="J528" s="227"/>
    </row>
    <row r="529" spans="1:10" x14ac:dyDescent="0.35">
      <c r="A529" s="222" t="str">
        <f t="shared" si="11"/>
        <v/>
      </c>
      <c r="B529" s="223" t="s">
        <v>1744</v>
      </c>
      <c r="C529" s="224" t="str">
        <f>IFERROR(VLOOKUP(B529,EQUIPOS!$A:$B,2,FALSE()),IFERROR(INDEX(COMPOSICIÓN!$E$2:$E$1879,MATCH(B529,COMPOSICIÓN!$D$2:$D$1879,0)),""))</f>
        <v>EQUIPO DE CONSTRUCCION EN SECO</v>
      </c>
      <c r="D529" s="226">
        <f>IFERROR(VLOOKUP(B529,EQUIPOS!$A:$E,5,FALSE()),"")</f>
        <v>1</v>
      </c>
      <c r="E529" s="161">
        <f>SUMIFS(_PLAN_STG!$P$2:$P$1879,_PLAN_STG!$D$2:$D$1879,B529,_PLAN_STG!$B$2:$B$1879,"EQ",_PLAN_STG!$O$2:$O$1879,1)</f>
        <v>0</v>
      </c>
      <c r="F529" s="162">
        <f>IFERROR(VLOOKUP(B529,EQUIPOS!$A:$F,6,FALSE()),IFERROR(INDEX(COMPOSICIÓN!$I$2:$I$1879,MATCH(B529,COMPOSICIÓN!$D$2:$D$1879,0)),0))</f>
        <v>2365.2381485799501</v>
      </c>
      <c r="G529" s="163">
        <f>SUMIFS(_PLAN_STG!$Q$2:$Q$1879,_PLAN_STG!$D$2:$D$1879,B529,_PLAN_STG!$B$2:$B$1879,"EQ",_PLAN_STG!$O$2:$O$1879,1)</f>
        <v>0</v>
      </c>
      <c r="H529" s="227"/>
      <c r="I529" s="226">
        <f>SUMPRODUCT((_PLAN_STG!$D$2:$D$1879=B529)*(_PLAN_STG!$B$2:$B$1879="EQ")*(_PLAN_STG!$O$2:$O$1879=1)*(_PLAN_STG!$P$2:$P$1879&gt;0))</f>
        <v>0</v>
      </c>
      <c r="J529" s="227"/>
    </row>
    <row r="530" spans="1:10" x14ac:dyDescent="0.35">
      <c r="A530" s="222" t="str">
        <f t="shared" si="11"/>
        <v/>
      </c>
      <c r="B530" s="223" t="s">
        <v>1747</v>
      </c>
      <c r="C530" s="224" t="str">
        <f>IFERROR(VLOOKUP(B530,EQUIPOS!$A:$B,2,FALSE()),IFERROR(INDEX(COMPOSICIÓN!$E$2:$E$1879,MATCH(B530,COMPOSICIÓN!$D$2:$D$1879,0)),""))</f>
        <v>[EQ] Latex exterior mate en paredes, color bco., sin enduido, a mas de 3 m de altura - Medianeras</v>
      </c>
      <c r="D530" s="226">
        <f>IFERROR(VLOOKUP(B530,EQUIPOS!$A:$E,5,FALSE()),"")</f>
        <v>1</v>
      </c>
      <c r="E530" s="161">
        <f>SUMIFS(_PLAN_STG!$P$2:$P$1879,_PLAN_STG!$D$2:$D$1879,B530,_PLAN_STG!$B$2:$B$1879,"EQ",_PLAN_STG!$O$2:$O$1879,1)</f>
        <v>0</v>
      </c>
      <c r="F530" s="162">
        <f>IFERROR(VLOOKUP(B530,EQUIPOS!$A:$F,6,FALSE()),IFERROR(INDEX(COMPOSICIÓN!$I$2:$I$1879,MATCH(B530,COMPOSICIÓN!$D$2:$D$1879,0)),0))</f>
        <v>234.442307493812</v>
      </c>
      <c r="G530" s="163">
        <f>SUMIFS(_PLAN_STG!$Q$2:$Q$1879,_PLAN_STG!$D$2:$D$1879,B530,_PLAN_STG!$B$2:$B$1879,"EQ",_PLAN_STG!$O$2:$O$1879,1)</f>
        <v>0</v>
      </c>
      <c r="H530" s="227"/>
      <c r="I530" s="226">
        <f>SUMPRODUCT((_PLAN_STG!$D$2:$D$1879=B530)*(_PLAN_STG!$B$2:$B$1879="EQ")*(_PLAN_STG!$O$2:$O$1879=1)*(_PLAN_STG!$P$2:$P$1879&gt;0))</f>
        <v>0</v>
      </c>
      <c r="J530" s="227"/>
    </row>
    <row r="531" spans="1:10" x14ac:dyDescent="0.35">
      <c r="A531" s="222" t="str">
        <f t="shared" si="11"/>
        <v/>
      </c>
      <c r="B531" s="223" t="s">
        <v>1749</v>
      </c>
      <c r="C531" s="224" t="str">
        <f>IFERROR(VLOOKUP(B531,EQUIPOS!$A:$B,2,FALSE()),IFERROR(INDEX(COMPOSICIÓN!$E$2:$E$1879,MATCH(B531,COMPOSICIÓN!$D$2:$D$1879,0)),""))</f>
        <v>ESCALERA MADERA PINTOR 8 ESCALONES</v>
      </c>
      <c r="D531" s="226">
        <f>IFERROR(VLOOKUP(B531,EQUIPOS!$A:$E,5,FALSE()),"")</f>
        <v>1</v>
      </c>
      <c r="E531" s="161">
        <f>SUMIFS(_PLAN_STG!$P$2:$P$1879,_PLAN_STG!$D$2:$D$1879,B531,_PLAN_STG!$B$2:$B$1879,"EQ",_PLAN_STG!$O$2:$O$1879,1)</f>
        <v>0</v>
      </c>
      <c r="F531" s="162">
        <f>IFERROR(VLOOKUP(B531,EQUIPOS!$A:$F,6,FALSE()),IFERROR(INDEX(COMPOSICIÓN!$I$2:$I$1879,MATCH(B531,COMPOSICIÓN!$D$2:$D$1879,0)),0))</f>
        <v>200.25307946474501</v>
      </c>
      <c r="G531" s="163">
        <f>SUMIFS(_PLAN_STG!$Q$2:$Q$1879,_PLAN_STG!$D$2:$D$1879,B531,_PLAN_STG!$B$2:$B$1879,"EQ",_PLAN_STG!$O$2:$O$1879,1)</f>
        <v>0</v>
      </c>
      <c r="H531" s="227"/>
      <c r="I531" s="226">
        <f>SUMPRODUCT((_PLAN_STG!$D$2:$D$1879=B531)*(_PLAN_STG!$B$2:$B$1879="EQ")*(_PLAN_STG!$O$2:$O$1879=1)*(_PLAN_STG!$P$2:$P$1879&gt;0))</f>
        <v>0</v>
      </c>
      <c r="J531" s="227"/>
    </row>
    <row r="532" spans="1:10" x14ac:dyDescent="0.35">
      <c r="A532" s="222" t="str">
        <f t="shared" si="11"/>
        <v/>
      </c>
      <c r="B532" s="223" t="s">
        <v>1752</v>
      </c>
      <c r="C532" s="224" t="str">
        <f>IFERROR(VLOOKUP(B532,EQUIPOS!$A:$B,2,FALSE()),IFERROR(INDEX(COMPOSICIÓN!$E$2:$E$1879,MATCH(B532,COMPOSICIÓN!$D$2:$D$1879,0)),""))</f>
        <v>Herramientas y consumibles Armado y conexionado de desagües AA.CC</v>
      </c>
      <c r="D532" s="226">
        <f>IFERROR(VLOOKUP(B532,EQUIPOS!$A:$E,5,FALSE()),"")</f>
        <v>1</v>
      </c>
      <c r="E532" s="161">
        <f>SUMIFS(_PLAN_STG!$P$2:$P$1879,_PLAN_STG!$D$2:$D$1879,B532,_PLAN_STG!$B$2:$B$1879,"EQ",_PLAN_STG!$O$2:$O$1879,1)</f>
        <v>0</v>
      </c>
      <c r="F532" s="162">
        <f>IFERROR(VLOOKUP(B532,EQUIPOS!$A:$F,6,FALSE()),IFERROR(INDEX(COMPOSICIÓN!$I$2:$I$1879,MATCH(B532,COMPOSICIÓN!$D$2:$D$1879,0)),0))</f>
        <v>29250</v>
      </c>
      <c r="G532" s="163">
        <f>SUMIFS(_PLAN_STG!$Q$2:$Q$1879,_PLAN_STG!$D$2:$D$1879,B532,_PLAN_STG!$B$2:$B$1879,"EQ",_PLAN_STG!$O$2:$O$1879,1)</f>
        <v>0</v>
      </c>
      <c r="H532" s="227"/>
      <c r="I532" s="226">
        <f>SUMPRODUCT((_PLAN_STG!$D$2:$D$1879=B532)*(_PLAN_STG!$B$2:$B$1879="EQ")*(_PLAN_STG!$O$2:$O$1879=1)*(_PLAN_STG!$P$2:$P$1879&gt;0))</f>
        <v>0</v>
      </c>
      <c r="J532" s="227"/>
    </row>
    <row r="533" spans="1:10" x14ac:dyDescent="0.35">
      <c r="A533" s="222" t="str">
        <f t="shared" si="11"/>
        <v/>
      </c>
      <c r="B533" s="223" t="s">
        <v>1755</v>
      </c>
      <c r="C533" s="224" t="str">
        <f>IFERROR(VLOOKUP(B533,EQUIPOS!$A:$B,2,FALSE()),IFERROR(INDEX(COMPOSICIÓN!$E$2:$E$1879,MATCH(B533,COMPOSICIÓN!$D$2:$D$1879,0)),""))</f>
        <v>Herramientas menores y consumibles - Topógrafo - Visita de obra replanteo</v>
      </c>
      <c r="D533" s="226">
        <f>IFERROR(VLOOKUP(B533,EQUIPOS!$A:$E,5,FALSE()),"")</f>
        <v>1</v>
      </c>
      <c r="E533" s="161">
        <f>SUMIFS(_PLAN_STG!$P$2:$P$1879,_PLAN_STG!$D$2:$D$1879,B533,_PLAN_STG!$B$2:$B$1879,"EQ",_PLAN_STG!$O$2:$O$1879,1)</f>
        <v>0</v>
      </c>
      <c r="F533" s="162">
        <f>IFERROR(VLOOKUP(B533,EQUIPOS!$A:$F,6,FALSE()),IFERROR(INDEX(COMPOSICIÓN!$I$2:$I$1879,MATCH(B533,COMPOSICIÓN!$D$2:$D$1879,0)),0))</f>
        <v>4268.9613811940299</v>
      </c>
      <c r="G533" s="163">
        <f>SUMIFS(_PLAN_STG!$Q$2:$Q$1879,_PLAN_STG!$D$2:$D$1879,B533,_PLAN_STG!$B$2:$B$1879,"EQ",_PLAN_STG!$O$2:$O$1879,1)</f>
        <v>0</v>
      </c>
      <c r="H533" s="227"/>
      <c r="I533" s="226">
        <f>SUMPRODUCT((_PLAN_STG!$D$2:$D$1879=B533)*(_PLAN_STG!$B$2:$B$1879="EQ")*(_PLAN_STG!$O$2:$O$1879=1)*(_PLAN_STG!$P$2:$P$1879&gt;0))</f>
        <v>0</v>
      </c>
      <c r="J533" s="227"/>
    </row>
    <row r="534" spans="1:10" x14ac:dyDescent="0.35">
      <c r="A534" s="222" t="str">
        <f t="shared" ref="A534:A565" si="12">IF(G534=0,"",ROW()-502+1)</f>
        <v/>
      </c>
      <c r="B534" s="223" t="s">
        <v>1758</v>
      </c>
      <c r="C534" s="224" t="str">
        <f>IFERROR(VLOOKUP(B534,EQUIPOS!$A:$B,2,FALSE()),IFERROR(INDEX(COMPOSICIÓN!$E$2:$E$1879,MATCH(B534,COMPOSICIÓN!$D$2:$D$1879,0)),""))</f>
        <v>Herramientas menores y consumibles - Cerco de obra perimetral - En chapa C25 + Concerti</v>
      </c>
      <c r="D534" s="226">
        <f>IFERROR(VLOOKUP(B534,EQUIPOS!$A:$E,5,FALSE()),"")</f>
        <v>1</v>
      </c>
      <c r="E534" s="161">
        <f>SUMIFS(_PLAN_STG!$P$2:$P$1879,_PLAN_STG!$D$2:$D$1879,B534,_PLAN_STG!$B$2:$B$1879,"EQ",_PLAN_STG!$O$2:$O$1879,1)</f>
        <v>0</v>
      </c>
      <c r="F534" s="162">
        <f>IFERROR(VLOOKUP(B534,EQUIPOS!$A:$F,6,FALSE()),IFERROR(INDEX(COMPOSICIÓN!$I$2:$I$1879,MATCH(B534,COMPOSICIÓN!$D$2:$D$1879,0)),0))</f>
        <v>2849.7760330466299</v>
      </c>
      <c r="G534" s="163">
        <f>SUMIFS(_PLAN_STG!$Q$2:$Q$1879,_PLAN_STG!$D$2:$D$1879,B534,_PLAN_STG!$B$2:$B$1879,"EQ",_PLAN_STG!$O$2:$O$1879,1)</f>
        <v>0</v>
      </c>
      <c r="H534" s="227"/>
      <c r="I534" s="226">
        <f>SUMPRODUCT((_PLAN_STG!$D$2:$D$1879=B534)*(_PLAN_STG!$B$2:$B$1879="EQ")*(_PLAN_STG!$O$2:$O$1879=1)*(_PLAN_STG!$P$2:$P$1879&gt;0))</f>
        <v>0</v>
      </c>
      <c r="J534" s="227"/>
    </row>
    <row r="535" spans="1:10" x14ac:dyDescent="0.35">
      <c r="A535" s="222" t="str">
        <f t="shared" si="12"/>
        <v/>
      </c>
      <c r="B535" s="223" t="s">
        <v>1761</v>
      </c>
      <c r="C535" s="224" t="str">
        <f>IFERROR(VLOOKUP(B535,EQUIPOS!$A:$B,2,FALSE()),IFERROR(INDEX(COMPOSICIÓN!$E$2:$E$1879,MATCH(B535,COMPOSICIÓN!$D$2:$D$1879,0)),""))</f>
        <v>Herramientas menores y consumibles - Obrador, pañol y ducha.</v>
      </c>
      <c r="D535" s="226">
        <f>IFERROR(VLOOKUP(B535,EQUIPOS!$A:$E,5,FALSE()),"")</f>
        <v>1</v>
      </c>
      <c r="E535" s="161">
        <f>SUMIFS(_PLAN_STG!$P$2:$P$1879,_PLAN_STG!$D$2:$D$1879,B535,_PLAN_STG!$B$2:$B$1879,"EQ",_PLAN_STG!$O$2:$O$1879,1)</f>
        <v>0</v>
      </c>
      <c r="F535" s="162">
        <f>IFERROR(VLOOKUP(B535,EQUIPOS!$A:$F,6,FALSE()),IFERROR(INDEX(COMPOSICIÓN!$I$2:$I$1879,MATCH(B535,COMPOSICIÓN!$D$2:$D$1879,0)),0))</f>
        <v>108806.813322348</v>
      </c>
      <c r="G535" s="163">
        <f>SUMIFS(_PLAN_STG!$Q$2:$Q$1879,_PLAN_STG!$D$2:$D$1879,B535,_PLAN_STG!$B$2:$B$1879,"EQ",_PLAN_STG!$O$2:$O$1879,1)</f>
        <v>0</v>
      </c>
      <c r="H535" s="227"/>
      <c r="I535" s="226">
        <f>SUMPRODUCT((_PLAN_STG!$D$2:$D$1879=B535)*(_PLAN_STG!$B$2:$B$1879="EQ")*(_PLAN_STG!$O$2:$O$1879=1)*(_PLAN_STG!$P$2:$P$1879&gt;0))</f>
        <v>0</v>
      </c>
      <c r="J535" s="227"/>
    </row>
    <row r="536" spans="1:10" x14ac:dyDescent="0.35">
      <c r="A536" s="222" t="str">
        <f t="shared" si="12"/>
        <v/>
      </c>
      <c r="B536" s="223" t="s">
        <v>1764</v>
      </c>
      <c r="C536" s="224" t="str">
        <f>IFERROR(VLOOKUP(B536,EQUIPOS!$A:$B,2,FALSE()),IFERROR(INDEX(COMPOSICIÓN!$E$2:$E$1879,MATCH(B536,COMPOSICIÓN!$D$2:$D$1879,0)),""))</f>
        <v>Herramientas menores y consumibles - Conexión pilar y luz de obra + Tablero de obra</v>
      </c>
      <c r="D536" s="226">
        <f>IFERROR(VLOOKUP(B536,EQUIPOS!$A:$E,5,FALSE()),"")</f>
        <v>1</v>
      </c>
      <c r="E536" s="161">
        <f>SUMIFS(_PLAN_STG!$P$2:$P$1879,_PLAN_STG!$D$2:$D$1879,B536,_PLAN_STG!$B$2:$B$1879,"EQ",_PLAN_STG!$O$2:$O$1879,1)</f>
        <v>0</v>
      </c>
      <c r="F536" s="162">
        <f>IFERROR(VLOOKUP(B536,EQUIPOS!$A:$F,6,FALSE()),IFERROR(INDEX(COMPOSICIÓN!$I$2:$I$1879,MATCH(B536,COMPOSICIÓN!$D$2:$D$1879,0)),0))</f>
        <v>25370.9351203886</v>
      </c>
      <c r="G536" s="163">
        <f>SUMIFS(_PLAN_STG!$Q$2:$Q$1879,_PLAN_STG!$D$2:$D$1879,B536,_PLAN_STG!$B$2:$B$1879,"EQ",_PLAN_STG!$O$2:$O$1879,1)</f>
        <v>0</v>
      </c>
      <c r="H536" s="227"/>
      <c r="I536" s="226">
        <f>SUMPRODUCT((_PLAN_STG!$D$2:$D$1879=B536)*(_PLAN_STG!$B$2:$B$1879="EQ")*(_PLAN_STG!$O$2:$O$1879=1)*(_PLAN_STG!$P$2:$P$1879&gt;0))</f>
        <v>0</v>
      </c>
      <c r="J536" s="227"/>
    </row>
    <row r="537" spans="1:10" x14ac:dyDescent="0.35">
      <c r="A537" s="222" t="str">
        <f t="shared" si="12"/>
        <v/>
      </c>
      <c r="B537" s="223" t="s">
        <v>1767</v>
      </c>
      <c r="C537" s="224" t="str">
        <f>IFERROR(VLOOKUP(B537,EQUIPOS!$A:$B,2,FALSE()),IFERROR(INDEX(COMPOSICIÓN!$E$2:$E$1879,MATCH(B537,COMPOSICIÓN!$D$2:$D$1879,0)),""))</f>
        <v>Herramientas menores y consumibles - Conexión agua de obra, tanque + bomba</v>
      </c>
      <c r="D537" s="226">
        <f>IFERROR(VLOOKUP(B537,EQUIPOS!$A:$E,5,FALSE()),"")</f>
        <v>1</v>
      </c>
      <c r="E537" s="161">
        <f>SUMIFS(_PLAN_STG!$P$2:$P$1879,_PLAN_STG!$D$2:$D$1879,B537,_PLAN_STG!$B$2:$B$1879,"EQ",_PLAN_STG!$O$2:$O$1879,1)</f>
        <v>0</v>
      </c>
      <c r="F537" s="162">
        <f>IFERROR(VLOOKUP(B537,EQUIPOS!$A:$F,6,FALSE()),IFERROR(INDEX(COMPOSICIÓN!$I$2:$I$1879,MATCH(B537,COMPOSICIÓN!$D$2:$D$1879,0)),0))</f>
        <v>20050.930611788601</v>
      </c>
      <c r="G537" s="163">
        <f>SUMIFS(_PLAN_STG!$Q$2:$Q$1879,_PLAN_STG!$D$2:$D$1879,B537,_PLAN_STG!$B$2:$B$1879,"EQ",_PLAN_STG!$O$2:$O$1879,1)</f>
        <v>0</v>
      </c>
      <c r="H537" s="227"/>
      <c r="I537" s="226">
        <f>SUMPRODUCT((_PLAN_STG!$D$2:$D$1879=B537)*(_PLAN_STG!$B$2:$B$1879="EQ")*(_PLAN_STG!$O$2:$O$1879=1)*(_PLAN_STG!$P$2:$P$1879&gt;0))</f>
        <v>0</v>
      </c>
      <c r="J537" s="227"/>
    </row>
    <row r="538" spans="1:10" x14ac:dyDescent="0.35">
      <c r="A538" s="222" t="str">
        <f t="shared" si="12"/>
        <v/>
      </c>
      <c r="B538" s="223" t="s">
        <v>1770</v>
      </c>
      <c r="C538" s="224" t="str">
        <f>IFERROR(VLOOKUP(B538,EQUIPOS!$A:$B,2,FALSE()),IFERROR(INDEX(COMPOSICIÓN!$E$2:$E$1879,MATCH(B538,COMPOSICIÓN!$D$2:$D$1879,0)),""))</f>
        <v xml:space="preserve">Herramientas menores y consumibles - Excavación a maquina para submuración, subsuelo y </v>
      </c>
      <c r="D538" s="226">
        <f>IFERROR(VLOOKUP(B538,EQUIPOS!$A:$E,5,FALSE()),"")</f>
        <v>1</v>
      </c>
      <c r="E538" s="161">
        <f>SUMIFS(_PLAN_STG!$P$2:$P$1879,_PLAN_STG!$D$2:$D$1879,B538,_PLAN_STG!$B$2:$B$1879,"EQ",_PLAN_STG!$O$2:$O$1879,1)</f>
        <v>0</v>
      </c>
      <c r="F538" s="162">
        <f>IFERROR(VLOOKUP(B538,EQUIPOS!$A:$F,6,FALSE()),IFERROR(INDEX(COMPOSICIÓN!$I$2:$I$1879,MATCH(B538,COMPOSICIÓN!$D$2:$D$1879,0)),0))</f>
        <v>97.811647676633498</v>
      </c>
      <c r="G538" s="163">
        <f>SUMIFS(_PLAN_STG!$Q$2:$Q$1879,_PLAN_STG!$D$2:$D$1879,B538,_PLAN_STG!$B$2:$B$1879,"EQ",_PLAN_STG!$O$2:$O$1879,1)</f>
        <v>0</v>
      </c>
      <c r="H538" s="227"/>
      <c r="I538" s="226">
        <f>SUMPRODUCT((_PLAN_STG!$D$2:$D$1879=B538)*(_PLAN_STG!$B$2:$B$1879="EQ")*(_PLAN_STG!$O$2:$O$1879=1)*(_PLAN_STG!$P$2:$P$1879&gt;0))</f>
        <v>0</v>
      </c>
      <c r="J538" s="227"/>
    </row>
    <row r="539" spans="1:10" x14ac:dyDescent="0.35">
      <c r="A539" s="222" t="str">
        <f t="shared" si="12"/>
        <v/>
      </c>
      <c r="B539" s="223" t="s">
        <v>1773</v>
      </c>
      <c r="C539" s="224" t="str">
        <f>IFERROR(VLOOKUP(B539,EQUIPOS!$A:$B,2,FALSE()),IFERROR(INDEX(COMPOSICIÓN!$E$2:$E$1879,MATCH(B539,COMPOSICIÓN!$D$2:$D$1879,0)),""))</f>
        <v xml:space="preserve">Herramientas menores y consumibles - Perfilado manual de bases. Relleno y compactación </v>
      </c>
      <c r="D539" s="226">
        <f>IFERROR(VLOOKUP(B539,EQUIPOS!$A:$E,5,FALSE()),"")</f>
        <v>1</v>
      </c>
      <c r="E539" s="161">
        <f>SUMIFS(_PLAN_STG!$P$2:$P$1879,_PLAN_STG!$D$2:$D$1879,B539,_PLAN_STG!$B$2:$B$1879,"EQ",_PLAN_STG!$O$2:$O$1879,1)</f>
        <v>0</v>
      </c>
      <c r="F539" s="162">
        <f>IFERROR(VLOOKUP(B539,EQUIPOS!$A:$F,6,FALSE()),IFERROR(INDEX(COMPOSICIÓN!$I$2:$I$1879,MATCH(B539,COMPOSICIÓN!$D$2:$D$1879,0)),0))</f>
        <v>128903.949937613</v>
      </c>
      <c r="G539" s="163">
        <f>SUMIFS(_PLAN_STG!$Q$2:$Q$1879,_PLAN_STG!$D$2:$D$1879,B539,_PLAN_STG!$B$2:$B$1879,"EQ",_PLAN_STG!$O$2:$O$1879,1)</f>
        <v>0</v>
      </c>
      <c r="H539" s="227"/>
      <c r="I539" s="226">
        <f>SUMPRODUCT((_PLAN_STG!$D$2:$D$1879=B539)*(_PLAN_STG!$B$2:$B$1879="EQ")*(_PLAN_STG!$O$2:$O$1879=1)*(_PLAN_STG!$P$2:$P$1879&gt;0))</f>
        <v>0</v>
      </c>
      <c r="J539" s="227"/>
    </row>
    <row r="540" spans="1:10" x14ac:dyDescent="0.35">
      <c r="A540" s="222" t="str">
        <f t="shared" si="12"/>
        <v/>
      </c>
      <c r="B540" s="223" t="s">
        <v>1776</v>
      </c>
      <c r="C540" s="224" t="str">
        <f>IFERROR(VLOOKUP(B540,EQUIPOS!$A:$B,2,FALSE()),IFERROR(INDEX(COMPOSICIÓN!$E$2:$E$1879,MATCH(B540,COMPOSICIÓN!$D$2:$D$1879,0)),""))</f>
        <v>Herramientas menores y consumibles - Hormigón de limpieza - e: 10 cm</v>
      </c>
      <c r="D540" s="226">
        <f>IFERROR(VLOOKUP(B540,EQUIPOS!$A:$E,5,FALSE()),"")</f>
        <v>1</v>
      </c>
      <c r="E540" s="161">
        <f>SUMIFS(_PLAN_STG!$P$2:$P$1879,_PLAN_STG!$D$2:$D$1879,B540,_PLAN_STG!$B$2:$B$1879,"EQ",_PLAN_STG!$O$2:$O$1879,1)</f>
        <v>0</v>
      </c>
      <c r="F540" s="162">
        <f>IFERROR(VLOOKUP(B540,EQUIPOS!$A:$F,6,FALSE()),IFERROR(INDEX(COMPOSICIÓN!$I$2:$I$1879,MATCH(B540,COMPOSICIÓN!$D$2:$D$1879,0)),0))</f>
        <v>3250.5537282478099</v>
      </c>
      <c r="G540" s="163">
        <f>SUMIFS(_PLAN_STG!$Q$2:$Q$1879,_PLAN_STG!$D$2:$D$1879,B540,_PLAN_STG!$B$2:$B$1879,"EQ",_PLAN_STG!$O$2:$O$1879,1)</f>
        <v>0</v>
      </c>
      <c r="H540" s="227"/>
      <c r="I540" s="226">
        <f>SUMPRODUCT((_PLAN_STG!$D$2:$D$1879=B540)*(_PLAN_STG!$B$2:$B$1879="EQ")*(_PLAN_STG!$O$2:$O$1879=1)*(_PLAN_STG!$P$2:$P$1879&gt;0))</f>
        <v>0</v>
      </c>
      <c r="J540" s="227"/>
    </row>
    <row r="541" spans="1:10" x14ac:dyDescent="0.35">
      <c r="A541" s="222" t="str">
        <f t="shared" si="12"/>
        <v/>
      </c>
      <c r="B541" s="223" t="s">
        <v>1779</v>
      </c>
      <c r="C541" s="224" t="str">
        <f>IFERROR(VLOOKUP(B541,EQUIPOS!$A:$B,2,FALSE()),IFERROR(INDEX(COMPOSICIÓN!$E$2:$E$1879,MATCH(B541,COMPOSICIÓN!$D$2:$D$1879,0)),""))</f>
        <v>Herramientas menores y consumibles - Pilotes de tracción Ø 20 cm - (120 kg/m3 de hierro</v>
      </c>
      <c r="D541" s="226">
        <f>IFERROR(VLOOKUP(B541,EQUIPOS!$A:$E,5,FALSE()),"")</f>
        <v>1</v>
      </c>
      <c r="E541" s="161">
        <f>SUMIFS(_PLAN_STG!$P$2:$P$1879,_PLAN_STG!$D$2:$D$1879,B541,_PLAN_STG!$B$2:$B$1879,"EQ",_PLAN_STG!$O$2:$O$1879,1)</f>
        <v>0</v>
      </c>
      <c r="F541" s="162">
        <f>IFERROR(VLOOKUP(B541,EQUIPOS!$A:$F,6,FALSE()),IFERROR(INDEX(COMPOSICIÓN!$I$2:$I$1879,MATCH(B541,COMPOSICIÓN!$D$2:$D$1879,0)),0))</f>
        <v>5108.5619451599996</v>
      </c>
      <c r="G541" s="163">
        <f>SUMIFS(_PLAN_STG!$Q$2:$Q$1879,_PLAN_STG!$D$2:$D$1879,B541,_PLAN_STG!$B$2:$B$1879,"EQ",_PLAN_STG!$O$2:$O$1879,1)</f>
        <v>0</v>
      </c>
      <c r="H541" s="227"/>
      <c r="I541" s="226">
        <f>SUMPRODUCT((_PLAN_STG!$D$2:$D$1879=B541)*(_PLAN_STG!$B$2:$B$1879="EQ")*(_PLAN_STG!$O$2:$O$1879=1)*(_PLAN_STG!$P$2:$P$1879&gt;0))</f>
        <v>0</v>
      </c>
      <c r="J541" s="227"/>
    </row>
    <row r="542" spans="1:10" x14ac:dyDescent="0.35">
      <c r="A542" s="222" t="str">
        <f t="shared" si="12"/>
        <v/>
      </c>
      <c r="B542" s="223" t="s">
        <v>1782</v>
      </c>
      <c r="C542" s="224" t="str">
        <f>IFERROR(VLOOKUP(B542,EQUIPOS!$A:$B,2,FALSE()),IFERROR(INDEX(COMPOSICIÓN!$E$2:$E$1879,MATCH(B542,COMPOSICIÓN!$D$2:$D$1879,0)),""))</f>
        <v>Herramientas menores y consumibles - Picado de medianeras para columnas y vigas - Cotiz</v>
      </c>
      <c r="D542" s="226">
        <f>IFERROR(VLOOKUP(B542,EQUIPOS!$A:$E,5,FALSE()),"")</f>
        <v>1</v>
      </c>
      <c r="E542" s="161">
        <f>SUMIFS(_PLAN_STG!$P$2:$P$1879,_PLAN_STG!$D$2:$D$1879,B542,_PLAN_STG!$B$2:$B$1879,"EQ",_PLAN_STG!$O$2:$O$1879,1)</f>
        <v>0</v>
      </c>
      <c r="F542" s="162">
        <f>IFERROR(VLOOKUP(B542,EQUIPOS!$A:$F,6,FALSE()),IFERROR(INDEX(COMPOSICIÓN!$I$2:$I$1879,MATCH(B542,COMPOSICIÓN!$D$2:$D$1879,0)),0))</f>
        <v>373.21801708038703</v>
      </c>
      <c r="G542" s="163">
        <f>SUMIFS(_PLAN_STG!$Q$2:$Q$1879,_PLAN_STG!$D$2:$D$1879,B542,_PLAN_STG!$B$2:$B$1879,"EQ",_PLAN_STG!$O$2:$O$1879,1)</f>
        <v>0</v>
      </c>
      <c r="H542" s="227"/>
      <c r="I542" s="226">
        <f>SUMPRODUCT((_PLAN_STG!$D$2:$D$1879=B542)*(_PLAN_STG!$B$2:$B$1879="EQ")*(_PLAN_STG!$O$2:$O$1879=1)*(_PLAN_STG!$P$2:$P$1879&gt;0))</f>
        <v>0</v>
      </c>
      <c r="J542" s="227"/>
    </row>
    <row r="543" spans="1:10" x14ac:dyDescent="0.35">
      <c r="A543" s="222">
        <f t="shared" si="12"/>
        <v>42</v>
      </c>
      <c r="B543" s="223" t="s">
        <v>1785</v>
      </c>
      <c r="C543" s="224" t="str">
        <f>IFERROR(VLOOKUP(B543,EQUIPOS!$A:$B,2,FALSE()),IFERROR(INDEX(COMPOSICIÓN!$E$2:$E$1879,MATCH(B543,COMPOSICIÓN!$D$2:$D$1879,0)),""))</f>
        <v>Herramientas menores y consumibles - Muro tipo 5 - Bloque HCCA e: 7,5 cm</v>
      </c>
      <c r="D543" s="226">
        <f>IFERROR(VLOOKUP(B543,EQUIPOS!$A:$E,5,FALSE()),"")</f>
        <v>1</v>
      </c>
      <c r="E543" s="161">
        <f>SUMIFS(_PLAN_STG!$P$2:$P$1879,_PLAN_STG!$D$2:$D$1879,B543,_PLAN_STG!$B$2:$B$1879,"EQ",_PLAN_STG!$O$2:$O$1879,1)</f>
        <v>70</v>
      </c>
      <c r="F543" s="162">
        <f>IFERROR(VLOOKUP(B543,EQUIPOS!$A:$F,6,FALSE()),IFERROR(INDEX(COMPOSICIÓN!$I$2:$I$1879,MATCH(B543,COMPOSICIÓN!$D$2:$D$1879,0)),0))</f>
        <v>409.54162235694002</v>
      </c>
      <c r="G543" s="163">
        <f>SUMIFS(_PLAN_STG!$Q$2:$Q$1879,_PLAN_STG!$D$2:$D$1879,B543,_PLAN_STG!$B$2:$B$1879,"EQ",_PLAN_STG!$O$2:$O$1879,1)</f>
        <v>28667.9135649858</v>
      </c>
      <c r="H543" s="227"/>
      <c r="I543" s="226">
        <f>SUMPRODUCT((_PLAN_STG!$D$2:$D$1879=B543)*(_PLAN_STG!$B$2:$B$1879="EQ")*(_PLAN_STG!$O$2:$O$1879=1)*(_PLAN_STG!$P$2:$P$1879&gt;0))</f>
        <v>1</v>
      </c>
      <c r="J543" s="227"/>
    </row>
    <row r="544" spans="1:10" x14ac:dyDescent="0.35">
      <c r="A544" s="222">
        <f t="shared" si="12"/>
        <v>43</v>
      </c>
      <c r="B544" s="223" t="s">
        <v>1788</v>
      </c>
      <c r="C544" s="224" t="str">
        <f>IFERROR(VLOOKUP(B544,EQUIPOS!$A:$B,2,FALSE()),IFERROR(INDEX(COMPOSICIÓN!$E$2:$E$1879,MATCH(B544,COMPOSICIÓN!$D$2:$D$1879,0)),""))</f>
        <v>Herramientas menores y consumibles - Cordón de hormigón en umbrales carpinterías</v>
      </c>
      <c r="D544" s="226">
        <f>IFERROR(VLOOKUP(B544,EQUIPOS!$A:$E,5,FALSE()),"")</f>
        <v>1</v>
      </c>
      <c r="E544" s="161">
        <f>SUMIFS(_PLAN_STG!$P$2:$P$1879,_PLAN_STG!$D$2:$D$1879,B544,_PLAN_STG!$B$2:$B$1879,"EQ",_PLAN_STG!$O$2:$O$1879,1)</f>
        <v>61</v>
      </c>
      <c r="F544" s="162">
        <f>IFERROR(VLOOKUP(B544,EQUIPOS!$A:$F,6,FALSE()),IFERROR(INDEX(COMPOSICIÓN!$I$2:$I$1879,MATCH(B544,COMPOSICIÓN!$D$2:$D$1879,0)),0))</f>
        <v>316.88644749976697</v>
      </c>
      <c r="G544" s="163">
        <f>SUMIFS(_PLAN_STG!$Q$2:$Q$1879,_PLAN_STG!$D$2:$D$1879,B544,_PLAN_STG!$B$2:$B$1879,"EQ",_PLAN_STG!$O$2:$O$1879,1)</f>
        <v>19330.073297485786</v>
      </c>
      <c r="H544" s="227"/>
      <c r="I544" s="226">
        <f>SUMPRODUCT((_PLAN_STG!$D$2:$D$1879=B544)*(_PLAN_STG!$B$2:$B$1879="EQ")*(_PLAN_STG!$O$2:$O$1879=1)*(_PLAN_STG!$P$2:$P$1879&gt;0))</f>
        <v>1</v>
      </c>
      <c r="J544" s="227"/>
    </row>
    <row r="545" spans="1:10" x14ac:dyDescent="0.35">
      <c r="A545" s="222">
        <f t="shared" si="12"/>
        <v>44</v>
      </c>
      <c r="B545" s="223" t="s">
        <v>1791</v>
      </c>
      <c r="C545" s="224" t="str">
        <f>IFERROR(VLOOKUP(B545,EQUIPOS!$A:$B,2,FALSE()),IFERROR(INDEX(COMPOSICIÓN!$E$2:$E$1879,MATCH(B545,COMPOSICIÓN!$D$2:$D$1879,0)),""))</f>
        <v xml:space="preserve">Herramientas menores y consumibles - Banquina Sala tanque de bombeo </v>
      </c>
      <c r="D545" s="226">
        <f>IFERROR(VLOOKUP(B545,EQUIPOS!$A:$E,5,FALSE()),"")</f>
        <v>1</v>
      </c>
      <c r="E545" s="161">
        <f>SUMIFS(_PLAN_STG!$P$2:$P$1879,_PLAN_STG!$D$2:$D$1879,B545,_PLAN_STG!$B$2:$B$1879,"EQ",_PLAN_STG!$O$2:$O$1879,1)</f>
        <v>1</v>
      </c>
      <c r="F545" s="162">
        <f>IFERROR(VLOOKUP(B545,EQUIPOS!$A:$F,6,FALSE()),IFERROR(INDEX(COMPOSICIÓN!$I$2:$I$1879,MATCH(B545,COMPOSICIÓN!$D$2:$D$1879,0)),0))</f>
        <v>3113.9806362981599</v>
      </c>
      <c r="G545" s="163">
        <f>SUMIFS(_PLAN_STG!$Q$2:$Q$1879,_PLAN_STG!$D$2:$D$1879,B545,_PLAN_STG!$B$2:$B$1879,"EQ",_PLAN_STG!$O$2:$O$1879,1)</f>
        <v>3113.9806362981599</v>
      </c>
      <c r="H545" s="227"/>
      <c r="I545" s="226">
        <f>SUMPRODUCT((_PLAN_STG!$D$2:$D$1879=B545)*(_PLAN_STG!$B$2:$B$1879="EQ")*(_PLAN_STG!$O$2:$O$1879=1)*(_PLAN_STG!$P$2:$P$1879&gt;0))</f>
        <v>1</v>
      </c>
      <c r="J545" s="227"/>
    </row>
    <row r="546" spans="1:10" x14ac:dyDescent="0.35">
      <c r="A546" s="222">
        <f t="shared" si="12"/>
        <v>45</v>
      </c>
      <c r="B546" s="223" t="s">
        <v>1794</v>
      </c>
      <c r="C546" s="224" t="str">
        <f>IFERROR(VLOOKUP(B546,EQUIPOS!$A:$B,2,FALSE()),IFERROR(INDEX(COMPOSICIÓN!$E$2:$E$1879,MATCH(B546,COMPOSICIÓN!$D$2:$D$1879,0)),""))</f>
        <v>Herramientas menores y consumibles - Banquina en parrillas</v>
      </c>
      <c r="D546" s="226">
        <f>IFERROR(VLOOKUP(B546,EQUIPOS!$A:$E,5,FALSE()),"")</f>
        <v>1</v>
      </c>
      <c r="E546" s="161">
        <f>SUMIFS(_PLAN_STG!$P$2:$P$1879,_PLAN_STG!$D$2:$D$1879,B546,_PLAN_STG!$B$2:$B$1879,"EQ",_PLAN_STG!$O$2:$O$1879,1)</f>
        <v>1</v>
      </c>
      <c r="F546" s="162">
        <f>IFERROR(VLOOKUP(B546,EQUIPOS!$A:$F,6,FALSE()),IFERROR(INDEX(COMPOSICIÓN!$I$2:$I$1879,MATCH(B546,COMPOSICIÓN!$D$2:$D$1879,0)),0))</f>
        <v>8884.4798329444802</v>
      </c>
      <c r="G546" s="163">
        <f>SUMIFS(_PLAN_STG!$Q$2:$Q$1879,_PLAN_STG!$D$2:$D$1879,B546,_PLAN_STG!$B$2:$B$1879,"EQ",_PLAN_STG!$O$2:$O$1879,1)</f>
        <v>8884.4798329444802</v>
      </c>
      <c r="H546" s="227"/>
      <c r="I546" s="226">
        <f>SUMPRODUCT((_PLAN_STG!$D$2:$D$1879=B546)*(_PLAN_STG!$B$2:$B$1879="EQ")*(_PLAN_STG!$O$2:$O$1879=1)*(_PLAN_STG!$P$2:$P$1879&gt;0))</f>
        <v>1</v>
      </c>
      <c r="J546" s="227"/>
    </row>
    <row r="547" spans="1:10" x14ac:dyDescent="0.35">
      <c r="A547" s="222">
        <f t="shared" si="12"/>
        <v>46</v>
      </c>
      <c r="B547" s="223" t="s">
        <v>1797</v>
      </c>
      <c r="C547" s="224" t="str">
        <f>IFERROR(VLOOKUP(B547,EQUIPOS!$A:$B,2,FALSE()),IFERROR(INDEX(COMPOSICIÓN!$E$2:$E$1879,MATCH(B547,COMPOSICIÓN!$D$2:$D$1879,0)),""))</f>
        <v>Herramientas menores y consumibles - Excavación y amurado con Hº tanque de recuperación</v>
      </c>
      <c r="D547" s="226">
        <f>IFERROR(VLOOKUP(B547,EQUIPOS!$A:$E,5,FALSE()),"")</f>
        <v>1</v>
      </c>
      <c r="E547" s="161">
        <f>SUMIFS(_PLAN_STG!$P$2:$P$1879,_PLAN_STG!$D$2:$D$1879,B547,_PLAN_STG!$B$2:$B$1879,"EQ",_PLAN_STG!$O$2:$O$1879,1)</f>
        <v>1</v>
      </c>
      <c r="F547" s="162">
        <f>IFERROR(VLOOKUP(B547,EQUIPOS!$A:$F,6,FALSE()),IFERROR(INDEX(COMPOSICIÓN!$I$2:$I$1879,MATCH(B547,COMPOSICIÓN!$D$2:$D$1879,0)),0))</f>
        <v>5824.1957555443196</v>
      </c>
      <c r="G547" s="163">
        <f>SUMIFS(_PLAN_STG!$Q$2:$Q$1879,_PLAN_STG!$D$2:$D$1879,B547,_PLAN_STG!$B$2:$B$1879,"EQ",_PLAN_STG!$O$2:$O$1879,1)</f>
        <v>5824.1957555443196</v>
      </c>
      <c r="H547" s="227"/>
      <c r="I547" s="226">
        <f>SUMPRODUCT((_PLAN_STG!$D$2:$D$1879=B547)*(_PLAN_STG!$B$2:$B$1879="EQ")*(_PLAN_STG!$O$2:$O$1879=1)*(_PLAN_STG!$P$2:$P$1879&gt;0))</f>
        <v>1</v>
      </c>
      <c r="J547" s="227"/>
    </row>
    <row r="548" spans="1:10" x14ac:dyDescent="0.35">
      <c r="A548" s="222">
        <f t="shared" si="12"/>
        <v>47</v>
      </c>
      <c r="B548" s="223" t="s">
        <v>1800</v>
      </c>
      <c r="C548" s="224" t="str">
        <f>IFERROR(VLOOKUP(B548,EQUIPOS!$A:$B,2,FALSE()),IFERROR(INDEX(COMPOSICIÓN!$E$2:$E$1879,MATCH(B548,COMPOSICIÓN!$D$2:$D$1879,0)),""))</f>
        <v>Herramientas menores y consumibles - Provisión y amurado de tapas de inspección para ta</v>
      </c>
      <c r="D548" s="226">
        <f>IFERROR(VLOOKUP(B548,EQUIPOS!$A:$E,5,FALSE()),"")</f>
        <v>1</v>
      </c>
      <c r="E548" s="161">
        <f>SUMIFS(_PLAN_STG!$P$2:$P$1879,_PLAN_STG!$D$2:$D$1879,B548,_PLAN_STG!$B$2:$B$1879,"EQ",_PLAN_STG!$O$2:$O$1879,1)</f>
        <v>3</v>
      </c>
      <c r="F548" s="162">
        <f>IFERROR(VLOOKUP(B548,EQUIPOS!$A:$F,6,FALSE()),IFERROR(INDEX(COMPOSICIÓN!$I$2:$I$1879,MATCH(B548,COMPOSICIÓN!$D$2:$D$1879,0)),0))</f>
        <v>2636.7249339025002</v>
      </c>
      <c r="G548" s="163">
        <f>SUMIFS(_PLAN_STG!$Q$2:$Q$1879,_PLAN_STG!$D$2:$D$1879,B548,_PLAN_STG!$B$2:$B$1879,"EQ",_PLAN_STG!$O$2:$O$1879,1)</f>
        <v>7910.1748017075006</v>
      </c>
      <c r="H548" s="227"/>
      <c r="I548" s="226">
        <f>SUMPRODUCT((_PLAN_STG!$D$2:$D$1879=B548)*(_PLAN_STG!$B$2:$B$1879="EQ")*(_PLAN_STG!$O$2:$O$1879=1)*(_PLAN_STG!$P$2:$P$1879&gt;0))</f>
        <v>1</v>
      </c>
      <c r="J548" s="227"/>
    </row>
    <row r="549" spans="1:10" x14ac:dyDescent="0.35">
      <c r="A549" s="222">
        <f t="shared" si="12"/>
        <v>48</v>
      </c>
      <c r="B549" s="223" t="s">
        <v>1803</v>
      </c>
      <c r="C549" s="224" t="str">
        <f>IFERROR(VLOOKUP(B549,EQUIPOS!$A:$B,2,FALSE()),IFERROR(INDEX(COMPOSICIÓN!$E$2:$E$1879,MATCH(B549,COMPOSICIÓN!$D$2:$D$1879,0)),""))</f>
        <v>Herramientas menores y consumibles - Vigas de encadenado - Cuantía aprox. 60 kg/m3</v>
      </c>
      <c r="D549" s="226">
        <f>IFERROR(VLOOKUP(B549,EQUIPOS!$A:$E,5,FALSE()),"")</f>
        <v>1</v>
      </c>
      <c r="E549" s="161">
        <f>SUMIFS(_PLAN_STG!$P$2:$P$1879,_PLAN_STG!$D$2:$D$1879,B549,_PLAN_STG!$B$2:$B$1879,"EQ",_PLAN_STG!$O$2:$O$1879,1)</f>
        <v>40</v>
      </c>
      <c r="F549" s="162">
        <f>IFERROR(VLOOKUP(B549,EQUIPOS!$A:$F,6,FALSE()),IFERROR(INDEX(COMPOSICIÓN!$I$2:$I$1879,MATCH(B549,COMPOSICIÓN!$D$2:$D$1879,0)),0))</f>
        <v>1086.9845825454699</v>
      </c>
      <c r="G549" s="163">
        <f>SUMIFS(_PLAN_STG!$Q$2:$Q$1879,_PLAN_STG!$D$2:$D$1879,B549,_PLAN_STG!$B$2:$B$1879,"EQ",_PLAN_STG!$O$2:$O$1879,1)</f>
        <v>43479.383301818802</v>
      </c>
      <c r="H549" s="227"/>
      <c r="I549" s="226">
        <f>SUMPRODUCT((_PLAN_STG!$D$2:$D$1879=B549)*(_PLAN_STG!$B$2:$B$1879="EQ")*(_PLAN_STG!$O$2:$O$1879=1)*(_PLAN_STG!$P$2:$P$1879&gt;0))</f>
        <v>1</v>
      </c>
      <c r="J549" s="227"/>
    </row>
    <row r="550" spans="1:10" x14ac:dyDescent="0.35">
      <c r="A550" s="222">
        <f t="shared" si="12"/>
        <v>49</v>
      </c>
      <c r="B550" s="223" t="s">
        <v>1806</v>
      </c>
      <c r="C550" s="224" t="str">
        <f>IFERROR(VLOOKUP(B550,EQUIPOS!$A:$B,2,FALSE()),IFERROR(INDEX(COMPOSICIÓN!$E$2:$E$1879,MATCH(B550,COMPOSICIÓN!$D$2:$D$1879,0)),""))</f>
        <v xml:space="preserve">Herramientas menores y consumibles - Amurado de bañera </v>
      </c>
      <c r="D550" s="226">
        <f>IFERROR(VLOOKUP(B550,EQUIPOS!$A:$E,5,FALSE()),"")</f>
        <v>1</v>
      </c>
      <c r="E550" s="161">
        <f>SUMIFS(_PLAN_STG!$P$2:$P$1879,_PLAN_STG!$D$2:$D$1879,B550,_PLAN_STG!$B$2:$B$1879,"EQ",_PLAN_STG!$O$2:$O$1879,1)</f>
        <v>8</v>
      </c>
      <c r="F550" s="162">
        <f>IFERROR(VLOOKUP(B550,EQUIPOS!$A:$F,6,FALSE()),IFERROR(INDEX(COMPOSICIÓN!$I$2:$I$1879,MATCH(B550,COMPOSICIÓN!$D$2:$D$1879,0)),0))</f>
        <v>1969.9744827858201</v>
      </c>
      <c r="G550" s="163">
        <f>SUMIFS(_PLAN_STG!$Q$2:$Q$1879,_PLAN_STG!$D$2:$D$1879,B550,_PLAN_STG!$B$2:$B$1879,"EQ",_PLAN_STG!$O$2:$O$1879,1)</f>
        <v>15759.795862286561</v>
      </c>
      <c r="H550" s="227"/>
      <c r="I550" s="226">
        <f>SUMPRODUCT((_PLAN_STG!$D$2:$D$1879=B550)*(_PLAN_STG!$B$2:$B$1879="EQ")*(_PLAN_STG!$O$2:$O$1879=1)*(_PLAN_STG!$P$2:$P$1879&gt;0))</f>
        <v>1</v>
      </c>
      <c r="J550" s="227"/>
    </row>
    <row r="551" spans="1:10" x14ac:dyDescent="0.35">
      <c r="A551" s="222" t="str">
        <f t="shared" si="12"/>
        <v/>
      </c>
      <c r="B551" s="223" t="s">
        <v>1809</v>
      </c>
      <c r="C551" s="224" t="str">
        <f>IFERROR(VLOOKUP(B551,EQUIPOS!$A:$B,2,FALSE()),IFERROR(INDEX(COMPOSICIÓN!$E$2:$E$1879,MATCH(B551,COMPOSICIÓN!$D$2:$D$1879,0)),""))</f>
        <v>Herramientas menores y consumibles - Babeta de chapa galvanizada en medianeras</v>
      </c>
      <c r="D551" s="226">
        <f>IFERROR(VLOOKUP(B551,EQUIPOS!$A:$E,5,FALSE()),"")</f>
        <v>1</v>
      </c>
      <c r="E551" s="161">
        <f>SUMIFS(_PLAN_STG!$P$2:$P$1879,_PLAN_STG!$D$2:$D$1879,B551,_PLAN_STG!$B$2:$B$1879,"EQ",_PLAN_STG!$O$2:$O$1879,1)</f>
        <v>0</v>
      </c>
      <c r="F551" s="162">
        <f>IFERROR(VLOOKUP(B551,EQUIPOS!$A:$F,6,FALSE()),IFERROR(INDEX(COMPOSICIÓN!$I$2:$I$1879,MATCH(B551,COMPOSICIÓN!$D$2:$D$1879,0)),0))</f>
        <v>347.35203892992803</v>
      </c>
      <c r="G551" s="163">
        <f>SUMIFS(_PLAN_STG!$Q$2:$Q$1879,_PLAN_STG!$D$2:$D$1879,B551,_PLAN_STG!$B$2:$B$1879,"EQ",_PLAN_STG!$O$2:$O$1879,1)</f>
        <v>0</v>
      </c>
      <c r="H551" s="227"/>
      <c r="I551" s="226">
        <f>SUMPRODUCT((_PLAN_STG!$D$2:$D$1879=B551)*(_PLAN_STG!$B$2:$B$1879="EQ")*(_PLAN_STG!$O$2:$O$1879=1)*(_PLAN_STG!$P$2:$P$1879&gt;0))</f>
        <v>0</v>
      </c>
      <c r="J551" s="227"/>
    </row>
    <row r="552" spans="1:10" x14ac:dyDescent="0.35">
      <c r="A552" s="222" t="str">
        <f t="shared" si="12"/>
        <v/>
      </c>
      <c r="B552" s="223" t="s">
        <v>1812</v>
      </c>
      <c r="C552" s="224" t="str">
        <f>IFERROR(VLOOKUP(B552,EQUIPOS!$A:$B,2,FALSE()),IFERROR(INDEX(COMPOSICIÓN!$E$2:$E$1879,MATCH(B552,COMPOSICIÓN!$D$2:$D$1879,0)),""))</f>
        <v>Herramientas menores y consumibles - Yeso interior</v>
      </c>
      <c r="D552" s="226">
        <f>IFERROR(VLOOKUP(B552,EQUIPOS!$A:$E,5,FALSE()),"")</f>
        <v>1</v>
      </c>
      <c r="E552" s="161">
        <f>SUMIFS(_PLAN_STG!$P$2:$P$1879,_PLAN_STG!$D$2:$D$1879,B552,_PLAN_STG!$B$2:$B$1879,"EQ",_PLAN_STG!$O$2:$O$1879,1)</f>
        <v>0</v>
      </c>
      <c r="F552" s="162">
        <f>IFERROR(VLOOKUP(B552,EQUIPOS!$A:$F,6,FALSE()),IFERROR(INDEX(COMPOSICIÓN!$I$2:$I$1879,MATCH(B552,COMPOSICIÓN!$D$2:$D$1879,0)),0))</f>
        <v>254.63084667573</v>
      </c>
      <c r="G552" s="163">
        <f>SUMIFS(_PLAN_STG!$Q$2:$Q$1879,_PLAN_STG!$D$2:$D$1879,B552,_PLAN_STG!$B$2:$B$1879,"EQ",_PLAN_STG!$O$2:$O$1879,1)</f>
        <v>0</v>
      </c>
      <c r="H552" s="227"/>
      <c r="I552" s="226">
        <f>SUMPRODUCT((_PLAN_STG!$D$2:$D$1879=B552)*(_PLAN_STG!$B$2:$B$1879="EQ")*(_PLAN_STG!$O$2:$O$1879=1)*(_PLAN_STG!$P$2:$P$1879&gt;0))</f>
        <v>0</v>
      </c>
      <c r="J552" s="227"/>
    </row>
    <row r="553" spans="1:10" x14ac:dyDescent="0.35">
      <c r="A553" s="222" t="str">
        <f t="shared" si="12"/>
        <v/>
      </c>
      <c r="B553" s="223" t="s">
        <v>1815</v>
      </c>
      <c r="C553" s="224" t="str">
        <f>IFERROR(VLOOKUP(B553,EQUIPOS!$A:$B,2,FALSE()),IFERROR(INDEX(COMPOSICIÓN!$E$2:$E$1879,MATCH(B553,COMPOSICIÓN!$D$2:$D$1879,0)),""))</f>
        <v xml:space="preserve">Herramientas menores y consumibles - Arista en yeso </v>
      </c>
      <c r="D553" s="226">
        <f>IFERROR(VLOOKUP(B553,EQUIPOS!$A:$E,5,FALSE()),"")</f>
        <v>1</v>
      </c>
      <c r="E553" s="161">
        <f>SUMIFS(_PLAN_STG!$P$2:$P$1879,_PLAN_STG!$D$2:$D$1879,B553,_PLAN_STG!$B$2:$B$1879,"EQ",_PLAN_STG!$O$2:$O$1879,1)</f>
        <v>0</v>
      </c>
      <c r="F553" s="162">
        <f>IFERROR(VLOOKUP(B553,EQUIPOS!$A:$F,6,FALSE()),IFERROR(INDEX(COMPOSICIÓN!$I$2:$I$1879,MATCH(B553,COMPOSICIÓN!$D$2:$D$1879,0)),0))</f>
        <v>187.4920973566</v>
      </c>
      <c r="G553" s="163">
        <f>SUMIFS(_PLAN_STG!$Q$2:$Q$1879,_PLAN_STG!$D$2:$D$1879,B553,_PLAN_STG!$B$2:$B$1879,"EQ",_PLAN_STG!$O$2:$O$1879,1)</f>
        <v>0</v>
      </c>
      <c r="H553" s="227"/>
      <c r="I553" s="226">
        <f>SUMPRODUCT((_PLAN_STG!$D$2:$D$1879=B553)*(_PLAN_STG!$B$2:$B$1879="EQ")*(_PLAN_STG!$O$2:$O$1879=1)*(_PLAN_STG!$P$2:$P$1879&gt;0))</f>
        <v>0</v>
      </c>
      <c r="J553" s="227"/>
    </row>
    <row r="554" spans="1:10" x14ac:dyDescent="0.35">
      <c r="A554" s="222" t="str">
        <f t="shared" si="12"/>
        <v/>
      </c>
      <c r="B554" s="223" t="s">
        <v>1818</v>
      </c>
      <c r="C554" s="224" t="str">
        <f>IFERROR(VLOOKUP(B554,EQUIPOS!$A:$B,2,FALSE()),IFERROR(INDEX(COMPOSICIÓN!$E$2:$E$1879,MATCH(B554,COMPOSICIÓN!$D$2:$D$1879,0)),""))</f>
        <v xml:space="preserve">Herramientas menores y consumibles - Provisión y colocación de guardacanto yesero </v>
      </c>
      <c r="D554" s="226">
        <f>IFERROR(VLOOKUP(B554,EQUIPOS!$A:$E,5,FALSE()),"")</f>
        <v>1</v>
      </c>
      <c r="E554" s="161">
        <f>SUMIFS(_PLAN_STG!$P$2:$P$1879,_PLAN_STG!$D$2:$D$1879,B554,_PLAN_STG!$B$2:$B$1879,"EQ",_PLAN_STG!$O$2:$O$1879,1)</f>
        <v>0</v>
      </c>
      <c r="F554" s="162">
        <f>IFERROR(VLOOKUP(B554,EQUIPOS!$A:$F,6,FALSE()),IFERROR(INDEX(COMPOSICIÓN!$I$2:$I$1879,MATCH(B554,COMPOSICIÓN!$D$2:$D$1879,0)),0))</f>
        <v>214.94396350429901</v>
      </c>
      <c r="G554" s="163">
        <f>SUMIFS(_PLAN_STG!$Q$2:$Q$1879,_PLAN_STG!$D$2:$D$1879,B554,_PLAN_STG!$B$2:$B$1879,"EQ",_PLAN_STG!$O$2:$O$1879,1)</f>
        <v>0</v>
      </c>
      <c r="H554" s="227"/>
      <c r="I554" s="226">
        <f>SUMPRODUCT((_PLAN_STG!$D$2:$D$1879=B554)*(_PLAN_STG!$B$2:$B$1879="EQ")*(_PLAN_STG!$O$2:$O$1879=1)*(_PLAN_STG!$P$2:$P$1879&gt;0))</f>
        <v>0</v>
      </c>
      <c r="J554" s="227"/>
    </row>
    <row r="555" spans="1:10" x14ac:dyDescent="0.35">
      <c r="A555" s="222" t="str">
        <f t="shared" si="12"/>
        <v/>
      </c>
      <c r="B555" s="223" t="s">
        <v>1821</v>
      </c>
      <c r="C555" s="224" t="str">
        <f>IFERROR(VLOOKUP(B555,EQUIPOS!$A:$B,2,FALSE()),IFERROR(INDEX(COMPOSICIÓN!$E$2:$E$1879,MATCH(B555,COMPOSICIÓN!$D$2:$D$1879,0)),""))</f>
        <v xml:space="preserve">Herramientas menores y consumibles - Contrapiso de Hº armado e: 18 cm, incluye malla Ø </v>
      </c>
      <c r="D555" s="226">
        <f>IFERROR(VLOOKUP(B555,EQUIPOS!$A:$E,5,FALSE()),"")</f>
        <v>1</v>
      </c>
      <c r="E555" s="161">
        <f>SUMIFS(_PLAN_STG!$P$2:$P$1879,_PLAN_STG!$D$2:$D$1879,B555,_PLAN_STG!$B$2:$B$1879,"EQ",_PLAN_STG!$O$2:$O$1879,1)</f>
        <v>0</v>
      </c>
      <c r="F555" s="162">
        <f>IFERROR(VLOOKUP(B555,EQUIPOS!$A:$F,6,FALSE()),IFERROR(INDEX(COMPOSICIÓN!$I$2:$I$1879,MATCH(B555,COMPOSICIÓN!$D$2:$D$1879,0)),0))</f>
        <v>649.57350320066905</v>
      </c>
      <c r="G555" s="163">
        <f>SUMIFS(_PLAN_STG!$Q$2:$Q$1879,_PLAN_STG!$D$2:$D$1879,B555,_PLAN_STG!$B$2:$B$1879,"EQ",_PLAN_STG!$O$2:$O$1879,1)</f>
        <v>0</v>
      </c>
      <c r="H555" s="227"/>
      <c r="I555" s="226">
        <f>SUMPRODUCT((_PLAN_STG!$D$2:$D$1879=B555)*(_PLAN_STG!$B$2:$B$1879="EQ")*(_PLAN_STG!$O$2:$O$1879=1)*(_PLAN_STG!$P$2:$P$1879&gt;0))</f>
        <v>0</v>
      </c>
      <c r="J555" s="227"/>
    </row>
    <row r="556" spans="1:10" x14ac:dyDescent="0.35">
      <c r="A556" s="222" t="str">
        <f t="shared" si="12"/>
        <v/>
      </c>
      <c r="B556" s="223" t="s">
        <v>1824</v>
      </c>
      <c r="C556" s="224" t="str">
        <f>IFERROR(VLOOKUP(B556,EQUIPOS!$A:$B,2,FALSE()),IFERROR(INDEX(COMPOSICIÓN!$E$2:$E$1879,MATCH(B556,COMPOSICIÓN!$D$2:$D$1879,0)),""))</f>
        <v>Herramientas menores y consumibles - Contrapiso de H13 subase bajo intertrabado y garde</v>
      </c>
      <c r="D556" s="226">
        <f>IFERROR(VLOOKUP(B556,EQUIPOS!$A:$E,5,FALSE()),"")</f>
        <v>1</v>
      </c>
      <c r="E556" s="161">
        <f>SUMIFS(_PLAN_STG!$P$2:$P$1879,_PLAN_STG!$D$2:$D$1879,B556,_PLAN_STG!$B$2:$B$1879,"EQ",_PLAN_STG!$O$2:$O$1879,1)</f>
        <v>0</v>
      </c>
      <c r="F556" s="162">
        <f>IFERROR(VLOOKUP(B556,EQUIPOS!$A:$F,6,FALSE()),IFERROR(INDEX(COMPOSICIÓN!$I$2:$I$1879,MATCH(B556,COMPOSICIÓN!$D$2:$D$1879,0)),0))</f>
        <v>429.44656213747601</v>
      </c>
      <c r="G556" s="163">
        <f>SUMIFS(_PLAN_STG!$Q$2:$Q$1879,_PLAN_STG!$D$2:$D$1879,B556,_PLAN_STG!$B$2:$B$1879,"EQ",_PLAN_STG!$O$2:$O$1879,1)</f>
        <v>0</v>
      </c>
      <c r="H556" s="227"/>
      <c r="I556" s="226">
        <f>SUMPRODUCT((_PLAN_STG!$D$2:$D$1879=B556)*(_PLAN_STG!$B$2:$B$1879="EQ")*(_PLAN_STG!$O$2:$O$1879=1)*(_PLAN_STG!$P$2:$P$1879&gt;0))</f>
        <v>0</v>
      </c>
      <c r="J556" s="227"/>
    </row>
    <row r="557" spans="1:10" x14ac:dyDescent="0.35">
      <c r="A557" s="222" t="str">
        <f t="shared" si="12"/>
        <v/>
      </c>
      <c r="B557" s="223" t="s">
        <v>1827</v>
      </c>
      <c r="C557" s="224" t="str">
        <f>IFERROR(VLOOKUP(B557,EQUIPOS!$A:$B,2,FALSE()),IFERROR(INDEX(COMPOSICIÓN!$E$2:$E$1879,MATCH(B557,COMPOSICIÓN!$D$2:$D$1879,0)),""))</f>
        <v>Herramientas menores y consumibles - Contrapiso alivianado en azoteas (RDC), e: 15 cm</v>
      </c>
      <c r="D557" s="226">
        <f>IFERROR(VLOOKUP(B557,EQUIPOS!$A:$E,5,FALSE()),"")</f>
        <v>1</v>
      </c>
      <c r="E557" s="161">
        <f>SUMIFS(_PLAN_STG!$P$2:$P$1879,_PLAN_STG!$D$2:$D$1879,B557,_PLAN_STG!$B$2:$B$1879,"EQ",_PLAN_STG!$O$2:$O$1879,1)</f>
        <v>0</v>
      </c>
      <c r="F557" s="162">
        <f>IFERROR(VLOOKUP(B557,EQUIPOS!$A:$F,6,FALSE()),IFERROR(INDEX(COMPOSICIÓN!$I$2:$I$1879,MATCH(B557,COMPOSICIÓN!$D$2:$D$1879,0)),0))</f>
        <v>447.47765896838598</v>
      </c>
      <c r="G557" s="163">
        <f>SUMIFS(_PLAN_STG!$Q$2:$Q$1879,_PLAN_STG!$D$2:$D$1879,B557,_PLAN_STG!$B$2:$B$1879,"EQ",_PLAN_STG!$O$2:$O$1879,1)</f>
        <v>0</v>
      </c>
      <c r="H557" s="227"/>
      <c r="I557" s="226">
        <f>SUMPRODUCT((_PLAN_STG!$D$2:$D$1879=B557)*(_PLAN_STG!$B$2:$B$1879="EQ")*(_PLAN_STG!$O$2:$O$1879=1)*(_PLAN_STG!$P$2:$P$1879&gt;0))</f>
        <v>0</v>
      </c>
      <c r="J557" s="227"/>
    </row>
    <row r="558" spans="1:10" x14ac:dyDescent="0.35">
      <c r="A558" s="222" t="str">
        <f t="shared" si="12"/>
        <v/>
      </c>
      <c r="B558" s="223" t="s">
        <v>1830</v>
      </c>
      <c r="C558" s="224" t="str">
        <f>IFERROR(VLOOKUP(B558,EQUIPOS!$A:$B,2,FALSE()),IFERROR(INDEX(COMPOSICIÓN!$E$2:$E$1879,MATCH(B558,COMPOSICIÓN!$D$2:$D$1879,0)),""))</f>
        <v>Herramientas menores y consumibles - Contrapiso con piedra binder e: 4/5 cm - En locale</v>
      </c>
      <c r="D558" s="226">
        <f>IFERROR(VLOOKUP(B558,EQUIPOS!$A:$E,5,FALSE()),"")</f>
        <v>1</v>
      </c>
      <c r="E558" s="161">
        <f>SUMIFS(_PLAN_STG!$P$2:$P$1879,_PLAN_STG!$D$2:$D$1879,B558,_PLAN_STG!$B$2:$B$1879,"EQ",_PLAN_STG!$O$2:$O$1879,1)</f>
        <v>0</v>
      </c>
      <c r="F558" s="162">
        <f>IFERROR(VLOOKUP(B558,EQUIPOS!$A:$F,6,FALSE()),IFERROR(INDEX(COMPOSICIÓN!$I$2:$I$1879,MATCH(B558,COMPOSICIÓN!$D$2:$D$1879,0)),0))</f>
        <v>349.45779149966802</v>
      </c>
      <c r="G558" s="163">
        <f>SUMIFS(_PLAN_STG!$Q$2:$Q$1879,_PLAN_STG!$D$2:$D$1879,B558,_PLAN_STG!$B$2:$B$1879,"EQ",_PLAN_STG!$O$2:$O$1879,1)</f>
        <v>0</v>
      </c>
      <c r="H558" s="227"/>
      <c r="I558" s="226">
        <f>SUMPRODUCT((_PLAN_STG!$D$2:$D$1879=B558)*(_PLAN_STG!$B$2:$B$1879="EQ")*(_PLAN_STG!$O$2:$O$1879=1)*(_PLAN_STG!$P$2:$P$1879&gt;0))</f>
        <v>0</v>
      </c>
      <c r="J558" s="227"/>
    </row>
    <row r="559" spans="1:10" x14ac:dyDescent="0.35">
      <c r="A559" s="222" t="str">
        <f t="shared" si="12"/>
        <v/>
      </c>
      <c r="B559" s="223" t="s">
        <v>1833</v>
      </c>
      <c r="C559" s="224" t="str">
        <f>IFERROR(VLOOKUP(B559,EQUIPOS!$A:$B,2,FALSE()),IFERROR(INDEX(COMPOSICIÓN!$E$2:$E$1879,MATCH(B559,COMPOSICIÓN!$D$2:$D$1879,0)),""))</f>
        <v>Herramientas menores y consumibles - Carpeta autonivelante e: 4/10 mm - En locales húme</v>
      </c>
      <c r="D559" s="226">
        <f>IFERROR(VLOOKUP(B559,EQUIPOS!$A:$E,5,FALSE()),"")</f>
        <v>1</v>
      </c>
      <c r="E559" s="161">
        <f>SUMIFS(_PLAN_STG!$P$2:$P$1879,_PLAN_STG!$D$2:$D$1879,B559,_PLAN_STG!$B$2:$B$1879,"EQ",_PLAN_STG!$O$2:$O$1879,1)</f>
        <v>0</v>
      </c>
      <c r="F559" s="162">
        <f>IFERROR(VLOOKUP(B559,EQUIPOS!$A:$F,6,FALSE()),IFERROR(INDEX(COMPOSICIÓN!$I$2:$I$1879,MATCH(B559,COMPOSICIÓN!$D$2:$D$1879,0)),0))</f>
        <v>218.25069175782201</v>
      </c>
      <c r="G559" s="163">
        <f>SUMIFS(_PLAN_STG!$Q$2:$Q$1879,_PLAN_STG!$D$2:$D$1879,B559,_PLAN_STG!$B$2:$B$1879,"EQ",_PLAN_STG!$O$2:$O$1879,1)</f>
        <v>0</v>
      </c>
      <c r="H559" s="227"/>
      <c r="I559" s="226">
        <f>SUMPRODUCT((_PLAN_STG!$D$2:$D$1879=B559)*(_PLAN_STG!$B$2:$B$1879="EQ")*(_PLAN_STG!$O$2:$O$1879=1)*(_PLAN_STG!$P$2:$P$1879&gt;0))</f>
        <v>0</v>
      </c>
      <c r="J559" s="227"/>
    </row>
    <row r="560" spans="1:10" x14ac:dyDescent="0.35">
      <c r="A560" s="222" t="str">
        <f t="shared" si="12"/>
        <v/>
      </c>
      <c r="B560" s="223" t="s">
        <v>1836</v>
      </c>
      <c r="C560" s="224" t="str">
        <f>IFERROR(VLOOKUP(B560,EQUIPOS!$A:$B,2,FALSE()),IFERROR(INDEX(COMPOSICIÓN!$E$2:$E$1879,MATCH(B560,COMPOSICIÓN!$D$2:$D$1879,0)),""))</f>
        <v>Herramientas menores y consumibles - Provisión y ejecución de cemento alisado arrodilla</v>
      </c>
      <c r="D560" s="226">
        <f>IFERROR(VLOOKUP(B560,EQUIPOS!$A:$E,5,FALSE()),"")</f>
        <v>1</v>
      </c>
      <c r="E560" s="161">
        <f>SUMIFS(_PLAN_STG!$P$2:$P$1879,_PLAN_STG!$D$2:$D$1879,B560,_PLAN_STG!$B$2:$B$1879,"EQ",_PLAN_STG!$O$2:$O$1879,1)</f>
        <v>0</v>
      </c>
      <c r="F560" s="162">
        <f>IFERROR(VLOOKUP(B560,EQUIPOS!$A:$F,6,FALSE()),IFERROR(INDEX(COMPOSICIÓN!$I$2:$I$1879,MATCH(B560,COMPOSICIÓN!$D$2:$D$1879,0)),0))</f>
        <v>23389.673803614602</v>
      </c>
      <c r="G560" s="163">
        <f>SUMIFS(_PLAN_STG!$Q$2:$Q$1879,_PLAN_STG!$D$2:$D$1879,B560,_PLAN_STG!$B$2:$B$1879,"EQ",_PLAN_STG!$O$2:$O$1879,1)</f>
        <v>0</v>
      </c>
      <c r="H560" s="227"/>
      <c r="I560" s="226">
        <f>SUMPRODUCT((_PLAN_STG!$D$2:$D$1879=B560)*(_PLAN_STG!$B$2:$B$1879="EQ")*(_PLAN_STG!$O$2:$O$1879=1)*(_PLAN_STG!$P$2:$P$1879&gt;0))</f>
        <v>0</v>
      </c>
      <c r="J560" s="227"/>
    </row>
    <row r="561" spans="1:10" x14ac:dyDescent="0.35">
      <c r="A561" s="222" t="str">
        <f t="shared" si="12"/>
        <v/>
      </c>
      <c r="B561" s="223" t="s">
        <v>1839</v>
      </c>
      <c r="C561" s="224" t="str">
        <f>IFERROR(VLOOKUP(B561,EQUIPOS!$A:$B,2,FALSE()),IFERROR(INDEX(COMPOSICIÓN!$E$2:$E$1879,MATCH(B561,COMPOSICIÓN!$D$2:$D$1879,0)),""))</f>
        <v>Herramientas menores y consumibles - Provisión nariz escalera, hierro angulo 5/8 x 1/8"</v>
      </c>
      <c r="D561" s="226">
        <f>IFERROR(VLOOKUP(B561,EQUIPOS!$A:$E,5,FALSE()),"")</f>
        <v>1</v>
      </c>
      <c r="E561" s="161">
        <f>SUMIFS(_PLAN_STG!$P$2:$P$1879,_PLAN_STG!$D$2:$D$1879,B561,_PLAN_STG!$B$2:$B$1879,"EQ",_PLAN_STG!$O$2:$O$1879,1)</f>
        <v>0</v>
      </c>
      <c r="F561" s="162">
        <f>IFERROR(VLOOKUP(B561,EQUIPOS!$A:$F,6,FALSE()),IFERROR(INDEX(COMPOSICIÓN!$I$2:$I$1879,MATCH(B561,COMPOSICIÓN!$D$2:$D$1879,0)),0))</f>
        <v>310.723693448277</v>
      </c>
      <c r="G561" s="163">
        <f>SUMIFS(_PLAN_STG!$Q$2:$Q$1879,_PLAN_STG!$D$2:$D$1879,B561,_PLAN_STG!$B$2:$B$1879,"EQ",_PLAN_STG!$O$2:$O$1879,1)</f>
        <v>0</v>
      </c>
      <c r="H561" s="227"/>
      <c r="I561" s="226">
        <f>SUMPRODUCT((_PLAN_STG!$D$2:$D$1879=B561)*(_PLAN_STG!$B$2:$B$1879="EQ")*(_PLAN_STG!$O$2:$O$1879=1)*(_PLAN_STG!$P$2:$P$1879&gt;0))</f>
        <v>0</v>
      </c>
      <c r="J561" s="227"/>
    </row>
    <row r="562" spans="1:10" x14ac:dyDescent="0.35">
      <c r="A562" s="222" t="str">
        <f t="shared" si="12"/>
        <v/>
      </c>
      <c r="B562" s="223" t="s">
        <v>1842</v>
      </c>
      <c r="C562" s="224" t="str">
        <f>IFERROR(VLOOKUP(B562,EQUIPOS!$A:$B,2,FALSE()),IFERROR(INDEX(COMPOSICIÓN!$E$2:$E$1879,MATCH(B562,COMPOSICIÓN!$D$2:$D$1879,0)),""))</f>
        <v>Herramientas menores y consumibles - Ejecución de zócalo rampante de concreto h: 10 cm</v>
      </c>
      <c r="D562" s="226">
        <f>IFERROR(VLOOKUP(B562,EQUIPOS!$A:$E,5,FALSE()),"")</f>
        <v>1</v>
      </c>
      <c r="E562" s="161">
        <f>SUMIFS(_PLAN_STG!$P$2:$P$1879,_PLAN_STG!$D$2:$D$1879,B562,_PLAN_STG!$B$2:$B$1879,"EQ",_PLAN_STG!$O$2:$O$1879,1)</f>
        <v>0</v>
      </c>
      <c r="F562" s="162">
        <f>IFERROR(VLOOKUP(B562,EQUIPOS!$A:$F,6,FALSE()),IFERROR(INDEX(COMPOSICIÓN!$I$2:$I$1879,MATCH(B562,COMPOSICIÓN!$D$2:$D$1879,0)),0))</f>
        <v>114.200147046578</v>
      </c>
      <c r="G562" s="163">
        <f>SUMIFS(_PLAN_STG!$Q$2:$Q$1879,_PLAN_STG!$D$2:$D$1879,B562,_PLAN_STG!$B$2:$B$1879,"EQ",_PLAN_STG!$O$2:$O$1879,1)</f>
        <v>0</v>
      </c>
      <c r="H562" s="227"/>
      <c r="I562" s="226">
        <f>SUMPRODUCT((_PLAN_STG!$D$2:$D$1879=B562)*(_PLAN_STG!$B$2:$B$1879="EQ")*(_PLAN_STG!$O$2:$O$1879=1)*(_PLAN_STG!$P$2:$P$1879&gt;0))</f>
        <v>0</v>
      </c>
      <c r="J562" s="227"/>
    </row>
    <row r="563" spans="1:10" x14ac:dyDescent="0.35">
      <c r="A563" s="222" t="str">
        <f t="shared" si="12"/>
        <v/>
      </c>
      <c r="B563" s="223" t="s">
        <v>1845</v>
      </c>
      <c r="C563" s="224" t="str">
        <f>IFERROR(VLOOKUP(B563,EQUIPOS!$A:$B,2,FALSE()),IFERROR(INDEX(COMPOSICIÓN!$E$2:$E$1879,MATCH(B563,COMPOSICIÓN!$D$2:$D$1879,0)),""))</f>
        <v>Herramientas menores y consumibles - Montaje de conductos de ventilación de baños C27 -</v>
      </c>
      <c r="D563" s="226">
        <f>IFERROR(VLOOKUP(B563,EQUIPOS!$A:$E,5,FALSE()),"")</f>
        <v>1</v>
      </c>
      <c r="E563" s="161">
        <f>SUMIFS(_PLAN_STG!$P$2:$P$1879,_PLAN_STG!$D$2:$D$1879,B563,_PLAN_STG!$B$2:$B$1879,"EQ",_PLAN_STG!$O$2:$O$1879,1)</f>
        <v>0</v>
      </c>
      <c r="F563" s="162">
        <f>IFERROR(VLOOKUP(B563,EQUIPOS!$A:$F,6,FALSE()),IFERROR(INDEX(COMPOSICIÓN!$I$2:$I$1879,MATCH(B563,COMPOSICIÓN!$D$2:$D$1879,0)),0))</f>
        <v>20453.608131728699</v>
      </c>
      <c r="G563" s="163">
        <f>SUMIFS(_PLAN_STG!$Q$2:$Q$1879,_PLAN_STG!$D$2:$D$1879,B563,_PLAN_STG!$B$2:$B$1879,"EQ",_PLAN_STG!$O$2:$O$1879,1)</f>
        <v>0</v>
      </c>
      <c r="H563" s="227"/>
      <c r="I563" s="226">
        <f>SUMPRODUCT((_PLAN_STG!$D$2:$D$1879=B563)*(_PLAN_STG!$B$2:$B$1879="EQ")*(_PLAN_STG!$O$2:$O$1879=1)*(_PLAN_STG!$P$2:$P$1879&gt;0))</f>
        <v>0</v>
      </c>
      <c r="J563" s="227"/>
    </row>
    <row r="564" spans="1:10" x14ac:dyDescent="0.35">
      <c r="A564" s="222" t="str">
        <f t="shared" si="12"/>
        <v/>
      </c>
      <c r="B564" s="223" t="s">
        <v>1848</v>
      </c>
      <c r="C564" s="224" t="str">
        <f>IFERROR(VLOOKUP(B564,EQUIPOS!$A:$B,2,FALSE()),IFERROR(INDEX(COMPOSICIÓN!$E$2:$E$1879,MATCH(B564,COMPOSICIÓN!$D$2:$D$1879,0)),""))</f>
        <v>Herramientas menores y consumibles - Montaje de conductos de ventilación de parrillas C</v>
      </c>
      <c r="D564" s="226">
        <f>IFERROR(VLOOKUP(B564,EQUIPOS!$A:$E,5,FALSE()),"")</f>
        <v>1</v>
      </c>
      <c r="E564" s="161">
        <f>SUMIFS(_PLAN_STG!$P$2:$P$1879,_PLAN_STG!$D$2:$D$1879,B564,_PLAN_STG!$B$2:$B$1879,"EQ",_PLAN_STG!$O$2:$O$1879,1)</f>
        <v>0</v>
      </c>
      <c r="F564" s="162">
        <f>IFERROR(VLOOKUP(B564,EQUIPOS!$A:$F,6,FALSE()),IFERROR(INDEX(COMPOSICIÓN!$I$2:$I$1879,MATCH(B564,COMPOSICIÓN!$D$2:$D$1879,0)),0))</f>
        <v>13472.1648790372</v>
      </c>
      <c r="G564" s="163">
        <f>SUMIFS(_PLAN_STG!$Q$2:$Q$1879,_PLAN_STG!$D$2:$D$1879,B564,_PLAN_STG!$B$2:$B$1879,"EQ",_PLAN_STG!$O$2:$O$1879,1)</f>
        <v>0</v>
      </c>
      <c r="H564" s="227"/>
      <c r="I564" s="226">
        <f>SUMPRODUCT((_PLAN_STG!$D$2:$D$1879=B564)*(_PLAN_STG!$B$2:$B$1879="EQ")*(_PLAN_STG!$O$2:$O$1879=1)*(_PLAN_STG!$P$2:$P$1879&gt;0))</f>
        <v>0</v>
      </c>
      <c r="J564" s="227"/>
    </row>
    <row r="565" spans="1:10" x14ac:dyDescent="0.35">
      <c r="A565" s="222" t="str">
        <f t="shared" si="12"/>
        <v/>
      </c>
      <c r="B565" s="223" t="s">
        <v>1851</v>
      </c>
      <c r="C565" s="224" t="str">
        <f>IFERROR(VLOOKUP(B565,EQUIPOS!$A:$B,2,FALSE()),IFERROR(INDEX(COMPOSICIÓN!$E$2:$E$1879,MATCH(B565,COMPOSICIÓN!$D$2:$D$1879,0)),""))</f>
        <v>Herramientas menores y consumibles - Montaje de campanas de parrillas C22 - Provisión a</v>
      </c>
      <c r="D565" s="226">
        <f>IFERROR(VLOOKUP(B565,EQUIPOS!$A:$E,5,FALSE()),"")</f>
        <v>1</v>
      </c>
      <c r="E565" s="161">
        <f>SUMIFS(_PLAN_STG!$P$2:$P$1879,_PLAN_STG!$D$2:$D$1879,B565,_PLAN_STG!$B$2:$B$1879,"EQ",_PLAN_STG!$O$2:$O$1879,1)</f>
        <v>0</v>
      </c>
      <c r="F565" s="162">
        <f>IFERROR(VLOOKUP(B565,EQUIPOS!$A:$F,6,FALSE()),IFERROR(INDEX(COMPOSICIÓN!$I$2:$I$1879,MATCH(B565,COMPOSICIÓN!$D$2:$D$1879,0)),0))</f>
        <v>5986.08243951861</v>
      </c>
      <c r="G565" s="163">
        <f>SUMIFS(_PLAN_STG!$Q$2:$Q$1879,_PLAN_STG!$D$2:$D$1879,B565,_PLAN_STG!$B$2:$B$1879,"EQ",_PLAN_STG!$O$2:$O$1879,1)</f>
        <v>0</v>
      </c>
      <c r="H565" s="227"/>
      <c r="I565" s="226">
        <f>SUMPRODUCT((_PLAN_STG!$D$2:$D$1879=B565)*(_PLAN_STG!$B$2:$B$1879="EQ")*(_PLAN_STG!$O$2:$O$1879=1)*(_PLAN_STG!$P$2:$P$1879&gt;0))</f>
        <v>0</v>
      </c>
      <c r="J565" s="227"/>
    </row>
    <row r="566" spans="1:10" x14ac:dyDescent="0.35">
      <c r="A566" s="222" t="str">
        <f t="shared" ref="A566:A597" si="13">IF(G566=0,"",ROW()-502+1)</f>
        <v/>
      </c>
      <c r="B566" s="223" t="s">
        <v>1854</v>
      </c>
      <c r="C566" s="224" t="str">
        <f>IFERROR(VLOOKUP(B566,EQUIPOS!$A:$B,2,FALSE()),IFERROR(INDEX(COMPOSICIÓN!$E$2:$E$1879,MATCH(B566,COMPOSICIÓN!$D$2:$D$1879,0)),""))</f>
        <v>Herramientas menores y consumibles - Montaje de sombreretes en chapa prepintada C25 - P</v>
      </c>
      <c r="D566" s="226">
        <f>IFERROR(VLOOKUP(B566,EQUIPOS!$A:$E,5,FALSE()),"")</f>
        <v>1</v>
      </c>
      <c r="E566" s="161">
        <f>SUMIFS(_PLAN_STG!$P$2:$P$1879,_PLAN_STG!$D$2:$D$1879,B566,_PLAN_STG!$B$2:$B$1879,"EQ",_PLAN_STG!$O$2:$O$1879,1)</f>
        <v>0</v>
      </c>
      <c r="F566" s="162">
        <f>IFERROR(VLOOKUP(B566,EQUIPOS!$A:$F,6,FALSE()),IFERROR(INDEX(COMPOSICIÓN!$I$2:$I$1879,MATCH(B566,COMPOSICIÓN!$D$2:$D$1879,0)),0))</f>
        <v>649.07216263457406</v>
      </c>
      <c r="G566" s="163">
        <f>SUMIFS(_PLAN_STG!$Q$2:$Q$1879,_PLAN_STG!$D$2:$D$1879,B566,_PLAN_STG!$B$2:$B$1879,"EQ",_PLAN_STG!$O$2:$O$1879,1)</f>
        <v>0</v>
      </c>
      <c r="H566" s="227"/>
      <c r="I566" s="226">
        <f>SUMPRODUCT((_PLAN_STG!$D$2:$D$1879=B566)*(_PLAN_STG!$B$2:$B$1879="EQ")*(_PLAN_STG!$O$2:$O$1879=1)*(_PLAN_STG!$P$2:$P$1879&gt;0))</f>
        <v>0</v>
      </c>
      <c r="J566" s="227"/>
    </row>
    <row r="567" spans="1:10" x14ac:dyDescent="0.35">
      <c r="A567" s="222" t="str">
        <f t="shared" si="13"/>
        <v/>
      </c>
      <c r="B567" s="223" t="s">
        <v>1857</v>
      </c>
      <c r="C567" s="224" t="str">
        <f>IFERROR(VLOOKUP(B567,EQUIPOS!$A:$B,2,FALSE()),IFERROR(INDEX(COMPOSICIÓN!$E$2:$E$1879,MATCH(B567,COMPOSICIÓN!$D$2:$D$1879,0)),""))</f>
        <v>Herramientas menores y consumibles - Colocación de pavimento intertrabado de H°, incluy</v>
      </c>
      <c r="D567" s="226">
        <f>IFERROR(VLOOKUP(B567,EQUIPOS!$A:$E,5,FALSE()),"")</f>
        <v>1</v>
      </c>
      <c r="E567" s="161">
        <f>SUMIFS(_PLAN_STG!$P$2:$P$1879,_PLAN_STG!$D$2:$D$1879,B567,_PLAN_STG!$B$2:$B$1879,"EQ",_PLAN_STG!$O$2:$O$1879,1)</f>
        <v>0</v>
      </c>
      <c r="F567" s="162">
        <f>IFERROR(VLOOKUP(B567,EQUIPOS!$A:$F,6,FALSE()),IFERROR(INDEX(COMPOSICIÓN!$I$2:$I$1879,MATCH(B567,COMPOSICIÓN!$D$2:$D$1879,0)),0))</f>
        <v>212.50168340278501</v>
      </c>
      <c r="G567" s="163">
        <f>SUMIFS(_PLAN_STG!$Q$2:$Q$1879,_PLAN_STG!$D$2:$D$1879,B567,_PLAN_STG!$B$2:$B$1879,"EQ",_PLAN_STG!$O$2:$O$1879,1)</f>
        <v>0</v>
      </c>
      <c r="H567" s="227"/>
      <c r="I567" s="226">
        <f>SUMPRODUCT((_PLAN_STG!$D$2:$D$1879=B567)*(_PLAN_STG!$B$2:$B$1879="EQ")*(_PLAN_STG!$O$2:$O$1879=1)*(_PLAN_STG!$P$2:$P$1879&gt;0))</f>
        <v>0</v>
      </c>
      <c r="J567" s="227"/>
    </row>
    <row r="568" spans="1:10" x14ac:dyDescent="0.35">
      <c r="A568" s="222" t="str">
        <f t="shared" si="13"/>
        <v/>
      </c>
      <c r="B568" s="223" t="s">
        <v>1860</v>
      </c>
      <c r="C568" s="224" t="str">
        <f>IFERROR(VLOOKUP(B568,EQUIPOS!$A:$B,2,FALSE()),IFERROR(INDEX(COMPOSICIÓN!$E$2:$E$1879,MATCH(B568,COMPOSICIÓN!$D$2:$D$1879,0)),""))</f>
        <v>Herramientas menores y consumibles - Provisión y colocación de relleno de piedra binder</v>
      </c>
      <c r="D568" s="226">
        <f>IFERROR(VLOOKUP(B568,EQUIPOS!$A:$E,5,FALSE()),"")</f>
        <v>1</v>
      </c>
      <c r="E568" s="161">
        <f>SUMIFS(_PLAN_STG!$P$2:$P$1879,_PLAN_STG!$D$2:$D$1879,B568,_PLAN_STG!$B$2:$B$1879,"EQ",_PLAN_STG!$O$2:$O$1879,1)</f>
        <v>0</v>
      </c>
      <c r="F568" s="162">
        <f>IFERROR(VLOOKUP(B568,EQUIPOS!$A:$F,6,FALSE()),IFERROR(INDEX(COMPOSICIÓN!$I$2:$I$1879,MATCH(B568,COMPOSICIÓN!$D$2:$D$1879,0)),0))</f>
        <v>155.708708956072</v>
      </c>
      <c r="G568" s="163">
        <f>SUMIFS(_PLAN_STG!$Q$2:$Q$1879,_PLAN_STG!$D$2:$D$1879,B568,_PLAN_STG!$B$2:$B$1879,"EQ",_PLAN_STG!$O$2:$O$1879,1)</f>
        <v>0</v>
      </c>
      <c r="H568" s="227"/>
      <c r="I568" s="226">
        <f>SUMPRODUCT((_PLAN_STG!$D$2:$D$1879=B568)*(_PLAN_STG!$B$2:$B$1879="EQ")*(_PLAN_STG!$O$2:$O$1879=1)*(_PLAN_STG!$P$2:$P$1879&gt;0))</f>
        <v>0</v>
      </c>
      <c r="J568" s="227"/>
    </row>
    <row r="569" spans="1:10" x14ac:dyDescent="0.35">
      <c r="A569" s="222" t="str">
        <f t="shared" si="13"/>
        <v/>
      </c>
      <c r="B569" s="223" t="s">
        <v>1863</v>
      </c>
      <c r="C569" s="224" t="str">
        <f>IFERROR(VLOOKUP(B569,EQUIPOS!$A:$B,2,FALSE()),IFERROR(INDEX(COMPOSICIÓN!$E$2:$E$1879,MATCH(B569,COMPOSICIÓN!$D$2:$D$1879,0)),""))</f>
        <v xml:space="preserve">Herramientas menores y consumibles - Colocación de baldoson granítico vereda 40 x 40 - </v>
      </c>
      <c r="D569" s="226">
        <f>IFERROR(VLOOKUP(B569,EQUIPOS!$A:$E,5,FALSE()),"")</f>
        <v>1</v>
      </c>
      <c r="E569" s="161">
        <f>SUMIFS(_PLAN_STG!$P$2:$P$1879,_PLAN_STG!$D$2:$D$1879,B569,_PLAN_STG!$B$2:$B$1879,"EQ",_PLAN_STG!$O$2:$O$1879,1)</f>
        <v>0</v>
      </c>
      <c r="F569" s="162">
        <f>IFERROR(VLOOKUP(B569,EQUIPOS!$A:$F,6,FALSE()),IFERROR(INDEX(COMPOSICIÓN!$I$2:$I$1879,MATCH(B569,COMPOSICIÓN!$D$2:$D$1879,0)),0))</f>
        <v>295.286480531927</v>
      </c>
      <c r="G569" s="163">
        <f>SUMIFS(_PLAN_STG!$Q$2:$Q$1879,_PLAN_STG!$D$2:$D$1879,B569,_PLAN_STG!$B$2:$B$1879,"EQ",_PLAN_STG!$O$2:$O$1879,1)</f>
        <v>0</v>
      </c>
      <c r="H569" s="227"/>
      <c r="I569" s="226">
        <f>SUMPRODUCT((_PLAN_STG!$D$2:$D$1879=B569)*(_PLAN_STG!$B$2:$B$1879="EQ")*(_PLAN_STG!$O$2:$O$1879=1)*(_PLAN_STG!$P$2:$P$1879&gt;0))</f>
        <v>0</v>
      </c>
      <c r="J569" s="227"/>
    </row>
    <row r="570" spans="1:10" x14ac:dyDescent="0.35">
      <c r="A570" s="222" t="str">
        <f t="shared" si="13"/>
        <v/>
      </c>
      <c r="B570" s="223" t="s">
        <v>1866</v>
      </c>
      <c r="C570" s="224" t="str">
        <f>IFERROR(VLOOKUP(B570,EQUIPOS!$A:$B,2,FALSE()),IFERROR(INDEX(COMPOSICIÓN!$E$2:$E$1879,MATCH(B570,COMPOSICIÓN!$D$2:$D$1879,0)),""))</f>
        <v>Herramientas menores y consumibles - Provisión y colocación de zócalo de MDF prepintado</v>
      </c>
      <c r="D570" s="226">
        <f>IFERROR(VLOOKUP(B570,EQUIPOS!$A:$E,5,FALSE()),"")</f>
        <v>1</v>
      </c>
      <c r="E570" s="161">
        <f>SUMIFS(_PLAN_STG!$P$2:$P$1879,_PLAN_STG!$D$2:$D$1879,B570,_PLAN_STG!$B$2:$B$1879,"EQ",_PLAN_STG!$O$2:$O$1879,1)</f>
        <v>0</v>
      </c>
      <c r="F570" s="162">
        <f>IFERROR(VLOOKUP(B570,EQUIPOS!$A:$F,6,FALSE()),IFERROR(INDEX(COMPOSICIÓN!$I$2:$I$1879,MATCH(B570,COMPOSICIÓN!$D$2:$D$1879,0)),0))</f>
        <v>100.443260520069</v>
      </c>
      <c r="G570" s="163">
        <f>SUMIFS(_PLAN_STG!$Q$2:$Q$1879,_PLAN_STG!$D$2:$D$1879,B570,_PLAN_STG!$B$2:$B$1879,"EQ",_PLAN_STG!$O$2:$O$1879,1)</f>
        <v>0</v>
      </c>
      <c r="H570" s="227"/>
      <c r="I570" s="226">
        <f>SUMPRODUCT((_PLAN_STG!$D$2:$D$1879=B570)*(_PLAN_STG!$B$2:$B$1879="EQ")*(_PLAN_STG!$O$2:$O$1879=1)*(_PLAN_STG!$P$2:$P$1879&gt;0))</f>
        <v>0</v>
      </c>
      <c r="J570" s="227"/>
    </row>
    <row r="571" spans="1:10" x14ac:dyDescent="0.35">
      <c r="A571" s="222" t="str">
        <f t="shared" si="13"/>
        <v/>
      </c>
      <c r="B571" s="223" t="s">
        <v>1869</v>
      </c>
      <c r="C571" s="224" t="str">
        <f>IFERROR(VLOOKUP(B571,EQUIPOS!$A:$B,2,FALSE()),IFERROR(INDEX(COMPOSICIÓN!$E$2:$E$1879,MATCH(B571,COMPOSICIÓN!$D$2:$D$1879,0)),""))</f>
        <v>Herramientas menores y consumibles - Colocación de listones refractarios en parrillas -</v>
      </c>
      <c r="D571" s="226">
        <f>IFERROR(VLOOKUP(B571,EQUIPOS!$A:$E,5,FALSE()),"")</f>
        <v>1</v>
      </c>
      <c r="E571" s="161">
        <f>SUMIFS(_PLAN_STG!$P$2:$P$1879,_PLAN_STG!$D$2:$D$1879,B571,_PLAN_STG!$B$2:$B$1879,"EQ",_PLAN_STG!$O$2:$O$1879,1)</f>
        <v>0</v>
      </c>
      <c r="F571" s="162">
        <f>IFERROR(VLOOKUP(B571,EQUIPOS!$A:$F,6,FALSE()),IFERROR(INDEX(COMPOSICIÓN!$I$2:$I$1879,MATCH(B571,COMPOSICIÓN!$D$2:$D$1879,0)),0))</f>
        <v>1030.8586054268601</v>
      </c>
      <c r="G571" s="163">
        <f>SUMIFS(_PLAN_STG!$Q$2:$Q$1879,_PLAN_STG!$D$2:$D$1879,B571,_PLAN_STG!$B$2:$B$1879,"EQ",_PLAN_STG!$O$2:$O$1879,1)</f>
        <v>0</v>
      </c>
      <c r="H571" s="227"/>
      <c r="I571" s="226">
        <f>SUMPRODUCT((_PLAN_STG!$D$2:$D$1879=B571)*(_PLAN_STG!$B$2:$B$1879="EQ")*(_PLAN_STG!$O$2:$O$1879=1)*(_PLAN_STG!$P$2:$P$1879&gt;0))</f>
        <v>0</v>
      </c>
      <c r="J571" s="227"/>
    </row>
    <row r="572" spans="1:10" x14ac:dyDescent="0.35">
      <c r="A572" s="222" t="str">
        <f t="shared" si="13"/>
        <v/>
      </c>
      <c r="B572" s="223" t="s">
        <v>1872</v>
      </c>
      <c r="C572" s="224" t="str">
        <f>IFERROR(VLOOKUP(B572,EQUIPOS!$A:$B,2,FALSE()),IFERROR(INDEX(COMPOSICIÓN!$E$2:$E$1879,MATCH(B572,COMPOSICIÓN!$D$2:$D$1879,0)),""))</f>
        <v>Herramientas menores y consumibles - Aplicado de yeso</v>
      </c>
      <c r="D572" s="226">
        <f>IFERROR(VLOOKUP(B572,EQUIPOS!$A:$E,5,FALSE()),"")</f>
        <v>1</v>
      </c>
      <c r="E572" s="161">
        <f>SUMIFS(_PLAN_STG!$P$2:$P$1879,_PLAN_STG!$D$2:$D$1879,B572,_PLAN_STG!$B$2:$B$1879,"EQ",_PLAN_STG!$O$2:$O$1879,1)</f>
        <v>0</v>
      </c>
      <c r="F572" s="162">
        <f>IFERROR(VLOOKUP(B572,EQUIPOS!$A:$F,6,FALSE()),IFERROR(INDEX(COMPOSICIÓN!$I$2:$I$1879,MATCH(B572,COMPOSICIÓN!$D$2:$D$1879,0)),0))</f>
        <v>261.95176772476799</v>
      </c>
      <c r="G572" s="163">
        <f>SUMIFS(_PLAN_STG!$Q$2:$Q$1879,_PLAN_STG!$D$2:$D$1879,B572,_PLAN_STG!$B$2:$B$1879,"EQ",_PLAN_STG!$O$2:$O$1879,1)</f>
        <v>0</v>
      </c>
      <c r="H572" s="227"/>
      <c r="I572" s="226">
        <f>SUMPRODUCT((_PLAN_STG!$D$2:$D$1879=B572)*(_PLAN_STG!$B$2:$B$1879="EQ")*(_PLAN_STG!$O$2:$O$1879=1)*(_PLAN_STG!$P$2:$P$1879&gt;0))</f>
        <v>0</v>
      </c>
      <c r="J572" s="227"/>
    </row>
    <row r="573" spans="1:10" x14ac:dyDescent="0.35">
      <c r="A573" s="222" t="str">
        <f t="shared" si="13"/>
        <v/>
      </c>
      <c r="B573" s="223" t="s">
        <v>1878</v>
      </c>
      <c r="C573" s="224" t="str">
        <f>IFERROR(VLOOKUP(B573,EQUIPOS!$A:$B,2,FALSE()),IFERROR(INDEX(COMPOSICIÓN!$E$2:$E$1879,MATCH(B573,COMPOSICIÓN!$D$2:$D$1879,0)),""))</f>
        <v xml:space="preserve">Herramientas menores y consumibles - Cantonera / Cajón </v>
      </c>
      <c r="D573" s="226">
        <f>IFERROR(VLOOKUP(B573,EQUIPOS!$A:$E,5,FALSE()),"")</f>
        <v>1</v>
      </c>
      <c r="E573" s="161">
        <f>SUMIFS(_PLAN_STG!$P$2:$P$1879,_PLAN_STG!$D$2:$D$1879,B573,_PLAN_STG!$B$2:$B$1879,"EQ",_PLAN_STG!$O$2:$O$1879,1)</f>
        <v>0</v>
      </c>
      <c r="F573" s="162">
        <f>IFERROR(VLOOKUP(B573,EQUIPOS!$A:$F,6,FALSE()),IFERROR(INDEX(COMPOSICIÓN!$I$2:$I$1879,MATCH(B573,COMPOSICIÓN!$D$2:$D$1879,0)),0))</f>
        <v>167.02908274495101</v>
      </c>
      <c r="G573" s="163">
        <f>SUMIFS(_PLAN_STG!$Q$2:$Q$1879,_PLAN_STG!$D$2:$D$1879,B573,_PLAN_STG!$B$2:$B$1879,"EQ",_PLAN_STG!$O$2:$O$1879,1)</f>
        <v>0</v>
      </c>
      <c r="H573" s="227"/>
      <c r="I573" s="226">
        <f>SUMPRODUCT((_PLAN_STG!$D$2:$D$1879=B573)*(_PLAN_STG!$B$2:$B$1879="EQ")*(_PLAN_STG!$O$2:$O$1879=1)*(_PLAN_STG!$P$2:$P$1879&gt;0))</f>
        <v>0</v>
      </c>
      <c r="J573" s="227"/>
    </row>
    <row r="574" spans="1:10" x14ac:dyDescent="0.35">
      <c r="A574" s="222" t="str">
        <f t="shared" si="13"/>
        <v/>
      </c>
      <c r="B574" s="223" t="s">
        <v>1881</v>
      </c>
      <c r="C574" s="224" t="str">
        <f>IFERROR(VLOOKUP(B574,EQUIPOS!$A:$B,2,FALSE()),IFERROR(INDEX(COMPOSICIÓN!$E$2:$E$1879,MATCH(B574,COMPOSICIÓN!$D$2:$D$1879,0)),""))</f>
        <v>Herramientas menores y consumibles - Hormigon visto, maquillaje</v>
      </c>
      <c r="D574" s="226">
        <f>IFERROR(VLOOKUP(B574,EQUIPOS!$A:$E,5,FALSE()),"")</f>
        <v>1</v>
      </c>
      <c r="E574" s="161">
        <f>SUMIFS(_PLAN_STG!$P$2:$P$1879,_PLAN_STG!$D$2:$D$1879,B574,_PLAN_STG!$B$2:$B$1879,"EQ",_PLAN_STG!$O$2:$O$1879,1)</f>
        <v>0</v>
      </c>
      <c r="F574" s="162">
        <f>IFERROR(VLOOKUP(B574,EQUIPOS!$A:$F,6,FALSE()),IFERROR(INDEX(COMPOSICIÓN!$I$2:$I$1879,MATCH(B574,COMPOSICIÓN!$D$2:$D$1879,0)),0))</f>
        <v>59.159286192318298</v>
      </c>
      <c r="G574" s="163">
        <f>SUMIFS(_PLAN_STG!$Q$2:$Q$1879,_PLAN_STG!$D$2:$D$1879,B574,_PLAN_STG!$B$2:$B$1879,"EQ",_PLAN_STG!$O$2:$O$1879,1)</f>
        <v>0</v>
      </c>
      <c r="H574" s="227"/>
      <c r="I574" s="226">
        <f>SUMPRODUCT((_PLAN_STG!$D$2:$D$1879=B574)*(_PLAN_STG!$B$2:$B$1879="EQ")*(_PLAN_STG!$O$2:$O$1879=1)*(_PLAN_STG!$P$2:$P$1879&gt;0))</f>
        <v>0</v>
      </c>
      <c r="J574" s="227"/>
    </row>
    <row r="575" spans="1:10" x14ac:dyDescent="0.35">
      <c r="A575" s="222" t="str">
        <f t="shared" si="13"/>
        <v/>
      </c>
      <c r="B575" s="223" t="s">
        <v>1884</v>
      </c>
      <c r="C575" s="224" t="str">
        <f>IFERROR(VLOOKUP(B575,EQUIPOS!$A:$B,2,FALSE()),IFERROR(INDEX(COMPOSICIÓN!$E$2:$E$1879,MATCH(B575,COMPOSICIÓN!$D$2:$D$1879,0)),""))</f>
        <v xml:space="preserve">Herramientas menores y consumibles - Impermeabilizane de Hº, silicona transparente </v>
      </c>
      <c r="D575" s="226">
        <f>IFERROR(VLOOKUP(B575,EQUIPOS!$A:$E,5,FALSE()),"")</f>
        <v>1</v>
      </c>
      <c r="E575" s="161">
        <f>SUMIFS(_PLAN_STG!$P$2:$P$1879,_PLAN_STG!$D$2:$D$1879,B575,_PLAN_STG!$B$2:$B$1879,"EQ",_PLAN_STG!$O$2:$O$1879,1)</f>
        <v>0</v>
      </c>
      <c r="F575" s="162">
        <f>IFERROR(VLOOKUP(B575,EQUIPOS!$A:$F,6,FALSE()),IFERROR(INDEX(COMPOSICIÓN!$I$2:$I$1879,MATCH(B575,COMPOSICIÓN!$D$2:$D$1879,0)),0))</f>
        <v>190.21390119046501</v>
      </c>
      <c r="G575" s="163">
        <f>SUMIFS(_PLAN_STG!$Q$2:$Q$1879,_PLAN_STG!$D$2:$D$1879,B575,_PLAN_STG!$B$2:$B$1879,"EQ",_PLAN_STG!$O$2:$O$1879,1)</f>
        <v>0</v>
      </c>
      <c r="H575" s="227"/>
      <c r="I575" s="226">
        <f>SUMPRODUCT((_PLAN_STG!$D$2:$D$1879=B575)*(_PLAN_STG!$B$2:$B$1879="EQ")*(_PLAN_STG!$O$2:$O$1879=1)*(_PLAN_STG!$P$2:$P$1879&gt;0))</f>
        <v>0</v>
      </c>
      <c r="J575" s="227"/>
    </row>
    <row r="576" spans="1:10" x14ac:dyDescent="0.35">
      <c r="A576" s="222" t="str">
        <f t="shared" si="13"/>
        <v/>
      </c>
      <c r="B576" s="223" t="s">
        <v>1887</v>
      </c>
      <c r="C576" s="224" t="str">
        <f>IFERROR(VLOOKUP(B576,EQUIPOS!$A:$B,2,FALSE()),IFERROR(INDEX(COMPOSICIÓN!$E$2:$E$1879,MATCH(B576,COMPOSICIÓN!$D$2:$D$1879,0)),""))</f>
        <v>Herramientas menores y consumibles - Revestimiento tipo Tarquini hasta 3 m de altura</v>
      </c>
      <c r="D576" s="226">
        <f>IFERROR(VLOOKUP(B576,EQUIPOS!$A:$E,5,FALSE()),"")</f>
        <v>1</v>
      </c>
      <c r="E576" s="161">
        <f>SUMIFS(_PLAN_STG!$P$2:$P$1879,_PLAN_STG!$D$2:$D$1879,B576,_PLAN_STG!$B$2:$B$1879,"EQ",_PLAN_STG!$O$2:$O$1879,1)</f>
        <v>0</v>
      </c>
      <c r="F576" s="162">
        <f>IFERROR(VLOOKUP(B576,EQUIPOS!$A:$F,6,FALSE()),IFERROR(INDEX(COMPOSICIÓN!$I$2:$I$1879,MATCH(B576,COMPOSICIÓN!$D$2:$D$1879,0)),0))</f>
        <v>294.22469027430799</v>
      </c>
      <c r="G576" s="163">
        <f>SUMIFS(_PLAN_STG!$Q$2:$Q$1879,_PLAN_STG!$D$2:$D$1879,B576,_PLAN_STG!$B$2:$B$1879,"EQ",_PLAN_STG!$O$2:$O$1879,1)</f>
        <v>0</v>
      </c>
      <c r="H576" s="227"/>
      <c r="I576" s="226">
        <f>SUMPRODUCT((_PLAN_STG!$D$2:$D$1879=B576)*(_PLAN_STG!$B$2:$B$1879="EQ")*(_PLAN_STG!$O$2:$O$1879=1)*(_PLAN_STG!$P$2:$P$1879&gt;0))</f>
        <v>0</v>
      </c>
      <c r="J576" s="227"/>
    </row>
    <row r="577" spans="1:10" x14ac:dyDescent="0.35">
      <c r="A577" s="222" t="str">
        <f t="shared" si="13"/>
        <v/>
      </c>
      <c r="B577" s="223" t="s">
        <v>1890</v>
      </c>
      <c r="C577" s="224" t="str">
        <f>IFERROR(VLOOKUP(B577,EQUIPOS!$A:$B,2,FALSE()),IFERROR(INDEX(COMPOSICIÓN!$E$2:$E$1879,MATCH(B577,COMPOSICIÓN!$D$2:$D$1879,0)),""))</f>
        <v>Herramientas menores y consumibles - Revestimiento tipo Tarquini a mas de 3 m de altura</v>
      </c>
      <c r="D577" s="226">
        <f>IFERROR(VLOOKUP(B577,EQUIPOS!$A:$E,5,FALSE()),"")</f>
        <v>1</v>
      </c>
      <c r="E577" s="161">
        <f>SUMIFS(_PLAN_STG!$P$2:$P$1879,_PLAN_STG!$D$2:$D$1879,B577,_PLAN_STG!$B$2:$B$1879,"EQ",_PLAN_STG!$O$2:$O$1879,1)</f>
        <v>0</v>
      </c>
      <c r="F577" s="162">
        <f>IFERROR(VLOOKUP(B577,EQUIPOS!$A:$F,6,FALSE()),IFERROR(INDEX(COMPOSICIÓN!$I$2:$I$1879,MATCH(B577,COMPOSICIÓN!$D$2:$D$1879,0)),0))</f>
        <v>351.91456638403099</v>
      </c>
      <c r="G577" s="163">
        <f>SUMIFS(_PLAN_STG!$Q$2:$Q$1879,_PLAN_STG!$D$2:$D$1879,B577,_PLAN_STG!$B$2:$B$1879,"EQ",_PLAN_STG!$O$2:$O$1879,1)</f>
        <v>0</v>
      </c>
      <c r="H577" s="227"/>
      <c r="I577" s="226">
        <f>SUMPRODUCT((_PLAN_STG!$D$2:$D$1879=B577)*(_PLAN_STG!$B$2:$B$1879="EQ")*(_PLAN_STG!$O$2:$O$1879=1)*(_PLAN_STG!$P$2:$P$1879&gt;0))</f>
        <v>0</v>
      </c>
      <c r="J577" s="227"/>
    </row>
    <row r="578" spans="1:10" x14ac:dyDescent="0.35">
      <c r="A578" s="222" t="str">
        <f t="shared" si="13"/>
        <v/>
      </c>
      <c r="B578" s="223" t="s">
        <v>1893</v>
      </c>
      <c r="C578" s="224" t="str">
        <f>IFERROR(VLOOKUP(B578,EQUIPOS!$A:$B,2,FALSE()),IFERROR(INDEX(COMPOSICIÓN!$E$2:$E$1879,MATCH(B578,COMPOSICIÓN!$D$2:$D$1879,0)),""))</f>
        <v>Herramientas menores y consumibles - Franjas división cocheras</v>
      </c>
      <c r="D578" s="226">
        <f>IFERROR(VLOOKUP(B578,EQUIPOS!$A:$E,5,FALSE()),"")</f>
        <v>1</v>
      </c>
      <c r="E578" s="161">
        <f>SUMIFS(_PLAN_STG!$P$2:$P$1879,_PLAN_STG!$D$2:$D$1879,B578,_PLAN_STG!$B$2:$B$1879,"EQ",_PLAN_STG!$O$2:$O$1879,1)</f>
        <v>0</v>
      </c>
      <c r="F578" s="162">
        <f>IFERROR(VLOOKUP(B578,EQUIPOS!$A:$F,6,FALSE()),IFERROR(INDEX(COMPOSICIÓN!$I$2:$I$1879,MATCH(B578,COMPOSICIÓN!$D$2:$D$1879,0)),0))</f>
        <v>9813.9075956914803</v>
      </c>
      <c r="G578" s="163">
        <f>SUMIFS(_PLAN_STG!$Q$2:$Q$1879,_PLAN_STG!$D$2:$D$1879,B578,_PLAN_STG!$B$2:$B$1879,"EQ",_PLAN_STG!$O$2:$O$1879,1)</f>
        <v>0</v>
      </c>
      <c r="H578" s="227"/>
      <c r="I578" s="226">
        <f>SUMPRODUCT((_PLAN_STG!$D$2:$D$1879=B578)*(_PLAN_STG!$B$2:$B$1879="EQ")*(_PLAN_STG!$O$2:$O$1879=1)*(_PLAN_STG!$P$2:$P$1879&gt;0))</f>
        <v>0</v>
      </c>
      <c r="J578" s="227"/>
    </row>
    <row r="579" spans="1:10" x14ac:dyDescent="0.35">
      <c r="A579" s="222" t="str">
        <f t="shared" si="13"/>
        <v/>
      </c>
      <c r="B579" s="223" t="s">
        <v>1896</v>
      </c>
      <c r="C579" s="224" t="str">
        <f>IFERROR(VLOOKUP(B579,EQUIPOS!$A:$B,2,FALSE()),IFERROR(INDEX(COMPOSICIÓN!$E$2:$E$1879,MATCH(B579,COMPOSICIÓN!$D$2:$D$1879,0)),""))</f>
        <v xml:space="preserve">Herramientas menores y consumibles - Esmalte sintetico en puertas color bco. - Puertas </v>
      </c>
      <c r="D579" s="226">
        <f>IFERROR(VLOOKUP(B579,EQUIPOS!$A:$E,5,FALSE()),"")</f>
        <v>1</v>
      </c>
      <c r="E579" s="161">
        <f>SUMIFS(_PLAN_STG!$P$2:$P$1879,_PLAN_STG!$D$2:$D$1879,B579,_PLAN_STG!$B$2:$B$1879,"EQ",_PLAN_STG!$O$2:$O$1879,1)</f>
        <v>0</v>
      </c>
      <c r="F579" s="162">
        <f>IFERROR(VLOOKUP(B579,EQUIPOS!$A:$F,6,FALSE()),IFERROR(INDEX(COMPOSICIÓN!$I$2:$I$1879,MATCH(B579,COMPOSICIÓN!$D$2:$D$1879,0)),0))</f>
        <v>924.64231650722797</v>
      </c>
      <c r="G579" s="163">
        <f>SUMIFS(_PLAN_STG!$Q$2:$Q$1879,_PLAN_STG!$D$2:$D$1879,B579,_PLAN_STG!$B$2:$B$1879,"EQ",_PLAN_STG!$O$2:$O$1879,1)</f>
        <v>0</v>
      </c>
      <c r="H579" s="227"/>
      <c r="I579" s="226">
        <f>SUMPRODUCT((_PLAN_STG!$D$2:$D$1879=B579)*(_PLAN_STG!$B$2:$B$1879="EQ")*(_PLAN_STG!$O$2:$O$1879=1)*(_PLAN_STG!$P$2:$P$1879&gt;0))</f>
        <v>0</v>
      </c>
      <c r="J579" s="227"/>
    </row>
    <row r="580" spans="1:10" x14ac:dyDescent="0.35">
      <c r="A580" s="222" t="str">
        <f t="shared" si="13"/>
        <v/>
      </c>
      <c r="B580" s="223" t="s">
        <v>1899</v>
      </c>
      <c r="C580" s="224" t="str">
        <f>IFERROR(VLOOKUP(B580,EQUIPOS!$A:$B,2,FALSE()),IFERROR(INDEX(COMPOSICIÓN!$E$2:$E$1879,MATCH(B580,COMPOSICIÓN!$D$2:$D$1879,0)),""))</f>
        <v>Herramientas menores y consumibles - Esmalte sintético convertidor antioxido color negr</v>
      </c>
      <c r="D580" s="226">
        <f>IFERROR(VLOOKUP(B580,EQUIPOS!$A:$E,5,FALSE()),"")</f>
        <v>1</v>
      </c>
      <c r="E580" s="161">
        <f>SUMIFS(_PLAN_STG!$P$2:$P$1879,_PLAN_STG!$D$2:$D$1879,B580,_PLAN_STG!$B$2:$B$1879,"EQ",_PLAN_STG!$O$2:$O$1879,1)</f>
        <v>0</v>
      </c>
      <c r="F580" s="162">
        <f>IFERROR(VLOOKUP(B580,EQUIPOS!$A:$F,6,FALSE()),IFERROR(INDEX(COMPOSICIÓN!$I$2:$I$1879,MATCH(B580,COMPOSICIÓN!$D$2:$D$1879,0)),0))</f>
        <v>47531.971299682802</v>
      </c>
      <c r="G580" s="163">
        <f>SUMIFS(_PLAN_STG!$Q$2:$Q$1879,_PLAN_STG!$D$2:$D$1879,B580,_PLAN_STG!$B$2:$B$1879,"EQ",_PLAN_STG!$O$2:$O$1879,1)</f>
        <v>0</v>
      </c>
      <c r="H580" s="227"/>
      <c r="I580" s="226">
        <f>SUMPRODUCT((_PLAN_STG!$D$2:$D$1879=B580)*(_PLAN_STG!$B$2:$B$1879="EQ")*(_PLAN_STG!$O$2:$O$1879=1)*(_PLAN_STG!$P$2:$P$1879&gt;0))</f>
        <v>0</v>
      </c>
      <c r="J580" s="227"/>
    </row>
    <row r="581" spans="1:10" x14ac:dyDescent="0.35">
      <c r="A581" s="222" t="str">
        <f t="shared" si="13"/>
        <v/>
      </c>
      <c r="B581" s="223" t="s">
        <v>1923</v>
      </c>
      <c r="C581" s="224" t="str">
        <f>IFERROR(VLOOKUP(B581,EQUIPOS!$A:$B,2,FALSE()),IFERROR(INDEX(COMPOSICIÓN!$E$2:$E$1879,MATCH(B581,COMPOSICIÓN!$D$2:$D$1879,0)),""))</f>
        <v>Herramientas menores y consumibles - Colocación de sensor de movimiento - Provisión a c</v>
      </c>
      <c r="D581" s="226">
        <f>IFERROR(VLOOKUP(B581,EQUIPOS!$A:$E,5,FALSE()),"")</f>
        <v>1</v>
      </c>
      <c r="E581" s="161">
        <f>SUMIFS(_PLAN_STG!$P$2:$P$1879,_PLAN_STG!$D$2:$D$1879,B581,_PLAN_STG!$B$2:$B$1879,"EQ",_PLAN_STG!$O$2:$O$1879,1)</f>
        <v>0</v>
      </c>
      <c r="F581" s="162">
        <f>IFERROR(VLOOKUP(B581,EQUIPOS!$A:$F,6,FALSE()),IFERROR(INDEX(COMPOSICIÓN!$I$2:$I$1879,MATCH(B581,COMPOSICIÓN!$D$2:$D$1879,0)),0))</f>
        <v>177.24</v>
      </c>
      <c r="G581" s="163">
        <f>SUMIFS(_PLAN_STG!$Q$2:$Q$1879,_PLAN_STG!$D$2:$D$1879,B581,_PLAN_STG!$B$2:$B$1879,"EQ",_PLAN_STG!$O$2:$O$1879,1)</f>
        <v>0</v>
      </c>
      <c r="H581" s="227"/>
      <c r="I581" s="226">
        <f>SUMPRODUCT((_PLAN_STG!$D$2:$D$1879=B581)*(_PLAN_STG!$B$2:$B$1879="EQ")*(_PLAN_STG!$O$2:$O$1879=1)*(_PLAN_STG!$P$2:$P$1879&gt;0))</f>
        <v>0</v>
      </c>
      <c r="J581" s="227"/>
    </row>
    <row r="582" spans="1:10" x14ac:dyDescent="0.35">
      <c r="A582" s="222" t="str">
        <f t="shared" si="13"/>
        <v/>
      </c>
      <c r="B582" s="223" t="s">
        <v>1926</v>
      </c>
      <c r="C582" s="224" t="str">
        <f>IFERROR(VLOOKUP(B582,EQUIPOS!$A:$B,2,FALSE()),IFERROR(INDEX(COMPOSICIÓN!$E$2:$E$1879,MATCH(B582,COMPOSICIÓN!$D$2:$D$1879,0)),""))</f>
        <v>Herramientas menores y consumibles - Colocación de teclas simples y/o combinadas, pulsa</v>
      </c>
      <c r="D582" s="226">
        <f>IFERROR(VLOOKUP(B582,EQUIPOS!$A:$E,5,FALSE()),"")</f>
        <v>1</v>
      </c>
      <c r="E582" s="161">
        <f>SUMIFS(_PLAN_STG!$P$2:$P$1879,_PLAN_STG!$D$2:$D$1879,B582,_PLAN_STG!$B$2:$B$1879,"EQ",_PLAN_STG!$O$2:$O$1879,1)</f>
        <v>0</v>
      </c>
      <c r="F582" s="162">
        <f>IFERROR(VLOOKUP(B582,EQUIPOS!$A:$F,6,FALSE()),IFERROR(INDEX(COMPOSICIÓN!$I$2:$I$1879,MATCH(B582,COMPOSICIÓN!$D$2:$D$1879,0)),0))</f>
        <v>115.5</v>
      </c>
      <c r="G582" s="163">
        <f>SUMIFS(_PLAN_STG!$Q$2:$Q$1879,_PLAN_STG!$D$2:$D$1879,B582,_PLAN_STG!$B$2:$B$1879,"EQ",_PLAN_STG!$O$2:$O$1879,1)</f>
        <v>0</v>
      </c>
      <c r="H582" s="227"/>
      <c r="I582" s="226">
        <f>SUMPRODUCT((_PLAN_STG!$D$2:$D$1879=B582)*(_PLAN_STG!$B$2:$B$1879="EQ")*(_PLAN_STG!$O$2:$O$1879=1)*(_PLAN_STG!$P$2:$P$1879&gt;0))</f>
        <v>0</v>
      </c>
      <c r="J582" s="227"/>
    </row>
    <row r="583" spans="1:10" x14ac:dyDescent="0.35">
      <c r="A583" s="222" t="str">
        <f t="shared" si="13"/>
        <v/>
      </c>
      <c r="B583" s="223" t="s">
        <v>1929</v>
      </c>
      <c r="C583" s="224" t="str">
        <f>IFERROR(VLOOKUP(B583,EQUIPOS!$A:$B,2,FALSE()),IFERROR(INDEX(COMPOSICIÓN!$E$2:$E$1879,MATCH(B583,COMPOSICIÓN!$D$2:$D$1879,0)),""))</f>
        <v xml:space="preserve">Herramientas menores y consumibles - Colocación de tomas simples/dobles/encapsulados - </v>
      </c>
      <c r="D583" s="226">
        <f>IFERROR(VLOOKUP(B583,EQUIPOS!$A:$E,5,FALSE()),"")</f>
        <v>1</v>
      </c>
      <c r="E583" s="161">
        <f>SUMIFS(_PLAN_STG!$P$2:$P$1879,_PLAN_STG!$D$2:$D$1879,B583,_PLAN_STG!$B$2:$B$1879,"EQ",_PLAN_STG!$O$2:$O$1879,1)</f>
        <v>0</v>
      </c>
      <c r="F583" s="162">
        <f>IFERROR(VLOOKUP(B583,EQUIPOS!$A:$F,6,FALSE()),IFERROR(INDEX(COMPOSICIÓN!$I$2:$I$1879,MATCH(B583,COMPOSICIÓN!$D$2:$D$1879,0)),0))</f>
        <v>115.5</v>
      </c>
      <c r="G583" s="163">
        <f>SUMIFS(_PLAN_STG!$Q$2:$Q$1879,_PLAN_STG!$D$2:$D$1879,B583,_PLAN_STG!$B$2:$B$1879,"EQ",_PLAN_STG!$O$2:$O$1879,1)</f>
        <v>0</v>
      </c>
      <c r="H583" s="227"/>
      <c r="I583" s="226">
        <f>SUMPRODUCT((_PLAN_STG!$D$2:$D$1879=B583)*(_PLAN_STG!$B$2:$B$1879="EQ")*(_PLAN_STG!$O$2:$O$1879=1)*(_PLAN_STG!$P$2:$P$1879&gt;0))</f>
        <v>0</v>
      </c>
      <c r="J583" s="227"/>
    </row>
    <row r="584" spans="1:10" x14ac:dyDescent="0.35">
      <c r="A584" s="222" t="str">
        <f t="shared" si="13"/>
        <v/>
      </c>
      <c r="B584" s="223" t="s">
        <v>1932</v>
      </c>
      <c r="C584" s="224" t="str">
        <f>IFERROR(VLOOKUP(B584,EQUIPOS!$A:$B,2,FALSE()),IFERROR(INDEX(COMPOSICIÓN!$E$2:$E$1879,MATCH(B584,COMPOSICIÓN!$D$2:$D$1879,0)),""))</f>
        <v xml:space="preserve">Herramientas menores y consumibles - Colocación de campanilla/zumbadores - Provisión a </v>
      </c>
      <c r="D584" s="226">
        <f>IFERROR(VLOOKUP(B584,EQUIPOS!$A:$E,5,FALSE()),"")</f>
        <v>1</v>
      </c>
      <c r="E584" s="161">
        <f>SUMIFS(_PLAN_STG!$P$2:$P$1879,_PLAN_STG!$D$2:$D$1879,B584,_PLAN_STG!$B$2:$B$1879,"EQ",_PLAN_STG!$O$2:$O$1879,1)</f>
        <v>0</v>
      </c>
      <c r="F584" s="162">
        <f>IFERROR(VLOOKUP(B584,EQUIPOS!$A:$F,6,FALSE()),IFERROR(INDEX(COMPOSICIÓN!$I$2:$I$1879,MATCH(B584,COMPOSICIÓN!$D$2:$D$1879,0)),0))</f>
        <v>281.39999999999998</v>
      </c>
      <c r="G584" s="163">
        <f>SUMIFS(_PLAN_STG!$Q$2:$Q$1879,_PLAN_STG!$D$2:$D$1879,B584,_PLAN_STG!$B$2:$B$1879,"EQ",_PLAN_STG!$O$2:$O$1879,1)</f>
        <v>0</v>
      </c>
      <c r="H584" s="227"/>
      <c r="I584" s="226">
        <f>SUMPRODUCT((_PLAN_STG!$D$2:$D$1879=B584)*(_PLAN_STG!$B$2:$B$1879="EQ")*(_PLAN_STG!$O$2:$O$1879=1)*(_PLAN_STG!$P$2:$P$1879&gt;0))</f>
        <v>0</v>
      </c>
      <c r="J584" s="227"/>
    </row>
    <row r="585" spans="1:10" x14ac:dyDescent="0.35">
      <c r="A585" s="222" t="str">
        <f t="shared" si="13"/>
        <v/>
      </c>
      <c r="B585" s="223" t="s">
        <v>1935</v>
      </c>
      <c r="C585" s="224" t="str">
        <f>IFERROR(VLOOKUP(B585,EQUIPOS!$A:$B,2,FALSE()),IFERROR(INDEX(COMPOSICIÓN!$E$2:$E$1879,MATCH(B585,COMPOSICIÓN!$D$2:$D$1879,0)),""))</f>
        <v>Herramientas menores y consumibles - Colocación de extractor de baño - Provisión a carg</v>
      </c>
      <c r="D585" s="226">
        <f>IFERROR(VLOOKUP(B585,EQUIPOS!$A:$E,5,FALSE()),"")</f>
        <v>1</v>
      </c>
      <c r="E585" s="161">
        <f>SUMIFS(_PLAN_STG!$P$2:$P$1879,_PLAN_STG!$D$2:$D$1879,B585,_PLAN_STG!$B$2:$B$1879,"EQ",_PLAN_STG!$O$2:$O$1879,1)</f>
        <v>0</v>
      </c>
      <c r="F585" s="162">
        <f>IFERROR(VLOOKUP(B585,EQUIPOS!$A:$F,6,FALSE()),IFERROR(INDEX(COMPOSICIÓN!$I$2:$I$1879,MATCH(B585,COMPOSICIÓN!$D$2:$D$1879,0)),0))</f>
        <v>1032.1500000000001</v>
      </c>
      <c r="G585" s="163">
        <f>SUMIFS(_PLAN_STG!$Q$2:$Q$1879,_PLAN_STG!$D$2:$D$1879,B585,_PLAN_STG!$B$2:$B$1879,"EQ",_PLAN_STG!$O$2:$O$1879,1)</f>
        <v>0</v>
      </c>
      <c r="H585" s="227"/>
      <c r="I585" s="226">
        <f>SUMPRODUCT((_PLAN_STG!$D$2:$D$1879=B585)*(_PLAN_STG!$B$2:$B$1879="EQ")*(_PLAN_STG!$O$2:$O$1879=1)*(_PLAN_STG!$P$2:$P$1879&gt;0))</f>
        <v>0</v>
      </c>
      <c r="J585" s="227"/>
    </row>
    <row r="586" spans="1:10" x14ac:dyDescent="0.35">
      <c r="A586" s="222" t="str">
        <f t="shared" si="13"/>
        <v/>
      </c>
      <c r="B586" s="223" t="s">
        <v>1938</v>
      </c>
      <c r="C586" s="224" t="str">
        <f>IFERROR(VLOOKUP(B586,EQUIPOS!$A:$B,2,FALSE()),IFERROR(INDEX(COMPOSICIÓN!$E$2:$E$1879,MATCH(B586,COMPOSICIÓN!$D$2:$D$1879,0)),""))</f>
        <v>Herramientas menores y consumibles - Colocación de luz de emergencia - Provisión a carg</v>
      </c>
      <c r="D586" s="226">
        <f>IFERROR(VLOOKUP(B586,EQUIPOS!$A:$E,5,FALSE()),"")</f>
        <v>1</v>
      </c>
      <c r="E586" s="161">
        <f>SUMIFS(_PLAN_STG!$P$2:$P$1879,_PLAN_STG!$D$2:$D$1879,B586,_PLAN_STG!$B$2:$B$1879,"EQ",_PLAN_STG!$O$2:$O$1879,1)</f>
        <v>0</v>
      </c>
      <c r="F586" s="162">
        <f>IFERROR(VLOOKUP(B586,EQUIPOS!$A:$F,6,FALSE()),IFERROR(INDEX(COMPOSICIÓN!$I$2:$I$1879,MATCH(B586,COMPOSICIÓN!$D$2:$D$1879,0)),0))</f>
        <v>281.39999999999998</v>
      </c>
      <c r="G586" s="163">
        <f>SUMIFS(_PLAN_STG!$Q$2:$Q$1879,_PLAN_STG!$D$2:$D$1879,B586,_PLAN_STG!$B$2:$B$1879,"EQ",_PLAN_STG!$O$2:$O$1879,1)</f>
        <v>0</v>
      </c>
      <c r="H586" s="227"/>
      <c r="I586" s="226">
        <f>SUMPRODUCT((_PLAN_STG!$D$2:$D$1879=B586)*(_PLAN_STG!$B$2:$B$1879="EQ")*(_PLAN_STG!$O$2:$O$1879=1)*(_PLAN_STG!$P$2:$P$1879&gt;0))</f>
        <v>0</v>
      </c>
      <c r="J586" s="227"/>
    </row>
    <row r="587" spans="1:10" x14ac:dyDescent="0.35">
      <c r="A587" s="222" t="str">
        <f t="shared" si="13"/>
        <v/>
      </c>
      <c r="B587" s="223" t="s">
        <v>1941</v>
      </c>
      <c r="C587" s="224" t="str">
        <f>IFERROR(VLOOKUP(B587,EQUIPOS!$A:$B,2,FALSE()),IFERROR(INDEX(COMPOSICIÓN!$E$2:$E$1879,MATCH(B587,COMPOSICIÓN!$D$2:$D$1879,0)),""))</f>
        <v>Herramientas menores y consumibles - Colocación de semáforo - Provisión a cargo del com</v>
      </c>
      <c r="D587" s="226">
        <f>IFERROR(VLOOKUP(B587,EQUIPOS!$A:$E,5,FALSE()),"")</f>
        <v>1</v>
      </c>
      <c r="E587" s="161">
        <f>SUMIFS(_PLAN_STG!$P$2:$P$1879,_PLAN_STG!$D$2:$D$1879,B587,_PLAN_STG!$B$2:$B$1879,"EQ",_PLAN_STG!$O$2:$O$1879,1)</f>
        <v>0</v>
      </c>
      <c r="F587" s="162">
        <f>IFERROR(VLOOKUP(B587,EQUIPOS!$A:$F,6,FALSE()),IFERROR(INDEX(COMPOSICIÓN!$I$2:$I$1879,MATCH(B587,COMPOSICIÓN!$D$2:$D$1879,0)),0))</f>
        <v>281.39999999999998</v>
      </c>
      <c r="G587" s="163">
        <f>SUMIFS(_PLAN_STG!$Q$2:$Q$1879,_PLAN_STG!$D$2:$D$1879,B587,_PLAN_STG!$B$2:$B$1879,"EQ",_PLAN_STG!$O$2:$O$1879,1)</f>
        <v>0</v>
      </c>
      <c r="H587" s="227"/>
      <c r="I587" s="226">
        <f>SUMPRODUCT((_PLAN_STG!$D$2:$D$1879=B587)*(_PLAN_STG!$B$2:$B$1879="EQ")*(_PLAN_STG!$O$2:$O$1879=1)*(_PLAN_STG!$P$2:$P$1879&gt;0))</f>
        <v>0</v>
      </c>
      <c r="J587" s="227"/>
    </row>
    <row r="588" spans="1:10" x14ac:dyDescent="0.35">
      <c r="A588" s="222" t="str">
        <f t="shared" si="13"/>
        <v/>
      </c>
      <c r="B588" s="223" t="s">
        <v>1944</v>
      </c>
      <c r="C588" s="224" t="str">
        <f>IFERROR(VLOOKUP(B588,EQUIPOS!$A:$B,2,FALSE()),IFERROR(INDEX(COMPOSICIÓN!$E$2:$E$1879,MATCH(B588,COMPOSICIÓN!$D$2:$D$1879,0)),""))</f>
        <v>Herramientas menores y consumibles - Colocación artefactos en espacios comunes y balcon</v>
      </c>
      <c r="D588" s="226">
        <f>IFERROR(VLOOKUP(B588,EQUIPOS!$A:$E,5,FALSE()),"")</f>
        <v>1</v>
      </c>
      <c r="E588" s="161">
        <f>SUMIFS(_PLAN_STG!$P$2:$P$1879,_PLAN_STG!$D$2:$D$1879,B588,_PLAN_STG!$B$2:$B$1879,"EQ",_PLAN_STG!$O$2:$O$1879,1)</f>
        <v>0</v>
      </c>
      <c r="F588" s="162">
        <f>IFERROR(VLOOKUP(B588,EQUIPOS!$A:$F,6,FALSE()),IFERROR(INDEX(COMPOSICIÓN!$I$2:$I$1879,MATCH(B588,COMPOSICIÓN!$D$2:$D$1879,0)),0))</f>
        <v>177.24</v>
      </c>
      <c r="G588" s="163">
        <f>SUMIFS(_PLAN_STG!$Q$2:$Q$1879,_PLAN_STG!$D$2:$D$1879,B588,_PLAN_STG!$B$2:$B$1879,"EQ",_PLAN_STG!$O$2:$O$1879,1)</f>
        <v>0</v>
      </c>
      <c r="H588" s="227"/>
      <c r="I588" s="226">
        <f>SUMPRODUCT((_PLAN_STG!$D$2:$D$1879=B588)*(_PLAN_STG!$B$2:$B$1879="EQ")*(_PLAN_STG!$O$2:$O$1879=1)*(_PLAN_STG!$P$2:$P$1879&gt;0))</f>
        <v>0</v>
      </c>
      <c r="J588" s="227"/>
    </row>
    <row r="589" spans="1:10" x14ac:dyDescent="0.35">
      <c r="A589" s="222" t="str">
        <f t="shared" si="13"/>
        <v/>
      </c>
      <c r="B589" s="223" t="s">
        <v>1953</v>
      </c>
      <c r="C589" s="224" t="str">
        <f>IFERROR(VLOOKUP(B589,EQUIPOS!$A:$B,2,FALSE()),IFERROR(INDEX(COMPOSICIÓN!$E$2:$E$1879,MATCH(B589,COMPOSICIÓN!$D$2:$D$1879,0)),""))</f>
        <v>Herramientas menores y consumibles - Tendido caño cloacal en planta baja</v>
      </c>
      <c r="D589" s="226">
        <f>IFERROR(VLOOKUP(B589,EQUIPOS!$A:$E,5,FALSE()),"")</f>
        <v>1</v>
      </c>
      <c r="E589" s="161">
        <f>SUMIFS(_PLAN_STG!$P$2:$P$1879,_PLAN_STG!$D$2:$D$1879,B589,_PLAN_STG!$B$2:$B$1879,"EQ",_PLAN_STG!$O$2:$O$1879,1)</f>
        <v>0</v>
      </c>
      <c r="F589" s="162">
        <f>IFERROR(VLOOKUP(B589,EQUIPOS!$A:$F,6,FALSE()),IFERROR(INDEX(COMPOSICIÓN!$I$2:$I$1879,MATCH(B589,COMPOSICIÓN!$D$2:$D$1879,0)),0))</f>
        <v>75335.457966240298</v>
      </c>
      <c r="G589" s="163">
        <f>SUMIFS(_PLAN_STG!$Q$2:$Q$1879,_PLAN_STG!$D$2:$D$1879,B589,_PLAN_STG!$B$2:$B$1879,"EQ",_PLAN_STG!$O$2:$O$1879,1)</f>
        <v>0</v>
      </c>
      <c r="H589" s="227"/>
      <c r="I589" s="226">
        <f>SUMPRODUCT((_PLAN_STG!$D$2:$D$1879=B589)*(_PLAN_STG!$B$2:$B$1879="EQ")*(_PLAN_STG!$O$2:$O$1879=1)*(_PLAN_STG!$P$2:$P$1879&gt;0))</f>
        <v>0</v>
      </c>
      <c r="J589" s="227"/>
    </row>
    <row r="590" spans="1:10" x14ac:dyDescent="0.35">
      <c r="A590" s="222" t="str">
        <f t="shared" si="13"/>
        <v/>
      </c>
      <c r="B590" s="223" t="s">
        <v>1956</v>
      </c>
      <c r="C590" s="224" t="str">
        <f>IFERROR(VLOOKUP(B590,EQUIPOS!$A:$B,2,FALSE()),IFERROR(INDEX(COMPOSICIÓN!$E$2:$E$1879,MATCH(B590,COMPOSICIÓN!$D$2:$D$1879,0)),""))</f>
        <v>Herramientas menores y consumibles - Por armar CDV en planta tipo</v>
      </c>
      <c r="D590" s="226">
        <f>IFERROR(VLOOKUP(B590,EQUIPOS!$A:$E,5,FALSE()),"")</f>
        <v>1</v>
      </c>
      <c r="E590" s="161">
        <f>SUMIFS(_PLAN_STG!$P$2:$P$1879,_PLAN_STG!$D$2:$D$1879,B590,_PLAN_STG!$B$2:$B$1879,"EQ",_PLAN_STG!$O$2:$O$1879,1)</f>
        <v>0</v>
      </c>
      <c r="F590" s="162">
        <f>IFERROR(VLOOKUP(B590,EQUIPOS!$A:$F,6,FALSE()),IFERROR(INDEX(COMPOSICIÓN!$I$2:$I$1879,MATCH(B590,COMPOSICIÓN!$D$2:$D$1879,0)),0))</f>
        <v>105926.51424973601</v>
      </c>
      <c r="G590" s="163">
        <f>SUMIFS(_PLAN_STG!$Q$2:$Q$1879,_PLAN_STG!$D$2:$D$1879,B590,_PLAN_STG!$B$2:$B$1879,"EQ",_PLAN_STG!$O$2:$O$1879,1)</f>
        <v>0</v>
      </c>
      <c r="H590" s="227"/>
      <c r="I590" s="226">
        <f>SUMPRODUCT((_PLAN_STG!$D$2:$D$1879=B590)*(_PLAN_STG!$B$2:$B$1879="EQ")*(_PLAN_STG!$O$2:$O$1879=1)*(_PLAN_STG!$P$2:$P$1879&gt;0))</f>
        <v>0</v>
      </c>
      <c r="J590" s="227"/>
    </row>
    <row r="591" spans="1:10" x14ac:dyDescent="0.35">
      <c r="A591" s="222" t="str">
        <f t="shared" si="13"/>
        <v/>
      </c>
      <c r="B591" s="223" t="s">
        <v>1959</v>
      </c>
      <c r="C591" s="224" t="str">
        <f>IFERROR(VLOOKUP(B591,EQUIPOS!$A:$B,2,FALSE()),IFERROR(INDEX(COMPOSICIÓN!$E$2:$E$1879,MATCH(B591,COMPOSICIÓN!$D$2:$D$1879,0)),""))</f>
        <v>Herramientas menores y consumibles - Montantes, remate y ventilación a los 4 vientos</v>
      </c>
      <c r="D591" s="226">
        <f>IFERROR(VLOOKUP(B591,EQUIPOS!$A:$E,5,FALSE()),"")</f>
        <v>1</v>
      </c>
      <c r="E591" s="161">
        <f>SUMIFS(_PLAN_STG!$P$2:$P$1879,_PLAN_STG!$D$2:$D$1879,B591,_PLAN_STG!$B$2:$B$1879,"EQ",_PLAN_STG!$O$2:$O$1879,1)</f>
        <v>0</v>
      </c>
      <c r="F591" s="162">
        <f>IFERROR(VLOOKUP(B591,EQUIPOS!$A:$F,6,FALSE()),IFERROR(INDEX(COMPOSICIÓN!$I$2:$I$1879,MATCH(B591,COMPOSICIÓN!$D$2:$D$1879,0)),0))</f>
        <v>54130.281672325298</v>
      </c>
      <c r="G591" s="163">
        <f>SUMIFS(_PLAN_STG!$Q$2:$Q$1879,_PLAN_STG!$D$2:$D$1879,B591,_PLAN_STG!$B$2:$B$1879,"EQ",_PLAN_STG!$O$2:$O$1879,1)</f>
        <v>0</v>
      </c>
      <c r="H591" s="227"/>
      <c r="I591" s="226">
        <f>SUMPRODUCT((_PLAN_STG!$D$2:$D$1879=B591)*(_PLAN_STG!$B$2:$B$1879="EQ")*(_PLAN_STG!$O$2:$O$1879=1)*(_PLAN_STG!$P$2:$P$1879&gt;0))</f>
        <v>0</v>
      </c>
      <c r="J591" s="227"/>
    </row>
    <row r="592" spans="1:10" x14ac:dyDescent="0.35">
      <c r="A592" s="222" t="str">
        <f t="shared" si="13"/>
        <v/>
      </c>
      <c r="B592" s="223" t="s">
        <v>1962</v>
      </c>
      <c r="C592" s="224" t="str">
        <f>IFERROR(VLOOKUP(B592,EQUIPOS!$A:$B,2,FALSE()),IFERROR(INDEX(COMPOSICIÓN!$E$2:$E$1879,MATCH(B592,COMPOSICIÓN!$D$2:$D$1879,0)),""))</f>
        <v xml:space="preserve">Herramientas menores y consumibles - Tendido caño pluvial en planta baja </v>
      </c>
      <c r="D592" s="226">
        <f>IFERROR(VLOOKUP(B592,EQUIPOS!$A:$E,5,FALSE()),"")</f>
        <v>1</v>
      </c>
      <c r="E592" s="161">
        <f>SUMIFS(_PLAN_STG!$P$2:$P$1879,_PLAN_STG!$D$2:$D$1879,B592,_PLAN_STG!$B$2:$B$1879,"EQ",_PLAN_STG!$O$2:$O$1879,1)</f>
        <v>0</v>
      </c>
      <c r="F592" s="162">
        <f>IFERROR(VLOOKUP(B592,EQUIPOS!$A:$F,6,FALSE()),IFERROR(INDEX(COMPOSICIÓN!$I$2:$I$1879,MATCH(B592,COMPOSICIÓN!$D$2:$D$1879,0)),0))</f>
        <v>27462.429620301798</v>
      </c>
      <c r="G592" s="163">
        <f>SUMIFS(_PLAN_STG!$Q$2:$Q$1879,_PLAN_STG!$D$2:$D$1879,B592,_PLAN_STG!$B$2:$B$1879,"EQ",_PLAN_STG!$O$2:$O$1879,1)</f>
        <v>0</v>
      </c>
      <c r="H592" s="227"/>
      <c r="I592" s="226">
        <f>SUMPRODUCT((_PLAN_STG!$D$2:$D$1879=B592)*(_PLAN_STG!$B$2:$B$1879="EQ")*(_PLAN_STG!$O$2:$O$1879=1)*(_PLAN_STG!$P$2:$P$1879&gt;0))</f>
        <v>0</v>
      </c>
      <c r="J592" s="227"/>
    </row>
    <row r="593" spans="1:10" x14ac:dyDescent="0.35">
      <c r="A593" s="222" t="str">
        <f t="shared" si="13"/>
        <v/>
      </c>
      <c r="B593" s="223" t="s">
        <v>1965</v>
      </c>
      <c r="C593" s="224" t="str">
        <f>IFERROR(VLOOKUP(B593,EQUIPOS!$A:$B,2,FALSE()),IFERROR(INDEX(COMPOSICIÓN!$E$2:$E$1879,MATCH(B593,COMPOSICIÓN!$D$2:$D$1879,0)),""))</f>
        <v>Herramientas menores y consumibles - Tendido caño pluvial por pisos</v>
      </c>
      <c r="D593" s="226">
        <f>IFERROR(VLOOKUP(B593,EQUIPOS!$A:$E,5,FALSE()),"")</f>
        <v>1</v>
      </c>
      <c r="E593" s="161">
        <f>SUMIFS(_PLAN_STG!$P$2:$P$1879,_PLAN_STG!$D$2:$D$1879,B593,_PLAN_STG!$B$2:$B$1879,"EQ",_PLAN_STG!$O$2:$O$1879,1)</f>
        <v>0</v>
      </c>
      <c r="F593" s="162">
        <f>IFERROR(VLOOKUP(B593,EQUIPOS!$A:$F,6,FALSE()),IFERROR(INDEX(COMPOSICIÓN!$I$2:$I$1879,MATCH(B593,COMPOSICIÓN!$D$2:$D$1879,0)),0))</f>
        <v>39232.042314716797</v>
      </c>
      <c r="G593" s="163">
        <f>SUMIFS(_PLAN_STG!$Q$2:$Q$1879,_PLAN_STG!$D$2:$D$1879,B593,_PLAN_STG!$B$2:$B$1879,"EQ",_PLAN_STG!$O$2:$O$1879,1)</f>
        <v>0</v>
      </c>
      <c r="H593" s="227"/>
      <c r="I593" s="226">
        <f>SUMPRODUCT((_PLAN_STG!$D$2:$D$1879=B593)*(_PLAN_STG!$B$2:$B$1879="EQ")*(_PLAN_STG!$O$2:$O$1879=1)*(_PLAN_STG!$P$2:$P$1879&gt;0))</f>
        <v>0</v>
      </c>
      <c r="J593" s="227"/>
    </row>
    <row r="594" spans="1:10" x14ac:dyDescent="0.35">
      <c r="A594" s="222" t="str">
        <f t="shared" si="13"/>
        <v/>
      </c>
      <c r="B594" s="223" t="s">
        <v>1968</v>
      </c>
      <c r="C594" s="224" t="str">
        <f>IFERROR(VLOOKUP(B594,EQUIPOS!$A:$B,2,FALSE()),IFERROR(INDEX(COMPOSICIÓN!$E$2:$E$1879,MATCH(B594,COMPOSICIÓN!$D$2:$D$1879,0)),""))</f>
        <v>Herramientas menores y consumibles - Instalación tanque de recupero y bombeo pluvial</v>
      </c>
      <c r="D594" s="226">
        <f>IFERROR(VLOOKUP(B594,EQUIPOS!$A:$E,5,FALSE()),"")</f>
        <v>1</v>
      </c>
      <c r="E594" s="161">
        <f>SUMIFS(_PLAN_STG!$P$2:$P$1879,_PLAN_STG!$D$2:$D$1879,B594,_PLAN_STG!$B$2:$B$1879,"EQ",_PLAN_STG!$O$2:$O$1879,1)</f>
        <v>0</v>
      </c>
      <c r="F594" s="162">
        <f>IFERROR(VLOOKUP(B594,EQUIPOS!$A:$F,6,FALSE()),IFERROR(INDEX(COMPOSICIÓN!$I$2:$I$1879,MATCH(B594,COMPOSICIÓN!$D$2:$D$1879,0)),0))</f>
        <v>11769.6126944151</v>
      </c>
      <c r="G594" s="163">
        <f>SUMIFS(_PLAN_STG!$Q$2:$Q$1879,_PLAN_STG!$D$2:$D$1879,B594,_PLAN_STG!$B$2:$B$1879,"EQ",_PLAN_STG!$O$2:$O$1879,1)</f>
        <v>0</v>
      </c>
      <c r="H594" s="227"/>
      <c r="I594" s="226">
        <f>SUMPRODUCT((_PLAN_STG!$D$2:$D$1879=B594)*(_PLAN_STG!$B$2:$B$1879="EQ")*(_PLAN_STG!$O$2:$O$1879=1)*(_PLAN_STG!$P$2:$P$1879&gt;0))</f>
        <v>0</v>
      </c>
      <c r="J594" s="227"/>
    </row>
    <row r="595" spans="1:10" x14ac:dyDescent="0.35">
      <c r="A595" s="222" t="str">
        <f t="shared" si="13"/>
        <v/>
      </c>
      <c r="B595" s="223" t="s">
        <v>1971</v>
      </c>
      <c r="C595" s="224" t="str">
        <f>IFERROR(VLOOKUP(B595,EQUIPOS!$A:$B,2,FALSE()),IFERROR(INDEX(COMPOSICIÓN!$E$2:$E$1879,MATCH(B595,COMPOSICIÓN!$D$2:$D$1879,0)),""))</f>
        <v>Herramientas menores y consumibles - Tendido caño de agua hasta TB. Colocación de TB, a</v>
      </c>
      <c r="D595" s="226">
        <f>IFERROR(VLOOKUP(B595,EQUIPOS!$A:$E,5,FALSE()),"")</f>
        <v>1</v>
      </c>
      <c r="E595" s="161">
        <f>SUMIFS(_PLAN_STG!$P$2:$P$1879,_PLAN_STG!$D$2:$D$1879,B595,_PLAN_STG!$B$2:$B$1879,"EQ",_PLAN_STG!$O$2:$O$1879,1)</f>
        <v>0</v>
      </c>
      <c r="F595" s="162">
        <f>IFERROR(VLOOKUP(B595,EQUIPOS!$A:$F,6,FALSE()),IFERROR(INDEX(COMPOSICIÓN!$I$2:$I$1879,MATCH(B595,COMPOSICIÓN!$D$2:$D$1879,0)),0))</f>
        <v>36185.167983590203</v>
      </c>
      <c r="G595" s="163">
        <f>SUMIFS(_PLAN_STG!$Q$2:$Q$1879,_PLAN_STG!$D$2:$D$1879,B595,_PLAN_STG!$B$2:$B$1879,"EQ",_PLAN_STG!$O$2:$O$1879,1)</f>
        <v>0</v>
      </c>
      <c r="H595" s="227"/>
      <c r="I595" s="226">
        <f>SUMPRODUCT((_PLAN_STG!$D$2:$D$1879=B595)*(_PLAN_STG!$B$2:$B$1879="EQ")*(_PLAN_STG!$O$2:$O$1879=1)*(_PLAN_STG!$P$2:$P$1879&gt;0))</f>
        <v>0</v>
      </c>
      <c r="J595" s="227"/>
    </row>
    <row r="596" spans="1:10" x14ac:dyDescent="0.35">
      <c r="A596" s="222" t="str">
        <f t="shared" si="13"/>
        <v/>
      </c>
      <c r="B596" s="223" t="s">
        <v>1974</v>
      </c>
      <c r="C596" s="224" t="str">
        <f>IFERROR(VLOOKUP(B596,EQUIPOS!$A:$B,2,FALSE()),IFERROR(INDEX(COMPOSICIÓN!$E$2:$E$1879,MATCH(B596,COMPOSICIÓN!$D$2:$D$1879,0)),""))</f>
        <v>Herramientas menores y consumibles - Armado de colector, subida y bajadas de AF</v>
      </c>
      <c r="D596" s="226">
        <f>IFERROR(VLOOKUP(B596,EQUIPOS!$A:$E,5,FALSE()),"")</f>
        <v>1</v>
      </c>
      <c r="E596" s="161">
        <f>SUMIFS(_PLAN_STG!$P$2:$P$1879,_PLAN_STG!$D$2:$D$1879,B596,_PLAN_STG!$B$2:$B$1879,"EQ",_PLAN_STG!$O$2:$O$1879,1)</f>
        <v>0</v>
      </c>
      <c r="F596" s="162">
        <f>IFERROR(VLOOKUP(B596,EQUIPOS!$A:$F,6,FALSE()),IFERROR(INDEX(COMPOSICIÓN!$I$2:$I$1879,MATCH(B596,COMPOSICIÓN!$D$2:$D$1879,0)),0))</f>
        <v>40649.602761890201</v>
      </c>
      <c r="G596" s="163">
        <f>SUMIFS(_PLAN_STG!$Q$2:$Q$1879,_PLAN_STG!$D$2:$D$1879,B596,_PLAN_STG!$B$2:$B$1879,"EQ",_PLAN_STG!$O$2:$O$1879,1)</f>
        <v>0</v>
      </c>
      <c r="H596" s="227"/>
      <c r="I596" s="226">
        <f>SUMPRODUCT((_PLAN_STG!$D$2:$D$1879=B596)*(_PLAN_STG!$B$2:$B$1879="EQ")*(_PLAN_STG!$O$2:$O$1879=1)*(_PLAN_STG!$P$2:$P$1879&gt;0))</f>
        <v>0</v>
      </c>
      <c r="J596" s="227"/>
    </row>
    <row r="597" spans="1:10" x14ac:dyDescent="0.35">
      <c r="A597" s="222" t="str">
        <f t="shared" si="13"/>
        <v/>
      </c>
      <c r="B597" s="223" t="s">
        <v>1977</v>
      </c>
      <c r="C597" s="224" t="str">
        <f>IFERROR(VLOOKUP(B597,EQUIPOS!$A:$B,2,FALSE()),IFERROR(INDEX(COMPOSICIÓN!$E$2:$E$1879,MATCH(B597,COMPOSICIÓN!$D$2:$D$1879,0)),""))</f>
        <v>Herramientas menores y consumibles - Colocación de bomba presurizadora, armado de colec</v>
      </c>
      <c r="D597" s="226">
        <f>IFERROR(VLOOKUP(B597,EQUIPOS!$A:$E,5,FALSE()),"")</f>
        <v>1</v>
      </c>
      <c r="E597" s="161">
        <f>SUMIFS(_PLAN_STG!$P$2:$P$1879,_PLAN_STG!$D$2:$D$1879,B597,_PLAN_STG!$B$2:$B$1879,"EQ",_PLAN_STG!$O$2:$O$1879,1)</f>
        <v>0</v>
      </c>
      <c r="F597" s="162">
        <f>IFERROR(VLOOKUP(B597,EQUIPOS!$A:$F,6,FALSE()),IFERROR(INDEX(COMPOSICIÓN!$I$2:$I$1879,MATCH(B597,COMPOSICIÓN!$D$2:$D$1879,0)),0))</f>
        <v>36185.167983590203</v>
      </c>
      <c r="G597" s="163">
        <f>SUMIFS(_PLAN_STG!$Q$2:$Q$1879,_PLAN_STG!$D$2:$D$1879,B597,_PLAN_STG!$B$2:$B$1879,"EQ",_PLAN_STG!$O$2:$O$1879,1)</f>
        <v>0</v>
      </c>
      <c r="H597" s="227"/>
      <c r="I597" s="226">
        <f>SUMPRODUCT((_PLAN_STG!$D$2:$D$1879=B597)*(_PLAN_STG!$B$2:$B$1879="EQ")*(_PLAN_STG!$O$2:$O$1879=1)*(_PLAN_STG!$P$2:$P$1879&gt;0))</f>
        <v>0</v>
      </c>
      <c r="J597" s="227"/>
    </row>
    <row r="598" spans="1:10" x14ac:dyDescent="0.35">
      <c r="A598" s="222" t="str">
        <f t="shared" ref="A598:A629" si="14">IF(G598=0,"",ROW()-502+1)</f>
        <v/>
      </c>
      <c r="B598" s="223" t="s">
        <v>1980</v>
      </c>
      <c r="C598" s="224" t="str">
        <f>IFERROR(VLOOKUP(B598,EQUIPOS!$A:$B,2,FALSE()),IFERROR(INDEX(COMPOSICIÓN!$E$2:$E$1879,MATCH(B598,COMPOSICIÓN!$D$2:$D$1879,0)),""))</f>
        <v>Herramientas menores y consumibles - Distribución agua fria y caliente en planta tipo</v>
      </c>
      <c r="D598" s="226">
        <f>IFERROR(VLOOKUP(B598,EQUIPOS!$A:$E,5,FALSE()),"")</f>
        <v>1</v>
      </c>
      <c r="E598" s="161">
        <f>SUMIFS(_PLAN_STG!$P$2:$P$1879,_PLAN_STG!$D$2:$D$1879,B598,_PLAN_STG!$B$2:$B$1879,"EQ",_PLAN_STG!$O$2:$O$1879,1)</f>
        <v>0</v>
      </c>
      <c r="F598" s="162">
        <f>IFERROR(VLOOKUP(B598,EQUIPOS!$A:$F,6,FALSE()),IFERROR(INDEX(COMPOSICIÓN!$I$2:$I$1879,MATCH(B598,COMPOSICIÓN!$D$2:$D$1879,0)),0))</f>
        <v>204187.39332383199</v>
      </c>
      <c r="G598" s="163">
        <f>SUMIFS(_PLAN_STG!$Q$2:$Q$1879,_PLAN_STG!$D$2:$D$1879,B598,_PLAN_STG!$B$2:$B$1879,"EQ",_PLAN_STG!$O$2:$O$1879,1)</f>
        <v>0</v>
      </c>
      <c r="H598" s="227"/>
      <c r="I598" s="226">
        <f>SUMPRODUCT((_PLAN_STG!$D$2:$D$1879=B598)*(_PLAN_STG!$B$2:$B$1879="EQ")*(_PLAN_STG!$O$2:$O$1879=1)*(_PLAN_STG!$P$2:$P$1879&gt;0))</f>
        <v>0</v>
      </c>
      <c r="J598" s="227"/>
    </row>
    <row r="599" spans="1:10" x14ac:dyDescent="0.35">
      <c r="A599" s="222" t="str">
        <f t="shared" si="14"/>
        <v/>
      </c>
      <c r="B599" s="223" t="s">
        <v>1983</v>
      </c>
      <c r="C599" s="224" t="str">
        <f>IFERROR(VLOOKUP(B599,EQUIPOS!$A:$B,2,FALSE()),IFERROR(INDEX(COMPOSICIÓN!$E$2:$E$1879,MATCH(B599,COMPOSICIÓN!$D$2:$D$1879,0)),""))</f>
        <v>Herramientas menores y consumibles - Colocación de artefactos y griferias</v>
      </c>
      <c r="D599" s="226">
        <f>IFERROR(VLOOKUP(B599,EQUIPOS!$A:$E,5,FALSE()),"")</f>
        <v>1</v>
      </c>
      <c r="E599" s="161">
        <f>SUMIFS(_PLAN_STG!$P$2:$P$1879,_PLAN_STG!$D$2:$D$1879,B599,_PLAN_STG!$B$2:$B$1879,"EQ",_PLAN_STG!$O$2:$O$1879,1)</f>
        <v>0</v>
      </c>
      <c r="F599" s="162">
        <f>IFERROR(VLOOKUP(B599,EQUIPOS!$A:$F,6,FALSE()),IFERROR(INDEX(COMPOSICIÓN!$I$2:$I$1879,MATCH(B599,COMPOSICIÓN!$D$2:$D$1879,0)),0))</f>
        <v>69010.743634148894</v>
      </c>
      <c r="G599" s="163">
        <f>SUMIFS(_PLAN_STG!$Q$2:$Q$1879,_PLAN_STG!$D$2:$D$1879,B599,_PLAN_STG!$B$2:$B$1879,"EQ",_PLAN_STG!$O$2:$O$1879,1)</f>
        <v>0</v>
      </c>
      <c r="H599" s="227"/>
      <c r="I599" s="226">
        <f>SUMPRODUCT((_PLAN_STG!$D$2:$D$1879=B599)*(_PLAN_STG!$B$2:$B$1879="EQ")*(_PLAN_STG!$O$2:$O$1879=1)*(_PLAN_STG!$P$2:$P$1879&gt;0))</f>
        <v>0</v>
      </c>
      <c r="J599" s="227"/>
    </row>
    <row r="600" spans="1:10" x14ac:dyDescent="0.35">
      <c r="A600" s="222" t="str">
        <f t="shared" si="14"/>
        <v/>
      </c>
      <c r="B600" s="223" t="s">
        <v>1986</v>
      </c>
      <c r="C600" s="224" t="str">
        <f>IFERROR(VLOOKUP(B600,EQUIPOS!$A:$B,2,FALSE()),IFERROR(INDEX(COMPOSICIÓN!$E$2:$E$1879,MATCH(B600,COMPOSICIÓN!$D$2:$D$1879,0)),""))</f>
        <v>Herramientas menores y consumibles - Tendido de cañerías de piso radiante - Colectores,</v>
      </c>
      <c r="D600" s="226">
        <f>IFERROR(VLOOKUP(B600,EQUIPOS!$A:$E,5,FALSE()),"")</f>
        <v>1</v>
      </c>
      <c r="E600" s="161">
        <f>SUMIFS(_PLAN_STG!$P$2:$P$1879,_PLAN_STG!$D$2:$D$1879,B600,_PLAN_STG!$B$2:$B$1879,"EQ",_PLAN_STG!$O$2:$O$1879,1)</f>
        <v>0</v>
      </c>
      <c r="F600" s="162">
        <f>IFERROR(VLOOKUP(B600,EQUIPOS!$A:$F,6,FALSE()),IFERROR(INDEX(COMPOSICIÓN!$I$2:$I$1879,MATCH(B600,COMPOSICIÓN!$D$2:$D$1879,0)),0))</f>
        <v>399227.87518155301</v>
      </c>
      <c r="G600" s="163">
        <f>SUMIFS(_PLAN_STG!$Q$2:$Q$1879,_PLAN_STG!$D$2:$D$1879,B600,_PLAN_STG!$B$2:$B$1879,"EQ",_PLAN_STG!$O$2:$O$1879,1)</f>
        <v>0</v>
      </c>
      <c r="H600" s="227"/>
      <c r="I600" s="226">
        <f>SUMPRODUCT((_PLAN_STG!$D$2:$D$1879=B600)*(_PLAN_STG!$B$2:$B$1879="EQ")*(_PLAN_STG!$O$2:$O$1879=1)*(_PLAN_STG!$P$2:$P$1879&gt;0))</f>
        <v>0</v>
      </c>
      <c r="J600" s="227"/>
    </row>
    <row r="601" spans="1:10" x14ac:dyDescent="0.35">
      <c r="A601" s="222" t="str">
        <f t="shared" si="14"/>
        <v/>
      </c>
      <c r="B601" s="223" t="s">
        <v>1989</v>
      </c>
      <c r="C601" s="224" t="str">
        <f>IFERROR(VLOOKUP(B601,EQUIPOS!$A:$B,2,FALSE()),IFERROR(INDEX(COMPOSICIÓN!$E$2:$E$1879,MATCH(B601,COMPOSICIÓN!$D$2:$D$1879,0)),""))</f>
        <v xml:space="preserve">Herramientas menores y consumibles - Montaje de caldera y puesta en marcha - Provisión </v>
      </c>
      <c r="D601" s="226">
        <f>IFERROR(VLOOKUP(B601,EQUIPOS!$A:$E,5,FALSE()),"")</f>
        <v>1</v>
      </c>
      <c r="E601" s="161">
        <f>SUMIFS(_PLAN_STG!$P$2:$P$1879,_PLAN_STG!$D$2:$D$1879,B601,_PLAN_STG!$B$2:$B$1879,"EQ",_PLAN_STG!$O$2:$O$1879,1)</f>
        <v>0</v>
      </c>
      <c r="F601" s="162">
        <f>IFERROR(VLOOKUP(B601,EQUIPOS!$A:$F,6,FALSE()),IFERROR(INDEX(COMPOSICIÓN!$I$2:$I$1879,MATCH(B601,COMPOSICIÓN!$D$2:$D$1879,0)),0))</f>
        <v>41934.478574617002</v>
      </c>
      <c r="G601" s="163">
        <f>SUMIFS(_PLAN_STG!$Q$2:$Q$1879,_PLAN_STG!$D$2:$D$1879,B601,_PLAN_STG!$B$2:$B$1879,"EQ",_PLAN_STG!$O$2:$O$1879,1)</f>
        <v>0</v>
      </c>
      <c r="H601" s="227"/>
      <c r="I601" s="226">
        <f>SUMPRODUCT((_PLAN_STG!$D$2:$D$1879=B601)*(_PLAN_STG!$B$2:$B$1879="EQ")*(_PLAN_STG!$O$2:$O$1879=1)*(_PLAN_STG!$P$2:$P$1879&gt;0))</f>
        <v>0</v>
      </c>
      <c r="J601" s="227"/>
    </row>
    <row r="602" spans="1:10" x14ac:dyDescent="0.35">
      <c r="A602" s="222" t="str">
        <f t="shared" si="14"/>
        <v/>
      </c>
      <c r="B602" s="223" t="s">
        <v>1992</v>
      </c>
      <c r="C602" s="224" t="str">
        <f>IFERROR(VLOOKUP(B602,EQUIPOS!$A:$B,2,FALSE()),IFERROR(INDEX(COMPOSICIÓN!$E$2:$E$1879,MATCH(B602,COMPOSICIÓN!$D$2:$D$1879,0)),""))</f>
        <v>Herramientas menores y consumibles - Tendido cañeria de incendio - Gabinetes, tapas, ma</v>
      </c>
      <c r="D602" s="226">
        <f>IFERROR(VLOOKUP(B602,EQUIPOS!$A:$E,5,FALSE()),"")</f>
        <v>1</v>
      </c>
      <c r="E602" s="161">
        <f>SUMIFS(_PLAN_STG!$P$2:$P$1879,_PLAN_STG!$D$2:$D$1879,B602,_PLAN_STG!$B$2:$B$1879,"EQ",_PLAN_STG!$O$2:$O$1879,1)</f>
        <v>0</v>
      </c>
      <c r="F602" s="162">
        <f>IFERROR(VLOOKUP(B602,EQUIPOS!$A:$F,6,FALSE()),IFERROR(INDEX(COMPOSICIÓN!$I$2:$I$1879,MATCH(B602,COMPOSICIÓN!$D$2:$D$1879,0)),0))</f>
        <v>71400.7442527518</v>
      </c>
      <c r="G602" s="163">
        <f>SUMIFS(_PLAN_STG!$Q$2:$Q$1879,_PLAN_STG!$D$2:$D$1879,B602,_PLAN_STG!$B$2:$B$1879,"EQ",_PLAN_STG!$O$2:$O$1879,1)</f>
        <v>0</v>
      </c>
      <c r="H602" s="227"/>
      <c r="I602" s="226">
        <f>SUMPRODUCT((_PLAN_STG!$D$2:$D$1879=B602)*(_PLAN_STG!$B$2:$B$1879="EQ")*(_PLAN_STG!$O$2:$O$1879=1)*(_PLAN_STG!$P$2:$P$1879&gt;0))</f>
        <v>0</v>
      </c>
      <c r="J602" s="227"/>
    </row>
    <row r="603" spans="1:10" x14ac:dyDescent="0.35">
      <c r="A603" s="222" t="str">
        <f t="shared" si="14"/>
        <v/>
      </c>
      <c r="B603" s="223" t="s">
        <v>1995</v>
      </c>
      <c r="C603" s="224" t="str">
        <f>IFERROR(VLOOKUP(B603,EQUIPOS!$A:$B,2,FALSE()),IFERROR(INDEX(COMPOSICIÓN!$E$2:$E$1879,MATCH(B603,COMPOSICIÓN!$D$2:$D$1879,0)),""))</f>
        <v xml:space="preserve">Herramientas menores y consumibles - Albañilería parrilla completa - Losa y muros </v>
      </c>
      <c r="D603" s="226">
        <f>IFERROR(VLOOKUP(B603,EQUIPOS!$A:$E,5,FALSE()),"")</f>
        <v>1</v>
      </c>
      <c r="E603" s="161">
        <f>SUMIFS(_PLAN_STG!$P$2:$P$1879,_PLAN_STG!$D$2:$D$1879,B603,_PLAN_STG!$B$2:$B$1879,"EQ",_PLAN_STG!$O$2:$O$1879,1)</f>
        <v>0</v>
      </c>
      <c r="F603" s="162">
        <f>IFERROR(VLOOKUP(B603,EQUIPOS!$A:$F,6,FALSE()),IFERROR(INDEX(COMPOSICIÓN!$I$2:$I$1879,MATCH(B603,COMPOSICIÓN!$D$2:$D$1879,0)),0))</f>
        <v>2872.6870049034101</v>
      </c>
      <c r="G603" s="163">
        <f>SUMIFS(_PLAN_STG!$Q$2:$Q$1879,_PLAN_STG!$D$2:$D$1879,B603,_PLAN_STG!$B$2:$B$1879,"EQ",_PLAN_STG!$O$2:$O$1879,1)</f>
        <v>0</v>
      </c>
      <c r="H603" s="227"/>
      <c r="I603" s="226">
        <f>SUMPRODUCT((_PLAN_STG!$D$2:$D$1879=B603)*(_PLAN_STG!$B$2:$B$1879="EQ")*(_PLAN_STG!$O$2:$O$1879=1)*(_PLAN_STG!$P$2:$P$1879&gt;0))</f>
        <v>0</v>
      </c>
      <c r="J603" s="227"/>
    </row>
    <row r="604" spans="1:10" x14ac:dyDescent="0.35">
      <c r="A604" s="222" t="str">
        <f t="shared" si="14"/>
        <v/>
      </c>
      <c r="B604" s="223" t="s">
        <v>1998</v>
      </c>
      <c r="C604" s="224" t="str">
        <f>IFERROR(VLOOKUP(B604,EQUIPOS!$A:$B,2,FALSE()),IFERROR(INDEX(COMPOSICIÓN!$E$2:$E$1879,MATCH(B604,COMPOSICIÓN!$D$2:$D$1879,0)),""))</f>
        <v>Herramientas menores y consumibles - Amure de tapas para pleno eléctricos y gas en pali</v>
      </c>
      <c r="D604" s="226">
        <f>IFERROR(VLOOKUP(B604,EQUIPOS!$A:$E,5,FALSE()),"")</f>
        <v>1</v>
      </c>
      <c r="E604" s="161">
        <f>SUMIFS(_PLAN_STG!$P$2:$P$1879,_PLAN_STG!$D$2:$D$1879,B604,_PLAN_STG!$B$2:$B$1879,"EQ",_PLAN_STG!$O$2:$O$1879,1)</f>
        <v>0</v>
      </c>
      <c r="F604" s="162">
        <f>IFERROR(VLOOKUP(B604,EQUIPOS!$A:$F,6,FALSE()),IFERROR(INDEX(COMPOSICIÓN!$I$2:$I$1879,MATCH(B604,COMPOSICIÓN!$D$2:$D$1879,0)),0))</f>
        <v>8803.9027571143397</v>
      </c>
      <c r="G604" s="163">
        <f>SUMIFS(_PLAN_STG!$Q$2:$Q$1879,_PLAN_STG!$D$2:$D$1879,B604,_PLAN_STG!$B$2:$B$1879,"EQ",_PLAN_STG!$O$2:$O$1879,1)</f>
        <v>0</v>
      </c>
      <c r="H604" s="227"/>
      <c r="I604" s="226">
        <f>SUMPRODUCT((_PLAN_STG!$D$2:$D$1879=B604)*(_PLAN_STG!$B$2:$B$1879="EQ")*(_PLAN_STG!$O$2:$O$1879=1)*(_PLAN_STG!$P$2:$P$1879&gt;0))</f>
        <v>0</v>
      </c>
      <c r="J604" s="227"/>
    </row>
    <row r="605" spans="1:10" x14ac:dyDescent="0.35">
      <c r="A605" s="222" t="str">
        <f t="shared" si="14"/>
        <v/>
      </c>
      <c r="B605" s="223" t="s">
        <v>2001</v>
      </c>
      <c r="C605" s="224" t="str">
        <f>IFERROR(VLOOKUP(B605,EQUIPOS!$A:$B,2,FALSE()),IFERROR(INDEX(COMPOSICIÓN!$E$2:$E$1879,MATCH(B605,COMPOSICIÓN!$D$2:$D$1879,0)),""))</f>
        <v>Herramientas menores y consumibles - Demolición de vereda</v>
      </c>
      <c r="D605" s="226">
        <f>IFERROR(VLOOKUP(B605,EQUIPOS!$A:$E,5,FALSE()),"")</f>
        <v>1</v>
      </c>
      <c r="E605" s="161">
        <f>SUMIFS(_PLAN_STG!$P$2:$P$1879,_PLAN_STG!$D$2:$D$1879,B605,_PLAN_STG!$B$2:$B$1879,"EQ",_PLAN_STG!$O$2:$O$1879,1)</f>
        <v>0</v>
      </c>
      <c r="F605" s="162">
        <f>IFERROR(VLOOKUP(B605,EQUIPOS!$A:$F,6,FALSE()),IFERROR(INDEX(COMPOSICIÓN!$I$2:$I$1879,MATCH(B605,COMPOSICIÓN!$D$2:$D$1879,0)),0))</f>
        <v>300.22927085357298</v>
      </c>
      <c r="G605" s="163">
        <f>SUMIFS(_PLAN_STG!$Q$2:$Q$1879,_PLAN_STG!$D$2:$D$1879,B605,_PLAN_STG!$B$2:$B$1879,"EQ",_PLAN_STG!$O$2:$O$1879,1)</f>
        <v>0</v>
      </c>
      <c r="H605" s="227"/>
      <c r="I605" s="226">
        <f>SUMPRODUCT((_PLAN_STG!$D$2:$D$1879=B605)*(_PLAN_STG!$B$2:$B$1879="EQ")*(_PLAN_STG!$O$2:$O$1879=1)*(_PLAN_STG!$P$2:$P$1879&gt;0))</f>
        <v>0</v>
      </c>
      <c r="J605" s="227"/>
    </row>
    <row r="606" spans="1:10" x14ac:dyDescent="0.35">
      <c r="A606" s="222" t="str">
        <f t="shared" si="14"/>
        <v/>
      </c>
      <c r="B606" s="223" t="s">
        <v>2004</v>
      </c>
      <c r="C606" s="224" t="str">
        <f>IFERROR(VLOOKUP(B606,EQUIPOS!$A:$B,2,FALSE()),IFERROR(INDEX(COMPOSICIÓN!$E$2:$E$1879,MATCH(B606,COMPOSICIÓN!$D$2:$D$1879,0)),""))</f>
        <v>Herramientas menores y consumibles - Protecciones y defensas</v>
      </c>
      <c r="D606" s="226">
        <f>IFERROR(VLOOKUP(B606,EQUIPOS!$A:$E,5,FALSE()),"")</f>
        <v>1</v>
      </c>
      <c r="E606" s="161">
        <f>SUMIFS(_PLAN_STG!$P$2:$P$1879,_PLAN_STG!$D$2:$D$1879,B606,_PLAN_STG!$B$2:$B$1879,"EQ",_PLAN_STG!$O$2:$O$1879,1)</f>
        <v>0</v>
      </c>
      <c r="F606" s="162">
        <f>IFERROR(VLOOKUP(B606,EQUIPOS!$A:$F,6,FALSE()),IFERROR(INDEX(COMPOSICIÓN!$I$2:$I$1879,MATCH(B606,COMPOSICIÓN!$D$2:$D$1879,0)),0))</f>
        <v>69686.966825754498</v>
      </c>
      <c r="G606" s="163">
        <f>SUMIFS(_PLAN_STG!$Q$2:$Q$1879,_PLAN_STG!$D$2:$D$1879,B606,_PLAN_STG!$B$2:$B$1879,"EQ",_PLAN_STG!$O$2:$O$1879,1)</f>
        <v>0</v>
      </c>
      <c r="H606" s="227"/>
      <c r="I606" s="226">
        <f>SUMPRODUCT((_PLAN_STG!$D$2:$D$1879=B606)*(_PLAN_STG!$B$2:$B$1879="EQ")*(_PLAN_STG!$O$2:$O$1879=1)*(_PLAN_STG!$P$2:$P$1879&gt;0))</f>
        <v>0</v>
      </c>
      <c r="J606" s="227"/>
    </row>
    <row r="607" spans="1:10" x14ac:dyDescent="0.35">
      <c r="A607" s="222" t="str">
        <f t="shared" si="14"/>
        <v/>
      </c>
      <c r="B607" s="223" t="s">
        <v>2007</v>
      </c>
      <c r="C607" s="224" t="str">
        <f>IFERROR(VLOOKUP(B607,EQUIPOS!$A:$B,2,FALSE()),IFERROR(INDEX(COMPOSICIÓN!$E$2:$E$1879,MATCH(B607,COMPOSICIÓN!$D$2:$D$1879,0)),""))</f>
        <v>Herramientas menores y consumibles - Ayuda de gremios</v>
      </c>
      <c r="D607" s="226">
        <f>IFERROR(VLOOKUP(B607,EQUIPOS!$A:$E,5,FALSE()),"")</f>
        <v>1</v>
      </c>
      <c r="E607" s="161">
        <f>SUMIFS(_PLAN_STG!$P$2:$P$1879,_PLAN_STG!$D$2:$D$1879,B607,_PLAN_STG!$B$2:$B$1879,"EQ",_PLAN_STG!$O$2:$O$1879,1)</f>
        <v>0</v>
      </c>
      <c r="F607" s="162">
        <f>IFERROR(VLOOKUP(B607,EQUIPOS!$A:$F,6,FALSE()),IFERROR(INDEX(COMPOSICIÓN!$I$2:$I$1879,MATCH(B607,COMPOSICIÓN!$D$2:$D$1879,0)),0))</f>
        <v>9690.4308566872205</v>
      </c>
      <c r="G607" s="163">
        <f>SUMIFS(_PLAN_STG!$Q$2:$Q$1879,_PLAN_STG!$D$2:$D$1879,B607,_PLAN_STG!$B$2:$B$1879,"EQ",_PLAN_STG!$O$2:$O$1879,1)</f>
        <v>0</v>
      </c>
      <c r="H607" s="227"/>
      <c r="I607" s="226">
        <f>SUMPRODUCT((_PLAN_STG!$D$2:$D$1879=B607)*(_PLAN_STG!$B$2:$B$1879="EQ")*(_PLAN_STG!$O$2:$O$1879=1)*(_PLAN_STG!$P$2:$P$1879&gt;0))</f>
        <v>0</v>
      </c>
      <c r="J607" s="227"/>
    </row>
    <row r="608" spans="1:10" x14ac:dyDescent="0.35">
      <c r="A608" s="222" t="str">
        <f t="shared" si="14"/>
        <v/>
      </c>
      <c r="B608" s="223" t="s">
        <v>2010</v>
      </c>
      <c r="C608" s="224" t="str">
        <f>IFERROR(VLOOKUP(B608,EQUIPOS!$A:$B,2,FALSE()),IFERROR(INDEX(COMPOSICIÓN!$E$2:$E$1879,MATCH(B608,COMPOSICIÓN!$D$2:$D$1879,0)),""))</f>
        <v xml:space="preserve">Herramientas menores y consumibles - Limpieza periodica </v>
      </c>
      <c r="D608" s="226">
        <f>IFERROR(VLOOKUP(B608,EQUIPOS!$A:$E,5,FALSE()),"")</f>
        <v>1</v>
      </c>
      <c r="E608" s="161">
        <f>SUMIFS(_PLAN_STG!$P$2:$P$1879,_PLAN_STG!$D$2:$D$1879,B608,_PLAN_STG!$B$2:$B$1879,"EQ",_PLAN_STG!$O$2:$O$1879,1)</f>
        <v>0</v>
      </c>
      <c r="F608" s="162">
        <f>IFERROR(VLOOKUP(B608,EQUIPOS!$A:$F,6,FALSE()),IFERROR(INDEX(COMPOSICIÓN!$I$2:$I$1879,MATCH(B608,COMPOSICIÓN!$D$2:$D$1879,0)),0))</f>
        <v>6400.1974968806198</v>
      </c>
      <c r="G608" s="163">
        <f>SUMIFS(_PLAN_STG!$Q$2:$Q$1879,_PLAN_STG!$D$2:$D$1879,B608,_PLAN_STG!$B$2:$B$1879,"EQ",_PLAN_STG!$O$2:$O$1879,1)</f>
        <v>0</v>
      </c>
      <c r="H608" s="227"/>
      <c r="I608" s="226">
        <f>SUMPRODUCT((_PLAN_STG!$D$2:$D$1879=B608)*(_PLAN_STG!$B$2:$B$1879="EQ")*(_PLAN_STG!$O$2:$O$1879=1)*(_PLAN_STG!$P$2:$P$1879&gt;0))</f>
        <v>0</v>
      </c>
      <c r="J608" s="227"/>
    </row>
    <row r="609" spans="1:10" x14ac:dyDescent="0.35">
      <c r="A609" s="222" t="str">
        <f t="shared" si="14"/>
        <v/>
      </c>
      <c r="B609" s="223" t="s">
        <v>2013</v>
      </c>
      <c r="C609" s="224" t="str">
        <f>IFERROR(VLOOKUP(B609,EQUIPOS!$A:$B,2,FALSE()),IFERROR(INDEX(COMPOSICIÓN!$E$2:$E$1879,MATCH(B609,COMPOSICIÓN!$D$2:$D$1879,0)),""))</f>
        <v>Herramientas menores y consumibles - Limpieza final de Obra</v>
      </c>
      <c r="D609" s="226">
        <f>IFERROR(VLOOKUP(B609,EQUIPOS!$A:$E,5,FALSE()),"")</f>
        <v>1</v>
      </c>
      <c r="E609" s="161">
        <f>SUMIFS(_PLAN_STG!$P$2:$P$1879,_PLAN_STG!$D$2:$D$1879,B609,_PLAN_STG!$B$2:$B$1879,"EQ",_PLAN_STG!$O$2:$O$1879,1)</f>
        <v>0</v>
      </c>
      <c r="F609" s="162">
        <f>IFERROR(VLOOKUP(B609,EQUIPOS!$A:$F,6,FALSE()),IFERROR(INDEX(COMPOSICIÓN!$I$2:$I$1879,MATCH(B609,COMPOSICIÓN!$D$2:$D$1879,0)),0))</f>
        <v>58524.5226989148</v>
      </c>
      <c r="G609" s="163">
        <f>SUMIFS(_PLAN_STG!$Q$2:$Q$1879,_PLAN_STG!$D$2:$D$1879,B609,_PLAN_STG!$B$2:$B$1879,"EQ",_PLAN_STG!$O$2:$O$1879,1)</f>
        <v>0</v>
      </c>
      <c r="H609" s="227"/>
      <c r="I609" s="226">
        <f>SUMPRODUCT((_PLAN_STG!$D$2:$D$1879=B609)*(_PLAN_STG!$B$2:$B$1879="EQ")*(_PLAN_STG!$O$2:$O$1879=1)*(_PLAN_STG!$P$2:$P$1879&gt;0))</f>
        <v>0</v>
      </c>
      <c r="J609" s="227"/>
    </row>
    <row r="610" spans="1:10" x14ac:dyDescent="0.35">
      <c r="A610" s="222" t="str">
        <f t="shared" si="14"/>
        <v/>
      </c>
      <c r="B610" s="223" t="s">
        <v>2016</v>
      </c>
      <c r="C610" s="224" t="str">
        <f>IFERROR(VLOOKUP(B610,EQUIPOS!$A:$B,2,FALSE()),IFERROR(INDEX(COMPOSICIÓN!$E$2:$E$1879,MATCH(B610,COMPOSICIÓN!$D$2:$D$1879,0)),""))</f>
        <v>Herramientas y consumibles - PTO-1816 TSG</v>
      </c>
      <c r="D610" s="226">
        <f>IFERROR(VLOOKUP(B610,EQUIPOS!$A:$E,5,FALSE()),"")</f>
        <v>1</v>
      </c>
      <c r="E610" s="161">
        <f>SUMIFS(_PLAN_STG!$P$2:$P$1879,_PLAN_STG!$D$2:$D$1879,B610,_PLAN_STG!$B$2:$B$1879,"EQ",_PLAN_STG!$O$2:$O$1879,1)</f>
        <v>0</v>
      </c>
      <c r="F610" s="162">
        <f>IFERROR(VLOOKUP(B610,EQUIPOS!$A:$F,6,FALSE()),IFERROR(INDEX(COMPOSICIÓN!$I$2:$I$1879,MATCH(B610,COMPOSICIÓN!$D$2:$D$1879,0)),0))</f>
        <v>24902.845805454501</v>
      </c>
      <c r="G610" s="163">
        <f>SUMIFS(_PLAN_STG!$Q$2:$Q$1879,_PLAN_STG!$D$2:$D$1879,B610,_PLAN_STG!$B$2:$B$1879,"EQ",_PLAN_STG!$O$2:$O$1879,1)</f>
        <v>0</v>
      </c>
      <c r="H610" s="227"/>
      <c r="I610" s="226">
        <f>SUMPRODUCT((_PLAN_STG!$D$2:$D$1879=B610)*(_PLAN_STG!$B$2:$B$1879="EQ")*(_PLAN_STG!$O$2:$O$1879=1)*(_PLAN_STG!$P$2:$P$1879&gt;0))</f>
        <v>0</v>
      </c>
      <c r="J610" s="227"/>
    </row>
    <row r="611" spans="1:10" x14ac:dyDescent="0.35">
      <c r="A611" s="222" t="str">
        <f t="shared" si="14"/>
        <v/>
      </c>
      <c r="B611" s="223" t="s">
        <v>2019</v>
      </c>
      <c r="C611" s="224" t="str">
        <f>IFERROR(VLOOKUP(B611,EQUIPOS!$A:$B,2,FALSE()),IFERROR(INDEX(COMPOSICIÓN!$E$2:$E$1879,MATCH(B611,COMPOSICIÓN!$D$2:$D$1879,0)),""))</f>
        <v>Herramientas y consumibles - PTO-1817 TSBI</v>
      </c>
      <c r="D611" s="226">
        <f>IFERROR(VLOOKUP(B611,EQUIPOS!$A:$E,5,FALSE()),"")</f>
        <v>1</v>
      </c>
      <c r="E611" s="161">
        <f>SUMIFS(_PLAN_STG!$P$2:$P$1879,_PLAN_STG!$D$2:$D$1879,B611,_PLAN_STG!$B$2:$B$1879,"EQ",_PLAN_STG!$O$2:$O$1879,1)</f>
        <v>0</v>
      </c>
      <c r="F611" s="162">
        <f>IFERROR(VLOOKUP(B611,EQUIPOS!$A:$F,6,FALSE()),IFERROR(INDEX(COMPOSICIÓN!$I$2:$I$1879,MATCH(B611,COMPOSICIÓN!$D$2:$D$1879,0)),0))</f>
        <v>12375.4438807438</v>
      </c>
      <c r="G611" s="163">
        <f>SUMIFS(_PLAN_STG!$Q$2:$Q$1879,_PLAN_STG!$D$2:$D$1879,B611,_PLAN_STG!$B$2:$B$1879,"EQ",_PLAN_STG!$O$2:$O$1879,1)</f>
        <v>0</v>
      </c>
      <c r="H611" s="227"/>
      <c r="I611" s="226">
        <f>SUMPRODUCT((_PLAN_STG!$D$2:$D$1879=B611)*(_PLAN_STG!$B$2:$B$1879="EQ")*(_PLAN_STG!$O$2:$O$1879=1)*(_PLAN_STG!$P$2:$P$1879&gt;0))</f>
        <v>0</v>
      </c>
      <c r="J611" s="227"/>
    </row>
    <row r="612" spans="1:10" x14ac:dyDescent="0.35">
      <c r="A612" s="222" t="str">
        <f t="shared" si="14"/>
        <v/>
      </c>
      <c r="B612" s="223" t="s">
        <v>2022</v>
      </c>
      <c r="C612" s="224" t="str">
        <f>IFERROR(VLOOKUP(B612,EQUIPOS!$A:$B,2,FALSE()),IFERROR(INDEX(COMPOSICIÓN!$E$2:$E$1879,MATCH(B612,COMPOSICIÓN!$D$2:$D$1879,0)),""))</f>
        <v>Herramientas y consumibles - PTO-1818 TS.ASC</v>
      </c>
      <c r="D612" s="226">
        <f>IFERROR(VLOOKUP(B612,EQUIPOS!$A:$E,5,FALSE()),"")</f>
        <v>1</v>
      </c>
      <c r="E612" s="161">
        <f>SUMIFS(_PLAN_STG!$P$2:$P$1879,_PLAN_STG!$D$2:$D$1879,B612,_PLAN_STG!$B$2:$B$1879,"EQ",_PLAN_STG!$O$2:$O$1879,1)</f>
        <v>0</v>
      </c>
      <c r="F612" s="162">
        <f>IFERROR(VLOOKUP(B612,EQUIPOS!$A:$F,6,FALSE()),IFERROR(INDEX(COMPOSICIÓN!$I$2:$I$1879,MATCH(B612,COMPOSICIÓN!$D$2:$D$1879,0)),0))</f>
        <v>5888.0883607438</v>
      </c>
      <c r="G612" s="163">
        <f>SUMIFS(_PLAN_STG!$Q$2:$Q$1879,_PLAN_STG!$D$2:$D$1879,B612,_PLAN_STG!$B$2:$B$1879,"EQ",_PLAN_STG!$O$2:$O$1879,1)</f>
        <v>0</v>
      </c>
      <c r="H612" s="227"/>
      <c r="I612" s="226">
        <f>SUMPRODUCT((_PLAN_STG!$D$2:$D$1879=B612)*(_PLAN_STG!$B$2:$B$1879="EQ")*(_PLAN_STG!$O$2:$O$1879=1)*(_PLAN_STG!$P$2:$P$1879&gt;0))</f>
        <v>0</v>
      </c>
      <c r="J612" s="227"/>
    </row>
    <row r="613" spans="1:10" x14ac:dyDescent="0.35">
      <c r="A613" s="222" t="str">
        <f t="shared" si="14"/>
        <v/>
      </c>
      <c r="B613" s="223" t="s">
        <v>2025</v>
      </c>
      <c r="C613" s="224" t="str">
        <f>IFERROR(VLOOKUP(B613,EQUIPOS!$A:$B,2,FALSE()),IFERROR(INDEX(COMPOSICIÓN!$E$2:$E$1879,MATCH(B613,COMPOSICIÓN!$D$2:$D$1879,0)),""))</f>
        <v>Herramientas y consumibles - PTO-1819 TUF</v>
      </c>
      <c r="D613" s="226">
        <f>IFERROR(VLOOKUP(B613,EQUIPOS!$A:$E,5,FALSE()),"")</f>
        <v>1</v>
      </c>
      <c r="E613" s="161">
        <f>SUMIFS(_PLAN_STG!$P$2:$P$1879,_PLAN_STG!$D$2:$D$1879,B613,_PLAN_STG!$B$2:$B$1879,"EQ",_PLAN_STG!$O$2:$O$1879,1)</f>
        <v>0</v>
      </c>
      <c r="F613" s="162">
        <f>IFERROR(VLOOKUP(B613,EQUIPOS!$A:$F,6,FALSE()),IFERROR(INDEX(COMPOSICIÓN!$I$2:$I$1879,MATCH(B613,COMPOSICIÓN!$D$2:$D$1879,0)),0))</f>
        <v>6602.35923</v>
      </c>
      <c r="G613" s="163">
        <f>SUMIFS(_PLAN_STG!$Q$2:$Q$1879,_PLAN_STG!$D$2:$D$1879,B613,_PLAN_STG!$B$2:$B$1879,"EQ",_PLAN_STG!$O$2:$O$1879,1)</f>
        <v>0</v>
      </c>
      <c r="H613" s="227"/>
      <c r="I613" s="226">
        <f>SUMPRODUCT((_PLAN_STG!$D$2:$D$1879=B613)*(_PLAN_STG!$B$2:$B$1879="EQ")*(_PLAN_STG!$O$2:$O$1879=1)*(_PLAN_STG!$P$2:$P$1879&gt;0))</f>
        <v>0</v>
      </c>
      <c r="J613" s="227"/>
    </row>
    <row r="614" spans="1:10" x14ac:dyDescent="0.35">
      <c r="A614" s="222" t="str">
        <f t="shared" si="14"/>
        <v/>
      </c>
      <c r="B614" s="223" t="s">
        <v>2028</v>
      </c>
      <c r="C614" s="224" t="str">
        <f>IFERROR(VLOOKUP(B614,EQUIPOS!$A:$B,2,FALSE()),IFERROR(INDEX(COMPOSICIÓN!$E$2:$E$1879,MATCH(B614,COMPOSICIÓN!$D$2:$D$1879,0)),""))</f>
        <v>Herramientas y consumibles - PTO-1820 MONTANTE</v>
      </c>
      <c r="D614" s="226">
        <f>IFERROR(VLOOKUP(B614,EQUIPOS!$A:$E,5,FALSE()),"")</f>
        <v>1</v>
      </c>
      <c r="E614" s="161">
        <f>SUMIFS(_PLAN_STG!$P$2:$P$1879,_PLAN_STG!$D$2:$D$1879,B614,_PLAN_STG!$B$2:$B$1879,"EQ",_PLAN_STG!$O$2:$O$1879,1)</f>
        <v>0</v>
      </c>
      <c r="F614" s="162">
        <f>IFERROR(VLOOKUP(B614,EQUIPOS!$A:$F,6,FALSE()),IFERROR(INDEX(COMPOSICIÓN!$I$2:$I$1879,MATCH(B614,COMPOSICIÓN!$D$2:$D$1879,0)),0))</f>
        <v>70727.339200190603</v>
      </c>
      <c r="G614" s="163">
        <f>SUMIFS(_PLAN_STG!$Q$2:$Q$1879,_PLAN_STG!$D$2:$D$1879,B614,_PLAN_STG!$B$2:$B$1879,"EQ",_PLAN_STG!$O$2:$O$1879,1)</f>
        <v>0</v>
      </c>
      <c r="H614" s="227"/>
      <c r="I614" s="226">
        <f>SUMPRODUCT((_PLAN_STG!$D$2:$D$1879=B614)*(_PLAN_STG!$B$2:$B$1879="EQ")*(_PLAN_STG!$O$2:$O$1879=1)*(_PLAN_STG!$P$2:$P$1879&gt;0))</f>
        <v>0</v>
      </c>
      <c r="J614" s="227"/>
    </row>
    <row r="615" spans="1:10" x14ac:dyDescent="0.35">
      <c r="A615" s="222" t="str">
        <f t="shared" si="14"/>
        <v/>
      </c>
      <c r="B615" s="223" t="s">
        <v>2031</v>
      </c>
      <c r="C615" s="224" t="str">
        <f>IFERROR(VLOOKUP(B615,EQUIPOS!$A:$B,2,FALSE()),IFERROR(INDEX(COMPOSICIÓN!$E$2:$E$1879,MATCH(B615,COMPOSICIÓN!$D$2:$D$1879,0)),""))</f>
        <v>Herramientas y consumibles - PTO-1821 MontanteTV</v>
      </c>
      <c r="D615" s="226">
        <f>IFERROR(VLOOKUP(B615,EQUIPOS!$A:$E,5,FALSE()),"")</f>
        <v>1</v>
      </c>
      <c r="E615" s="161">
        <f>SUMIFS(_PLAN_STG!$P$2:$P$1879,_PLAN_STG!$D$2:$D$1879,B615,_PLAN_STG!$B$2:$B$1879,"EQ",_PLAN_STG!$O$2:$O$1879,1)</f>
        <v>0</v>
      </c>
      <c r="F615" s="162">
        <f>IFERROR(VLOOKUP(B615,EQUIPOS!$A:$F,6,FALSE()),IFERROR(INDEX(COMPOSICIÓN!$I$2:$I$1879,MATCH(B615,COMPOSICIÓN!$D$2:$D$1879,0)),0))</f>
        <v>18803.5301934858</v>
      </c>
      <c r="G615" s="163">
        <f>SUMIFS(_PLAN_STG!$Q$2:$Q$1879,_PLAN_STG!$D$2:$D$1879,B615,_PLAN_STG!$B$2:$B$1879,"EQ",_PLAN_STG!$O$2:$O$1879,1)</f>
        <v>0</v>
      </c>
      <c r="H615" s="227"/>
      <c r="I615" s="226">
        <f>SUMPRODUCT((_PLAN_STG!$D$2:$D$1879=B615)*(_PLAN_STG!$B$2:$B$1879="EQ")*(_PLAN_STG!$O$2:$O$1879=1)*(_PLAN_STG!$P$2:$P$1879&gt;0))</f>
        <v>0</v>
      </c>
      <c r="J615" s="227"/>
    </row>
    <row r="616" spans="1:10" x14ac:dyDescent="0.35">
      <c r="A616" s="222" t="str">
        <f t="shared" si="14"/>
        <v/>
      </c>
      <c r="B616" s="223" t="s">
        <v>2034</v>
      </c>
      <c r="C616" s="224" t="str">
        <f>IFERROR(VLOOKUP(B616,EQUIPOS!$A:$B,2,FALSE()),IFERROR(INDEX(COMPOSICIÓN!$E$2:$E$1879,MATCH(B616,COMPOSICIÓN!$D$2:$D$1879,0)),""))</f>
        <v>Herramientas y consumibles - PTO-1822 MontanteTV</v>
      </c>
      <c r="D616" s="226">
        <f>IFERROR(VLOOKUP(B616,EQUIPOS!$A:$E,5,FALSE()),"")</f>
        <v>1</v>
      </c>
      <c r="E616" s="161">
        <f>SUMIFS(_PLAN_STG!$P$2:$P$1879,_PLAN_STG!$D$2:$D$1879,B616,_PLAN_STG!$B$2:$B$1879,"EQ",_PLAN_STG!$O$2:$O$1879,1)</f>
        <v>0</v>
      </c>
      <c r="F616" s="162">
        <f>IFERROR(VLOOKUP(B616,EQUIPOS!$A:$F,6,FALSE()),IFERROR(INDEX(COMPOSICIÓN!$I$2:$I$1879,MATCH(B616,COMPOSICIÓN!$D$2:$D$1879,0)),0))</f>
        <v>18803.5301934858</v>
      </c>
      <c r="G616" s="163">
        <f>SUMIFS(_PLAN_STG!$Q$2:$Q$1879,_PLAN_STG!$D$2:$D$1879,B616,_PLAN_STG!$B$2:$B$1879,"EQ",_PLAN_STG!$O$2:$O$1879,1)</f>
        <v>0</v>
      </c>
      <c r="H616" s="227"/>
      <c r="I616" s="226">
        <f>SUMPRODUCT((_PLAN_STG!$D$2:$D$1879=B616)*(_PLAN_STG!$B$2:$B$1879="EQ")*(_PLAN_STG!$O$2:$O$1879=1)*(_PLAN_STG!$P$2:$P$1879&gt;0))</f>
        <v>0</v>
      </c>
      <c r="J616" s="227"/>
    </row>
    <row r="617" spans="1:10" x14ac:dyDescent="0.35">
      <c r="A617" s="222" t="str">
        <f t="shared" si="14"/>
        <v/>
      </c>
      <c r="B617" s="223" t="s">
        <v>2037</v>
      </c>
      <c r="C617" s="224" t="str">
        <f>IFERROR(VLOOKUP(B617,EQUIPOS!$A:$B,2,FALSE()),IFERROR(INDEX(COMPOSICIÓN!$E$2:$E$1879,MATCH(B617,COMPOSICIÓN!$D$2:$D$1879,0)),""))</f>
        <v>Herramientas y consumibles - PTO-1831 ACOMETIDA</v>
      </c>
      <c r="D617" s="226">
        <f>IFERROR(VLOOKUP(B617,EQUIPOS!$A:$E,5,FALSE()),"")</f>
        <v>1</v>
      </c>
      <c r="E617" s="161">
        <f>SUMIFS(_PLAN_STG!$P$2:$P$1879,_PLAN_STG!$D$2:$D$1879,B617,_PLAN_STG!$B$2:$B$1879,"EQ",_PLAN_STG!$O$2:$O$1879,1)</f>
        <v>0</v>
      </c>
      <c r="F617" s="162">
        <f>IFERROR(VLOOKUP(B617,EQUIPOS!$A:$F,6,FALSE()),IFERROR(INDEX(COMPOSICIÓN!$I$2:$I$1879,MATCH(B617,COMPOSICIÓN!$D$2:$D$1879,0)),0))</f>
        <v>61176.021690000001</v>
      </c>
      <c r="G617" s="163">
        <f>SUMIFS(_PLAN_STG!$Q$2:$Q$1879,_PLAN_STG!$D$2:$D$1879,B617,_PLAN_STG!$B$2:$B$1879,"EQ",_PLAN_STG!$O$2:$O$1879,1)</f>
        <v>0</v>
      </c>
      <c r="H617" s="227"/>
      <c r="I617" s="226">
        <f>SUMPRODUCT((_PLAN_STG!$D$2:$D$1879=B617)*(_PLAN_STG!$B$2:$B$1879="EQ")*(_PLAN_STG!$O$2:$O$1879=1)*(_PLAN_STG!$P$2:$P$1879&gt;0))</f>
        <v>0</v>
      </c>
      <c r="J617" s="227"/>
    </row>
    <row r="618" spans="1:10" x14ac:dyDescent="0.35">
      <c r="A618" s="222" t="str">
        <f t="shared" si="14"/>
        <v/>
      </c>
      <c r="B618" s="223" t="s">
        <v>2040</v>
      </c>
      <c r="C618" s="224" t="str">
        <f>IFERROR(VLOOKUP(B618,EQUIPOS!$A:$B,2,FALSE()),IFERROR(INDEX(COMPOSICIÓN!$E$2:$E$1879,MATCH(B618,COMPOSICIÓN!$D$2:$D$1879,0)),""))</f>
        <v>Herramientas y consumibles - PTO-1832 Puesta tierra</v>
      </c>
      <c r="D618" s="226">
        <f>IFERROR(VLOOKUP(B618,EQUIPOS!$A:$E,5,FALSE()),"")</f>
        <v>1</v>
      </c>
      <c r="E618" s="161">
        <f>SUMIFS(_PLAN_STG!$P$2:$P$1879,_PLAN_STG!$D$2:$D$1879,B618,_PLAN_STG!$B$2:$B$1879,"EQ",_PLAN_STG!$O$2:$O$1879,1)</f>
        <v>0</v>
      </c>
      <c r="F618" s="162">
        <f>IFERROR(VLOOKUP(B618,EQUIPOS!$A:$F,6,FALSE()),IFERROR(INDEX(COMPOSICIÓN!$I$2:$I$1879,MATCH(B618,COMPOSICIÓN!$D$2:$D$1879,0)),0))</f>
        <v>10618.1041956769</v>
      </c>
      <c r="G618" s="163">
        <f>SUMIFS(_PLAN_STG!$Q$2:$Q$1879,_PLAN_STG!$D$2:$D$1879,B618,_PLAN_STG!$B$2:$B$1879,"EQ",_PLAN_STG!$O$2:$O$1879,1)</f>
        <v>0</v>
      </c>
      <c r="H618" s="227"/>
      <c r="I618" s="226">
        <f>SUMPRODUCT((_PLAN_STG!$D$2:$D$1879=B618)*(_PLAN_STG!$B$2:$B$1879="EQ")*(_PLAN_STG!$O$2:$O$1879=1)*(_PLAN_STG!$P$2:$P$1879&gt;0))</f>
        <v>0</v>
      </c>
      <c r="J618" s="227"/>
    </row>
    <row r="619" spans="1:10" x14ac:dyDescent="0.35">
      <c r="A619" s="222" t="str">
        <f t="shared" si="14"/>
        <v/>
      </c>
      <c r="B619" s="223" t="s">
        <v>1651</v>
      </c>
      <c r="C619" s="224" t="str">
        <f>IFERROR(VLOOKUP(B619,EQUIPOS!$A:$B,2,FALSE()),IFERROR(INDEX(COMPOSICIÓN!$E$2:$E$1879,MATCH(B619,COMPOSICIÓN!$D$2:$D$1879,0)),""))</f>
        <v>Maquina revocadora Revoque/Yeso - Alq. X mes</v>
      </c>
      <c r="D619" s="226">
        <f>IFERROR(VLOOKUP(B619,EQUIPOS!$A:$E,5,FALSE()),"")</f>
        <v>30</v>
      </c>
      <c r="E619" s="161">
        <f>SUMIFS(_PLAN_STG!$P$2:$P$1879,_PLAN_STG!$D$2:$D$1879,B619,_PLAN_STG!$B$2:$B$1879,"EQ",_PLAN_STG!$O$2:$O$1879,1)</f>
        <v>0</v>
      </c>
      <c r="F619" s="162">
        <f>IFERROR(VLOOKUP(B619,EQUIPOS!$A:$F,6,FALSE()),IFERROR(INDEX(COMPOSICIÓN!$I$2:$I$1879,MATCH(B619,COMPOSICIÓN!$D$2:$D$1879,0)),0))</f>
        <v>41000</v>
      </c>
      <c r="G619" s="163">
        <f>SUMIFS(_PLAN_STG!$Q$2:$Q$1879,_PLAN_STG!$D$2:$D$1879,B619,_PLAN_STG!$B$2:$B$1879,"EQ",_PLAN_STG!$O$2:$O$1879,1)</f>
        <v>0</v>
      </c>
      <c r="H619" s="227"/>
      <c r="I619" s="226">
        <f>SUMPRODUCT((_PLAN_STG!$D$2:$D$1879=B619)*(_PLAN_STG!$B$2:$B$1879="EQ")*(_PLAN_STG!$O$2:$O$1879=1)*(_PLAN_STG!$P$2:$P$1879&gt;0))</f>
        <v>0</v>
      </c>
      <c r="J619" s="227"/>
    </row>
    <row r="620" spans="1:10" x14ac:dyDescent="0.35">
      <c r="A620" s="222" t="str">
        <f t="shared" si="14"/>
        <v/>
      </c>
      <c r="B620" s="223" t="s">
        <v>1625</v>
      </c>
      <c r="C620" s="224" t="str">
        <f>IFERROR(VLOOKUP(B620,EQUIPOS!$A:$B,2,FALSE()),IFERROR(INDEX(COMPOSICIÓN!$E$2:$E$1879,MATCH(B620,COMPOSICIÓN!$D$2:$D$1879,0)),""))</f>
        <v>Kit Complementario Silleta Descensor Conector Soga X 50 Mts</v>
      </c>
      <c r="D620" s="226">
        <f>IFERROR(VLOOKUP(B620,EQUIPOS!$A:$E,5,FALSE()),"")</f>
        <v>360</v>
      </c>
      <c r="E620" s="161">
        <f>SUMIFS(_PLAN_STG!$P$2:$P$1879,_PLAN_STG!$D$2:$D$1879,B620,_PLAN_STG!$B$2:$B$1879,"EQ",_PLAN_STG!$O$2:$O$1879,1)</f>
        <v>0</v>
      </c>
      <c r="F620" s="162">
        <f>IFERROR(VLOOKUP(B620,EQUIPOS!$A:$F,6,FALSE()),IFERROR(INDEX(COMPOSICIÓN!$I$2:$I$1879,MATCH(B620,COMPOSICIÓN!$D$2:$D$1879,0)),0))</f>
        <v>1899.1826421923361</v>
      </c>
      <c r="G620" s="163">
        <f>SUMIFS(_PLAN_STG!$Q$2:$Q$1879,_PLAN_STG!$D$2:$D$1879,B620,_PLAN_STG!$B$2:$B$1879,"EQ",_PLAN_STG!$O$2:$O$1879,1)</f>
        <v>0</v>
      </c>
      <c r="H620" s="227"/>
      <c r="I620" s="226">
        <f>SUMPRODUCT((_PLAN_STG!$D$2:$D$1879=B620)*(_PLAN_STG!$B$2:$B$1879="EQ")*(_PLAN_STG!$O$2:$O$1879=1)*(_PLAN_STG!$P$2:$P$1879&gt;0))</f>
        <v>0</v>
      </c>
      <c r="J620" s="227"/>
    </row>
    <row r="621" spans="1:10" x14ac:dyDescent="0.35">
      <c r="A621" s="222" t="str">
        <f t="shared" si="14"/>
        <v/>
      </c>
      <c r="B621" s="223" t="s">
        <v>1616</v>
      </c>
      <c r="C621" s="224" t="str">
        <f>IFERROR(VLOOKUP(B621,EQUIPOS!$A:$B,2,FALSE()),IFERROR(INDEX(COMPOSICIÓN!$E$2:$E$1879,MATCH(B621,COMPOSICIÓN!$D$2:$D$1879,0)),""))</f>
        <v>Soldador Soplete A Gas Techista Membrana 10 Kg Boca 50mm</v>
      </c>
      <c r="D621" s="226">
        <f>IFERROR(VLOOKUP(B621,EQUIPOS!$A:$E,5,FALSE()),"")</f>
        <v>720</v>
      </c>
      <c r="E621" s="161">
        <f>SUMIFS(_PLAN_STG!$P$2:$P$1879,_PLAN_STG!$D$2:$D$1879,B621,_PLAN_STG!$B$2:$B$1879,"EQ",_PLAN_STG!$O$2:$O$1879,1)</f>
        <v>0</v>
      </c>
      <c r="F621" s="162">
        <f>IFERROR(VLOOKUP(B621,EQUIPOS!$A:$F,6,FALSE()),IFERROR(INDEX(COMPOSICIÓN!$I$2:$I$1879,MATCH(B621,COMPOSICIÓN!$D$2:$D$1879,0)),0))</f>
        <v>804.50568716120006</v>
      </c>
      <c r="G621" s="163">
        <f>SUMIFS(_PLAN_STG!$Q$2:$Q$1879,_PLAN_STG!$D$2:$D$1879,B621,_PLAN_STG!$B$2:$B$1879,"EQ",_PLAN_STG!$O$2:$O$1879,1)</f>
        <v>0</v>
      </c>
      <c r="H621" s="227"/>
      <c r="I621" s="226">
        <f>SUMPRODUCT((_PLAN_STG!$D$2:$D$1879=B621)*(_PLAN_STG!$B$2:$B$1879="EQ")*(_PLAN_STG!$O$2:$O$1879=1)*(_PLAN_STG!$P$2:$P$1879&gt;0))</f>
        <v>0</v>
      </c>
      <c r="J621" s="227"/>
    </row>
    <row r="622" spans="1:10" x14ac:dyDescent="0.35">
      <c r="A622" s="222">
        <f t="shared" si="14"/>
        <v>121</v>
      </c>
      <c r="B622" s="223" t="s">
        <v>1613</v>
      </c>
      <c r="C622" s="224" t="str">
        <f>IFERROR(VLOOKUP(B622,EQUIPOS!$A:$B,2,FALSE()),IFERROR(INDEX(COMPOSICIÓN!$E$2:$E$1879,MATCH(B622,COMPOSICIÓN!$D$2:$D$1879,0)),""))</f>
        <v>Hormigonera De 150 Litros 1hp Con Rueda Maciza</v>
      </c>
      <c r="D622" s="226">
        <f>IFERROR(VLOOKUP(B622,EQUIPOS!$A:$E,5,FALSE()),"")</f>
        <v>720</v>
      </c>
      <c r="E622" s="161">
        <f>SUMIFS(_PLAN_STG!$P$2:$P$1879,_PLAN_STG!$D$2:$D$1879,B622,_PLAN_STG!$B$2:$B$1879,"EQ",_PLAN_STG!$O$2:$O$1879,1)</f>
        <v>118.31904761904762</v>
      </c>
      <c r="F622" s="162">
        <f>IFERROR(VLOOKUP(B622,EQUIPOS!$A:$F,6,FALSE()),IFERROR(INDEX(COMPOSICIÓN!$I$2:$I$1879,MATCH(B622,COMPOSICIÓN!$D$2:$D$1879,0)),0))</f>
        <v>957.25319614994726</v>
      </c>
      <c r="G622" s="163">
        <f>SUMIFS(_PLAN_STG!$Q$2:$Q$1879,_PLAN_STG!$D$2:$D$1879,B622,_PLAN_STG!$B$2:$B$1879,"EQ",_PLAN_STG!$O$2:$O$1879,1)</f>
        <v>113261.28649875114</v>
      </c>
      <c r="H622" s="227"/>
      <c r="I622" s="226">
        <f>SUMPRODUCT((_PLAN_STG!$D$2:$D$1879=B622)*(_PLAN_STG!$B$2:$B$1879="EQ")*(_PLAN_STG!$O$2:$O$1879=1)*(_PLAN_STG!$P$2:$P$1879&gt;0))</f>
        <v>6</v>
      </c>
      <c r="J622" s="227"/>
    </row>
    <row r="623" spans="1:10" x14ac:dyDescent="0.35">
      <c r="A623" s="222" t="str">
        <f t="shared" si="14"/>
        <v/>
      </c>
      <c r="B623" s="223" t="s">
        <v>1667</v>
      </c>
      <c r="C623" s="224" t="str">
        <f>IFERROR(VLOOKUP(B623,EQUIPOS!$A:$B,2,FALSE()),IFERROR(INDEX(COMPOSICIÓN!$E$2:$E$1879,MATCH(B623,COMPOSICIÓN!$D$2:$D$1879,0)),""))</f>
        <v>Camion chasis volcador 170E22 - (c/ operario y combustible) - Alq. X dia</v>
      </c>
      <c r="D623" s="226">
        <f>IFERROR(VLOOKUP(B623,EQUIPOS!$A:$E,5,FALSE()),"")</f>
        <v>1</v>
      </c>
      <c r="E623" s="161">
        <f>SUMIFS(_PLAN_STG!$P$2:$P$1879,_PLAN_STG!$D$2:$D$1879,B623,_PLAN_STG!$B$2:$B$1879,"EQ",_PLAN_STG!$O$2:$O$1879,1)</f>
        <v>0</v>
      </c>
      <c r="F623" s="162">
        <f>IFERROR(VLOOKUP(B623,EQUIPOS!$A:$F,6,FALSE()),IFERROR(INDEX(COMPOSICIÓN!$I$2:$I$1879,MATCH(B623,COMPOSICIÓN!$D$2:$D$1879,0)),0))</f>
        <v>258250</v>
      </c>
      <c r="G623" s="163">
        <f>SUMIFS(_PLAN_STG!$Q$2:$Q$1879,_PLAN_STG!$D$2:$D$1879,B623,_PLAN_STG!$B$2:$B$1879,"EQ",_PLAN_STG!$O$2:$O$1879,1)</f>
        <v>0</v>
      </c>
      <c r="H623" s="227"/>
      <c r="I623" s="226">
        <f>SUMPRODUCT((_PLAN_STG!$D$2:$D$1879=B623)*(_PLAN_STG!$B$2:$B$1879="EQ")*(_PLAN_STG!$O$2:$O$1879=1)*(_PLAN_STG!$P$2:$P$1879&gt;0))</f>
        <v>0</v>
      </c>
      <c r="J623" s="227"/>
    </row>
    <row r="624" spans="1:10" x14ac:dyDescent="0.35">
      <c r="A624" s="222" t="str">
        <f t="shared" si="14"/>
        <v/>
      </c>
      <c r="B624" s="223"/>
      <c r="C624" s="224" t="str">
        <f>IFERROR(VLOOKUP(B624,EQUIPOS!$A:$B,2,FALSE()),IFERROR(INDEX(COMPOSICIÓN!$E$2:$E$1879,MATCH(B624,COMPOSICIÓN!$D$2:$D$1879,0)),""))</f>
        <v/>
      </c>
      <c r="D624" s="226" t="str">
        <f>IFERROR(VLOOKUP(B624,EQUIPOS!$A:$E,5,FALSE()),"")</f>
        <v/>
      </c>
      <c r="E624" s="161">
        <f>SUMIFS(_PLAN_STG!$P$2:$P$1879,_PLAN_STG!$D$2:$D$1879,B624,_PLAN_STG!$B$2:$B$1879,"EQ",_PLAN_STG!$O$2:$O$1879,1)</f>
        <v>0</v>
      </c>
      <c r="F624" s="162">
        <f>IFERROR(VLOOKUP(B624,EQUIPOS!$A:$F,6,FALSE()),IFERROR(INDEX(COMPOSICIÓN!$I$2:$I$1879,MATCH(B624,COMPOSICIÓN!$D$2:$D$1879,0)),0))</f>
        <v>0</v>
      </c>
      <c r="G624" s="163">
        <f>SUMIFS(_PLAN_STG!$Q$2:$Q$1879,_PLAN_STG!$D$2:$D$1879,B624,_PLAN_STG!$B$2:$B$1879,"EQ",_PLAN_STG!$O$2:$O$1879,1)</f>
        <v>0</v>
      </c>
      <c r="H624" s="227"/>
      <c r="I624" s="226">
        <f>SUMPRODUCT((_PLAN_STG!$D$2:$D$1879=B624)*(_PLAN_STG!$B$2:$B$1879="EQ")*(_PLAN_STG!$O$2:$O$1879=1)*(_PLAN_STG!$P$2:$P$1879&gt;0))</f>
        <v>0</v>
      </c>
      <c r="J624" s="227"/>
    </row>
    <row r="625" spans="1:10" x14ac:dyDescent="0.35">
      <c r="A625" s="222" t="str">
        <f t="shared" si="14"/>
        <v/>
      </c>
      <c r="B625" s="223"/>
      <c r="C625" s="224" t="str">
        <f>IFERROR(VLOOKUP(B625,EQUIPOS!$A:$B,2,FALSE()),IFERROR(INDEX(COMPOSICIÓN!$E$2:$E$1879,MATCH(B625,COMPOSICIÓN!$D$2:$D$1879,0)),""))</f>
        <v/>
      </c>
      <c r="D625" s="226" t="str">
        <f>IFERROR(VLOOKUP(B625,EQUIPOS!$A:$E,5,FALSE()),"")</f>
        <v/>
      </c>
      <c r="E625" s="161">
        <f>SUMIFS(_PLAN_STG!$P$2:$P$1879,_PLAN_STG!$D$2:$D$1879,B625,_PLAN_STG!$B$2:$B$1879,"EQ",_PLAN_STG!$O$2:$O$1879,1)</f>
        <v>0</v>
      </c>
      <c r="F625" s="162">
        <f>IFERROR(VLOOKUP(B625,EQUIPOS!$A:$F,6,FALSE()),IFERROR(INDEX(COMPOSICIÓN!$I$2:$I$1879,MATCH(B625,COMPOSICIÓN!$D$2:$D$1879,0)),0))</f>
        <v>0</v>
      </c>
      <c r="G625" s="163">
        <f>SUMIFS(_PLAN_STG!$Q$2:$Q$1879,_PLAN_STG!$D$2:$D$1879,B625,_PLAN_STG!$B$2:$B$1879,"EQ",_PLAN_STG!$O$2:$O$1879,1)</f>
        <v>0</v>
      </c>
      <c r="H625" s="227"/>
      <c r="I625" s="226">
        <f>SUMPRODUCT((_PLAN_STG!$D$2:$D$1879=B625)*(_PLAN_STG!$B$2:$B$1879="EQ")*(_PLAN_STG!$O$2:$O$1879=1)*(_PLAN_STG!$P$2:$P$1879&gt;0))</f>
        <v>0</v>
      </c>
      <c r="J625" s="227"/>
    </row>
    <row r="626" spans="1:10" x14ac:dyDescent="0.35">
      <c r="A626" s="222" t="str">
        <f t="shared" si="14"/>
        <v/>
      </c>
      <c r="B626" s="223"/>
      <c r="C626" s="224" t="str">
        <f>IFERROR(VLOOKUP(B626,EQUIPOS!$A:$B,2,FALSE()),IFERROR(INDEX(COMPOSICIÓN!$E$2:$E$1879,MATCH(B626,COMPOSICIÓN!$D$2:$D$1879,0)),""))</f>
        <v/>
      </c>
      <c r="D626" s="226" t="str">
        <f>IFERROR(VLOOKUP(B626,EQUIPOS!$A:$E,5,FALSE()),"")</f>
        <v/>
      </c>
      <c r="E626" s="161">
        <f>SUMIFS(_PLAN_STG!$P$2:$P$1879,_PLAN_STG!$D$2:$D$1879,B626,_PLAN_STG!$B$2:$B$1879,"EQ",_PLAN_STG!$O$2:$O$1879,1)</f>
        <v>0</v>
      </c>
      <c r="F626" s="162">
        <f>IFERROR(VLOOKUP(B626,EQUIPOS!$A:$F,6,FALSE()),IFERROR(INDEX(COMPOSICIÓN!$I$2:$I$1879,MATCH(B626,COMPOSICIÓN!$D$2:$D$1879,0)),0))</f>
        <v>0</v>
      </c>
      <c r="G626" s="163">
        <f>SUMIFS(_PLAN_STG!$Q$2:$Q$1879,_PLAN_STG!$D$2:$D$1879,B626,_PLAN_STG!$B$2:$B$1879,"EQ",_PLAN_STG!$O$2:$O$1879,1)</f>
        <v>0</v>
      </c>
      <c r="H626" s="227"/>
      <c r="I626" s="226">
        <f>SUMPRODUCT((_PLAN_STG!$D$2:$D$1879=B626)*(_PLAN_STG!$B$2:$B$1879="EQ")*(_PLAN_STG!$O$2:$O$1879=1)*(_PLAN_STG!$P$2:$P$1879&gt;0))</f>
        <v>0</v>
      </c>
      <c r="J626" s="227"/>
    </row>
    <row r="627" spans="1:10" x14ac:dyDescent="0.35">
      <c r="A627" s="222" t="str">
        <f t="shared" si="14"/>
        <v/>
      </c>
      <c r="B627" s="223"/>
      <c r="C627" s="224" t="str">
        <f>IFERROR(VLOOKUP(B627,EQUIPOS!$A:$B,2,FALSE()),IFERROR(INDEX(COMPOSICIÓN!$E$2:$E$1879,MATCH(B627,COMPOSICIÓN!$D$2:$D$1879,0)),""))</f>
        <v/>
      </c>
      <c r="D627" s="226" t="str">
        <f>IFERROR(VLOOKUP(B627,EQUIPOS!$A:$E,5,FALSE()),"")</f>
        <v/>
      </c>
      <c r="E627" s="161">
        <f>SUMIFS(_PLAN_STG!$P$2:$P$1879,_PLAN_STG!$D$2:$D$1879,B627,_PLAN_STG!$B$2:$B$1879,"EQ",_PLAN_STG!$O$2:$O$1879,1)</f>
        <v>0</v>
      </c>
      <c r="F627" s="162">
        <f>IFERROR(VLOOKUP(B627,EQUIPOS!$A:$F,6,FALSE()),IFERROR(INDEX(COMPOSICIÓN!$I$2:$I$1879,MATCH(B627,COMPOSICIÓN!$D$2:$D$1879,0)),0))</f>
        <v>0</v>
      </c>
      <c r="G627" s="163">
        <f>SUMIFS(_PLAN_STG!$Q$2:$Q$1879,_PLAN_STG!$D$2:$D$1879,B627,_PLAN_STG!$B$2:$B$1879,"EQ",_PLAN_STG!$O$2:$O$1879,1)</f>
        <v>0</v>
      </c>
      <c r="H627" s="227"/>
      <c r="I627" s="226">
        <f>SUMPRODUCT((_PLAN_STG!$D$2:$D$1879=B627)*(_PLAN_STG!$B$2:$B$1879="EQ")*(_PLAN_STG!$O$2:$O$1879=1)*(_PLAN_STG!$P$2:$P$1879&gt;0))</f>
        <v>0</v>
      </c>
      <c r="J627" s="227"/>
    </row>
    <row r="628" spans="1:10" x14ac:dyDescent="0.35">
      <c r="A628" s="222" t="str">
        <f t="shared" si="14"/>
        <v/>
      </c>
      <c r="B628" s="223"/>
      <c r="C628" s="224" t="str">
        <f>IFERROR(VLOOKUP(B628,EQUIPOS!$A:$B,2,FALSE()),IFERROR(INDEX(COMPOSICIÓN!$E$2:$E$1879,MATCH(B628,COMPOSICIÓN!$D$2:$D$1879,0)),""))</f>
        <v/>
      </c>
      <c r="D628" s="226" t="str">
        <f>IFERROR(VLOOKUP(B628,EQUIPOS!$A:$E,5,FALSE()),"")</f>
        <v/>
      </c>
      <c r="E628" s="161">
        <f>SUMIFS(_PLAN_STG!$P$2:$P$1879,_PLAN_STG!$D$2:$D$1879,B628,_PLAN_STG!$B$2:$B$1879,"EQ",_PLAN_STG!$O$2:$O$1879,1)</f>
        <v>0</v>
      </c>
      <c r="F628" s="162">
        <f>IFERROR(VLOOKUP(B628,EQUIPOS!$A:$F,6,FALSE()),IFERROR(INDEX(COMPOSICIÓN!$I$2:$I$1879,MATCH(B628,COMPOSICIÓN!$D$2:$D$1879,0)),0))</f>
        <v>0</v>
      </c>
      <c r="G628" s="163">
        <f>SUMIFS(_PLAN_STG!$Q$2:$Q$1879,_PLAN_STG!$D$2:$D$1879,B628,_PLAN_STG!$B$2:$B$1879,"EQ",_PLAN_STG!$O$2:$O$1879,1)</f>
        <v>0</v>
      </c>
      <c r="H628" s="227"/>
      <c r="I628" s="226">
        <f>SUMPRODUCT((_PLAN_STG!$D$2:$D$1879=B628)*(_PLAN_STG!$B$2:$B$1879="EQ")*(_PLAN_STG!$O$2:$O$1879=1)*(_PLAN_STG!$P$2:$P$1879&gt;0))</f>
        <v>0</v>
      </c>
      <c r="J628" s="227"/>
    </row>
    <row r="629" spans="1:10" x14ac:dyDescent="0.35">
      <c r="A629" s="222" t="str">
        <f t="shared" si="14"/>
        <v/>
      </c>
      <c r="B629" s="223"/>
      <c r="C629" s="224" t="str">
        <f>IFERROR(VLOOKUP(B629,EQUIPOS!$A:$B,2,FALSE()),IFERROR(INDEX(COMPOSICIÓN!$E$2:$E$1879,MATCH(B629,COMPOSICIÓN!$D$2:$D$1879,0)),""))</f>
        <v/>
      </c>
      <c r="D629" s="226" t="str">
        <f>IFERROR(VLOOKUP(B629,EQUIPOS!$A:$E,5,FALSE()),"")</f>
        <v/>
      </c>
      <c r="E629" s="161">
        <f>SUMIFS(_PLAN_STG!$P$2:$P$1879,_PLAN_STG!$D$2:$D$1879,B629,_PLAN_STG!$B$2:$B$1879,"EQ",_PLAN_STG!$O$2:$O$1879,1)</f>
        <v>0</v>
      </c>
      <c r="F629" s="162">
        <f>IFERROR(VLOOKUP(B629,EQUIPOS!$A:$F,6,FALSE()),IFERROR(INDEX(COMPOSICIÓN!$I$2:$I$1879,MATCH(B629,COMPOSICIÓN!$D$2:$D$1879,0)),0))</f>
        <v>0</v>
      </c>
      <c r="G629" s="163">
        <f>SUMIFS(_PLAN_STG!$Q$2:$Q$1879,_PLAN_STG!$D$2:$D$1879,B629,_PLAN_STG!$B$2:$B$1879,"EQ",_PLAN_STG!$O$2:$O$1879,1)</f>
        <v>0</v>
      </c>
      <c r="H629" s="227"/>
      <c r="I629" s="226">
        <f>SUMPRODUCT((_PLAN_STG!$D$2:$D$1879=B629)*(_PLAN_STG!$B$2:$B$1879="EQ")*(_PLAN_STG!$O$2:$O$1879=1)*(_PLAN_STG!$P$2:$P$1879&gt;0))</f>
        <v>0</v>
      </c>
      <c r="J629" s="227"/>
    </row>
    <row r="630" spans="1:10" x14ac:dyDescent="0.35">
      <c r="A630" s="222" t="str">
        <f t="shared" ref="A630:A643" si="15">IF(G630=0,"",ROW()-502+1)</f>
        <v/>
      </c>
      <c r="B630" s="223"/>
      <c r="C630" s="224" t="str">
        <f>IFERROR(VLOOKUP(B630,EQUIPOS!$A:$B,2,FALSE()),IFERROR(INDEX(COMPOSICIÓN!$E$2:$E$1879,MATCH(B630,COMPOSICIÓN!$D$2:$D$1879,0)),""))</f>
        <v/>
      </c>
      <c r="D630" s="226" t="str">
        <f>IFERROR(VLOOKUP(B630,EQUIPOS!$A:$E,5,FALSE()),"")</f>
        <v/>
      </c>
      <c r="E630" s="161">
        <f>SUMIFS(_PLAN_STG!$P$2:$P$1879,_PLAN_STG!$D$2:$D$1879,B630,_PLAN_STG!$B$2:$B$1879,"EQ",_PLAN_STG!$O$2:$O$1879,1)</f>
        <v>0</v>
      </c>
      <c r="F630" s="162">
        <f>IFERROR(VLOOKUP(B630,EQUIPOS!$A:$F,6,FALSE()),IFERROR(INDEX(COMPOSICIÓN!$I$2:$I$1879,MATCH(B630,COMPOSICIÓN!$D$2:$D$1879,0)),0))</f>
        <v>0</v>
      </c>
      <c r="G630" s="163">
        <f>SUMIFS(_PLAN_STG!$Q$2:$Q$1879,_PLAN_STG!$D$2:$D$1879,B630,_PLAN_STG!$B$2:$B$1879,"EQ",_PLAN_STG!$O$2:$O$1879,1)</f>
        <v>0</v>
      </c>
      <c r="H630" s="227"/>
      <c r="I630" s="226">
        <f>SUMPRODUCT((_PLAN_STG!$D$2:$D$1879=B630)*(_PLAN_STG!$B$2:$B$1879="EQ")*(_PLAN_STG!$O$2:$O$1879=1)*(_PLAN_STG!$P$2:$P$1879&gt;0))</f>
        <v>0</v>
      </c>
      <c r="J630" s="227"/>
    </row>
    <row r="631" spans="1:10" x14ac:dyDescent="0.35">
      <c r="A631" s="222" t="str">
        <f t="shared" si="15"/>
        <v/>
      </c>
      <c r="B631" s="223"/>
      <c r="C631" s="224" t="str">
        <f>IFERROR(VLOOKUP(B631,EQUIPOS!$A:$B,2,FALSE()),IFERROR(INDEX(COMPOSICIÓN!$E$2:$E$1879,MATCH(B631,COMPOSICIÓN!$D$2:$D$1879,0)),""))</f>
        <v/>
      </c>
      <c r="D631" s="226" t="str">
        <f>IFERROR(VLOOKUP(B631,EQUIPOS!$A:$E,5,FALSE()),"")</f>
        <v/>
      </c>
      <c r="E631" s="161">
        <f>SUMIFS(_PLAN_STG!$P$2:$P$1879,_PLAN_STG!$D$2:$D$1879,B631,_PLAN_STG!$B$2:$B$1879,"EQ",_PLAN_STG!$O$2:$O$1879,1)</f>
        <v>0</v>
      </c>
      <c r="F631" s="162">
        <f>IFERROR(VLOOKUP(B631,EQUIPOS!$A:$F,6,FALSE()),IFERROR(INDEX(COMPOSICIÓN!$I$2:$I$1879,MATCH(B631,COMPOSICIÓN!$D$2:$D$1879,0)),0))</f>
        <v>0</v>
      </c>
      <c r="G631" s="163">
        <f>SUMIFS(_PLAN_STG!$Q$2:$Q$1879,_PLAN_STG!$D$2:$D$1879,B631,_PLAN_STG!$B$2:$B$1879,"EQ",_PLAN_STG!$O$2:$O$1879,1)</f>
        <v>0</v>
      </c>
      <c r="H631" s="227"/>
      <c r="I631" s="226">
        <f>SUMPRODUCT((_PLAN_STG!$D$2:$D$1879=B631)*(_PLAN_STG!$B$2:$B$1879="EQ")*(_PLAN_STG!$O$2:$O$1879=1)*(_PLAN_STG!$P$2:$P$1879&gt;0))</f>
        <v>0</v>
      </c>
      <c r="J631" s="227"/>
    </row>
    <row r="632" spans="1:10" x14ac:dyDescent="0.35">
      <c r="A632" s="222" t="str">
        <f t="shared" si="15"/>
        <v/>
      </c>
      <c r="B632" s="223"/>
      <c r="C632" s="224" t="str">
        <f>IFERROR(VLOOKUP(B632,EQUIPOS!$A:$B,2,FALSE()),IFERROR(INDEX(COMPOSICIÓN!$E$2:$E$1879,MATCH(B632,COMPOSICIÓN!$D$2:$D$1879,0)),""))</f>
        <v/>
      </c>
      <c r="D632" s="226" t="str">
        <f>IFERROR(VLOOKUP(B632,EQUIPOS!$A:$E,5,FALSE()),"")</f>
        <v/>
      </c>
      <c r="E632" s="161">
        <f>SUMIFS(_PLAN_STG!$P$2:$P$1879,_PLAN_STG!$D$2:$D$1879,B632,_PLAN_STG!$B$2:$B$1879,"EQ",_PLAN_STG!$O$2:$O$1879,1)</f>
        <v>0</v>
      </c>
      <c r="F632" s="162">
        <f>IFERROR(VLOOKUP(B632,EQUIPOS!$A:$F,6,FALSE()),IFERROR(INDEX(COMPOSICIÓN!$I$2:$I$1879,MATCH(B632,COMPOSICIÓN!$D$2:$D$1879,0)),0))</f>
        <v>0</v>
      </c>
      <c r="G632" s="163">
        <f>SUMIFS(_PLAN_STG!$Q$2:$Q$1879,_PLAN_STG!$D$2:$D$1879,B632,_PLAN_STG!$B$2:$B$1879,"EQ",_PLAN_STG!$O$2:$O$1879,1)</f>
        <v>0</v>
      </c>
      <c r="H632" s="227"/>
      <c r="I632" s="226">
        <f>SUMPRODUCT((_PLAN_STG!$D$2:$D$1879=B632)*(_PLAN_STG!$B$2:$B$1879="EQ")*(_PLAN_STG!$O$2:$O$1879=1)*(_PLAN_STG!$P$2:$P$1879&gt;0))</f>
        <v>0</v>
      </c>
      <c r="J632" s="227"/>
    </row>
    <row r="633" spans="1:10" x14ac:dyDescent="0.35">
      <c r="A633" s="222" t="str">
        <f t="shared" si="15"/>
        <v/>
      </c>
      <c r="B633" s="223"/>
      <c r="C633" s="224" t="str">
        <f>IFERROR(VLOOKUP(B633,EQUIPOS!$A:$B,2,FALSE()),IFERROR(INDEX(COMPOSICIÓN!$E$2:$E$1879,MATCH(B633,COMPOSICIÓN!$D$2:$D$1879,0)),""))</f>
        <v/>
      </c>
      <c r="D633" s="226" t="str">
        <f>IFERROR(VLOOKUP(B633,EQUIPOS!$A:$E,5,FALSE()),"")</f>
        <v/>
      </c>
      <c r="E633" s="161">
        <f>SUMIFS(_PLAN_STG!$P$2:$P$1879,_PLAN_STG!$D$2:$D$1879,B633,_PLAN_STG!$B$2:$B$1879,"EQ",_PLAN_STG!$O$2:$O$1879,1)</f>
        <v>0</v>
      </c>
      <c r="F633" s="162">
        <f>IFERROR(VLOOKUP(B633,EQUIPOS!$A:$F,6,FALSE()),IFERROR(INDEX(COMPOSICIÓN!$I$2:$I$1879,MATCH(B633,COMPOSICIÓN!$D$2:$D$1879,0)),0))</f>
        <v>0</v>
      </c>
      <c r="G633" s="163">
        <f>SUMIFS(_PLAN_STG!$Q$2:$Q$1879,_PLAN_STG!$D$2:$D$1879,B633,_PLAN_STG!$B$2:$B$1879,"EQ",_PLAN_STG!$O$2:$O$1879,1)</f>
        <v>0</v>
      </c>
      <c r="H633" s="227"/>
      <c r="I633" s="226">
        <f>SUMPRODUCT((_PLAN_STG!$D$2:$D$1879=B633)*(_PLAN_STG!$B$2:$B$1879="EQ")*(_PLAN_STG!$O$2:$O$1879=1)*(_PLAN_STG!$P$2:$P$1879&gt;0))</f>
        <v>0</v>
      </c>
      <c r="J633" s="227"/>
    </row>
    <row r="634" spans="1:10" x14ac:dyDescent="0.35">
      <c r="A634" s="222" t="str">
        <f t="shared" si="15"/>
        <v/>
      </c>
      <c r="B634" s="223"/>
      <c r="C634" s="224" t="str">
        <f>IFERROR(VLOOKUP(B634,EQUIPOS!$A:$B,2,FALSE()),IFERROR(INDEX(COMPOSICIÓN!$E$2:$E$1879,MATCH(B634,COMPOSICIÓN!$D$2:$D$1879,0)),""))</f>
        <v/>
      </c>
      <c r="D634" s="226" t="str">
        <f>IFERROR(VLOOKUP(B634,EQUIPOS!$A:$E,5,FALSE()),"")</f>
        <v/>
      </c>
      <c r="E634" s="161">
        <f>SUMIFS(_PLAN_STG!$P$2:$P$1879,_PLAN_STG!$D$2:$D$1879,B634,_PLAN_STG!$B$2:$B$1879,"EQ",_PLAN_STG!$O$2:$O$1879,1)</f>
        <v>0</v>
      </c>
      <c r="F634" s="162">
        <f>IFERROR(VLOOKUP(B634,EQUIPOS!$A:$F,6,FALSE()),IFERROR(INDEX(COMPOSICIÓN!$I$2:$I$1879,MATCH(B634,COMPOSICIÓN!$D$2:$D$1879,0)),0))</f>
        <v>0</v>
      </c>
      <c r="G634" s="163">
        <f>SUMIFS(_PLAN_STG!$Q$2:$Q$1879,_PLAN_STG!$D$2:$D$1879,B634,_PLAN_STG!$B$2:$B$1879,"EQ",_PLAN_STG!$O$2:$O$1879,1)</f>
        <v>0</v>
      </c>
      <c r="H634" s="227"/>
      <c r="I634" s="226">
        <f>SUMPRODUCT((_PLAN_STG!$D$2:$D$1879=B634)*(_PLAN_STG!$B$2:$B$1879="EQ")*(_PLAN_STG!$O$2:$O$1879=1)*(_PLAN_STG!$P$2:$P$1879&gt;0))</f>
        <v>0</v>
      </c>
      <c r="J634" s="227"/>
    </row>
    <row r="635" spans="1:10" x14ac:dyDescent="0.35">
      <c r="A635" s="222" t="str">
        <f t="shared" si="15"/>
        <v/>
      </c>
      <c r="B635" s="223"/>
      <c r="C635" s="224" t="str">
        <f>IFERROR(VLOOKUP(B635,EQUIPOS!$A:$B,2,FALSE()),IFERROR(INDEX(COMPOSICIÓN!$E$2:$E$1879,MATCH(B635,COMPOSICIÓN!$D$2:$D$1879,0)),""))</f>
        <v/>
      </c>
      <c r="D635" s="226" t="str">
        <f>IFERROR(VLOOKUP(B635,EQUIPOS!$A:$E,5,FALSE()),"")</f>
        <v/>
      </c>
      <c r="E635" s="161">
        <f>SUMIFS(_PLAN_STG!$P$2:$P$1879,_PLAN_STG!$D$2:$D$1879,B635,_PLAN_STG!$B$2:$B$1879,"EQ",_PLAN_STG!$O$2:$O$1879,1)</f>
        <v>0</v>
      </c>
      <c r="F635" s="162">
        <f>IFERROR(VLOOKUP(B635,EQUIPOS!$A:$F,6,FALSE()),IFERROR(INDEX(COMPOSICIÓN!$I$2:$I$1879,MATCH(B635,COMPOSICIÓN!$D$2:$D$1879,0)),0))</f>
        <v>0</v>
      </c>
      <c r="G635" s="163">
        <f>SUMIFS(_PLAN_STG!$Q$2:$Q$1879,_PLAN_STG!$D$2:$D$1879,B635,_PLAN_STG!$B$2:$B$1879,"EQ",_PLAN_STG!$O$2:$O$1879,1)</f>
        <v>0</v>
      </c>
      <c r="H635" s="227"/>
      <c r="I635" s="226">
        <f>SUMPRODUCT((_PLAN_STG!$D$2:$D$1879=B635)*(_PLAN_STG!$B$2:$B$1879="EQ")*(_PLAN_STG!$O$2:$O$1879=1)*(_PLAN_STG!$P$2:$P$1879&gt;0))</f>
        <v>0</v>
      </c>
      <c r="J635" s="227"/>
    </row>
    <row r="636" spans="1:10" x14ac:dyDescent="0.35">
      <c r="A636" s="222" t="str">
        <f t="shared" si="15"/>
        <v/>
      </c>
      <c r="B636" s="223"/>
      <c r="C636" s="224" t="str">
        <f>IFERROR(VLOOKUP(B636,EQUIPOS!$A:$B,2,FALSE()),IFERROR(INDEX(COMPOSICIÓN!$E$2:$E$1879,MATCH(B636,COMPOSICIÓN!$D$2:$D$1879,0)),""))</f>
        <v/>
      </c>
      <c r="D636" s="226" t="str">
        <f>IFERROR(VLOOKUP(B636,EQUIPOS!$A:$E,5,FALSE()),"")</f>
        <v/>
      </c>
      <c r="E636" s="161">
        <f>SUMIFS(_PLAN_STG!$P$2:$P$1879,_PLAN_STG!$D$2:$D$1879,B636,_PLAN_STG!$B$2:$B$1879,"EQ",_PLAN_STG!$O$2:$O$1879,1)</f>
        <v>0</v>
      </c>
      <c r="F636" s="162">
        <f>IFERROR(VLOOKUP(B636,EQUIPOS!$A:$F,6,FALSE()),IFERROR(INDEX(COMPOSICIÓN!$I$2:$I$1879,MATCH(B636,COMPOSICIÓN!$D$2:$D$1879,0)),0))</f>
        <v>0</v>
      </c>
      <c r="G636" s="163">
        <f>SUMIFS(_PLAN_STG!$Q$2:$Q$1879,_PLAN_STG!$D$2:$D$1879,B636,_PLAN_STG!$B$2:$B$1879,"EQ",_PLAN_STG!$O$2:$O$1879,1)</f>
        <v>0</v>
      </c>
      <c r="H636" s="227"/>
      <c r="I636" s="226">
        <f>SUMPRODUCT((_PLAN_STG!$D$2:$D$1879=B636)*(_PLAN_STG!$B$2:$B$1879="EQ")*(_PLAN_STG!$O$2:$O$1879=1)*(_PLAN_STG!$P$2:$P$1879&gt;0))</f>
        <v>0</v>
      </c>
      <c r="J636" s="227"/>
    </row>
    <row r="637" spans="1:10" x14ac:dyDescent="0.35">
      <c r="A637" s="222" t="str">
        <f t="shared" si="15"/>
        <v/>
      </c>
      <c r="B637" s="223"/>
      <c r="C637" s="224" t="str">
        <f>IFERROR(VLOOKUP(B637,EQUIPOS!$A:$B,2,FALSE()),IFERROR(INDEX(COMPOSICIÓN!$E$2:$E$1879,MATCH(B637,COMPOSICIÓN!$D$2:$D$1879,0)),""))</f>
        <v/>
      </c>
      <c r="D637" s="226" t="str">
        <f>IFERROR(VLOOKUP(B637,EQUIPOS!$A:$E,5,FALSE()),"")</f>
        <v/>
      </c>
      <c r="E637" s="161">
        <f>SUMIFS(_PLAN_STG!$P$2:$P$1879,_PLAN_STG!$D$2:$D$1879,B637,_PLAN_STG!$B$2:$B$1879,"EQ",_PLAN_STG!$O$2:$O$1879,1)</f>
        <v>0</v>
      </c>
      <c r="F637" s="162">
        <f>IFERROR(VLOOKUP(B637,EQUIPOS!$A:$F,6,FALSE()),IFERROR(INDEX(COMPOSICIÓN!$I$2:$I$1879,MATCH(B637,COMPOSICIÓN!$D$2:$D$1879,0)),0))</f>
        <v>0</v>
      </c>
      <c r="G637" s="163">
        <f>SUMIFS(_PLAN_STG!$Q$2:$Q$1879,_PLAN_STG!$D$2:$D$1879,B637,_PLAN_STG!$B$2:$B$1879,"EQ",_PLAN_STG!$O$2:$O$1879,1)</f>
        <v>0</v>
      </c>
      <c r="H637" s="227"/>
      <c r="I637" s="226">
        <f>SUMPRODUCT((_PLAN_STG!$D$2:$D$1879=B637)*(_PLAN_STG!$B$2:$B$1879="EQ")*(_PLAN_STG!$O$2:$O$1879=1)*(_PLAN_STG!$P$2:$P$1879&gt;0))</f>
        <v>0</v>
      </c>
      <c r="J637" s="227"/>
    </row>
    <row r="638" spans="1:10" x14ac:dyDescent="0.35">
      <c r="A638" s="222" t="str">
        <f t="shared" si="15"/>
        <v/>
      </c>
      <c r="B638" s="223"/>
      <c r="C638" s="224" t="str">
        <f>IFERROR(VLOOKUP(B638,EQUIPOS!$A:$B,2,FALSE()),IFERROR(INDEX(COMPOSICIÓN!$E$2:$E$1879,MATCH(B638,COMPOSICIÓN!$D$2:$D$1879,0)),""))</f>
        <v/>
      </c>
      <c r="D638" s="226" t="str">
        <f>IFERROR(VLOOKUP(B638,EQUIPOS!$A:$E,5,FALSE()),"")</f>
        <v/>
      </c>
      <c r="E638" s="161">
        <f>SUMIFS(_PLAN_STG!$P$2:$P$1879,_PLAN_STG!$D$2:$D$1879,B638,_PLAN_STG!$B$2:$B$1879,"EQ",_PLAN_STG!$O$2:$O$1879,1)</f>
        <v>0</v>
      </c>
      <c r="F638" s="162">
        <f>IFERROR(VLOOKUP(B638,EQUIPOS!$A:$F,6,FALSE()),IFERROR(INDEX(COMPOSICIÓN!$I$2:$I$1879,MATCH(B638,COMPOSICIÓN!$D$2:$D$1879,0)),0))</f>
        <v>0</v>
      </c>
      <c r="G638" s="163">
        <f>SUMIFS(_PLAN_STG!$Q$2:$Q$1879,_PLAN_STG!$D$2:$D$1879,B638,_PLAN_STG!$B$2:$B$1879,"EQ",_PLAN_STG!$O$2:$O$1879,1)</f>
        <v>0</v>
      </c>
      <c r="H638" s="227"/>
      <c r="I638" s="226">
        <f>SUMPRODUCT((_PLAN_STG!$D$2:$D$1879=B638)*(_PLAN_STG!$B$2:$B$1879="EQ")*(_PLAN_STG!$O$2:$O$1879=1)*(_PLAN_STG!$P$2:$P$1879&gt;0))</f>
        <v>0</v>
      </c>
      <c r="J638" s="227"/>
    </row>
    <row r="639" spans="1:10" x14ac:dyDescent="0.35">
      <c r="A639" s="222" t="str">
        <f t="shared" si="15"/>
        <v/>
      </c>
      <c r="B639" s="223"/>
      <c r="C639" s="224" t="str">
        <f>IFERROR(VLOOKUP(B639,EQUIPOS!$A:$B,2,FALSE()),IFERROR(INDEX(COMPOSICIÓN!$E$2:$E$1879,MATCH(B639,COMPOSICIÓN!$D$2:$D$1879,0)),""))</f>
        <v/>
      </c>
      <c r="D639" s="226" t="str">
        <f>IFERROR(VLOOKUP(B639,EQUIPOS!$A:$E,5,FALSE()),"")</f>
        <v/>
      </c>
      <c r="E639" s="161">
        <f>SUMIFS(_PLAN_STG!$P$2:$P$1879,_PLAN_STG!$D$2:$D$1879,B639,_PLAN_STG!$B$2:$B$1879,"EQ",_PLAN_STG!$O$2:$O$1879,1)</f>
        <v>0</v>
      </c>
      <c r="F639" s="162">
        <f>IFERROR(VLOOKUP(B639,EQUIPOS!$A:$F,6,FALSE()),IFERROR(INDEX(COMPOSICIÓN!$I$2:$I$1879,MATCH(B639,COMPOSICIÓN!$D$2:$D$1879,0)),0))</f>
        <v>0</v>
      </c>
      <c r="G639" s="163">
        <f>SUMIFS(_PLAN_STG!$Q$2:$Q$1879,_PLAN_STG!$D$2:$D$1879,B639,_PLAN_STG!$B$2:$B$1879,"EQ",_PLAN_STG!$O$2:$O$1879,1)</f>
        <v>0</v>
      </c>
      <c r="H639" s="227"/>
      <c r="I639" s="226">
        <f>SUMPRODUCT((_PLAN_STG!$D$2:$D$1879=B639)*(_PLAN_STG!$B$2:$B$1879="EQ")*(_PLAN_STG!$O$2:$O$1879=1)*(_PLAN_STG!$P$2:$P$1879&gt;0))</f>
        <v>0</v>
      </c>
      <c r="J639" s="227"/>
    </row>
    <row r="640" spans="1:10" x14ac:dyDescent="0.35">
      <c r="A640" s="222" t="str">
        <f t="shared" si="15"/>
        <v/>
      </c>
      <c r="B640" s="223"/>
      <c r="C640" s="224" t="str">
        <f>IFERROR(VLOOKUP(B640,EQUIPOS!$A:$B,2,FALSE()),IFERROR(INDEX(COMPOSICIÓN!$E$2:$E$1879,MATCH(B640,COMPOSICIÓN!$D$2:$D$1879,0)),""))</f>
        <v/>
      </c>
      <c r="D640" s="226" t="str">
        <f>IFERROR(VLOOKUP(B640,EQUIPOS!$A:$E,5,FALSE()),"")</f>
        <v/>
      </c>
      <c r="E640" s="161">
        <f>SUMIFS(_PLAN_STG!$P$2:$P$1879,_PLAN_STG!$D$2:$D$1879,B640,_PLAN_STG!$B$2:$B$1879,"EQ",_PLAN_STG!$O$2:$O$1879,1)</f>
        <v>0</v>
      </c>
      <c r="F640" s="162">
        <f>IFERROR(VLOOKUP(B640,EQUIPOS!$A:$F,6,FALSE()),IFERROR(INDEX(COMPOSICIÓN!$I$2:$I$1879,MATCH(B640,COMPOSICIÓN!$D$2:$D$1879,0)),0))</f>
        <v>0</v>
      </c>
      <c r="G640" s="163">
        <f>SUMIFS(_PLAN_STG!$Q$2:$Q$1879,_PLAN_STG!$D$2:$D$1879,B640,_PLAN_STG!$B$2:$B$1879,"EQ",_PLAN_STG!$O$2:$O$1879,1)</f>
        <v>0</v>
      </c>
      <c r="H640" s="227"/>
      <c r="I640" s="226">
        <f>SUMPRODUCT((_PLAN_STG!$D$2:$D$1879=B640)*(_PLAN_STG!$B$2:$B$1879="EQ")*(_PLAN_STG!$O$2:$O$1879=1)*(_PLAN_STG!$P$2:$P$1879&gt;0))</f>
        <v>0</v>
      </c>
      <c r="J640" s="227"/>
    </row>
    <row r="641" spans="1:10" x14ac:dyDescent="0.35">
      <c r="A641" s="222" t="str">
        <f t="shared" si="15"/>
        <v/>
      </c>
      <c r="B641" s="223"/>
      <c r="C641" s="224" t="str">
        <f>IFERROR(VLOOKUP(B641,EQUIPOS!$A:$B,2,FALSE()),IFERROR(INDEX(COMPOSICIÓN!$E$2:$E$1879,MATCH(B641,COMPOSICIÓN!$D$2:$D$1879,0)),""))</f>
        <v/>
      </c>
      <c r="D641" s="226" t="str">
        <f>IFERROR(VLOOKUP(B641,EQUIPOS!$A:$E,5,FALSE()),"")</f>
        <v/>
      </c>
      <c r="E641" s="161">
        <f>SUMIFS(_PLAN_STG!$P$2:$P$1879,_PLAN_STG!$D$2:$D$1879,B641,_PLAN_STG!$B$2:$B$1879,"EQ",_PLAN_STG!$O$2:$O$1879,1)</f>
        <v>0</v>
      </c>
      <c r="F641" s="162">
        <f>IFERROR(VLOOKUP(B641,EQUIPOS!$A:$F,6,FALSE()),IFERROR(INDEX(COMPOSICIÓN!$I$2:$I$1879,MATCH(B641,COMPOSICIÓN!$D$2:$D$1879,0)),0))</f>
        <v>0</v>
      </c>
      <c r="G641" s="163">
        <f>SUMIFS(_PLAN_STG!$Q$2:$Q$1879,_PLAN_STG!$D$2:$D$1879,B641,_PLAN_STG!$B$2:$B$1879,"EQ",_PLAN_STG!$O$2:$O$1879,1)</f>
        <v>0</v>
      </c>
      <c r="H641" s="227"/>
      <c r="I641" s="226">
        <f>SUMPRODUCT((_PLAN_STG!$D$2:$D$1879=B641)*(_PLAN_STG!$B$2:$B$1879="EQ")*(_PLAN_STG!$O$2:$O$1879=1)*(_PLAN_STG!$P$2:$P$1879&gt;0))</f>
        <v>0</v>
      </c>
      <c r="J641" s="227"/>
    </row>
    <row r="642" spans="1:10" x14ac:dyDescent="0.35">
      <c r="A642" s="222" t="str">
        <f t="shared" si="15"/>
        <v/>
      </c>
      <c r="B642" s="223"/>
      <c r="C642" s="224" t="str">
        <f>IFERROR(VLOOKUP(B642,EQUIPOS!$A:$B,2,FALSE()),IFERROR(INDEX(COMPOSICIÓN!$E$2:$E$1879,MATCH(B642,COMPOSICIÓN!$D$2:$D$1879,0)),""))</f>
        <v/>
      </c>
      <c r="D642" s="226" t="str">
        <f>IFERROR(VLOOKUP(B642,EQUIPOS!$A:$E,5,FALSE()),"")</f>
        <v/>
      </c>
      <c r="E642" s="161">
        <f>SUMIFS(_PLAN_STG!$P$2:$P$1879,_PLAN_STG!$D$2:$D$1879,B642,_PLAN_STG!$B$2:$B$1879,"EQ",_PLAN_STG!$O$2:$O$1879,1)</f>
        <v>0</v>
      </c>
      <c r="F642" s="162">
        <f>IFERROR(VLOOKUP(B642,EQUIPOS!$A:$F,6,FALSE()),IFERROR(INDEX(COMPOSICIÓN!$I$2:$I$1879,MATCH(B642,COMPOSICIÓN!$D$2:$D$1879,0)),0))</f>
        <v>0</v>
      </c>
      <c r="G642" s="163">
        <f>SUMIFS(_PLAN_STG!$Q$2:$Q$1879,_PLAN_STG!$D$2:$D$1879,B642,_PLAN_STG!$B$2:$B$1879,"EQ",_PLAN_STG!$O$2:$O$1879,1)</f>
        <v>0</v>
      </c>
      <c r="H642" s="227"/>
      <c r="I642" s="226">
        <f>SUMPRODUCT((_PLAN_STG!$D$2:$D$1879=B642)*(_PLAN_STG!$B$2:$B$1879="EQ")*(_PLAN_STG!$O$2:$O$1879=1)*(_PLAN_STG!$P$2:$P$1879&gt;0))</f>
        <v>0</v>
      </c>
      <c r="J642" s="227"/>
    </row>
    <row r="643" spans="1:10" x14ac:dyDescent="0.35">
      <c r="A643" s="222" t="str">
        <f t="shared" si="15"/>
        <v/>
      </c>
      <c r="B643" s="223"/>
      <c r="C643" s="224" t="str">
        <f>IFERROR(VLOOKUP(B643,EQUIPOS!$A:$B,2,FALSE()),IFERROR(INDEX(COMPOSICIÓN!$E$2:$E$1879,MATCH(B643,COMPOSICIÓN!$D$2:$D$1879,0)),""))</f>
        <v/>
      </c>
      <c r="D643" s="226" t="str">
        <f>IFERROR(VLOOKUP(B643,EQUIPOS!$A:$E,5,FALSE()),"")</f>
        <v/>
      </c>
      <c r="E643" s="161">
        <f>SUMIFS(_PLAN_STG!$P$2:$P$1879,_PLAN_STG!$D$2:$D$1879,B643,_PLAN_STG!$B$2:$B$1879,"EQ",_PLAN_STG!$O$2:$O$1879,1)</f>
        <v>0</v>
      </c>
      <c r="F643" s="162">
        <f>IFERROR(VLOOKUP(B643,EQUIPOS!$A:$F,6,FALSE()),IFERROR(INDEX(COMPOSICIÓN!$I$2:$I$1879,MATCH(B643,COMPOSICIÓN!$D$2:$D$1879,0)),0))</f>
        <v>0</v>
      </c>
      <c r="G643" s="163">
        <f>SUMIFS(_PLAN_STG!$Q$2:$Q$1879,_PLAN_STG!$D$2:$D$1879,B643,_PLAN_STG!$B$2:$B$1879,"EQ",_PLAN_STG!$O$2:$O$1879,1)</f>
        <v>0</v>
      </c>
      <c r="H643" s="227"/>
      <c r="I643" s="226">
        <f>SUMPRODUCT((_PLAN_STG!$D$2:$D$1879=B643)*(_PLAN_STG!$B$2:$B$1879="EQ")*(_PLAN_STG!$O$2:$O$1879=1)*(_PLAN_STG!$P$2:$P$1879&gt;0))</f>
        <v>0</v>
      </c>
      <c r="J643" s="227"/>
    </row>
    <row r="644" spans="1:10" ht="15.5" customHeight="1" x14ac:dyDescent="0.35">
      <c r="C644" s="164" t="s">
        <v>2842</v>
      </c>
      <c r="G644" s="167">
        <f>SUM(G502:G643)</f>
        <v>550633.7133833454</v>
      </c>
    </row>
    <row r="647" spans="1:10" x14ac:dyDescent="0.35">
      <c r="B647" s="281" t="s">
        <v>2843</v>
      </c>
      <c r="C647" s="264"/>
      <c r="D647" s="264"/>
      <c r="E647" s="264"/>
      <c r="F647" s="264"/>
      <c r="G647" s="264"/>
      <c r="H647" s="264"/>
      <c r="I647" s="264"/>
      <c r="J647" s="264"/>
    </row>
    <row r="648" spans="1:10" x14ac:dyDescent="0.35">
      <c r="B648" s="269" t="s">
        <v>2844</v>
      </c>
      <c r="C648" s="264"/>
      <c r="D648" s="264"/>
      <c r="E648" s="264"/>
      <c r="F648" s="264"/>
      <c r="G648" s="264"/>
      <c r="H648" s="264"/>
      <c r="I648" s="264"/>
      <c r="J648" s="264"/>
    </row>
    <row r="649" spans="1:10" x14ac:dyDescent="0.35">
      <c r="B649" s="269" t="s">
        <v>2845</v>
      </c>
      <c r="C649" s="264"/>
      <c r="D649" s="264"/>
      <c r="E649" s="264"/>
      <c r="F649" s="264"/>
      <c r="G649" s="264"/>
      <c r="H649" s="264"/>
      <c r="I649" s="264"/>
      <c r="J649" s="264"/>
    </row>
    <row r="650" spans="1:10" x14ac:dyDescent="0.35">
      <c r="B650" s="269" t="s">
        <v>2846</v>
      </c>
      <c r="C650" s="264"/>
      <c r="D650" s="264"/>
      <c r="E650" s="264"/>
      <c r="F650" s="264"/>
      <c r="G650" s="264"/>
      <c r="H650" s="264"/>
      <c r="I650" s="264"/>
      <c r="J650" s="264"/>
    </row>
    <row r="651" spans="1:10" x14ac:dyDescent="0.35">
      <c r="B651" s="269" t="s">
        <v>2847</v>
      </c>
      <c r="C651" s="264"/>
      <c r="D651" s="264"/>
      <c r="E651" s="264"/>
      <c r="F651" s="264"/>
      <c r="G651" s="264"/>
      <c r="H651" s="264"/>
      <c r="I651" s="264"/>
      <c r="J651" s="264"/>
    </row>
    <row r="652" spans="1:10" x14ac:dyDescent="0.35">
      <c r="B652" s="269" t="s">
        <v>2848</v>
      </c>
      <c r="C652" s="264"/>
      <c r="D652" s="264"/>
      <c r="E652" s="264"/>
      <c r="F652" s="264"/>
      <c r="G652" s="264"/>
      <c r="H652" s="264"/>
      <c r="I652" s="264"/>
      <c r="J652" s="264"/>
    </row>
    <row r="653" spans="1:10" x14ac:dyDescent="0.35">
      <c r="B653" s="269" t="s">
        <v>2849</v>
      </c>
      <c r="C653" s="264"/>
      <c r="D653" s="264"/>
      <c r="E653" s="264"/>
      <c r="F653" s="264"/>
      <c r="G653" s="264"/>
      <c r="H653" s="264"/>
      <c r="I653" s="264"/>
      <c r="J653" s="264"/>
    </row>
    <row r="654" spans="1:10" x14ac:dyDescent="0.35">
      <c r="B654" s="269" t="s">
        <v>2850</v>
      </c>
      <c r="C654" s="264"/>
      <c r="D654" s="264"/>
      <c r="E654" s="264"/>
      <c r="F654" s="264"/>
      <c r="G654" s="264"/>
      <c r="H654" s="264"/>
      <c r="I654" s="264"/>
      <c r="J654" s="264"/>
    </row>
    <row r="655" spans="1:10" x14ac:dyDescent="0.35">
      <c r="B655" s="269" t="s">
        <v>2851</v>
      </c>
      <c r="C655" s="264"/>
      <c r="D655" s="264"/>
      <c r="E655" s="264"/>
      <c r="F655" s="264"/>
      <c r="G655" s="264"/>
      <c r="H655" s="264"/>
      <c r="I655" s="264"/>
      <c r="J655" s="264"/>
    </row>
  </sheetData>
  <mergeCells count="34">
    <mergeCell ref="B1:J1"/>
    <mergeCell ref="B13:G13"/>
    <mergeCell ref="G8:H8"/>
    <mergeCell ref="G6:H6"/>
    <mergeCell ref="B2:J2"/>
    <mergeCell ref="B367:G367"/>
    <mergeCell ref="B653:J653"/>
    <mergeCell ref="B647:J647"/>
    <mergeCell ref="B652:J652"/>
    <mergeCell ref="G7:H7"/>
    <mergeCell ref="I7:J7"/>
    <mergeCell ref="G10:H10"/>
    <mergeCell ref="H13:J13"/>
    <mergeCell ref="B649:J649"/>
    <mergeCell ref="H367:J367"/>
    <mergeCell ref="B648:J648"/>
    <mergeCell ref="G11:H11"/>
    <mergeCell ref="I11:J11"/>
    <mergeCell ref="B655:J655"/>
    <mergeCell ref="C4:E4"/>
    <mergeCell ref="H500:J500"/>
    <mergeCell ref="B500:G500"/>
    <mergeCell ref="G9:H9"/>
    <mergeCell ref="I9:J9"/>
    <mergeCell ref="B654:J654"/>
    <mergeCell ref="G5:H5"/>
    <mergeCell ref="I5:J5"/>
    <mergeCell ref="B650:J650"/>
    <mergeCell ref="I8:J8"/>
    <mergeCell ref="C5:E5"/>
    <mergeCell ref="I10:J10"/>
    <mergeCell ref="I6:J6"/>
    <mergeCell ref="G4:J4"/>
    <mergeCell ref="B651:J651"/>
  </mergeCells>
  <conditionalFormatting sqref="A16:J365">
    <cfRule type="expression" dxfId="5" priority="2">
      <formula>$G16=0</formula>
    </cfRule>
    <cfRule type="expression" dxfId="4" priority="3">
      <formula>AND($G16&gt;0,MOD(ROW(),2)=0)</formula>
    </cfRule>
  </conditionalFormatting>
  <conditionalFormatting sqref="A369:J498">
    <cfRule type="expression" dxfId="3" priority="4">
      <formula>$H369=0</formula>
    </cfRule>
    <cfRule type="expression" dxfId="2" priority="5">
      <formula>AND($H369&gt;0,MOD(ROW(),2)=0)</formula>
    </cfRule>
  </conditionalFormatting>
  <conditionalFormatting sqref="A502:J643">
    <cfRule type="expression" dxfId="1" priority="6">
      <formula>$G502=0</formula>
    </cfRule>
    <cfRule type="expression" dxfId="0" priority="7">
      <formula>AND($G502&gt;0,MOD(ROW(),2)=0)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="Ingresa un factor entre 0 y 10" xr:uid="{00000000-0002-0000-0B00-000000000000}">
          <x14:formula1>
            <xm:f>_PLAN_LISTAS!$C$2:$C$5</xm:f>
          </x14:formula1>
          <xm:sqref>C5:E5</xm:sqref>
        </x14:dataValidation>
        <x14:dataValidation type="list" allowBlank="1" showInputMessage="1" showErrorMessage="1" xr:uid="{3AF593FD-F562-4984-9F60-54E4A3F969F1}">
          <x14:formula1>
            <xm:f>_PLAN_LISTAS!$A$2:$A$26</xm:f>
          </x14:formula1>
          <xm:sqref>C4:E4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3A2C7"/>
  </sheetPr>
  <dimension ref="A1:L40"/>
  <sheetViews>
    <sheetView showGridLines="0" zoomScale="83" zoomScaleNormal="83" workbookViewId="0">
      <pane ySplit="10" topLeftCell="A11" activePane="bottomLeft" state="frozen"/>
      <selection pane="bottomLeft" activeCell="J11" sqref="J11"/>
    </sheetView>
  </sheetViews>
  <sheetFormatPr defaultColWidth="8.6328125" defaultRowHeight="14.5" outlineLevelRow="1" x14ac:dyDescent="0.35"/>
  <cols>
    <col min="1" max="1" width="8.7265625" customWidth="1"/>
    <col min="2" max="2" width="13.90625" customWidth="1"/>
    <col min="3" max="3" width="30.1796875" customWidth="1"/>
    <col min="4" max="4" width="14" customWidth="1"/>
    <col min="5" max="5" width="10" customWidth="1"/>
    <col min="6" max="6" width="11.1796875" customWidth="1"/>
    <col min="7" max="7" width="10" customWidth="1"/>
    <col min="8" max="9" width="12" customWidth="1"/>
    <col min="10" max="10" width="12.36328125" customWidth="1"/>
    <col min="11" max="12" width="14" customWidth="1"/>
  </cols>
  <sheetData>
    <row r="1" spans="1:12" ht="17.25" customHeight="1" x14ac:dyDescent="0.45">
      <c r="A1" s="262" t="s">
        <v>2864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</row>
    <row r="3" spans="1:12" ht="15" customHeight="1" x14ac:dyDescent="0.35">
      <c r="A3" s="17" t="s">
        <v>2865</v>
      </c>
      <c r="B3" s="183">
        <v>1</v>
      </c>
      <c r="C3" s="184" t="s">
        <v>2866</v>
      </c>
      <c r="D3" s="185" t="s">
        <v>2867</v>
      </c>
    </row>
    <row r="4" spans="1:12" ht="15" customHeight="1" x14ac:dyDescent="0.35">
      <c r="A4" s="17" t="s">
        <v>2868</v>
      </c>
      <c r="B4" s="267" t="s">
        <v>2455</v>
      </c>
      <c r="C4" s="264"/>
      <c r="D4" s="264"/>
    </row>
    <row r="5" spans="1:12" ht="15" customHeight="1" x14ac:dyDescent="0.35">
      <c r="A5" s="17" t="s">
        <v>2783</v>
      </c>
      <c r="B5" s="51" t="str">
        <f>IFERROR(INDEX(PARTIDAS!A:A,MATCH(B4,PARTIDAS!D:D,0)),"")</f>
        <v>ALB-034</v>
      </c>
      <c r="C5" s="184" t="s">
        <v>2869</v>
      </c>
      <c r="D5" s="51" t="str">
        <f>IFERROR(VLOOKUP(B5,PARTIDAS!A:C,3,FALSE()),"")</f>
        <v>MAMPOSTERÍA</v>
      </c>
    </row>
    <row r="6" spans="1:12" ht="15" customHeight="1" x14ac:dyDescent="0.35">
      <c r="A6" s="17" t="s">
        <v>2870</v>
      </c>
      <c r="B6" s="168">
        <v>200</v>
      </c>
      <c r="C6" s="51" t="str">
        <f>IFERROR(INDEX(PARTIDAS!E:E,MATCH(B4,PARTIDAS!D:D,0)),"")</f>
        <v>m2</v>
      </c>
    </row>
    <row r="7" spans="1:12" ht="15" customHeight="1" x14ac:dyDescent="0.35">
      <c r="A7" s="17" t="s">
        <v>2871</v>
      </c>
      <c r="B7" s="168" t="s">
        <v>2872</v>
      </c>
    </row>
    <row r="9" spans="1:12" ht="15" customHeight="1" x14ac:dyDescent="0.35">
      <c r="A9" s="17" t="s">
        <v>2873</v>
      </c>
      <c r="I9" s="186" t="s">
        <v>2874</v>
      </c>
      <c r="J9" s="187">
        <f>SUM(J11:J30,J34:J38)</f>
        <v>0</v>
      </c>
    </row>
    <row r="10" spans="1:12" ht="25.5" customHeight="1" x14ac:dyDescent="0.35">
      <c r="A10" s="12"/>
      <c r="B10" s="12" t="s">
        <v>2875</v>
      </c>
      <c r="C10" s="12" t="s">
        <v>6</v>
      </c>
      <c r="D10" s="12" t="s">
        <v>2789</v>
      </c>
      <c r="E10" s="12" t="s">
        <v>2876</v>
      </c>
      <c r="F10" s="12" t="s">
        <v>2877</v>
      </c>
      <c r="G10" s="12" t="s">
        <v>2878</v>
      </c>
      <c r="H10" s="12" t="s">
        <v>2765</v>
      </c>
      <c r="I10" s="12" t="s">
        <v>2879</v>
      </c>
      <c r="J10" s="12" t="s">
        <v>2880</v>
      </c>
    </row>
    <row r="11" spans="1:12" ht="15" customHeight="1" x14ac:dyDescent="0.35">
      <c r="A11" s="15">
        <v>1</v>
      </c>
      <c r="B11" s="44" t="str">
        <f>IFERROR(INDEX(COMPOSICIÓN!C$2:C$1838,MATCH($B$5&amp;"|MAT|"&amp;1,COMPOSICIÓN!L$2:L$1838,0)),"")</f>
        <v/>
      </c>
      <c r="C11" s="44" t="str">
        <f>IFERROR(INDEX(COMPOSICIÓN!D$2:D$1838,MATCH($B$5&amp;"|MAT|"&amp;1,COMPOSICIÓN!L$2:L$1838,0)),"")</f>
        <v/>
      </c>
      <c r="D11" s="188" t="str">
        <f>IFERROR(INDEX(COMPOSICIÓN!E$2:E$1838,MATCH($B$5&amp;"|MAT|"&amp;1,COMPOSICIÓN!L$2:L$1838,0)),"")</f>
        <v/>
      </c>
      <c r="E11" s="189" t="str">
        <f>IFERROR(INDEX(COMPOSICIÓN!G$2:G$1838,MATCH($B$5&amp;"|MAT|"&amp;1,COMPOSICIÓN!L$2:L$1838,0)),"")</f>
        <v/>
      </c>
      <c r="F11" s="190" t="str">
        <f t="shared" ref="F11:F30" si="0">IF(D11="","",D11*$B$6*(1+E11))</f>
        <v/>
      </c>
      <c r="G11" s="191" t="str">
        <f t="shared" ref="G11:G30" si="1">IF(F11="","",F11)</f>
        <v/>
      </c>
      <c r="H11" s="44" t="str">
        <f>IFERROR(VLOOKUP(B11,MATERIALES!A:C,3,FALSE()),"")</f>
        <v/>
      </c>
      <c r="I11" s="192" t="str">
        <f>IFERROR(VLOOKUP(B11,MATERIALES!A:D,4,FALSE()),"")</f>
        <v/>
      </c>
      <c r="J11" s="42" t="str">
        <f t="shared" ref="J11:J30" si="2">IF(G11="","",G11*I11)</f>
        <v/>
      </c>
    </row>
    <row r="12" spans="1:12" ht="15" customHeight="1" x14ac:dyDescent="0.35">
      <c r="A12" s="15">
        <v>2</v>
      </c>
      <c r="B12" s="44" t="str">
        <f>IFERROR(INDEX(COMPOSICIÓN!C$2:C$1838,MATCH($B$5&amp;"|MAT|"&amp;2,COMPOSICIÓN!L$2:L$1838,0)),"")</f>
        <v/>
      </c>
      <c r="C12" s="44" t="str">
        <f>IFERROR(INDEX(COMPOSICIÓN!D$2:D$1838,MATCH($B$5&amp;"|MAT|"&amp;2,COMPOSICIÓN!L$2:L$1838,0)),"")</f>
        <v/>
      </c>
      <c r="D12" s="188" t="str">
        <f>IFERROR(INDEX(COMPOSICIÓN!E$2:E$1838,MATCH($B$5&amp;"|MAT|"&amp;2,COMPOSICIÓN!L$2:L$1838,0)),"")</f>
        <v/>
      </c>
      <c r="E12" s="189" t="str">
        <f>IFERROR(INDEX(COMPOSICIÓN!G$2:G$1838,MATCH($B$5&amp;"|MAT|"&amp;2,COMPOSICIÓN!L$2:L$1838,0)),"")</f>
        <v/>
      </c>
      <c r="F12" s="190" t="str">
        <f t="shared" si="0"/>
        <v/>
      </c>
      <c r="G12" s="191" t="str">
        <f t="shared" si="1"/>
        <v/>
      </c>
      <c r="H12" s="44" t="str">
        <f>IFERROR(VLOOKUP(B12,MATERIALES!A:C,3,FALSE()),"")</f>
        <v/>
      </c>
      <c r="I12" s="192" t="str">
        <f>IFERROR(VLOOKUP(B12,MATERIALES!A:D,4,FALSE()),"")</f>
        <v/>
      </c>
      <c r="J12" s="42" t="str">
        <f t="shared" si="2"/>
        <v/>
      </c>
    </row>
    <row r="13" spans="1:12" ht="15" customHeight="1" x14ac:dyDescent="0.35">
      <c r="A13" s="15">
        <v>3</v>
      </c>
      <c r="B13" s="44" t="str">
        <f>IFERROR(INDEX(COMPOSICIÓN!C$2:C$1838,MATCH($B$5&amp;"|MAT|"&amp;3,COMPOSICIÓN!L$2:L$1838,0)),"")</f>
        <v/>
      </c>
      <c r="C13" s="44" t="str">
        <f>IFERROR(INDEX(COMPOSICIÓN!D$2:D$1838,MATCH($B$5&amp;"|MAT|"&amp;3,COMPOSICIÓN!L$2:L$1838,0)),"")</f>
        <v/>
      </c>
      <c r="D13" s="188" t="str">
        <f>IFERROR(INDEX(COMPOSICIÓN!E$2:E$1838,MATCH($B$5&amp;"|MAT|"&amp;3,COMPOSICIÓN!L$2:L$1838,0)),"")</f>
        <v/>
      </c>
      <c r="E13" s="189" t="str">
        <f>IFERROR(INDEX(COMPOSICIÓN!G$2:G$1838,MATCH($B$5&amp;"|MAT|"&amp;3,COMPOSICIÓN!L$2:L$1838,0)),"")</f>
        <v/>
      </c>
      <c r="F13" s="190" t="str">
        <f t="shared" si="0"/>
        <v/>
      </c>
      <c r="G13" s="191" t="str">
        <f t="shared" si="1"/>
        <v/>
      </c>
      <c r="H13" s="44" t="str">
        <f>IFERROR(VLOOKUP(B13,MATERIALES!A:C,3,FALSE()),"")</f>
        <v/>
      </c>
      <c r="I13" s="192" t="str">
        <f>IFERROR(VLOOKUP(B13,MATERIALES!A:D,4,FALSE()),"")</f>
        <v/>
      </c>
      <c r="J13" s="42" t="str">
        <f t="shared" si="2"/>
        <v/>
      </c>
    </row>
    <row r="14" spans="1:12" ht="15" customHeight="1" x14ac:dyDescent="0.35">
      <c r="A14" s="15">
        <v>4</v>
      </c>
      <c r="B14" s="44" t="str">
        <f>IFERROR(INDEX(COMPOSICIÓN!C$2:C$1838,MATCH($B$5&amp;"|MAT|"&amp;4,COMPOSICIÓN!L$2:L$1838,0)),"")</f>
        <v/>
      </c>
      <c r="C14" s="44" t="str">
        <f>IFERROR(INDEX(COMPOSICIÓN!D$2:D$1838,MATCH($B$5&amp;"|MAT|"&amp;4,COMPOSICIÓN!L$2:L$1838,0)),"")</f>
        <v/>
      </c>
      <c r="D14" s="188" t="str">
        <f>IFERROR(INDEX(COMPOSICIÓN!E$2:E$1838,MATCH($B$5&amp;"|MAT|"&amp;4,COMPOSICIÓN!L$2:L$1838,0)),"")</f>
        <v/>
      </c>
      <c r="E14" s="189" t="str">
        <f>IFERROR(INDEX(COMPOSICIÓN!G$2:G$1838,MATCH($B$5&amp;"|MAT|"&amp;4,COMPOSICIÓN!L$2:L$1838,0)),"")</f>
        <v/>
      </c>
      <c r="F14" s="190" t="str">
        <f t="shared" si="0"/>
        <v/>
      </c>
      <c r="G14" s="191" t="str">
        <f t="shared" si="1"/>
        <v/>
      </c>
      <c r="H14" s="44" t="str">
        <f>IFERROR(VLOOKUP(B14,MATERIALES!A:C,3,FALSE()),"")</f>
        <v/>
      </c>
      <c r="I14" s="192" t="str">
        <f>IFERROR(VLOOKUP(B14,MATERIALES!A:D,4,FALSE()),"")</f>
        <v/>
      </c>
      <c r="J14" s="42" t="str">
        <f t="shared" si="2"/>
        <v/>
      </c>
    </row>
    <row r="15" spans="1:12" ht="15" customHeight="1" x14ac:dyDescent="0.35">
      <c r="A15" s="15">
        <v>5</v>
      </c>
      <c r="B15" s="44" t="str">
        <f>IFERROR(INDEX(COMPOSICIÓN!C$2:C$1838,MATCH($B$5&amp;"|MAT|"&amp;5,COMPOSICIÓN!L$2:L$1838,0)),"")</f>
        <v/>
      </c>
      <c r="C15" s="44" t="str">
        <f>IFERROR(INDEX(COMPOSICIÓN!D$2:D$1838,MATCH($B$5&amp;"|MAT|"&amp;5,COMPOSICIÓN!L$2:L$1838,0)),"")</f>
        <v/>
      </c>
      <c r="D15" s="188" t="str">
        <f>IFERROR(INDEX(COMPOSICIÓN!E$2:E$1838,MATCH($B$5&amp;"|MAT|"&amp;5,COMPOSICIÓN!L$2:L$1838,0)),"")</f>
        <v/>
      </c>
      <c r="E15" s="189" t="str">
        <f>IFERROR(INDEX(COMPOSICIÓN!G$2:G$1838,MATCH($B$5&amp;"|MAT|"&amp;5,COMPOSICIÓN!L$2:L$1838,0)),"")</f>
        <v/>
      </c>
      <c r="F15" s="190" t="str">
        <f t="shared" si="0"/>
        <v/>
      </c>
      <c r="G15" s="191" t="str">
        <f t="shared" si="1"/>
        <v/>
      </c>
      <c r="H15" s="44" t="str">
        <f>IFERROR(VLOOKUP(B15,MATERIALES!A:C,3,FALSE()),"")</f>
        <v/>
      </c>
      <c r="I15" s="192" t="str">
        <f>IFERROR(VLOOKUP(B15,MATERIALES!A:D,4,FALSE()),"")</f>
        <v/>
      </c>
      <c r="J15" s="42" t="str">
        <f t="shared" si="2"/>
        <v/>
      </c>
    </row>
    <row r="16" spans="1:12" ht="15" customHeight="1" x14ac:dyDescent="0.35">
      <c r="A16" s="15">
        <v>6</v>
      </c>
      <c r="B16" s="44" t="str">
        <f>IFERROR(INDEX(COMPOSICIÓN!C$2:C$1838,MATCH($B$5&amp;"|MAT|"&amp;6,COMPOSICIÓN!L$2:L$1838,0)),"")</f>
        <v/>
      </c>
      <c r="C16" s="44" t="str">
        <f>IFERROR(INDEX(COMPOSICIÓN!D$2:D$1838,MATCH($B$5&amp;"|MAT|"&amp;6,COMPOSICIÓN!L$2:L$1838,0)),"")</f>
        <v/>
      </c>
      <c r="D16" s="188" t="str">
        <f>IFERROR(INDEX(COMPOSICIÓN!E$2:E$1838,MATCH($B$5&amp;"|MAT|"&amp;6,COMPOSICIÓN!L$2:L$1838,0)),"")</f>
        <v/>
      </c>
      <c r="E16" s="189" t="str">
        <f>IFERROR(INDEX(COMPOSICIÓN!G$2:G$1838,MATCH($B$5&amp;"|MAT|"&amp;6,COMPOSICIÓN!L$2:L$1838,0)),"")</f>
        <v/>
      </c>
      <c r="F16" s="190" t="str">
        <f t="shared" si="0"/>
        <v/>
      </c>
      <c r="G16" s="191" t="str">
        <f t="shared" si="1"/>
        <v/>
      </c>
      <c r="H16" s="44" t="str">
        <f>IFERROR(VLOOKUP(B16,MATERIALES!A:C,3,FALSE()),"")</f>
        <v/>
      </c>
      <c r="I16" s="192" t="str">
        <f>IFERROR(VLOOKUP(B16,MATERIALES!A:D,4,FALSE()),"")</f>
        <v/>
      </c>
      <c r="J16" s="42" t="str">
        <f t="shared" si="2"/>
        <v/>
      </c>
    </row>
    <row r="17" spans="1:10" ht="15" customHeight="1" x14ac:dyDescent="0.35">
      <c r="A17" s="15">
        <v>7</v>
      </c>
      <c r="B17" s="44" t="str">
        <f>IFERROR(INDEX(COMPOSICIÓN!C$2:C$1838,MATCH($B$5&amp;"|MAT|"&amp;7,COMPOSICIÓN!L$2:L$1838,0)),"")</f>
        <v/>
      </c>
      <c r="C17" s="44" t="str">
        <f>IFERROR(INDEX(COMPOSICIÓN!D$2:D$1838,MATCH($B$5&amp;"|MAT|"&amp;7,COMPOSICIÓN!L$2:L$1838,0)),"")</f>
        <v/>
      </c>
      <c r="D17" s="188" t="str">
        <f>IFERROR(INDEX(COMPOSICIÓN!E$2:E$1838,MATCH($B$5&amp;"|MAT|"&amp;7,COMPOSICIÓN!L$2:L$1838,0)),"")</f>
        <v/>
      </c>
      <c r="E17" s="189" t="str">
        <f>IFERROR(INDEX(COMPOSICIÓN!G$2:G$1838,MATCH($B$5&amp;"|MAT|"&amp;7,COMPOSICIÓN!L$2:L$1838,0)),"")</f>
        <v/>
      </c>
      <c r="F17" s="190" t="str">
        <f t="shared" si="0"/>
        <v/>
      </c>
      <c r="G17" s="191" t="str">
        <f t="shared" si="1"/>
        <v/>
      </c>
      <c r="H17" s="44" t="str">
        <f>IFERROR(VLOOKUP(B17,MATERIALES!A:C,3,FALSE()),"")</f>
        <v/>
      </c>
      <c r="I17" s="192" t="str">
        <f>IFERROR(VLOOKUP(B17,MATERIALES!A:D,4,FALSE()),"")</f>
        <v/>
      </c>
      <c r="J17" s="42" t="str">
        <f t="shared" si="2"/>
        <v/>
      </c>
    </row>
    <row r="18" spans="1:10" ht="15" hidden="1" customHeight="1" outlineLevel="1" x14ac:dyDescent="0.35">
      <c r="A18" s="15">
        <v>8</v>
      </c>
      <c r="B18" s="44" t="str">
        <f>IFERROR(INDEX(COMPOSICIÓN!C$2:C$1838,MATCH($B$5&amp;"|MAT|"&amp;8,COMPOSICIÓN!L$2:L$1838,0)),"")</f>
        <v/>
      </c>
      <c r="C18" s="44" t="str">
        <f>IFERROR(INDEX(COMPOSICIÓN!D$2:D$1838,MATCH($B$5&amp;"|MAT|"&amp;8,COMPOSICIÓN!L$2:L$1838,0)),"")</f>
        <v/>
      </c>
      <c r="D18" s="193" t="str">
        <f>IFERROR(INDEX(COMPOSICIÓN!E$2:E$1838,MATCH($B$5&amp;"|MAT|"&amp;8,COMPOSICIÓN!L$2:L$1838,0)),"")</f>
        <v/>
      </c>
      <c r="E18" s="194" t="str">
        <f>IFERROR(INDEX(COMPOSICIÓN!G$2:G$1838,MATCH($B$5&amp;"|MAT|"&amp;8,COMPOSICIÓN!L$2:L$1838,0)),"")</f>
        <v/>
      </c>
      <c r="F18" s="195" t="str">
        <f t="shared" si="0"/>
        <v/>
      </c>
      <c r="G18" s="196" t="str">
        <f t="shared" si="1"/>
        <v/>
      </c>
      <c r="H18" s="44" t="str">
        <f>IFERROR(VLOOKUP(B18,MATERIALES!A:C,3,FALSE()),"")</f>
        <v/>
      </c>
      <c r="I18" s="195" t="str">
        <f>IFERROR(VLOOKUP(B18,MATERIALES!A:D,4,FALSE()),"")</f>
        <v/>
      </c>
      <c r="J18" s="42" t="str">
        <f t="shared" si="2"/>
        <v/>
      </c>
    </row>
    <row r="19" spans="1:10" ht="15" hidden="1" customHeight="1" outlineLevel="1" x14ac:dyDescent="0.35">
      <c r="A19" s="15">
        <v>9</v>
      </c>
      <c r="B19" s="44" t="str">
        <f>IFERROR(INDEX(COMPOSICIÓN!C$2:C$1838,MATCH($B$5&amp;"|MAT|"&amp;9,COMPOSICIÓN!L$2:L$1838,0)),"")</f>
        <v/>
      </c>
      <c r="C19" s="44" t="str">
        <f>IFERROR(INDEX(COMPOSICIÓN!D$2:D$1838,MATCH($B$5&amp;"|MAT|"&amp;9,COMPOSICIÓN!L$2:L$1838,0)),"")</f>
        <v/>
      </c>
      <c r="D19" s="193" t="str">
        <f>IFERROR(INDEX(COMPOSICIÓN!E$2:E$1838,MATCH($B$5&amp;"|MAT|"&amp;9,COMPOSICIÓN!L$2:L$1838,0)),"")</f>
        <v/>
      </c>
      <c r="E19" s="194" t="str">
        <f>IFERROR(INDEX(COMPOSICIÓN!G$2:G$1838,MATCH($B$5&amp;"|MAT|"&amp;9,COMPOSICIÓN!L$2:L$1838,0)),"")</f>
        <v/>
      </c>
      <c r="F19" s="195" t="str">
        <f t="shared" si="0"/>
        <v/>
      </c>
      <c r="G19" s="196" t="str">
        <f t="shared" si="1"/>
        <v/>
      </c>
      <c r="H19" s="44" t="str">
        <f>IFERROR(VLOOKUP(B19,MATERIALES!A:C,3,FALSE()),"")</f>
        <v/>
      </c>
      <c r="I19" s="195" t="str">
        <f>IFERROR(VLOOKUP(B19,MATERIALES!A:D,4,FALSE()),"")</f>
        <v/>
      </c>
      <c r="J19" s="42" t="str">
        <f t="shared" si="2"/>
        <v/>
      </c>
    </row>
    <row r="20" spans="1:10" ht="15" hidden="1" customHeight="1" outlineLevel="1" x14ac:dyDescent="0.35">
      <c r="A20" s="15">
        <v>10</v>
      </c>
      <c r="B20" s="44" t="str">
        <f>IFERROR(INDEX(COMPOSICIÓN!C$2:C$1838,MATCH($B$5&amp;"|MAT|"&amp;10,COMPOSICIÓN!L$2:L$1838,0)),"")</f>
        <v/>
      </c>
      <c r="C20" s="44" t="str">
        <f>IFERROR(INDEX(COMPOSICIÓN!D$2:D$1838,MATCH($B$5&amp;"|MAT|"&amp;10,COMPOSICIÓN!L$2:L$1838,0)),"")</f>
        <v/>
      </c>
      <c r="D20" s="193" t="str">
        <f>IFERROR(INDEX(COMPOSICIÓN!E$2:E$1838,MATCH($B$5&amp;"|MAT|"&amp;10,COMPOSICIÓN!L$2:L$1838,0)),"")</f>
        <v/>
      </c>
      <c r="E20" s="194" t="str">
        <f>IFERROR(INDEX(COMPOSICIÓN!G$2:G$1838,MATCH($B$5&amp;"|MAT|"&amp;10,COMPOSICIÓN!L$2:L$1838,0)),"")</f>
        <v/>
      </c>
      <c r="F20" s="195" t="str">
        <f t="shared" si="0"/>
        <v/>
      </c>
      <c r="G20" s="196" t="str">
        <f t="shared" si="1"/>
        <v/>
      </c>
      <c r="H20" s="44" t="str">
        <f>IFERROR(VLOOKUP(B20,MATERIALES!A:C,3,FALSE()),"")</f>
        <v/>
      </c>
      <c r="I20" s="195" t="str">
        <f>IFERROR(VLOOKUP(B20,MATERIALES!A:D,4,FALSE()),"")</f>
        <v/>
      </c>
      <c r="J20" s="42" t="str">
        <f t="shared" si="2"/>
        <v/>
      </c>
    </row>
    <row r="21" spans="1:10" ht="15" hidden="1" customHeight="1" outlineLevel="1" x14ac:dyDescent="0.35">
      <c r="A21" s="15">
        <v>11</v>
      </c>
      <c r="B21" s="44" t="str">
        <f>IFERROR(INDEX(COMPOSICIÓN!C$2:C$1838,MATCH($B$5&amp;"|MAT|"&amp;11,COMPOSICIÓN!L$2:L$1838,0)),"")</f>
        <v/>
      </c>
      <c r="C21" s="44" t="str">
        <f>IFERROR(INDEX(COMPOSICIÓN!D$2:D$1838,MATCH($B$5&amp;"|MAT|"&amp;11,COMPOSICIÓN!L$2:L$1838,0)),"")</f>
        <v/>
      </c>
      <c r="D21" s="193" t="str">
        <f>IFERROR(INDEX(COMPOSICIÓN!E$2:E$1838,MATCH($B$5&amp;"|MAT|"&amp;11,COMPOSICIÓN!L$2:L$1838,0)),"")</f>
        <v/>
      </c>
      <c r="E21" s="194" t="str">
        <f>IFERROR(INDEX(COMPOSICIÓN!G$2:G$1838,MATCH($B$5&amp;"|MAT|"&amp;11,COMPOSICIÓN!L$2:L$1838,0)),"")</f>
        <v/>
      </c>
      <c r="F21" s="195" t="str">
        <f t="shared" si="0"/>
        <v/>
      </c>
      <c r="G21" s="196" t="str">
        <f t="shared" si="1"/>
        <v/>
      </c>
      <c r="H21" s="44" t="str">
        <f>IFERROR(VLOOKUP(B21,MATERIALES!A:C,3,FALSE()),"")</f>
        <v/>
      </c>
      <c r="I21" s="195" t="str">
        <f>IFERROR(VLOOKUP(B21,MATERIALES!A:D,4,FALSE()),"")</f>
        <v/>
      </c>
      <c r="J21" s="42" t="str">
        <f t="shared" si="2"/>
        <v/>
      </c>
    </row>
    <row r="22" spans="1:10" ht="15" hidden="1" customHeight="1" outlineLevel="1" x14ac:dyDescent="0.35">
      <c r="A22" s="15">
        <v>12</v>
      </c>
      <c r="B22" s="44" t="str">
        <f>IFERROR(INDEX(COMPOSICIÓN!C$2:C$1838,MATCH($B$5&amp;"|MAT|"&amp;12,COMPOSICIÓN!L$2:L$1838,0)),"")</f>
        <v/>
      </c>
      <c r="C22" s="44" t="str">
        <f>IFERROR(INDEX(COMPOSICIÓN!D$2:D$1838,MATCH($B$5&amp;"|MAT|"&amp;12,COMPOSICIÓN!L$2:L$1838,0)),"")</f>
        <v/>
      </c>
      <c r="D22" s="193" t="str">
        <f>IFERROR(INDEX(COMPOSICIÓN!E$2:E$1838,MATCH($B$5&amp;"|MAT|"&amp;12,COMPOSICIÓN!L$2:L$1838,0)),"")</f>
        <v/>
      </c>
      <c r="E22" s="194" t="str">
        <f>IFERROR(INDEX(COMPOSICIÓN!G$2:G$1838,MATCH($B$5&amp;"|MAT|"&amp;12,COMPOSICIÓN!L$2:L$1838,0)),"")</f>
        <v/>
      </c>
      <c r="F22" s="195" t="str">
        <f t="shared" si="0"/>
        <v/>
      </c>
      <c r="G22" s="196" t="str">
        <f t="shared" si="1"/>
        <v/>
      </c>
      <c r="H22" s="44" t="str">
        <f>IFERROR(VLOOKUP(B22,MATERIALES!A:C,3,FALSE()),"")</f>
        <v/>
      </c>
      <c r="I22" s="195" t="str">
        <f>IFERROR(VLOOKUP(B22,MATERIALES!A:D,4,FALSE()),"")</f>
        <v/>
      </c>
      <c r="J22" s="42" t="str">
        <f t="shared" si="2"/>
        <v/>
      </c>
    </row>
    <row r="23" spans="1:10" ht="15" hidden="1" customHeight="1" outlineLevel="1" x14ac:dyDescent="0.35">
      <c r="A23" s="15">
        <v>13</v>
      </c>
      <c r="B23" s="44" t="str">
        <f>IFERROR(INDEX(COMPOSICIÓN!C$2:C$1838,MATCH($B$5&amp;"|MAT|"&amp;13,COMPOSICIÓN!L$2:L$1838,0)),"")</f>
        <v/>
      </c>
      <c r="C23" s="44" t="str">
        <f>IFERROR(INDEX(COMPOSICIÓN!D$2:D$1838,MATCH($B$5&amp;"|MAT|"&amp;13,COMPOSICIÓN!L$2:L$1838,0)),"")</f>
        <v/>
      </c>
      <c r="D23" s="193" t="str">
        <f>IFERROR(INDEX(COMPOSICIÓN!E$2:E$1838,MATCH($B$5&amp;"|MAT|"&amp;13,COMPOSICIÓN!L$2:L$1838,0)),"")</f>
        <v/>
      </c>
      <c r="E23" s="194" t="str">
        <f>IFERROR(INDEX(COMPOSICIÓN!G$2:G$1838,MATCH($B$5&amp;"|MAT|"&amp;13,COMPOSICIÓN!L$2:L$1838,0)),"")</f>
        <v/>
      </c>
      <c r="F23" s="195" t="str">
        <f t="shared" si="0"/>
        <v/>
      </c>
      <c r="G23" s="196" t="str">
        <f t="shared" si="1"/>
        <v/>
      </c>
      <c r="H23" s="44" t="str">
        <f>IFERROR(VLOOKUP(B23,MATERIALES!A:C,3,FALSE()),"")</f>
        <v/>
      </c>
      <c r="I23" s="195" t="str">
        <f>IFERROR(VLOOKUP(B23,MATERIALES!A:D,4,FALSE()),"")</f>
        <v/>
      </c>
      <c r="J23" s="42" t="str">
        <f t="shared" si="2"/>
        <v/>
      </c>
    </row>
    <row r="24" spans="1:10" ht="15" hidden="1" customHeight="1" outlineLevel="1" x14ac:dyDescent="0.35">
      <c r="A24" s="15">
        <v>14</v>
      </c>
      <c r="B24" s="44" t="str">
        <f>IFERROR(INDEX(COMPOSICIÓN!C$2:C$1838,MATCH($B$5&amp;"|MAT|"&amp;14,COMPOSICIÓN!L$2:L$1838,0)),"")</f>
        <v/>
      </c>
      <c r="C24" s="44" t="str">
        <f>IFERROR(INDEX(COMPOSICIÓN!D$2:D$1838,MATCH($B$5&amp;"|MAT|"&amp;14,COMPOSICIÓN!L$2:L$1838,0)),"")</f>
        <v/>
      </c>
      <c r="D24" s="193" t="str">
        <f>IFERROR(INDEX(COMPOSICIÓN!E$2:E$1838,MATCH($B$5&amp;"|MAT|"&amp;14,COMPOSICIÓN!L$2:L$1838,0)),"")</f>
        <v/>
      </c>
      <c r="E24" s="194" t="str">
        <f>IFERROR(INDEX(COMPOSICIÓN!G$2:G$1838,MATCH($B$5&amp;"|MAT|"&amp;14,COMPOSICIÓN!L$2:L$1838,0)),"")</f>
        <v/>
      </c>
      <c r="F24" s="195" t="str">
        <f t="shared" si="0"/>
        <v/>
      </c>
      <c r="G24" s="196" t="str">
        <f t="shared" si="1"/>
        <v/>
      </c>
      <c r="H24" s="44" t="str">
        <f>IFERROR(VLOOKUP(B24,MATERIALES!A:C,3,FALSE()),"")</f>
        <v/>
      </c>
      <c r="I24" s="195" t="str">
        <f>IFERROR(VLOOKUP(B24,MATERIALES!A:D,4,FALSE()),"")</f>
        <v/>
      </c>
      <c r="J24" s="42" t="str">
        <f t="shared" si="2"/>
        <v/>
      </c>
    </row>
    <row r="25" spans="1:10" ht="15" hidden="1" customHeight="1" outlineLevel="1" x14ac:dyDescent="0.35">
      <c r="A25" s="15">
        <v>15</v>
      </c>
      <c r="B25" s="44" t="str">
        <f>IFERROR(INDEX(COMPOSICIÓN!C$2:C$1838,MATCH($B$5&amp;"|MAT|"&amp;15,COMPOSICIÓN!L$2:L$1838,0)),"")</f>
        <v/>
      </c>
      <c r="C25" s="44" t="str">
        <f>IFERROR(INDEX(COMPOSICIÓN!D$2:D$1838,MATCH($B$5&amp;"|MAT|"&amp;15,COMPOSICIÓN!L$2:L$1838,0)),"")</f>
        <v/>
      </c>
      <c r="D25" s="193" t="str">
        <f>IFERROR(INDEX(COMPOSICIÓN!E$2:E$1838,MATCH($B$5&amp;"|MAT|"&amp;15,COMPOSICIÓN!L$2:L$1838,0)),"")</f>
        <v/>
      </c>
      <c r="E25" s="194" t="str">
        <f>IFERROR(INDEX(COMPOSICIÓN!G$2:G$1838,MATCH($B$5&amp;"|MAT|"&amp;15,COMPOSICIÓN!L$2:L$1838,0)),"")</f>
        <v/>
      </c>
      <c r="F25" s="195" t="str">
        <f t="shared" si="0"/>
        <v/>
      </c>
      <c r="G25" s="196" t="str">
        <f t="shared" si="1"/>
        <v/>
      </c>
      <c r="H25" s="44" t="str">
        <f>IFERROR(VLOOKUP(B25,MATERIALES!A:C,3,FALSE()),"")</f>
        <v/>
      </c>
      <c r="I25" s="195" t="str">
        <f>IFERROR(VLOOKUP(B25,MATERIALES!A:D,4,FALSE()),"")</f>
        <v/>
      </c>
      <c r="J25" s="42" t="str">
        <f t="shared" si="2"/>
        <v/>
      </c>
    </row>
    <row r="26" spans="1:10" ht="15" hidden="1" customHeight="1" outlineLevel="1" x14ac:dyDescent="0.35">
      <c r="A26" s="15">
        <v>16</v>
      </c>
      <c r="B26" s="44" t="str">
        <f>IFERROR(INDEX(COMPOSICIÓN!C$2:C$1838,MATCH($B$5&amp;"|MAT|"&amp;16,COMPOSICIÓN!L$2:L$1838,0)),"")</f>
        <v/>
      </c>
      <c r="C26" s="44" t="str">
        <f>IFERROR(INDEX(COMPOSICIÓN!D$2:D$1838,MATCH($B$5&amp;"|MAT|"&amp;16,COMPOSICIÓN!L$2:L$1838,0)),"")</f>
        <v/>
      </c>
      <c r="D26" s="193" t="str">
        <f>IFERROR(INDEX(COMPOSICIÓN!E$2:E$1838,MATCH($B$5&amp;"|MAT|"&amp;16,COMPOSICIÓN!L$2:L$1838,0)),"")</f>
        <v/>
      </c>
      <c r="E26" s="194" t="str">
        <f>IFERROR(INDEX(COMPOSICIÓN!G$2:G$1838,MATCH($B$5&amp;"|MAT|"&amp;16,COMPOSICIÓN!L$2:L$1838,0)),"")</f>
        <v/>
      </c>
      <c r="F26" s="195" t="str">
        <f t="shared" si="0"/>
        <v/>
      </c>
      <c r="G26" s="196" t="str">
        <f t="shared" si="1"/>
        <v/>
      </c>
      <c r="H26" s="44" t="str">
        <f>IFERROR(VLOOKUP(B26,MATERIALES!A:C,3,FALSE()),"")</f>
        <v/>
      </c>
      <c r="I26" s="195" t="str">
        <f>IFERROR(VLOOKUP(B26,MATERIALES!A:D,4,FALSE()),"")</f>
        <v/>
      </c>
      <c r="J26" s="42" t="str">
        <f t="shared" si="2"/>
        <v/>
      </c>
    </row>
    <row r="27" spans="1:10" ht="15" hidden="1" customHeight="1" outlineLevel="1" x14ac:dyDescent="0.35">
      <c r="A27" s="15">
        <v>17</v>
      </c>
      <c r="B27" s="44" t="str">
        <f>IFERROR(INDEX(COMPOSICIÓN!C$2:C$1838,MATCH($B$5&amp;"|MAT|"&amp;17,COMPOSICIÓN!L$2:L$1838,0)),"")</f>
        <v/>
      </c>
      <c r="C27" s="44" t="str">
        <f>IFERROR(INDEX(COMPOSICIÓN!D$2:D$1838,MATCH($B$5&amp;"|MAT|"&amp;17,COMPOSICIÓN!L$2:L$1838,0)),"")</f>
        <v/>
      </c>
      <c r="D27" s="193" t="str">
        <f>IFERROR(INDEX(COMPOSICIÓN!E$2:E$1838,MATCH($B$5&amp;"|MAT|"&amp;17,COMPOSICIÓN!L$2:L$1838,0)),"")</f>
        <v/>
      </c>
      <c r="E27" s="194" t="str">
        <f>IFERROR(INDEX(COMPOSICIÓN!G$2:G$1838,MATCH($B$5&amp;"|MAT|"&amp;17,COMPOSICIÓN!L$2:L$1838,0)),"")</f>
        <v/>
      </c>
      <c r="F27" s="195" t="str">
        <f t="shared" si="0"/>
        <v/>
      </c>
      <c r="G27" s="196" t="str">
        <f t="shared" si="1"/>
        <v/>
      </c>
      <c r="H27" s="44" t="str">
        <f>IFERROR(VLOOKUP(B27,MATERIALES!A:C,3,FALSE()),"")</f>
        <v/>
      </c>
      <c r="I27" s="195" t="str">
        <f>IFERROR(VLOOKUP(B27,MATERIALES!A:D,4,FALSE()),"")</f>
        <v/>
      </c>
      <c r="J27" s="42" t="str">
        <f t="shared" si="2"/>
        <v/>
      </c>
    </row>
    <row r="28" spans="1:10" ht="15" hidden="1" customHeight="1" outlineLevel="1" x14ac:dyDescent="0.35">
      <c r="A28" s="15">
        <v>18</v>
      </c>
      <c r="B28" s="44" t="str">
        <f>IFERROR(INDEX(COMPOSICIÓN!C$2:C$1838,MATCH($B$5&amp;"|MAT|"&amp;18,COMPOSICIÓN!L$2:L$1838,0)),"")</f>
        <v/>
      </c>
      <c r="C28" s="44" t="str">
        <f>IFERROR(INDEX(COMPOSICIÓN!D$2:D$1838,MATCH($B$5&amp;"|MAT|"&amp;18,COMPOSICIÓN!L$2:L$1838,0)),"")</f>
        <v/>
      </c>
      <c r="D28" s="193" t="str">
        <f>IFERROR(INDEX(COMPOSICIÓN!E$2:E$1838,MATCH($B$5&amp;"|MAT|"&amp;18,COMPOSICIÓN!L$2:L$1838,0)),"")</f>
        <v/>
      </c>
      <c r="E28" s="194" t="str">
        <f>IFERROR(INDEX(COMPOSICIÓN!G$2:G$1838,MATCH($B$5&amp;"|MAT|"&amp;18,COMPOSICIÓN!L$2:L$1838,0)),"")</f>
        <v/>
      </c>
      <c r="F28" s="195" t="str">
        <f t="shared" si="0"/>
        <v/>
      </c>
      <c r="G28" s="196" t="str">
        <f t="shared" si="1"/>
        <v/>
      </c>
      <c r="H28" s="44" t="str">
        <f>IFERROR(VLOOKUP(B28,MATERIALES!A:C,3,FALSE()),"")</f>
        <v/>
      </c>
      <c r="I28" s="195" t="str">
        <f>IFERROR(VLOOKUP(B28,MATERIALES!A:D,4,FALSE()),"")</f>
        <v/>
      </c>
      <c r="J28" s="42" t="str">
        <f t="shared" si="2"/>
        <v/>
      </c>
    </row>
    <row r="29" spans="1:10" ht="15" hidden="1" customHeight="1" outlineLevel="1" x14ac:dyDescent="0.35">
      <c r="A29" s="15">
        <v>19</v>
      </c>
      <c r="B29" s="44" t="str">
        <f>IFERROR(INDEX(COMPOSICIÓN!C$2:C$1838,MATCH($B$5&amp;"|MAT|"&amp;19,COMPOSICIÓN!L$2:L$1838,0)),"")</f>
        <v/>
      </c>
      <c r="C29" s="44" t="str">
        <f>IFERROR(INDEX(COMPOSICIÓN!D$2:D$1838,MATCH($B$5&amp;"|MAT|"&amp;19,COMPOSICIÓN!L$2:L$1838,0)),"")</f>
        <v/>
      </c>
      <c r="D29" s="193" t="str">
        <f>IFERROR(INDEX(COMPOSICIÓN!E$2:E$1838,MATCH($B$5&amp;"|MAT|"&amp;19,COMPOSICIÓN!L$2:L$1838,0)),"")</f>
        <v/>
      </c>
      <c r="E29" s="194" t="str">
        <f>IFERROR(INDEX(COMPOSICIÓN!G$2:G$1838,MATCH($B$5&amp;"|MAT|"&amp;19,COMPOSICIÓN!L$2:L$1838,0)),"")</f>
        <v/>
      </c>
      <c r="F29" s="195" t="str">
        <f t="shared" si="0"/>
        <v/>
      </c>
      <c r="G29" s="196" t="str">
        <f t="shared" si="1"/>
        <v/>
      </c>
      <c r="H29" s="44" t="str">
        <f>IFERROR(VLOOKUP(B29,MATERIALES!A:C,3,FALSE()),"")</f>
        <v/>
      </c>
      <c r="I29" s="195" t="str">
        <f>IFERROR(VLOOKUP(B29,MATERIALES!A:D,4,FALSE()),"")</f>
        <v/>
      </c>
      <c r="J29" s="42" t="str">
        <f t="shared" si="2"/>
        <v/>
      </c>
    </row>
    <row r="30" spans="1:10" ht="15" hidden="1" customHeight="1" outlineLevel="1" x14ac:dyDescent="0.35">
      <c r="A30" s="15">
        <v>20</v>
      </c>
      <c r="B30" s="44" t="str">
        <f>IFERROR(INDEX(COMPOSICIÓN!C$2:C$1838,MATCH($B$5&amp;"|MAT|"&amp;20,COMPOSICIÓN!L$2:L$1838,0)),"")</f>
        <v/>
      </c>
      <c r="C30" s="44" t="str">
        <f>IFERROR(INDEX(COMPOSICIÓN!D$2:D$1838,MATCH($B$5&amp;"|MAT|"&amp;20,COMPOSICIÓN!L$2:L$1838,0)),"")</f>
        <v/>
      </c>
      <c r="D30" s="193" t="str">
        <f>IFERROR(INDEX(COMPOSICIÓN!E$2:E$1838,MATCH($B$5&amp;"|MAT|"&amp;20,COMPOSICIÓN!L$2:L$1838,0)),"")</f>
        <v/>
      </c>
      <c r="E30" s="194" t="str">
        <f>IFERROR(INDEX(COMPOSICIÓN!G$2:G$1838,MATCH($B$5&amp;"|MAT|"&amp;20,COMPOSICIÓN!L$2:L$1838,0)),"")</f>
        <v/>
      </c>
      <c r="F30" s="195" t="str">
        <f t="shared" si="0"/>
        <v/>
      </c>
      <c r="G30" s="196" t="str">
        <f t="shared" si="1"/>
        <v/>
      </c>
      <c r="H30" s="44" t="str">
        <f>IFERROR(VLOOKUP(B30,MATERIALES!A:C,3,FALSE()),"")</f>
        <v/>
      </c>
      <c r="I30" s="195" t="str">
        <f>IFERROR(VLOOKUP(B30,MATERIALES!A:D,4,FALSE()),"")</f>
        <v/>
      </c>
      <c r="J30" s="42" t="str">
        <f t="shared" si="2"/>
        <v/>
      </c>
    </row>
    <row r="31" spans="1:10" collapsed="1" x14ac:dyDescent="0.35"/>
    <row r="32" spans="1:10" ht="15" customHeight="1" x14ac:dyDescent="0.35">
      <c r="A32" s="17" t="s">
        <v>2881</v>
      </c>
    </row>
    <row r="33" spans="1:10" ht="23.25" customHeight="1" x14ac:dyDescent="0.35">
      <c r="A33" s="12"/>
      <c r="B33" s="12" t="s">
        <v>2882</v>
      </c>
      <c r="C33" s="12" t="s">
        <v>6</v>
      </c>
      <c r="D33" s="12"/>
      <c r="E33" s="12"/>
      <c r="F33" s="12"/>
      <c r="G33" s="12" t="s">
        <v>2878</v>
      </c>
      <c r="H33" s="12" t="s">
        <v>580</v>
      </c>
      <c r="I33" s="12" t="s">
        <v>2883</v>
      </c>
      <c r="J33" s="12" t="s">
        <v>2792</v>
      </c>
    </row>
    <row r="34" spans="1:10" ht="15" customHeight="1" x14ac:dyDescent="0.35">
      <c r="A34" s="15" t="s">
        <v>2884</v>
      </c>
      <c r="B34" s="44"/>
      <c r="C34" s="44"/>
      <c r="D34" s="188"/>
      <c r="E34" s="189"/>
      <c r="F34" s="197"/>
      <c r="G34" s="196"/>
      <c r="H34" s="44"/>
      <c r="I34" s="192"/>
      <c r="J34" s="42" t="str">
        <f>IF(G34="","",G34*I34)</f>
        <v/>
      </c>
    </row>
    <row r="35" spans="1:10" ht="15" customHeight="1" x14ac:dyDescent="0.35">
      <c r="A35" s="15" t="s">
        <v>2885</v>
      </c>
      <c r="B35" s="44"/>
      <c r="C35" s="44"/>
      <c r="D35" s="188"/>
      <c r="E35" s="189"/>
      <c r="F35" s="197"/>
      <c r="G35" s="196"/>
      <c r="H35" s="44"/>
      <c r="I35" s="192"/>
      <c r="J35" s="42" t="str">
        <f>IF(G35="","",G35*I35)</f>
        <v/>
      </c>
    </row>
    <row r="36" spans="1:10" ht="15" customHeight="1" x14ac:dyDescent="0.35">
      <c r="A36" s="15" t="s">
        <v>2886</v>
      </c>
      <c r="B36" s="44"/>
      <c r="C36" s="44"/>
      <c r="D36" s="188"/>
      <c r="E36" s="189"/>
      <c r="F36" s="197"/>
      <c r="G36" s="196"/>
      <c r="H36" s="44"/>
      <c r="I36" s="192"/>
      <c r="J36" s="42" t="str">
        <f>IF(G36="","",G36*I36)</f>
        <v/>
      </c>
    </row>
    <row r="37" spans="1:10" ht="15" customHeight="1" x14ac:dyDescent="0.35">
      <c r="A37" s="15" t="s">
        <v>2887</v>
      </c>
      <c r="B37" s="44"/>
      <c r="C37" s="44"/>
      <c r="D37" s="188"/>
      <c r="E37" s="189"/>
      <c r="F37" s="197"/>
      <c r="G37" s="196"/>
      <c r="H37" s="44"/>
      <c r="I37" s="192"/>
      <c r="J37" s="42" t="str">
        <f>IF(G37="","",G37*I37)</f>
        <v/>
      </c>
    </row>
    <row r="38" spans="1:10" ht="15" customHeight="1" x14ac:dyDescent="0.35">
      <c r="A38" s="15" t="s">
        <v>2888</v>
      </c>
      <c r="B38" s="44"/>
      <c r="C38" s="44"/>
      <c r="D38" s="188"/>
      <c r="E38" s="189"/>
      <c r="F38" s="197"/>
      <c r="G38" s="196"/>
      <c r="H38" s="44"/>
      <c r="I38" s="192"/>
      <c r="J38" s="42" t="str">
        <f>IF(G38="","",G38*I38)</f>
        <v/>
      </c>
    </row>
    <row r="40" spans="1:10" ht="15" customHeight="1" x14ac:dyDescent="0.35"/>
  </sheetData>
  <mergeCells count="2">
    <mergeCell ref="A1:L1"/>
    <mergeCell ref="B4:D4"/>
  </mergeCells>
  <dataValidations count="1">
    <dataValidation type="list" allowBlank="1" sqref="B7" xr:uid="{00000000-0002-0000-0D00-000000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3A2C7"/>
  </sheetPr>
  <dimension ref="A1:J33"/>
  <sheetViews>
    <sheetView showGridLines="0" zoomScaleNormal="100" workbookViewId="0">
      <pane ySplit="5" topLeftCell="A6" activePane="bottomLeft" state="frozen"/>
      <selection pane="bottomLeft" activeCell="A10" sqref="A10"/>
    </sheetView>
  </sheetViews>
  <sheetFormatPr defaultColWidth="8.6328125" defaultRowHeight="14.5" x14ac:dyDescent="0.35"/>
  <cols>
    <col min="1" max="1" width="8" customWidth="1"/>
    <col min="2" max="3" width="12" customWidth="1"/>
    <col min="4" max="4" width="40" customWidth="1"/>
    <col min="5" max="5" width="12" customWidth="1"/>
    <col min="6" max="6" width="10" customWidth="1"/>
    <col min="7" max="8" width="14" customWidth="1"/>
    <col min="9" max="9" width="10" customWidth="1"/>
    <col min="10" max="10" width="14" customWidth="1"/>
  </cols>
  <sheetData>
    <row r="1" spans="1:10" ht="17.25" customHeight="1" x14ac:dyDescent="0.45">
      <c r="A1" s="262" t="s">
        <v>2889</v>
      </c>
      <c r="B1" s="264"/>
      <c r="C1" s="264"/>
      <c r="D1" s="264"/>
      <c r="E1" s="264"/>
      <c r="F1" s="264"/>
      <c r="G1" s="264"/>
      <c r="H1" s="264"/>
      <c r="I1" s="264"/>
      <c r="J1" s="264"/>
    </row>
    <row r="2" spans="1:10" ht="15" customHeight="1" x14ac:dyDescent="0.35">
      <c r="A2" s="17" t="s">
        <v>2865</v>
      </c>
      <c r="B2" s="169">
        <f>RQ_INPUT!B3</f>
        <v>1</v>
      </c>
      <c r="C2" s="17" t="s">
        <v>2866</v>
      </c>
      <c r="D2" s="51" t="str">
        <f>RQ_INPUT!D3</f>
        <v>2026-04-24</v>
      </c>
      <c r="E2" s="17" t="s">
        <v>2871</v>
      </c>
      <c r="F2" s="51" t="str">
        <f>RQ_INPUT!B7</f>
        <v>Media</v>
      </c>
      <c r="G2" s="17" t="s">
        <v>2869</v>
      </c>
      <c r="H2" s="51" t="str">
        <f>RQ_INPUT!D5</f>
        <v>MAMPOSTERÍA</v>
      </c>
    </row>
    <row r="3" spans="1:10" ht="15" customHeight="1" x14ac:dyDescent="0.35">
      <c r="A3" s="17" t="s">
        <v>2868</v>
      </c>
      <c r="B3" s="169" t="str">
        <f>RQ_INPUT!B5</f>
        <v>ALB-034</v>
      </c>
      <c r="D3" s="289" t="str">
        <f>RQ_INPUT!B4</f>
        <v>Ladrillo cerámico 8 x 18 x 33 cm</v>
      </c>
      <c r="E3" s="264"/>
      <c r="F3" s="264"/>
      <c r="G3" s="17" t="s">
        <v>2890</v>
      </c>
      <c r="H3" s="169">
        <f>RQ_INPUT!B6</f>
        <v>200</v>
      </c>
    </row>
    <row r="4" spans="1:10" ht="14.25" customHeight="1" x14ac:dyDescent="0.35">
      <c r="G4" s="186" t="s">
        <v>2874</v>
      </c>
      <c r="H4" s="187">
        <f>SUM(H6:H31)</f>
        <v>0</v>
      </c>
    </row>
    <row r="5" spans="1:10" ht="23.25" customHeight="1" x14ac:dyDescent="0.35">
      <c r="A5" s="12" t="s">
        <v>4</v>
      </c>
      <c r="B5" s="12" t="s">
        <v>2875</v>
      </c>
      <c r="C5" s="12" t="s">
        <v>2891</v>
      </c>
      <c r="D5" s="12" t="s">
        <v>6</v>
      </c>
      <c r="E5" s="12" t="s">
        <v>2878</v>
      </c>
      <c r="F5" s="12" t="s">
        <v>580</v>
      </c>
      <c r="G5" s="12" t="s">
        <v>2883</v>
      </c>
      <c r="H5" s="12" t="s">
        <v>2792</v>
      </c>
      <c r="I5" s="12" t="s">
        <v>2892</v>
      </c>
      <c r="J5" s="12" t="s">
        <v>2893</v>
      </c>
    </row>
    <row r="6" spans="1:10" ht="15" customHeight="1" x14ac:dyDescent="0.35">
      <c r="A6" s="20" t="str">
        <f>IF(RQ_INPUT!B11="","",1)</f>
        <v/>
      </c>
      <c r="B6" s="20" t="str">
        <f>IF(RQ_INPUT!B11="","",RQ_INPUT!B11)</f>
        <v/>
      </c>
      <c r="C6" s="20" t="str">
        <f>IF(RQ_INPUT!B11="","","APU")</f>
        <v/>
      </c>
      <c r="D6" s="15" t="str">
        <f>IF(RQ_INPUT!C11="","",RQ_INPUT!C11)</f>
        <v/>
      </c>
      <c r="E6" s="198" t="str">
        <f>IF(RQ_INPUT!G11="","",RQ_INPUT!G11)</f>
        <v/>
      </c>
      <c r="F6" s="15" t="str">
        <f>IF(RQ_INPUT!H11="","",RQ_INPUT!H11)</f>
        <v/>
      </c>
      <c r="G6" s="42" t="str">
        <f>IF(RQ_INPUT!I11="","",RQ_INPUT!I11)</f>
        <v/>
      </c>
      <c r="H6" s="42" t="str">
        <f>IF(RQ_INPUT!J11="","",RQ_INPUT!J11)</f>
        <v/>
      </c>
      <c r="I6" s="14" t="s">
        <v>2894</v>
      </c>
      <c r="J6" s="14"/>
    </row>
    <row r="7" spans="1:10" ht="15" customHeight="1" x14ac:dyDescent="0.35">
      <c r="A7" s="20" t="str">
        <f>IF(RQ_INPUT!B12="","",2)</f>
        <v/>
      </c>
      <c r="B7" s="20" t="str">
        <f>IF(RQ_INPUT!B12="","",RQ_INPUT!B12)</f>
        <v/>
      </c>
      <c r="C7" s="20" t="str">
        <f>IF(RQ_INPUT!B12="","","APU")</f>
        <v/>
      </c>
      <c r="D7" s="15" t="str">
        <f>IF(RQ_INPUT!C12="","",RQ_INPUT!C12)</f>
        <v/>
      </c>
      <c r="E7" s="198" t="str">
        <f>IF(RQ_INPUT!G12="","",RQ_INPUT!G12)</f>
        <v/>
      </c>
      <c r="F7" s="15" t="str">
        <f>IF(RQ_INPUT!H12="","",RQ_INPUT!H12)</f>
        <v/>
      </c>
      <c r="G7" s="42" t="str">
        <f>IF(RQ_INPUT!I12="","",RQ_INPUT!I12)</f>
        <v/>
      </c>
      <c r="H7" s="42" t="str">
        <f>IF(RQ_INPUT!J12="","",RQ_INPUT!J12)</f>
        <v/>
      </c>
      <c r="I7" s="14" t="s">
        <v>2894</v>
      </c>
      <c r="J7" s="14"/>
    </row>
    <row r="8" spans="1:10" ht="15" customHeight="1" x14ac:dyDescent="0.35">
      <c r="A8" s="20" t="str">
        <f>IF(RQ_INPUT!B13="","",3)</f>
        <v/>
      </c>
      <c r="B8" s="20" t="str">
        <f>IF(RQ_INPUT!B13="","",RQ_INPUT!B13)</f>
        <v/>
      </c>
      <c r="C8" s="20" t="str">
        <f>IF(RQ_INPUT!B13="","","APU")</f>
        <v/>
      </c>
      <c r="D8" s="15" t="str">
        <f>IF(RQ_INPUT!C13="","",RQ_INPUT!C13)</f>
        <v/>
      </c>
      <c r="E8" s="198" t="str">
        <f>IF(RQ_INPUT!G13="","",RQ_INPUT!G13)</f>
        <v/>
      </c>
      <c r="F8" s="15" t="str">
        <f>IF(RQ_INPUT!H13="","",RQ_INPUT!H13)</f>
        <v/>
      </c>
      <c r="G8" s="42" t="str">
        <f>IF(RQ_INPUT!I13="","",RQ_INPUT!I13)</f>
        <v/>
      </c>
      <c r="H8" s="42" t="str">
        <f>IF(RQ_INPUT!J13="","",RQ_INPUT!J13)</f>
        <v/>
      </c>
      <c r="I8" s="14" t="s">
        <v>2894</v>
      </c>
      <c r="J8" s="14"/>
    </row>
    <row r="9" spans="1:10" ht="15" customHeight="1" x14ac:dyDescent="0.35">
      <c r="A9" s="20" t="str">
        <f>IF(RQ_INPUT!B14="","",4)</f>
        <v/>
      </c>
      <c r="B9" s="20" t="str">
        <f>IF(RQ_INPUT!B14="","",RQ_INPUT!B14)</f>
        <v/>
      </c>
      <c r="C9" s="20" t="str">
        <f>IF(RQ_INPUT!B14="","","APU")</f>
        <v/>
      </c>
      <c r="D9" s="15" t="str">
        <f>IF(RQ_INPUT!C14="","",RQ_INPUT!C14)</f>
        <v/>
      </c>
      <c r="E9" s="198" t="str">
        <f>IF(RQ_INPUT!G14="","",RQ_INPUT!G14)</f>
        <v/>
      </c>
      <c r="F9" s="15" t="str">
        <f>IF(RQ_INPUT!H14="","",RQ_INPUT!H14)</f>
        <v/>
      </c>
      <c r="G9" s="42" t="str">
        <f>IF(RQ_INPUT!I14="","",RQ_INPUT!I14)</f>
        <v/>
      </c>
      <c r="H9" s="42" t="str">
        <f>IF(RQ_INPUT!J14="","",RQ_INPUT!J14)</f>
        <v/>
      </c>
      <c r="I9" s="14" t="s">
        <v>2894</v>
      </c>
      <c r="J9" s="14"/>
    </row>
    <row r="10" spans="1:10" ht="15" customHeight="1" x14ac:dyDescent="0.35">
      <c r="A10" s="20" t="str">
        <f>IF(RQ_INPUT!B15="","",5)</f>
        <v/>
      </c>
      <c r="B10" s="20" t="str">
        <f>IF(RQ_INPUT!B15="","",RQ_INPUT!B15)</f>
        <v/>
      </c>
      <c r="C10" s="20" t="str">
        <f>IF(RQ_INPUT!B15="","","APU")</f>
        <v/>
      </c>
      <c r="D10" s="15" t="str">
        <f>IF(RQ_INPUT!C15="","",RQ_INPUT!C15)</f>
        <v/>
      </c>
      <c r="E10" s="198" t="str">
        <f>IF(RQ_INPUT!G15="","",RQ_INPUT!G15)</f>
        <v/>
      </c>
      <c r="F10" s="15" t="str">
        <f>IF(RQ_INPUT!H15="","",RQ_INPUT!H15)</f>
        <v/>
      </c>
      <c r="G10" s="42" t="str">
        <f>IF(RQ_INPUT!I15="","",RQ_INPUT!I15)</f>
        <v/>
      </c>
      <c r="H10" s="42" t="str">
        <f>IF(RQ_INPUT!J15="","",RQ_INPUT!J15)</f>
        <v/>
      </c>
      <c r="I10" s="14" t="s">
        <v>2894</v>
      </c>
      <c r="J10" s="14"/>
    </row>
    <row r="11" spans="1:10" ht="15" customHeight="1" x14ac:dyDescent="0.35">
      <c r="A11" s="20" t="str">
        <f>IF(RQ_INPUT!B16="","",6)</f>
        <v/>
      </c>
      <c r="B11" s="20" t="str">
        <f>IF(RQ_INPUT!B16="","",RQ_INPUT!B16)</f>
        <v/>
      </c>
      <c r="C11" s="20" t="str">
        <f>IF(RQ_INPUT!B16="","","APU")</f>
        <v/>
      </c>
      <c r="D11" s="15" t="str">
        <f>IF(RQ_INPUT!C16="","",RQ_INPUT!C16)</f>
        <v/>
      </c>
      <c r="E11" s="198" t="str">
        <f>IF(RQ_INPUT!G16="","",RQ_INPUT!G16)</f>
        <v/>
      </c>
      <c r="F11" s="15" t="str">
        <f>IF(RQ_INPUT!H16="","",RQ_INPUT!H16)</f>
        <v/>
      </c>
      <c r="G11" s="195" t="str">
        <f>IF(RQ_INPUT!I16="","",RQ_INPUT!I16)</f>
        <v/>
      </c>
      <c r="H11" s="42" t="str">
        <f>IF(RQ_INPUT!J16="","",RQ_INPUT!J16)</f>
        <v/>
      </c>
      <c r="I11" s="14" t="s">
        <v>2894</v>
      </c>
      <c r="J11" s="14"/>
    </row>
    <row r="12" spans="1:10" ht="15" customHeight="1" x14ac:dyDescent="0.35">
      <c r="A12" s="20" t="str">
        <f>IF(RQ_INPUT!B17="","",7)</f>
        <v/>
      </c>
      <c r="B12" s="20" t="str">
        <f>IF(RQ_INPUT!B17="","",RQ_INPUT!B17)</f>
        <v/>
      </c>
      <c r="C12" s="20" t="str">
        <f>IF(RQ_INPUT!B17="","","APU")</f>
        <v/>
      </c>
      <c r="D12" s="15" t="str">
        <f>IF(RQ_INPUT!C17="","",RQ_INPUT!C17)</f>
        <v/>
      </c>
      <c r="E12" s="198" t="str">
        <f>IF(RQ_INPUT!G17="","",RQ_INPUT!G17)</f>
        <v/>
      </c>
      <c r="F12" s="15" t="str">
        <f>IF(RQ_INPUT!H17="","",RQ_INPUT!H17)</f>
        <v/>
      </c>
      <c r="G12" s="195" t="str">
        <f>IF(RQ_INPUT!I17="","",RQ_INPUT!I17)</f>
        <v/>
      </c>
      <c r="H12" s="42" t="str">
        <f>IF(RQ_INPUT!J17="","",RQ_INPUT!J17)</f>
        <v/>
      </c>
      <c r="I12" s="14" t="s">
        <v>2894</v>
      </c>
      <c r="J12" s="14"/>
    </row>
    <row r="13" spans="1:10" ht="15" customHeight="1" x14ac:dyDescent="0.35">
      <c r="A13" s="20" t="str">
        <f>IF(RQ_INPUT!B18="","",8)</f>
        <v/>
      </c>
      <c r="B13" s="20" t="str">
        <f>IF(RQ_INPUT!B18="","",RQ_INPUT!B18)</f>
        <v/>
      </c>
      <c r="C13" s="20" t="str">
        <f>IF(RQ_INPUT!B18="","","APU")</f>
        <v/>
      </c>
      <c r="D13" s="15" t="str">
        <f>IF(RQ_INPUT!C18="","",RQ_INPUT!C18)</f>
        <v/>
      </c>
      <c r="E13" s="198" t="str">
        <f>IF(RQ_INPUT!G18="","",RQ_INPUT!G18)</f>
        <v/>
      </c>
      <c r="F13" s="15" t="str">
        <f>IF(RQ_INPUT!H18="","",RQ_INPUT!H18)</f>
        <v/>
      </c>
      <c r="G13" s="195" t="str">
        <f>IF(RQ_INPUT!I18="","",RQ_INPUT!I18)</f>
        <v/>
      </c>
      <c r="H13" s="42" t="str">
        <f>IF(RQ_INPUT!J18="","",RQ_INPUT!J18)</f>
        <v/>
      </c>
      <c r="I13" s="14" t="s">
        <v>2894</v>
      </c>
      <c r="J13" s="14"/>
    </row>
    <row r="14" spans="1:10" ht="15" customHeight="1" x14ac:dyDescent="0.35">
      <c r="A14" s="20" t="str">
        <f>IF(RQ_INPUT!B19="","",9)</f>
        <v/>
      </c>
      <c r="B14" s="20" t="str">
        <f>IF(RQ_INPUT!B19="","",RQ_INPUT!B19)</f>
        <v/>
      </c>
      <c r="C14" s="20" t="str">
        <f>IF(RQ_INPUT!B19="","","APU")</f>
        <v/>
      </c>
      <c r="D14" s="15" t="str">
        <f>IF(RQ_INPUT!C19="","",RQ_INPUT!C19)</f>
        <v/>
      </c>
      <c r="E14" s="198" t="str">
        <f>IF(RQ_INPUT!G19="","",RQ_INPUT!G19)</f>
        <v/>
      </c>
      <c r="F14" s="15" t="str">
        <f>IF(RQ_INPUT!H19="","",RQ_INPUT!H19)</f>
        <v/>
      </c>
      <c r="G14" s="195" t="str">
        <f>IF(RQ_INPUT!I19="","",RQ_INPUT!I19)</f>
        <v/>
      </c>
      <c r="H14" s="42" t="str">
        <f>IF(RQ_INPUT!J19="","",RQ_INPUT!J19)</f>
        <v/>
      </c>
      <c r="I14" s="14" t="s">
        <v>2894</v>
      </c>
      <c r="J14" s="14"/>
    </row>
    <row r="15" spans="1:10" ht="15" customHeight="1" x14ac:dyDescent="0.35">
      <c r="A15" s="20" t="str">
        <f>IF(RQ_INPUT!B20="","",10)</f>
        <v/>
      </c>
      <c r="B15" s="20" t="str">
        <f>IF(RQ_INPUT!B20="","",RQ_INPUT!B20)</f>
        <v/>
      </c>
      <c r="C15" s="20" t="str">
        <f>IF(RQ_INPUT!B20="","","APU")</f>
        <v/>
      </c>
      <c r="D15" s="15" t="str">
        <f>IF(RQ_INPUT!C20="","",RQ_INPUT!C20)</f>
        <v/>
      </c>
      <c r="E15" s="198" t="str">
        <f>IF(RQ_INPUT!G20="","",RQ_INPUT!G20)</f>
        <v/>
      </c>
      <c r="F15" s="15" t="str">
        <f>IF(RQ_INPUT!H20="","",RQ_INPUT!H20)</f>
        <v/>
      </c>
      <c r="G15" s="195" t="str">
        <f>IF(RQ_INPUT!I20="","",RQ_INPUT!I20)</f>
        <v/>
      </c>
      <c r="H15" s="42" t="str">
        <f>IF(RQ_INPUT!J20="","",RQ_INPUT!J20)</f>
        <v/>
      </c>
      <c r="I15" s="14" t="s">
        <v>2894</v>
      </c>
      <c r="J15" s="14"/>
    </row>
    <row r="16" spans="1:10" ht="15" customHeight="1" x14ac:dyDescent="0.35">
      <c r="A16" s="20" t="str">
        <f>IF(RQ_INPUT!B21="","",11)</f>
        <v/>
      </c>
      <c r="B16" s="20" t="str">
        <f>IF(RQ_INPUT!B21="","",RQ_INPUT!B21)</f>
        <v/>
      </c>
      <c r="C16" s="20" t="str">
        <f>IF(RQ_INPUT!B21="","","APU")</f>
        <v/>
      </c>
      <c r="D16" s="15" t="str">
        <f>IF(RQ_INPUT!C21="","",RQ_INPUT!C21)</f>
        <v/>
      </c>
      <c r="E16" s="198" t="str">
        <f>IF(RQ_INPUT!G21="","",RQ_INPUT!G21)</f>
        <v/>
      </c>
      <c r="F16" s="15" t="str">
        <f>IF(RQ_INPUT!H21="","",RQ_INPUT!H21)</f>
        <v/>
      </c>
      <c r="G16" s="195" t="str">
        <f>IF(RQ_INPUT!I21="","",RQ_INPUT!I21)</f>
        <v/>
      </c>
      <c r="H16" s="42" t="str">
        <f>IF(RQ_INPUT!J21="","",RQ_INPUT!J21)</f>
        <v/>
      </c>
      <c r="I16" s="14" t="s">
        <v>2894</v>
      </c>
      <c r="J16" s="14"/>
    </row>
    <row r="17" spans="1:10" ht="15" customHeight="1" x14ac:dyDescent="0.35">
      <c r="A17" s="20" t="str">
        <f>IF(RQ_INPUT!B22="","",12)</f>
        <v/>
      </c>
      <c r="B17" s="20" t="str">
        <f>IF(RQ_INPUT!B22="","",RQ_INPUT!B22)</f>
        <v/>
      </c>
      <c r="C17" s="20" t="str">
        <f>IF(RQ_INPUT!B22="","","APU")</f>
        <v/>
      </c>
      <c r="D17" s="15" t="str">
        <f>IF(RQ_INPUT!C22="","",RQ_INPUT!C22)</f>
        <v/>
      </c>
      <c r="E17" s="198" t="str">
        <f>IF(RQ_INPUT!G22="","",RQ_INPUT!G22)</f>
        <v/>
      </c>
      <c r="F17" s="15" t="str">
        <f>IF(RQ_INPUT!H22="","",RQ_INPUT!H22)</f>
        <v/>
      </c>
      <c r="G17" s="195" t="str">
        <f>IF(RQ_INPUT!I22="","",RQ_INPUT!I22)</f>
        <v/>
      </c>
      <c r="H17" s="42" t="str">
        <f>IF(RQ_INPUT!J22="","",RQ_INPUT!J22)</f>
        <v/>
      </c>
      <c r="I17" s="14" t="s">
        <v>2894</v>
      </c>
      <c r="J17" s="14"/>
    </row>
    <row r="18" spans="1:10" ht="15" customHeight="1" x14ac:dyDescent="0.35">
      <c r="A18" s="20" t="str">
        <f>IF(RQ_INPUT!B23="","",13)</f>
        <v/>
      </c>
      <c r="B18" s="20" t="str">
        <f>IF(RQ_INPUT!B23="","",RQ_INPUT!B23)</f>
        <v/>
      </c>
      <c r="C18" s="20" t="str">
        <f>IF(RQ_INPUT!B23="","","APU")</f>
        <v/>
      </c>
      <c r="D18" s="15" t="str">
        <f>IF(RQ_INPUT!C23="","",RQ_INPUT!C23)</f>
        <v/>
      </c>
      <c r="E18" s="198" t="str">
        <f>IF(RQ_INPUT!G23="","",RQ_INPUT!G23)</f>
        <v/>
      </c>
      <c r="F18" s="15" t="str">
        <f>IF(RQ_INPUT!H23="","",RQ_INPUT!H23)</f>
        <v/>
      </c>
      <c r="G18" s="195" t="str">
        <f>IF(RQ_INPUT!I23="","",RQ_INPUT!I23)</f>
        <v/>
      </c>
      <c r="H18" s="42" t="str">
        <f>IF(RQ_INPUT!J23="","",RQ_INPUT!J23)</f>
        <v/>
      </c>
      <c r="I18" s="14" t="s">
        <v>2894</v>
      </c>
      <c r="J18" s="14"/>
    </row>
    <row r="19" spans="1:10" ht="15" customHeight="1" x14ac:dyDescent="0.35">
      <c r="A19" s="20" t="str">
        <f>IF(RQ_INPUT!B24="","",14)</f>
        <v/>
      </c>
      <c r="B19" s="20" t="str">
        <f>IF(RQ_INPUT!B24="","",RQ_INPUT!B24)</f>
        <v/>
      </c>
      <c r="C19" s="20" t="str">
        <f>IF(RQ_INPUT!B24="","","APU")</f>
        <v/>
      </c>
      <c r="D19" s="15" t="str">
        <f>IF(RQ_INPUT!C24="","",RQ_INPUT!C24)</f>
        <v/>
      </c>
      <c r="E19" s="198" t="str">
        <f>IF(RQ_INPUT!G24="","",RQ_INPUT!G24)</f>
        <v/>
      </c>
      <c r="F19" s="15" t="str">
        <f>IF(RQ_INPUT!H24="","",RQ_INPUT!H24)</f>
        <v/>
      </c>
      <c r="G19" s="195" t="str">
        <f>IF(RQ_INPUT!I24="","",RQ_INPUT!I24)</f>
        <v/>
      </c>
      <c r="H19" s="42" t="str">
        <f>IF(RQ_INPUT!J24="","",RQ_INPUT!J24)</f>
        <v/>
      </c>
      <c r="I19" s="14" t="s">
        <v>2894</v>
      </c>
      <c r="J19" s="14"/>
    </row>
    <row r="20" spans="1:10" ht="15" customHeight="1" x14ac:dyDescent="0.35">
      <c r="A20" s="20" t="str">
        <f>IF(RQ_INPUT!B25="","",15)</f>
        <v/>
      </c>
      <c r="B20" s="20" t="str">
        <f>IF(RQ_INPUT!B25="","",RQ_INPUT!B25)</f>
        <v/>
      </c>
      <c r="C20" s="20" t="str">
        <f>IF(RQ_INPUT!B25="","","APU")</f>
        <v/>
      </c>
      <c r="D20" s="15" t="str">
        <f>IF(RQ_INPUT!C25="","",RQ_INPUT!C25)</f>
        <v/>
      </c>
      <c r="E20" s="198" t="str">
        <f>IF(RQ_INPUT!G25="","",RQ_INPUT!G25)</f>
        <v/>
      </c>
      <c r="F20" s="15" t="str">
        <f>IF(RQ_INPUT!H25="","",RQ_INPUT!H25)</f>
        <v/>
      </c>
      <c r="G20" s="195" t="str">
        <f>IF(RQ_INPUT!I25="","",RQ_INPUT!I25)</f>
        <v/>
      </c>
      <c r="H20" s="42" t="str">
        <f>IF(RQ_INPUT!J25="","",RQ_INPUT!J25)</f>
        <v/>
      </c>
      <c r="I20" s="14" t="s">
        <v>2894</v>
      </c>
      <c r="J20" s="14"/>
    </row>
    <row r="21" spans="1:10" ht="15" customHeight="1" x14ac:dyDescent="0.35">
      <c r="A21" s="20" t="str">
        <f>IF(RQ_INPUT!B26="","",16)</f>
        <v/>
      </c>
      <c r="B21" s="20" t="str">
        <f>IF(RQ_INPUT!B26="","",RQ_INPUT!B26)</f>
        <v/>
      </c>
      <c r="C21" s="20" t="str">
        <f>IF(RQ_INPUT!B26="","","APU")</f>
        <v/>
      </c>
      <c r="D21" s="15" t="str">
        <f>IF(RQ_INPUT!C26="","",RQ_INPUT!C26)</f>
        <v/>
      </c>
      <c r="E21" s="198" t="str">
        <f>IF(RQ_INPUT!G26="","",RQ_INPUT!G26)</f>
        <v/>
      </c>
      <c r="F21" s="15" t="str">
        <f>IF(RQ_INPUT!H26="","",RQ_INPUT!H26)</f>
        <v/>
      </c>
      <c r="G21" s="195" t="str">
        <f>IF(RQ_INPUT!I26="","",RQ_INPUT!I26)</f>
        <v/>
      </c>
      <c r="H21" s="42" t="str">
        <f>IF(RQ_INPUT!J26="","",RQ_INPUT!J26)</f>
        <v/>
      </c>
      <c r="I21" s="14" t="s">
        <v>2894</v>
      </c>
      <c r="J21" s="14"/>
    </row>
    <row r="22" spans="1:10" ht="15" customHeight="1" x14ac:dyDescent="0.35">
      <c r="A22" s="20" t="str">
        <f>IF(RQ_INPUT!B27="","",17)</f>
        <v/>
      </c>
      <c r="B22" s="20" t="str">
        <f>IF(RQ_INPUT!B27="","",RQ_INPUT!B27)</f>
        <v/>
      </c>
      <c r="C22" s="20" t="str">
        <f>IF(RQ_INPUT!B27="","","APU")</f>
        <v/>
      </c>
      <c r="D22" s="15" t="str">
        <f>IF(RQ_INPUT!C27="","",RQ_INPUT!C27)</f>
        <v/>
      </c>
      <c r="E22" s="198" t="str">
        <f>IF(RQ_INPUT!G27="","",RQ_INPUT!G27)</f>
        <v/>
      </c>
      <c r="F22" s="15" t="str">
        <f>IF(RQ_INPUT!H27="","",RQ_INPUT!H27)</f>
        <v/>
      </c>
      <c r="G22" s="195" t="str">
        <f>IF(RQ_INPUT!I27="","",RQ_INPUT!I27)</f>
        <v/>
      </c>
      <c r="H22" s="42" t="str">
        <f>IF(RQ_INPUT!J27="","",RQ_INPUT!J27)</f>
        <v/>
      </c>
      <c r="I22" s="14" t="s">
        <v>2894</v>
      </c>
      <c r="J22" s="14"/>
    </row>
    <row r="23" spans="1:10" ht="15" customHeight="1" x14ac:dyDescent="0.35">
      <c r="A23" s="20" t="str">
        <f>IF(RQ_INPUT!B28="","",18)</f>
        <v/>
      </c>
      <c r="B23" s="20" t="str">
        <f>IF(RQ_INPUT!B28="","",RQ_INPUT!B28)</f>
        <v/>
      </c>
      <c r="C23" s="20" t="str">
        <f>IF(RQ_INPUT!B28="","","APU")</f>
        <v/>
      </c>
      <c r="D23" s="15" t="str">
        <f>IF(RQ_INPUT!C28="","",RQ_INPUT!C28)</f>
        <v/>
      </c>
      <c r="E23" s="198" t="str">
        <f>IF(RQ_INPUT!G28="","",RQ_INPUT!G28)</f>
        <v/>
      </c>
      <c r="F23" s="15" t="str">
        <f>IF(RQ_INPUT!H28="","",RQ_INPUT!H28)</f>
        <v/>
      </c>
      <c r="G23" s="195" t="str">
        <f>IF(RQ_INPUT!I28="","",RQ_INPUT!I28)</f>
        <v/>
      </c>
      <c r="H23" s="42" t="str">
        <f>IF(RQ_INPUT!J28="","",RQ_INPUT!J28)</f>
        <v/>
      </c>
      <c r="I23" s="14" t="s">
        <v>2894</v>
      </c>
      <c r="J23" s="14"/>
    </row>
    <row r="24" spans="1:10" ht="15" customHeight="1" x14ac:dyDescent="0.35">
      <c r="A24" s="20" t="str">
        <f>IF(RQ_INPUT!B29="","",19)</f>
        <v/>
      </c>
      <c r="B24" s="20" t="str">
        <f>IF(RQ_INPUT!B29="","",RQ_INPUT!B29)</f>
        <v/>
      </c>
      <c r="C24" s="20" t="str">
        <f>IF(RQ_INPUT!B29="","","APU")</f>
        <v/>
      </c>
      <c r="D24" s="15" t="str">
        <f>IF(RQ_INPUT!C29="","",RQ_INPUT!C29)</f>
        <v/>
      </c>
      <c r="E24" s="198" t="str">
        <f>IF(RQ_INPUT!G29="","",RQ_INPUT!G29)</f>
        <v/>
      </c>
      <c r="F24" s="15" t="str">
        <f>IF(RQ_INPUT!H29="","",RQ_INPUT!H29)</f>
        <v/>
      </c>
      <c r="G24" s="195" t="str">
        <f>IF(RQ_INPUT!I29="","",RQ_INPUT!I29)</f>
        <v/>
      </c>
      <c r="H24" s="42" t="str">
        <f>IF(RQ_INPUT!J29="","",RQ_INPUT!J29)</f>
        <v/>
      </c>
      <c r="I24" s="14" t="s">
        <v>2894</v>
      </c>
      <c r="J24" s="14"/>
    </row>
    <row r="25" spans="1:10" ht="15" customHeight="1" x14ac:dyDescent="0.35">
      <c r="A25" s="20" t="str">
        <f>IF(RQ_INPUT!B30="","",20)</f>
        <v/>
      </c>
      <c r="B25" s="20" t="str">
        <f>IF(RQ_INPUT!B30="","",RQ_INPUT!B30)</f>
        <v/>
      </c>
      <c r="C25" s="20" t="str">
        <f>IF(RQ_INPUT!B30="","","APU")</f>
        <v/>
      </c>
      <c r="D25" s="15" t="str">
        <f>IF(RQ_INPUT!C30="","",RQ_INPUT!C30)</f>
        <v/>
      </c>
      <c r="E25" s="198" t="str">
        <f>IF(RQ_INPUT!G30="","",RQ_INPUT!G30)</f>
        <v/>
      </c>
      <c r="F25" s="15" t="str">
        <f>IF(RQ_INPUT!H30="","",RQ_INPUT!H30)</f>
        <v/>
      </c>
      <c r="G25" s="195" t="str">
        <f>IF(RQ_INPUT!I30="","",RQ_INPUT!I30)</f>
        <v/>
      </c>
      <c r="H25" s="42" t="str">
        <f>IF(RQ_INPUT!J30="","",RQ_INPUT!J30)</f>
        <v/>
      </c>
      <c r="I25" s="14" t="s">
        <v>2894</v>
      </c>
      <c r="J25" s="14"/>
    </row>
    <row r="26" spans="1:10" ht="14.25" customHeight="1" x14ac:dyDescent="0.35">
      <c r="A26" s="11"/>
      <c r="B26" s="11"/>
      <c r="C26" s="11"/>
      <c r="I26" s="11"/>
      <c r="J26" s="11"/>
    </row>
    <row r="27" spans="1:10" ht="15" customHeight="1" x14ac:dyDescent="0.35">
      <c r="A27" s="20" t="str">
        <f>IF(RQ_INPUT!C34="","",21)</f>
        <v/>
      </c>
      <c r="B27" s="20" t="str">
        <f>IF(RQ_INPUT!B34="","",RQ_INPUT!B34)</f>
        <v/>
      </c>
      <c r="C27" s="199" t="str">
        <f>IF(RQ_INPUT!C34="","","Libre")</f>
        <v/>
      </c>
      <c r="D27" s="15" t="str">
        <f>IF(RQ_INPUT!C34="","",RQ_INPUT!C34)</f>
        <v/>
      </c>
      <c r="E27" s="198" t="str">
        <f>IF(RQ_INPUT!G34="","",RQ_INPUT!G34)</f>
        <v/>
      </c>
      <c r="F27" s="15" t="str">
        <f>IF(RQ_INPUT!H34="","",RQ_INPUT!H34)</f>
        <v/>
      </c>
      <c r="G27" s="195" t="str">
        <f>IF(RQ_INPUT!I34="","",RQ_INPUT!I34)</f>
        <v/>
      </c>
      <c r="H27" s="42" t="str">
        <f>IF(RQ_INPUT!J34="","",RQ_INPUT!J34)</f>
        <v/>
      </c>
      <c r="I27" s="14"/>
      <c r="J27" s="14"/>
    </row>
    <row r="28" spans="1:10" ht="15" customHeight="1" x14ac:dyDescent="0.35">
      <c r="A28" s="20" t="str">
        <f>IF(RQ_INPUT!C35="","",22)</f>
        <v/>
      </c>
      <c r="B28" s="20" t="str">
        <f>IF(RQ_INPUT!B35="","",RQ_INPUT!B35)</f>
        <v/>
      </c>
      <c r="C28" s="199" t="str">
        <f>IF(RQ_INPUT!C35="","","Libre")</f>
        <v/>
      </c>
      <c r="D28" s="15" t="str">
        <f>IF(RQ_INPUT!C35="","",RQ_INPUT!C35)</f>
        <v/>
      </c>
      <c r="E28" s="198" t="str">
        <f>IF(RQ_INPUT!G35="","",RQ_INPUT!G35)</f>
        <v/>
      </c>
      <c r="F28" s="15" t="str">
        <f>IF(RQ_INPUT!H35="","",RQ_INPUT!H35)</f>
        <v/>
      </c>
      <c r="G28" s="195" t="str">
        <f>IF(RQ_INPUT!I35="","",RQ_INPUT!I35)</f>
        <v/>
      </c>
      <c r="H28" s="42" t="str">
        <f>IF(RQ_INPUT!J35="","",RQ_INPUT!J35)</f>
        <v/>
      </c>
      <c r="I28" s="14"/>
      <c r="J28" s="14"/>
    </row>
    <row r="29" spans="1:10" ht="15" customHeight="1" x14ac:dyDescent="0.35">
      <c r="A29" s="20" t="str">
        <f>IF(RQ_INPUT!C36="","",23)</f>
        <v/>
      </c>
      <c r="B29" s="20" t="str">
        <f>IF(RQ_INPUT!B36="","",RQ_INPUT!B36)</f>
        <v/>
      </c>
      <c r="C29" s="199" t="str">
        <f>IF(RQ_INPUT!C36="","","Libre")</f>
        <v/>
      </c>
      <c r="D29" s="15" t="str">
        <f>IF(RQ_INPUT!C36="","",RQ_INPUT!C36)</f>
        <v/>
      </c>
      <c r="E29" s="198" t="str">
        <f>IF(RQ_INPUT!G36="","",RQ_INPUT!G36)</f>
        <v/>
      </c>
      <c r="F29" s="15" t="str">
        <f>IF(RQ_INPUT!H36="","",RQ_INPUT!H36)</f>
        <v/>
      </c>
      <c r="G29" s="195" t="str">
        <f>IF(RQ_INPUT!I36="","",RQ_INPUT!I36)</f>
        <v/>
      </c>
      <c r="H29" s="42" t="str">
        <f>IF(RQ_INPUT!J36="","",RQ_INPUT!J36)</f>
        <v/>
      </c>
      <c r="I29" s="14"/>
      <c r="J29" s="14"/>
    </row>
    <row r="30" spans="1:10" ht="15" customHeight="1" x14ac:dyDescent="0.35">
      <c r="A30" s="20" t="str">
        <f>IF(RQ_INPUT!C37="","",24)</f>
        <v/>
      </c>
      <c r="B30" s="20" t="str">
        <f>IF(RQ_INPUT!B37="","",RQ_INPUT!B37)</f>
        <v/>
      </c>
      <c r="C30" s="199" t="str">
        <f>IF(RQ_INPUT!C37="","","Libre")</f>
        <v/>
      </c>
      <c r="D30" s="15" t="str">
        <f>IF(RQ_INPUT!C37="","",RQ_INPUT!C37)</f>
        <v/>
      </c>
      <c r="E30" s="198" t="str">
        <f>IF(RQ_INPUT!G37="","",RQ_INPUT!G37)</f>
        <v/>
      </c>
      <c r="F30" s="15" t="str">
        <f>IF(RQ_INPUT!H37="","",RQ_INPUT!H37)</f>
        <v/>
      </c>
      <c r="G30" s="195" t="str">
        <f>IF(RQ_INPUT!I37="","",RQ_INPUT!I37)</f>
        <v/>
      </c>
      <c r="H30" s="42" t="str">
        <f>IF(RQ_INPUT!J37="","",RQ_INPUT!J37)</f>
        <v/>
      </c>
      <c r="I30" s="14"/>
      <c r="J30" s="14"/>
    </row>
    <row r="31" spans="1:10" ht="15" customHeight="1" x14ac:dyDescent="0.35">
      <c r="A31" s="20" t="str">
        <f>IF(RQ_INPUT!C38="","",25)</f>
        <v/>
      </c>
      <c r="B31" s="20" t="str">
        <f>IF(RQ_INPUT!B38="","",RQ_INPUT!B38)</f>
        <v/>
      </c>
      <c r="C31" s="199" t="str">
        <f>IF(RQ_INPUT!C38="","","Libre")</f>
        <v/>
      </c>
      <c r="D31" s="15" t="str">
        <f>IF(RQ_INPUT!C38="","",RQ_INPUT!C38)</f>
        <v/>
      </c>
      <c r="E31" s="198" t="str">
        <f>IF(RQ_INPUT!G38="","",RQ_INPUT!G38)</f>
        <v/>
      </c>
      <c r="F31" s="15" t="str">
        <f>IF(RQ_INPUT!H38="","",RQ_INPUT!H38)</f>
        <v/>
      </c>
      <c r="G31" s="195" t="str">
        <f>IF(RQ_INPUT!I38="","",RQ_INPUT!I38)</f>
        <v/>
      </c>
      <c r="H31" s="42" t="str">
        <f>IF(RQ_INPUT!J38="","",RQ_INPUT!J38)</f>
        <v/>
      </c>
      <c r="I31" s="14"/>
      <c r="J31" s="14"/>
    </row>
    <row r="33" ht="15" customHeight="1" x14ac:dyDescent="0.35"/>
  </sheetData>
  <mergeCells count="2">
    <mergeCell ref="A1:J1"/>
    <mergeCell ref="D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7"/>
  <sheetViews>
    <sheetView zoomScaleNormal="100" workbookViewId="0">
      <selection activeCell="A27" sqref="A27"/>
    </sheetView>
  </sheetViews>
  <sheetFormatPr defaultColWidth="8.6328125" defaultRowHeight="14.5" x14ac:dyDescent="0.35"/>
  <cols>
    <col min="1" max="1" width="25" style="113" customWidth="1"/>
    <col min="2" max="2" width="20" style="113" customWidth="1"/>
    <col min="3" max="3" width="64.1796875" style="113" customWidth="1"/>
    <col min="4" max="4" width="8.6328125" style="113" customWidth="1"/>
    <col min="5" max="16384" width="8.6328125" style="113"/>
  </cols>
  <sheetData>
    <row r="1" spans="1:3" ht="17.25" customHeight="1" x14ac:dyDescent="0.35">
      <c r="A1" s="114" t="s">
        <v>2895</v>
      </c>
    </row>
    <row r="3" spans="1:3" ht="15" customHeight="1" x14ac:dyDescent="0.35">
      <c r="A3" s="12" t="s">
        <v>2896</v>
      </c>
      <c r="B3" s="12" t="s">
        <v>2897</v>
      </c>
      <c r="C3" s="12" t="s">
        <v>6</v>
      </c>
    </row>
    <row r="4" spans="1:3" ht="34.5" customHeight="1" x14ac:dyDescent="0.35">
      <c r="A4" s="200" t="s">
        <v>2898</v>
      </c>
      <c r="B4" s="200" t="s">
        <v>2899</v>
      </c>
      <c r="C4" s="28" t="s">
        <v>2900</v>
      </c>
    </row>
    <row r="5" spans="1:3" ht="34.5" customHeight="1" x14ac:dyDescent="0.35">
      <c r="A5" s="201" t="s">
        <v>2901</v>
      </c>
      <c r="B5" s="201" t="s">
        <v>2902</v>
      </c>
      <c r="C5" s="28" t="s">
        <v>2903</v>
      </c>
    </row>
    <row r="6" spans="1:3" ht="23.25" customHeight="1" x14ac:dyDescent="0.35">
      <c r="A6" s="202" t="s">
        <v>2904</v>
      </c>
      <c r="B6" s="202" t="s">
        <v>2905</v>
      </c>
      <c r="C6" s="28" t="s">
        <v>2906</v>
      </c>
    </row>
    <row r="7" spans="1:3" ht="34.5" customHeight="1" x14ac:dyDescent="0.35">
      <c r="A7" s="203" t="s">
        <v>2907</v>
      </c>
      <c r="B7" s="203" t="s">
        <v>2908</v>
      </c>
      <c r="C7" s="28" t="s">
        <v>2909</v>
      </c>
    </row>
    <row r="8" spans="1:3" ht="34.5" customHeight="1" x14ac:dyDescent="0.35">
      <c r="A8" s="204" t="s">
        <v>2910</v>
      </c>
      <c r="B8" s="205"/>
      <c r="C8" s="28" t="s">
        <v>2911</v>
      </c>
    </row>
    <row r="9" spans="1:3" ht="15" customHeight="1" x14ac:dyDescent="0.35">
      <c r="A9" s="206" t="s">
        <v>2912</v>
      </c>
      <c r="B9" s="206" t="s">
        <v>399</v>
      </c>
      <c r="C9" s="28" t="s">
        <v>2913</v>
      </c>
    </row>
    <row r="10" spans="1:3" ht="23.25" customHeight="1" x14ac:dyDescent="0.35">
      <c r="A10" s="207" t="s">
        <v>2914</v>
      </c>
      <c r="B10" s="207" t="s">
        <v>2915</v>
      </c>
      <c r="C10" s="28" t="s">
        <v>2916</v>
      </c>
    </row>
    <row r="13" spans="1:3" ht="17.25" customHeight="1" x14ac:dyDescent="0.35">
      <c r="A13" s="114" t="s">
        <v>2917</v>
      </c>
    </row>
    <row r="14" spans="1:3" ht="15" customHeight="1" x14ac:dyDescent="0.35">
      <c r="A14" s="208" t="s">
        <v>2918</v>
      </c>
      <c r="B14" s="291" t="s">
        <v>2919</v>
      </c>
      <c r="C14" s="292"/>
    </row>
    <row r="15" spans="1:3" ht="15" customHeight="1" x14ac:dyDescent="0.35">
      <c r="A15" s="208" t="s">
        <v>2920</v>
      </c>
      <c r="B15" s="291" t="s">
        <v>2921</v>
      </c>
      <c r="C15" s="292"/>
    </row>
    <row r="16" spans="1:3" ht="15" customHeight="1" x14ac:dyDescent="0.35">
      <c r="A16" s="208" t="s">
        <v>2922</v>
      </c>
      <c r="B16" s="291" t="s">
        <v>2923</v>
      </c>
      <c r="C16" s="292"/>
    </row>
    <row r="17" spans="1:3" ht="15" customHeight="1" x14ac:dyDescent="0.35">
      <c r="A17" s="208" t="s">
        <v>2924</v>
      </c>
      <c r="B17" s="291" t="s">
        <v>2925</v>
      </c>
      <c r="C17" s="292"/>
    </row>
    <row r="18" spans="1:3" ht="15" customHeight="1" x14ac:dyDescent="0.35">
      <c r="A18" s="208" t="s">
        <v>2926</v>
      </c>
      <c r="B18" s="291" t="s">
        <v>2927</v>
      </c>
      <c r="C18" s="292"/>
    </row>
    <row r="19" spans="1:3" ht="15" customHeight="1" x14ac:dyDescent="0.35">
      <c r="A19" s="208" t="s">
        <v>2928</v>
      </c>
      <c r="B19" s="291" t="s">
        <v>2929</v>
      </c>
      <c r="C19" s="292"/>
    </row>
    <row r="20" spans="1:3" ht="15" customHeight="1" x14ac:dyDescent="0.35">
      <c r="A20" s="208" t="s">
        <v>2930</v>
      </c>
      <c r="B20" s="291" t="s">
        <v>2931</v>
      </c>
      <c r="C20" s="292"/>
    </row>
    <row r="21" spans="1:3" ht="15" customHeight="1" x14ac:dyDescent="0.35">
      <c r="A21" s="208" t="s">
        <v>2932</v>
      </c>
      <c r="B21" s="291" t="s">
        <v>2933</v>
      </c>
      <c r="C21" s="292"/>
    </row>
    <row r="24" spans="1:3" ht="17.25" customHeight="1" x14ac:dyDescent="0.35">
      <c r="A24" s="114" t="s">
        <v>2934</v>
      </c>
    </row>
    <row r="25" spans="1:3" ht="15" customHeight="1" x14ac:dyDescent="0.35">
      <c r="A25" s="118" t="s">
        <v>2935</v>
      </c>
      <c r="B25" s="115" t="s">
        <v>2936</v>
      </c>
    </row>
    <row r="26" spans="1:3" ht="15" customHeight="1" x14ac:dyDescent="0.35">
      <c r="A26" s="118" t="s">
        <v>2937</v>
      </c>
      <c r="B26" s="115" t="s">
        <v>2938</v>
      </c>
    </row>
    <row r="27" spans="1:3" ht="15" customHeight="1" x14ac:dyDescent="0.35">
      <c r="A27" s="118" t="s">
        <v>2939</v>
      </c>
      <c r="B27" s="115" t="s">
        <v>2940</v>
      </c>
    </row>
    <row r="29" spans="1:3" ht="17.25" customHeight="1" x14ac:dyDescent="0.35">
      <c r="A29" s="114" t="s">
        <v>2941</v>
      </c>
    </row>
    <row r="30" spans="1:3" ht="15" customHeight="1" x14ac:dyDescent="0.35">
      <c r="A30" s="290" t="s">
        <v>2942</v>
      </c>
      <c r="B30" s="268"/>
      <c r="C30" s="268"/>
    </row>
    <row r="31" spans="1:3" ht="23.25" customHeight="1" x14ac:dyDescent="0.35">
      <c r="A31" s="290" t="s">
        <v>2943</v>
      </c>
      <c r="B31" s="268"/>
      <c r="C31" s="268"/>
    </row>
    <row r="32" spans="1:3" ht="23.25" customHeight="1" x14ac:dyDescent="0.35">
      <c r="A32" s="290" t="s">
        <v>2944</v>
      </c>
      <c r="B32" s="268"/>
      <c r="C32" s="268"/>
    </row>
    <row r="33" spans="1:3" ht="23.25" customHeight="1" x14ac:dyDescent="0.35">
      <c r="A33" s="290" t="s">
        <v>2945</v>
      </c>
      <c r="B33" s="268"/>
      <c r="C33" s="268"/>
    </row>
    <row r="34" spans="1:3" ht="15" customHeight="1" x14ac:dyDescent="0.35">
      <c r="A34" s="290" t="s">
        <v>2946</v>
      </c>
      <c r="B34" s="268"/>
      <c r="C34" s="268"/>
    </row>
    <row r="35" spans="1:3" ht="23.25" customHeight="1" x14ac:dyDescent="0.35">
      <c r="A35" s="290" t="s">
        <v>2947</v>
      </c>
      <c r="B35" s="268"/>
      <c r="C35" s="268"/>
    </row>
    <row r="37" spans="1:3" ht="17.25" customHeight="1" x14ac:dyDescent="0.35">
      <c r="A37" s="114" t="s">
        <v>2948</v>
      </c>
    </row>
    <row r="38" spans="1:3" ht="23.25" customHeight="1" x14ac:dyDescent="0.35">
      <c r="A38" s="290" t="s">
        <v>2949</v>
      </c>
      <c r="B38" s="268"/>
      <c r="C38" s="268"/>
    </row>
    <row r="39" spans="1:3" ht="23.25" customHeight="1" x14ac:dyDescent="0.35">
      <c r="A39" s="290" t="s">
        <v>2950</v>
      </c>
      <c r="B39" s="268"/>
      <c r="C39" s="268"/>
    </row>
    <row r="40" spans="1:3" ht="23.25" customHeight="1" x14ac:dyDescent="0.35">
      <c r="A40" s="290" t="s">
        <v>2951</v>
      </c>
      <c r="B40" s="268"/>
      <c r="C40" s="268"/>
    </row>
    <row r="41" spans="1:3" ht="15" customHeight="1" x14ac:dyDescent="0.35">
      <c r="A41" s="290" t="s">
        <v>2952</v>
      </c>
      <c r="B41" s="268"/>
      <c r="C41" s="268"/>
    </row>
    <row r="42" spans="1:3" ht="15" customHeight="1" x14ac:dyDescent="0.35">
      <c r="A42" s="290" t="s">
        <v>2953</v>
      </c>
      <c r="B42" s="268"/>
      <c r="C42" s="268"/>
    </row>
    <row r="43" spans="1:3" ht="15" customHeight="1" x14ac:dyDescent="0.35">
      <c r="A43" s="290" t="s">
        <v>2954</v>
      </c>
      <c r="B43" s="268"/>
      <c r="C43" s="268"/>
    </row>
    <row r="45" spans="1:3" ht="14.25" customHeight="1" x14ac:dyDescent="0.3">
      <c r="A45" s="209" t="s">
        <v>2955</v>
      </c>
    </row>
    <row r="46" spans="1:3" ht="14.25" customHeight="1" x14ac:dyDescent="0.3">
      <c r="A46" s="210" t="s">
        <v>2956</v>
      </c>
      <c r="B46" s="210" t="s">
        <v>6</v>
      </c>
      <c r="C46" s="210" t="s">
        <v>2957</v>
      </c>
    </row>
    <row r="47" spans="1:3" ht="14.25" customHeight="1" x14ac:dyDescent="0.25">
      <c r="A47" s="211" t="s">
        <v>2958</v>
      </c>
      <c r="B47" s="211" t="s">
        <v>2959</v>
      </c>
      <c r="C47" s="211" t="s">
        <v>2960</v>
      </c>
    </row>
    <row r="48" spans="1:3" ht="14.25" customHeight="1" x14ac:dyDescent="0.25">
      <c r="A48" s="211" t="s">
        <v>2961</v>
      </c>
      <c r="B48" s="211" t="s">
        <v>1632</v>
      </c>
      <c r="C48" s="211" t="s">
        <v>2962</v>
      </c>
    </row>
    <row r="49" spans="1:3" ht="14.25" customHeight="1" x14ac:dyDescent="0.25">
      <c r="A49" s="211" t="s">
        <v>2963</v>
      </c>
      <c r="B49" s="211" t="s">
        <v>2964</v>
      </c>
      <c r="C49" s="211" t="s">
        <v>2965</v>
      </c>
    </row>
    <row r="50" spans="1:3" ht="14.25" customHeight="1" x14ac:dyDescent="0.25">
      <c r="A50" s="211" t="s">
        <v>2966</v>
      </c>
      <c r="B50" s="211" t="s">
        <v>2967</v>
      </c>
      <c r="C50" s="211" t="s">
        <v>2968</v>
      </c>
    </row>
    <row r="51" spans="1:3" ht="14.25" customHeight="1" x14ac:dyDescent="0.25">
      <c r="A51" s="211" t="s">
        <v>2969</v>
      </c>
      <c r="B51" s="211" t="s">
        <v>2970</v>
      </c>
      <c r="C51" s="211" t="s">
        <v>2971</v>
      </c>
    </row>
    <row r="52" spans="1:3" ht="14.25" customHeight="1" x14ac:dyDescent="0.25">
      <c r="A52" s="211" t="s">
        <v>2972</v>
      </c>
      <c r="B52" s="211" t="s">
        <v>2973</v>
      </c>
      <c r="C52" s="211" t="s">
        <v>2974</v>
      </c>
    </row>
    <row r="53" spans="1:3" ht="14.25" customHeight="1" x14ac:dyDescent="0.25">
      <c r="A53" s="211" t="s">
        <v>2975</v>
      </c>
      <c r="B53" s="211" t="s">
        <v>2976</v>
      </c>
      <c r="C53" s="211" t="s">
        <v>2977</v>
      </c>
    </row>
    <row r="54" spans="1:3" ht="14.25" customHeight="1" x14ac:dyDescent="0.25">
      <c r="A54" s="211" t="s">
        <v>2978</v>
      </c>
      <c r="B54" s="211" t="s">
        <v>2976</v>
      </c>
      <c r="C54" s="211" t="s">
        <v>2979</v>
      </c>
    </row>
    <row r="55" spans="1:3" ht="14.25" customHeight="1" x14ac:dyDescent="0.25">
      <c r="A55" s="211" t="s">
        <v>2980</v>
      </c>
      <c r="B55" s="211" t="s">
        <v>2976</v>
      </c>
      <c r="C55" s="211" t="s">
        <v>2981</v>
      </c>
    </row>
    <row r="56" spans="1:3" ht="14.25" customHeight="1" x14ac:dyDescent="0.25">
      <c r="A56" s="211" t="s">
        <v>2982</v>
      </c>
      <c r="B56" s="211" t="s">
        <v>2983</v>
      </c>
      <c r="C56" s="211" t="s">
        <v>2984</v>
      </c>
    </row>
    <row r="57" spans="1:3" ht="14.25" customHeight="1" x14ac:dyDescent="0.25">
      <c r="A57" s="211" t="s">
        <v>2985</v>
      </c>
      <c r="B57" s="211" t="s">
        <v>2986</v>
      </c>
      <c r="C57" s="211" t="s">
        <v>2987</v>
      </c>
    </row>
  </sheetData>
  <mergeCells count="20">
    <mergeCell ref="B14:C14"/>
    <mergeCell ref="B17:C17"/>
    <mergeCell ref="A35:C35"/>
    <mergeCell ref="B15:C15"/>
    <mergeCell ref="B16:C16"/>
    <mergeCell ref="B18:C18"/>
    <mergeCell ref="A43:C43"/>
    <mergeCell ref="A38:C38"/>
    <mergeCell ref="B19:C19"/>
    <mergeCell ref="A31:C31"/>
    <mergeCell ref="A40:C40"/>
    <mergeCell ref="A30:C30"/>
    <mergeCell ref="A39:C39"/>
    <mergeCell ref="A34:C34"/>
    <mergeCell ref="B20:C20"/>
    <mergeCell ref="A41:C41"/>
    <mergeCell ref="A42:C42"/>
    <mergeCell ref="B21:C21"/>
    <mergeCell ref="A33:C33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7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1" customWidth="1"/>
    <col min="2" max="2" width="6" customWidth="1"/>
    <col min="3" max="3" width="8" customWidth="1"/>
    <col min="4" max="4" width="14" customWidth="1"/>
    <col min="5" max="5" width="38" customWidth="1"/>
    <col min="6" max="6" width="8" customWidth="1"/>
    <col min="7" max="7" width="11" customWidth="1"/>
    <col min="8" max="8" width="8" customWidth="1"/>
    <col min="9" max="9" width="12" customWidth="1"/>
    <col min="10" max="11" width="18" customWidth="1"/>
    <col min="12" max="12" width="9" customWidth="1"/>
    <col min="13" max="13" width="8" customWidth="1"/>
    <col min="14" max="14" width="7" customWidth="1"/>
    <col min="15" max="15" width="12" customWidth="1"/>
    <col min="16" max="16" width="14" customWidth="1"/>
    <col min="17" max="17" width="16" customWidth="1"/>
  </cols>
  <sheetData>
    <row r="1" spans="1:17" ht="30" customHeight="1" x14ac:dyDescent="0.35">
      <c r="A1" s="160" t="s">
        <v>2762</v>
      </c>
      <c r="B1" s="160" t="s">
        <v>555</v>
      </c>
      <c r="C1" s="160" t="s">
        <v>2763</v>
      </c>
      <c r="D1" s="160" t="s">
        <v>2764</v>
      </c>
      <c r="E1" s="160" t="s">
        <v>6</v>
      </c>
      <c r="F1" s="160" t="s">
        <v>580</v>
      </c>
      <c r="G1" s="160" t="s">
        <v>2988</v>
      </c>
      <c r="H1" s="160" t="s">
        <v>2767</v>
      </c>
      <c r="I1" s="160" t="s">
        <v>581</v>
      </c>
      <c r="J1" s="160" t="s">
        <v>2989</v>
      </c>
      <c r="K1" s="160" t="s">
        <v>2990</v>
      </c>
      <c r="L1" s="160" t="s">
        <v>2991</v>
      </c>
      <c r="M1" s="160" t="s">
        <v>2992</v>
      </c>
      <c r="N1" s="160" t="s">
        <v>2993</v>
      </c>
      <c r="O1" s="160" t="s">
        <v>2994</v>
      </c>
      <c r="P1" s="160" t="s">
        <v>2995</v>
      </c>
      <c r="Q1" s="160" t="s">
        <v>2996</v>
      </c>
    </row>
    <row r="2" spans="1:17" x14ac:dyDescent="0.35">
      <c r="A2" s="212" t="str">
        <f>COMPOSICIÓN!A2</f>
        <v>AIS-114</v>
      </c>
      <c r="B2" s="212" t="str">
        <f>COMPOSICIÓN!B2</f>
        <v>EQ</v>
      </c>
      <c r="C2" s="212">
        <f>COMPOSICIÓN!C2</f>
        <v>0</v>
      </c>
      <c r="D2" s="212" t="str">
        <f>COMPOSICIÓN!D2</f>
        <v>EQ-SOLD00</v>
      </c>
      <c r="E2" s="212" t="str">
        <f>COMPOSICIÓN!E2</f>
        <v>Soldador Soplete A Gas Techista Membrana 10 Kg Boca 50mm</v>
      </c>
      <c r="F2" s="212">
        <f>COMPOSICIÓN!F2</f>
        <v>0</v>
      </c>
      <c r="G2" s="213">
        <f>COMPOSICIÓN!G2</f>
        <v>1</v>
      </c>
      <c r="H2" s="214">
        <f>COMPOSICIÓN!H2</f>
        <v>0</v>
      </c>
      <c r="I2" s="215">
        <f>COMPOSICIÓN!I2</f>
        <v>804.50568716120006</v>
      </c>
      <c r="J2" s="212" t="str">
        <f>IFERROR(VLOOKUP(A2,PARTIDAS!$A$2:$C$269,3,FALSE()),"")</f>
        <v>MAMPOSTERÍA</v>
      </c>
      <c r="K2" s="212" t="str">
        <f>IFERROR(INDEX(PPTO_GENERADOR!$B$4:$B$220,MATCH(A2,PPTO_GENERADOR!$Q$4:$Q$220,0)),"")</f>
        <v/>
      </c>
      <c r="L2" s="216">
        <f>IF(PLAN_ETAPA!$C$4="(TODOS)",SUMIFS(PPTO_GENERADOR!$E$4:$E$220,PPTO_GENERADOR!$Q$4:$Q$220,A2),SUMIFS(PPTO_GENERADOR!$E$4:$E$220,PPTO_GENERADOR!$Q$4:$Q$220,A2,PPTO_GENERADOR!$B$4:$B$220,PLAN_ETAPA!$C$4))</f>
        <v>0</v>
      </c>
      <c r="M2" s="216">
        <f>IFERROR(VLOOKUP(A2,PARTIDAS!$A$2:$F$269,6,FALSE()),1)</f>
        <v>60</v>
      </c>
      <c r="N2" s="216">
        <f>IFERROR(VLOOKUP(A2,PARTIDAS!$A$2:$I$269,9,FALSE()),1)</f>
        <v>1</v>
      </c>
      <c r="O2" s="217">
        <f t="shared" ref="O2:O65" si="0">IF(L2&gt;0,1,0)</f>
        <v>0</v>
      </c>
      <c r="P2" s="216">
        <f>IF(O2=0,0,IF(B2="MAT",G2*(1+H2)*L2*PLAN_ETAPA!$C$5,IF(B2="MO",IF(M2=0,0,G2*L2*PLAN_ETAPA!$C$5*N2/M2),IF(B2="EQ",IF(M2=0,0,G2*L2*PLAN_ETAPA!$C$5/M2),0))))</f>
        <v>0</v>
      </c>
      <c r="Q2" s="218">
        <f t="shared" ref="Q2:Q65" si="1">P2*I2</f>
        <v>0</v>
      </c>
    </row>
    <row r="3" spans="1:17" x14ac:dyDescent="0.35">
      <c r="A3" s="212" t="str">
        <f>COMPOSICIÓN!A3</f>
        <v>AIS-114</v>
      </c>
      <c r="B3" s="212" t="str">
        <f>COMPOSICIÓN!B3</f>
        <v>MAT</v>
      </c>
      <c r="C3" s="212" t="str">
        <f>COMPOSICIÓN!C3</f>
        <v>OTR</v>
      </c>
      <c r="D3" s="212" t="str">
        <f>COMPOSICIÓN!D3</f>
        <v>OTR-022</v>
      </c>
      <c r="E3" s="212" t="str">
        <f>COMPOSICIÓN!E3</f>
        <v>Aguarras Hydrarras Hydra x 18lts</v>
      </c>
      <c r="F3" s="212" t="str">
        <f>COMPOSICIÓN!F3</f>
        <v>b</v>
      </c>
      <c r="G3" s="213">
        <f>COMPOSICIÓN!G3</f>
        <v>5.0000000000000001E-3</v>
      </c>
      <c r="H3" s="214">
        <f>COMPOSICIÓN!H3</f>
        <v>0.05</v>
      </c>
      <c r="I3" s="215">
        <f>COMPOSICIÓN!I3</f>
        <v>26907.33</v>
      </c>
      <c r="J3" s="212" t="str">
        <f>IFERROR(VLOOKUP(A3,PARTIDAS!$A$2:$C$269,3,FALSE()),"")</f>
        <v>MAMPOSTERÍA</v>
      </c>
      <c r="K3" s="212" t="str">
        <f>IFERROR(INDEX(PPTO_GENERADOR!$B$4:$B$220,MATCH(A3,PPTO_GENERADOR!$Q$4:$Q$220,0)),"")</f>
        <v/>
      </c>
      <c r="L3" s="216">
        <f>IF(PLAN_ETAPA!$C$4="(TODOS)",SUMIFS(PPTO_GENERADOR!$E$4:$E$220,PPTO_GENERADOR!$Q$4:$Q$220,A3),SUMIFS(PPTO_GENERADOR!$E$4:$E$220,PPTO_GENERADOR!$Q$4:$Q$220,A3,PPTO_GENERADOR!$B$4:$B$220,PLAN_ETAPA!$C$4))</f>
        <v>0</v>
      </c>
      <c r="M3" s="216">
        <f>IFERROR(VLOOKUP(A3,PARTIDAS!$A$2:$F$269,6,FALSE()),1)</f>
        <v>60</v>
      </c>
      <c r="N3" s="216">
        <f>IFERROR(VLOOKUP(A3,PARTIDAS!$A$2:$I$269,9,FALSE()),1)</f>
        <v>1</v>
      </c>
      <c r="O3" s="217">
        <f t="shared" si="0"/>
        <v>0</v>
      </c>
      <c r="P3" s="216">
        <f>IF(O3=0,0,IF(B3="MAT",G3*(1+H3)*L3*PLAN_ETAPA!$C$5,IF(B3="MO",IF(M3=0,0,G3*L3*PLAN_ETAPA!$C$5*N3/M3),IF(B3="EQ",IF(M3=0,0,G3*L3*PLAN_ETAPA!$C$5/M3),0))))</f>
        <v>0</v>
      </c>
      <c r="Q3" s="218">
        <f t="shared" si="1"/>
        <v>0</v>
      </c>
    </row>
    <row r="4" spans="1:17" x14ac:dyDescent="0.35">
      <c r="A4" s="212" t="str">
        <f>COMPOSICIÓN!A4</f>
        <v>AIS-114</v>
      </c>
      <c r="B4" s="212" t="str">
        <f>COMPOSICIÓN!B4</f>
        <v>MAT</v>
      </c>
      <c r="C4" s="212" t="str">
        <f>COMPOSICIÓN!C4</f>
        <v>OTR</v>
      </c>
      <c r="D4" s="212" t="str">
        <f>COMPOSICIÓN!D4</f>
        <v>OTR-025</v>
      </c>
      <c r="E4" s="212" t="str">
        <f>COMPOSICIÓN!E4</f>
        <v>Trapo</v>
      </c>
      <c r="F4" s="212" t="str">
        <f>COMPOSICIÓN!F4</f>
        <v>u</v>
      </c>
      <c r="G4" s="213">
        <f>COMPOSICIÓN!G4</f>
        <v>0.01</v>
      </c>
      <c r="H4" s="214">
        <f>COMPOSICIÓN!H4</f>
        <v>0.05</v>
      </c>
      <c r="I4" s="215">
        <f>COMPOSICIÓN!I4</f>
        <v>735.06</v>
      </c>
      <c r="J4" s="212" t="str">
        <f>IFERROR(VLOOKUP(A4,PARTIDAS!$A$2:$C$269,3,FALSE()),"")</f>
        <v>MAMPOSTERÍA</v>
      </c>
      <c r="K4" s="212" t="str">
        <f>IFERROR(INDEX(PPTO_GENERADOR!$B$4:$B$220,MATCH(A4,PPTO_GENERADOR!$Q$4:$Q$220,0)),"")</f>
        <v/>
      </c>
      <c r="L4" s="216">
        <f>IF(PLAN_ETAPA!$C$4="(TODOS)",SUMIFS(PPTO_GENERADOR!$E$4:$E$220,PPTO_GENERADOR!$Q$4:$Q$220,A4),SUMIFS(PPTO_GENERADOR!$E$4:$E$220,PPTO_GENERADOR!$Q$4:$Q$220,A4,PPTO_GENERADOR!$B$4:$B$220,PLAN_ETAPA!$C$4))</f>
        <v>0</v>
      </c>
      <c r="M4" s="216">
        <f>IFERROR(VLOOKUP(A4,PARTIDAS!$A$2:$F$269,6,FALSE()),1)</f>
        <v>60</v>
      </c>
      <c r="N4" s="216">
        <f>IFERROR(VLOOKUP(A4,PARTIDAS!$A$2:$I$269,9,FALSE()),1)</f>
        <v>1</v>
      </c>
      <c r="O4" s="217">
        <f t="shared" si="0"/>
        <v>0</v>
      </c>
      <c r="P4" s="216">
        <f>IF(O4=0,0,IF(B4="MAT",G4*(1+H4)*L4*PLAN_ETAPA!$C$5,IF(B4="MO",IF(M4=0,0,G4*L4*PLAN_ETAPA!$C$5*N4/M4),IF(B4="EQ",IF(M4=0,0,G4*L4*PLAN_ETAPA!$C$5/M4),0))))</f>
        <v>0</v>
      </c>
      <c r="Q4" s="218">
        <f t="shared" si="1"/>
        <v>0</v>
      </c>
    </row>
    <row r="5" spans="1:17" x14ac:dyDescent="0.35">
      <c r="A5" s="212" t="str">
        <f>COMPOSICIÓN!A5</f>
        <v>AIS-114</v>
      </c>
      <c r="B5" s="212" t="str">
        <f>COMPOSICIÓN!B5</f>
        <v>MAT</v>
      </c>
      <c r="C5" s="212" t="str">
        <f>COMPOSICIÓN!C5</f>
        <v>OTR</v>
      </c>
      <c r="D5" s="212" t="str">
        <f>COMPOSICIÓN!D5</f>
        <v>OTR-027</v>
      </c>
      <c r="E5" s="212" t="str">
        <f>COMPOSICIÓN!E5</f>
        <v>Rodillo de lana pelo largo N°22 - El Galgo</v>
      </c>
      <c r="F5" s="212" t="str">
        <f>COMPOSICIÓN!F5</f>
        <v>u</v>
      </c>
      <c r="G5" s="213">
        <f>COMPOSICIÓN!G5</f>
        <v>5.0000000000000001E-3</v>
      </c>
      <c r="H5" s="214">
        <f>COMPOSICIÓN!H5</f>
        <v>0.05</v>
      </c>
      <c r="I5" s="215">
        <f>COMPOSICIÓN!I5</f>
        <v>6678.36</v>
      </c>
      <c r="J5" s="212" t="str">
        <f>IFERROR(VLOOKUP(A5,PARTIDAS!$A$2:$C$269,3,FALSE()),"")</f>
        <v>MAMPOSTERÍA</v>
      </c>
      <c r="K5" s="212" t="str">
        <f>IFERROR(INDEX(PPTO_GENERADOR!$B$4:$B$220,MATCH(A5,PPTO_GENERADOR!$Q$4:$Q$220,0)),"")</f>
        <v/>
      </c>
      <c r="L5" s="216">
        <f>IF(PLAN_ETAPA!$C$4="(TODOS)",SUMIFS(PPTO_GENERADOR!$E$4:$E$220,PPTO_GENERADOR!$Q$4:$Q$220,A5),SUMIFS(PPTO_GENERADOR!$E$4:$E$220,PPTO_GENERADOR!$Q$4:$Q$220,A5,PPTO_GENERADOR!$B$4:$B$220,PLAN_ETAPA!$C$4))</f>
        <v>0</v>
      </c>
      <c r="M5" s="216">
        <f>IFERROR(VLOOKUP(A5,PARTIDAS!$A$2:$F$269,6,FALSE()),1)</f>
        <v>60</v>
      </c>
      <c r="N5" s="216">
        <f>IFERROR(VLOOKUP(A5,PARTIDAS!$A$2:$I$269,9,FALSE()),1)</f>
        <v>1</v>
      </c>
      <c r="O5" s="217">
        <f t="shared" si="0"/>
        <v>0</v>
      </c>
      <c r="P5" s="216">
        <f>IF(O5=0,0,IF(B5="MAT",G5*(1+H5)*L5*PLAN_ETAPA!$C$5,IF(B5="MO",IF(M5=0,0,G5*L5*PLAN_ETAPA!$C$5*N5/M5),IF(B5="EQ",IF(M5=0,0,G5*L5*PLAN_ETAPA!$C$5/M5),0))))</f>
        <v>0</v>
      </c>
      <c r="Q5" s="218">
        <f t="shared" si="1"/>
        <v>0</v>
      </c>
    </row>
    <row r="6" spans="1:17" x14ac:dyDescent="0.35">
      <c r="A6" s="212" t="str">
        <f>COMPOSICIÓN!A6</f>
        <v>AIS-114</v>
      </c>
      <c r="B6" s="212" t="str">
        <f>COMPOSICIÓN!B6</f>
        <v>MAT</v>
      </c>
      <c r="C6" s="212" t="str">
        <f>COMPOSICIÓN!C6</f>
        <v>OTR</v>
      </c>
      <c r="D6" s="212" t="str">
        <f>COMPOSICIÓN!D6</f>
        <v>OTR-028</v>
      </c>
      <c r="E6" s="212" t="str">
        <f>COMPOSICIÓN!E6</f>
        <v>Pincel N° 20 - El Galgo</v>
      </c>
      <c r="F6" s="212" t="str">
        <f>COMPOSICIÓN!F6</f>
        <v>u</v>
      </c>
      <c r="G6" s="213">
        <f>COMPOSICIÓN!G6</f>
        <v>0.01</v>
      </c>
      <c r="H6" s="214">
        <f>COMPOSICIÓN!H6</f>
        <v>0.05</v>
      </c>
      <c r="I6" s="215">
        <f>COMPOSICIÓN!I6</f>
        <v>5282.24</v>
      </c>
      <c r="J6" s="212" t="str">
        <f>IFERROR(VLOOKUP(A6,PARTIDAS!$A$2:$C$269,3,FALSE()),"")</f>
        <v>MAMPOSTERÍA</v>
      </c>
      <c r="K6" s="212" t="str">
        <f>IFERROR(INDEX(PPTO_GENERADOR!$B$4:$B$220,MATCH(A6,PPTO_GENERADOR!$Q$4:$Q$220,0)),"")</f>
        <v/>
      </c>
      <c r="L6" s="216">
        <f>IF(PLAN_ETAPA!$C$4="(TODOS)",SUMIFS(PPTO_GENERADOR!$E$4:$E$220,PPTO_GENERADOR!$Q$4:$Q$220,A6),SUMIFS(PPTO_GENERADOR!$E$4:$E$220,PPTO_GENERADOR!$Q$4:$Q$220,A6,PPTO_GENERADOR!$B$4:$B$220,PLAN_ETAPA!$C$4))</f>
        <v>0</v>
      </c>
      <c r="M6" s="216">
        <f>IFERROR(VLOOKUP(A6,PARTIDAS!$A$2:$F$269,6,FALSE()),1)</f>
        <v>60</v>
      </c>
      <c r="N6" s="216">
        <f>IFERROR(VLOOKUP(A6,PARTIDAS!$A$2:$I$269,9,FALSE()),1)</f>
        <v>1</v>
      </c>
      <c r="O6" s="217">
        <f t="shared" si="0"/>
        <v>0</v>
      </c>
      <c r="P6" s="216">
        <f>IF(O6=0,0,IF(B6="MAT",G6*(1+H6)*L6*PLAN_ETAPA!$C$5,IF(B6="MO",IF(M6=0,0,G6*L6*PLAN_ETAPA!$C$5*N6/M6),IF(B6="EQ",IF(M6=0,0,G6*L6*PLAN_ETAPA!$C$5/M6),0))))</f>
        <v>0</v>
      </c>
      <c r="Q6" s="218">
        <f t="shared" si="1"/>
        <v>0</v>
      </c>
    </row>
    <row r="7" spans="1:17" x14ac:dyDescent="0.35">
      <c r="A7" s="212" t="str">
        <f>COMPOSICIÓN!A7</f>
        <v>AIS-114</v>
      </c>
      <c r="B7" s="212" t="str">
        <f>COMPOSICIÓN!B7</f>
        <v>MAT</v>
      </c>
      <c r="C7" s="212" t="str">
        <f>COMPOSICIÓN!C7</f>
        <v>OTR</v>
      </c>
      <c r="D7" s="212" t="str">
        <f>COMPOSICIÓN!D7</f>
        <v>OTR-047</v>
      </c>
      <c r="E7" s="212" t="str">
        <f>COMPOSICIÓN!E7</f>
        <v>Guante Vaqueta Medio Paseo</v>
      </c>
      <c r="F7" s="212" t="str">
        <f>COMPOSICIÓN!F7</f>
        <v>par</v>
      </c>
      <c r="G7" s="213">
        <f>COMPOSICIÓN!G7</f>
        <v>0.03</v>
      </c>
      <c r="H7" s="214">
        <f>COMPOSICIÓN!H7</f>
        <v>0.05</v>
      </c>
      <c r="I7" s="215">
        <f>COMPOSICIÓN!I7</f>
        <v>4842</v>
      </c>
      <c r="J7" s="212" t="str">
        <f>IFERROR(VLOOKUP(A7,PARTIDAS!$A$2:$C$269,3,FALSE()),"")</f>
        <v>MAMPOSTERÍA</v>
      </c>
      <c r="K7" s="212" t="str">
        <f>IFERROR(INDEX(PPTO_GENERADOR!$B$4:$B$220,MATCH(A7,PPTO_GENERADOR!$Q$4:$Q$220,0)),"")</f>
        <v/>
      </c>
      <c r="L7" s="216">
        <f>IF(PLAN_ETAPA!$C$4="(TODOS)",SUMIFS(PPTO_GENERADOR!$E$4:$E$220,PPTO_GENERADOR!$Q$4:$Q$220,A7),SUMIFS(PPTO_GENERADOR!$E$4:$E$220,PPTO_GENERADOR!$Q$4:$Q$220,A7,PPTO_GENERADOR!$B$4:$B$220,PLAN_ETAPA!$C$4))</f>
        <v>0</v>
      </c>
      <c r="M7" s="216">
        <f>IFERROR(VLOOKUP(A7,PARTIDAS!$A$2:$F$269,6,FALSE()),1)</f>
        <v>60</v>
      </c>
      <c r="N7" s="216">
        <f>IFERROR(VLOOKUP(A7,PARTIDAS!$A$2:$I$269,9,FALSE()),1)</f>
        <v>1</v>
      </c>
      <c r="O7" s="217">
        <f t="shared" si="0"/>
        <v>0</v>
      </c>
      <c r="P7" s="216">
        <f>IF(O7=0,0,IF(B7="MAT",G7*(1+H7)*L7*PLAN_ETAPA!$C$5,IF(B7="MO",IF(M7=0,0,G7*L7*PLAN_ETAPA!$C$5*N7/M7),IF(B7="EQ",IF(M7=0,0,G7*L7*PLAN_ETAPA!$C$5/M7),0))))</f>
        <v>0</v>
      </c>
      <c r="Q7" s="218">
        <f t="shared" si="1"/>
        <v>0</v>
      </c>
    </row>
    <row r="8" spans="1:17" x14ac:dyDescent="0.35">
      <c r="A8" s="212" t="str">
        <f>COMPOSICIÓN!A8</f>
        <v>AIS-114</v>
      </c>
      <c r="B8" s="212" t="str">
        <f>COMPOSICIÓN!B8</f>
        <v>MAT</v>
      </c>
      <c r="C8" s="212" t="str">
        <f>COMPOSICIÓN!C8</f>
        <v>OTR</v>
      </c>
      <c r="D8" s="212" t="str">
        <f>COMPOSICIÓN!D8</f>
        <v>OTR-048</v>
      </c>
      <c r="E8" s="212" t="str">
        <f>COMPOSICIÓN!E8</f>
        <v>Recarga de garrafa</v>
      </c>
      <c r="F8" s="212" t="str">
        <f>COMPOSICIÓN!F8</f>
        <v>u</v>
      </c>
      <c r="G8" s="213">
        <f>COMPOSICIÓN!G8</f>
        <v>0.01</v>
      </c>
      <c r="H8" s="214">
        <f>COMPOSICIÓN!H8</f>
        <v>0.05</v>
      </c>
      <c r="I8" s="215">
        <f>COMPOSICIÓN!I8</f>
        <v>12396.694214876001</v>
      </c>
      <c r="J8" s="212" t="str">
        <f>IFERROR(VLOOKUP(A8,PARTIDAS!$A$2:$C$269,3,FALSE()),"")</f>
        <v>MAMPOSTERÍA</v>
      </c>
      <c r="K8" s="212" t="str">
        <f>IFERROR(INDEX(PPTO_GENERADOR!$B$4:$B$220,MATCH(A8,PPTO_GENERADOR!$Q$4:$Q$220,0)),"")</f>
        <v/>
      </c>
      <c r="L8" s="216">
        <f>IF(PLAN_ETAPA!$C$4="(TODOS)",SUMIFS(PPTO_GENERADOR!$E$4:$E$220,PPTO_GENERADOR!$Q$4:$Q$220,A8),SUMIFS(PPTO_GENERADOR!$E$4:$E$220,PPTO_GENERADOR!$Q$4:$Q$220,A8,PPTO_GENERADOR!$B$4:$B$220,PLAN_ETAPA!$C$4))</f>
        <v>0</v>
      </c>
      <c r="M8" s="216">
        <f>IFERROR(VLOOKUP(A8,PARTIDAS!$A$2:$F$269,6,FALSE()),1)</f>
        <v>60</v>
      </c>
      <c r="N8" s="216">
        <f>IFERROR(VLOOKUP(A8,PARTIDAS!$A$2:$I$269,9,FALSE()),1)</f>
        <v>1</v>
      </c>
      <c r="O8" s="217">
        <f t="shared" si="0"/>
        <v>0</v>
      </c>
      <c r="P8" s="216">
        <f>IF(O8=0,0,IF(B8="MAT",G8*(1+H8)*L8*PLAN_ETAPA!$C$5,IF(B8="MO",IF(M8=0,0,G8*L8*PLAN_ETAPA!$C$5*N8/M8),IF(B8="EQ",IF(M8=0,0,G8*L8*PLAN_ETAPA!$C$5/M8),0))))</f>
        <v>0</v>
      </c>
      <c r="Q8" s="218">
        <f t="shared" si="1"/>
        <v>0</v>
      </c>
    </row>
    <row r="9" spans="1:17" x14ac:dyDescent="0.35">
      <c r="A9" s="212" t="str">
        <f>COMPOSICIÓN!A9</f>
        <v>AIS-114</v>
      </c>
      <c r="B9" s="212" t="str">
        <f>COMPOSICIÓN!B9</f>
        <v>MAT</v>
      </c>
      <c r="C9" s="212" t="str">
        <f>COMPOSICIÓN!C9</f>
        <v>OTR</v>
      </c>
      <c r="D9" s="212" t="str">
        <f>COMPOSICIÓN!D9</f>
        <v>PIN-008</v>
      </c>
      <c r="E9" s="212" t="str">
        <f>COMPOSICIÓN!E9</f>
        <v>Pintura Asfaltica Asfasol x18ts</v>
      </c>
      <c r="F9" s="212" t="str">
        <f>COMPOSICIÓN!F9</f>
        <v>b</v>
      </c>
      <c r="G9" s="213">
        <f>COMPOSICIÓN!G9</f>
        <v>1.4999999999999999E-2</v>
      </c>
      <c r="H9" s="214">
        <f>COMPOSICIÓN!H9</f>
        <v>0.1</v>
      </c>
      <c r="I9" s="215">
        <f>COMPOSICIÓN!I9</f>
        <v>32845.78</v>
      </c>
      <c r="J9" s="212" t="str">
        <f>IFERROR(VLOOKUP(A9,PARTIDAS!$A$2:$C$269,3,FALSE()),"")</f>
        <v>MAMPOSTERÍA</v>
      </c>
      <c r="K9" s="212" t="str">
        <f>IFERROR(INDEX(PPTO_GENERADOR!$B$4:$B$220,MATCH(A9,PPTO_GENERADOR!$Q$4:$Q$220,0)),"")</f>
        <v/>
      </c>
      <c r="L9" s="216">
        <f>IF(PLAN_ETAPA!$C$4="(TODOS)",SUMIFS(PPTO_GENERADOR!$E$4:$E$220,PPTO_GENERADOR!$Q$4:$Q$220,A9),SUMIFS(PPTO_GENERADOR!$E$4:$E$220,PPTO_GENERADOR!$Q$4:$Q$220,A9,PPTO_GENERADOR!$B$4:$B$220,PLAN_ETAPA!$C$4))</f>
        <v>0</v>
      </c>
      <c r="M9" s="216">
        <f>IFERROR(VLOOKUP(A9,PARTIDAS!$A$2:$F$269,6,FALSE()),1)</f>
        <v>60</v>
      </c>
      <c r="N9" s="216">
        <f>IFERROR(VLOOKUP(A9,PARTIDAS!$A$2:$I$269,9,FALSE()),1)</f>
        <v>1</v>
      </c>
      <c r="O9" s="217">
        <f t="shared" si="0"/>
        <v>0</v>
      </c>
      <c r="P9" s="216">
        <f>IF(O9=0,0,IF(B9="MAT",G9*(1+H9)*L9*PLAN_ETAPA!$C$5,IF(B9="MO",IF(M9=0,0,G9*L9*PLAN_ETAPA!$C$5*N9/M9),IF(B9="EQ",IF(M9=0,0,G9*L9*PLAN_ETAPA!$C$5/M9),0))))</f>
        <v>0</v>
      </c>
      <c r="Q9" s="218">
        <f t="shared" si="1"/>
        <v>0</v>
      </c>
    </row>
    <row r="10" spans="1:17" x14ac:dyDescent="0.35">
      <c r="A10" s="212" t="str">
        <f>COMPOSICIÓN!A10</f>
        <v>AIS-114</v>
      </c>
      <c r="B10" s="212" t="str">
        <f>COMPOSICIÓN!B10</f>
        <v>MAT</v>
      </c>
      <c r="C10" s="212" t="str">
        <f>COMPOSICIÓN!C10</f>
        <v>OTR</v>
      </c>
      <c r="D10" s="212" t="str">
        <f>COMPOSICIÓN!D10</f>
        <v>AIS-002</v>
      </c>
      <c r="E10" s="212" t="str">
        <f>COMPOSICIÓN!E10</f>
        <v>Membrana Geotextil Ormiflex 4mm - (35kg) x10m</v>
      </c>
      <c r="F10" s="212" t="str">
        <f>COMPOSICIÓN!F10</f>
        <v>u</v>
      </c>
      <c r="G10" s="213">
        <f>COMPOSICIÓN!G10</f>
        <v>0.05</v>
      </c>
      <c r="H10" s="214">
        <f>COMPOSICIÓN!H10</f>
        <v>0.1</v>
      </c>
      <c r="I10" s="215">
        <f>COMPOSICIÓN!I10</f>
        <v>70192.210000000006</v>
      </c>
      <c r="J10" s="212" t="str">
        <f>IFERROR(VLOOKUP(A10,PARTIDAS!$A$2:$C$269,3,FALSE()),"")</f>
        <v>MAMPOSTERÍA</v>
      </c>
      <c r="K10" s="212" t="str">
        <f>IFERROR(INDEX(PPTO_GENERADOR!$B$4:$B$220,MATCH(A10,PPTO_GENERADOR!$Q$4:$Q$220,0)),"")</f>
        <v/>
      </c>
      <c r="L10" s="216">
        <f>IF(PLAN_ETAPA!$C$4="(TODOS)",SUMIFS(PPTO_GENERADOR!$E$4:$E$220,PPTO_GENERADOR!$Q$4:$Q$220,A10),SUMIFS(PPTO_GENERADOR!$E$4:$E$220,PPTO_GENERADOR!$Q$4:$Q$220,A10,PPTO_GENERADOR!$B$4:$B$220,PLAN_ETAPA!$C$4))</f>
        <v>0</v>
      </c>
      <c r="M10" s="216">
        <f>IFERROR(VLOOKUP(A10,PARTIDAS!$A$2:$F$269,6,FALSE()),1)</f>
        <v>60</v>
      </c>
      <c r="N10" s="216">
        <f>IFERROR(VLOOKUP(A10,PARTIDAS!$A$2:$I$269,9,FALSE()),1)</f>
        <v>1</v>
      </c>
      <c r="O10" s="217">
        <f t="shared" si="0"/>
        <v>0</v>
      </c>
      <c r="P10" s="216">
        <f>IF(O10=0,0,IF(B10="MAT",G10*(1+H10)*L10*PLAN_ETAPA!$C$5,IF(B10="MO",IF(M10=0,0,G10*L10*PLAN_ETAPA!$C$5*N10/M10),IF(B10="EQ",IF(M10=0,0,G10*L10*PLAN_ETAPA!$C$5/M10),0))))</f>
        <v>0</v>
      </c>
      <c r="Q10" s="218">
        <f t="shared" si="1"/>
        <v>0</v>
      </c>
    </row>
    <row r="11" spans="1:17" x14ac:dyDescent="0.35">
      <c r="A11" s="212" t="str">
        <f>COMPOSICIÓN!A11</f>
        <v>AIS-114</v>
      </c>
      <c r="B11" s="212" t="str">
        <f>COMPOSICIÓN!B11</f>
        <v>MO</v>
      </c>
      <c r="C11" s="212" t="str">
        <f>COMPOSICIÓN!C11</f>
        <v>ALB</v>
      </c>
      <c r="D11" s="212" t="str">
        <f>COMPOSICIÓN!D11</f>
        <v>MO-EAYUD</v>
      </c>
      <c r="E11" s="212" t="str">
        <f>COMPOSICIÓN!E11</f>
        <v>AYUDANTE</v>
      </c>
      <c r="F11" s="212" t="str">
        <f>COMPOSICIÓN!F11</f>
        <v>j</v>
      </c>
      <c r="G11" s="213">
        <f>COMPOSICIÓN!G11</f>
        <v>1</v>
      </c>
      <c r="H11" s="214">
        <f>COMPOSICIÓN!H11</f>
        <v>0</v>
      </c>
      <c r="I11" s="215">
        <f>COMPOSICIÓN!I11</f>
        <v>60860.580776572002</v>
      </c>
      <c r="J11" s="212" t="str">
        <f>IFERROR(VLOOKUP(A11,PARTIDAS!$A$2:$C$269,3,FALSE()),"")</f>
        <v>MAMPOSTERÍA</v>
      </c>
      <c r="K11" s="212" t="str">
        <f>IFERROR(INDEX(PPTO_GENERADOR!$B$4:$B$220,MATCH(A11,PPTO_GENERADOR!$Q$4:$Q$220,0)),"")</f>
        <v/>
      </c>
      <c r="L11" s="216">
        <f>IF(PLAN_ETAPA!$C$4="(TODOS)",SUMIFS(PPTO_GENERADOR!$E$4:$E$220,PPTO_GENERADOR!$Q$4:$Q$220,A11),SUMIFS(PPTO_GENERADOR!$E$4:$E$220,PPTO_GENERADOR!$Q$4:$Q$220,A11,PPTO_GENERADOR!$B$4:$B$220,PLAN_ETAPA!$C$4))</f>
        <v>0</v>
      </c>
      <c r="M11" s="216">
        <f>IFERROR(VLOOKUP(A11,PARTIDAS!$A$2:$F$269,6,FALSE()),1)</f>
        <v>60</v>
      </c>
      <c r="N11" s="216">
        <f>IFERROR(VLOOKUP(A11,PARTIDAS!$A$2:$I$269,9,FALSE()),1)</f>
        <v>1</v>
      </c>
      <c r="O11" s="217">
        <f t="shared" si="0"/>
        <v>0</v>
      </c>
      <c r="P11" s="216">
        <f>IF(O11=0,0,IF(B11="MAT",G11*(1+H11)*L11*PLAN_ETAPA!$C$5,IF(B11="MO",IF(M11=0,0,G11*L11*PLAN_ETAPA!$C$5*N11/M11),IF(B11="EQ",IF(M11=0,0,G11*L11*PLAN_ETAPA!$C$5/M11),0))))</f>
        <v>0</v>
      </c>
      <c r="Q11" s="218">
        <f t="shared" si="1"/>
        <v>0</v>
      </c>
    </row>
    <row r="12" spans="1:17" x14ac:dyDescent="0.35">
      <c r="A12" s="212" t="str">
        <f>COMPOSICIÓN!A12</f>
        <v>AIS-114</v>
      </c>
      <c r="B12" s="212" t="str">
        <f>COMPOSICIÓN!B12</f>
        <v>MO</v>
      </c>
      <c r="C12" s="212" t="str">
        <f>COMPOSICIÓN!C12</f>
        <v>ALB</v>
      </c>
      <c r="D12" s="212" t="str">
        <f>COMPOSICIÓN!D12</f>
        <v>MO-EESPE</v>
      </c>
      <c r="E12" s="212" t="str">
        <f>COMPOSICIÓN!E12</f>
        <v>ESPECIALIZADO</v>
      </c>
      <c r="F12" s="212" t="str">
        <f>COMPOSICIÓN!F12</f>
        <v>j</v>
      </c>
      <c r="G12" s="213">
        <f>COMPOSICIÓN!G12</f>
        <v>1</v>
      </c>
      <c r="H12" s="214">
        <f>COMPOSICIÓN!H12</f>
        <v>0</v>
      </c>
      <c r="I12" s="215">
        <f>COMPOSICIÓN!I12</f>
        <v>85927.097156571996</v>
      </c>
      <c r="J12" s="212" t="str">
        <f>IFERROR(VLOOKUP(A12,PARTIDAS!$A$2:$C$269,3,FALSE()),"")</f>
        <v>MAMPOSTERÍA</v>
      </c>
      <c r="K12" s="212" t="str">
        <f>IFERROR(INDEX(PPTO_GENERADOR!$B$4:$B$220,MATCH(A12,PPTO_GENERADOR!$Q$4:$Q$220,0)),"")</f>
        <v/>
      </c>
      <c r="L12" s="216">
        <f>IF(PLAN_ETAPA!$C$4="(TODOS)",SUMIFS(PPTO_GENERADOR!$E$4:$E$220,PPTO_GENERADOR!$Q$4:$Q$220,A12),SUMIFS(PPTO_GENERADOR!$E$4:$E$220,PPTO_GENERADOR!$Q$4:$Q$220,A12,PPTO_GENERADOR!$B$4:$B$220,PLAN_ETAPA!$C$4))</f>
        <v>0</v>
      </c>
      <c r="M12" s="216">
        <f>IFERROR(VLOOKUP(A12,PARTIDAS!$A$2:$F$269,6,FALSE()),1)</f>
        <v>60</v>
      </c>
      <c r="N12" s="216">
        <f>IFERROR(VLOOKUP(A12,PARTIDAS!$A$2:$I$269,9,FALSE()),1)</f>
        <v>1</v>
      </c>
      <c r="O12" s="217">
        <f t="shared" si="0"/>
        <v>0</v>
      </c>
      <c r="P12" s="216">
        <f>IF(O12=0,0,IF(B12="MAT",G12*(1+H12)*L12*PLAN_ETAPA!$C$5,IF(B12="MO",IF(M12=0,0,G12*L12*PLAN_ETAPA!$C$5*N12/M12),IF(B12="EQ",IF(M12=0,0,G12*L12*PLAN_ETAPA!$C$5/M12),0))))</f>
        <v>0</v>
      </c>
      <c r="Q12" s="218">
        <f t="shared" si="1"/>
        <v>0</v>
      </c>
    </row>
    <row r="13" spans="1:17" x14ac:dyDescent="0.35">
      <c r="A13" s="212" t="str">
        <f>COMPOSICIÓN!A13</f>
        <v>ALB-033</v>
      </c>
      <c r="B13" s="212" t="str">
        <f>COMPOSICIÓN!B13</f>
        <v>EQ</v>
      </c>
      <c r="C13" s="212">
        <f>COMPOSICIÓN!C13</f>
        <v>0</v>
      </c>
      <c r="D13" s="212" t="str">
        <f>COMPOSICIÓN!D13</f>
        <v>EQ-ANDAM0</v>
      </c>
      <c r="E13" s="212" t="str">
        <f>COMPOSICIÓN!E13</f>
        <v>ANDAMIO TUBULAR DE UNO A TRES CUERPOS</v>
      </c>
      <c r="F13" s="212">
        <f>COMPOSICIÓN!F13</f>
        <v>0</v>
      </c>
      <c r="G13" s="213">
        <f>COMPOSICIÓN!G13</f>
        <v>0.5</v>
      </c>
      <c r="H13" s="214">
        <f>COMPOSICIÓN!H13</f>
        <v>0</v>
      </c>
      <c r="I13" s="215">
        <f>COMPOSICIÓN!I13</f>
        <v>571.1794909807611</v>
      </c>
      <c r="J13" s="212" t="str">
        <f>IFERROR(VLOOKUP(A13,PARTIDAS!$A$2:$C$269,3,FALSE()),"")</f>
        <v>MAMPOSTERÍA</v>
      </c>
      <c r="K13" s="212" t="str">
        <f>IFERROR(INDEX(PPTO_GENERADOR!$B$4:$B$220,MATCH(A13,PPTO_GENERADOR!$Q$4:$Q$220,0)),"")</f>
        <v/>
      </c>
      <c r="L13" s="216">
        <f>IF(PLAN_ETAPA!$C$4="(TODOS)",SUMIFS(PPTO_GENERADOR!$E$4:$E$220,PPTO_GENERADOR!$Q$4:$Q$220,A13),SUMIFS(PPTO_GENERADOR!$E$4:$E$220,PPTO_GENERADOR!$Q$4:$Q$220,A13,PPTO_GENERADOR!$B$4:$B$220,PLAN_ETAPA!$C$4))</f>
        <v>0</v>
      </c>
      <c r="M13" s="216">
        <f>IFERROR(VLOOKUP(A13,PARTIDAS!$A$2:$F$269,6,FALSE()),1)</f>
        <v>7</v>
      </c>
      <c r="N13" s="216">
        <f>IFERROR(VLOOKUP(A13,PARTIDAS!$A$2:$I$269,9,FALSE()),1)</f>
        <v>1</v>
      </c>
      <c r="O13" s="217">
        <f t="shared" si="0"/>
        <v>0</v>
      </c>
      <c r="P13" s="216">
        <f>IF(O13=0,0,IF(B13="MAT",G13*(1+H13)*L13*PLAN_ETAPA!$C$5,IF(B13="MO",IF(M13=0,0,G13*L13*PLAN_ETAPA!$C$5*N13/M13),IF(B13="EQ",IF(M13=0,0,G13*L13*PLAN_ETAPA!$C$5/M13),0))))</f>
        <v>0</v>
      </c>
      <c r="Q13" s="218">
        <f t="shared" si="1"/>
        <v>0</v>
      </c>
    </row>
    <row r="14" spans="1:17" x14ac:dyDescent="0.35">
      <c r="A14" s="212" t="str">
        <f>COMPOSICIÓN!A14</f>
        <v>ALB-033</v>
      </c>
      <c r="B14" s="212" t="str">
        <f>COMPOSICIÓN!B14</f>
        <v>EQ</v>
      </c>
      <c r="C14" s="212">
        <f>COMPOSICIÓN!C14</f>
        <v>0</v>
      </c>
      <c r="D14" s="212" t="str">
        <f>COMPOSICIÓN!D14</f>
        <v>EQ-EQALBA</v>
      </c>
      <c r="E14" s="212" t="str">
        <f>COMPOSICIÓN!E14</f>
        <v>EQUIPO DE ALBAÑILERIA, carpetas, ladrillo</v>
      </c>
      <c r="F14" s="212">
        <f>COMPOSICIÓN!F14</f>
        <v>0</v>
      </c>
      <c r="G14" s="213">
        <f>COMPOSICIÓN!G14</f>
        <v>1</v>
      </c>
      <c r="H14" s="214">
        <f>COMPOSICIÓN!H14</f>
        <v>0</v>
      </c>
      <c r="I14" s="215">
        <f>COMPOSICIÓN!I14</f>
        <v>2287.1357450968057</v>
      </c>
      <c r="J14" s="212" t="str">
        <f>IFERROR(VLOOKUP(A14,PARTIDAS!$A$2:$C$269,3,FALSE()),"")</f>
        <v>MAMPOSTERÍA</v>
      </c>
      <c r="K14" s="212" t="str">
        <f>IFERROR(INDEX(PPTO_GENERADOR!$B$4:$B$220,MATCH(A14,PPTO_GENERADOR!$Q$4:$Q$220,0)),"")</f>
        <v/>
      </c>
      <c r="L14" s="216">
        <f>IF(PLAN_ETAPA!$C$4="(TODOS)",SUMIFS(PPTO_GENERADOR!$E$4:$E$220,PPTO_GENERADOR!$Q$4:$Q$220,A14),SUMIFS(PPTO_GENERADOR!$E$4:$E$220,PPTO_GENERADOR!$Q$4:$Q$220,A14,PPTO_GENERADOR!$B$4:$B$220,PLAN_ETAPA!$C$4))</f>
        <v>0</v>
      </c>
      <c r="M14" s="216">
        <f>IFERROR(VLOOKUP(A14,PARTIDAS!$A$2:$F$269,6,FALSE()),1)</f>
        <v>7</v>
      </c>
      <c r="N14" s="216">
        <f>IFERROR(VLOOKUP(A14,PARTIDAS!$A$2:$I$269,9,FALSE()),1)</f>
        <v>1</v>
      </c>
      <c r="O14" s="217">
        <f t="shared" si="0"/>
        <v>0</v>
      </c>
      <c r="P14" s="216">
        <f>IF(O14=0,0,IF(B14="MAT",G14*(1+H14)*L14*PLAN_ETAPA!$C$5,IF(B14="MO",IF(M14=0,0,G14*L14*PLAN_ETAPA!$C$5*N14/M14),IF(B14="EQ",IF(M14=0,0,G14*L14*PLAN_ETAPA!$C$5/M14),0))))</f>
        <v>0</v>
      </c>
      <c r="Q14" s="218">
        <f t="shared" si="1"/>
        <v>0</v>
      </c>
    </row>
    <row r="15" spans="1:17" x14ac:dyDescent="0.35">
      <c r="A15" s="212" t="str">
        <f>COMPOSICIÓN!A15</f>
        <v>ALB-033</v>
      </c>
      <c r="B15" s="212" t="str">
        <f>COMPOSICIÓN!B15</f>
        <v>EQ</v>
      </c>
      <c r="C15" s="212">
        <f>COMPOSICIÓN!C15</f>
        <v>0</v>
      </c>
      <c r="D15" s="212" t="str">
        <f>COMPOSICIÓN!D15</f>
        <v>EQ-TROMPO</v>
      </c>
      <c r="E15" s="212" t="str">
        <f>COMPOSICIÓN!E15</f>
        <v>Hormigonera De 150 Litros 1hp Con Rueda Maciza</v>
      </c>
      <c r="F15" s="212">
        <f>COMPOSICIÓN!F15</f>
        <v>0</v>
      </c>
      <c r="G15" s="213">
        <f>COMPOSICIÓN!G15</f>
        <v>1</v>
      </c>
      <c r="H15" s="214">
        <f>COMPOSICIÓN!H15</f>
        <v>0</v>
      </c>
      <c r="I15" s="215">
        <f>COMPOSICIÓN!I15</f>
        <v>957.25319614994726</v>
      </c>
      <c r="J15" s="212" t="str">
        <f>IFERROR(VLOOKUP(A15,PARTIDAS!$A$2:$C$269,3,FALSE()),"")</f>
        <v>MAMPOSTERÍA</v>
      </c>
      <c r="K15" s="212" t="str">
        <f>IFERROR(INDEX(PPTO_GENERADOR!$B$4:$B$220,MATCH(A15,PPTO_GENERADOR!$Q$4:$Q$220,0)),"")</f>
        <v/>
      </c>
      <c r="L15" s="216">
        <f>IF(PLAN_ETAPA!$C$4="(TODOS)",SUMIFS(PPTO_GENERADOR!$E$4:$E$220,PPTO_GENERADOR!$Q$4:$Q$220,A15),SUMIFS(PPTO_GENERADOR!$E$4:$E$220,PPTO_GENERADOR!$Q$4:$Q$220,A15,PPTO_GENERADOR!$B$4:$B$220,PLAN_ETAPA!$C$4))</f>
        <v>0</v>
      </c>
      <c r="M15" s="216">
        <f>IFERROR(VLOOKUP(A15,PARTIDAS!$A$2:$F$269,6,FALSE()),1)</f>
        <v>7</v>
      </c>
      <c r="N15" s="216">
        <f>IFERROR(VLOOKUP(A15,PARTIDAS!$A$2:$I$269,9,FALSE()),1)</f>
        <v>1</v>
      </c>
      <c r="O15" s="217">
        <f t="shared" si="0"/>
        <v>0</v>
      </c>
      <c r="P15" s="216">
        <f>IF(O15=0,0,IF(B15="MAT",G15*(1+H15)*L15*PLAN_ETAPA!$C$5,IF(B15="MO",IF(M15=0,0,G15*L15*PLAN_ETAPA!$C$5*N15/M15),IF(B15="EQ",IF(M15=0,0,G15*L15*PLAN_ETAPA!$C$5/M15),0))))</f>
        <v>0</v>
      </c>
      <c r="Q15" s="218">
        <f t="shared" si="1"/>
        <v>0</v>
      </c>
    </row>
    <row r="16" spans="1:17" x14ac:dyDescent="0.35">
      <c r="A16" s="212" t="str">
        <f>COMPOSICIÓN!A16</f>
        <v>ALB-033</v>
      </c>
      <c r="B16" s="212" t="str">
        <f>COMPOSICIÓN!B16</f>
        <v>MAT</v>
      </c>
      <c r="C16" s="212" t="str">
        <f>COMPOSICIÓN!C16</f>
        <v>OTR</v>
      </c>
      <c r="D16" s="212" t="str">
        <f>COMPOSICIÓN!D16</f>
        <v>ACE-001</v>
      </c>
      <c r="E16" s="212" t="str">
        <f>COMPOSICIÓN!E16</f>
        <v>Barra de Acero Aleteado - 6mm x 12m</v>
      </c>
      <c r="F16" s="212" t="str">
        <f>COMPOSICIÓN!F16</f>
        <v>u</v>
      </c>
      <c r="G16" s="213">
        <f>COMPOSICIÓN!G16</f>
        <v>0.17</v>
      </c>
      <c r="H16" s="214">
        <f>COMPOSICIÓN!H16</f>
        <v>0.1</v>
      </c>
      <c r="I16" s="215">
        <f>COMPOSICIÓN!I16</f>
        <v>3424.53</v>
      </c>
      <c r="J16" s="212" t="str">
        <f>IFERROR(VLOOKUP(A16,PARTIDAS!$A$2:$C$269,3,FALSE()),"")</f>
        <v>MAMPOSTERÍA</v>
      </c>
      <c r="K16" s="212" t="str">
        <f>IFERROR(INDEX(PPTO_GENERADOR!$B$4:$B$220,MATCH(A16,PPTO_GENERADOR!$Q$4:$Q$220,0)),"")</f>
        <v/>
      </c>
      <c r="L16" s="216">
        <f>IF(PLAN_ETAPA!$C$4="(TODOS)",SUMIFS(PPTO_GENERADOR!$E$4:$E$220,PPTO_GENERADOR!$Q$4:$Q$220,A16),SUMIFS(PPTO_GENERADOR!$E$4:$E$220,PPTO_GENERADOR!$Q$4:$Q$220,A16,PPTO_GENERADOR!$B$4:$B$220,PLAN_ETAPA!$C$4))</f>
        <v>0</v>
      </c>
      <c r="M16" s="216">
        <f>IFERROR(VLOOKUP(A16,PARTIDAS!$A$2:$F$269,6,FALSE()),1)</f>
        <v>7</v>
      </c>
      <c r="N16" s="216">
        <f>IFERROR(VLOOKUP(A16,PARTIDAS!$A$2:$I$269,9,FALSE()),1)</f>
        <v>1</v>
      </c>
      <c r="O16" s="217">
        <f t="shared" si="0"/>
        <v>0</v>
      </c>
      <c r="P16" s="216">
        <f>IF(O16=0,0,IF(B16="MAT",G16*(1+H16)*L16*PLAN_ETAPA!$C$5,IF(B16="MO",IF(M16=0,0,G16*L16*PLAN_ETAPA!$C$5*N16/M16),IF(B16="EQ",IF(M16=0,0,G16*L16*PLAN_ETAPA!$C$5/M16),0))))</f>
        <v>0</v>
      </c>
      <c r="Q16" s="218">
        <f t="shared" si="1"/>
        <v>0</v>
      </c>
    </row>
    <row r="17" spans="1:17" x14ac:dyDescent="0.35">
      <c r="A17" s="212" t="str">
        <f>COMPOSICIÓN!A17</f>
        <v>ALB-033</v>
      </c>
      <c r="B17" s="212" t="str">
        <f>COMPOSICIÓN!B17</f>
        <v>MAT</v>
      </c>
      <c r="C17" s="212" t="str">
        <f>COMPOSICIÓN!C17</f>
        <v>OTR</v>
      </c>
      <c r="D17" s="212" t="str">
        <f>COMPOSICIÓN!D17</f>
        <v>AGR-001</v>
      </c>
      <c r="E17" s="212" t="str">
        <f>COMPOSICIÓN!E17</f>
        <v>ARENA LAVADA</v>
      </c>
      <c r="F17" s="212" t="str">
        <f>COMPOSICIÓN!F17</f>
        <v>m3</v>
      </c>
      <c r="G17" s="213">
        <f>COMPOSICIÓN!G17</f>
        <v>3.5000000000000003E-2</v>
      </c>
      <c r="H17" s="214">
        <f>COMPOSICIÓN!H17</f>
        <v>0.1</v>
      </c>
      <c r="I17" s="215">
        <f>COMPOSICIÓN!I17</f>
        <v>32399.77</v>
      </c>
      <c r="J17" s="212" t="str">
        <f>IFERROR(VLOOKUP(A17,PARTIDAS!$A$2:$C$269,3,FALSE()),"")</f>
        <v>MAMPOSTERÍA</v>
      </c>
      <c r="K17" s="212" t="str">
        <f>IFERROR(INDEX(PPTO_GENERADOR!$B$4:$B$220,MATCH(A17,PPTO_GENERADOR!$Q$4:$Q$220,0)),"")</f>
        <v/>
      </c>
      <c r="L17" s="216">
        <f>IF(PLAN_ETAPA!$C$4="(TODOS)",SUMIFS(PPTO_GENERADOR!$E$4:$E$220,PPTO_GENERADOR!$Q$4:$Q$220,A17),SUMIFS(PPTO_GENERADOR!$E$4:$E$220,PPTO_GENERADOR!$Q$4:$Q$220,A17,PPTO_GENERADOR!$B$4:$B$220,PLAN_ETAPA!$C$4))</f>
        <v>0</v>
      </c>
      <c r="M17" s="216">
        <f>IFERROR(VLOOKUP(A17,PARTIDAS!$A$2:$F$269,6,FALSE()),1)</f>
        <v>7</v>
      </c>
      <c r="N17" s="216">
        <f>IFERROR(VLOOKUP(A17,PARTIDAS!$A$2:$I$269,9,FALSE()),1)</f>
        <v>1</v>
      </c>
      <c r="O17" s="217">
        <f t="shared" si="0"/>
        <v>0</v>
      </c>
      <c r="P17" s="216">
        <f>IF(O17=0,0,IF(B17="MAT",G17*(1+H17)*L17*PLAN_ETAPA!$C$5,IF(B17="MO",IF(M17=0,0,G17*L17*PLAN_ETAPA!$C$5*N17/M17),IF(B17="EQ",IF(M17=0,0,G17*L17*PLAN_ETAPA!$C$5/M17),0))))</f>
        <v>0</v>
      </c>
      <c r="Q17" s="218">
        <f t="shared" si="1"/>
        <v>0</v>
      </c>
    </row>
    <row r="18" spans="1:17" x14ac:dyDescent="0.35">
      <c r="A18" s="212" t="str">
        <f>COMPOSICIÓN!A18</f>
        <v>ALB-033</v>
      </c>
      <c r="B18" s="212" t="str">
        <f>COMPOSICIÓN!B18</f>
        <v>MAT</v>
      </c>
      <c r="C18" s="212" t="str">
        <f>COMPOSICIÓN!C18</f>
        <v>OTR</v>
      </c>
      <c r="D18" s="212" t="str">
        <f>COMPOSICIÓN!D18</f>
        <v>AGR-004</v>
      </c>
      <c r="E18" s="212" t="str">
        <f>COMPOSICIÓN!E18</f>
        <v>Cemento Portland x 50kg</v>
      </c>
      <c r="F18" s="212" t="str">
        <f>COMPOSICIÓN!F18</f>
        <v>Bol</v>
      </c>
      <c r="G18" s="213">
        <f>COMPOSICIÓN!G18</f>
        <v>0.15</v>
      </c>
      <c r="H18" s="214">
        <f>COMPOSICIÓN!H18</f>
        <v>0.1</v>
      </c>
      <c r="I18" s="215">
        <f>COMPOSICIÓN!I18</f>
        <v>7809.48</v>
      </c>
      <c r="J18" s="212" t="str">
        <f>IFERROR(VLOOKUP(A18,PARTIDAS!$A$2:$C$269,3,FALSE()),"")</f>
        <v>MAMPOSTERÍA</v>
      </c>
      <c r="K18" s="212" t="str">
        <f>IFERROR(INDEX(PPTO_GENERADOR!$B$4:$B$220,MATCH(A18,PPTO_GENERADOR!$Q$4:$Q$220,0)),"")</f>
        <v/>
      </c>
      <c r="L18" s="216">
        <f>IF(PLAN_ETAPA!$C$4="(TODOS)",SUMIFS(PPTO_GENERADOR!$E$4:$E$220,PPTO_GENERADOR!$Q$4:$Q$220,A18),SUMIFS(PPTO_GENERADOR!$E$4:$E$220,PPTO_GENERADOR!$Q$4:$Q$220,A18,PPTO_GENERADOR!$B$4:$B$220,PLAN_ETAPA!$C$4))</f>
        <v>0</v>
      </c>
      <c r="M18" s="216">
        <f>IFERROR(VLOOKUP(A18,PARTIDAS!$A$2:$F$269,6,FALSE()),1)</f>
        <v>7</v>
      </c>
      <c r="N18" s="216">
        <f>IFERROR(VLOOKUP(A18,PARTIDAS!$A$2:$I$269,9,FALSE()),1)</f>
        <v>1</v>
      </c>
      <c r="O18" s="217">
        <f t="shared" si="0"/>
        <v>0</v>
      </c>
      <c r="P18" s="216">
        <f>IF(O18=0,0,IF(B18="MAT",G18*(1+H18)*L18*PLAN_ETAPA!$C$5,IF(B18="MO",IF(M18=0,0,G18*L18*PLAN_ETAPA!$C$5*N18/M18),IF(B18="EQ",IF(M18=0,0,G18*L18*PLAN_ETAPA!$C$5/M18),0))))</f>
        <v>0</v>
      </c>
      <c r="Q18" s="218">
        <f t="shared" si="1"/>
        <v>0</v>
      </c>
    </row>
    <row r="19" spans="1:17" x14ac:dyDescent="0.35">
      <c r="A19" s="212" t="str">
        <f>COMPOSICIÓN!A19</f>
        <v>ALB-033</v>
      </c>
      <c r="B19" s="212" t="str">
        <f>COMPOSICIÓN!B19</f>
        <v>MAT</v>
      </c>
      <c r="C19" s="212" t="str">
        <f>COMPOSICIÓN!C19</f>
        <v>OTR</v>
      </c>
      <c r="D19" s="212" t="str">
        <f>COMPOSICIÓN!D19</f>
        <v>AGR-005</v>
      </c>
      <c r="E19" s="212" t="str">
        <f>COMPOSICIÓN!E19</f>
        <v>Cal Comun x 25kg</v>
      </c>
      <c r="F19" s="212" t="str">
        <f>COMPOSICIÓN!F19</f>
        <v>bol</v>
      </c>
      <c r="G19" s="213">
        <f>COMPOSICIÓN!G19</f>
        <v>0.3</v>
      </c>
      <c r="H19" s="214">
        <f>COMPOSICIÓN!H19</f>
        <v>0.1</v>
      </c>
      <c r="I19" s="215">
        <f>COMPOSICIÓN!I19</f>
        <v>3837.96</v>
      </c>
      <c r="J19" s="212" t="str">
        <f>IFERROR(VLOOKUP(A19,PARTIDAS!$A$2:$C$269,3,FALSE()),"")</f>
        <v>MAMPOSTERÍA</v>
      </c>
      <c r="K19" s="212" t="str">
        <f>IFERROR(INDEX(PPTO_GENERADOR!$B$4:$B$220,MATCH(A19,PPTO_GENERADOR!$Q$4:$Q$220,0)),"")</f>
        <v/>
      </c>
      <c r="L19" s="216">
        <f>IF(PLAN_ETAPA!$C$4="(TODOS)",SUMIFS(PPTO_GENERADOR!$E$4:$E$220,PPTO_GENERADOR!$Q$4:$Q$220,A19),SUMIFS(PPTO_GENERADOR!$E$4:$E$220,PPTO_GENERADOR!$Q$4:$Q$220,A19,PPTO_GENERADOR!$B$4:$B$220,PLAN_ETAPA!$C$4))</f>
        <v>0</v>
      </c>
      <c r="M19" s="216">
        <f>IFERROR(VLOOKUP(A19,PARTIDAS!$A$2:$F$269,6,FALSE()),1)</f>
        <v>7</v>
      </c>
      <c r="N19" s="216">
        <f>IFERROR(VLOOKUP(A19,PARTIDAS!$A$2:$I$269,9,FALSE()),1)</f>
        <v>1</v>
      </c>
      <c r="O19" s="217">
        <f t="shared" si="0"/>
        <v>0</v>
      </c>
      <c r="P19" s="216">
        <f>IF(O19=0,0,IF(B19="MAT",G19*(1+H19)*L19*PLAN_ETAPA!$C$5,IF(B19="MO",IF(M19=0,0,G19*L19*PLAN_ETAPA!$C$5*N19/M19),IF(B19="EQ",IF(M19=0,0,G19*L19*PLAN_ETAPA!$C$5/M19),0))))</f>
        <v>0</v>
      </c>
      <c r="Q19" s="218">
        <f t="shared" si="1"/>
        <v>0</v>
      </c>
    </row>
    <row r="20" spans="1:17" x14ac:dyDescent="0.35">
      <c r="A20" s="212" t="str">
        <f>COMPOSICIÓN!A20</f>
        <v>ALB-033</v>
      </c>
      <c r="B20" s="212" t="str">
        <f>COMPOSICIÓN!B20</f>
        <v>MAT</v>
      </c>
      <c r="C20" s="212" t="str">
        <f>COMPOSICIÓN!C20</f>
        <v>OTR</v>
      </c>
      <c r="D20" s="212" t="str">
        <f>COMPOSICIÓN!D20</f>
        <v>CER-005</v>
      </c>
      <c r="E20" s="212" t="str">
        <f>COMPOSICIÓN!E20</f>
        <v>Ladrillo Comun 12.5 x 5.5 x 25</v>
      </c>
      <c r="F20" s="212" t="str">
        <f>COMPOSICIÓN!F20</f>
        <v>u</v>
      </c>
      <c r="G20" s="213">
        <f>COMPOSICIÓN!G20</f>
        <v>60</v>
      </c>
      <c r="H20" s="214">
        <f>COMPOSICIÓN!H20</f>
        <v>0.05</v>
      </c>
      <c r="I20" s="215">
        <f>COMPOSICIÓN!I20</f>
        <v>132.30000000000001</v>
      </c>
      <c r="J20" s="212" t="str">
        <f>IFERROR(VLOOKUP(A20,PARTIDAS!$A$2:$C$269,3,FALSE()),"")</f>
        <v>MAMPOSTERÍA</v>
      </c>
      <c r="K20" s="212" t="str">
        <f>IFERROR(INDEX(PPTO_GENERADOR!$B$4:$B$220,MATCH(A20,PPTO_GENERADOR!$Q$4:$Q$220,0)),"")</f>
        <v/>
      </c>
      <c r="L20" s="216">
        <f>IF(PLAN_ETAPA!$C$4="(TODOS)",SUMIFS(PPTO_GENERADOR!$E$4:$E$220,PPTO_GENERADOR!$Q$4:$Q$220,A20),SUMIFS(PPTO_GENERADOR!$E$4:$E$220,PPTO_GENERADOR!$Q$4:$Q$220,A20,PPTO_GENERADOR!$B$4:$B$220,PLAN_ETAPA!$C$4))</f>
        <v>0</v>
      </c>
      <c r="M20" s="216">
        <f>IFERROR(VLOOKUP(A20,PARTIDAS!$A$2:$F$269,6,FALSE()),1)</f>
        <v>7</v>
      </c>
      <c r="N20" s="216">
        <f>IFERROR(VLOOKUP(A20,PARTIDAS!$A$2:$I$269,9,FALSE()),1)</f>
        <v>1</v>
      </c>
      <c r="O20" s="217">
        <f t="shared" si="0"/>
        <v>0</v>
      </c>
      <c r="P20" s="216">
        <f>IF(O20=0,0,IF(B20="MAT",G20*(1+H20)*L20*PLAN_ETAPA!$C$5,IF(B20="MO",IF(M20=0,0,G20*L20*PLAN_ETAPA!$C$5*N20/M20),IF(B20="EQ",IF(M20=0,0,G20*L20*PLAN_ETAPA!$C$5/M20),0))))</f>
        <v>0</v>
      </c>
      <c r="Q20" s="218">
        <f t="shared" si="1"/>
        <v>0</v>
      </c>
    </row>
    <row r="21" spans="1:17" x14ac:dyDescent="0.35">
      <c r="A21" s="212" t="str">
        <f>COMPOSICIÓN!A21</f>
        <v>ALB-033</v>
      </c>
      <c r="B21" s="212" t="str">
        <f>COMPOSICIÓN!B21</f>
        <v>MAT</v>
      </c>
      <c r="C21" s="212" t="str">
        <f>COMPOSICIÓN!C21</f>
        <v>OTR</v>
      </c>
      <c r="D21" s="212" t="str">
        <f>COMPOSICIÓN!D21</f>
        <v>MAT-CONS</v>
      </c>
      <c r="E21" s="212" t="str">
        <f>COMPOSICIÓN!E21</f>
        <v>Consumibles</v>
      </c>
      <c r="F21" s="212" t="str">
        <f>COMPOSICIÓN!F21</f>
        <v>gl</v>
      </c>
      <c r="G21" s="213">
        <f>COMPOSICIÓN!G21</f>
        <v>1.31611023</v>
      </c>
      <c r="H21" s="214">
        <f>COMPOSICIÓN!H21</f>
        <v>0</v>
      </c>
      <c r="I21" s="215">
        <f>COMPOSICIÓN!I21</f>
        <v>1</v>
      </c>
      <c r="J21" s="212" t="str">
        <f>IFERROR(VLOOKUP(A21,PARTIDAS!$A$2:$C$269,3,FALSE()),"")</f>
        <v>MAMPOSTERÍA</v>
      </c>
      <c r="K21" s="212" t="str">
        <f>IFERROR(INDEX(PPTO_GENERADOR!$B$4:$B$220,MATCH(A21,PPTO_GENERADOR!$Q$4:$Q$220,0)),"")</f>
        <v/>
      </c>
      <c r="L21" s="216">
        <f>IF(PLAN_ETAPA!$C$4="(TODOS)",SUMIFS(PPTO_GENERADOR!$E$4:$E$220,PPTO_GENERADOR!$Q$4:$Q$220,A21),SUMIFS(PPTO_GENERADOR!$E$4:$E$220,PPTO_GENERADOR!$Q$4:$Q$220,A21,PPTO_GENERADOR!$B$4:$B$220,PLAN_ETAPA!$C$4))</f>
        <v>0</v>
      </c>
      <c r="M21" s="216">
        <f>IFERROR(VLOOKUP(A21,PARTIDAS!$A$2:$F$269,6,FALSE()),1)</f>
        <v>7</v>
      </c>
      <c r="N21" s="216">
        <f>IFERROR(VLOOKUP(A21,PARTIDAS!$A$2:$I$269,9,FALSE()),1)</f>
        <v>1</v>
      </c>
      <c r="O21" s="217">
        <f t="shared" si="0"/>
        <v>0</v>
      </c>
      <c r="P21" s="216">
        <f>IF(O21=0,0,IF(B21="MAT",G21*(1+H21)*L21*PLAN_ETAPA!$C$5,IF(B21="MO",IF(M21=0,0,G21*L21*PLAN_ETAPA!$C$5*N21/M21),IF(B21="EQ",IF(M21=0,0,G21*L21*PLAN_ETAPA!$C$5/M21),0))))</f>
        <v>0</v>
      </c>
      <c r="Q21" s="218">
        <f t="shared" si="1"/>
        <v>0</v>
      </c>
    </row>
    <row r="22" spans="1:17" x14ac:dyDescent="0.35">
      <c r="A22" s="212" t="str">
        <f>COMPOSICIÓN!A22</f>
        <v>ALB-033</v>
      </c>
      <c r="B22" s="212" t="str">
        <f>COMPOSICIÓN!B22</f>
        <v>MO</v>
      </c>
      <c r="C22" s="212" t="str">
        <f>COMPOSICIÓN!C22</f>
        <v>ALB</v>
      </c>
      <c r="D22" s="212" t="str">
        <f>COMPOSICIÓN!D22</f>
        <v>MO-EAYUD</v>
      </c>
      <c r="E22" s="212" t="str">
        <f>COMPOSICIÓN!E22</f>
        <v>AYUDANTE</v>
      </c>
      <c r="F22" s="212" t="str">
        <f>COMPOSICIÓN!F22</f>
        <v>j</v>
      </c>
      <c r="G22" s="213">
        <f>COMPOSICIÓN!G22</f>
        <v>1</v>
      </c>
      <c r="H22" s="214">
        <f>COMPOSICIÓN!H22</f>
        <v>0</v>
      </c>
      <c r="I22" s="215">
        <f>COMPOSICIÓN!I22</f>
        <v>60860.580776572002</v>
      </c>
      <c r="J22" s="212" t="str">
        <f>IFERROR(VLOOKUP(A22,PARTIDAS!$A$2:$C$269,3,FALSE()),"")</f>
        <v>MAMPOSTERÍA</v>
      </c>
      <c r="K22" s="212" t="str">
        <f>IFERROR(INDEX(PPTO_GENERADOR!$B$4:$B$220,MATCH(A22,PPTO_GENERADOR!$Q$4:$Q$220,0)),"")</f>
        <v/>
      </c>
      <c r="L22" s="216">
        <f>IF(PLAN_ETAPA!$C$4="(TODOS)",SUMIFS(PPTO_GENERADOR!$E$4:$E$220,PPTO_GENERADOR!$Q$4:$Q$220,A22),SUMIFS(PPTO_GENERADOR!$E$4:$E$220,PPTO_GENERADOR!$Q$4:$Q$220,A22,PPTO_GENERADOR!$B$4:$B$220,PLAN_ETAPA!$C$4))</f>
        <v>0</v>
      </c>
      <c r="M22" s="216">
        <f>IFERROR(VLOOKUP(A22,PARTIDAS!$A$2:$F$269,6,FALSE()),1)</f>
        <v>7</v>
      </c>
      <c r="N22" s="216">
        <f>IFERROR(VLOOKUP(A22,PARTIDAS!$A$2:$I$269,9,FALSE()),1)</f>
        <v>1</v>
      </c>
      <c r="O22" s="217">
        <f t="shared" si="0"/>
        <v>0</v>
      </c>
      <c r="P22" s="216">
        <f>IF(O22=0,0,IF(B22="MAT",G22*(1+H22)*L22*PLAN_ETAPA!$C$5,IF(B22="MO",IF(M22=0,0,G22*L22*PLAN_ETAPA!$C$5*N22/M22),IF(B22="EQ",IF(M22=0,0,G22*L22*PLAN_ETAPA!$C$5/M22),0))))</f>
        <v>0</v>
      </c>
      <c r="Q22" s="218">
        <f t="shared" si="1"/>
        <v>0</v>
      </c>
    </row>
    <row r="23" spans="1:17" x14ac:dyDescent="0.35">
      <c r="A23" s="212" t="str">
        <f>COMPOSICIÓN!A23</f>
        <v>ALB-033</v>
      </c>
      <c r="B23" s="212" t="str">
        <f>COMPOSICIÓN!B23</f>
        <v>MO</v>
      </c>
      <c r="C23" s="212" t="str">
        <f>COMPOSICIÓN!C23</f>
        <v>ALB</v>
      </c>
      <c r="D23" s="212" t="str">
        <f>COMPOSICIÓN!D23</f>
        <v>MO-EESPE</v>
      </c>
      <c r="E23" s="212" t="str">
        <f>COMPOSICIÓN!E23</f>
        <v>ESPECIALIZADO</v>
      </c>
      <c r="F23" s="212" t="str">
        <f>COMPOSICIÓN!F23</f>
        <v>j</v>
      </c>
      <c r="G23" s="213">
        <f>COMPOSICIÓN!G23</f>
        <v>1</v>
      </c>
      <c r="H23" s="214">
        <f>COMPOSICIÓN!H23</f>
        <v>0</v>
      </c>
      <c r="I23" s="215">
        <f>COMPOSICIÓN!I23</f>
        <v>85927.097156571996</v>
      </c>
      <c r="J23" s="212" t="str">
        <f>IFERROR(VLOOKUP(A23,PARTIDAS!$A$2:$C$269,3,FALSE()),"")</f>
        <v>MAMPOSTERÍA</v>
      </c>
      <c r="K23" s="212" t="str">
        <f>IFERROR(INDEX(PPTO_GENERADOR!$B$4:$B$220,MATCH(A23,PPTO_GENERADOR!$Q$4:$Q$220,0)),"")</f>
        <v/>
      </c>
      <c r="L23" s="216">
        <f>IF(PLAN_ETAPA!$C$4="(TODOS)",SUMIFS(PPTO_GENERADOR!$E$4:$E$220,PPTO_GENERADOR!$Q$4:$Q$220,A23),SUMIFS(PPTO_GENERADOR!$E$4:$E$220,PPTO_GENERADOR!$Q$4:$Q$220,A23,PPTO_GENERADOR!$B$4:$B$220,PLAN_ETAPA!$C$4))</f>
        <v>0</v>
      </c>
      <c r="M23" s="216">
        <f>IFERROR(VLOOKUP(A23,PARTIDAS!$A$2:$F$269,6,FALSE()),1)</f>
        <v>7</v>
      </c>
      <c r="N23" s="216">
        <f>IFERROR(VLOOKUP(A23,PARTIDAS!$A$2:$I$269,9,FALSE()),1)</f>
        <v>1</v>
      </c>
      <c r="O23" s="217">
        <f t="shared" si="0"/>
        <v>0</v>
      </c>
      <c r="P23" s="216">
        <f>IF(O23=0,0,IF(B23="MAT",G23*(1+H23)*L23*PLAN_ETAPA!$C$5,IF(B23="MO",IF(M23=0,0,G23*L23*PLAN_ETAPA!$C$5*N23/M23),IF(B23="EQ",IF(M23=0,0,G23*L23*PLAN_ETAPA!$C$5/M23),0))))</f>
        <v>0</v>
      </c>
      <c r="Q23" s="218">
        <f t="shared" si="1"/>
        <v>0</v>
      </c>
    </row>
    <row r="24" spans="1:17" x14ac:dyDescent="0.35">
      <c r="A24" s="212" t="str">
        <f>COMPOSICIÓN!A24</f>
        <v>ALB-034</v>
      </c>
      <c r="B24" s="212" t="str">
        <f>COMPOSICIÓN!B24</f>
        <v>EQ</v>
      </c>
      <c r="C24" s="212">
        <f>COMPOSICIÓN!C24</f>
        <v>0</v>
      </c>
      <c r="D24" s="212" t="str">
        <f>COMPOSICIÓN!D24</f>
        <v>EQ-ANDAM0</v>
      </c>
      <c r="E24" s="212" t="str">
        <f>COMPOSICIÓN!E24</f>
        <v>ANDAMIO TUBULAR DE UNO A TRES CUERPOS</v>
      </c>
      <c r="F24" s="212">
        <f>COMPOSICIÓN!F24</f>
        <v>0</v>
      </c>
      <c r="G24" s="213">
        <f>COMPOSICIÓN!G24</f>
        <v>0.5</v>
      </c>
      <c r="H24" s="214">
        <f>COMPOSICIÓN!H24</f>
        <v>0</v>
      </c>
      <c r="I24" s="215">
        <f>COMPOSICIÓN!I24</f>
        <v>571.1794909807611</v>
      </c>
      <c r="J24" s="212" t="str">
        <f>IFERROR(VLOOKUP(A24,PARTIDAS!$A$2:$C$269,3,FALSE()),"")</f>
        <v>MAMPOSTERÍA</v>
      </c>
      <c r="K24" s="212" t="str">
        <f>IFERROR(INDEX(PPTO_GENERADOR!$B$4:$B$220,MATCH(A24,PPTO_GENERADOR!$Q$4:$Q$220,0)),"")</f>
        <v>MAMPOSTERÍA</v>
      </c>
      <c r="L24" s="216">
        <f>IF(PLAN_ETAPA!$C$4="(TODOS)",SUMIFS(PPTO_GENERADOR!$E$4:$E$220,PPTO_GENERADOR!$Q$4:$Q$220,A24),SUMIFS(PPTO_GENERADOR!$E$4:$E$220,PPTO_GENERADOR!$Q$4:$Q$220,A24,PPTO_GENERADOR!$B$4:$B$220,PLAN_ETAPA!$C$4))</f>
        <v>621</v>
      </c>
      <c r="M24" s="216">
        <f>IFERROR(VLOOKUP(A24,PARTIDAS!$A$2:$F$269,6,FALSE()),1)</f>
        <v>15</v>
      </c>
      <c r="N24" s="216">
        <f>IFERROR(VLOOKUP(A24,PARTIDAS!$A$2:$I$269,9,FALSE()),1)</f>
        <v>1</v>
      </c>
      <c r="O24" s="217">
        <f t="shared" si="0"/>
        <v>1</v>
      </c>
      <c r="P24" s="216">
        <f>IF(O24=0,0,IF(B24="MAT",G24*(1+H24)*L24*PLAN_ETAPA!$C$5,IF(B24="MO",IF(M24=0,0,G24*L24*PLAN_ETAPA!$C$5*N24/M24),IF(B24="EQ",IF(M24=0,0,G24*L24*PLAN_ETAPA!$C$5/M24),0))))</f>
        <v>20.7</v>
      </c>
      <c r="Q24" s="218">
        <f t="shared" si="1"/>
        <v>11823.415463301755</v>
      </c>
    </row>
    <row r="25" spans="1:17" x14ac:dyDescent="0.35">
      <c r="A25" s="212" t="str">
        <f>COMPOSICIÓN!A25</f>
        <v>ALB-034</v>
      </c>
      <c r="B25" s="212" t="str">
        <f>COMPOSICIÓN!B25</f>
        <v>EQ</v>
      </c>
      <c r="C25" s="212">
        <f>COMPOSICIÓN!C25</f>
        <v>0</v>
      </c>
      <c r="D25" s="212" t="str">
        <f>COMPOSICIÓN!D25</f>
        <v>EQ-EQALBA</v>
      </c>
      <c r="E25" s="212" t="str">
        <f>COMPOSICIÓN!E25</f>
        <v>EQUIPO DE ALBAÑILERIA, carpetas, ladrillo</v>
      </c>
      <c r="F25" s="212">
        <f>COMPOSICIÓN!F25</f>
        <v>0</v>
      </c>
      <c r="G25" s="213">
        <f>COMPOSICIÓN!G25</f>
        <v>1</v>
      </c>
      <c r="H25" s="214">
        <f>COMPOSICIÓN!H25</f>
        <v>0</v>
      </c>
      <c r="I25" s="215">
        <f>COMPOSICIÓN!I25</f>
        <v>2287.1357450968057</v>
      </c>
      <c r="J25" s="212" t="str">
        <f>IFERROR(VLOOKUP(A25,PARTIDAS!$A$2:$C$269,3,FALSE()),"")</f>
        <v>MAMPOSTERÍA</v>
      </c>
      <c r="K25" s="212" t="str">
        <f>IFERROR(INDEX(PPTO_GENERADOR!$B$4:$B$220,MATCH(A25,PPTO_GENERADOR!$Q$4:$Q$220,0)),"")</f>
        <v>MAMPOSTERÍA</v>
      </c>
      <c r="L25" s="216">
        <f>IF(PLAN_ETAPA!$C$4="(TODOS)",SUMIFS(PPTO_GENERADOR!$E$4:$E$220,PPTO_GENERADOR!$Q$4:$Q$220,A25),SUMIFS(PPTO_GENERADOR!$E$4:$E$220,PPTO_GENERADOR!$Q$4:$Q$220,A25,PPTO_GENERADOR!$B$4:$B$220,PLAN_ETAPA!$C$4))</f>
        <v>621</v>
      </c>
      <c r="M25" s="216">
        <f>IFERROR(VLOOKUP(A25,PARTIDAS!$A$2:$F$269,6,FALSE()),1)</f>
        <v>15</v>
      </c>
      <c r="N25" s="216">
        <f>IFERROR(VLOOKUP(A25,PARTIDAS!$A$2:$I$269,9,FALSE()),1)</f>
        <v>1</v>
      </c>
      <c r="O25" s="217">
        <f t="shared" si="0"/>
        <v>1</v>
      </c>
      <c r="P25" s="216">
        <f>IF(O25=0,0,IF(B25="MAT",G25*(1+H25)*L25*PLAN_ETAPA!$C$5,IF(B25="MO",IF(M25=0,0,G25*L25*PLAN_ETAPA!$C$5*N25/M25),IF(B25="EQ",IF(M25=0,0,G25*L25*PLAN_ETAPA!$C$5/M25),0))))</f>
        <v>41.4</v>
      </c>
      <c r="Q25" s="218">
        <f t="shared" si="1"/>
        <v>94687.419847007754</v>
      </c>
    </row>
    <row r="26" spans="1:17" x14ac:dyDescent="0.35">
      <c r="A26" s="212" t="str">
        <f>COMPOSICIÓN!A26</f>
        <v>ALB-034</v>
      </c>
      <c r="B26" s="212" t="str">
        <f>COMPOSICIÓN!B26</f>
        <v>EQ</v>
      </c>
      <c r="C26" s="212">
        <f>COMPOSICIÓN!C26</f>
        <v>0</v>
      </c>
      <c r="D26" s="212" t="str">
        <f>COMPOSICIÓN!D26</f>
        <v>EQ-TROMPO</v>
      </c>
      <c r="E26" s="212" t="str">
        <f>COMPOSICIÓN!E26</f>
        <v>Hormigonera De 150 Litros 1hp Con Rueda Maciza</v>
      </c>
      <c r="F26" s="212">
        <f>COMPOSICIÓN!F26</f>
        <v>0</v>
      </c>
      <c r="G26" s="213">
        <f>COMPOSICIÓN!G26</f>
        <v>1</v>
      </c>
      <c r="H26" s="214">
        <f>COMPOSICIÓN!H26</f>
        <v>0</v>
      </c>
      <c r="I26" s="215">
        <f>COMPOSICIÓN!I26</f>
        <v>957.25319614994726</v>
      </c>
      <c r="J26" s="212" t="str">
        <f>IFERROR(VLOOKUP(A26,PARTIDAS!$A$2:$C$269,3,FALSE()),"")</f>
        <v>MAMPOSTERÍA</v>
      </c>
      <c r="K26" s="212" t="str">
        <f>IFERROR(INDEX(PPTO_GENERADOR!$B$4:$B$220,MATCH(A26,PPTO_GENERADOR!$Q$4:$Q$220,0)),"")</f>
        <v>MAMPOSTERÍA</v>
      </c>
      <c r="L26" s="216">
        <f>IF(PLAN_ETAPA!$C$4="(TODOS)",SUMIFS(PPTO_GENERADOR!$E$4:$E$220,PPTO_GENERADOR!$Q$4:$Q$220,A26),SUMIFS(PPTO_GENERADOR!$E$4:$E$220,PPTO_GENERADOR!$Q$4:$Q$220,A26,PPTO_GENERADOR!$B$4:$B$220,PLAN_ETAPA!$C$4))</f>
        <v>621</v>
      </c>
      <c r="M26" s="216">
        <f>IFERROR(VLOOKUP(A26,PARTIDAS!$A$2:$F$269,6,FALSE()),1)</f>
        <v>15</v>
      </c>
      <c r="N26" s="216">
        <f>IFERROR(VLOOKUP(A26,PARTIDAS!$A$2:$I$269,9,FALSE()),1)</f>
        <v>1</v>
      </c>
      <c r="O26" s="217">
        <f t="shared" si="0"/>
        <v>1</v>
      </c>
      <c r="P26" s="216">
        <f>IF(O26=0,0,IF(B26="MAT",G26*(1+H26)*L26*PLAN_ETAPA!$C$5,IF(B26="MO",IF(M26=0,0,G26*L26*PLAN_ETAPA!$C$5*N26/M26),IF(B26="EQ",IF(M26=0,0,G26*L26*PLAN_ETAPA!$C$5/M26),0))))</f>
        <v>41.4</v>
      </c>
      <c r="Q26" s="218">
        <f t="shared" si="1"/>
        <v>39630.282320607817</v>
      </c>
    </row>
    <row r="27" spans="1:17" x14ac:dyDescent="0.35">
      <c r="A27" s="212" t="str">
        <f>COMPOSICIÓN!A27</f>
        <v>ALB-034</v>
      </c>
      <c r="B27" s="212" t="str">
        <f>COMPOSICIÓN!B27</f>
        <v>MAT</v>
      </c>
      <c r="C27" s="212" t="str">
        <f>COMPOSICIÓN!C27</f>
        <v>OTR</v>
      </c>
      <c r="D27" s="212" t="str">
        <f>COMPOSICIÓN!D27</f>
        <v>ACE-001</v>
      </c>
      <c r="E27" s="212" t="str">
        <f>COMPOSICIÓN!E27</f>
        <v>Barra de Acero Aleteado - 6mm x 12m</v>
      </c>
      <c r="F27" s="212" t="str">
        <f>COMPOSICIÓN!F27</f>
        <v>u</v>
      </c>
      <c r="G27" s="213">
        <f>COMPOSICIÓN!G27</f>
        <v>0.17</v>
      </c>
      <c r="H27" s="214">
        <f>COMPOSICIÓN!H27</f>
        <v>0.1</v>
      </c>
      <c r="I27" s="215">
        <f>COMPOSICIÓN!I27</f>
        <v>3424.53</v>
      </c>
      <c r="J27" s="212" t="str">
        <f>IFERROR(VLOOKUP(A27,PARTIDAS!$A$2:$C$269,3,FALSE()),"")</f>
        <v>MAMPOSTERÍA</v>
      </c>
      <c r="K27" s="212" t="str">
        <f>IFERROR(INDEX(PPTO_GENERADOR!$B$4:$B$220,MATCH(A27,PPTO_GENERADOR!$Q$4:$Q$220,0)),"")</f>
        <v>MAMPOSTERÍA</v>
      </c>
      <c r="L27" s="216">
        <f>IF(PLAN_ETAPA!$C$4="(TODOS)",SUMIFS(PPTO_GENERADOR!$E$4:$E$220,PPTO_GENERADOR!$Q$4:$Q$220,A27),SUMIFS(PPTO_GENERADOR!$E$4:$E$220,PPTO_GENERADOR!$Q$4:$Q$220,A27,PPTO_GENERADOR!$B$4:$B$220,PLAN_ETAPA!$C$4))</f>
        <v>621</v>
      </c>
      <c r="M27" s="216">
        <f>IFERROR(VLOOKUP(A27,PARTIDAS!$A$2:$F$269,6,FALSE()),1)</f>
        <v>15</v>
      </c>
      <c r="N27" s="216">
        <f>IFERROR(VLOOKUP(A27,PARTIDAS!$A$2:$I$269,9,FALSE()),1)</f>
        <v>1</v>
      </c>
      <c r="O27" s="217">
        <f t="shared" si="0"/>
        <v>1</v>
      </c>
      <c r="P27" s="216">
        <f>IF(O27=0,0,IF(B27="MAT",G27*(1+H27)*L27*PLAN_ETAPA!$C$5,IF(B27="MO",IF(M27=0,0,G27*L27*PLAN_ETAPA!$C$5*N27/M27),IF(B27="EQ",IF(M27=0,0,G27*L27*PLAN_ETAPA!$C$5/M27),0))))</f>
        <v>116.12700000000002</v>
      </c>
      <c r="Q27" s="218">
        <f t="shared" si="1"/>
        <v>397680.39531000011</v>
      </c>
    </row>
    <row r="28" spans="1:17" x14ac:dyDescent="0.35">
      <c r="A28" s="212" t="str">
        <f>COMPOSICIÓN!A28</f>
        <v>ALB-034</v>
      </c>
      <c r="B28" s="212" t="str">
        <f>COMPOSICIÓN!B28</f>
        <v>MAT</v>
      </c>
      <c r="C28" s="212" t="str">
        <f>COMPOSICIÓN!C28</f>
        <v>OTR</v>
      </c>
      <c r="D28" s="212" t="str">
        <f>COMPOSICIÓN!D28</f>
        <v>AGR-001</v>
      </c>
      <c r="E28" s="212" t="str">
        <f>COMPOSICIÓN!E28</f>
        <v>ARENA LAVADA</v>
      </c>
      <c r="F28" s="212" t="str">
        <f>COMPOSICIÓN!F28</f>
        <v>m3</v>
      </c>
      <c r="G28" s="213">
        <f>COMPOSICIÓN!G28</f>
        <v>1.2E-2</v>
      </c>
      <c r="H28" s="214">
        <f>COMPOSICIÓN!H28</f>
        <v>0.1</v>
      </c>
      <c r="I28" s="215">
        <f>COMPOSICIÓN!I28</f>
        <v>32399.77</v>
      </c>
      <c r="J28" s="212" t="str">
        <f>IFERROR(VLOOKUP(A28,PARTIDAS!$A$2:$C$269,3,FALSE()),"")</f>
        <v>MAMPOSTERÍA</v>
      </c>
      <c r="K28" s="212" t="str">
        <f>IFERROR(INDEX(PPTO_GENERADOR!$B$4:$B$220,MATCH(A28,PPTO_GENERADOR!$Q$4:$Q$220,0)),"")</f>
        <v>MAMPOSTERÍA</v>
      </c>
      <c r="L28" s="216">
        <f>IF(PLAN_ETAPA!$C$4="(TODOS)",SUMIFS(PPTO_GENERADOR!$E$4:$E$220,PPTO_GENERADOR!$Q$4:$Q$220,A28),SUMIFS(PPTO_GENERADOR!$E$4:$E$220,PPTO_GENERADOR!$Q$4:$Q$220,A28,PPTO_GENERADOR!$B$4:$B$220,PLAN_ETAPA!$C$4))</f>
        <v>621</v>
      </c>
      <c r="M28" s="216">
        <f>IFERROR(VLOOKUP(A28,PARTIDAS!$A$2:$F$269,6,FALSE()),1)</f>
        <v>15</v>
      </c>
      <c r="N28" s="216">
        <f>IFERROR(VLOOKUP(A28,PARTIDAS!$A$2:$I$269,9,FALSE()),1)</f>
        <v>1</v>
      </c>
      <c r="O28" s="217">
        <f t="shared" si="0"/>
        <v>1</v>
      </c>
      <c r="P28" s="216">
        <f>IF(O28=0,0,IF(B28="MAT",G28*(1+H28)*L28*PLAN_ETAPA!$C$5,IF(B28="MO",IF(M28=0,0,G28*L28*PLAN_ETAPA!$C$5*N28/M28),IF(B28="EQ",IF(M28=0,0,G28*L28*PLAN_ETAPA!$C$5/M28),0))))</f>
        <v>8.1972000000000005</v>
      </c>
      <c r="Q28" s="218">
        <f t="shared" si="1"/>
        <v>265587.39464400004</v>
      </c>
    </row>
    <row r="29" spans="1:17" x14ac:dyDescent="0.35">
      <c r="A29" s="212" t="str">
        <f>COMPOSICIÓN!A29</f>
        <v>ALB-034</v>
      </c>
      <c r="B29" s="212" t="str">
        <f>COMPOSICIÓN!B29</f>
        <v>MAT</v>
      </c>
      <c r="C29" s="212" t="str">
        <f>COMPOSICIÓN!C29</f>
        <v>OTR</v>
      </c>
      <c r="D29" s="212" t="str">
        <f>COMPOSICIÓN!D29</f>
        <v>AGR-004</v>
      </c>
      <c r="E29" s="212" t="str">
        <f>COMPOSICIÓN!E29</f>
        <v>Cemento Portland x 50kg</v>
      </c>
      <c r="F29" s="212" t="str">
        <f>COMPOSICIÓN!F29</f>
        <v>Bol</v>
      </c>
      <c r="G29" s="213">
        <f>COMPOSICIÓN!G29</f>
        <v>0.05</v>
      </c>
      <c r="H29" s="214">
        <f>COMPOSICIÓN!H29</f>
        <v>0.1</v>
      </c>
      <c r="I29" s="215">
        <f>COMPOSICIÓN!I29</f>
        <v>7809.48</v>
      </c>
      <c r="J29" s="212" t="str">
        <f>IFERROR(VLOOKUP(A29,PARTIDAS!$A$2:$C$269,3,FALSE()),"")</f>
        <v>MAMPOSTERÍA</v>
      </c>
      <c r="K29" s="212" t="str">
        <f>IFERROR(INDEX(PPTO_GENERADOR!$B$4:$B$220,MATCH(A29,PPTO_GENERADOR!$Q$4:$Q$220,0)),"")</f>
        <v>MAMPOSTERÍA</v>
      </c>
      <c r="L29" s="216">
        <f>IF(PLAN_ETAPA!$C$4="(TODOS)",SUMIFS(PPTO_GENERADOR!$E$4:$E$220,PPTO_GENERADOR!$Q$4:$Q$220,A29),SUMIFS(PPTO_GENERADOR!$E$4:$E$220,PPTO_GENERADOR!$Q$4:$Q$220,A29,PPTO_GENERADOR!$B$4:$B$220,PLAN_ETAPA!$C$4))</f>
        <v>621</v>
      </c>
      <c r="M29" s="216">
        <f>IFERROR(VLOOKUP(A29,PARTIDAS!$A$2:$F$269,6,FALSE()),1)</f>
        <v>15</v>
      </c>
      <c r="N29" s="216">
        <f>IFERROR(VLOOKUP(A29,PARTIDAS!$A$2:$I$269,9,FALSE()),1)</f>
        <v>1</v>
      </c>
      <c r="O29" s="217">
        <f t="shared" si="0"/>
        <v>1</v>
      </c>
      <c r="P29" s="216">
        <f>IF(O29=0,0,IF(B29="MAT",G29*(1+H29)*L29*PLAN_ETAPA!$C$5,IF(B29="MO",IF(M29=0,0,G29*L29*PLAN_ETAPA!$C$5*N29/M29),IF(B29="EQ",IF(M29=0,0,G29*L29*PLAN_ETAPA!$C$5/M29),0))))</f>
        <v>34.155000000000001</v>
      </c>
      <c r="Q29" s="218">
        <f t="shared" si="1"/>
        <v>266732.78940000001</v>
      </c>
    </row>
    <row r="30" spans="1:17" x14ac:dyDescent="0.35">
      <c r="A30" s="212" t="str">
        <f>COMPOSICIÓN!A30</f>
        <v>ALB-034</v>
      </c>
      <c r="B30" s="212" t="str">
        <f>COMPOSICIÓN!B30</f>
        <v>MAT</v>
      </c>
      <c r="C30" s="212" t="str">
        <f>COMPOSICIÓN!C30</f>
        <v>OTR</v>
      </c>
      <c r="D30" s="212" t="str">
        <f>COMPOSICIÓN!D30</f>
        <v>AGR-005</v>
      </c>
      <c r="E30" s="212" t="str">
        <f>COMPOSICIÓN!E30</f>
        <v>Cal Comun x 25kg</v>
      </c>
      <c r="F30" s="212" t="str">
        <f>COMPOSICIÓN!F30</f>
        <v>bol</v>
      </c>
      <c r="G30" s="213">
        <f>COMPOSICIÓN!G30</f>
        <v>0.1</v>
      </c>
      <c r="H30" s="214">
        <f>COMPOSICIÓN!H30</f>
        <v>0.1</v>
      </c>
      <c r="I30" s="215">
        <f>COMPOSICIÓN!I30</f>
        <v>3837.96</v>
      </c>
      <c r="J30" s="212" t="str">
        <f>IFERROR(VLOOKUP(A30,PARTIDAS!$A$2:$C$269,3,FALSE()),"")</f>
        <v>MAMPOSTERÍA</v>
      </c>
      <c r="K30" s="212" t="str">
        <f>IFERROR(INDEX(PPTO_GENERADOR!$B$4:$B$220,MATCH(A30,PPTO_GENERADOR!$Q$4:$Q$220,0)),"")</f>
        <v>MAMPOSTERÍA</v>
      </c>
      <c r="L30" s="216">
        <f>IF(PLAN_ETAPA!$C$4="(TODOS)",SUMIFS(PPTO_GENERADOR!$E$4:$E$220,PPTO_GENERADOR!$Q$4:$Q$220,A30),SUMIFS(PPTO_GENERADOR!$E$4:$E$220,PPTO_GENERADOR!$Q$4:$Q$220,A30,PPTO_GENERADOR!$B$4:$B$220,PLAN_ETAPA!$C$4))</f>
        <v>621</v>
      </c>
      <c r="M30" s="216">
        <f>IFERROR(VLOOKUP(A30,PARTIDAS!$A$2:$F$269,6,FALSE()),1)</f>
        <v>15</v>
      </c>
      <c r="N30" s="216">
        <f>IFERROR(VLOOKUP(A30,PARTIDAS!$A$2:$I$269,9,FALSE()),1)</f>
        <v>1</v>
      </c>
      <c r="O30" s="217">
        <f t="shared" si="0"/>
        <v>1</v>
      </c>
      <c r="P30" s="216">
        <f>IF(O30=0,0,IF(B30="MAT",G30*(1+H30)*L30*PLAN_ETAPA!$C$5,IF(B30="MO",IF(M30=0,0,G30*L30*PLAN_ETAPA!$C$5*N30/M30),IF(B30="EQ",IF(M30=0,0,G30*L30*PLAN_ETAPA!$C$5/M30),0))))</f>
        <v>68.31</v>
      </c>
      <c r="Q30" s="218">
        <f t="shared" si="1"/>
        <v>262171.04759999999</v>
      </c>
    </row>
    <row r="31" spans="1:17" x14ac:dyDescent="0.35">
      <c r="A31" s="212" t="str">
        <f>COMPOSICIÓN!A31</f>
        <v>ALB-034</v>
      </c>
      <c r="B31" s="212" t="str">
        <f>COMPOSICIÓN!B31</f>
        <v>MAT</v>
      </c>
      <c r="C31" s="212" t="str">
        <f>COMPOSICIÓN!C31</f>
        <v>OTR</v>
      </c>
      <c r="D31" s="212" t="str">
        <f>COMPOSICIÓN!D31</f>
        <v>CER-002</v>
      </c>
      <c r="E31" s="212" t="str">
        <f>COMPOSICIÓN!E31</f>
        <v>LADRILLO CERAMICO 8 x 18 x 33 cm</v>
      </c>
      <c r="F31" s="212" t="str">
        <f>COMPOSICIÓN!F31</f>
        <v>u</v>
      </c>
      <c r="G31" s="213">
        <f>COMPOSICIÓN!G31</f>
        <v>15</v>
      </c>
      <c r="H31" s="214">
        <f>COMPOSICIÓN!H31</f>
        <v>0.05</v>
      </c>
      <c r="I31" s="215">
        <f>COMPOSICIÓN!I31</f>
        <v>292.32</v>
      </c>
      <c r="J31" s="212" t="str">
        <f>IFERROR(VLOOKUP(A31,PARTIDAS!$A$2:$C$269,3,FALSE()),"")</f>
        <v>MAMPOSTERÍA</v>
      </c>
      <c r="K31" s="212" t="str">
        <f>IFERROR(INDEX(PPTO_GENERADOR!$B$4:$B$220,MATCH(A31,PPTO_GENERADOR!$Q$4:$Q$220,0)),"")</f>
        <v>MAMPOSTERÍA</v>
      </c>
      <c r="L31" s="216">
        <f>IF(PLAN_ETAPA!$C$4="(TODOS)",SUMIFS(PPTO_GENERADOR!$E$4:$E$220,PPTO_GENERADOR!$Q$4:$Q$220,A31),SUMIFS(PPTO_GENERADOR!$E$4:$E$220,PPTO_GENERADOR!$Q$4:$Q$220,A31,PPTO_GENERADOR!$B$4:$B$220,PLAN_ETAPA!$C$4))</f>
        <v>621</v>
      </c>
      <c r="M31" s="216">
        <f>IFERROR(VLOOKUP(A31,PARTIDAS!$A$2:$F$269,6,FALSE()),1)</f>
        <v>15</v>
      </c>
      <c r="N31" s="216">
        <f>IFERROR(VLOOKUP(A31,PARTIDAS!$A$2:$I$269,9,FALSE()),1)</f>
        <v>1</v>
      </c>
      <c r="O31" s="217">
        <f t="shared" si="0"/>
        <v>1</v>
      </c>
      <c r="P31" s="216">
        <f>IF(O31=0,0,IF(B31="MAT",G31*(1+H31)*L31*PLAN_ETAPA!$C$5,IF(B31="MO",IF(M31=0,0,G31*L31*PLAN_ETAPA!$C$5*N31/M31),IF(B31="EQ",IF(M31=0,0,G31*L31*PLAN_ETAPA!$C$5/M31),0))))</f>
        <v>9780.75</v>
      </c>
      <c r="Q31" s="218">
        <f t="shared" si="1"/>
        <v>2859108.84</v>
      </c>
    </row>
    <row r="32" spans="1:17" x14ac:dyDescent="0.35">
      <c r="A32" s="212" t="str">
        <f>COMPOSICIÓN!A32</f>
        <v>ALB-034</v>
      </c>
      <c r="B32" s="212" t="str">
        <f>COMPOSICIÓN!B32</f>
        <v>MAT</v>
      </c>
      <c r="C32" s="212" t="str">
        <f>COMPOSICIÓN!C32</f>
        <v>OTR</v>
      </c>
      <c r="D32" s="212" t="str">
        <f>COMPOSICIÓN!D32</f>
        <v>MAT-CONS</v>
      </c>
      <c r="E32" s="212" t="str">
        <f>COMPOSICIÓN!E32</f>
        <v>Consumibles</v>
      </c>
      <c r="F32" s="212" t="str">
        <f>COMPOSICIÓN!F32</f>
        <v>gl</v>
      </c>
      <c r="G32" s="213">
        <f>COMPOSICIÓN!G32</f>
        <v>67.195151062199997</v>
      </c>
      <c r="H32" s="214">
        <f>COMPOSICIÓN!H32</f>
        <v>0</v>
      </c>
      <c r="I32" s="215">
        <f>COMPOSICIÓN!I32</f>
        <v>1</v>
      </c>
      <c r="J32" s="212" t="str">
        <f>IFERROR(VLOOKUP(A32,PARTIDAS!$A$2:$C$269,3,FALSE()),"")</f>
        <v>MAMPOSTERÍA</v>
      </c>
      <c r="K32" s="212" t="str">
        <f>IFERROR(INDEX(PPTO_GENERADOR!$B$4:$B$220,MATCH(A32,PPTO_GENERADOR!$Q$4:$Q$220,0)),"")</f>
        <v>MAMPOSTERÍA</v>
      </c>
      <c r="L32" s="216">
        <f>IF(PLAN_ETAPA!$C$4="(TODOS)",SUMIFS(PPTO_GENERADOR!$E$4:$E$220,PPTO_GENERADOR!$Q$4:$Q$220,A32),SUMIFS(PPTO_GENERADOR!$E$4:$E$220,PPTO_GENERADOR!$Q$4:$Q$220,A32,PPTO_GENERADOR!$B$4:$B$220,PLAN_ETAPA!$C$4))</f>
        <v>621</v>
      </c>
      <c r="M32" s="216">
        <f>IFERROR(VLOOKUP(A32,PARTIDAS!$A$2:$F$269,6,FALSE()),1)</f>
        <v>15</v>
      </c>
      <c r="N32" s="216">
        <f>IFERROR(VLOOKUP(A32,PARTIDAS!$A$2:$I$269,9,FALSE()),1)</f>
        <v>1</v>
      </c>
      <c r="O32" s="217">
        <f t="shared" si="0"/>
        <v>1</v>
      </c>
      <c r="P32" s="216">
        <f>IF(O32=0,0,IF(B32="MAT",G32*(1+H32)*L32*PLAN_ETAPA!$C$5,IF(B32="MO",IF(M32=0,0,G32*L32*PLAN_ETAPA!$C$5*N32/M32),IF(B32="EQ",IF(M32=0,0,G32*L32*PLAN_ETAPA!$C$5/M32),0))))</f>
        <v>41728.188809626197</v>
      </c>
      <c r="Q32" s="218">
        <f t="shared" si="1"/>
        <v>41728.188809626197</v>
      </c>
    </row>
    <row r="33" spans="1:17" x14ac:dyDescent="0.35">
      <c r="A33" s="212" t="str">
        <f>COMPOSICIÓN!A33</f>
        <v>ALB-034</v>
      </c>
      <c r="B33" s="212" t="str">
        <f>COMPOSICIÓN!B33</f>
        <v>MO</v>
      </c>
      <c r="C33" s="212" t="str">
        <f>COMPOSICIÓN!C33</f>
        <v>ALB</v>
      </c>
      <c r="D33" s="212" t="str">
        <f>COMPOSICIÓN!D33</f>
        <v>MO-EAYUD</v>
      </c>
      <c r="E33" s="212" t="str">
        <f>COMPOSICIÓN!E33</f>
        <v>AYUDANTE</v>
      </c>
      <c r="F33" s="212" t="str">
        <f>COMPOSICIÓN!F33</f>
        <v>j</v>
      </c>
      <c r="G33" s="213">
        <f>COMPOSICIÓN!G33</f>
        <v>1</v>
      </c>
      <c r="H33" s="214">
        <f>COMPOSICIÓN!H33</f>
        <v>0</v>
      </c>
      <c r="I33" s="215">
        <f>COMPOSICIÓN!I33</f>
        <v>60860.580776572002</v>
      </c>
      <c r="J33" s="212" t="str">
        <f>IFERROR(VLOOKUP(A33,PARTIDAS!$A$2:$C$269,3,FALSE()),"")</f>
        <v>MAMPOSTERÍA</v>
      </c>
      <c r="K33" s="212" t="str">
        <f>IFERROR(INDEX(PPTO_GENERADOR!$B$4:$B$220,MATCH(A33,PPTO_GENERADOR!$Q$4:$Q$220,0)),"")</f>
        <v>MAMPOSTERÍA</v>
      </c>
      <c r="L33" s="216">
        <f>IF(PLAN_ETAPA!$C$4="(TODOS)",SUMIFS(PPTO_GENERADOR!$E$4:$E$220,PPTO_GENERADOR!$Q$4:$Q$220,A33),SUMIFS(PPTO_GENERADOR!$E$4:$E$220,PPTO_GENERADOR!$Q$4:$Q$220,A33,PPTO_GENERADOR!$B$4:$B$220,PLAN_ETAPA!$C$4))</f>
        <v>621</v>
      </c>
      <c r="M33" s="216">
        <f>IFERROR(VLOOKUP(A33,PARTIDAS!$A$2:$F$269,6,FALSE()),1)</f>
        <v>15</v>
      </c>
      <c r="N33" s="216">
        <f>IFERROR(VLOOKUP(A33,PARTIDAS!$A$2:$I$269,9,FALSE()),1)</f>
        <v>1</v>
      </c>
      <c r="O33" s="217">
        <f t="shared" si="0"/>
        <v>1</v>
      </c>
      <c r="P33" s="216">
        <f>IF(O33=0,0,IF(B33="MAT",G33*(1+H33)*L33*PLAN_ETAPA!$C$5,IF(B33="MO",IF(M33=0,0,G33*L33*PLAN_ETAPA!$C$5*N33/M33),IF(B33="EQ",IF(M33=0,0,G33*L33*PLAN_ETAPA!$C$5/M33),0))))</f>
        <v>41.4</v>
      </c>
      <c r="Q33" s="218">
        <f t="shared" si="1"/>
        <v>2519628.044150081</v>
      </c>
    </row>
    <row r="34" spans="1:17" x14ac:dyDescent="0.35">
      <c r="A34" s="212" t="str">
        <f>COMPOSICIÓN!A34</f>
        <v>ALB-034</v>
      </c>
      <c r="B34" s="212" t="str">
        <f>COMPOSICIÓN!B34</f>
        <v>MO</v>
      </c>
      <c r="C34" s="212" t="str">
        <f>COMPOSICIÓN!C34</f>
        <v>ALB</v>
      </c>
      <c r="D34" s="212" t="str">
        <f>COMPOSICIÓN!D34</f>
        <v>MO-EESPE</v>
      </c>
      <c r="E34" s="212" t="str">
        <f>COMPOSICIÓN!E34</f>
        <v>ESPECIALIZADO</v>
      </c>
      <c r="F34" s="212" t="str">
        <f>COMPOSICIÓN!F34</f>
        <v>j</v>
      </c>
      <c r="G34" s="213">
        <f>COMPOSICIÓN!G34</f>
        <v>1</v>
      </c>
      <c r="H34" s="214">
        <f>COMPOSICIÓN!H34</f>
        <v>0</v>
      </c>
      <c r="I34" s="215">
        <f>COMPOSICIÓN!I34</f>
        <v>85927.097156571996</v>
      </c>
      <c r="J34" s="212" t="str">
        <f>IFERROR(VLOOKUP(A34,PARTIDAS!$A$2:$C$269,3,FALSE()),"")</f>
        <v>MAMPOSTERÍA</v>
      </c>
      <c r="K34" s="212" t="str">
        <f>IFERROR(INDEX(PPTO_GENERADOR!$B$4:$B$220,MATCH(A34,PPTO_GENERADOR!$Q$4:$Q$220,0)),"")</f>
        <v>MAMPOSTERÍA</v>
      </c>
      <c r="L34" s="216">
        <f>IF(PLAN_ETAPA!$C$4="(TODOS)",SUMIFS(PPTO_GENERADOR!$E$4:$E$220,PPTO_GENERADOR!$Q$4:$Q$220,A34),SUMIFS(PPTO_GENERADOR!$E$4:$E$220,PPTO_GENERADOR!$Q$4:$Q$220,A34,PPTO_GENERADOR!$B$4:$B$220,PLAN_ETAPA!$C$4))</f>
        <v>621</v>
      </c>
      <c r="M34" s="216">
        <f>IFERROR(VLOOKUP(A34,PARTIDAS!$A$2:$F$269,6,FALSE()),1)</f>
        <v>15</v>
      </c>
      <c r="N34" s="216">
        <f>IFERROR(VLOOKUP(A34,PARTIDAS!$A$2:$I$269,9,FALSE()),1)</f>
        <v>1</v>
      </c>
      <c r="O34" s="217">
        <f t="shared" si="0"/>
        <v>1</v>
      </c>
      <c r="P34" s="216">
        <f>IF(O34=0,0,IF(B34="MAT",G34*(1+H34)*L34*PLAN_ETAPA!$C$5,IF(B34="MO",IF(M34=0,0,G34*L34*PLAN_ETAPA!$C$5*N34/M34),IF(B34="EQ",IF(M34=0,0,G34*L34*PLAN_ETAPA!$C$5/M34),0))))</f>
        <v>41.4</v>
      </c>
      <c r="Q34" s="218">
        <f t="shared" si="1"/>
        <v>3557381.8222820805</v>
      </c>
    </row>
    <row r="35" spans="1:17" x14ac:dyDescent="0.35">
      <c r="A35" s="212" t="str">
        <f>COMPOSICIÓN!A35</f>
        <v>ALB-035</v>
      </c>
      <c r="B35" s="212" t="str">
        <f>COMPOSICIÓN!B35</f>
        <v>EQ</v>
      </c>
      <c r="C35" s="212">
        <f>COMPOSICIÓN!C35</f>
        <v>0</v>
      </c>
      <c r="D35" s="212" t="str">
        <f>COMPOSICIÓN!D35</f>
        <v>EQ-ANDAM0</v>
      </c>
      <c r="E35" s="212" t="str">
        <f>COMPOSICIÓN!E35</f>
        <v>ANDAMIO TUBULAR DE UNO A TRES CUERPOS</v>
      </c>
      <c r="F35" s="212">
        <f>COMPOSICIÓN!F35</f>
        <v>0</v>
      </c>
      <c r="G35" s="213">
        <f>COMPOSICIÓN!G35</f>
        <v>0.5</v>
      </c>
      <c r="H35" s="214">
        <f>COMPOSICIÓN!H35</f>
        <v>0</v>
      </c>
      <c r="I35" s="215">
        <f>COMPOSICIÓN!I35</f>
        <v>571.1794909807611</v>
      </c>
      <c r="J35" s="212" t="str">
        <f>IFERROR(VLOOKUP(A35,PARTIDAS!$A$2:$C$269,3,FALSE()),"")</f>
        <v>MAMPOSTERÍA</v>
      </c>
      <c r="K35" s="212" t="str">
        <f>IFERROR(INDEX(PPTO_GENERADOR!$B$4:$B$220,MATCH(A35,PPTO_GENERADOR!$Q$4:$Q$220,0)),"")</f>
        <v>MAMPOSTERÍA</v>
      </c>
      <c r="L35" s="216">
        <f>IF(PLAN_ETAPA!$C$4="(TODOS)",SUMIFS(PPTO_GENERADOR!$E$4:$E$220,PPTO_GENERADOR!$Q$4:$Q$220,A35),SUMIFS(PPTO_GENERADOR!$E$4:$E$220,PPTO_GENERADOR!$Q$4:$Q$220,A35,PPTO_GENERADOR!$B$4:$B$220,PLAN_ETAPA!$C$4))</f>
        <v>780</v>
      </c>
      <c r="M35" s="216">
        <f>IFERROR(VLOOKUP(A35,PARTIDAS!$A$2:$F$269,6,FALSE()),1)</f>
        <v>15</v>
      </c>
      <c r="N35" s="216">
        <f>IFERROR(VLOOKUP(A35,PARTIDAS!$A$2:$I$269,9,FALSE()),1)</f>
        <v>1</v>
      </c>
      <c r="O35" s="217">
        <f t="shared" si="0"/>
        <v>1</v>
      </c>
      <c r="P35" s="216">
        <f>IF(O35=0,0,IF(B35="MAT",G35*(1+H35)*L35*PLAN_ETAPA!$C$5,IF(B35="MO",IF(M35=0,0,G35*L35*PLAN_ETAPA!$C$5*N35/M35),IF(B35="EQ",IF(M35=0,0,G35*L35*PLAN_ETAPA!$C$5/M35),0))))</f>
        <v>26</v>
      </c>
      <c r="Q35" s="218">
        <f t="shared" si="1"/>
        <v>14850.666765499789</v>
      </c>
    </row>
    <row r="36" spans="1:17" x14ac:dyDescent="0.35">
      <c r="A36" s="212" t="str">
        <f>COMPOSICIÓN!A36</f>
        <v>ALB-035</v>
      </c>
      <c r="B36" s="212" t="str">
        <f>COMPOSICIÓN!B36</f>
        <v>EQ</v>
      </c>
      <c r="C36" s="212">
        <f>COMPOSICIÓN!C36</f>
        <v>0</v>
      </c>
      <c r="D36" s="212" t="str">
        <f>COMPOSICIÓN!D36</f>
        <v>EQ-EQALBA</v>
      </c>
      <c r="E36" s="212" t="str">
        <f>COMPOSICIÓN!E36</f>
        <v>EQUIPO DE ALBAÑILERIA, carpetas, ladrillo</v>
      </c>
      <c r="F36" s="212">
        <f>COMPOSICIÓN!F36</f>
        <v>0</v>
      </c>
      <c r="G36" s="213">
        <f>COMPOSICIÓN!G36</f>
        <v>1</v>
      </c>
      <c r="H36" s="214">
        <f>COMPOSICIÓN!H36</f>
        <v>0</v>
      </c>
      <c r="I36" s="215">
        <f>COMPOSICIÓN!I36</f>
        <v>2287.1357450968057</v>
      </c>
      <c r="J36" s="212" t="str">
        <f>IFERROR(VLOOKUP(A36,PARTIDAS!$A$2:$C$269,3,FALSE()),"")</f>
        <v>MAMPOSTERÍA</v>
      </c>
      <c r="K36" s="212" t="str">
        <f>IFERROR(INDEX(PPTO_GENERADOR!$B$4:$B$220,MATCH(A36,PPTO_GENERADOR!$Q$4:$Q$220,0)),"")</f>
        <v>MAMPOSTERÍA</v>
      </c>
      <c r="L36" s="216">
        <f>IF(PLAN_ETAPA!$C$4="(TODOS)",SUMIFS(PPTO_GENERADOR!$E$4:$E$220,PPTO_GENERADOR!$Q$4:$Q$220,A36),SUMIFS(PPTO_GENERADOR!$E$4:$E$220,PPTO_GENERADOR!$Q$4:$Q$220,A36,PPTO_GENERADOR!$B$4:$B$220,PLAN_ETAPA!$C$4))</f>
        <v>780</v>
      </c>
      <c r="M36" s="216">
        <f>IFERROR(VLOOKUP(A36,PARTIDAS!$A$2:$F$269,6,FALSE()),1)</f>
        <v>15</v>
      </c>
      <c r="N36" s="216">
        <f>IFERROR(VLOOKUP(A36,PARTIDAS!$A$2:$I$269,9,FALSE()),1)</f>
        <v>1</v>
      </c>
      <c r="O36" s="217">
        <f t="shared" si="0"/>
        <v>1</v>
      </c>
      <c r="P36" s="216">
        <f>IF(O36=0,0,IF(B36="MAT",G36*(1+H36)*L36*PLAN_ETAPA!$C$5,IF(B36="MO",IF(M36=0,0,G36*L36*PLAN_ETAPA!$C$5*N36/M36),IF(B36="EQ",IF(M36=0,0,G36*L36*PLAN_ETAPA!$C$5/M36),0))))</f>
        <v>52</v>
      </c>
      <c r="Q36" s="218">
        <f t="shared" si="1"/>
        <v>118931.05874503389</v>
      </c>
    </row>
    <row r="37" spans="1:17" x14ac:dyDescent="0.35">
      <c r="A37" s="212" t="str">
        <f>COMPOSICIÓN!A37</f>
        <v>ALB-035</v>
      </c>
      <c r="B37" s="212" t="str">
        <f>COMPOSICIÓN!B37</f>
        <v>EQ</v>
      </c>
      <c r="C37" s="212">
        <f>COMPOSICIÓN!C37</f>
        <v>0</v>
      </c>
      <c r="D37" s="212" t="str">
        <f>COMPOSICIÓN!D37</f>
        <v>EQ-TROMPO</v>
      </c>
      <c r="E37" s="212" t="str">
        <f>COMPOSICIÓN!E37</f>
        <v>Hormigonera De 150 Litros 1hp Con Rueda Maciza</v>
      </c>
      <c r="F37" s="212">
        <f>COMPOSICIÓN!F37</f>
        <v>0</v>
      </c>
      <c r="G37" s="213">
        <f>COMPOSICIÓN!G37</f>
        <v>1</v>
      </c>
      <c r="H37" s="214">
        <f>COMPOSICIÓN!H37</f>
        <v>0</v>
      </c>
      <c r="I37" s="215">
        <f>COMPOSICIÓN!I37</f>
        <v>957.25319614994726</v>
      </c>
      <c r="J37" s="212" t="str">
        <f>IFERROR(VLOOKUP(A37,PARTIDAS!$A$2:$C$269,3,FALSE()),"")</f>
        <v>MAMPOSTERÍA</v>
      </c>
      <c r="K37" s="212" t="str">
        <f>IFERROR(INDEX(PPTO_GENERADOR!$B$4:$B$220,MATCH(A37,PPTO_GENERADOR!$Q$4:$Q$220,0)),"")</f>
        <v>MAMPOSTERÍA</v>
      </c>
      <c r="L37" s="216">
        <f>IF(PLAN_ETAPA!$C$4="(TODOS)",SUMIFS(PPTO_GENERADOR!$E$4:$E$220,PPTO_GENERADOR!$Q$4:$Q$220,A37),SUMIFS(PPTO_GENERADOR!$E$4:$E$220,PPTO_GENERADOR!$Q$4:$Q$220,A37,PPTO_GENERADOR!$B$4:$B$220,PLAN_ETAPA!$C$4))</f>
        <v>780</v>
      </c>
      <c r="M37" s="216">
        <f>IFERROR(VLOOKUP(A37,PARTIDAS!$A$2:$F$269,6,FALSE()),1)</f>
        <v>15</v>
      </c>
      <c r="N37" s="216">
        <f>IFERROR(VLOOKUP(A37,PARTIDAS!$A$2:$I$269,9,FALSE()),1)</f>
        <v>1</v>
      </c>
      <c r="O37" s="217">
        <f t="shared" si="0"/>
        <v>1</v>
      </c>
      <c r="P37" s="216">
        <f>IF(O37=0,0,IF(B37="MAT",G37*(1+H37)*L37*PLAN_ETAPA!$C$5,IF(B37="MO",IF(M37=0,0,G37*L37*PLAN_ETAPA!$C$5*N37/M37),IF(B37="EQ",IF(M37=0,0,G37*L37*PLAN_ETAPA!$C$5/M37),0))))</f>
        <v>52</v>
      </c>
      <c r="Q37" s="218">
        <f t="shared" si="1"/>
        <v>49777.166199797255</v>
      </c>
    </row>
    <row r="38" spans="1:17" x14ac:dyDescent="0.35">
      <c r="A38" s="212" t="str">
        <f>COMPOSICIÓN!A38</f>
        <v>ALB-035</v>
      </c>
      <c r="B38" s="212" t="str">
        <f>COMPOSICIÓN!B38</f>
        <v>MAT</v>
      </c>
      <c r="C38" s="212" t="str">
        <f>COMPOSICIÓN!C38</f>
        <v>OTR</v>
      </c>
      <c r="D38" s="212" t="str">
        <f>COMPOSICIÓN!D38</f>
        <v>ACE-001</v>
      </c>
      <c r="E38" s="212" t="str">
        <f>COMPOSICIÓN!E38</f>
        <v>Barra de Acero Aleteado - 6mm x 12m</v>
      </c>
      <c r="F38" s="212" t="str">
        <f>COMPOSICIÓN!F38</f>
        <v>u</v>
      </c>
      <c r="G38" s="213">
        <f>COMPOSICIÓN!G38</f>
        <v>0.17</v>
      </c>
      <c r="H38" s="214">
        <f>COMPOSICIÓN!H38</f>
        <v>0.1</v>
      </c>
      <c r="I38" s="215">
        <f>COMPOSICIÓN!I38</f>
        <v>3424.53</v>
      </c>
      <c r="J38" s="212" t="str">
        <f>IFERROR(VLOOKUP(A38,PARTIDAS!$A$2:$C$269,3,FALSE()),"")</f>
        <v>MAMPOSTERÍA</v>
      </c>
      <c r="K38" s="212" t="str">
        <f>IFERROR(INDEX(PPTO_GENERADOR!$B$4:$B$220,MATCH(A38,PPTO_GENERADOR!$Q$4:$Q$220,0)),"")</f>
        <v>MAMPOSTERÍA</v>
      </c>
      <c r="L38" s="216">
        <f>IF(PLAN_ETAPA!$C$4="(TODOS)",SUMIFS(PPTO_GENERADOR!$E$4:$E$220,PPTO_GENERADOR!$Q$4:$Q$220,A38),SUMIFS(PPTO_GENERADOR!$E$4:$E$220,PPTO_GENERADOR!$Q$4:$Q$220,A38,PPTO_GENERADOR!$B$4:$B$220,PLAN_ETAPA!$C$4))</f>
        <v>780</v>
      </c>
      <c r="M38" s="216">
        <f>IFERROR(VLOOKUP(A38,PARTIDAS!$A$2:$F$269,6,FALSE()),1)</f>
        <v>15</v>
      </c>
      <c r="N38" s="216">
        <f>IFERROR(VLOOKUP(A38,PARTIDAS!$A$2:$I$269,9,FALSE()),1)</f>
        <v>1</v>
      </c>
      <c r="O38" s="217">
        <f t="shared" si="0"/>
        <v>1</v>
      </c>
      <c r="P38" s="216">
        <f>IF(O38=0,0,IF(B38="MAT",G38*(1+H38)*L38*PLAN_ETAPA!$C$5,IF(B38="MO",IF(M38=0,0,G38*L38*PLAN_ETAPA!$C$5*N38/M38),IF(B38="EQ",IF(M38=0,0,G38*L38*PLAN_ETAPA!$C$5/M38),0))))</f>
        <v>145.86000000000001</v>
      </c>
      <c r="Q38" s="218">
        <f t="shared" si="1"/>
        <v>499501.9458000001</v>
      </c>
    </row>
    <row r="39" spans="1:17" x14ac:dyDescent="0.35">
      <c r="A39" s="212" t="str">
        <f>COMPOSICIÓN!A39</f>
        <v>ALB-035</v>
      </c>
      <c r="B39" s="212" t="str">
        <f>COMPOSICIÓN!B39</f>
        <v>MAT</v>
      </c>
      <c r="C39" s="212" t="str">
        <f>COMPOSICIÓN!C39</f>
        <v>OTR</v>
      </c>
      <c r="D39" s="212" t="str">
        <f>COMPOSICIÓN!D39</f>
        <v>AGR-001</v>
      </c>
      <c r="E39" s="212" t="str">
        <f>COMPOSICIÓN!E39</f>
        <v>ARENA LAVADA</v>
      </c>
      <c r="F39" s="212" t="str">
        <f>COMPOSICIÓN!F39</f>
        <v>m3</v>
      </c>
      <c r="G39" s="213">
        <f>COMPOSICIÓN!G39</f>
        <v>1.7999999999999999E-2</v>
      </c>
      <c r="H39" s="214">
        <f>COMPOSICIÓN!H39</f>
        <v>0.1</v>
      </c>
      <c r="I39" s="215">
        <f>COMPOSICIÓN!I39</f>
        <v>32399.77</v>
      </c>
      <c r="J39" s="212" t="str">
        <f>IFERROR(VLOOKUP(A39,PARTIDAS!$A$2:$C$269,3,FALSE()),"")</f>
        <v>MAMPOSTERÍA</v>
      </c>
      <c r="K39" s="212" t="str">
        <f>IFERROR(INDEX(PPTO_GENERADOR!$B$4:$B$220,MATCH(A39,PPTO_GENERADOR!$Q$4:$Q$220,0)),"")</f>
        <v>MAMPOSTERÍA</v>
      </c>
      <c r="L39" s="216">
        <f>IF(PLAN_ETAPA!$C$4="(TODOS)",SUMIFS(PPTO_GENERADOR!$E$4:$E$220,PPTO_GENERADOR!$Q$4:$Q$220,A39),SUMIFS(PPTO_GENERADOR!$E$4:$E$220,PPTO_GENERADOR!$Q$4:$Q$220,A39,PPTO_GENERADOR!$B$4:$B$220,PLAN_ETAPA!$C$4))</f>
        <v>780</v>
      </c>
      <c r="M39" s="216">
        <f>IFERROR(VLOOKUP(A39,PARTIDAS!$A$2:$F$269,6,FALSE()),1)</f>
        <v>15</v>
      </c>
      <c r="N39" s="216">
        <f>IFERROR(VLOOKUP(A39,PARTIDAS!$A$2:$I$269,9,FALSE()),1)</f>
        <v>1</v>
      </c>
      <c r="O39" s="217">
        <f t="shared" si="0"/>
        <v>1</v>
      </c>
      <c r="P39" s="216">
        <f>IF(O39=0,0,IF(B39="MAT",G39*(1+H39)*L39*PLAN_ETAPA!$C$5,IF(B39="MO",IF(M39=0,0,G39*L39*PLAN_ETAPA!$C$5*N39/M39),IF(B39="EQ",IF(M39=0,0,G39*L39*PLAN_ETAPA!$C$5/M39),0))))</f>
        <v>15.444000000000001</v>
      </c>
      <c r="Q39" s="218">
        <f t="shared" si="1"/>
        <v>500382.04788000003</v>
      </c>
    </row>
    <row r="40" spans="1:17" x14ac:dyDescent="0.35">
      <c r="A40" s="212" t="str">
        <f>COMPOSICIÓN!A40</f>
        <v>ALB-035</v>
      </c>
      <c r="B40" s="212" t="str">
        <f>COMPOSICIÓN!B40</f>
        <v>MAT</v>
      </c>
      <c r="C40" s="212" t="str">
        <f>COMPOSICIÓN!C40</f>
        <v>OTR</v>
      </c>
      <c r="D40" s="212" t="str">
        <f>COMPOSICIÓN!D40</f>
        <v>AGR-004</v>
      </c>
      <c r="E40" s="212" t="str">
        <f>COMPOSICIÓN!E40</f>
        <v>Cemento Portland x 50kg</v>
      </c>
      <c r="F40" s="212" t="str">
        <f>COMPOSICIÓN!F40</f>
        <v>Bol</v>
      </c>
      <c r="G40" s="213">
        <f>COMPOSICIÓN!G40</f>
        <v>7.4999999999999997E-2</v>
      </c>
      <c r="H40" s="214">
        <f>COMPOSICIÓN!H40</f>
        <v>0.1</v>
      </c>
      <c r="I40" s="215">
        <f>COMPOSICIÓN!I40</f>
        <v>7809.48</v>
      </c>
      <c r="J40" s="212" t="str">
        <f>IFERROR(VLOOKUP(A40,PARTIDAS!$A$2:$C$269,3,FALSE()),"")</f>
        <v>MAMPOSTERÍA</v>
      </c>
      <c r="K40" s="212" t="str">
        <f>IFERROR(INDEX(PPTO_GENERADOR!$B$4:$B$220,MATCH(A40,PPTO_GENERADOR!$Q$4:$Q$220,0)),"")</f>
        <v>MAMPOSTERÍA</v>
      </c>
      <c r="L40" s="216">
        <f>IF(PLAN_ETAPA!$C$4="(TODOS)",SUMIFS(PPTO_GENERADOR!$E$4:$E$220,PPTO_GENERADOR!$Q$4:$Q$220,A40),SUMIFS(PPTO_GENERADOR!$E$4:$E$220,PPTO_GENERADOR!$Q$4:$Q$220,A40,PPTO_GENERADOR!$B$4:$B$220,PLAN_ETAPA!$C$4))</f>
        <v>780</v>
      </c>
      <c r="M40" s="216">
        <f>IFERROR(VLOOKUP(A40,PARTIDAS!$A$2:$F$269,6,FALSE()),1)</f>
        <v>15</v>
      </c>
      <c r="N40" s="216">
        <f>IFERROR(VLOOKUP(A40,PARTIDAS!$A$2:$I$269,9,FALSE()),1)</f>
        <v>1</v>
      </c>
      <c r="O40" s="217">
        <f t="shared" si="0"/>
        <v>1</v>
      </c>
      <c r="P40" s="216">
        <f>IF(O40=0,0,IF(B40="MAT",G40*(1+H40)*L40*PLAN_ETAPA!$C$5,IF(B40="MO",IF(M40=0,0,G40*L40*PLAN_ETAPA!$C$5*N40/M40),IF(B40="EQ",IF(M40=0,0,G40*L40*PLAN_ETAPA!$C$5/M40),0))))</f>
        <v>64.350000000000009</v>
      </c>
      <c r="Q40" s="218">
        <f t="shared" si="1"/>
        <v>502540.03800000006</v>
      </c>
    </row>
    <row r="41" spans="1:17" x14ac:dyDescent="0.35">
      <c r="A41" s="212" t="str">
        <f>COMPOSICIÓN!A41</f>
        <v>ALB-035</v>
      </c>
      <c r="B41" s="212" t="str">
        <f>COMPOSICIÓN!B41</f>
        <v>MAT</v>
      </c>
      <c r="C41" s="212" t="str">
        <f>COMPOSICIÓN!C41</f>
        <v>OTR</v>
      </c>
      <c r="D41" s="212" t="str">
        <f>COMPOSICIÓN!D41</f>
        <v>AGR-005</v>
      </c>
      <c r="E41" s="212" t="str">
        <f>COMPOSICIÓN!E41</f>
        <v>Cal Comun x 25kg</v>
      </c>
      <c r="F41" s="212" t="str">
        <f>COMPOSICIÓN!F41</f>
        <v>bol</v>
      </c>
      <c r="G41" s="213">
        <f>COMPOSICIÓN!G41</f>
        <v>0.15</v>
      </c>
      <c r="H41" s="214">
        <f>COMPOSICIÓN!H41</f>
        <v>0.1</v>
      </c>
      <c r="I41" s="215">
        <f>COMPOSICIÓN!I41</f>
        <v>3837.96</v>
      </c>
      <c r="J41" s="212" t="str">
        <f>IFERROR(VLOOKUP(A41,PARTIDAS!$A$2:$C$269,3,FALSE()),"")</f>
        <v>MAMPOSTERÍA</v>
      </c>
      <c r="K41" s="212" t="str">
        <f>IFERROR(INDEX(PPTO_GENERADOR!$B$4:$B$220,MATCH(A41,PPTO_GENERADOR!$Q$4:$Q$220,0)),"")</f>
        <v>MAMPOSTERÍA</v>
      </c>
      <c r="L41" s="216">
        <f>IF(PLAN_ETAPA!$C$4="(TODOS)",SUMIFS(PPTO_GENERADOR!$E$4:$E$220,PPTO_GENERADOR!$Q$4:$Q$220,A41),SUMIFS(PPTO_GENERADOR!$E$4:$E$220,PPTO_GENERADOR!$Q$4:$Q$220,A41,PPTO_GENERADOR!$B$4:$B$220,PLAN_ETAPA!$C$4))</f>
        <v>780</v>
      </c>
      <c r="M41" s="216">
        <f>IFERROR(VLOOKUP(A41,PARTIDAS!$A$2:$F$269,6,FALSE()),1)</f>
        <v>15</v>
      </c>
      <c r="N41" s="216">
        <f>IFERROR(VLOOKUP(A41,PARTIDAS!$A$2:$I$269,9,FALSE()),1)</f>
        <v>1</v>
      </c>
      <c r="O41" s="217">
        <f t="shared" si="0"/>
        <v>1</v>
      </c>
      <c r="P41" s="216">
        <f>IF(O41=0,0,IF(B41="MAT",G41*(1+H41)*L41*PLAN_ETAPA!$C$5,IF(B41="MO",IF(M41=0,0,G41*L41*PLAN_ETAPA!$C$5*N41/M41),IF(B41="EQ",IF(M41=0,0,G41*L41*PLAN_ETAPA!$C$5/M41),0))))</f>
        <v>128.70000000000002</v>
      </c>
      <c r="Q41" s="218">
        <f t="shared" si="1"/>
        <v>493945.45200000005</v>
      </c>
    </row>
    <row r="42" spans="1:17" x14ac:dyDescent="0.35">
      <c r="A42" s="212" t="str">
        <f>COMPOSICIÓN!A42</f>
        <v>ALB-035</v>
      </c>
      <c r="B42" s="212" t="str">
        <f>COMPOSICIÓN!B42</f>
        <v>MAT</v>
      </c>
      <c r="C42" s="212" t="str">
        <f>COMPOSICIÓN!C42</f>
        <v>OTR</v>
      </c>
      <c r="D42" s="212" t="str">
        <f>COMPOSICIÓN!D42</f>
        <v>CER-003</v>
      </c>
      <c r="E42" s="212" t="str">
        <f>COMPOSICIÓN!E42</f>
        <v>LADRILLO CERAMICO 12 x 18 x 33 cm</v>
      </c>
      <c r="F42" s="212" t="str">
        <f>COMPOSICIÓN!F42</f>
        <v>u</v>
      </c>
      <c r="G42" s="213">
        <f>COMPOSICIÓN!G42</f>
        <v>15</v>
      </c>
      <c r="H42" s="214">
        <f>COMPOSICIÓN!H42</f>
        <v>0.05</v>
      </c>
      <c r="I42" s="215">
        <f>COMPOSICIÓN!I42</f>
        <v>365.4</v>
      </c>
      <c r="J42" s="212" t="str">
        <f>IFERROR(VLOOKUP(A42,PARTIDAS!$A$2:$C$269,3,FALSE()),"")</f>
        <v>MAMPOSTERÍA</v>
      </c>
      <c r="K42" s="212" t="str">
        <f>IFERROR(INDEX(PPTO_GENERADOR!$B$4:$B$220,MATCH(A42,PPTO_GENERADOR!$Q$4:$Q$220,0)),"")</f>
        <v>MAMPOSTERÍA</v>
      </c>
      <c r="L42" s="216">
        <f>IF(PLAN_ETAPA!$C$4="(TODOS)",SUMIFS(PPTO_GENERADOR!$E$4:$E$220,PPTO_GENERADOR!$Q$4:$Q$220,A42),SUMIFS(PPTO_GENERADOR!$E$4:$E$220,PPTO_GENERADOR!$Q$4:$Q$220,A42,PPTO_GENERADOR!$B$4:$B$220,PLAN_ETAPA!$C$4))</f>
        <v>780</v>
      </c>
      <c r="M42" s="216">
        <f>IFERROR(VLOOKUP(A42,PARTIDAS!$A$2:$F$269,6,FALSE()),1)</f>
        <v>15</v>
      </c>
      <c r="N42" s="216">
        <f>IFERROR(VLOOKUP(A42,PARTIDAS!$A$2:$I$269,9,FALSE()),1)</f>
        <v>1</v>
      </c>
      <c r="O42" s="217">
        <f t="shared" si="0"/>
        <v>1</v>
      </c>
      <c r="P42" s="216">
        <f>IF(O42=0,0,IF(B42="MAT",G42*(1+H42)*L42*PLAN_ETAPA!$C$5,IF(B42="MO",IF(M42=0,0,G42*L42*PLAN_ETAPA!$C$5*N42/M42),IF(B42="EQ",IF(M42=0,0,G42*L42*PLAN_ETAPA!$C$5/M42),0))))</f>
        <v>12285</v>
      </c>
      <c r="Q42" s="218">
        <f t="shared" si="1"/>
        <v>4488939</v>
      </c>
    </row>
    <row r="43" spans="1:17" x14ac:dyDescent="0.35">
      <c r="A43" s="212" t="str">
        <f>COMPOSICIÓN!A43</f>
        <v>ALB-035</v>
      </c>
      <c r="B43" s="212" t="str">
        <f>COMPOSICIÓN!B43</f>
        <v>MAT</v>
      </c>
      <c r="C43" s="212" t="str">
        <f>COMPOSICIÓN!C43</f>
        <v>OTR</v>
      </c>
      <c r="D43" s="212" t="str">
        <f>COMPOSICIÓN!D43</f>
        <v>MAT-CONS</v>
      </c>
      <c r="E43" s="212" t="str">
        <f>COMPOSICIÓN!E43</f>
        <v>Consumibles</v>
      </c>
      <c r="F43" s="212" t="str">
        <f>COMPOSICIÓN!F43</f>
        <v>gl</v>
      </c>
      <c r="G43" s="213">
        <f>COMPOSICIÓN!G43</f>
        <v>85.639329976799999</v>
      </c>
      <c r="H43" s="214">
        <f>COMPOSICIÓN!H43</f>
        <v>0</v>
      </c>
      <c r="I43" s="215">
        <f>COMPOSICIÓN!I43</f>
        <v>1</v>
      </c>
      <c r="J43" s="212" t="str">
        <f>IFERROR(VLOOKUP(A43,PARTIDAS!$A$2:$C$269,3,FALSE()),"")</f>
        <v>MAMPOSTERÍA</v>
      </c>
      <c r="K43" s="212" t="str">
        <f>IFERROR(INDEX(PPTO_GENERADOR!$B$4:$B$220,MATCH(A43,PPTO_GENERADOR!$Q$4:$Q$220,0)),"")</f>
        <v>MAMPOSTERÍA</v>
      </c>
      <c r="L43" s="216">
        <f>IF(PLAN_ETAPA!$C$4="(TODOS)",SUMIFS(PPTO_GENERADOR!$E$4:$E$220,PPTO_GENERADOR!$Q$4:$Q$220,A43),SUMIFS(PPTO_GENERADOR!$E$4:$E$220,PPTO_GENERADOR!$Q$4:$Q$220,A43,PPTO_GENERADOR!$B$4:$B$220,PLAN_ETAPA!$C$4))</f>
        <v>780</v>
      </c>
      <c r="M43" s="216">
        <f>IFERROR(VLOOKUP(A43,PARTIDAS!$A$2:$F$269,6,FALSE()),1)</f>
        <v>15</v>
      </c>
      <c r="N43" s="216">
        <f>IFERROR(VLOOKUP(A43,PARTIDAS!$A$2:$I$269,9,FALSE()),1)</f>
        <v>1</v>
      </c>
      <c r="O43" s="217">
        <f t="shared" si="0"/>
        <v>1</v>
      </c>
      <c r="P43" s="216">
        <f>IF(O43=0,0,IF(B43="MAT",G43*(1+H43)*L43*PLAN_ETAPA!$C$5,IF(B43="MO",IF(M43=0,0,G43*L43*PLAN_ETAPA!$C$5*N43/M43),IF(B43="EQ",IF(M43=0,0,G43*L43*PLAN_ETAPA!$C$5/M43),0))))</f>
        <v>66798.677381903995</v>
      </c>
      <c r="Q43" s="218">
        <f t="shared" si="1"/>
        <v>66798.677381903995</v>
      </c>
    </row>
    <row r="44" spans="1:17" x14ac:dyDescent="0.35">
      <c r="A44" s="212" t="str">
        <f>COMPOSICIÓN!A44</f>
        <v>ALB-035</v>
      </c>
      <c r="B44" s="212" t="str">
        <f>COMPOSICIÓN!B44</f>
        <v>MO</v>
      </c>
      <c r="C44" s="212" t="str">
        <f>COMPOSICIÓN!C44</f>
        <v>ALB</v>
      </c>
      <c r="D44" s="212" t="str">
        <f>COMPOSICIÓN!D44</f>
        <v>MO-EAYUD</v>
      </c>
      <c r="E44" s="212" t="str">
        <f>COMPOSICIÓN!E44</f>
        <v>AYUDANTE</v>
      </c>
      <c r="F44" s="212" t="str">
        <f>COMPOSICIÓN!F44</f>
        <v>j</v>
      </c>
      <c r="G44" s="213">
        <f>COMPOSICIÓN!G44</f>
        <v>1</v>
      </c>
      <c r="H44" s="214">
        <f>COMPOSICIÓN!H44</f>
        <v>0</v>
      </c>
      <c r="I44" s="215">
        <f>COMPOSICIÓN!I44</f>
        <v>60860.580776572002</v>
      </c>
      <c r="J44" s="212" t="str">
        <f>IFERROR(VLOOKUP(A44,PARTIDAS!$A$2:$C$269,3,FALSE()),"")</f>
        <v>MAMPOSTERÍA</v>
      </c>
      <c r="K44" s="212" t="str">
        <f>IFERROR(INDEX(PPTO_GENERADOR!$B$4:$B$220,MATCH(A44,PPTO_GENERADOR!$Q$4:$Q$220,0)),"")</f>
        <v>MAMPOSTERÍA</v>
      </c>
      <c r="L44" s="216">
        <f>IF(PLAN_ETAPA!$C$4="(TODOS)",SUMIFS(PPTO_GENERADOR!$E$4:$E$220,PPTO_GENERADOR!$Q$4:$Q$220,A44),SUMIFS(PPTO_GENERADOR!$E$4:$E$220,PPTO_GENERADOR!$Q$4:$Q$220,A44,PPTO_GENERADOR!$B$4:$B$220,PLAN_ETAPA!$C$4))</f>
        <v>780</v>
      </c>
      <c r="M44" s="216">
        <f>IFERROR(VLOOKUP(A44,PARTIDAS!$A$2:$F$269,6,FALSE()),1)</f>
        <v>15</v>
      </c>
      <c r="N44" s="216">
        <f>IFERROR(VLOOKUP(A44,PARTIDAS!$A$2:$I$269,9,FALSE()),1)</f>
        <v>1</v>
      </c>
      <c r="O44" s="217">
        <f t="shared" si="0"/>
        <v>1</v>
      </c>
      <c r="P44" s="216">
        <f>IF(O44=0,0,IF(B44="MAT",G44*(1+H44)*L44*PLAN_ETAPA!$C$5,IF(B44="MO",IF(M44=0,0,G44*L44*PLAN_ETAPA!$C$5*N44/M44),IF(B44="EQ",IF(M44=0,0,G44*L44*PLAN_ETAPA!$C$5/M44),0))))</f>
        <v>52</v>
      </c>
      <c r="Q44" s="218">
        <f t="shared" si="1"/>
        <v>3164750.2003817442</v>
      </c>
    </row>
    <row r="45" spans="1:17" x14ac:dyDescent="0.35">
      <c r="A45" s="212" t="str">
        <f>COMPOSICIÓN!A45</f>
        <v>ALB-035</v>
      </c>
      <c r="B45" s="212" t="str">
        <f>COMPOSICIÓN!B45</f>
        <v>MO</v>
      </c>
      <c r="C45" s="212" t="str">
        <f>COMPOSICIÓN!C45</f>
        <v>ALB</v>
      </c>
      <c r="D45" s="212" t="str">
        <f>COMPOSICIÓN!D45</f>
        <v>MO-EESPE</v>
      </c>
      <c r="E45" s="212" t="str">
        <f>COMPOSICIÓN!E45</f>
        <v>ESPECIALIZADO</v>
      </c>
      <c r="F45" s="212" t="str">
        <f>COMPOSICIÓN!F45</f>
        <v>j</v>
      </c>
      <c r="G45" s="213">
        <f>COMPOSICIÓN!G45</f>
        <v>1</v>
      </c>
      <c r="H45" s="214">
        <f>COMPOSICIÓN!H45</f>
        <v>0</v>
      </c>
      <c r="I45" s="215">
        <f>COMPOSICIÓN!I45</f>
        <v>85927.097156571996</v>
      </c>
      <c r="J45" s="212" t="str">
        <f>IFERROR(VLOOKUP(A45,PARTIDAS!$A$2:$C$269,3,FALSE()),"")</f>
        <v>MAMPOSTERÍA</v>
      </c>
      <c r="K45" s="212" t="str">
        <f>IFERROR(INDEX(PPTO_GENERADOR!$B$4:$B$220,MATCH(A45,PPTO_GENERADOR!$Q$4:$Q$220,0)),"")</f>
        <v>MAMPOSTERÍA</v>
      </c>
      <c r="L45" s="216">
        <f>IF(PLAN_ETAPA!$C$4="(TODOS)",SUMIFS(PPTO_GENERADOR!$E$4:$E$220,PPTO_GENERADOR!$Q$4:$Q$220,A45),SUMIFS(PPTO_GENERADOR!$E$4:$E$220,PPTO_GENERADOR!$Q$4:$Q$220,A45,PPTO_GENERADOR!$B$4:$B$220,PLAN_ETAPA!$C$4))</f>
        <v>780</v>
      </c>
      <c r="M45" s="216">
        <f>IFERROR(VLOOKUP(A45,PARTIDAS!$A$2:$F$269,6,FALSE()),1)</f>
        <v>15</v>
      </c>
      <c r="N45" s="216">
        <f>IFERROR(VLOOKUP(A45,PARTIDAS!$A$2:$I$269,9,FALSE()),1)</f>
        <v>1</v>
      </c>
      <c r="O45" s="217">
        <f t="shared" si="0"/>
        <v>1</v>
      </c>
      <c r="P45" s="216">
        <f>IF(O45=0,0,IF(B45="MAT",G45*(1+H45)*L45*PLAN_ETAPA!$C$5,IF(B45="MO",IF(M45=0,0,G45*L45*PLAN_ETAPA!$C$5*N45/M45),IF(B45="EQ",IF(M45=0,0,G45*L45*PLAN_ETAPA!$C$5/M45),0))))</f>
        <v>52</v>
      </c>
      <c r="Q45" s="218">
        <f t="shared" si="1"/>
        <v>4468209.0521417437</v>
      </c>
    </row>
    <row r="46" spans="1:17" x14ac:dyDescent="0.35">
      <c r="A46" s="212" t="str">
        <f>COMPOSICIÓN!A46</f>
        <v>ALB-036</v>
      </c>
      <c r="B46" s="212" t="str">
        <f>COMPOSICIÓN!B46</f>
        <v>EQ</v>
      </c>
      <c r="C46" s="212">
        <f>COMPOSICIÓN!C46</f>
        <v>0</v>
      </c>
      <c r="D46" s="212" t="str">
        <f>COMPOSICIÓN!D46</f>
        <v>EQ-ANDAM0</v>
      </c>
      <c r="E46" s="212" t="str">
        <f>COMPOSICIÓN!E46</f>
        <v>ANDAMIO TUBULAR DE UNO A TRES CUERPOS</v>
      </c>
      <c r="F46" s="212">
        <f>COMPOSICIÓN!F46</f>
        <v>0</v>
      </c>
      <c r="G46" s="213">
        <f>COMPOSICIÓN!G46</f>
        <v>0.5</v>
      </c>
      <c r="H46" s="214">
        <f>COMPOSICIÓN!H46</f>
        <v>0</v>
      </c>
      <c r="I46" s="215">
        <f>COMPOSICIÓN!I46</f>
        <v>571.1794909807611</v>
      </c>
      <c r="J46" s="212" t="str">
        <f>IFERROR(VLOOKUP(A46,PARTIDAS!$A$2:$C$269,3,FALSE()),"")</f>
        <v>MAMPOSTERÍA</v>
      </c>
      <c r="K46" s="212" t="str">
        <f>IFERROR(INDEX(PPTO_GENERADOR!$B$4:$B$220,MATCH(A46,PPTO_GENERADOR!$Q$4:$Q$220,0)),"")</f>
        <v>MAMPOSTERÍA</v>
      </c>
      <c r="L46" s="216">
        <f>IF(PLAN_ETAPA!$C$4="(TODOS)",SUMIFS(PPTO_GENERADOR!$E$4:$E$220,PPTO_GENERADOR!$Q$4:$Q$220,A46),SUMIFS(PPTO_GENERADOR!$E$4:$E$220,PPTO_GENERADOR!$Q$4:$Q$220,A46,PPTO_GENERADOR!$B$4:$B$220,PLAN_ETAPA!$C$4))</f>
        <v>5</v>
      </c>
      <c r="M46" s="216">
        <f>IFERROR(VLOOKUP(A46,PARTIDAS!$A$2:$F$269,6,FALSE()),1)</f>
        <v>15</v>
      </c>
      <c r="N46" s="216">
        <f>IFERROR(VLOOKUP(A46,PARTIDAS!$A$2:$I$269,9,FALSE()),1)</f>
        <v>1</v>
      </c>
      <c r="O46" s="217">
        <f t="shared" si="0"/>
        <v>1</v>
      </c>
      <c r="P46" s="216">
        <f>IF(O46=0,0,IF(B46="MAT",G46*(1+H46)*L46*PLAN_ETAPA!$C$5,IF(B46="MO",IF(M46=0,0,G46*L46*PLAN_ETAPA!$C$5*N46/M46),IF(B46="EQ",IF(M46=0,0,G46*L46*PLAN_ETAPA!$C$5/M46),0))))</f>
        <v>0.16666666666666666</v>
      </c>
      <c r="Q46" s="218">
        <f t="shared" si="1"/>
        <v>95.196581830126846</v>
      </c>
    </row>
    <row r="47" spans="1:17" x14ac:dyDescent="0.35">
      <c r="A47" s="212" t="str">
        <f>COMPOSICIÓN!A47</f>
        <v>ALB-036</v>
      </c>
      <c r="B47" s="212" t="str">
        <f>COMPOSICIÓN!B47</f>
        <v>EQ</v>
      </c>
      <c r="C47" s="212">
        <f>COMPOSICIÓN!C47</f>
        <v>0</v>
      </c>
      <c r="D47" s="212" t="str">
        <f>COMPOSICIÓN!D47</f>
        <v>EQ-EQALBA</v>
      </c>
      <c r="E47" s="212" t="str">
        <f>COMPOSICIÓN!E47</f>
        <v>EQUIPO DE ALBAÑILERIA, carpetas, ladrillo</v>
      </c>
      <c r="F47" s="212">
        <f>COMPOSICIÓN!F47</f>
        <v>0</v>
      </c>
      <c r="G47" s="213">
        <f>COMPOSICIÓN!G47</f>
        <v>1</v>
      </c>
      <c r="H47" s="214">
        <f>COMPOSICIÓN!H47</f>
        <v>0</v>
      </c>
      <c r="I47" s="215">
        <f>COMPOSICIÓN!I47</f>
        <v>2287.1357450968057</v>
      </c>
      <c r="J47" s="212" t="str">
        <f>IFERROR(VLOOKUP(A47,PARTIDAS!$A$2:$C$269,3,FALSE()),"")</f>
        <v>MAMPOSTERÍA</v>
      </c>
      <c r="K47" s="212" t="str">
        <f>IFERROR(INDEX(PPTO_GENERADOR!$B$4:$B$220,MATCH(A47,PPTO_GENERADOR!$Q$4:$Q$220,0)),"")</f>
        <v>MAMPOSTERÍA</v>
      </c>
      <c r="L47" s="216">
        <f>IF(PLAN_ETAPA!$C$4="(TODOS)",SUMIFS(PPTO_GENERADOR!$E$4:$E$220,PPTO_GENERADOR!$Q$4:$Q$220,A47),SUMIFS(PPTO_GENERADOR!$E$4:$E$220,PPTO_GENERADOR!$Q$4:$Q$220,A47,PPTO_GENERADOR!$B$4:$B$220,PLAN_ETAPA!$C$4))</f>
        <v>5</v>
      </c>
      <c r="M47" s="216">
        <f>IFERROR(VLOOKUP(A47,PARTIDAS!$A$2:$F$269,6,FALSE()),1)</f>
        <v>15</v>
      </c>
      <c r="N47" s="216">
        <f>IFERROR(VLOOKUP(A47,PARTIDAS!$A$2:$I$269,9,FALSE()),1)</f>
        <v>1</v>
      </c>
      <c r="O47" s="217">
        <f t="shared" si="0"/>
        <v>1</v>
      </c>
      <c r="P47" s="216">
        <f>IF(O47=0,0,IF(B47="MAT",G47*(1+H47)*L47*PLAN_ETAPA!$C$5,IF(B47="MO",IF(M47=0,0,G47*L47*PLAN_ETAPA!$C$5*N47/M47),IF(B47="EQ",IF(M47=0,0,G47*L47*PLAN_ETAPA!$C$5/M47),0))))</f>
        <v>0.33333333333333331</v>
      </c>
      <c r="Q47" s="218">
        <f t="shared" si="1"/>
        <v>762.37858169893525</v>
      </c>
    </row>
    <row r="48" spans="1:17" x14ac:dyDescent="0.35">
      <c r="A48" s="212" t="str">
        <f>COMPOSICIÓN!A48</f>
        <v>ALB-036</v>
      </c>
      <c r="B48" s="212" t="str">
        <f>COMPOSICIÓN!B48</f>
        <v>EQ</v>
      </c>
      <c r="C48" s="212">
        <f>COMPOSICIÓN!C48</f>
        <v>0</v>
      </c>
      <c r="D48" s="212" t="str">
        <f>COMPOSICIÓN!D48</f>
        <v>EQ-TROMPO</v>
      </c>
      <c r="E48" s="212" t="str">
        <f>COMPOSICIÓN!E48</f>
        <v>Hormigonera De 150 Litros 1hp Con Rueda Maciza</v>
      </c>
      <c r="F48" s="212">
        <f>COMPOSICIÓN!F48</f>
        <v>0</v>
      </c>
      <c r="G48" s="213">
        <f>COMPOSICIÓN!G48</f>
        <v>1</v>
      </c>
      <c r="H48" s="214">
        <f>COMPOSICIÓN!H48</f>
        <v>0</v>
      </c>
      <c r="I48" s="215">
        <f>COMPOSICIÓN!I48</f>
        <v>957.25319614994726</v>
      </c>
      <c r="J48" s="212" t="str">
        <f>IFERROR(VLOOKUP(A48,PARTIDAS!$A$2:$C$269,3,FALSE()),"")</f>
        <v>MAMPOSTERÍA</v>
      </c>
      <c r="K48" s="212" t="str">
        <f>IFERROR(INDEX(PPTO_GENERADOR!$B$4:$B$220,MATCH(A48,PPTO_GENERADOR!$Q$4:$Q$220,0)),"")</f>
        <v>MAMPOSTERÍA</v>
      </c>
      <c r="L48" s="216">
        <f>IF(PLAN_ETAPA!$C$4="(TODOS)",SUMIFS(PPTO_GENERADOR!$E$4:$E$220,PPTO_GENERADOR!$Q$4:$Q$220,A48),SUMIFS(PPTO_GENERADOR!$E$4:$E$220,PPTO_GENERADOR!$Q$4:$Q$220,A48,PPTO_GENERADOR!$B$4:$B$220,PLAN_ETAPA!$C$4))</f>
        <v>5</v>
      </c>
      <c r="M48" s="216">
        <f>IFERROR(VLOOKUP(A48,PARTIDAS!$A$2:$F$269,6,FALSE()),1)</f>
        <v>15</v>
      </c>
      <c r="N48" s="216">
        <f>IFERROR(VLOOKUP(A48,PARTIDAS!$A$2:$I$269,9,FALSE()),1)</f>
        <v>1</v>
      </c>
      <c r="O48" s="217">
        <f t="shared" si="0"/>
        <v>1</v>
      </c>
      <c r="P48" s="216">
        <f>IF(O48=0,0,IF(B48="MAT",G48*(1+H48)*L48*PLAN_ETAPA!$C$5,IF(B48="MO",IF(M48=0,0,G48*L48*PLAN_ETAPA!$C$5*N48/M48),IF(B48="EQ",IF(M48=0,0,G48*L48*PLAN_ETAPA!$C$5/M48),0))))</f>
        <v>0.33333333333333331</v>
      </c>
      <c r="Q48" s="218">
        <f t="shared" si="1"/>
        <v>319.08439871664905</v>
      </c>
    </row>
    <row r="49" spans="1:17" x14ac:dyDescent="0.35">
      <c r="A49" s="212" t="str">
        <f>COMPOSICIÓN!A49</f>
        <v>ALB-036</v>
      </c>
      <c r="B49" s="212" t="str">
        <f>COMPOSICIÓN!B49</f>
        <v>MAT</v>
      </c>
      <c r="C49" s="212" t="str">
        <f>COMPOSICIÓN!C49</f>
        <v>OTR</v>
      </c>
      <c r="D49" s="212" t="str">
        <f>COMPOSICIÓN!D49</f>
        <v>ACE-001</v>
      </c>
      <c r="E49" s="212" t="str">
        <f>COMPOSICIÓN!E49</f>
        <v>Barra de Acero Aleteado - 6mm x 12m</v>
      </c>
      <c r="F49" s="212" t="str">
        <f>COMPOSICIÓN!F49</f>
        <v>u</v>
      </c>
      <c r="G49" s="213">
        <f>COMPOSICIÓN!G49</f>
        <v>0.17</v>
      </c>
      <c r="H49" s="214">
        <f>COMPOSICIÓN!H49</f>
        <v>0.1</v>
      </c>
      <c r="I49" s="215">
        <f>COMPOSICIÓN!I49</f>
        <v>3424.53</v>
      </c>
      <c r="J49" s="212" t="str">
        <f>IFERROR(VLOOKUP(A49,PARTIDAS!$A$2:$C$269,3,FALSE()),"")</f>
        <v>MAMPOSTERÍA</v>
      </c>
      <c r="K49" s="212" t="str">
        <f>IFERROR(INDEX(PPTO_GENERADOR!$B$4:$B$220,MATCH(A49,PPTO_GENERADOR!$Q$4:$Q$220,0)),"")</f>
        <v>MAMPOSTERÍA</v>
      </c>
      <c r="L49" s="216">
        <f>IF(PLAN_ETAPA!$C$4="(TODOS)",SUMIFS(PPTO_GENERADOR!$E$4:$E$220,PPTO_GENERADOR!$Q$4:$Q$220,A49),SUMIFS(PPTO_GENERADOR!$E$4:$E$220,PPTO_GENERADOR!$Q$4:$Q$220,A49,PPTO_GENERADOR!$B$4:$B$220,PLAN_ETAPA!$C$4))</f>
        <v>5</v>
      </c>
      <c r="M49" s="216">
        <f>IFERROR(VLOOKUP(A49,PARTIDAS!$A$2:$F$269,6,FALSE()),1)</f>
        <v>15</v>
      </c>
      <c r="N49" s="216">
        <f>IFERROR(VLOOKUP(A49,PARTIDAS!$A$2:$I$269,9,FALSE()),1)</f>
        <v>1</v>
      </c>
      <c r="O49" s="217">
        <f t="shared" si="0"/>
        <v>1</v>
      </c>
      <c r="P49" s="216">
        <f>IF(O49=0,0,IF(B49="MAT",G49*(1+H49)*L49*PLAN_ETAPA!$C$5,IF(B49="MO",IF(M49=0,0,G49*L49*PLAN_ETAPA!$C$5*N49/M49),IF(B49="EQ",IF(M49=0,0,G49*L49*PLAN_ETAPA!$C$5/M49),0))))</f>
        <v>0.93500000000000016</v>
      </c>
      <c r="Q49" s="218">
        <f t="shared" si="1"/>
        <v>3201.9355500000006</v>
      </c>
    </row>
    <row r="50" spans="1:17" x14ac:dyDescent="0.35">
      <c r="A50" s="212" t="str">
        <f>COMPOSICIÓN!A50</f>
        <v>ALB-036</v>
      </c>
      <c r="B50" s="212" t="str">
        <f>COMPOSICIÓN!B50</f>
        <v>MAT</v>
      </c>
      <c r="C50" s="212" t="str">
        <f>COMPOSICIÓN!C50</f>
        <v>OTR</v>
      </c>
      <c r="D50" s="212" t="str">
        <f>COMPOSICIÓN!D50</f>
        <v>AGR-001</v>
      </c>
      <c r="E50" s="212" t="str">
        <f>COMPOSICIÓN!E50</f>
        <v>ARENA LAVADA</v>
      </c>
      <c r="F50" s="212" t="str">
        <f>COMPOSICIÓN!F50</f>
        <v>m3</v>
      </c>
      <c r="G50" s="213">
        <f>COMPOSICIÓN!G50</f>
        <v>2.4E-2</v>
      </c>
      <c r="H50" s="214">
        <f>COMPOSICIÓN!H50</f>
        <v>0.1</v>
      </c>
      <c r="I50" s="215">
        <f>COMPOSICIÓN!I50</f>
        <v>32399.77</v>
      </c>
      <c r="J50" s="212" t="str">
        <f>IFERROR(VLOOKUP(A50,PARTIDAS!$A$2:$C$269,3,FALSE()),"")</f>
        <v>MAMPOSTERÍA</v>
      </c>
      <c r="K50" s="212" t="str">
        <f>IFERROR(INDEX(PPTO_GENERADOR!$B$4:$B$220,MATCH(A50,PPTO_GENERADOR!$Q$4:$Q$220,0)),"")</f>
        <v>MAMPOSTERÍA</v>
      </c>
      <c r="L50" s="216">
        <f>IF(PLAN_ETAPA!$C$4="(TODOS)",SUMIFS(PPTO_GENERADOR!$E$4:$E$220,PPTO_GENERADOR!$Q$4:$Q$220,A50),SUMIFS(PPTO_GENERADOR!$E$4:$E$220,PPTO_GENERADOR!$Q$4:$Q$220,A50,PPTO_GENERADOR!$B$4:$B$220,PLAN_ETAPA!$C$4))</f>
        <v>5</v>
      </c>
      <c r="M50" s="216">
        <f>IFERROR(VLOOKUP(A50,PARTIDAS!$A$2:$F$269,6,FALSE()),1)</f>
        <v>15</v>
      </c>
      <c r="N50" s="216">
        <f>IFERROR(VLOOKUP(A50,PARTIDAS!$A$2:$I$269,9,FALSE()),1)</f>
        <v>1</v>
      </c>
      <c r="O50" s="217">
        <f t="shared" si="0"/>
        <v>1</v>
      </c>
      <c r="P50" s="216">
        <f>IF(O50=0,0,IF(B50="MAT",G50*(1+H50)*L50*PLAN_ETAPA!$C$5,IF(B50="MO",IF(M50=0,0,G50*L50*PLAN_ETAPA!$C$5*N50/M50),IF(B50="EQ",IF(M50=0,0,G50*L50*PLAN_ETAPA!$C$5/M50),0))))</f>
        <v>0.13200000000000001</v>
      </c>
      <c r="Q50" s="218">
        <f t="shared" si="1"/>
        <v>4276.7696400000004</v>
      </c>
    </row>
    <row r="51" spans="1:17" x14ac:dyDescent="0.35">
      <c r="A51" s="212" t="str">
        <f>COMPOSICIÓN!A51</f>
        <v>ALB-036</v>
      </c>
      <c r="B51" s="212" t="str">
        <f>COMPOSICIÓN!B51</f>
        <v>MAT</v>
      </c>
      <c r="C51" s="212" t="str">
        <f>COMPOSICIÓN!C51</f>
        <v>OTR</v>
      </c>
      <c r="D51" s="212" t="str">
        <f>COMPOSICIÓN!D51</f>
        <v>AGR-004</v>
      </c>
      <c r="E51" s="212" t="str">
        <f>COMPOSICIÓN!E51</f>
        <v>Cemento Portland x 50kg</v>
      </c>
      <c r="F51" s="212" t="str">
        <f>COMPOSICIÓN!F51</f>
        <v>Bol</v>
      </c>
      <c r="G51" s="213">
        <f>COMPOSICIÓN!G51</f>
        <v>0.1</v>
      </c>
      <c r="H51" s="214">
        <f>COMPOSICIÓN!H51</f>
        <v>0.1</v>
      </c>
      <c r="I51" s="215">
        <f>COMPOSICIÓN!I51</f>
        <v>7809.48</v>
      </c>
      <c r="J51" s="212" t="str">
        <f>IFERROR(VLOOKUP(A51,PARTIDAS!$A$2:$C$269,3,FALSE()),"")</f>
        <v>MAMPOSTERÍA</v>
      </c>
      <c r="K51" s="212" t="str">
        <f>IFERROR(INDEX(PPTO_GENERADOR!$B$4:$B$220,MATCH(A51,PPTO_GENERADOR!$Q$4:$Q$220,0)),"")</f>
        <v>MAMPOSTERÍA</v>
      </c>
      <c r="L51" s="216">
        <f>IF(PLAN_ETAPA!$C$4="(TODOS)",SUMIFS(PPTO_GENERADOR!$E$4:$E$220,PPTO_GENERADOR!$Q$4:$Q$220,A51),SUMIFS(PPTO_GENERADOR!$E$4:$E$220,PPTO_GENERADOR!$Q$4:$Q$220,A51,PPTO_GENERADOR!$B$4:$B$220,PLAN_ETAPA!$C$4))</f>
        <v>5</v>
      </c>
      <c r="M51" s="216">
        <f>IFERROR(VLOOKUP(A51,PARTIDAS!$A$2:$F$269,6,FALSE()),1)</f>
        <v>15</v>
      </c>
      <c r="N51" s="216">
        <f>IFERROR(VLOOKUP(A51,PARTIDAS!$A$2:$I$269,9,FALSE()),1)</f>
        <v>1</v>
      </c>
      <c r="O51" s="217">
        <f t="shared" si="0"/>
        <v>1</v>
      </c>
      <c r="P51" s="216">
        <f>IF(O51=0,0,IF(B51="MAT",G51*(1+H51)*L51*PLAN_ETAPA!$C$5,IF(B51="MO",IF(M51=0,0,G51*L51*PLAN_ETAPA!$C$5*N51/M51),IF(B51="EQ",IF(M51=0,0,G51*L51*PLAN_ETAPA!$C$5/M51),0))))</f>
        <v>0.55000000000000004</v>
      </c>
      <c r="Q51" s="218">
        <f t="shared" si="1"/>
        <v>4295.2139999999999</v>
      </c>
    </row>
    <row r="52" spans="1:17" x14ac:dyDescent="0.35">
      <c r="A52" s="212" t="str">
        <f>COMPOSICIÓN!A52</f>
        <v>ALB-036</v>
      </c>
      <c r="B52" s="212" t="str">
        <f>COMPOSICIÓN!B52</f>
        <v>MAT</v>
      </c>
      <c r="C52" s="212" t="str">
        <f>COMPOSICIÓN!C52</f>
        <v>OTR</v>
      </c>
      <c r="D52" s="212" t="str">
        <f>COMPOSICIÓN!D52</f>
        <v>AGR-005</v>
      </c>
      <c r="E52" s="212" t="str">
        <f>COMPOSICIÓN!E52</f>
        <v>Cal Comun x 25kg</v>
      </c>
      <c r="F52" s="212" t="str">
        <f>COMPOSICIÓN!F52</f>
        <v>bol</v>
      </c>
      <c r="G52" s="213">
        <f>COMPOSICIÓN!G52</f>
        <v>0.2</v>
      </c>
      <c r="H52" s="214">
        <f>COMPOSICIÓN!H52</f>
        <v>0.1</v>
      </c>
      <c r="I52" s="215">
        <f>COMPOSICIÓN!I52</f>
        <v>3837.96</v>
      </c>
      <c r="J52" s="212" t="str">
        <f>IFERROR(VLOOKUP(A52,PARTIDAS!$A$2:$C$269,3,FALSE()),"")</f>
        <v>MAMPOSTERÍA</v>
      </c>
      <c r="K52" s="212" t="str">
        <f>IFERROR(INDEX(PPTO_GENERADOR!$B$4:$B$220,MATCH(A52,PPTO_GENERADOR!$Q$4:$Q$220,0)),"")</f>
        <v>MAMPOSTERÍA</v>
      </c>
      <c r="L52" s="216">
        <f>IF(PLAN_ETAPA!$C$4="(TODOS)",SUMIFS(PPTO_GENERADOR!$E$4:$E$220,PPTO_GENERADOR!$Q$4:$Q$220,A52),SUMIFS(PPTO_GENERADOR!$E$4:$E$220,PPTO_GENERADOR!$Q$4:$Q$220,A52,PPTO_GENERADOR!$B$4:$B$220,PLAN_ETAPA!$C$4))</f>
        <v>5</v>
      </c>
      <c r="M52" s="216">
        <f>IFERROR(VLOOKUP(A52,PARTIDAS!$A$2:$F$269,6,FALSE()),1)</f>
        <v>15</v>
      </c>
      <c r="N52" s="216">
        <f>IFERROR(VLOOKUP(A52,PARTIDAS!$A$2:$I$269,9,FALSE()),1)</f>
        <v>1</v>
      </c>
      <c r="O52" s="217">
        <f t="shared" si="0"/>
        <v>1</v>
      </c>
      <c r="P52" s="216">
        <f>IF(O52=0,0,IF(B52="MAT",G52*(1+H52)*L52*PLAN_ETAPA!$C$5,IF(B52="MO",IF(M52=0,0,G52*L52*PLAN_ETAPA!$C$5*N52/M52),IF(B52="EQ",IF(M52=0,0,G52*L52*PLAN_ETAPA!$C$5/M52),0))))</f>
        <v>1.1000000000000001</v>
      </c>
      <c r="Q52" s="218">
        <f t="shared" si="1"/>
        <v>4221.7560000000003</v>
      </c>
    </row>
    <row r="53" spans="1:17" x14ac:dyDescent="0.35">
      <c r="A53" s="212" t="str">
        <f>COMPOSICIÓN!A53</f>
        <v>ALB-036</v>
      </c>
      <c r="B53" s="212" t="str">
        <f>COMPOSICIÓN!B53</f>
        <v>MAT</v>
      </c>
      <c r="C53" s="212" t="str">
        <f>COMPOSICIÓN!C53</f>
        <v>OTR</v>
      </c>
      <c r="D53" s="212" t="str">
        <f>COMPOSICIÓN!D53</f>
        <v>CER-004</v>
      </c>
      <c r="E53" s="212" t="str">
        <f>COMPOSICIÓN!E53</f>
        <v>LADRILLO CERAMICO 18 x 18 x 33 cm</v>
      </c>
      <c r="F53" s="212" t="str">
        <f>COMPOSICIÓN!F53</f>
        <v>u</v>
      </c>
      <c r="G53" s="213">
        <f>COMPOSICIÓN!G53</f>
        <v>15</v>
      </c>
      <c r="H53" s="214">
        <f>COMPOSICIÓN!H53</f>
        <v>0.05</v>
      </c>
      <c r="I53" s="215">
        <f>COMPOSICIÓN!I53</f>
        <v>519.12</v>
      </c>
      <c r="J53" s="212" t="str">
        <f>IFERROR(VLOOKUP(A53,PARTIDAS!$A$2:$C$269,3,FALSE()),"")</f>
        <v>MAMPOSTERÍA</v>
      </c>
      <c r="K53" s="212" t="str">
        <f>IFERROR(INDEX(PPTO_GENERADOR!$B$4:$B$220,MATCH(A53,PPTO_GENERADOR!$Q$4:$Q$220,0)),"")</f>
        <v>MAMPOSTERÍA</v>
      </c>
      <c r="L53" s="216">
        <f>IF(PLAN_ETAPA!$C$4="(TODOS)",SUMIFS(PPTO_GENERADOR!$E$4:$E$220,PPTO_GENERADOR!$Q$4:$Q$220,A53),SUMIFS(PPTO_GENERADOR!$E$4:$E$220,PPTO_GENERADOR!$Q$4:$Q$220,A53,PPTO_GENERADOR!$B$4:$B$220,PLAN_ETAPA!$C$4))</f>
        <v>5</v>
      </c>
      <c r="M53" s="216">
        <f>IFERROR(VLOOKUP(A53,PARTIDAS!$A$2:$F$269,6,FALSE()),1)</f>
        <v>15</v>
      </c>
      <c r="N53" s="216">
        <f>IFERROR(VLOOKUP(A53,PARTIDAS!$A$2:$I$269,9,FALSE()),1)</f>
        <v>1</v>
      </c>
      <c r="O53" s="217">
        <f t="shared" si="0"/>
        <v>1</v>
      </c>
      <c r="P53" s="216">
        <f>IF(O53=0,0,IF(B53="MAT",G53*(1+H53)*L53*PLAN_ETAPA!$C$5,IF(B53="MO",IF(M53=0,0,G53*L53*PLAN_ETAPA!$C$5*N53/M53),IF(B53="EQ",IF(M53=0,0,G53*L53*PLAN_ETAPA!$C$5/M53),0))))</f>
        <v>78.75</v>
      </c>
      <c r="Q53" s="218">
        <f t="shared" si="1"/>
        <v>40880.699999999997</v>
      </c>
    </row>
    <row r="54" spans="1:17" x14ac:dyDescent="0.35">
      <c r="A54" s="212" t="str">
        <f>COMPOSICIÓN!A54</f>
        <v>ALB-036</v>
      </c>
      <c r="B54" s="212" t="str">
        <f>COMPOSICIÓN!B54</f>
        <v>MAT</v>
      </c>
      <c r="C54" s="212" t="str">
        <f>COMPOSICIÓN!C54</f>
        <v>OTR</v>
      </c>
      <c r="D54" s="212" t="str">
        <f>COMPOSICIÓN!D54</f>
        <v>MAT-CONS</v>
      </c>
      <c r="E54" s="212" t="str">
        <f>COMPOSICIÓN!E54</f>
        <v>Consumibles</v>
      </c>
      <c r="F54" s="212" t="str">
        <f>COMPOSICIÓN!F54</f>
        <v>gl</v>
      </c>
      <c r="G54" s="213">
        <f>COMPOSICIÓN!G54</f>
        <v>117.1653328914</v>
      </c>
      <c r="H54" s="214">
        <f>COMPOSICIÓN!H54</f>
        <v>0</v>
      </c>
      <c r="I54" s="215">
        <f>COMPOSICIÓN!I54</f>
        <v>1</v>
      </c>
      <c r="J54" s="212" t="str">
        <f>IFERROR(VLOOKUP(A54,PARTIDAS!$A$2:$C$269,3,FALSE()),"")</f>
        <v>MAMPOSTERÍA</v>
      </c>
      <c r="K54" s="212" t="str">
        <f>IFERROR(INDEX(PPTO_GENERADOR!$B$4:$B$220,MATCH(A54,PPTO_GENERADOR!$Q$4:$Q$220,0)),"")</f>
        <v>MAMPOSTERÍA</v>
      </c>
      <c r="L54" s="216">
        <f>IF(PLAN_ETAPA!$C$4="(TODOS)",SUMIFS(PPTO_GENERADOR!$E$4:$E$220,PPTO_GENERADOR!$Q$4:$Q$220,A54),SUMIFS(PPTO_GENERADOR!$E$4:$E$220,PPTO_GENERADOR!$Q$4:$Q$220,A54,PPTO_GENERADOR!$B$4:$B$220,PLAN_ETAPA!$C$4))</f>
        <v>5</v>
      </c>
      <c r="M54" s="216">
        <f>IFERROR(VLOOKUP(A54,PARTIDAS!$A$2:$F$269,6,FALSE()),1)</f>
        <v>15</v>
      </c>
      <c r="N54" s="216">
        <f>IFERROR(VLOOKUP(A54,PARTIDAS!$A$2:$I$269,9,FALSE()),1)</f>
        <v>1</v>
      </c>
      <c r="O54" s="217">
        <f t="shared" si="0"/>
        <v>1</v>
      </c>
      <c r="P54" s="216">
        <f>IF(O54=0,0,IF(B54="MAT",G54*(1+H54)*L54*PLAN_ETAPA!$C$5,IF(B54="MO",IF(M54=0,0,G54*L54*PLAN_ETAPA!$C$5*N54/M54),IF(B54="EQ",IF(M54=0,0,G54*L54*PLAN_ETAPA!$C$5/M54),0))))</f>
        <v>585.82666445699999</v>
      </c>
      <c r="Q54" s="218">
        <f t="shared" si="1"/>
        <v>585.82666445699999</v>
      </c>
    </row>
    <row r="55" spans="1:17" x14ac:dyDescent="0.35">
      <c r="A55" s="212" t="str">
        <f>COMPOSICIÓN!A55</f>
        <v>ALB-036</v>
      </c>
      <c r="B55" s="212" t="str">
        <f>COMPOSICIÓN!B55</f>
        <v>MO</v>
      </c>
      <c r="C55" s="212" t="str">
        <f>COMPOSICIÓN!C55</f>
        <v>ALB</v>
      </c>
      <c r="D55" s="212" t="str">
        <f>COMPOSICIÓN!D55</f>
        <v>MO-EAYUD</v>
      </c>
      <c r="E55" s="212" t="str">
        <f>COMPOSICIÓN!E55</f>
        <v>AYUDANTE</v>
      </c>
      <c r="F55" s="212" t="str">
        <f>COMPOSICIÓN!F55</f>
        <v>j</v>
      </c>
      <c r="G55" s="213">
        <f>COMPOSICIÓN!G55</f>
        <v>1</v>
      </c>
      <c r="H55" s="214">
        <f>COMPOSICIÓN!H55</f>
        <v>0</v>
      </c>
      <c r="I55" s="215">
        <f>COMPOSICIÓN!I55</f>
        <v>60860.580776572002</v>
      </c>
      <c r="J55" s="212" t="str">
        <f>IFERROR(VLOOKUP(A55,PARTIDAS!$A$2:$C$269,3,FALSE()),"")</f>
        <v>MAMPOSTERÍA</v>
      </c>
      <c r="K55" s="212" t="str">
        <f>IFERROR(INDEX(PPTO_GENERADOR!$B$4:$B$220,MATCH(A55,PPTO_GENERADOR!$Q$4:$Q$220,0)),"")</f>
        <v>MAMPOSTERÍA</v>
      </c>
      <c r="L55" s="216">
        <f>IF(PLAN_ETAPA!$C$4="(TODOS)",SUMIFS(PPTO_GENERADOR!$E$4:$E$220,PPTO_GENERADOR!$Q$4:$Q$220,A55),SUMIFS(PPTO_GENERADOR!$E$4:$E$220,PPTO_GENERADOR!$Q$4:$Q$220,A55,PPTO_GENERADOR!$B$4:$B$220,PLAN_ETAPA!$C$4))</f>
        <v>5</v>
      </c>
      <c r="M55" s="216">
        <f>IFERROR(VLOOKUP(A55,PARTIDAS!$A$2:$F$269,6,FALSE()),1)</f>
        <v>15</v>
      </c>
      <c r="N55" s="216">
        <f>IFERROR(VLOOKUP(A55,PARTIDAS!$A$2:$I$269,9,FALSE()),1)</f>
        <v>1</v>
      </c>
      <c r="O55" s="217">
        <f t="shared" si="0"/>
        <v>1</v>
      </c>
      <c r="P55" s="216">
        <f>IF(O55=0,0,IF(B55="MAT",G55*(1+H55)*L55*PLAN_ETAPA!$C$5,IF(B55="MO",IF(M55=0,0,G55*L55*PLAN_ETAPA!$C$5*N55/M55),IF(B55="EQ",IF(M55=0,0,G55*L55*PLAN_ETAPA!$C$5/M55),0))))</f>
        <v>0.33333333333333331</v>
      </c>
      <c r="Q55" s="218">
        <f t="shared" si="1"/>
        <v>20286.860258857334</v>
      </c>
    </row>
    <row r="56" spans="1:17" x14ac:dyDescent="0.35">
      <c r="A56" s="212" t="str">
        <f>COMPOSICIÓN!A56</f>
        <v>ALB-036</v>
      </c>
      <c r="B56" s="212" t="str">
        <f>COMPOSICIÓN!B56</f>
        <v>MO</v>
      </c>
      <c r="C56" s="212" t="str">
        <f>COMPOSICIÓN!C56</f>
        <v>ALB</v>
      </c>
      <c r="D56" s="212" t="str">
        <f>COMPOSICIÓN!D56</f>
        <v>MO-EESPE</v>
      </c>
      <c r="E56" s="212" t="str">
        <f>COMPOSICIÓN!E56</f>
        <v>ESPECIALIZADO</v>
      </c>
      <c r="F56" s="212" t="str">
        <f>COMPOSICIÓN!F56</f>
        <v>j</v>
      </c>
      <c r="G56" s="213">
        <f>COMPOSICIÓN!G56</f>
        <v>1</v>
      </c>
      <c r="H56" s="214">
        <f>COMPOSICIÓN!H56</f>
        <v>0</v>
      </c>
      <c r="I56" s="215">
        <f>COMPOSICIÓN!I56</f>
        <v>85927.097156571996</v>
      </c>
      <c r="J56" s="212" t="str">
        <f>IFERROR(VLOOKUP(A56,PARTIDAS!$A$2:$C$269,3,FALSE()),"")</f>
        <v>MAMPOSTERÍA</v>
      </c>
      <c r="K56" s="212" t="str">
        <f>IFERROR(INDEX(PPTO_GENERADOR!$B$4:$B$220,MATCH(A56,PPTO_GENERADOR!$Q$4:$Q$220,0)),"")</f>
        <v>MAMPOSTERÍA</v>
      </c>
      <c r="L56" s="216">
        <f>IF(PLAN_ETAPA!$C$4="(TODOS)",SUMIFS(PPTO_GENERADOR!$E$4:$E$220,PPTO_GENERADOR!$Q$4:$Q$220,A56),SUMIFS(PPTO_GENERADOR!$E$4:$E$220,PPTO_GENERADOR!$Q$4:$Q$220,A56,PPTO_GENERADOR!$B$4:$B$220,PLAN_ETAPA!$C$4))</f>
        <v>5</v>
      </c>
      <c r="M56" s="216">
        <f>IFERROR(VLOOKUP(A56,PARTIDAS!$A$2:$F$269,6,FALSE()),1)</f>
        <v>15</v>
      </c>
      <c r="N56" s="216">
        <f>IFERROR(VLOOKUP(A56,PARTIDAS!$A$2:$I$269,9,FALSE()),1)</f>
        <v>1</v>
      </c>
      <c r="O56" s="217">
        <f t="shared" si="0"/>
        <v>1</v>
      </c>
      <c r="P56" s="216">
        <f>IF(O56=0,0,IF(B56="MAT",G56*(1+H56)*L56*PLAN_ETAPA!$C$5,IF(B56="MO",IF(M56=0,0,G56*L56*PLAN_ETAPA!$C$5*N56/M56),IF(B56="EQ",IF(M56=0,0,G56*L56*PLAN_ETAPA!$C$5/M56),0))))</f>
        <v>0.33333333333333331</v>
      </c>
      <c r="Q56" s="218">
        <f t="shared" si="1"/>
        <v>28642.365718857331</v>
      </c>
    </row>
    <row r="57" spans="1:17" x14ac:dyDescent="0.35">
      <c r="A57" s="212" t="str">
        <f>COMPOSICIÓN!A57</f>
        <v>ALB-037</v>
      </c>
      <c r="B57" s="212" t="str">
        <f>COMPOSICIÓN!B57</f>
        <v>EQ</v>
      </c>
      <c r="C57" s="212">
        <f>COMPOSICIÓN!C57</f>
        <v>0</v>
      </c>
      <c r="D57" s="212" t="str">
        <f>COMPOSICIÓN!D57</f>
        <v>EQ-ANDAM0</v>
      </c>
      <c r="E57" s="212" t="str">
        <f>COMPOSICIÓN!E57</f>
        <v>ANDAMIO TUBULAR DE UNO A TRES CUERPOS</v>
      </c>
      <c r="F57" s="212">
        <f>COMPOSICIÓN!F57</f>
        <v>0</v>
      </c>
      <c r="G57" s="213">
        <f>COMPOSICIÓN!G57</f>
        <v>0.5</v>
      </c>
      <c r="H57" s="214">
        <f>COMPOSICIÓN!H57</f>
        <v>0</v>
      </c>
      <c r="I57" s="215">
        <f>COMPOSICIÓN!I57</f>
        <v>571.1794909807611</v>
      </c>
      <c r="J57" s="212" t="str">
        <f>IFERROR(VLOOKUP(A57,PARTIDAS!$A$2:$C$269,3,FALSE()),"")</f>
        <v>MAMPOSTERÍA</v>
      </c>
      <c r="K57" s="212" t="str">
        <f>IFERROR(INDEX(PPTO_GENERADOR!$B$4:$B$220,MATCH(A57,PPTO_GENERADOR!$Q$4:$Q$220,0)),"")</f>
        <v/>
      </c>
      <c r="L57" s="216">
        <f>IF(PLAN_ETAPA!$C$4="(TODOS)",SUMIFS(PPTO_GENERADOR!$E$4:$E$220,PPTO_GENERADOR!$Q$4:$Q$220,A57),SUMIFS(PPTO_GENERADOR!$E$4:$E$220,PPTO_GENERADOR!$Q$4:$Q$220,A57,PPTO_GENERADOR!$B$4:$B$220,PLAN_ETAPA!$C$4))</f>
        <v>0</v>
      </c>
      <c r="M57" s="216">
        <f>IFERROR(VLOOKUP(A57,PARTIDAS!$A$2:$F$269,6,FALSE()),1)</f>
        <v>4</v>
      </c>
      <c r="N57" s="216">
        <f>IFERROR(VLOOKUP(A57,PARTIDAS!$A$2:$I$269,9,FALSE()),1)</f>
        <v>1</v>
      </c>
      <c r="O57" s="217">
        <f t="shared" si="0"/>
        <v>0</v>
      </c>
      <c r="P57" s="216">
        <f>IF(O57=0,0,IF(B57="MAT",G57*(1+H57)*L57*PLAN_ETAPA!$C$5,IF(B57="MO",IF(M57=0,0,G57*L57*PLAN_ETAPA!$C$5*N57/M57),IF(B57="EQ",IF(M57=0,0,G57*L57*PLAN_ETAPA!$C$5/M57),0))))</f>
        <v>0</v>
      </c>
      <c r="Q57" s="218">
        <f t="shared" si="1"/>
        <v>0</v>
      </c>
    </row>
    <row r="58" spans="1:17" x14ac:dyDescent="0.35">
      <c r="A58" s="212" t="str">
        <f>COMPOSICIÓN!A58</f>
        <v>ALB-037</v>
      </c>
      <c r="B58" s="212" t="str">
        <f>COMPOSICIÓN!B58</f>
        <v>EQ</v>
      </c>
      <c r="C58" s="212">
        <f>COMPOSICIÓN!C58</f>
        <v>0</v>
      </c>
      <c r="D58" s="212" t="str">
        <f>COMPOSICIÓN!D58</f>
        <v>EQ-EQALBA</v>
      </c>
      <c r="E58" s="212" t="str">
        <f>COMPOSICIÓN!E58</f>
        <v>EQUIPO DE ALBAÑILERIA, carpetas, ladrillo</v>
      </c>
      <c r="F58" s="212">
        <f>COMPOSICIÓN!F58</f>
        <v>0</v>
      </c>
      <c r="G58" s="213">
        <f>COMPOSICIÓN!G58</f>
        <v>1</v>
      </c>
      <c r="H58" s="214">
        <f>COMPOSICIÓN!H58</f>
        <v>0</v>
      </c>
      <c r="I58" s="215">
        <f>COMPOSICIÓN!I58</f>
        <v>2287.1357450968057</v>
      </c>
      <c r="J58" s="212" t="str">
        <f>IFERROR(VLOOKUP(A58,PARTIDAS!$A$2:$C$269,3,FALSE()),"")</f>
        <v>MAMPOSTERÍA</v>
      </c>
      <c r="K58" s="212" t="str">
        <f>IFERROR(INDEX(PPTO_GENERADOR!$B$4:$B$220,MATCH(A58,PPTO_GENERADOR!$Q$4:$Q$220,0)),"")</f>
        <v/>
      </c>
      <c r="L58" s="216">
        <f>IF(PLAN_ETAPA!$C$4="(TODOS)",SUMIFS(PPTO_GENERADOR!$E$4:$E$220,PPTO_GENERADOR!$Q$4:$Q$220,A58),SUMIFS(PPTO_GENERADOR!$E$4:$E$220,PPTO_GENERADOR!$Q$4:$Q$220,A58,PPTO_GENERADOR!$B$4:$B$220,PLAN_ETAPA!$C$4))</f>
        <v>0</v>
      </c>
      <c r="M58" s="216">
        <f>IFERROR(VLOOKUP(A58,PARTIDAS!$A$2:$F$269,6,FALSE()),1)</f>
        <v>4</v>
      </c>
      <c r="N58" s="216">
        <f>IFERROR(VLOOKUP(A58,PARTIDAS!$A$2:$I$269,9,FALSE()),1)</f>
        <v>1</v>
      </c>
      <c r="O58" s="217">
        <f t="shared" si="0"/>
        <v>0</v>
      </c>
      <c r="P58" s="216">
        <f>IF(O58=0,0,IF(B58="MAT",G58*(1+H58)*L58*PLAN_ETAPA!$C$5,IF(B58="MO",IF(M58=0,0,G58*L58*PLAN_ETAPA!$C$5*N58/M58),IF(B58="EQ",IF(M58=0,0,G58*L58*PLAN_ETAPA!$C$5/M58),0))))</f>
        <v>0</v>
      </c>
      <c r="Q58" s="218">
        <f t="shared" si="1"/>
        <v>0</v>
      </c>
    </row>
    <row r="59" spans="1:17" x14ac:dyDescent="0.35">
      <c r="A59" s="212" t="str">
        <f>COMPOSICIÓN!A59</f>
        <v>ALB-037</v>
      </c>
      <c r="B59" s="212" t="str">
        <f>COMPOSICIÓN!B59</f>
        <v>EQ</v>
      </c>
      <c r="C59" s="212">
        <f>COMPOSICIÓN!C59</f>
        <v>0</v>
      </c>
      <c r="D59" s="212" t="str">
        <f>COMPOSICIÓN!D59</f>
        <v>EQ-TROMPO</v>
      </c>
      <c r="E59" s="212" t="str">
        <f>COMPOSICIÓN!E59</f>
        <v>Hormigonera De 150 Litros 1hp Con Rueda Maciza</v>
      </c>
      <c r="F59" s="212">
        <f>COMPOSICIÓN!F59</f>
        <v>0</v>
      </c>
      <c r="G59" s="213">
        <f>COMPOSICIÓN!G59</f>
        <v>1</v>
      </c>
      <c r="H59" s="214">
        <f>COMPOSICIÓN!H59</f>
        <v>0</v>
      </c>
      <c r="I59" s="215">
        <f>COMPOSICIÓN!I59</f>
        <v>957.25319614994726</v>
      </c>
      <c r="J59" s="212" t="str">
        <f>IFERROR(VLOOKUP(A59,PARTIDAS!$A$2:$C$269,3,FALSE()),"")</f>
        <v>MAMPOSTERÍA</v>
      </c>
      <c r="K59" s="212" t="str">
        <f>IFERROR(INDEX(PPTO_GENERADOR!$B$4:$B$220,MATCH(A59,PPTO_GENERADOR!$Q$4:$Q$220,0)),"")</f>
        <v/>
      </c>
      <c r="L59" s="216">
        <f>IF(PLAN_ETAPA!$C$4="(TODOS)",SUMIFS(PPTO_GENERADOR!$E$4:$E$220,PPTO_GENERADOR!$Q$4:$Q$220,A59),SUMIFS(PPTO_GENERADOR!$E$4:$E$220,PPTO_GENERADOR!$Q$4:$Q$220,A59,PPTO_GENERADOR!$B$4:$B$220,PLAN_ETAPA!$C$4))</f>
        <v>0</v>
      </c>
      <c r="M59" s="216">
        <f>IFERROR(VLOOKUP(A59,PARTIDAS!$A$2:$F$269,6,FALSE()),1)</f>
        <v>4</v>
      </c>
      <c r="N59" s="216">
        <f>IFERROR(VLOOKUP(A59,PARTIDAS!$A$2:$I$269,9,FALSE()),1)</f>
        <v>1</v>
      </c>
      <c r="O59" s="217">
        <f t="shared" si="0"/>
        <v>0</v>
      </c>
      <c r="P59" s="216">
        <f>IF(O59=0,0,IF(B59="MAT",G59*(1+H59)*L59*PLAN_ETAPA!$C$5,IF(B59="MO",IF(M59=0,0,G59*L59*PLAN_ETAPA!$C$5*N59/M59),IF(B59="EQ",IF(M59=0,0,G59*L59*PLAN_ETAPA!$C$5/M59),0))))</f>
        <v>0</v>
      </c>
      <c r="Q59" s="218">
        <f t="shared" si="1"/>
        <v>0</v>
      </c>
    </row>
    <row r="60" spans="1:17" x14ac:dyDescent="0.35">
      <c r="A60" s="212" t="str">
        <f>COMPOSICIÓN!A60</f>
        <v>ALB-037</v>
      </c>
      <c r="B60" s="212" t="str">
        <f>COMPOSICIÓN!B60</f>
        <v>MAT</v>
      </c>
      <c r="C60" s="212" t="str">
        <f>COMPOSICIÓN!C60</f>
        <v>OTR</v>
      </c>
      <c r="D60" s="212" t="str">
        <f>COMPOSICIÓN!D60</f>
        <v>ACE-001</v>
      </c>
      <c r="E60" s="212" t="str">
        <f>COMPOSICIÓN!E60</f>
        <v>Barra de Acero Aleteado - 6mm x 12m</v>
      </c>
      <c r="F60" s="212" t="str">
        <f>COMPOSICIÓN!F60</f>
        <v>u</v>
      </c>
      <c r="G60" s="213">
        <f>COMPOSICIÓN!G60</f>
        <v>0.34</v>
      </c>
      <c r="H60" s="214">
        <f>COMPOSICIÓN!H60</f>
        <v>0.1</v>
      </c>
      <c r="I60" s="215">
        <f>COMPOSICIÓN!I60</f>
        <v>3424.53</v>
      </c>
      <c r="J60" s="212" t="str">
        <f>IFERROR(VLOOKUP(A60,PARTIDAS!$A$2:$C$269,3,FALSE()),"")</f>
        <v>MAMPOSTERÍA</v>
      </c>
      <c r="K60" s="212" t="str">
        <f>IFERROR(INDEX(PPTO_GENERADOR!$B$4:$B$220,MATCH(A60,PPTO_GENERADOR!$Q$4:$Q$220,0)),"")</f>
        <v/>
      </c>
      <c r="L60" s="216">
        <f>IF(PLAN_ETAPA!$C$4="(TODOS)",SUMIFS(PPTO_GENERADOR!$E$4:$E$220,PPTO_GENERADOR!$Q$4:$Q$220,A60),SUMIFS(PPTO_GENERADOR!$E$4:$E$220,PPTO_GENERADOR!$Q$4:$Q$220,A60,PPTO_GENERADOR!$B$4:$B$220,PLAN_ETAPA!$C$4))</f>
        <v>0</v>
      </c>
      <c r="M60" s="216">
        <f>IFERROR(VLOOKUP(A60,PARTIDAS!$A$2:$F$269,6,FALSE()),1)</f>
        <v>4</v>
      </c>
      <c r="N60" s="216">
        <f>IFERROR(VLOOKUP(A60,PARTIDAS!$A$2:$I$269,9,FALSE()),1)</f>
        <v>1</v>
      </c>
      <c r="O60" s="217">
        <f t="shared" si="0"/>
        <v>0</v>
      </c>
      <c r="P60" s="216">
        <f>IF(O60=0,0,IF(B60="MAT",G60*(1+H60)*L60*PLAN_ETAPA!$C$5,IF(B60="MO",IF(M60=0,0,G60*L60*PLAN_ETAPA!$C$5*N60/M60),IF(B60="EQ",IF(M60=0,0,G60*L60*PLAN_ETAPA!$C$5/M60),0))))</f>
        <v>0</v>
      </c>
      <c r="Q60" s="218">
        <f t="shared" si="1"/>
        <v>0</v>
      </c>
    </row>
    <row r="61" spans="1:17" x14ac:dyDescent="0.35">
      <c r="A61" s="212" t="str">
        <f>COMPOSICIÓN!A61</f>
        <v>ALB-037</v>
      </c>
      <c r="B61" s="212" t="str">
        <f>COMPOSICIÓN!B61</f>
        <v>MAT</v>
      </c>
      <c r="C61" s="212" t="str">
        <f>COMPOSICIÓN!C61</f>
        <v>OTR</v>
      </c>
      <c r="D61" s="212" t="str">
        <f>COMPOSICIÓN!D61</f>
        <v>AGR-001</v>
      </c>
      <c r="E61" s="212" t="str">
        <f>COMPOSICIÓN!E61</f>
        <v>ARENA LAVADA</v>
      </c>
      <c r="F61" s="212" t="str">
        <f>COMPOSICIÓN!F61</f>
        <v>m3</v>
      </c>
      <c r="G61" s="213">
        <f>COMPOSICIÓN!G61</f>
        <v>5.2999999999999999E-2</v>
      </c>
      <c r="H61" s="214">
        <f>COMPOSICIÓN!H61</f>
        <v>0.1</v>
      </c>
      <c r="I61" s="215">
        <f>COMPOSICIÓN!I61</f>
        <v>32399.77</v>
      </c>
      <c r="J61" s="212" t="str">
        <f>IFERROR(VLOOKUP(A61,PARTIDAS!$A$2:$C$269,3,FALSE()),"")</f>
        <v>MAMPOSTERÍA</v>
      </c>
      <c r="K61" s="212" t="str">
        <f>IFERROR(INDEX(PPTO_GENERADOR!$B$4:$B$220,MATCH(A61,PPTO_GENERADOR!$Q$4:$Q$220,0)),"")</f>
        <v/>
      </c>
      <c r="L61" s="216">
        <f>IF(PLAN_ETAPA!$C$4="(TODOS)",SUMIFS(PPTO_GENERADOR!$E$4:$E$220,PPTO_GENERADOR!$Q$4:$Q$220,A61),SUMIFS(PPTO_GENERADOR!$E$4:$E$220,PPTO_GENERADOR!$Q$4:$Q$220,A61,PPTO_GENERADOR!$B$4:$B$220,PLAN_ETAPA!$C$4))</f>
        <v>0</v>
      </c>
      <c r="M61" s="216">
        <f>IFERROR(VLOOKUP(A61,PARTIDAS!$A$2:$F$269,6,FALSE()),1)</f>
        <v>4</v>
      </c>
      <c r="N61" s="216">
        <f>IFERROR(VLOOKUP(A61,PARTIDAS!$A$2:$I$269,9,FALSE()),1)</f>
        <v>1</v>
      </c>
      <c r="O61" s="217">
        <f t="shared" si="0"/>
        <v>0</v>
      </c>
      <c r="P61" s="216">
        <f>IF(O61=0,0,IF(B61="MAT",G61*(1+H61)*L61*PLAN_ETAPA!$C$5,IF(B61="MO",IF(M61=0,0,G61*L61*PLAN_ETAPA!$C$5*N61/M61),IF(B61="EQ",IF(M61=0,0,G61*L61*PLAN_ETAPA!$C$5/M61),0))))</f>
        <v>0</v>
      </c>
      <c r="Q61" s="218">
        <f t="shared" si="1"/>
        <v>0</v>
      </c>
    </row>
    <row r="62" spans="1:17" x14ac:dyDescent="0.35">
      <c r="A62" s="212" t="str">
        <f>COMPOSICIÓN!A62</f>
        <v>ALB-037</v>
      </c>
      <c r="B62" s="212" t="str">
        <f>COMPOSICIÓN!B62</f>
        <v>MAT</v>
      </c>
      <c r="C62" s="212" t="str">
        <f>COMPOSICIÓN!C62</f>
        <v>OTR</v>
      </c>
      <c r="D62" s="212" t="str">
        <f>COMPOSICIÓN!D62</f>
        <v>AGR-004</v>
      </c>
      <c r="E62" s="212" t="str">
        <f>COMPOSICIÓN!E62</f>
        <v>Cemento Portland x 50kg</v>
      </c>
      <c r="F62" s="212" t="str">
        <f>COMPOSICIÓN!F62</f>
        <v>Bol</v>
      </c>
      <c r="G62" s="213">
        <f>COMPOSICIÓN!G62</f>
        <v>0.254</v>
      </c>
      <c r="H62" s="214">
        <f>COMPOSICIÓN!H62</f>
        <v>0.1</v>
      </c>
      <c r="I62" s="215">
        <f>COMPOSICIÓN!I62</f>
        <v>7809.48</v>
      </c>
      <c r="J62" s="212" t="str">
        <f>IFERROR(VLOOKUP(A62,PARTIDAS!$A$2:$C$269,3,FALSE()),"")</f>
        <v>MAMPOSTERÍA</v>
      </c>
      <c r="K62" s="212" t="str">
        <f>IFERROR(INDEX(PPTO_GENERADOR!$B$4:$B$220,MATCH(A62,PPTO_GENERADOR!$Q$4:$Q$220,0)),"")</f>
        <v/>
      </c>
      <c r="L62" s="216">
        <f>IF(PLAN_ETAPA!$C$4="(TODOS)",SUMIFS(PPTO_GENERADOR!$E$4:$E$220,PPTO_GENERADOR!$Q$4:$Q$220,A62),SUMIFS(PPTO_GENERADOR!$E$4:$E$220,PPTO_GENERADOR!$Q$4:$Q$220,A62,PPTO_GENERADOR!$B$4:$B$220,PLAN_ETAPA!$C$4))</f>
        <v>0</v>
      </c>
      <c r="M62" s="216">
        <f>IFERROR(VLOOKUP(A62,PARTIDAS!$A$2:$F$269,6,FALSE()),1)</f>
        <v>4</v>
      </c>
      <c r="N62" s="216">
        <f>IFERROR(VLOOKUP(A62,PARTIDAS!$A$2:$I$269,9,FALSE()),1)</f>
        <v>1</v>
      </c>
      <c r="O62" s="217">
        <f t="shared" si="0"/>
        <v>0</v>
      </c>
      <c r="P62" s="216">
        <f>IF(O62=0,0,IF(B62="MAT",G62*(1+H62)*L62*PLAN_ETAPA!$C$5,IF(B62="MO",IF(M62=0,0,G62*L62*PLAN_ETAPA!$C$5*N62/M62),IF(B62="EQ",IF(M62=0,0,G62*L62*PLAN_ETAPA!$C$5/M62),0))))</f>
        <v>0</v>
      </c>
      <c r="Q62" s="218">
        <f t="shared" si="1"/>
        <v>0</v>
      </c>
    </row>
    <row r="63" spans="1:17" x14ac:dyDescent="0.35">
      <c r="A63" s="212" t="str">
        <f>COMPOSICIÓN!A63</f>
        <v>ALB-037</v>
      </c>
      <c r="B63" s="212" t="str">
        <f>COMPOSICIÓN!B63</f>
        <v>MAT</v>
      </c>
      <c r="C63" s="212" t="str">
        <f>COMPOSICIÓN!C63</f>
        <v>OTR</v>
      </c>
      <c r="D63" s="212" t="str">
        <f>COMPOSICIÓN!D63</f>
        <v>AGR-005</v>
      </c>
      <c r="E63" s="212" t="str">
        <f>COMPOSICIÓN!E63</f>
        <v>Cal Comun x 25kg</v>
      </c>
      <c r="F63" s="212" t="str">
        <f>COMPOSICIÓN!F63</f>
        <v>bol</v>
      </c>
      <c r="G63" s="213">
        <f>COMPOSICIÓN!G63</f>
        <v>0.4</v>
      </c>
      <c r="H63" s="214">
        <f>COMPOSICIÓN!H63</f>
        <v>0.1</v>
      </c>
      <c r="I63" s="215">
        <f>COMPOSICIÓN!I63</f>
        <v>3837.96</v>
      </c>
      <c r="J63" s="212" t="str">
        <f>IFERROR(VLOOKUP(A63,PARTIDAS!$A$2:$C$269,3,FALSE()),"")</f>
        <v>MAMPOSTERÍA</v>
      </c>
      <c r="K63" s="212" t="str">
        <f>IFERROR(INDEX(PPTO_GENERADOR!$B$4:$B$220,MATCH(A63,PPTO_GENERADOR!$Q$4:$Q$220,0)),"")</f>
        <v/>
      </c>
      <c r="L63" s="216">
        <f>IF(PLAN_ETAPA!$C$4="(TODOS)",SUMIFS(PPTO_GENERADOR!$E$4:$E$220,PPTO_GENERADOR!$Q$4:$Q$220,A63),SUMIFS(PPTO_GENERADOR!$E$4:$E$220,PPTO_GENERADOR!$Q$4:$Q$220,A63,PPTO_GENERADOR!$B$4:$B$220,PLAN_ETAPA!$C$4))</f>
        <v>0</v>
      </c>
      <c r="M63" s="216">
        <f>IFERROR(VLOOKUP(A63,PARTIDAS!$A$2:$F$269,6,FALSE()),1)</f>
        <v>4</v>
      </c>
      <c r="N63" s="216">
        <f>IFERROR(VLOOKUP(A63,PARTIDAS!$A$2:$I$269,9,FALSE()),1)</f>
        <v>1</v>
      </c>
      <c r="O63" s="217">
        <f t="shared" si="0"/>
        <v>0</v>
      </c>
      <c r="P63" s="216">
        <f>IF(O63=0,0,IF(B63="MAT",G63*(1+H63)*L63*PLAN_ETAPA!$C$5,IF(B63="MO",IF(M63=0,0,G63*L63*PLAN_ETAPA!$C$5*N63/M63),IF(B63="EQ",IF(M63=0,0,G63*L63*PLAN_ETAPA!$C$5/M63),0))))</f>
        <v>0</v>
      </c>
      <c r="Q63" s="218">
        <f t="shared" si="1"/>
        <v>0</v>
      </c>
    </row>
    <row r="64" spans="1:17" x14ac:dyDescent="0.35">
      <c r="A64" s="212" t="str">
        <f>COMPOSICIÓN!A64</f>
        <v>ALB-037</v>
      </c>
      <c r="B64" s="212" t="str">
        <f>COMPOSICIÓN!B64</f>
        <v>MAT</v>
      </c>
      <c r="C64" s="212" t="str">
        <f>COMPOSICIÓN!C64</f>
        <v>OTR</v>
      </c>
      <c r="D64" s="212" t="str">
        <f>COMPOSICIÓN!D64</f>
        <v>AIS-001</v>
      </c>
      <c r="E64" s="212" t="str">
        <f>COMPOSICIÓN!E64</f>
        <v>Aditivo Hidrofugo en pasta - Ceresita x 1kg</v>
      </c>
      <c r="F64" s="212" t="str">
        <f>COMPOSICIÓN!F64</f>
        <v>kg</v>
      </c>
      <c r="G64" s="213">
        <f>COMPOSICIÓN!G64</f>
        <v>0.1</v>
      </c>
      <c r="H64" s="214">
        <f>COMPOSICIÓN!H64</f>
        <v>0.05</v>
      </c>
      <c r="I64" s="215">
        <f>COMPOSICIÓN!I64</f>
        <v>1256.1279999999999</v>
      </c>
      <c r="J64" s="212" t="str">
        <f>IFERROR(VLOOKUP(A64,PARTIDAS!$A$2:$C$269,3,FALSE()),"")</f>
        <v>MAMPOSTERÍA</v>
      </c>
      <c r="K64" s="212" t="str">
        <f>IFERROR(INDEX(PPTO_GENERADOR!$B$4:$B$220,MATCH(A64,PPTO_GENERADOR!$Q$4:$Q$220,0)),"")</f>
        <v/>
      </c>
      <c r="L64" s="216">
        <f>IF(PLAN_ETAPA!$C$4="(TODOS)",SUMIFS(PPTO_GENERADOR!$E$4:$E$220,PPTO_GENERADOR!$Q$4:$Q$220,A64),SUMIFS(PPTO_GENERADOR!$E$4:$E$220,PPTO_GENERADOR!$Q$4:$Q$220,A64,PPTO_GENERADOR!$B$4:$B$220,PLAN_ETAPA!$C$4))</f>
        <v>0</v>
      </c>
      <c r="M64" s="216">
        <f>IFERROR(VLOOKUP(A64,PARTIDAS!$A$2:$F$269,6,FALSE()),1)</f>
        <v>4</v>
      </c>
      <c r="N64" s="216">
        <f>IFERROR(VLOOKUP(A64,PARTIDAS!$A$2:$I$269,9,FALSE()),1)</f>
        <v>1</v>
      </c>
      <c r="O64" s="217">
        <f t="shared" si="0"/>
        <v>0</v>
      </c>
      <c r="P64" s="216">
        <f>IF(O64=0,0,IF(B64="MAT",G64*(1+H64)*L64*PLAN_ETAPA!$C$5,IF(B64="MO",IF(M64=0,0,G64*L64*PLAN_ETAPA!$C$5*N64/M64),IF(B64="EQ",IF(M64=0,0,G64*L64*PLAN_ETAPA!$C$5/M64),0))))</f>
        <v>0</v>
      </c>
      <c r="Q64" s="218">
        <f t="shared" si="1"/>
        <v>0</v>
      </c>
    </row>
    <row r="65" spans="1:17" x14ac:dyDescent="0.35">
      <c r="A65" s="212" t="str">
        <f>COMPOSICIÓN!A65</f>
        <v>ALB-037</v>
      </c>
      <c r="B65" s="212" t="str">
        <f>COMPOSICIÓN!B65</f>
        <v>MAT</v>
      </c>
      <c r="C65" s="212" t="str">
        <f>COMPOSICIÓN!C65</f>
        <v>OTR</v>
      </c>
      <c r="D65" s="212" t="str">
        <f>COMPOSICIÓN!D65</f>
        <v>CER-002</v>
      </c>
      <c r="E65" s="212" t="str">
        <f>COMPOSICIÓN!E65</f>
        <v>LADRILLO CERAMICO 8 x 18 x 33 cm</v>
      </c>
      <c r="F65" s="212" t="str">
        <f>COMPOSICIÓN!F65</f>
        <v>u</v>
      </c>
      <c r="G65" s="213">
        <f>COMPOSICIÓN!G65</f>
        <v>15</v>
      </c>
      <c r="H65" s="214">
        <f>COMPOSICIÓN!H65</f>
        <v>0.05</v>
      </c>
      <c r="I65" s="215">
        <f>COMPOSICIÓN!I65</f>
        <v>292.32</v>
      </c>
      <c r="J65" s="212" t="str">
        <f>IFERROR(VLOOKUP(A65,PARTIDAS!$A$2:$C$269,3,FALSE()),"")</f>
        <v>MAMPOSTERÍA</v>
      </c>
      <c r="K65" s="212" t="str">
        <f>IFERROR(INDEX(PPTO_GENERADOR!$B$4:$B$220,MATCH(A65,PPTO_GENERADOR!$Q$4:$Q$220,0)),"")</f>
        <v/>
      </c>
      <c r="L65" s="216">
        <f>IF(PLAN_ETAPA!$C$4="(TODOS)",SUMIFS(PPTO_GENERADOR!$E$4:$E$220,PPTO_GENERADOR!$Q$4:$Q$220,A65),SUMIFS(PPTO_GENERADOR!$E$4:$E$220,PPTO_GENERADOR!$Q$4:$Q$220,A65,PPTO_GENERADOR!$B$4:$B$220,PLAN_ETAPA!$C$4))</f>
        <v>0</v>
      </c>
      <c r="M65" s="216">
        <f>IFERROR(VLOOKUP(A65,PARTIDAS!$A$2:$F$269,6,FALSE()),1)</f>
        <v>4</v>
      </c>
      <c r="N65" s="216">
        <f>IFERROR(VLOOKUP(A65,PARTIDAS!$A$2:$I$269,9,FALSE()),1)</f>
        <v>1</v>
      </c>
      <c r="O65" s="217">
        <f t="shared" si="0"/>
        <v>0</v>
      </c>
      <c r="P65" s="216">
        <f>IF(O65=0,0,IF(B65="MAT",G65*(1+H65)*L65*PLAN_ETAPA!$C$5,IF(B65="MO",IF(M65=0,0,G65*L65*PLAN_ETAPA!$C$5*N65/M65),IF(B65="EQ",IF(M65=0,0,G65*L65*PLAN_ETAPA!$C$5/M65),0))))</f>
        <v>0</v>
      </c>
      <c r="Q65" s="218">
        <f t="shared" si="1"/>
        <v>0</v>
      </c>
    </row>
    <row r="66" spans="1:17" x14ac:dyDescent="0.35">
      <c r="A66" s="212" t="str">
        <f>COMPOSICIÓN!A66</f>
        <v>ALB-037</v>
      </c>
      <c r="B66" s="212" t="str">
        <f>COMPOSICIÓN!B66</f>
        <v>MAT</v>
      </c>
      <c r="C66" s="212" t="str">
        <f>COMPOSICIÓN!C66</f>
        <v>OTR</v>
      </c>
      <c r="D66" s="212" t="str">
        <f>COMPOSICIÓN!D66</f>
        <v>CER-001</v>
      </c>
      <c r="E66" s="212" t="str">
        <f>COMPOSICIÓN!E66</f>
        <v>ladrillo a la vista 1 cara</v>
      </c>
      <c r="F66" s="212" t="str">
        <f>COMPOSICIÓN!F66</f>
        <v>u</v>
      </c>
      <c r="G66" s="213">
        <f>COMPOSICIÓN!G66</f>
        <v>60</v>
      </c>
      <c r="H66" s="214">
        <f>COMPOSICIÓN!H66</f>
        <v>0.05</v>
      </c>
      <c r="I66" s="215">
        <f>COMPOSICIÓN!I66</f>
        <v>233.44</v>
      </c>
      <c r="J66" s="212" t="str">
        <f>IFERROR(VLOOKUP(A66,PARTIDAS!$A$2:$C$269,3,FALSE()),"")</f>
        <v>MAMPOSTERÍA</v>
      </c>
      <c r="K66" s="212" t="str">
        <f>IFERROR(INDEX(PPTO_GENERADOR!$B$4:$B$220,MATCH(A66,PPTO_GENERADOR!$Q$4:$Q$220,0)),"")</f>
        <v/>
      </c>
      <c r="L66" s="216">
        <f>IF(PLAN_ETAPA!$C$4="(TODOS)",SUMIFS(PPTO_GENERADOR!$E$4:$E$220,PPTO_GENERADOR!$Q$4:$Q$220,A66),SUMIFS(PPTO_GENERADOR!$E$4:$E$220,PPTO_GENERADOR!$Q$4:$Q$220,A66,PPTO_GENERADOR!$B$4:$B$220,PLAN_ETAPA!$C$4))</f>
        <v>0</v>
      </c>
      <c r="M66" s="216">
        <f>IFERROR(VLOOKUP(A66,PARTIDAS!$A$2:$F$269,6,FALSE()),1)</f>
        <v>4</v>
      </c>
      <c r="N66" s="216">
        <f>IFERROR(VLOOKUP(A66,PARTIDAS!$A$2:$I$269,9,FALSE()),1)</f>
        <v>1</v>
      </c>
      <c r="O66" s="217">
        <f t="shared" ref="O66:O129" si="2">IF(L66&gt;0,1,0)</f>
        <v>0</v>
      </c>
      <c r="P66" s="216">
        <f>IF(O66=0,0,IF(B66="MAT",G66*(1+H66)*L66*PLAN_ETAPA!$C$5,IF(B66="MO",IF(M66=0,0,G66*L66*PLAN_ETAPA!$C$5*N66/M66),IF(B66="EQ",IF(M66=0,0,G66*L66*PLAN_ETAPA!$C$5/M66),0))))</f>
        <v>0</v>
      </c>
      <c r="Q66" s="218">
        <f t="shared" ref="Q66:Q129" si="3">P66*I66</f>
        <v>0</v>
      </c>
    </row>
    <row r="67" spans="1:17" x14ac:dyDescent="0.35">
      <c r="A67" s="212" t="str">
        <f>COMPOSICIÓN!A67</f>
        <v>ALB-037</v>
      </c>
      <c r="B67" s="212" t="str">
        <f>COMPOSICIÓN!B67</f>
        <v>MAT</v>
      </c>
      <c r="C67" s="212" t="str">
        <f>COMPOSICIÓN!C67</f>
        <v>OTR</v>
      </c>
      <c r="D67" s="212" t="str">
        <f>COMPOSICIÓN!D67</f>
        <v>MAT-CONS</v>
      </c>
      <c r="E67" s="212" t="str">
        <f>COMPOSICIÓN!E67</f>
        <v>Consumibles</v>
      </c>
      <c r="F67" s="212" t="str">
        <f>COMPOSICIÓN!F67</f>
        <v>gl</v>
      </c>
      <c r="G67" s="213">
        <f>COMPOSICIÓN!G67</f>
        <v>285.29000000000002</v>
      </c>
      <c r="H67" s="214">
        <f>COMPOSICIÓN!H67</f>
        <v>0</v>
      </c>
      <c r="I67" s="215">
        <f>COMPOSICIÓN!I67</f>
        <v>1</v>
      </c>
      <c r="J67" s="212" t="str">
        <f>IFERROR(VLOOKUP(A67,PARTIDAS!$A$2:$C$269,3,FALSE()),"")</f>
        <v>MAMPOSTERÍA</v>
      </c>
      <c r="K67" s="212" t="str">
        <f>IFERROR(INDEX(PPTO_GENERADOR!$B$4:$B$220,MATCH(A67,PPTO_GENERADOR!$Q$4:$Q$220,0)),"")</f>
        <v/>
      </c>
      <c r="L67" s="216">
        <f>IF(PLAN_ETAPA!$C$4="(TODOS)",SUMIFS(PPTO_GENERADOR!$E$4:$E$220,PPTO_GENERADOR!$Q$4:$Q$220,A67),SUMIFS(PPTO_GENERADOR!$E$4:$E$220,PPTO_GENERADOR!$Q$4:$Q$220,A67,PPTO_GENERADOR!$B$4:$B$220,PLAN_ETAPA!$C$4))</f>
        <v>0</v>
      </c>
      <c r="M67" s="216">
        <f>IFERROR(VLOOKUP(A67,PARTIDAS!$A$2:$F$269,6,FALSE()),1)</f>
        <v>4</v>
      </c>
      <c r="N67" s="216">
        <f>IFERROR(VLOOKUP(A67,PARTIDAS!$A$2:$I$269,9,FALSE()),1)</f>
        <v>1</v>
      </c>
      <c r="O67" s="217">
        <f t="shared" si="2"/>
        <v>0</v>
      </c>
      <c r="P67" s="216">
        <f>IF(O67=0,0,IF(B67="MAT",G67*(1+H67)*L67*PLAN_ETAPA!$C$5,IF(B67="MO",IF(M67=0,0,G67*L67*PLAN_ETAPA!$C$5*N67/M67),IF(B67="EQ",IF(M67=0,0,G67*L67*PLAN_ETAPA!$C$5/M67),0))))</f>
        <v>0</v>
      </c>
      <c r="Q67" s="218">
        <f t="shared" si="3"/>
        <v>0</v>
      </c>
    </row>
    <row r="68" spans="1:17" x14ac:dyDescent="0.35">
      <c r="A68" s="212" t="str">
        <f>COMPOSICIÓN!A68</f>
        <v>ALB-037</v>
      </c>
      <c r="B68" s="212" t="str">
        <f>COMPOSICIÓN!B68</f>
        <v>MAT</v>
      </c>
      <c r="C68" s="212" t="str">
        <f>COMPOSICIÓN!C68</f>
        <v>OTR</v>
      </c>
      <c r="D68" s="212" t="str">
        <f>COMPOSICIÓN!D68</f>
        <v>OTR-022</v>
      </c>
      <c r="E68" s="212" t="str">
        <f>COMPOSICIÓN!E68</f>
        <v>Aguarras Hydrarras Hydra x 18lts</v>
      </c>
      <c r="F68" s="212" t="str">
        <f>COMPOSICIÓN!F68</f>
        <v>b</v>
      </c>
      <c r="G68" s="213">
        <f>COMPOSICIÓN!G68</f>
        <v>5.0000000000000001E-3</v>
      </c>
      <c r="H68" s="214">
        <f>COMPOSICIÓN!H68</f>
        <v>0.05</v>
      </c>
      <c r="I68" s="215">
        <f>COMPOSICIÓN!I68</f>
        <v>26907.33</v>
      </c>
      <c r="J68" s="212" t="str">
        <f>IFERROR(VLOOKUP(A68,PARTIDAS!$A$2:$C$269,3,FALSE()),"")</f>
        <v>MAMPOSTERÍA</v>
      </c>
      <c r="K68" s="212" t="str">
        <f>IFERROR(INDEX(PPTO_GENERADOR!$B$4:$B$220,MATCH(A68,PPTO_GENERADOR!$Q$4:$Q$220,0)),"")</f>
        <v/>
      </c>
      <c r="L68" s="216">
        <f>IF(PLAN_ETAPA!$C$4="(TODOS)",SUMIFS(PPTO_GENERADOR!$E$4:$E$220,PPTO_GENERADOR!$Q$4:$Q$220,A68),SUMIFS(PPTO_GENERADOR!$E$4:$E$220,PPTO_GENERADOR!$Q$4:$Q$220,A68,PPTO_GENERADOR!$B$4:$B$220,PLAN_ETAPA!$C$4))</f>
        <v>0</v>
      </c>
      <c r="M68" s="216">
        <f>IFERROR(VLOOKUP(A68,PARTIDAS!$A$2:$F$269,6,FALSE()),1)</f>
        <v>4</v>
      </c>
      <c r="N68" s="216">
        <f>IFERROR(VLOOKUP(A68,PARTIDAS!$A$2:$I$269,9,FALSE()),1)</f>
        <v>1</v>
      </c>
      <c r="O68" s="217">
        <f t="shared" si="2"/>
        <v>0</v>
      </c>
      <c r="P68" s="216">
        <f>IF(O68=0,0,IF(B68="MAT",G68*(1+H68)*L68*PLAN_ETAPA!$C$5,IF(B68="MO",IF(M68=0,0,G68*L68*PLAN_ETAPA!$C$5*N68/M68),IF(B68="EQ",IF(M68=0,0,G68*L68*PLAN_ETAPA!$C$5/M68),0))))</f>
        <v>0</v>
      </c>
      <c r="Q68" s="218">
        <f t="shared" si="3"/>
        <v>0</v>
      </c>
    </row>
    <row r="69" spans="1:17" x14ac:dyDescent="0.35">
      <c r="A69" s="212" t="str">
        <f>COMPOSICIÓN!A69</f>
        <v>ALB-037</v>
      </c>
      <c r="B69" s="212" t="str">
        <f>COMPOSICIÓN!B69</f>
        <v>MAT</v>
      </c>
      <c r="C69" s="212" t="str">
        <f>COMPOSICIÓN!C69</f>
        <v>OTR</v>
      </c>
      <c r="D69" s="212" t="str">
        <f>COMPOSICIÓN!D69</f>
        <v>OTR-027</v>
      </c>
      <c r="E69" s="212" t="str">
        <f>COMPOSICIÓN!E69</f>
        <v>Rodillo de lana pelo largo N°22 - El Galgo</v>
      </c>
      <c r="F69" s="212" t="str">
        <f>COMPOSICIÓN!F69</f>
        <v>u</v>
      </c>
      <c r="G69" s="213">
        <f>COMPOSICIÓN!G69</f>
        <v>0.01</v>
      </c>
      <c r="H69" s="214">
        <f>COMPOSICIÓN!H69</f>
        <v>0.05</v>
      </c>
      <c r="I69" s="215">
        <f>COMPOSICIÓN!I69</f>
        <v>6678.36</v>
      </c>
      <c r="J69" s="212" t="str">
        <f>IFERROR(VLOOKUP(A69,PARTIDAS!$A$2:$C$269,3,FALSE()),"")</f>
        <v>MAMPOSTERÍA</v>
      </c>
      <c r="K69" s="212" t="str">
        <f>IFERROR(INDEX(PPTO_GENERADOR!$B$4:$B$220,MATCH(A69,PPTO_GENERADOR!$Q$4:$Q$220,0)),"")</f>
        <v/>
      </c>
      <c r="L69" s="216">
        <f>IF(PLAN_ETAPA!$C$4="(TODOS)",SUMIFS(PPTO_GENERADOR!$E$4:$E$220,PPTO_GENERADOR!$Q$4:$Q$220,A69),SUMIFS(PPTO_GENERADOR!$E$4:$E$220,PPTO_GENERADOR!$Q$4:$Q$220,A69,PPTO_GENERADOR!$B$4:$B$220,PLAN_ETAPA!$C$4))</f>
        <v>0</v>
      </c>
      <c r="M69" s="216">
        <f>IFERROR(VLOOKUP(A69,PARTIDAS!$A$2:$F$269,6,FALSE()),1)</f>
        <v>4</v>
      </c>
      <c r="N69" s="216">
        <f>IFERROR(VLOOKUP(A69,PARTIDAS!$A$2:$I$269,9,FALSE()),1)</f>
        <v>1</v>
      </c>
      <c r="O69" s="217">
        <f t="shared" si="2"/>
        <v>0</v>
      </c>
      <c r="P69" s="216">
        <f>IF(O69=0,0,IF(B69="MAT",G69*(1+H69)*L69*PLAN_ETAPA!$C$5,IF(B69="MO",IF(M69=0,0,G69*L69*PLAN_ETAPA!$C$5*N69/M69),IF(B69="EQ",IF(M69=0,0,G69*L69*PLAN_ETAPA!$C$5/M69),0))))</f>
        <v>0</v>
      </c>
      <c r="Q69" s="218">
        <f t="shared" si="3"/>
        <v>0</v>
      </c>
    </row>
    <row r="70" spans="1:17" x14ac:dyDescent="0.35">
      <c r="A70" s="212" t="str">
        <f>COMPOSICIÓN!A70</f>
        <v>ALB-037</v>
      </c>
      <c r="B70" s="212" t="str">
        <f>COMPOSICIÓN!B70</f>
        <v>MAT</v>
      </c>
      <c r="C70" s="212" t="str">
        <f>COMPOSICIÓN!C70</f>
        <v>OTR</v>
      </c>
      <c r="D70" s="212" t="str">
        <f>COMPOSICIÓN!D70</f>
        <v>PIN-008</v>
      </c>
      <c r="E70" s="212" t="str">
        <f>COMPOSICIÓN!E70</f>
        <v>Pintura Asfaltica Asfasol x18ts</v>
      </c>
      <c r="F70" s="212" t="str">
        <f>COMPOSICIÓN!F70</f>
        <v>b</v>
      </c>
      <c r="G70" s="213">
        <f>COMPOSICIÓN!G70</f>
        <v>2.7777777777777801E-2</v>
      </c>
      <c r="H70" s="214">
        <f>COMPOSICIÓN!H70</f>
        <v>0.1</v>
      </c>
      <c r="I70" s="215">
        <f>COMPOSICIÓN!I70</f>
        <v>32845.78</v>
      </c>
      <c r="J70" s="212" t="str">
        <f>IFERROR(VLOOKUP(A70,PARTIDAS!$A$2:$C$269,3,FALSE()),"")</f>
        <v>MAMPOSTERÍA</v>
      </c>
      <c r="K70" s="212" t="str">
        <f>IFERROR(INDEX(PPTO_GENERADOR!$B$4:$B$220,MATCH(A70,PPTO_GENERADOR!$Q$4:$Q$220,0)),"")</f>
        <v/>
      </c>
      <c r="L70" s="216">
        <f>IF(PLAN_ETAPA!$C$4="(TODOS)",SUMIFS(PPTO_GENERADOR!$E$4:$E$220,PPTO_GENERADOR!$Q$4:$Q$220,A70),SUMIFS(PPTO_GENERADOR!$E$4:$E$220,PPTO_GENERADOR!$Q$4:$Q$220,A70,PPTO_GENERADOR!$B$4:$B$220,PLAN_ETAPA!$C$4))</f>
        <v>0</v>
      </c>
      <c r="M70" s="216">
        <f>IFERROR(VLOOKUP(A70,PARTIDAS!$A$2:$F$269,6,FALSE()),1)</f>
        <v>4</v>
      </c>
      <c r="N70" s="216">
        <f>IFERROR(VLOOKUP(A70,PARTIDAS!$A$2:$I$269,9,FALSE()),1)</f>
        <v>1</v>
      </c>
      <c r="O70" s="217">
        <f t="shared" si="2"/>
        <v>0</v>
      </c>
      <c r="P70" s="216">
        <f>IF(O70=0,0,IF(B70="MAT",G70*(1+H70)*L70*PLAN_ETAPA!$C$5,IF(B70="MO",IF(M70=0,0,G70*L70*PLAN_ETAPA!$C$5*N70/M70),IF(B70="EQ",IF(M70=0,0,G70*L70*PLAN_ETAPA!$C$5/M70),0))))</f>
        <v>0</v>
      </c>
      <c r="Q70" s="218">
        <f t="shared" si="3"/>
        <v>0</v>
      </c>
    </row>
    <row r="71" spans="1:17" x14ac:dyDescent="0.35">
      <c r="A71" s="212" t="str">
        <f>COMPOSICIÓN!A71</f>
        <v>ALB-037</v>
      </c>
      <c r="B71" s="212" t="str">
        <f>COMPOSICIÓN!B71</f>
        <v>MO</v>
      </c>
      <c r="C71" s="212" t="str">
        <f>COMPOSICIÓN!C71</f>
        <v>ALB</v>
      </c>
      <c r="D71" s="212" t="str">
        <f>COMPOSICIÓN!D71</f>
        <v>MO-EAYUD</v>
      </c>
      <c r="E71" s="212" t="str">
        <f>COMPOSICIÓN!E71</f>
        <v>AYUDANTE</v>
      </c>
      <c r="F71" s="212" t="str">
        <f>COMPOSICIÓN!F71</f>
        <v>j</v>
      </c>
      <c r="G71" s="213">
        <f>COMPOSICIÓN!G71</f>
        <v>0.91</v>
      </c>
      <c r="H71" s="214">
        <f>COMPOSICIÓN!H71</f>
        <v>0</v>
      </c>
      <c r="I71" s="215">
        <f>COMPOSICIÓN!I71</f>
        <v>60860.580776572002</v>
      </c>
      <c r="J71" s="212" t="str">
        <f>IFERROR(VLOOKUP(A71,PARTIDAS!$A$2:$C$269,3,FALSE()),"")</f>
        <v>MAMPOSTERÍA</v>
      </c>
      <c r="K71" s="212" t="str">
        <f>IFERROR(INDEX(PPTO_GENERADOR!$B$4:$B$220,MATCH(A71,PPTO_GENERADOR!$Q$4:$Q$220,0)),"")</f>
        <v/>
      </c>
      <c r="L71" s="216">
        <f>IF(PLAN_ETAPA!$C$4="(TODOS)",SUMIFS(PPTO_GENERADOR!$E$4:$E$220,PPTO_GENERADOR!$Q$4:$Q$220,A71),SUMIFS(PPTO_GENERADOR!$E$4:$E$220,PPTO_GENERADOR!$Q$4:$Q$220,A71,PPTO_GENERADOR!$B$4:$B$220,PLAN_ETAPA!$C$4))</f>
        <v>0</v>
      </c>
      <c r="M71" s="216">
        <f>IFERROR(VLOOKUP(A71,PARTIDAS!$A$2:$F$269,6,FALSE()),1)</f>
        <v>4</v>
      </c>
      <c r="N71" s="216">
        <f>IFERROR(VLOOKUP(A71,PARTIDAS!$A$2:$I$269,9,FALSE()),1)</f>
        <v>1</v>
      </c>
      <c r="O71" s="217">
        <f t="shared" si="2"/>
        <v>0</v>
      </c>
      <c r="P71" s="216">
        <f>IF(O71=0,0,IF(B71="MAT",G71*(1+H71)*L71*PLAN_ETAPA!$C$5,IF(B71="MO",IF(M71=0,0,G71*L71*PLAN_ETAPA!$C$5*N71/M71),IF(B71="EQ",IF(M71=0,0,G71*L71*PLAN_ETAPA!$C$5/M71),0))))</f>
        <v>0</v>
      </c>
      <c r="Q71" s="218">
        <f t="shared" si="3"/>
        <v>0</v>
      </c>
    </row>
    <row r="72" spans="1:17" x14ac:dyDescent="0.35">
      <c r="A72" s="212" t="str">
        <f>COMPOSICIÓN!A72</f>
        <v>ALB-037</v>
      </c>
      <c r="B72" s="212" t="str">
        <f>COMPOSICIÓN!B72</f>
        <v>MO</v>
      </c>
      <c r="C72" s="212" t="str">
        <f>COMPOSICIÓN!C72</f>
        <v>ALB</v>
      </c>
      <c r="D72" s="212" t="str">
        <f>COMPOSICIÓN!D72</f>
        <v>MO-EESPE</v>
      </c>
      <c r="E72" s="212" t="str">
        <f>COMPOSICIÓN!E72</f>
        <v>ESPECIALIZADO</v>
      </c>
      <c r="F72" s="212" t="str">
        <f>COMPOSICIÓN!F72</f>
        <v>j</v>
      </c>
      <c r="G72" s="213">
        <f>COMPOSICIÓN!G72</f>
        <v>1</v>
      </c>
      <c r="H72" s="214">
        <f>COMPOSICIÓN!H72</f>
        <v>0</v>
      </c>
      <c r="I72" s="215">
        <f>COMPOSICIÓN!I72</f>
        <v>85927.097156571996</v>
      </c>
      <c r="J72" s="212" t="str">
        <f>IFERROR(VLOOKUP(A72,PARTIDAS!$A$2:$C$269,3,FALSE()),"")</f>
        <v>MAMPOSTERÍA</v>
      </c>
      <c r="K72" s="212" t="str">
        <f>IFERROR(INDEX(PPTO_GENERADOR!$B$4:$B$220,MATCH(A72,PPTO_GENERADOR!$Q$4:$Q$220,0)),"")</f>
        <v/>
      </c>
      <c r="L72" s="216">
        <f>IF(PLAN_ETAPA!$C$4="(TODOS)",SUMIFS(PPTO_GENERADOR!$E$4:$E$220,PPTO_GENERADOR!$Q$4:$Q$220,A72),SUMIFS(PPTO_GENERADOR!$E$4:$E$220,PPTO_GENERADOR!$Q$4:$Q$220,A72,PPTO_GENERADOR!$B$4:$B$220,PLAN_ETAPA!$C$4))</f>
        <v>0</v>
      </c>
      <c r="M72" s="216">
        <f>IFERROR(VLOOKUP(A72,PARTIDAS!$A$2:$F$269,6,FALSE()),1)</f>
        <v>4</v>
      </c>
      <c r="N72" s="216">
        <f>IFERROR(VLOOKUP(A72,PARTIDAS!$A$2:$I$269,9,FALSE()),1)</f>
        <v>1</v>
      </c>
      <c r="O72" s="217">
        <f t="shared" si="2"/>
        <v>0</v>
      </c>
      <c r="P72" s="216">
        <f>IF(O72=0,0,IF(B72="MAT",G72*(1+H72)*L72*PLAN_ETAPA!$C$5,IF(B72="MO",IF(M72=0,0,G72*L72*PLAN_ETAPA!$C$5*N72/M72),IF(B72="EQ",IF(M72=0,0,G72*L72*PLAN_ETAPA!$C$5/M72),0))))</f>
        <v>0</v>
      </c>
      <c r="Q72" s="218">
        <f t="shared" si="3"/>
        <v>0</v>
      </c>
    </row>
    <row r="73" spans="1:17" x14ac:dyDescent="0.35">
      <c r="A73" s="212" t="str">
        <f>COMPOSICIÓN!A73</f>
        <v>ALB-038</v>
      </c>
      <c r="B73" s="212" t="str">
        <f>COMPOSICIÓN!B73</f>
        <v>EQ</v>
      </c>
      <c r="C73" s="212">
        <f>COMPOSICIÓN!C73</f>
        <v>0</v>
      </c>
      <c r="D73" s="212" t="str">
        <f>COMPOSICIÓN!D73</f>
        <v>EQ-ANDAM0</v>
      </c>
      <c r="E73" s="212" t="str">
        <f>COMPOSICIÓN!E73</f>
        <v>ANDAMIO TUBULAR DE UNO A TRES CUERPOS</v>
      </c>
      <c r="F73" s="212">
        <f>COMPOSICIÓN!F73</f>
        <v>0</v>
      </c>
      <c r="G73" s="213">
        <f>COMPOSICIÓN!G73</f>
        <v>0.5</v>
      </c>
      <c r="H73" s="214">
        <f>COMPOSICIÓN!H73</f>
        <v>0</v>
      </c>
      <c r="I73" s="215">
        <f>COMPOSICIÓN!I73</f>
        <v>571.1794909807611</v>
      </c>
      <c r="J73" s="212" t="str">
        <f>IFERROR(VLOOKUP(A73,PARTIDAS!$A$2:$C$269,3,FALSE()),"")</f>
        <v>MAMPOSTERÍA</v>
      </c>
      <c r="K73" s="212" t="str">
        <f>IFERROR(INDEX(PPTO_GENERADOR!$B$4:$B$220,MATCH(A73,PPTO_GENERADOR!$Q$4:$Q$220,0)),"")</f>
        <v>MAMPOSTERÍA</v>
      </c>
      <c r="L73" s="216">
        <f>IF(PLAN_ETAPA!$C$4="(TODOS)",SUMIFS(PPTO_GENERADOR!$E$4:$E$220,PPTO_GENERADOR!$Q$4:$Q$220,A73),SUMIFS(PPTO_GENERADOR!$E$4:$E$220,PPTO_GENERADOR!$Q$4:$Q$220,A73,PPTO_GENERADOR!$B$4:$B$220,PLAN_ETAPA!$C$4))</f>
        <v>42</v>
      </c>
      <c r="M73" s="216">
        <f>IFERROR(VLOOKUP(A73,PARTIDAS!$A$2:$F$269,6,FALSE()),1)</f>
        <v>15</v>
      </c>
      <c r="N73" s="216">
        <f>IFERROR(VLOOKUP(A73,PARTIDAS!$A$2:$I$269,9,FALSE()),1)</f>
        <v>1</v>
      </c>
      <c r="O73" s="217">
        <f t="shared" si="2"/>
        <v>1</v>
      </c>
      <c r="P73" s="216">
        <f>IF(O73=0,0,IF(B73="MAT",G73*(1+H73)*L73*PLAN_ETAPA!$C$5,IF(B73="MO",IF(M73=0,0,G73*L73*PLAN_ETAPA!$C$5*N73/M73),IF(B73="EQ",IF(M73=0,0,G73*L73*PLAN_ETAPA!$C$5/M73),0))))</f>
        <v>1.4</v>
      </c>
      <c r="Q73" s="218">
        <f t="shared" si="3"/>
        <v>799.65128737306554</v>
      </c>
    </row>
    <row r="74" spans="1:17" x14ac:dyDescent="0.35">
      <c r="A74" s="212" t="str">
        <f>COMPOSICIÓN!A74</f>
        <v>ALB-038</v>
      </c>
      <c r="B74" s="212" t="str">
        <f>COMPOSICIÓN!B74</f>
        <v>EQ</v>
      </c>
      <c r="C74" s="212">
        <f>COMPOSICIÓN!C74</f>
        <v>0</v>
      </c>
      <c r="D74" s="212" t="str">
        <f>COMPOSICIÓN!D74</f>
        <v>EQ-EQALBA</v>
      </c>
      <c r="E74" s="212" t="str">
        <f>COMPOSICIÓN!E74</f>
        <v>EQUIPO DE ALBAÑILERIA, carpetas, ladrillo</v>
      </c>
      <c r="F74" s="212">
        <f>COMPOSICIÓN!F74</f>
        <v>0</v>
      </c>
      <c r="G74" s="213">
        <f>COMPOSICIÓN!G74</f>
        <v>1</v>
      </c>
      <c r="H74" s="214">
        <f>COMPOSICIÓN!H74</f>
        <v>0</v>
      </c>
      <c r="I74" s="215">
        <f>COMPOSICIÓN!I74</f>
        <v>2287.1357450968057</v>
      </c>
      <c r="J74" s="212" t="str">
        <f>IFERROR(VLOOKUP(A74,PARTIDAS!$A$2:$C$269,3,FALSE()),"")</f>
        <v>MAMPOSTERÍA</v>
      </c>
      <c r="K74" s="212" t="str">
        <f>IFERROR(INDEX(PPTO_GENERADOR!$B$4:$B$220,MATCH(A74,PPTO_GENERADOR!$Q$4:$Q$220,0)),"")</f>
        <v>MAMPOSTERÍA</v>
      </c>
      <c r="L74" s="216">
        <f>IF(PLAN_ETAPA!$C$4="(TODOS)",SUMIFS(PPTO_GENERADOR!$E$4:$E$220,PPTO_GENERADOR!$Q$4:$Q$220,A74),SUMIFS(PPTO_GENERADOR!$E$4:$E$220,PPTO_GENERADOR!$Q$4:$Q$220,A74,PPTO_GENERADOR!$B$4:$B$220,PLAN_ETAPA!$C$4))</f>
        <v>42</v>
      </c>
      <c r="M74" s="216">
        <f>IFERROR(VLOOKUP(A74,PARTIDAS!$A$2:$F$269,6,FALSE()),1)</f>
        <v>15</v>
      </c>
      <c r="N74" s="216">
        <f>IFERROR(VLOOKUP(A74,PARTIDAS!$A$2:$I$269,9,FALSE()),1)</f>
        <v>1</v>
      </c>
      <c r="O74" s="217">
        <f t="shared" si="2"/>
        <v>1</v>
      </c>
      <c r="P74" s="216">
        <f>IF(O74=0,0,IF(B74="MAT",G74*(1+H74)*L74*PLAN_ETAPA!$C$5,IF(B74="MO",IF(M74=0,0,G74*L74*PLAN_ETAPA!$C$5*N74/M74),IF(B74="EQ",IF(M74=0,0,G74*L74*PLAN_ETAPA!$C$5/M74),0))))</f>
        <v>2.8</v>
      </c>
      <c r="Q74" s="218">
        <f t="shared" si="3"/>
        <v>6403.9800862710554</v>
      </c>
    </row>
    <row r="75" spans="1:17" x14ac:dyDescent="0.35">
      <c r="A75" s="212" t="str">
        <f>COMPOSICIÓN!A75</f>
        <v>ALB-038</v>
      </c>
      <c r="B75" s="212" t="str">
        <f>COMPOSICIÓN!B75</f>
        <v>EQ</v>
      </c>
      <c r="C75" s="212">
        <f>COMPOSICIÓN!C75</f>
        <v>0</v>
      </c>
      <c r="D75" s="212" t="str">
        <f>COMPOSICIÓN!D75</f>
        <v>EQ-TROMPO</v>
      </c>
      <c r="E75" s="212" t="str">
        <f>COMPOSICIÓN!E75</f>
        <v>Hormigonera De 150 Litros 1hp Con Rueda Maciza</v>
      </c>
      <c r="F75" s="212">
        <f>COMPOSICIÓN!F75</f>
        <v>0</v>
      </c>
      <c r="G75" s="213">
        <f>COMPOSICIÓN!G75</f>
        <v>1</v>
      </c>
      <c r="H75" s="214">
        <f>COMPOSICIÓN!H75</f>
        <v>0</v>
      </c>
      <c r="I75" s="215">
        <f>COMPOSICIÓN!I75</f>
        <v>957.25319614994726</v>
      </c>
      <c r="J75" s="212" t="str">
        <f>IFERROR(VLOOKUP(A75,PARTIDAS!$A$2:$C$269,3,FALSE()),"")</f>
        <v>MAMPOSTERÍA</v>
      </c>
      <c r="K75" s="212" t="str">
        <f>IFERROR(INDEX(PPTO_GENERADOR!$B$4:$B$220,MATCH(A75,PPTO_GENERADOR!$Q$4:$Q$220,0)),"")</f>
        <v>MAMPOSTERÍA</v>
      </c>
      <c r="L75" s="216">
        <f>IF(PLAN_ETAPA!$C$4="(TODOS)",SUMIFS(PPTO_GENERADOR!$E$4:$E$220,PPTO_GENERADOR!$Q$4:$Q$220,A75),SUMIFS(PPTO_GENERADOR!$E$4:$E$220,PPTO_GENERADOR!$Q$4:$Q$220,A75,PPTO_GENERADOR!$B$4:$B$220,PLAN_ETAPA!$C$4))</f>
        <v>42</v>
      </c>
      <c r="M75" s="216">
        <f>IFERROR(VLOOKUP(A75,PARTIDAS!$A$2:$F$269,6,FALSE()),1)</f>
        <v>15</v>
      </c>
      <c r="N75" s="216">
        <f>IFERROR(VLOOKUP(A75,PARTIDAS!$A$2:$I$269,9,FALSE()),1)</f>
        <v>1</v>
      </c>
      <c r="O75" s="217">
        <f t="shared" si="2"/>
        <v>1</v>
      </c>
      <c r="P75" s="216">
        <f>IF(O75=0,0,IF(B75="MAT",G75*(1+H75)*L75*PLAN_ETAPA!$C$5,IF(B75="MO",IF(M75=0,0,G75*L75*PLAN_ETAPA!$C$5*N75/M75),IF(B75="EQ",IF(M75=0,0,G75*L75*PLAN_ETAPA!$C$5/M75),0))))</f>
        <v>2.8</v>
      </c>
      <c r="Q75" s="218">
        <f t="shared" si="3"/>
        <v>2680.3089492198524</v>
      </c>
    </row>
    <row r="76" spans="1:17" x14ac:dyDescent="0.35">
      <c r="A76" s="212" t="str">
        <f>COMPOSICIÓN!A76</f>
        <v>ALB-038</v>
      </c>
      <c r="B76" s="212" t="str">
        <f>COMPOSICIÓN!B76</f>
        <v>MAT</v>
      </c>
      <c r="C76" s="212" t="str">
        <f>COMPOSICIÓN!C76</f>
        <v>OTR</v>
      </c>
      <c r="D76" s="212" t="str">
        <f>COMPOSICIÓN!D76</f>
        <v>ACE-001</v>
      </c>
      <c r="E76" s="212" t="str">
        <f>COMPOSICIÓN!E76</f>
        <v>Barra de Acero Aleteado - 6mm x 12m</v>
      </c>
      <c r="F76" s="212" t="str">
        <f>COMPOSICIÓN!F76</f>
        <v>u</v>
      </c>
      <c r="G76" s="213">
        <f>COMPOSICIÓN!G76</f>
        <v>0.17</v>
      </c>
      <c r="H76" s="214">
        <f>COMPOSICIÓN!H76</f>
        <v>0.1</v>
      </c>
      <c r="I76" s="215">
        <f>COMPOSICIÓN!I76</f>
        <v>3424.53</v>
      </c>
      <c r="J76" s="212" t="str">
        <f>IFERROR(VLOOKUP(A76,PARTIDAS!$A$2:$C$269,3,FALSE()),"")</f>
        <v>MAMPOSTERÍA</v>
      </c>
      <c r="K76" s="212" t="str">
        <f>IFERROR(INDEX(PPTO_GENERADOR!$B$4:$B$220,MATCH(A76,PPTO_GENERADOR!$Q$4:$Q$220,0)),"")</f>
        <v>MAMPOSTERÍA</v>
      </c>
      <c r="L76" s="216">
        <f>IF(PLAN_ETAPA!$C$4="(TODOS)",SUMIFS(PPTO_GENERADOR!$E$4:$E$220,PPTO_GENERADOR!$Q$4:$Q$220,A76),SUMIFS(PPTO_GENERADOR!$E$4:$E$220,PPTO_GENERADOR!$Q$4:$Q$220,A76,PPTO_GENERADOR!$B$4:$B$220,PLAN_ETAPA!$C$4))</f>
        <v>42</v>
      </c>
      <c r="M76" s="216">
        <f>IFERROR(VLOOKUP(A76,PARTIDAS!$A$2:$F$269,6,FALSE()),1)</f>
        <v>15</v>
      </c>
      <c r="N76" s="216">
        <f>IFERROR(VLOOKUP(A76,PARTIDAS!$A$2:$I$269,9,FALSE()),1)</f>
        <v>1</v>
      </c>
      <c r="O76" s="217">
        <f t="shared" si="2"/>
        <v>1</v>
      </c>
      <c r="P76" s="216">
        <f>IF(O76=0,0,IF(B76="MAT",G76*(1+H76)*L76*PLAN_ETAPA!$C$5,IF(B76="MO",IF(M76=0,0,G76*L76*PLAN_ETAPA!$C$5*N76/M76),IF(B76="EQ",IF(M76=0,0,G76*L76*PLAN_ETAPA!$C$5/M76),0))))</f>
        <v>7.854000000000001</v>
      </c>
      <c r="Q76" s="218">
        <f t="shared" si="3"/>
        <v>26896.258620000004</v>
      </c>
    </row>
    <row r="77" spans="1:17" x14ac:dyDescent="0.35">
      <c r="A77" s="212" t="str">
        <f>COMPOSICIÓN!A77</f>
        <v>ALB-038</v>
      </c>
      <c r="B77" s="212" t="str">
        <f>COMPOSICIÓN!B77</f>
        <v>MAT</v>
      </c>
      <c r="C77" s="212" t="str">
        <f>COMPOSICIÓN!C77</f>
        <v>OTR</v>
      </c>
      <c r="D77" s="212" t="str">
        <f>COMPOSICIÓN!D77</f>
        <v>AGR-001</v>
      </c>
      <c r="E77" s="212" t="str">
        <f>COMPOSICIÓN!E77</f>
        <v>ARENA LAVADA</v>
      </c>
      <c r="F77" s="212" t="str">
        <f>COMPOSICIÓN!F77</f>
        <v>m3</v>
      </c>
      <c r="G77" s="213">
        <f>COMPOSICIÓN!G77</f>
        <v>1.7999999999999999E-2</v>
      </c>
      <c r="H77" s="214">
        <f>COMPOSICIÓN!H77</f>
        <v>0.1</v>
      </c>
      <c r="I77" s="215">
        <f>COMPOSICIÓN!I77</f>
        <v>32399.77</v>
      </c>
      <c r="J77" s="212" t="str">
        <f>IFERROR(VLOOKUP(A77,PARTIDAS!$A$2:$C$269,3,FALSE()),"")</f>
        <v>MAMPOSTERÍA</v>
      </c>
      <c r="K77" s="212" t="str">
        <f>IFERROR(INDEX(PPTO_GENERADOR!$B$4:$B$220,MATCH(A77,PPTO_GENERADOR!$Q$4:$Q$220,0)),"")</f>
        <v>MAMPOSTERÍA</v>
      </c>
      <c r="L77" s="216">
        <f>IF(PLAN_ETAPA!$C$4="(TODOS)",SUMIFS(PPTO_GENERADOR!$E$4:$E$220,PPTO_GENERADOR!$Q$4:$Q$220,A77),SUMIFS(PPTO_GENERADOR!$E$4:$E$220,PPTO_GENERADOR!$Q$4:$Q$220,A77,PPTO_GENERADOR!$B$4:$B$220,PLAN_ETAPA!$C$4))</f>
        <v>42</v>
      </c>
      <c r="M77" s="216">
        <f>IFERROR(VLOOKUP(A77,PARTIDAS!$A$2:$F$269,6,FALSE()),1)</f>
        <v>15</v>
      </c>
      <c r="N77" s="216">
        <f>IFERROR(VLOOKUP(A77,PARTIDAS!$A$2:$I$269,9,FALSE()),1)</f>
        <v>1</v>
      </c>
      <c r="O77" s="217">
        <f t="shared" si="2"/>
        <v>1</v>
      </c>
      <c r="P77" s="216">
        <f>IF(O77=0,0,IF(B77="MAT",G77*(1+H77)*L77*PLAN_ETAPA!$C$5,IF(B77="MO",IF(M77=0,0,G77*L77*PLAN_ETAPA!$C$5*N77/M77),IF(B77="EQ",IF(M77=0,0,G77*L77*PLAN_ETAPA!$C$5/M77),0))))</f>
        <v>0.83160000000000012</v>
      </c>
      <c r="Q77" s="218">
        <f t="shared" si="3"/>
        <v>26943.648732000005</v>
      </c>
    </row>
    <row r="78" spans="1:17" x14ac:dyDescent="0.35">
      <c r="A78" s="212" t="str">
        <f>COMPOSICIÓN!A78</f>
        <v>ALB-038</v>
      </c>
      <c r="B78" s="212" t="str">
        <f>COMPOSICIÓN!B78</f>
        <v>MAT</v>
      </c>
      <c r="C78" s="212" t="str">
        <f>COMPOSICIÓN!C78</f>
        <v>OTR</v>
      </c>
      <c r="D78" s="212" t="str">
        <f>COMPOSICIÓN!D78</f>
        <v>AGR-004</v>
      </c>
      <c r="E78" s="212" t="str">
        <f>COMPOSICIÓN!E78</f>
        <v>Cemento Portland x 50kg</v>
      </c>
      <c r="F78" s="212" t="str">
        <f>COMPOSICIÓN!F78</f>
        <v>Bol</v>
      </c>
      <c r="G78" s="213">
        <f>COMPOSICIÓN!G78</f>
        <v>7.4999999999999997E-2</v>
      </c>
      <c r="H78" s="214">
        <f>COMPOSICIÓN!H78</f>
        <v>0.1</v>
      </c>
      <c r="I78" s="215">
        <f>COMPOSICIÓN!I78</f>
        <v>7809.48</v>
      </c>
      <c r="J78" s="212" t="str">
        <f>IFERROR(VLOOKUP(A78,PARTIDAS!$A$2:$C$269,3,FALSE()),"")</f>
        <v>MAMPOSTERÍA</v>
      </c>
      <c r="K78" s="212" t="str">
        <f>IFERROR(INDEX(PPTO_GENERADOR!$B$4:$B$220,MATCH(A78,PPTO_GENERADOR!$Q$4:$Q$220,0)),"")</f>
        <v>MAMPOSTERÍA</v>
      </c>
      <c r="L78" s="216">
        <f>IF(PLAN_ETAPA!$C$4="(TODOS)",SUMIFS(PPTO_GENERADOR!$E$4:$E$220,PPTO_GENERADOR!$Q$4:$Q$220,A78),SUMIFS(PPTO_GENERADOR!$E$4:$E$220,PPTO_GENERADOR!$Q$4:$Q$220,A78,PPTO_GENERADOR!$B$4:$B$220,PLAN_ETAPA!$C$4))</f>
        <v>42</v>
      </c>
      <c r="M78" s="216">
        <f>IFERROR(VLOOKUP(A78,PARTIDAS!$A$2:$F$269,6,FALSE()),1)</f>
        <v>15</v>
      </c>
      <c r="N78" s="216">
        <f>IFERROR(VLOOKUP(A78,PARTIDAS!$A$2:$I$269,9,FALSE()),1)</f>
        <v>1</v>
      </c>
      <c r="O78" s="217">
        <f t="shared" si="2"/>
        <v>1</v>
      </c>
      <c r="P78" s="216">
        <f>IF(O78=0,0,IF(B78="MAT",G78*(1+H78)*L78*PLAN_ETAPA!$C$5,IF(B78="MO",IF(M78=0,0,G78*L78*PLAN_ETAPA!$C$5*N78/M78),IF(B78="EQ",IF(M78=0,0,G78*L78*PLAN_ETAPA!$C$5/M78),0))))</f>
        <v>3.4650000000000003</v>
      </c>
      <c r="Q78" s="218">
        <f t="shared" si="3"/>
        <v>27059.8482</v>
      </c>
    </row>
    <row r="79" spans="1:17" x14ac:dyDescent="0.35">
      <c r="A79" s="212" t="str">
        <f>COMPOSICIÓN!A79</f>
        <v>ALB-038</v>
      </c>
      <c r="B79" s="212" t="str">
        <f>COMPOSICIÓN!B79</f>
        <v>MAT</v>
      </c>
      <c r="C79" s="212" t="str">
        <f>COMPOSICIÓN!C79</f>
        <v>OTR</v>
      </c>
      <c r="D79" s="212" t="str">
        <f>COMPOSICIÓN!D79</f>
        <v>AGR-005</v>
      </c>
      <c r="E79" s="212" t="str">
        <f>COMPOSICIÓN!E79</f>
        <v>Cal Comun x 25kg</v>
      </c>
      <c r="F79" s="212" t="str">
        <f>COMPOSICIÓN!F79</f>
        <v>bol</v>
      </c>
      <c r="G79" s="213">
        <f>COMPOSICIÓN!G79</f>
        <v>0.15</v>
      </c>
      <c r="H79" s="214">
        <f>COMPOSICIÓN!H79</f>
        <v>0.1</v>
      </c>
      <c r="I79" s="215">
        <f>COMPOSICIÓN!I79</f>
        <v>3837.96</v>
      </c>
      <c r="J79" s="212" t="str">
        <f>IFERROR(VLOOKUP(A79,PARTIDAS!$A$2:$C$269,3,FALSE()),"")</f>
        <v>MAMPOSTERÍA</v>
      </c>
      <c r="K79" s="212" t="str">
        <f>IFERROR(INDEX(PPTO_GENERADOR!$B$4:$B$220,MATCH(A79,PPTO_GENERADOR!$Q$4:$Q$220,0)),"")</f>
        <v>MAMPOSTERÍA</v>
      </c>
      <c r="L79" s="216">
        <f>IF(PLAN_ETAPA!$C$4="(TODOS)",SUMIFS(PPTO_GENERADOR!$E$4:$E$220,PPTO_GENERADOR!$Q$4:$Q$220,A79),SUMIFS(PPTO_GENERADOR!$E$4:$E$220,PPTO_GENERADOR!$Q$4:$Q$220,A79,PPTO_GENERADOR!$B$4:$B$220,PLAN_ETAPA!$C$4))</f>
        <v>42</v>
      </c>
      <c r="M79" s="216">
        <f>IFERROR(VLOOKUP(A79,PARTIDAS!$A$2:$F$269,6,FALSE()),1)</f>
        <v>15</v>
      </c>
      <c r="N79" s="216">
        <f>IFERROR(VLOOKUP(A79,PARTIDAS!$A$2:$I$269,9,FALSE()),1)</f>
        <v>1</v>
      </c>
      <c r="O79" s="217">
        <f t="shared" si="2"/>
        <v>1</v>
      </c>
      <c r="P79" s="216">
        <f>IF(O79=0,0,IF(B79="MAT",G79*(1+H79)*L79*PLAN_ETAPA!$C$5,IF(B79="MO",IF(M79=0,0,G79*L79*PLAN_ETAPA!$C$5*N79/M79),IF(B79="EQ",IF(M79=0,0,G79*L79*PLAN_ETAPA!$C$5/M79),0))))</f>
        <v>6.9300000000000006</v>
      </c>
      <c r="Q79" s="218">
        <f t="shared" si="3"/>
        <v>26597.062800000003</v>
      </c>
    </row>
    <row r="80" spans="1:17" x14ac:dyDescent="0.35">
      <c r="A80" s="212" t="str">
        <f>COMPOSICIÓN!A80</f>
        <v>ALB-038</v>
      </c>
      <c r="B80" s="212" t="str">
        <f>COMPOSICIÓN!B80</f>
        <v>MAT</v>
      </c>
      <c r="C80" s="212" t="str">
        <f>COMPOSICIÓN!C80</f>
        <v>OTR</v>
      </c>
      <c r="D80" s="212" t="str">
        <f>COMPOSICIÓN!D80</f>
        <v>CER-006</v>
      </c>
      <c r="E80" s="212" t="str">
        <f>COMPOSICIÓN!E80</f>
        <v>Ladrillo hueco ceramico 12x19x33 - Portante</v>
      </c>
      <c r="F80" s="212" t="str">
        <f>COMPOSICIÓN!F80</f>
        <v>u</v>
      </c>
      <c r="G80" s="213">
        <f>COMPOSICIÓN!G80</f>
        <v>15</v>
      </c>
      <c r="H80" s="214">
        <f>COMPOSICIÓN!H80</f>
        <v>0.05</v>
      </c>
      <c r="I80" s="215">
        <f>COMPOSICIÓN!I80</f>
        <v>563.22</v>
      </c>
      <c r="J80" s="212" t="str">
        <f>IFERROR(VLOOKUP(A80,PARTIDAS!$A$2:$C$269,3,FALSE()),"")</f>
        <v>MAMPOSTERÍA</v>
      </c>
      <c r="K80" s="212" t="str">
        <f>IFERROR(INDEX(PPTO_GENERADOR!$B$4:$B$220,MATCH(A80,PPTO_GENERADOR!$Q$4:$Q$220,0)),"")</f>
        <v>MAMPOSTERÍA</v>
      </c>
      <c r="L80" s="216">
        <f>IF(PLAN_ETAPA!$C$4="(TODOS)",SUMIFS(PPTO_GENERADOR!$E$4:$E$220,PPTO_GENERADOR!$Q$4:$Q$220,A80),SUMIFS(PPTO_GENERADOR!$E$4:$E$220,PPTO_GENERADOR!$Q$4:$Q$220,A80,PPTO_GENERADOR!$B$4:$B$220,PLAN_ETAPA!$C$4))</f>
        <v>42</v>
      </c>
      <c r="M80" s="216">
        <f>IFERROR(VLOOKUP(A80,PARTIDAS!$A$2:$F$269,6,FALSE()),1)</f>
        <v>15</v>
      </c>
      <c r="N80" s="216">
        <f>IFERROR(VLOOKUP(A80,PARTIDAS!$A$2:$I$269,9,FALSE()),1)</f>
        <v>1</v>
      </c>
      <c r="O80" s="217">
        <f t="shared" si="2"/>
        <v>1</v>
      </c>
      <c r="P80" s="216">
        <f>IF(O80=0,0,IF(B80="MAT",G80*(1+H80)*L80*PLAN_ETAPA!$C$5,IF(B80="MO",IF(M80=0,0,G80*L80*PLAN_ETAPA!$C$5*N80/M80),IF(B80="EQ",IF(M80=0,0,G80*L80*PLAN_ETAPA!$C$5/M80),0))))</f>
        <v>661.5</v>
      </c>
      <c r="Q80" s="218">
        <f t="shared" si="3"/>
        <v>372570.03</v>
      </c>
    </row>
    <row r="81" spans="1:17" x14ac:dyDescent="0.35">
      <c r="A81" s="212" t="str">
        <f>COMPOSICIÓN!A81</f>
        <v>ALB-038</v>
      </c>
      <c r="B81" s="212" t="str">
        <f>COMPOSICIÓN!B81</f>
        <v>MAT</v>
      </c>
      <c r="C81" s="212" t="str">
        <f>COMPOSICIÓN!C81</f>
        <v>OTR</v>
      </c>
      <c r="D81" s="212" t="str">
        <f>COMPOSICIÓN!D81</f>
        <v>MAT-CONS</v>
      </c>
      <c r="E81" s="212" t="str">
        <f>COMPOSICIÓN!E81</f>
        <v>Consumibles</v>
      </c>
      <c r="F81" s="212" t="str">
        <f>COMPOSICIÓN!F81</f>
        <v>gl</v>
      </c>
      <c r="G81" s="213">
        <f>COMPOSICIÓN!G81</f>
        <v>117.73067947680001</v>
      </c>
      <c r="H81" s="214">
        <f>COMPOSICIÓN!H81</f>
        <v>0</v>
      </c>
      <c r="I81" s="215">
        <f>COMPOSICIÓN!I81</f>
        <v>1</v>
      </c>
      <c r="J81" s="212" t="str">
        <f>IFERROR(VLOOKUP(A81,PARTIDAS!$A$2:$C$269,3,FALSE()),"")</f>
        <v>MAMPOSTERÍA</v>
      </c>
      <c r="K81" s="212" t="str">
        <f>IFERROR(INDEX(PPTO_GENERADOR!$B$4:$B$220,MATCH(A81,PPTO_GENERADOR!$Q$4:$Q$220,0)),"")</f>
        <v>MAMPOSTERÍA</v>
      </c>
      <c r="L81" s="216">
        <f>IF(PLAN_ETAPA!$C$4="(TODOS)",SUMIFS(PPTO_GENERADOR!$E$4:$E$220,PPTO_GENERADOR!$Q$4:$Q$220,A81),SUMIFS(PPTO_GENERADOR!$E$4:$E$220,PPTO_GENERADOR!$Q$4:$Q$220,A81,PPTO_GENERADOR!$B$4:$B$220,PLAN_ETAPA!$C$4))</f>
        <v>42</v>
      </c>
      <c r="M81" s="216">
        <f>IFERROR(VLOOKUP(A81,PARTIDAS!$A$2:$F$269,6,FALSE()),1)</f>
        <v>15</v>
      </c>
      <c r="N81" s="216">
        <f>IFERROR(VLOOKUP(A81,PARTIDAS!$A$2:$I$269,9,FALSE()),1)</f>
        <v>1</v>
      </c>
      <c r="O81" s="217">
        <f t="shared" si="2"/>
        <v>1</v>
      </c>
      <c r="P81" s="216">
        <f>IF(O81=0,0,IF(B81="MAT",G81*(1+H81)*L81*PLAN_ETAPA!$C$5,IF(B81="MO",IF(M81=0,0,G81*L81*PLAN_ETAPA!$C$5*N81/M81),IF(B81="EQ",IF(M81=0,0,G81*L81*PLAN_ETAPA!$C$5/M81),0))))</f>
        <v>4944.6885380255999</v>
      </c>
      <c r="Q81" s="218">
        <f t="shared" si="3"/>
        <v>4944.6885380255999</v>
      </c>
    </row>
    <row r="82" spans="1:17" x14ac:dyDescent="0.35">
      <c r="A82" s="212" t="str">
        <f>COMPOSICIÓN!A82</f>
        <v>ALB-038</v>
      </c>
      <c r="B82" s="212" t="str">
        <f>COMPOSICIÓN!B82</f>
        <v>MO</v>
      </c>
      <c r="C82" s="212" t="str">
        <f>COMPOSICIÓN!C82</f>
        <v>ALB</v>
      </c>
      <c r="D82" s="212" t="str">
        <f>COMPOSICIÓN!D82</f>
        <v>MO-EAYUD</v>
      </c>
      <c r="E82" s="212" t="str">
        <f>COMPOSICIÓN!E82</f>
        <v>AYUDANTE</v>
      </c>
      <c r="F82" s="212" t="str">
        <f>COMPOSICIÓN!F82</f>
        <v>j</v>
      </c>
      <c r="G82" s="213">
        <f>COMPOSICIÓN!G82</f>
        <v>1</v>
      </c>
      <c r="H82" s="214">
        <f>COMPOSICIÓN!H82</f>
        <v>0</v>
      </c>
      <c r="I82" s="215">
        <f>COMPOSICIÓN!I82</f>
        <v>60860.580776572002</v>
      </c>
      <c r="J82" s="212" t="str">
        <f>IFERROR(VLOOKUP(A82,PARTIDAS!$A$2:$C$269,3,FALSE()),"")</f>
        <v>MAMPOSTERÍA</v>
      </c>
      <c r="K82" s="212" t="str">
        <f>IFERROR(INDEX(PPTO_GENERADOR!$B$4:$B$220,MATCH(A82,PPTO_GENERADOR!$Q$4:$Q$220,0)),"")</f>
        <v>MAMPOSTERÍA</v>
      </c>
      <c r="L82" s="216">
        <f>IF(PLAN_ETAPA!$C$4="(TODOS)",SUMIFS(PPTO_GENERADOR!$E$4:$E$220,PPTO_GENERADOR!$Q$4:$Q$220,A82),SUMIFS(PPTO_GENERADOR!$E$4:$E$220,PPTO_GENERADOR!$Q$4:$Q$220,A82,PPTO_GENERADOR!$B$4:$B$220,PLAN_ETAPA!$C$4))</f>
        <v>42</v>
      </c>
      <c r="M82" s="216">
        <f>IFERROR(VLOOKUP(A82,PARTIDAS!$A$2:$F$269,6,FALSE()),1)</f>
        <v>15</v>
      </c>
      <c r="N82" s="216">
        <f>IFERROR(VLOOKUP(A82,PARTIDAS!$A$2:$I$269,9,FALSE()),1)</f>
        <v>1</v>
      </c>
      <c r="O82" s="217">
        <f t="shared" si="2"/>
        <v>1</v>
      </c>
      <c r="P82" s="216">
        <f>IF(O82=0,0,IF(B82="MAT",G82*(1+H82)*L82*PLAN_ETAPA!$C$5,IF(B82="MO",IF(M82=0,0,G82*L82*PLAN_ETAPA!$C$5*N82/M82),IF(B82="EQ",IF(M82=0,0,G82*L82*PLAN_ETAPA!$C$5/M82),0))))</f>
        <v>2.8</v>
      </c>
      <c r="Q82" s="218">
        <f t="shared" si="3"/>
        <v>170409.62617440161</v>
      </c>
    </row>
    <row r="83" spans="1:17" x14ac:dyDescent="0.35">
      <c r="A83" s="212" t="str">
        <f>COMPOSICIÓN!A83</f>
        <v>ALB-038</v>
      </c>
      <c r="B83" s="212" t="str">
        <f>COMPOSICIÓN!B83</f>
        <v>MO</v>
      </c>
      <c r="C83" s="212" t="str">
        <f>COMPOSICIÓN!C83</f>
        <v>ALB</v>
      </c>
      <c r="D83" s="212" t="str">
        <f>COMPOSICIÓN!D83</f>
        <v>MO-EESPE</v>
      </c>
      <c r="E83" s="212" t="str">
        <f>COMPOSICIÓN!E83</f>
        <v>ESPECIALIZADO</v>
      </c>
      <c r="F83" s="212" t="str">
        <f>COMPOSICIÓN!F83</f>
        <v>j</v>
      </c>
      <c r="G83" s="213">
        <f>COMPOSICIÓN!G83</f>
        <v>1</v>
      </c>
      <c r="H83" s="214">
        <f>COMPOSICIÓN!H83</f>
        <v>0</v>
      </c>
      <c r="I83" s="215">
        <f>COMPOSICIÓN!I83</f>
        <v>85927.097156571996</v>
      </c>
      <c r="J83" s="212" t="str">
        <f>IFERROR(VLOOKUP(A83,PARTIDAS!$A$2:$C$269,3,FALSE()),"")</f>
        <v>MAMPOSTERÍA</v>
      </c>
      <c r="K83" s="212" t="str">
        <f>IFERROR(INDEX(PPTO_GENERADOR!$B$4:$B$220,MATCH(A83,PPTO_GENERADOR!$Q$4:$Q$220,0)),"")</f>
        <v>MAMPOSTERÍA</v>
      </c>
      <c r="L83" s="216">
        <f>IF(PLAN_ETAPA!$C$4="(TODOS)",SUMIFS(PPTO_GENERADOR!$E$4:$E$220,PPTO_GENERADOR!$Q$4:$Q$220,A83),SUMIFS(PPTO_GENERADOR!$E$4:$E$220,PPTO_GENERADOR!$Q$4:$Q$220,A83,PPTO_GENERADOR!$B$4:$B$220,PLAN_ETAPA!$C$4))</f>
        <v>42</v>
      </c>
      <c r="M83" s="216">
        <f>IFERROR(VLOOKUP(A83,PARTIDAS!$A$2:$F$269,6,FALSE()),1)</f>
        <v>15</v>
      </c>
      <c r="N83" s="216">
        <f>IFERROR(VLOOKUP(A83,PARTIDAS!$A$2:$I$269,9,FALSE()),1)</f>
        <v>1</v>
      </c>
      <c r="O83" s="217">
        <f t="shared" si="2"/>
        <v>1</v>
      </c>
      <c r="P83" s="216">
        <f>IF(O83=0,0,IF(B83="MAT",G83*(1+H83)*L83*PLAN_ETAPA!$C$5,IF(B83="MO",IF(M83=0,0,G83*L83*PLAN_ETAPA!$C$5*N83/M83),IF(B83="EQ",IF(M83=0,0,G83*L83*PLAN_ETAPA!$C$5/M83),0))))</f>
        <v>2.8</v>
      </c>
      <c r="Q83" s="218">
        <f t="shared" si="3"/>
        <v>240595.87203840158</v>
      </c>
    </row>
    <row r="84" spans="1:17" x14ac:dyDescent="0.35">
      <c r="A84" s="212" t="str">
        <f>COMPOSICIÓN!A84</f>
        <v>ALB-039</v>
      </c>
      <c r="B84" s="212" t="str">
        <f>COMPOSICIÓN!B84</f>
        <v>EQ</v>
      </c>
      <c r="C84" s="212">
        <f>COMPOSICIÓN!C84</f>
        <v>0</v>
      </c>
      <c r="D84" s="212" t="str">
        <f>COMPOSICIÓN!D84</f>
        <v>EQ-EQALBA</v>
      </c>
      <c r="E84" s="212" t="str">
        <f>COMPOSICIÓN!E84</f>
        <v>EQUIPO DE ALBAÑILERIA, carpetas, ladrillo</v>
      </c>
      <c r="F84" s="212">
        <f>COMPOSICIÓN!F84</f>
        <v>0</v>
      </c>
      <c r="G84" s="213">
        <f>COMPOSICIÓN!G84</f>
        <v>0.25</v>
      </c>
      <c r="H84" s="214">
        <f>COMPOSICIÓN!H84</f>
        <v>0</v>
      </c>
      <c r="I84" s="215">
        <f>COMPOSICIÓN!I84</f>
        <v>2287.1357450968057</v>
      </c>
      <c r="J84" s="212" t="str">
        <f>IFERROR(VLOOKUP(A84,PARTIDAS!$A$2:$C$269,3,FALSE()),"")</f>
        <v>MAMPOSTERÍA</v>
      </c>
      <c r="K84" s="212" t="str">
        <f>IFERROR(INDEX(PPTO_GENERADOR!$B$4:$B$220,MATCH(A84,PPTO_GENERADOR!$Q$4:$Q$220,0)),"")</f>
        <v/>
      </c>
      <c r="L84" s="216">
        <f>IF(PLAN_ETAPA!$C$4="(TODOS)",SUMIFS(PPTO_GENERADOR!$E$4:$E$220,PPTO_GENERADOR!$Q$4:$Q$220,A84),SUMIFS(PPTO_GENERADOR!$E$4:$E$220,PPTO_GENERADOR!$Q$4:$Q$220,A84,PPTO_GENERADOR!$B$4:$B$220,PLAN_ETAPA!$C$4))</f>
        <v>0</v>
      </c>
      <c r="M84" s="216">
        <f>IFERROR(VLOOKUP(A84,PARTIDAS!$A$2:$F$269,6,FALSE()),1)</f>
        <v>2</v>
      </c>
      <c r="N84" s="216">
        <f>IFERROR(VLOOKUP(A84,PARTIDAS!$A$2:$I$269,9,FALSE()),1)</f>
        <v>1</v>
      </c>
      <c r="O84" s="217">
        <f t="shared" si="2"/>
        <v>0</v>
      </c>
      <c r="P84" s="216">
        <f>IF(O84=0,0,IF(B84="MAT",G84*(1+H84)*L84*PLAN_ETAPA!$C$5,IF(B84="MO",IF(M84=0,0,G84*L84*PLAN_ETAPA!$C$5*N84/M84),IF(B84="EQ",IF(M84=0,0,G84*L84*PLAN_ETAPA!$C$5/M84),0))))</f>
        <v>0</v>
      </c>
      <c r="Q84" s="218">
        <f t="shared" si="3"/>
        <v>0</v>
      </c>
    </row>
    <row r="85" spans="1:17" x14ac:dyDescent="0.35">
      <c r="A85" s="212" t="str">
        <f>COMPOSICIÓN!A85</f>
        <v>ALB-039</v>
      </c>
      <c r="B85" s="212" t="str">
        <f>COMPOSICIÓN!B85</f>
        <v>EQ</v>
      </c>
      <c r="C85" s="212">
        <f>COMPOSICIÓN!C85</f>
        <v>0</v>
      </c>
      <c r="D85" s="212" t="str">
        <f>COMPOSICIÓN!D85</f>
        <v>EQ-TROMPO</v>
      </c>
      <c r="E85" s="212" t="str">
        <f>COMPOSICIÓN!E85</f>
        <v>Hormigonera De 150 Litros 1hp Con Rueda Maciza</v>
      </c>
      <c r="F85" s="212">
        <f>COMPOSICIÓN!F85</f>
        <v>0</v>
      </c>
      <c r="G85" s="213">
        <f>COMPOSICIÓN!G85</f>
        <v>0.25</v>
      </c>
      <c r="H85" s="214">
        <f>COMPOSICIÓN!H85</f>
        <v>0</v>
      </c>
      <c r="I85" s="215">
        <f>COMPOSICIÓN!I85</f>
        <v>957.25319614994726</v>
      </c>
      <c r="J85" s="212" t="str">
        <f>IFERROR(VLOOKUP(A85,PARTIDAS!$A$2:$C$269,3,FALSE()),"")</f>
        <v>MAMPOSTERÍA</v>
      </c>
      <c r="K85" s="212" t="str">
        <f>IFERROR(INDEX(PPTO_GENERADOR!$B$4:$B$220,MATCH(A85,PPTO_GENERADOR!$Q$4:$Q$220,0)),"")</f>
        <v/>
      </c>
      <c r="L85" s="216">
        <f>IF(PLAN_ETAPA!$C$4="(TODOS)",SUMIFS(PPTO_GENERADOR!$E$4:$E$220,PPTO_GENERADOR!$Q$4:$Q$220,A85),SUMIFS(PPTO_GENERADOR!$E$4:$E$220,PPTO_GENERADOR!$Q$4:$Q$220,A85,PPTO_GENERADOR!$B$4:$B$220,PLAN_ETAPA!$C$4))</f>
        <v>0</v>
      </c>
      <c r="M85" s="216">
        <f>IFERROR(VLOOKUP(A85,PARTIDAS!$A$2:$F$269,6,FALSE()),1)</f>
        <v>2</v>
      </c>
      <c r="N85" s="216">
        <f>IFERROR(VLOOKUP(A85,PARTIDAS!$A$2:$I$269,9,FALSE()),1)</f>
        <v>1</v>
      </c>
      <c r="O85" s="217">
        <f t="shared" si="2"/>
        <v>0</v>
      </c>
      <c r="P85" s="216">
        <f>IF(O85=0,0,IF(B85="MAT",G85*(1+H85)*L85*PLAN_ETAPA!$C$5,IF(B85="MO",IF(M85=0,0,G85*L85*PLAN_ETAPA!$C$5*N85/M85),IF(B85="EQ",IF(M85=0,0,G85*L85*PLAN_ETAPA!$C$5/M85),0))))</f>
        <v>0</v>
      </c>
      <c r="Q85" s="218">
        <f t="shared" si="3"/>
        <v>0</v>
      </c>
    </row>
    <row r="86" spans="1:17" x14ac:dyDescent="0.35">
      <c r="A86" s="212" t="str">
        <f>COMPOSICIÓN!A86</f>
        <v>ALB-039</v>
      </c>
      <c r="B86" s="212" t="str">
        <f>COMPOSICIÓN!B86</f>
        <v>MAT</v>
      </c>
      <c r="C86" s="212" t="str">
        <f>COMPOSICIÓN!C86</f>
        <v>OTR</v>
      </c>
      <c r="D86" s="212" t="str">
        <f>COMPOSICIÓN!D86</f>
        <v>AGR-001</v>
      </c>
      <c r="E86" s="212" t="str">
        <f>COMPOSICIÓN!E86</f>
        <v>ARENA LAVADA</v>
      </c>
      <c r="F86" s="212" t="str">
        <f>COMPOSICIÓN!F86</f>
        <v>m3</v>
      </c>
      <c r="G86" s="213">
        <f>COMPOSICIÓN!G86</f>
        <v>3.5999999999999997E-2</v>
      </c>
      <c r="H86" s="214">
        <f>COMPOSICIÓN!H86</f>
        <v>0.1</v>
      </c>
      <c r="I86" s="215">
        <f>COMPOSICIÓN!I86</f>
        <v>32399.77</v>
      </c>
      <c r="J86" s="212" t="str">
        <f>IFERROR(VLOOKUP(A86,PARTIDAS!$A$2:$C$269,3,FALSE()),"")</f>
        <v>MAMPOSTERÍA</v>
      </c>
      <c r="K86" s="212" t="str">
        <f>IFERROR(INDEX(PPTO_GENERADOR!$B$4:$B$220,MATCH(A86,PPTO_GENERADOR!$Q$4:$Q$220,0)),"")</f>
        <v/>
      </c>
      <c r="L86" s="216">
        <f>IF(PLAN_ETAPA!$C$4="(TODOS)",SUMIFS(PPTO_GENERADOR!$E$4:$E$220,PPTO_GENERADOR!$Q$4:$Q$220,A86),SUMIFS(PPTO_GENERADOR!$E$4:$E$220,PPTO_GENERADOR!$Q$4:$Q$220,A86,PPTO_GENERADOR!$B$4:$B$220,PLAN_ETAPA!$C$4))</f>
        <v>0</v>
      </c>
      <c r="M86" s="216">
        <f>IFERROR(VLOOKUP(A86,PARTIDAS!$A$2:$F$269,6,FALSE()),1)</f>
        <v>2</v>
      </c>
      <c r="N86" s="216">
        <f>IFERROR(VLOOKUP(A86,PARTIDAS!$A$2:$I$269,9,FALSE()),1)</f>
        <v>1</v>
      </c>
      <c r="O86" s="217">
        <f t="shared" si="2"/>
        <v>0</v>
      </c>
      <c r="P86" s="216">
        <f>IF(O86=0,0,IF(B86="MAT",G86*(1+H86)*L86*PLAN_ETAPA!$C$5,IF(B86="MO",IF(M86=0,0,G86*L86*PLAN_ETAPA!$C$5*N86/M86),IF(B86="EQ",IF(M86=0,0,G86*L86*PLAN_ETAPA!$C$5/M86),0))))</f>
        <v>0</v>
      </c>
      <c r="Q86" s="218">
        <f t="shared" si="3"/>
        <v>0</v>
      </c>
    </row>
    <row r="87" spans="1:17" x14ac:dyDescent="0.35">
      <c r="A87" s="212" t="str">
        <f>COMPOSICIÓN!A87</f>
        <v>ALB-039</v>
      </c>
      <c r="B87" s="212" t="str">
        <f>COMPOSICIÓN!B87</f>
        <v>MAT</v>
      </c>
      <c r="C87" s="212" t="str">
        <f>COMPOSICIÓN!C87</f>
        <v>OTR</v>
      </c>
      <c r="D87" s="212" t="str">
        <f>COMPOSICIÓN!D87</f>
        <v>AGR-004</v>
      </c>
      <c r="E87" s="212" t="str">
        <f>COMPOSICIÓN!E87</f>
        <v>Cemento Portland x 50kg</v>
      </c>
      <c r="F87" s="212" t="str">
        <f>COMPOSICIÓN!F87</f>
        <v>Bol</v>
      </c>
      <c r="G87" s="213">
        <f>COMPOSICIÓN!G87</f>
        <v>0.32400000000000001</v>
      </c>
      <c r="H87" s="214">
        <f>COMPOSICIÓN!H87</f>
        <v>0.1</v>
      </c>
      <c r="I87" s="215">
        <f>COMPOSICIÓN!I87</f>
        <v>7809.48</v>
      </c>
      <c r="J87" s="212" t="str">
        <f>IFERROR(VLOOKUP(A87,PARTIDAS!$A$2:$C$269,3,FALSE()),"")</f>
        <v>MAMPOSTERÍA</v>
      </c>
      <c r="K87" s="212" t="str">
        <f>IFERROR(INDEX(PPTO_GENERADOR!$B$4:$B$220,MATCH(A87,PPTO_GENERADOR!$Q$4:$Q$220,0)),"")</f>
        <v/>
      </c>
      <c r="L87" s="216">
        <f>IF(PLAN_ETAPA!$C$4="(TODOS)",SUMIFS(PPTO_GENERADOR!$E$4:$E$220,PPTO_GENERADOR!$Q$4:$Q$220,A87),SUMIFS(PPTO_GENERADOR!$E$4:$E$220,PPTO_GENERADOR!$Q$4:$Q$220,A87,PPTO_GENERADOR!$B$4:$B$220,PLAN_ETAPA!$C$4))</f>
        <v>0</v>
      </c>
      <c r="M87" s="216">
        <f>IFERROR(VLOOKUP(A87,PARTIDAS!$A$2:$F$269,6,FALSE()),1)</f>
        <v>2</v>
      </c>
      <c r="N87" s="216">
        <f>IFERROR(VLOOKUP(A87,PARTIDAS!$A$2:$I$269,9,FALSE()),1)</f>
        <v>1</v>
      </c>
      <c r="O87" s="217">
        <f t="shared" si="2"/>
        <v>0</v>
      </c>
      <c r="P87" s="216">
        <f>IF(O87=0,0,IF(B87="MAT",G87*(1+H87)*L87*PLAN_ETAPA!$C$5,IF(B87="MO",IF(M87=0,0,G87*L87*PLAN_ETAPA!$C$5*N87/M87),IF(B87="EQ",IF(M87=0,0,G87*L87*PLAN_ETAPA!$C$5/M87),0))))</f>
        <v>0</v>
      </c>
      <c r="Q87" s="218">
        <f t="shared" si="3"/>
        <v>0</v>
      </c>
    </row>
    <row r="88" spans="1:17" x14ac:dyDescent="0.35">
      <c r="A88" s="212" t="str">
        <f>COMPOSICIÓN!A88</f>
        <v>ALB-039</v>
      </c>
      <c r="B88" s="212" t="str">
        <f>COMPOSICIÓN!B88</f>
        <v>MO</v>
      </c>
      <c r="C88" s="212" t="str">
        <f>COMPOSICIÓN!C88</f>
        <v>ALB</v>
      </c>
      <c r="D88" s="212" t="str">
        <f>COMPOSICIÓN!D88</f>
        <v>MO-EAYUD</v>
      </c>
      <c r="E88" s="212" t="str">
        <f>COMPOSICIÓN!E88</f>
        <v>AYUDANTE</v>
      </c>
      <c r="F88" s="212" t="str">
        <f>COMPOSICIÓN!F88</f>
        <v>j</v>
      </c>
      <c r="G88" s="213">
        <f>COMPOSICIÓN!G88</f>
        <v>0.75</v>
      </c>
      <c r="H88" s="214">
        <f>COMPOSICIÓN!H88</f>
        <v>0</v>
      </c>
      <c r="I88" s="215">
        <f>COMPOSICIÓN!I88</f>
        <v>60860.580776572002</v>
      </c>
      <c r="J88" s="212" t="str">
        <f>IFERROR(VLOOKUP(A88,PARTIDAS!$A$2:$C$269,3,FALSE()),"")</f>
        <v>MAMPOSTERÍA</v>
      </c>
      <c r="K88" s="212" t="str">
        <f>IFERROR(INDEX(PPTO_GENERADOR!$B$4:$B$220,MATCH(A88,PPTO_GENERADOR!$Q$4:$Q$220,0)),"")</f>
        <v/>
      </c>
      <c r="L88" s="216">
        <f>IF(PLAN_ETAPA!$C$4="(TODOS)",SUMIFS(PPTO_GENERADOR!$E$4:$E$220,PPTO_GENERADOR!$Q$4:$Q$220,A88),SUMIFS(PPTO_GENERADOR!$E$4:$E$220,PPTO_GENERADOR!$Q$4:$Q$220,A88,PPTO_GENERADOR!$B$4:$B$220,PLAN_ETAPA!$C$4))</f>
        <v>0</v>
      </c>
      <c r="M88" s="216">
        <f>IFERROR(VLOOKUP(A88,PARTIDAS!$A$2:$F$269,6,FALSE()),1)</f>
        <v>2</v>
      </c>
      <c r="N88" s="216">
        <f>IFERROR(VLOOKUP(A88,PARTIDAS!$A$2:$I$269,9,FALSE()),1)</f>
        <v>1</v>
      </c>
      <c r="O88" s="217">
        <f t="shared" si="2"/>
        <v>0</v>
      </c>
      <c r="P88" s="216">
        <f>IF(O88=0,0,IF(B88="MAT",G88*(1+H88)*L88*PLAN_ETAPA!$C$5,IF(B88="MO",IF(M88=0,0,G88*L88*PLAN_ETAPA!$C$5*N88/M88),IF(B88="EQ",IF(M88=0,0,G88*L88*PLAN_ETAPA!$C$5/M88),0))))</f>
        <v>0</v>
      </c>
      <c r="Q88" s="218">
        <f t="shared" si="3"/>
        <v>0</v>
      </c>
    </row>
    <row r="89" spans="1:17" x14ac:dyDescent="0.35">
      <c r="A89" s="212" t="str">
        <f>COMPOSICIÓN!A89</f>
        <v>ALB-039</v>
      </c>
      <c r="B89" s="212" t="str">
        <f>COMPOSICIÓN!B89</f>
        <v>MO</v>
      </c>
      <c r="C89" s="212" t="str">
        <f>COMPOSICIÓN!C89</f>
        <v>ALB</v>
      </c>
      <c r="D89" s="212" t="str">
        <f>COMPOSICIÓN!D89</f>
        <v>MO-EESPE</v>
      </c>
      <c r="E89" s="212" t="str">
        <f>COMPOSICIÓN!E89</f>
        <v>ESPECIALIZADO</v>
      </c>
      <c r="F89" s="212" t="str">
        <f>COMPOSICIÓN!F89</f>
        <v>j</v>
      </c>
      <c r="G89" s="213">
        <f>COMPOSICIÓN!G89</f>
        <v>0.75</v>
      </c>
      <c r="H89" s="214">
        <f>COMPOSICIÓN!H89</f>
        <v>0</v>
      </c>
      <c r="I89" s="215">
        <f>COMPOSICIÓN!I89</f>
        <v>85927.097156571996</v>
      </c>
      <c r="J89" s="212" t="str">
        <f>IFERROR(VLOOKUP(A89,PARTIDAS!$A$2:$C$269,3,FALSE()),"")</f>
        <v>MAMPOSTERÍA</v>
      </c>
      <c r="K89" s="212" t="str">
        <f>IFERROR(INDEX(PPTO_GENERADOR!$B$4:$B$220,MATCH(A89,PPTO_GENERADOR!$Q$4:$Q$220,0)),"")</f>
        <v/>
      </c>
      <c r="L89" s="216">
        <f>IF(PLAN_ETAPA!$C$4="(TODOS)",SUMIFS(PPTO_GENERADOR!$E$4:$E$220,PPTO_GENERADOR!$Q$4:$Q$220,A89),SUMIFS(PPTO_GENERADOR!$E$4:$E$220,PPTO_GENERADOR!$Q$4:$Q$220,A89,PPTO_GENERADOR!$B$4:$B$220,PLAN_ETAPA!$C$4))</f>
        <v>0</v>
      </c>
      <c r="M89" s="216">
        <f>IFERROR(VLOOKUP(A89,PARTIDAS!$A$2:$F$269,6,FALSE()),1)</f>
        <v>2</v>
      </c>
      <c r="N89" s="216">
        <f>IFERROR(VLOOKUP(A89,PARTIDAS!$A$2:$I$269,9,FALSE()),1)</f>
        <v>1</v>
      </c>
      <c r="O89" s="217">
        <f t="shared" si="2"/>
        <v>0</v>
      </c>
      <c r="P89" s="216">
        <f>IF(O89=0,0,IF(B89="MAT",G89*(1+H89)*L89*PLAN_ETAPA!$C$5,IF(B89="MO",IF(M89=0,0,G89*L89*PLAN_ETAPA!$C$5*N89/M89),IF(B89="EQ",IF(M89=0,0,G89*L89*PLAN_ETAPA!$C$5/M89),0))))</f>
        <v>0</v>
      </c>
      <c r="Q89" s="218">
        <f t="shared" si="3"/>
        <v>0</v>
      </c>
    </row>
    <row r="90" spans="1:17" x14ac:dyDescent="0.35">
      <c r="A90" s="212" t="str">
        <f>COMPOSICIÓN!A90</f>
        <v>ALB-040</v>
      </c>
      <c r="B90" s="212" t="str">
        <f>COMPOSICIÓN!B90</f>
        <v>EQ</v>
      </c>
      <c r="C90" s="212">
        <f>COMPOSICIÓN!C90</f>
        <v>0</v>
      </c>
      <c r="D90" s="212" t="str">
        <f>COMPOSICIÓN!D90</f>
        <v>EQ-EQALBA</v>
      </c>
      <c r="E90" s="212" t="str">
        <f>COMPOSICIÓN!E90</f>
        <v>EQUIPO DE ALBAÑILERIA, carpetas, ladrillo</v>
      </c>
      <c r="F90" s="212">
        <f>COMPOSICIÓN!F90</f>
        <v>0</v>
      </c>
      <c r="G90" s="213">
        <f>COMPOSICIÓN!G90</f>
        <v>0.25</v>
      </c>
      <c r="H90" s="214">
        <f>COMPOSICIÓN!H90</f>
        <v>0</v>
      </c>
      <c r="I90" s="215">
        <f>COMPOSICIÓN!I90</f>
        <v>2287.1357450968057</v>
      </c>
      <c r="J90" s="212" t="str">
        <f>IFERROR(VLOOKUP(A90,PARTIDAS!$A$2:$C$269,3,FALSE()),"")</f>
        <v>MAMPOSTERÍA</v>
      </c>
      <c r="K90" s="212" t="str">
        <f>IFERROR(INDEX(PPTO_GENERADOR!$B$4:$B$220,MATCH(A90,PPTO_GENERADOR!$Q$4:$Q$220,0)),"")</f>
        <v/>
      </c>
      <c r="L90" s="216">
        <f>IF(PLAN_ETAPA!$C$4="(TODOS)",SUMIFS(PPTO_GENERADOR!$E$4:$E$220,PPTO_GENERADOR!$Q$4:$Q$220,A90),SUMIFS(PPTO_GENERADOR!$E$4:$E$220,PPTO_GENERADOR!$Q$4:$Q$220,A90,PPTO_GENERADOR!$B$4:$B$220,PLAN_ETAPA!$C$4))</f>
        <v>0</v>
      </c>
      <c r="M90" s="216">
        <f>IFERROR(VLOOKUP(A90,PARTIDAS!$A$2:$F$269,6,FALSE()),1)</f>
        <v>4</v>
      </c>
      <c r="N90" s="216">
        <f>IFERROR(VLOOKUP(A90,PARTIDAS!$A$2:$I$269,9,FALSE()),1)</f>
        <v>1</v>
      </c>
      <c r="O90" s="217">
        <f t="shared" si="2"/>
        <v>0</v>
      </c>
      <c r="P90" s="216">
        <f>IF(O90=0,0,IF(B90="MAT",G90*(1+H90)*L90*PLAN_ETAPA!$C$5,IF(B90="MO",IF(M90=0,0,G90*L90*PLAN_ETAPA!$C$5*N90/M90),IF(B90="EQ",IF(M90=0,0,G90*L90*PLAN_ETAPA!$C$5/M90),0))))</f>
        <v>0</v>
      </c>
      <c r="Q90" s="218">
        <f t="shared" si="3"/>
        <v>0</v>
      </c>
    </row>
    <row r="91" spans="1:17" x14ac:dyDescent="0.35">
      <c r="A91" s="212" t="str">
        <f>COMPOSICIÓN!A91</f>
        <v>ALB-040</v>
      </c>
      <c r="B91" s="212" t="str">
        <f>COMPOSICIÓN!B91</f>
        <v>EQ</v>
      </c>
      <c r="C91" s="212">
        <f>COMPOSICIÓN!C91</f>
        <v>0</v>
      </c>
      <c r="D91" s="212" t="str">
        <f>COMPOSICIÓN!D91</f>
        <v>EQ-TROMPO</v>
      </c>
      <c r="E91" s="212" t="str">
        <f>COMPOSICIÓN!E91</f>
        <v>Hormigonera De 150 Litros 1hp Con Rueda Maciza</v>
      </c>
      <c r="F91" s="212">
        <f>COMPOSICIÓN!F91</f>
        <v>0</v>
      </c>
      <c r="G91" s="213">
        <f>COMPOSICIÓN!G91</f>
        <v>0.25</v>
      </c>
      <c r="H91" s="214">
        <f>COMPOSICIÓN!H91</f>
        <v>0</v>
      </c>
      <c r="I91" s="215">
        <f>COMPOSICIÓN!I91</f>
        <v>957.25319614994726</v>
      </c>
      <c r="J91" s="212" t="str">
        <f>IFERROR(VLOOKUP(A91,PARTIDAS!$A$2:$C$269,3,FALSE()),"")</f>
        <v>MAMPOSTERÍA</v>
      </c>
      <c r="K91" s="212" t="str">
        <f>IFERROR(INDEX(PPTO_GENERADOR!$B$4:$B$220,MATCH(A91,PPTO_GENERADOR!$Q$4:$Q$220,0)),"")</f>
        <v/>
      </c>
      <c r="L91" s="216">
        <f>IF(PLAN_ETAPA!$C$4="(TODOS)",SUMIFS(PPTO_GENERADOR!$E$4:$E$220,PPTO_GENERADOR!$Q$4:$Q$220,A91),SUMIFS(PPTO_GENERADOR!$E$4:$E$220,PPTO_GENERADOR!$Q$4:$Q$220,A91,PPTO_GENERADOR!$B$4:$B$220,PLAN_ETAPA!$C$4))</f>
        <v>0</v>
      </c>
      <c r="M91" s="216">
        <f>IFERROR(VLOOKUP(A91,PARTIDAS!$A$2:$F$269,6,FALSE()),1)</f>
        <v>4</v>
      </c>
      <c r="N91" s="216">
        <f>IFERROR(VLOOKUP(A91,PARTIDAS!$A$2:$I$269,9,FALSE()),1)</f>
        <v>1</v>
      </c>
      <c r="O91" s="217">
        <f t="shared" si="2"/>
        <v>0</v>
      </c>
      <c r="P91" s="216">
        <f>IF(O91=0,0,IF(B91="MAT",G91*(1+H91)*L91*PLAN_ETAPA!$C$5,IF(B91="MO",IF(M91=0,0,G91*L91*PLAN_ETAPA!$C$5*N91/M91),IF(B91="EQ",IF(M91=0,0,G91*L91*PLAN_ETAPA!$C$5/M91),0))))</f>
        <v>0</v>
      </c>
      <c r="Q91" s="218">
        <f t="shared" si="3"/>
        <v>0</v>
      </c>
    </row>
    <row r="92" spans="1:17" x14ac:dyDescent="0.35">
      <c r="A92" s="212" t="str">
        <f>COMPOSICIÓN!A92</f>
        <v>ALB-040</v>
      </c>
      <c r="B92" s="212" t="str">
        <f>COMPOSICIÓN!B92</f>
        <v>MAT</v>
      </c>
      <c r="C92" s="212" t="str">
        <f>COMPOSICIÓN!C92</f>
        <v>OTR</v>
      </c>
      <c r="D92" s="212" t="str">
        <f>COMPOSICIÓN!D92</f>
        <v>AGR-001</v>
      </c>
      <c r="E92" s="212" t="str">
        <f>COMPOSICIÓN!E92</f>
        <v>ARENA LAVADA</v>
      </c>
      <c r="F92" s="212" t="str">
        <f>COMPOSICIÓN!F92</f>
        <v>m3</v>
      </c>
      <c r="G92" s="213">
        <f>COMPOSICIÓN!G92</f>
        <v>1.38E-2</v>
      </c>
      <c r="H92" s="214">
        <f>COMPOSICIÓN!H92</f>
        <v>0.05</v>
      </c>
      <c r="I92" s="215">
        <f>COMPOSICIÓN!I92</f>
        <v>32399.77</v>
      </c>
      <c r="J92" s="212" t="str">
        <f>IFERROR(VLOOKUP(A92,PARTIDAS!$A$2:$C$269,3,FALSE()),"")</f>
        <v>MAMPOSTERÍA</v>
      </c>
      <c r="K92" s="212" t="str">
        <f>IFERROR(INDEX(PPTO_GENERADOR!$B$4:$B$220,MATCH(A92,PPTO_GENERADOR!$Q$4:$Q$220,0)),"")</f>
        <v/>
      </c>
      <c r="L92" s="216">
        <f>IF(PLAN_ETAPA!$C$4="(TODOS)",SUMIFS(PPTO_GENERADOR!$E$4:$E$220,PPTO_GENERADOR!$Q$4:$Q$220,A92),SUMIFS(PPTO_GENERADOR!$E$4:$E$220,PPTO_GENERADOR!$Q$4:$Q$220,A92,PPTO_GENERADOR!$B$4:$B$220,PLAN_ETAPA!$C$4))</f>
        <v>0</v>
      </c>
      <c r="M92" s="216">
        <f>IFERROR(VLOOKUP(A92,PARTIDAS!$A$2:$F$269,6,FALSE()),1)</f>
        <v>4</v>
      </c>
      <c r="N92" s="216">
        <f>IFERROR(VLOOKUP(A92,PARTIDAS!$A$2:$I$269,9,FALSE()),1)</f>
        <v>1</v>
      </c>
      <c r="O92" s="217">
        <f t="shared" si="2"/>
        <v>0</v>
      </c>
      <c r="P92" s="216">
        <f>IF(O92=0,0,IF(B92="MAT",G92*(1+H92)*L92*PLAN_ETAPA!$C$5,IF(B92="MO",IF(M92=0,0,G92*L92*PLAN_ETAPA!$C$5*N92/M92),IF(B92="EQ",IF(M92=0,0,G92*L92*PLAN_ETAPA!$C$5/M92),0))))</f>
        <v>0</v>
      </c>
      <c r="Q92" s="218">
        <f t="shared" si="3"/>
        <v>0</v>
      </c>
    </row>
    <row r="93" spans="1:17" x14ac:dyDescent="0.35">
      <c r="A93" s="212" t="str">
        <f>COMPOSICIÓN!A93</f>
        <v>ALB-040</v>
      </c>
      <c r="B93" s="212" t="str">
        <f>COMPOSICIÓN!B93</f>
        <v>MAT</v>
      </c>
      <c r="C93" s="212" t="str">
        <f>COMPOSICIÓN!C93</f>
        <v>OTR</v>
      </c>
      <c r="D93" s="212" t="str">
        <f>COMPOSICIÓN!D93</f>
        <v>AGR-004</v>
      </c>
      <c r="E93" s="212" t="str">
        <f>COMPOSICIÓN!E93</f>
        <v>Cemento Portland x 50kg</v>
      </c>
      <c r="F93" s="212" t="str">
        <f>COMPOSICIÓN!F93</f>
        <v>Bol</v>
      </c>
      <c r="G93" s="213">
        <f>COMPOSICIÓN!G93</f>
        <v>0.1242</v>
      </c>
      <c r="H93" s="214">
        <f>COMPOSICIÓN!H93</f>
        <v>0.05</v>
      </c>
      <c r="I93" s="215">
        <f>COMPOSICIÓN!I93</f>
        <v>7809.48</v>
      </c>
      <c r="J93" s="212" t="str">
        <f>IFERROR(VLOOKUP(A93,PARTIDAS!$A$2:$C$269,3,FALSE()),"")</f>
        <v>MAMPOSTERÍA</v>
      </c>
      <c r="K93" s="212" t="str">
        <f>IFERROR(INDEX(PPTO_GENERADOR!$B$4:$B$220,MATCH(A93,PPTO_GENERADOR!$Q$4:$Q$220,0)),"")</f>
        <v/>
      </c>
      <c r="L93" s="216">
        <f>IF(PLAN_ETAPA!$C$4="(TODOS)",SUMIFS(PPTO_GENERADOR!$E$4:$E$220,PPTO_GENERADOR!$Q$4:$Q$220,A93),SUMIFS(PPTO_GENERADOR!$E$4:$E$220,PPTO_GENERADOR!$Q$4:$Q$220,A93,PPTO_GENERADOR!$B$4:$B$220,PLAN_ETAPA!$C$4))</f>
        <v>0</v>
      </c>
      <c r="M93" s="216">
        <f>IFERROR(VLOOKUP(A93,PARTIDAS!$A$2:$F$269,6,FALSE()),1)</f>
        <v>4</v>
      </c>
      <c r="N93" s="216">
        <f>IFERROR(VLOOKUP(A93,PARTIDAS!$A$2:$I$269,9,FALSE()),1)</f>
        <v>1</v>
      </c>
      <c r="O93" s="217">
        <f t="shared" si="2"/>
        <v>0</v>
      </c>
      <c r="P93" s="216">
        <f>IF(O93=0,0,IF(B93="MAT",G93*(1+H93)*L93*PLAN_ETAPA!$C$5,IF(B93="MO",IF(M93=0,0,G93*L93*PLAN_ETAPA!$C$5*N93/M93),IF(B93="EQ",IF(M93=0,0,G93*L93*PLAN_ETAPA!$C$5/M93),0))))</f>
        <v>0</v>
      </c>
      <c r="Q93" s="218">
        <f t="shared" si="3"/>
        <v>0</v>
      </c>
    </row>
    <row r="94" spans="1:17" x14ac:dyDescent="0.35">
      <c r="A94" s="212" t="str">
        <f>COMPOSICIÓN!A94</f>
        <v>ALB-040</v>
      </c>
      <c r="B94" s="212" t="str">
        <f>COMPOSICIÓN!B94</f>
        <v>MO</v>
      </c>
      <c r="C94" s="212" t="str">
        <f>COMPOSICIÓN!C94</f>
        <v>ALB</v>
      </c>
      <c r="D94" s="212" t="str">
        <f>COMPOSICIÓN!D94</f>
        <v>MO-EAYUD</v>
      </c>
      <c r="E94" s="212" t="str">
        <f>COMPOSICIÓN!E94</f>
        <v>AYUDANTE</v>
      </c>
      <c r="F94" s="212" t="str">
        <f>COMPOSICIÓN!F94</f>
        <v>j</v>
      </c>
      <c r="G94" s="213">
        <f>COMPOSICIÓN!G94</f>
        <v>1</v>
      </c>
      <c r="H94" s="214">
        <f>COMPOSICIÓN!H94</f>
        <v>0</v>
      </c>
      <c r="I94" s="215">
        <f>COMPOSICIÓN!I94</f>
        <v>60860.580776572002</v>
      </c>
      <c r="J94" s="212" t="str">
        <f>IFERROR(VLOOKUP(A94,PARTIDAS!$A$2:$C$269,3,FALSE()),"")</f>
        <v>MAMPOSTERÍA</v>
      </c>
      <c r="K94" s="212" t="str">
        <f>IFERROR(INDEX(PPTO_GENERADOR!$B$4:$B$220,MATCH(A94,PPTO_GENERADOR!$Q$4:$Q$220,0)),"")</f>
        <v/>
      </c>
      <c r="L94" s="216">
        <f>IF(PLAN_ETAPA!$C$4="(TODOS)",SUMIFS(PPTO_GENERADOR!$E$4:$E$220,PPTO_GENERADOR!$Q$4:$Q$220,A94),SUMIFS(PPTO_GENERADOR!$E$4:$E$220,PPTO_GENERADOR!$Q$4:$Q$220,A94,PPTO_GENERADOR!$B$4:$B$220,PLAN_ETAPA!$C$4))</f>
        <v>0</v>
      </c>
      <c r="M94" s="216">
        <f>IFERROR(VLOOKUP(A94,PARTIDAS!$A$2:$F$269,6,FALSE()),1)</f>
        <v>4</v>
      </c>
      <c r="N94" s="216">
        <f>IFERROR(VLOOKUP(A94,PARTIDAS!$A$2:$I$269,9,FALSE()),1)</f>
        <v>1</v>
      </c>
      <c r="O94" s="217">
        <f t="shared" si="2"/>
        <v>0</v>
      </c>
      <c r="P94" s="216">
        <f>IF(O94=0,0,IF(B94="MAT",G94*(1+H94)*L94*PLAN_ETAPA!$C$5,IF(B94="MO",IF(M94=0,0,G94*L94*PLAN_ETAPA!$C$5*N94/M94),IF(B94="EQ",IF(M94=0,0,G94*L94*PLAN_ETAPA!$C$5/M94),0))))</f>
        <v>0</v>
      </c>
      <c r="Q94" s="218">
        <f t="shared" si="3"/>
        <v>0</v>
      </c>
    </row>
    <row r="95" spans="1:17" x14ac:dyDescent="0.35">
      <c r="A95" s="212" t="str">
        <f>COMPOSICIÓN!A95</f>
        <v>ALB-040</v>
      </c>
      <c r="B95" s="212" t="str">
        <f>COMPOSICIÓN!B95</f>
        <v>MO</v>
      </c>
      <c r="C95" s="212" t="str">
        <f>COMPOSICIÓN!C95</f>
        <v>ALB</v>
      </c>
      <c r="D95" s="212" t="str">
        <f>COMPOSICIÓN!D95</f>
        <v>MO-EESPE</v>
      </c>
      <c r="E95" s="212" t="str">
        <f>COMPOSICIÓN!E95</f>
        <v>ESPECIALIZADO</v>
      </c>
      <c r="F95" s="212" t="str">
        <f>COMPOSICIÓN!F95</f>
        <v>j</v>
      </c>
      <c r="G95" s="213">
        <f>COMPOSICIÓN!G95</f>
        <v>1</v>
      </c>
      <c r="H95" s="214">
        <f>COMPOSICIÓN!H95</f>
        <v>0</v>
      </c>
      <c r="I95" s="215">
        <f>COMPOSICIÓN!I95</f>
        <v>85927.097156571996</v>
      </c>
      <c r="J95" s="212" t="str">
        <f>IFERROR(VLOOKUP(A95,PARTIDAS!$A$2:$C$269,3,FALSE()),"")</f>
        <v>MAMPOSTERÍA</v>
      </c>
      <c r="K95" s="212" t="str">
        <f>IFERROR(INDEX(PPTO_GENERADOR!$B$4:$B$220,MATCH(A95,PPTO_GENERADOR!$Q$4:$Q$220,0)),"")</f>
        <v/>
      </c>
      <c r="L95" s="216">
        <f>IF(PLAN_ETAPA!$C$4="(TODOS)",SUMIFS(PPTO_GENERADOR!$E$4:$E$220,PPTO_GENERADOR!$Q$4:$Q$220,A95),SUMIFS(PPTO_GENERADOR!$E$4:$E$220,PPTO_GENERADOR!$Q$4:$Q$220,A95,PPTO_GENERADOR!$B$4:$B$220,PLAN_ETAPA!$C$4))</f>
        <v>0</v>
      </c>
      <c r="M95" s="216">
        <f>IFERROR(VLOOKUP(A95,PARTIDAS!$A$2:$F$269,6,FALSE()),1)</f>
        <v>4</v>
      </c>
      <c r="N95" s="216">
        <f>IFERROR(VLOOKUP(A95,PARTIDAS!$A$2:$I$269,9,FALSE()),1)</f>
        <v>1</v>
      </c>
      <c r="O95" s="217">
        <f t="shared" si="2"/>
        <v>0</v>
      </c>
      <c r="P95" s="216">
        <f>IF(O95=0,0,IF(B95="MAT",G95*(1+H95)*L95*PLAN_ETAPA!$C$5,IF(B95="MO",IF(M95=0,0,G95*L95*PLAN_ETAPA!$C$5*N95/M95),IF(B95="EQ",IF(M95=0,0,G95*L95*PLAN_ETAPA!$C$5/M95),0))))</f>
        <v>0</v>
      </c>
      <c r="Q95" s="218">
        <f t="shared" si="3"/>
        <v>0</v>
      </c>
    </row>
    <row r="96" spans="1:17" x14ac:dyDescent="0.35">
      <c r="A96" s="212" t="str">
        <f>COMPOSICIÓN!A96</f>
        <v>ALB-041</v>
      </c>
      <c r="B96" s="212" t="str">
        <f>COMPOSICIÓN!B96</f>
        <v>EQ</v>
      </c>
      <c r="C96" s="212">
        <f>COMPOSICIÓN!C96</f>
        <v>0</v>
      </c>
      <c r="D96" s="212" t="str">
        <f>COMPOSICIÓN!D96</f>
        <v>EQ-EQALBA</v>
      </c>
      <c r="E96" s="212" t="str">
        <f>COMPOSICIÓN!E96</f>
        <v>EQUIPO DE ALBAÑILERIA, carpetas, ladrillo</v>
      </c>
      <c r="F96" s="212">
        <f>COMPOSICIÓN!F96</f>
        <v>0</v>
      </c>
      <c r="G96" s="213">
        <f>COMPOSICIÓN!G96</f>
        <v>0.5</v>
      </c>
      <c r="H96" s="214">
        <f>COMPOSICIÓN!H96</f>
        <v>0</v>
      </c>
      <c r="I96" s="215">
        <f>COMPOSICIÓN!I96</f>
        <v>2287.1357450968057</v>
      </c>
      <c r="J96" s="212" t="str">
        <f>IFERROR(VLOOKUP(A96,PARTIDAS!$A$2:$C$269,3,FALSE()),"")</f>
        <v>MAMPOSTERÍA</v>
      </c>
      <c r="K96" s="212" t="str">
        <f>IFERROR(INDEX(PPTO_GENERADOR!$B$4:$B$220,MATCH(A96,PPTO_GENERADOR!$Q$4:$Q$220,0)),"")</f>
        <v/>
      </c>
      <c r="L96" s="216">
        <f>IF(PLAN_ETAPA!$C$4="(TODOS)",SUMIFS(PPTO_GENERADOR!$E$4:$E$220,PPTO_GENERADOR!$Q$4:$Q$220,A96),SUMIFS(PPTO_GENERADOR!$E$4:$E$220,PPTO_GENERADOR!$Q$4:$Q$220,A96,PPTO_GENERADOR!$B$4:$B$220,PLAN_ETAPA!$C$4))</f>
        <v>0</v>
      </c>
      <c r="M96" s="216">
        <f>IFERROR(VLOOKUP(A96,PARTIDAS!$A$2:$F$269,6,FALSE()),1)</f>
        <v>5</v>
      </c>
      <c r="N96" s="216">
        <f>IFERROR(VLOOKUP(A96,PARTIDAS!$A$2:$I$269,9,FALSE()),1)</f>
        <v>1</v>
      </c>
      <c r="O96" s="217">
        <f t="shared" si="2"/>
        <v>0</v>
      </c>
      <c r="P96" s="216">
        <f>IF(O96=0,0,IF(B96="MAT",G96*(1+H96)*L96*PLAN_ETAPA!$C$5,IF(B96="MO",IF(M96=0,0,G96*L96*PLAN_ETAPA!$C$5*N96/M96),IF(B96="EQ",IF(M96=0,0,G96*L96*PLAN_ETAPA!$C$5/M96),0))))</f>
        <v>0</v>
      </c>
      <c r="Q96" s="218">
        <f t="shared" si="3"/>
        <v>0</v>
      </c>
    </row>
    <row r="97" spans="1:17" x14ac:dyDescent="0.35">
      <c r="A97" s="212" t="str">
        <f>COMPOSICIÓN!A97</f>
        <v>ALB-041</v>
      </c>
      <c r="B97" s="212" t="str">
        <f>COMPOSICIÓN!B97</f>
        <v>EQ</v>
      </c>
      <c r="C97" s="212">
        <f>COMPOSICIÓN!C97</f>
        <v>0</v>
      </c>
      <c r="D97" s="212" t="str">
        <f>COMPOSICIÓN!D97</f>
        <v>EQ-TROMPO</v>
      </c>
      <c r="E97" s="212" t="str">
        <f>COMPOSICIÓN!E97</f>
        <v>Hormigonera De 150 Litros 1hp Con Rueda Maciza</v>
      </c>
      <c r="F97" s="212">
        <f>COMPOSICIÓN!F97</f>
        <v>0</v>
      </c>
      <c r="G97" s="213">
        <f>COMPOSICIÓN!G97</f>
        <v>0.25</v>
      </c>
      <c r="H97" s="214">
        <f>COMPOSICIÓN!H97</f>
        <v>0</v>
      </c>
      <c r="I97" s="215">
        <f>COMPOSICIÓN!I97</f>
        <v>957.25319614994726</v>
      </c>
      <c r="J97" s="212" t="str">
        <f>IFERROR(VLOOKUP(A97,PARTIDAS!$A$2:$C$269,3,FALSE()),"")</f>
        <v>MAMPOSTERÍA</v>
      </c>
      <c r="K97" s="212" t="str">
        <f>IFERROR(INDEX(PPTO_GENERADOR!$B$4:$B$220,MATCH(A97,PPTO_GENERADOR!$Q$4:$Q$220,0)),"")</f>
        <v/>
      </c>
      <c r="L97" s="216">
        <f>IF(PLAN_ETAPA!$C$4="(TODOS)",SUMIFS(PPTO_GENERADOR!$E$4:$E$220,PPTO_GENERADOR!$Q$4:$Q$220,A97),SUMIFS(PPTO_GENERADOR!$E$4:$E$220,PPTO_GENERADOR!$Q$4:$Q$220,A97,PPTO_GENERADOR!$B$4:$B$220,PLAN_ETAPA!$C$4))</f>
        <v>0</v>
      </c>
      <c r="M97" s="216">
        <f>IFERROR(VLOOKUP(A97,PARTIDAS!$A$2:$F$269,6,FALSE()),1)</f>
        <v>5</v>
      </c>
      <c r="N97" s="216">
        <f>IFERROR(VLOOKUP(A97,PARTIDAS!$A$2:$I$269,9,FALSE()),1)</f>
        <v>1</v>
      </c>
      <c r="O97" s="217">
        <f t="shared" si="2"/>
        <v>0</v>
      </c>
      <c r="P97" s="216">
        <f>IF(O97=0,0,IF(B97="MAT",G97*(1+H97)*L97*PLAN_ETAPA!$C$5,IF(B97="MO",IF(M97=0,0,G97*L97*PLAN_ETAPA!$C$5*N97/M97),IF(B97="EQ",IF(M97=0,0,G97*L97*PLAN_ETAPA!$C$5/M97),0))))</f>
        <v>0</v>
      </c>
      <c r="Q97" s="218">
        <f t="shared" si="3"/>
        <v>0</v>
      </c>
    </row>
    <row r="98" spans="1:17" x14ac:dyDescent="0.35">
      <c r="A98" s="212" t="str">
        <f>COMPOSICIÓN!A98</f>
        <v>ALB-041</v>
      </c>
      <c r="B98" s="212" t="str">
        <f>COMPOSICIÓN!B98</f>
        <v>MAT</v>
      </c>
      <c r="C98" s="212" t="str">
        <f>COMPOSICIÓN!C98</f>
        <v>OTR</v>
      </c>
      <c r="D98" s="212" t="str">
        <f>COMPOSICIÓN!D98</f>
        <v>AGR-001</v>
      </c>
      <c r="E98" s="212" t="str">
        <f>COMPOSICIÓN!E98</f>
        <v>ARENA LAVADA</v>
      </c>
      <c r="F98" s="212" t="str">
        <f>COMPOSICIÓN!F98</f>
        <v>m3</v>
      </c>
      <c r="G98" s="213">
        <f>COMPOSICIÓN!G98</f>
        <v>1.8E-3</v>
      </c>
      <c r="H98" s="214">
        <f>COMPOSICIÓN!H98</f>
        <v>0.1</v>
      </c>
      <c r="I98" s="215">
        <f>COMPOSICIÓN!I98</f>
        <v>32399.77</v>
      </c>
      <c r="J98" s="212" t="str">
        <f>IFERROR(VLOOKUP(A98,PARTIDAS!$A$2:$C$269,3,FALSE()),"")</f>
        <v>MAMPOSTERÍA</v>
      </c>
      <c r="K98" s="212" t="str">
        <f>IFERROR(INDEX(PPTO_GENERADOR!$B$4:$B$220,MATCH(A98,PPTO_GENERADOR!$Q$4:$Q$220,0)),"")</f>
        <v/>
      </c>
      <c r="L98" s="216">
        <f>IF(PLAN_ETAPA!$C$4="(TODOS)",SUMIFS(PPTO_GENERADOR!$E$4:$E$220,PPTO_GENERADOR!$Q$4:$Q$220,A98),SUMIFS(PPTO_GENERADOR!$E$4:$E$220,PPTO_GENERADOR!$Q$4:$Q$220,A98,PPTO_GENERADOR!$B$4:$B$220,PLAN_ETAPA!$C$4))</f>
        <v>0</v>
      </c>
      <c r="M98" s="216">
        <f>IFERROR(VLOOKUP(A98,PARTIDAS!$A$2:$F$269,6,FALSE()),1)</f>
        <v>5</v>
      </c>
      <c r="N98" s="216">
        <f>IFERROR(VLOOKUP(A98,PARTIDAS!$A$2:$I$269,9,FALSE()),1)</f>
        <v>1</v>
      </c>
      <c r="O98" s="217">
        <f t="shared" si="2"/>
        <v>0</v>
      </c>
      <c r="P98" s="216">
        <f>IF(O98=0,0,IF(B98="MAT",G98*(1+H98)*L98*PLAN_ETAPA!$C$5,IF(B98="MO",IF(M98=0,0,G98*L98*PLAN_ETAPA!$C$5*N98/M98),IF(B98="EQ",IF(M98=0,0,G98*L98*PLAN_ETAPA!$C$5/M98),0))))</f>
        <v>0</v>
      </c>
      <c r="Q98" s="218">
        <f t="shared" si="3"/>
        <v>0</v>
      </c>
    </row>
    <row r="99" spans="1:17" x14ac:dyDescent="0.35">
      <c r="A99" s="212" t="str">
        <f>COMPOSICIÓN!A99</f>
        <v>ALB-041</v>
      </c>
      <c r="B99" s="212" t="str">
        <f>COMPOSICIÓN!B99</f>
        <v>MAT</v>
      </c>
      <c r="C99" s="212" t="str">
        <f>COMPOSICIÓN!C99</f>
        <v>OTR</v>
      </c>
      <c r="D99" s="212" t="str">
        <f>COMPOSICIÓN!D99</f>
        <v>AGR-004</v>
      </c>
      <c r="E99" s="212" t="str">
        <f>COMPOSICIÓN!E99</f>
        <v>Cemento Portland x 50kg</v>
      </c>
      <c r="F99" s="212" t="str">
        <f>COMPOSICIÓN!F99</f>
        <v>Bol</v>
      </c>
      <c r="G99" s="213">
        <f>COMPOSICIÓN!G99</f>
        <v>1.6199999999999999E-2</v>
      </c>
      <c r="H99" s="214">
        <f>COMPOSICIÓN!H99</f>
        <v>0.1</v>
      </c>
      <c r="I99" s="215">
        <f>COMPOSICIÓN!I99</f>
        <v>7809.48</v>
      </c>
      <c r="J99" s="212" t="str">
        <f>IFERROR(VLOOKUP(A99,PARTIDAS!$A$2:$C$269,3,FALSE()),"")</f>
        <v>MAMPOSTERÍA</v>
      </c>
      <c r="K99" s="212" t="str">
        <f>IFERROR(INDEX(PPTO_GENERADOR!$B$4:$B$220,MATCH(A99,PPTO_GENERADOR!$Q$4:$Q$220,0)),"")</f>
        <v/>
      </c>
      <c r="L99" s="216">
        <f>IF(PLAN_ETAPA!$C$4="(TODOS)",SUMIFS(PPTO_GENERADOR!$E$4:$E$220,PPTO_GENERADOR!$Q$4:$Q$220,A99),SUMIFS(PPTO_GENERADOR!$E$4:$E$220,PPTO_GENERADOR!$Q$4:$Q$220,A99,PPTO_GENERADOR!$B$4:$B$220,PLAN_ETAPA!$C$4))</f>
        <v>0</v>
      </c>
      <c r="M99" s="216">
        <f>IFERROR(VLOOKUP(A99,PARTIDAS!$A$2:$F$269,6,FALSE()),1)</f>
        <v>5</v>
      </c>
      <c r="N99" s="216">
        <f>IFERROR(VLOOKUP(A99,PARTIDAS!$A$2:$I$269,9,FALSE()),1)</f>
        <v>1</v>
      </c>
      <c r="O99" s="217">
        <f t="shared" si="2"/>
        <v>0</v>
      </c>
      <c r="P99" s="216">
        <f>IF(O99=0,0,IF(B99="MAT",G99*(1+H99)*L99*PLAN_ETAPA!$C$5,IF(B99="MO",IF(M99=0,0,G99*L99*PLAN_ETAPA!$C$5*N99/M99),IF(B99="EQ",IF(M99=0,0,G99*L99*PLAN_ETAPA!$C$5/M99),0))))</f>
        <v>0</v>
      </c>
      <c r="Q99" s="218">
        <f t="shared" si="3"/>
        <v>0</v>
      </c>
    </row>
    <row r="100" spans="1:17" x14ac:dyDescent="0.35">
      <c r="A100" s="212" t="str">
        <f>COMPOSICIÓN!A100</f>
        <v>ALB-041</v>
      </c>
      <c r="B100" s="212" t="str">
        <f>COMPOSICIÓN!B100</f>
        <v>MAT</v>
      </c>
      <c r="C100" s="212" t="str">
        <f>COMPOSICIÓN!C100</f>
        <v>OTR</v>
      </c>
      <c r="D100" s="212" t="str">
        <f>COMPOSICIÓN!D100</f>
        <v>MAT-CONS</v>
      </c>
      <c r="E100" s="212" t="str">
        <f>COMPOSICIÓN!E100</f>
        <v>Consumibles</v>
      </c>
      <c r="F100" s="212" t="str">
        <f>COMPOSICIÓN!F100</f>
        <v>gl</v>
      </c>
      <c r="G100" s="213">
        <f>COMPOSICIÓN!G100</f>
        <v>1.04707986</v>
      </c>
      <c r="H100" s="214">
        <f>COMPOSICIÓN!H100</f>
        <v>0</v>
      </c>
      <c r="I100" s="215">
        <f>COMPOSICIÓN!I100</f>
        <v>1</v>
      </c>
      <c r="J100" s="212" t="str">
        <f>IFERROR(VLOOKUP(A100,PARTIDAS!$A$2:$C$269,3,FALSE()),"")</f>
        <v>MAMPOSTERÍA</v>
      </c>
      <c r="K100" s="212" t="str">
        <f>IFERROR(INDEX(PPTO_GENERADOR!$B$4:$B$220,MATCH(A100,PPTO_GENERADOR!$Q$4:$Q$220,0)),"")</f>
        <v/>
      </c>
      <c r="L100" s="216">
        <f>IF(PLAN_ETAPA!$C$4="(TODOS)",SUMIFS(PPTO_GENERADOR!$E$4:$E$220,PPTO_GENERADOR!$Q$4:$Q$220,A100),SUMIFS(PPTO_GENERADOR!$E$4:$E$220,PPTO_GENERADOR!$Q$4:$Q$220,A100,PPTO_GENERADOR!$B$4:$B$220,PLAN_ETAPA!$C$4))</f>
        <v>0</v>
      </c>
      <c r="M100" s="216">
        <f>IFERROR(VLOOKUP(A100,PARTIDAS!$A$2:$F$269,6,FALSE()),1)</f>
        <v>5</v>
      </c>
      <c r="N100" s="216">
        <f>IFERROR(VLOOKUP(A100,PARTIDAS!$A$2:$I$269,9,FALSE()),1)</f>
        <v>1</v>
      </c>
      <c r="O100" s="217">
        <f t="shared" si="2"/>
        <v>0</v>
      </c>
      <c r="P100" s="216">
        <f>IF(O100=0,0,IF(B100="MAT",G100*(1+H100)*L100*PLAN_ETAPA!$C$5,IF(B100="MO",IF(M100=0,0,G100*L100*PLAN_ETAPA!$C$5*N100/M100),IF(B100="EQ",IF(M100=0,0,G100*L100*PLAN_ETAPA!$C$5/M100),0))))</f>
        <v>0</v>
      </c>
      <c r="Q100" s="218">
        <f t="shared" si="3"/>
        <v>0</v>
      </c>
    </row>
    <row r="101" spans="1:17" x14ac:dyDescent="0.35">
      <c r="A101" s="212" t="str">
        <f>COMPOSICIÓN!A101</f>
        <v>ALB-041</v>
      </c>
      <c r="B101" s="212" t="str">
        <f>COMPOSICIÓN!B101</f>
        <v>MO</v>
      </c>
      <c r="C101" s="212" t="str">
        <f>COMPOSICIÓN!C101</f>
        <v>ALB</v>
      </c>
      <c r="D101" s="212" t="str">
        <f>COMPOSICIÓN!D101</f>
        <v>MO-EAYUD</v>
      </c>
      <c r="E101" s="212" t="str">
        <f>COMPOSICIÓN!E101</f>
        <v>AYUDANTE</v>
      </c>
      <c r="F101" s="212" t="str">
        <f>COMPOSICIÓN!F101</f>
        <v>j</v>
      </c>
      <c r="G101" s="213">
        <f>COMPOSICIÓN!G101</f>
        <v>1</v>
      </c>
      <c r="H101" s="214">
        <f>COMPOSICIÓN!H101</f>
        <v>0</v>
      </c>
      <c r="I101" s="215">
        <f>COMPOSICIÓN!I101</f>
        <v>60860.580776572002</v>
      </c>
      <c r="J101" s="212" t="str">
        <f>IFERROR(VLOOKUP(A101,PARTIDAS!$A$2:$C$269,3,FALSE()),"")</f>
        <v>MAMPOSTERÍA</v>
      </c>
      <c r="K101" s="212" t="str">
        <f>IFERROR(INDEX(PPTO_GENERADOR!$B$4:$B$220,MATCH(A101,PPTO_GENERADOR!$Q$4:$Q$220,0)),"")</f>
        <v/>
      </c>
      <c r="L101" s="216">
        <f>IF(PLAN_ETAPA!$C$4="(TODOS)",SUMIFS(PPTO_GENERADOR!$E$4:$E$220,PPTO_GENERADOR!$Q$4:$Q$220,A101),SUMIFS(PPTO_GENERADOR!$E$4:$E$220,PPTO_GENERADOR!$Q$4:$Q$220,A101,PPTO_GENERADOR!$B$4:$B$220,PLAN_ETAPA!$C$4))</f>
        <v>0</v>
      </c>
      <c r="M101" s="216">
        <f>IFERROR(VLOOKUP(A101,PARTIDAS!$A$2:$F$269,6,FALSE()),1)</f>
        <v>5</v>
      </c>
      <c r="N101" s="216">
        <f>IFERROR(VLOOKUP(A101,PARTIDAS!$A$2:$I$269,9,FALSE()),1)</f>
        <v>1</v>
      </c>
      <c r="O101" s="217">
        <f t="shared" si="2"/>
        <v>0</v>
      </c>
      <c r="P101" s="216">
        <f>IF(O101=0,0,IF(B101="MAT",G101*(1+H101)*L101*PLAN_ETAPA!$C$5,IF(B101="MO",IF(M101=0,0,G101*L101*PLAN_ETAPA!$C$5*N101/M101),IF(B101="EQ",IF(M101=0,0,G101*L101*PLAN_ETAPA!$C$5/M101),0))))</f>
        <v>0</v>
      </c>
      <c r="Q101" s="218">
        <f t="shared" si="3"/>
        <v>0</v>
      </c>
    </row>
    <row r="102" spans="1:17" x14ac:dyDescent="0.35">
      <c r="A102" s="212" t="str">
        <f>COMPOSICIÓN!A102</f>
        <v>ALB-041</v>
      </c>
      <c r="B102" s="212" t="str">
        <f>COMPOSICIÓN!B102</f>
        <v>MO</v>
      </c>
      <c r="C102" s="212" t="str">
        <f>COMPOSICIÓN!C102</f>
        <v>ALB</v>
      </c>
      <c r="D102" s="212" t="str">
        <f>COMPOSICIÓN!D102</f>
        <v>MO-EESPE</v>
      </c>
      <c r="E102" s="212" t="str">
        <f>COMPOSICIÓN!E102</f>
        <v>ESPECIALIZADO</v>
      </c>
      <c r="F102" s="212" t="str">
        <f>COMPOSICIÓN!F102</f>
        <v>j</v>
      </c>
      <c r="G102" s="213">
        <f>COMPOSICIÓN!G102</f>
        <v>1</v>
      </c>
      <c r="H102" s="214">
        <f>COMPOSICIÓN!H102</f>
        <v>0</v>
      </c>
      <c r="I102" s="215">
        <f>COMPOSICIÓN!I102</f>
        <v>85927.097156571996</v>
      </c>
      <c r="J102" s="212" t="str">
        <f>IFERROR(VLOOKUP(A102,PARTIDAS!$A$2:$C$269,3,FALSE()),"")</f>
        <v>MAMPOSTERÍA</v>
      </c>
      <c r="K102" s="212" t="str">
        <f>IFERROR(INDEX(PPTO_GENERADOR!$B$4:$B$220,MATCH(A102,PPTO_GENERADOR!$Q$4:$Q$220,0)),"")</f>
        <v/>
      </c>
      <c r="L102" s="216">
        <f>IF(PLAN_ETAPA!$C$4="(TODOS)",SUMIFS(PPTO_GENERADOR!$E$4:$E$220,PPTO_GENERADOR!$Q$4:$Q$220,A102),SUMIFS(PPTO_GENERADOR!$E$4:$E$220,PPTO_GENERADOR!$Q$4:$Q$220,A102,PPTO_GENERADOR!$B$4:$B$220,PLAN_ETAPA!$C$4))</f>
        <v>0</v>
      </c>
      <c r="M102" s="216">
        <f>IFERROR(VLOOKUP(A102,PARTIDAS!$A$2:$F$269,6,FALSE()),1)</f>
        <v>5</v>
      </c>
      <c r="N102" s="216">
        <f>IFERROR(VLOOKUP(A102,PARTIDAS!$A$2:$I$269,9,FALSE()),1)</f>
        <v>1</v>
      </c>
      <c r="O102" s="217">
        <f t="shared" si="2"/>
        <v>0</v>
      </c>
      <c r="P102" s="216">
        <f>IF(O102=0,0,IF(B102="MAT",G102*(1+H102)*L102*PLAN_ETAPA!$C$5,IF(B102="MO",IF(M102=0,0,G102*L102*PLAN_ETAPA!$C$5*N102/M102),IF(B102="EQ",IF(M102=0,0,G102*L102*PLAN_ETAPA!$C$5/M102),0))))</f>
        <v>0</v>
      </c>
      <c r="Q102" s="218">
        <f t="shared" si="3"/>
        <v>0</v>
      </c>
    </row>
    <row r="103" spans="1:17" x14ac:dyDescent="0.35">
      <c r="A103" s="212" t="str">
        <f>COMPOSICIÓN!A103</f>
        <v>ALB-042</v>
      </c>
      <c r="B103" s="212" t="str">
        <f>COMPOSICIÓN!B103</f>
        <v>EQ</v>
      </c>
      <c r="C103" s="212">
        <f>COMPOSICIÓN!C103</f>
        <v>0</v>
      </c>
      <c r="D103" s="212" t="str">
        <f>COMPOSICIÓN!D103</f>
        <v>EQ-ANDAM0</v>
      </c>
      <c r="E103" s="212" t="str">
        <f>COMPOSICIÓN!E103</f>
        <v>ANDAMIO TUBULAR DE UNO A TRES CUERPOS</v>
      </c>
      <c r="F103" s="212">
        <f>COMPOSICIÓN!F103</f>
        <v>0</v>
      </c>
      <c r="G103" s="213">
        <f>COMPOSICIÓN!G103</f>
        <v>0.5</v>
      </c>
      <c r="H103" s="214">
        <f>COMPOSICIÓN!H103</f>
        <v>0</v>
      </c>
      <c r="I103" s="215">
        <f>COMPOSICIÓN!I103</f>
        <v>571.1794909807611</v>
      </c>
      <c r="J103" s="212" t="str">
        <f>IFERROR(VLOOKUP(A103,PARTIDAS!$A$2:$C$269,3,FALSE()),"")</f>
        <v>MAMPOSTERÍA</v>
      </c>
      <c r="K103" s="212" t="str">
        <f>IFERROR(INDEX(PPTO_GENERADOR!$B$4:$B$220,MATCH(A103,PPTO_GENERADOR!$Q$4:$Q$220,0)),"")</f>
        <v/>
      </c>
      <c r="L103" s="216">
        <f>IF(PLAN_ETAPA!$C$4="(TODOS)",SUMIFS(PPTO_GENERADOR!$E$4:$E$220,PPTO_GENERADOR!$Q$4:$Q$220,A103),SUMIFS(PPTO_GENERADOR!$E$4:$E$220,PPTO_GENERADOR!$Q$4:$Q$220,A103,PPTO_GENERADOR!$B$4:$B$220,PLAN_ETAPA!$C$4))</f>
        <v>0</v>
      </c>
      <c r="M103" s="216">
        <f>IFERROR(VLOOKUP(A103,PARTIDAS!$A$2:$F$269,6,FALSE()),1)</f>
        <v>28</v>
      </c>
      <c r="N103" s="216">
        <f>IFERROR(VLOOKUP(A103,PARTIDAS!$A$2:$I$269,9,FALSE()),1)</f>
        <v>1</v>
      </c>
      <c r="O103" s="217">
        <f t="shared" si="2"/>
        <v>0</v>
      </c>
      <c r="P103" s="216">
        <f>IF(O103=0,0,IF(B103="MAT",G103*(1+H103)*L103*PLAN_ETAPA!$C$5,IF(B103="MO",IF(M103=0,0,G103*L103*PLAN_ETAPA!$C$5*N103/M103),IF(B103="EQ",IF(M103=0,0,G103*L103*PLAN_ETAPA!$C$5/M103),0))))</f>
        <v>0</v>
      </c>
      <c r="Q103" s="218">
        <f t="shared" si="3"/>
        <v>0</v>
      </c>
    </row>
    <row r="104" spans="1:17" x14ac:dyDescent="0.35">
      <c r="A104" s="212" t="str">
        <f>COMPOSICIÓN!A104</f>
        <v>ALB-042</v>
      </c>
      <c r="B104" s="212" t="str">
        <f>COMPOSICIÓN!B104</f>
        <v>EQ</v>
      </c>
      <c r="C104" s="212">
        <f>COMPOSICIÓN!C104</f>
        <v>0</v>
      </c>
      <c r="D104" s="212" t="str">
        <f>COMPOSICIÓN!D104</f>
        <v>EQ-EQALBA</v>
      </c>
      <c r="E104" s="212" t="str">
        <f>COMPOSICIÓN!E104</f>
        <v>EQUIPO DE ALBAÑILERIA, carpetas, ladrillo</v>
      </c>
      <c r="F104" s="212">
        <f>COMPOSICIÓN!F104</f>
        <v>0</v>
      </c>
      <c r="G104" s="213">
        <f>COMPOSICIÓN!G104</f>
        <v>1</v>
      </c>
      <c r="H104" s="214">
        <f>COMPOSICIÓN!H104</f>
        <v>0</v>
      </c>
      <c r="I104" s="215">
        <f>COMPOSICIÓN!I104</f>
        <v>2287.1357450968057</v>
      </c>
      <c r="J104" s="212" t="str">
        <f>IFERROR(VLOOKUP(A104,PARTIDAS!$A$2:$C$269,3,FALSE()),"")</f>
        <v>MAMPOSTERÍA</v>
      </c>
      <c r="K104" s="212" t="str">
        <f>IFERROR(INDEX(PPTO_GENERADOR!$B$4:$B$220,MATCH(A104,PPTO_GENERADOR!$Q$4:$Q$220,0)),"")</f>
        <v/>
      </c>
      <c r="L104" s="216">
        <f>IF(PLAN_ETAPA!$C$4="(TODOS)",SUMIFS(PPTO_GENERADOR!$E$4:$E$220,PPTO_GENERADOR!$Q$4:$Q$220,A104),SUMIFS(PPTO_GENERADOR!$E$4:$E$220,PPTO_GENERADOR!$Q$4:$Q$220,A104,PPTO_GENERADOR!$B$4:$B$220,PLAN_ETAPA!$C$4))</f>
        <v>0</v>
      </c>
      <c r="M104" s="216">
        <f>IFERROR(VLOOKUP(A104,PARTIDAS!$A$2:$F$269,6,FALSE()),1)</f>
        <v>28</v>
      </c>
      <c r="N104" s="216">
        <f>IFERROR(VLOOKUP(A104,PARTIDAS!$A$2:$I$269,9,FALSE()),1)</f>
        <v>1</v>
      </c>
      <c r="O104" s="217">
        <f t="shared" si="2"/>
        <v>0</v>
      </c>
      <c r="P104" s="216">
        <f>IF(O104=0,0,IF(B104="MAT",G104*(1+H104)*L104*PLAN_ETAPA!$C$5,IF(B104="MO",IF(M104=0,0,G104*L104*PLAN_ETAPA!$C$5*N104/M104),IF(B104="EQ",IF(M104=0,0,G104*L104*PLAN_ETAPA!$C$5/M104),0))))</f>
        <v>0</v>
      </c>
      <c r="Q104" s="218">
        <f t="shared" si="3"/>
        <v>0</v>
      </c>
    </row>
    <row r="105" spans="1:17" x14ac:dyDescent="0.35">
      <c r="A105" s="212" t="str">
        <f>COMPOSICIÓN!A105</f>
        <v>ALB-042</v>
      </c>
      <c r="B105" s="212" t="str">
        <f>COMPOSICIÓN!B105</f>
        <v>EQ</v>
      </c>
      <c r="C105" s="212">
        <f>COMPOSICIÓN!C105</f>
        <v>0</v>
      </c>
      <c r="D105" s="212" t="str">
        <f>COMPOSICIÓN!D105</f>
        <v>EQ-TROMPO</v>
      </c>
      <c r="E105" s="212" t="str">
        <f>COMPOSICIÓN!E105</f>
        <v>Hormigonera De 150 Litros 1hp Con Rueda Maciza</v>
      </c>
      <c r="F105" s="212">
        <f>COMPOSICIÓN!F105</f>
        <v>0</v>
      </c>
      <c r="G105" s="213">
        <f>COMPOSICIÓN!G105</f>
        <v>1</v>
      </c>
      <c r="H105" s="214">
        <f>COMPOSICIÓN!H105</f>
        <v>0</v>
      </c>
      <c r="I105" s="215">
        <f>COMPOSICIÓN!I105</f>
        <v>957.25319614994726</v>
      </c>
      <c r="J105" s="212" t="str">
        <f>IFERROR(VLOOKUP(A105,PARTIDAS!$A$2:$C$269,3,FALSE()),"")</f>
        <v>MAMPOSTERÍA</v>
      </c>
      <c r="K105" s="212" t="str">
        <f>IFERROR(INDEX(PPTO_GENERADOR!$B$4:$B$220,MATCH(A105,PPTO_GENERADOR!$Q$4:$Q$220,0)),"")</f>
        <v/>
      </c>
      <c r="L105" s="216">
        <f>IF(PLAN_ETAPA!$C$4="(TODOS)",SUMIFS(PPTO_GENERADOR!$E$4:$E$220,PPTO_GENERADOR!$Q$4:$Q$220,A105),SUMIFS(PPTO_GENERADOR!$E$4:$E$220,PPTO_GENERADOR!$Q$4:$Q$220,A105,PPTO_GENERADOR!$B$4:$B$220,PLAN_ETAPA!$C$4))</f>
        <v>0</v>
      </c>
      <c r="M105" s="216">
        <f>IFERROR(VLOOKUP(A105,PARTIDAS!$A$2:$F$269,6,FALSE()),1)</f>
        <v>28</v>
      </c>
      <c r="N105" s="216">
        <f>IFERROR(VLOOKUP(A105,PARTIDAS!$A$2:$I$269,9,FALSE()),1)</f>
        <v>1</v>
      </c>
      <c r="O105" s="217">
        <f t="shared" si="2"/>
        <v>0</v>
      </c>
      <c r="P105" s="216">
        <f>IF(O105=0,0,IF(B105="MAT",G105*(1+H105)*L105*PLAN_ETAPA!$C$5,IF(B105="MO",IF(M105=0,0,G105*L105*PLAN_ETAPA!$C$5*N105/M105),IF(B105="EQ",IF(M105=0,0,G105*L105*PLAN_ETAPA!$C$5/M105),0))))</f>
        <v>0</v>
      </c>
      <c r="Q105" s="218">
        <f t="shared" si="3"/>
        <v>0</v>
      </c>
    </row>
    <row r="106" spans="1:17" x14ac:dyDescent="0.35">
      <c r="A106" s="212" t="str">
        <f>COMPOSICIÓN!A106</f>
        <v>ALB-042</v>
      </c>
      <c r="B106" s="212" t="str">
        <f>COMPOSICIÓN!B106</f>
        <v>MAT</v>
      </c>
      <c r="C106" s="212" t="str">
        <f>COMPOSICIÓN!C106</f>
        <v>OTR</v>
      </c>
      <c r="D106" s="212" t="str">
        <f>COMPOSICIÓN!D106</f>
        <v>AGR-001</v>
      </c>
      <c r="E106" s="212" t="str">
        <f>COMPOSICIÓN!E106</f>
        <v>ARENA LAVADA</v>
      </c>
      <c r="F106" s="212" t="str">
        <f>COMPOSICIÓN!F106</f>
        <v>m3</v>
      </c>
      <c r="G106" s="213">
        <f>COMPOSICIÓN!G106</f>
        <v>6.0000000000000001E-3</v>
      </c>
      <c r="H106" s="214">
        <f>COMPOSICIÓN!H106</f>
        <v>0.1</v>
      </c>
      <c r="I106" s="215">
        <f>COMPOSICIÓN!I106</f>
        <v>32399.77</v>
      </c>
      <c r="J106" s="212" t="str">
        <f>IFERROR(VLOOKUP(A106,PARTIDAS!$A$2:$C$269,3,FALSE()),"")</f>
        <v>MAMPOSTERÍA</v>
      </c>
      <c r="K106" s="212" t="str">
        <f>IFERROR(INDEX(PPTO_GENERADOR!$B$4:$B$220,MATCH(A106,PPTO_GENERADOR!$Q$4:$Q$220,0)),"")</f>
        <v/>
      </c>
      <c r="L106" s="216">
        <f>IF(PLAN_ETAPA!$C$4="(TODOS)",SUMIFS(PPTO_GENERADOR!$E$4:$E$220,PPTO_GENERADOR!$Q$4:$Q$220,A106),SUMIFS(PPTO_GENERADOR!$E$4:$E$220,PPTO_GENERADOR!$Q$4:$Q$220,A106,PPTO_GENERADOR!$B$4:$B$220,PLAN_ETAPA!$C$4))</f>
        <v>0</v>
      </c>
      <c r="M106" s="216">
        <f>IFERROR(VLOOKUP(A106,PARTIDAS!$A$2:$F$269,6,FALSE()),1)</f>
        <v>28</v>
      </c>
      <c r="N106" s="216">
        <f>IFERROR(VLOOKUP(A106,PARTIDAS!$A$2:$I$269,9,FALSE()),1)</f>
        <v>1</v>
      </c>
      <c r="O106" s="217">
        <f t="shared" si="2"/>
        <v>0</v>
      </c>
      <c r="P106" s="216">
        <f>IF(O106=0,0,IF(B106="MAT",G106*(1+H106)*L106*PLAN_ETAPA!$C$5,IF(B106="MO",IF(M106=0,0,G106*L106*PLAN_ETAPA!$C$5*N106/M106),IF(B106="EQ",IF(M106=0,0,G106*L106*PLAN_ETAPA!$C$5/M106),0))))</f>
        <v>0</v>
      </c>
      <c r="Q106" s="218">
        <f t="shared" si="3"/>
        <v>0</v>
      </c>
    </row>
    <row r="107" spans="1:17" x14ac:dyDescent="0.35">
      <c r="A107" s="212" t="str">
        <f>COMPOSICIÓN!A107</f>
        <v>ALB-042</v>
      </c>
      <c r="B107" s="212" t="str">
        <f>COMPOSICIÓN!B107</f>
        <v>MAT</v>
      </c>
      <c r="C107" s="212" t="str">
        <f>COMPOSICIÓN!C107</f>
        <v>OTR</v>
      </c>
      <c r="D107" s="212" t="str">
        <f>COMPOSICIÓN!D107</f>
        <v>AGR-004</v>
      </c>
      <c r="E107" s="212" t="str">
        <f>COMPOSICIÓN!E107</f>
        <v>Cemento Portland x 50kg</v>
      </c>
      <c r="F107" s="212" t="str">
        <f>COMPOSICIÓN!F107</f>
        <v>Bol</v>
      </c>
      <c r="G107" s="213">
        <f>COMPOSICIÓN!G107</f>
        <v>5.3999999999999999E-2</v>
      </c>
      <c r="H107" s="214">
        <f>COMPOSICIÓN!H107</f>
        <v>0.1</v>
      </c>
      <c r="I107" s="215">
        <f>COMPOSICIÓN!I107</f>
        <v>7809.48</v>
      </c>
      <c r="J107" s="212" t="str">
        <f>IFERROR(VLOOKUP(A107,PARTIDAS!$A$2:$C$269,3,FALSE()),"")</f>
        <v>MAMPOSTERÍA</v>
      </c>
      <c r="K107" s="212" t="str">
        <f>IFERROR(INDEX(PPTO_GENERADOR!$B$4:$B$220,MATCH(A107,PPTO_GENERADOR!$Q$4:$Q$220,0)),"")</f>
        <v/>
      </c>
      <c r="L107" s="216">
        <f>IF(PLAN_ETAPA!$C$4="(TODOS)",SUMIFS(PPTO_GENERADOR!$E$4:$E$220,PPTO_GENERADOR!$Q$4:$Q$220,A107),SUMIFS(PPTO_GENERADOR!$E$4:$E$220,PPTO_GENERADOR!$Q$4:$Q$220,A107,PPTO_GENERADOR!$B$4:$B$220,PLAN_ETAPA!$C$4))</f>
        <v>0</v>
      </c>
      <c r="M107" s="216">
        <f>IFERROR(VLOOKUP(A107,PARTIDAS!$A$2:$F$269,6,FALSE()),1)</f>
        <v>28</v>
      </c>
      <c r="N107" s="216">
        <f>IFERROR(VLOOKUP(A107,PARTIDAS!$A$2:$I$269,9,FALSE()),1)</f>
        <v>1</v>
      </c>
      <c r="O107" s="217">
        <f t="shared" si="2"/>
        <v>0</v>
      </c>
      <c r="P107" s="216">
        <f>IF(O107=0,0,IF(B107="MAT",G107*(1+H107)*L107*PLAN_ETAPA!$C$5,IF(B107="MO",IF(M107=0,0,G107*L107*PLAN_ETAPA!$C$5*N107/M107),IF(B107="EQ",IF(M107=0,0,G107*L107*PLAN_ETAPA!$C$5/M107),0))))</f>
        <v>0</v>
      </c>
      <c r="Q107" s="218">
        <f t="shared" si="3"/>
        <v>0</v>
      </c>
    </row>
    <row r="108" spans="1:17" x14ac:dyDescent="0.35">
      <c r="A108" s="212" t="str">
        <f>COMPOSICIÓN!A108</f>
        <v>ALB-042</v>
      </c>
      <c r="B108" s="212" t="str">
        <f>COMPOSICIÓN!B108</f>
        <v>MAT</v>
      </c>
      <c r="C108" s="212" t="str">
        <f>COMPOSICIÓN!C108</f>
        <v>OTR</v>
      </c>
      <c r="D108" s="212" t="str">
        <f>COMPOSICIÓN!D108</f>
        <v>AIS-001</v>
      </c>
      <c r="E108" s="212" t="str">
        <f>COMPOSICIÓN!E108</f>
        <v>Aditivo Hidrofugo en pasta - Ceresita x 1kg</v>
      </c>
      <c r="F108" s="212" t="str">
        <f>COMPOSICIÓN!F108</f>
        <v>kg</v>
      </c>
      <c r="G108" s="213">
        <f>COMPOSICIÓN!G108</f>
        <v>0.1</v>
      </c>
      <c r="H108" s="214">
        <f>COMPOSICIÓN!H108</f>
        <v>0.05</v>
      </c>
      <c r="I108" s="215">
        <f>COMPOSICIÓN!I108</f>
        <v>1256.1279999999999</v>
      </c>
      <c r="J108" s="212" t="str">
        <f>IFERROR(VLOOKUP(A108,PARTIDAS!$A$2:$C$269,3,FALSE()),"")</f>
        <v>MAMPOSTERÍA</v>
      </c>
      <c r="K108" s="212" t="str">
        <f>IFERROR(INDEX(PPTO_GENERADOR!$B$4:$B$220,MATCH(A108,PPTO_GENERADOR!$Q$4:$Q$220,0)),"")</f>
        <v/>
      </c>
      <c r="L108" s="216">
        <f>IF(PLAN_ETAPA!$C$4="(TODOS)",SUMIFS(PPTO_GENERADOR!$E$4:$E$220,PPTO_GENERADOR!$Q$4:$Q$220,A108),SUMIFS(PPTO_GENERADOR!$E$4:$E$220,PPTO_GENERADOR!$Q$4:$Q$220,A108,PPTO_GENERADOR!$B$4:$B$220,PLAN_ETAPA!$C$4))</f>
        <v>0</v>
      </c>
      <c r="M108" s="216">
        <f>IFERROR(VLOOKUP(A108,PARTIDAS!$A$2:$F$269,6,FALSE()),1)</f>
        <v>28</v>
      </c>
      <c r="N108" s="216">
        <f>IFERROR(VLOOKUP(A108,PARTIDAS!$A$2:$I$269,9,FALSE()),1)</f>
        <v>1</v>
      </c>
      <c r="O108" s="217">
        <f t="shared" si="2"/>
        <v>0</v>
      </c>
      <c r="P108" s="216">
        <f>IF(O108=0,0,IF(B108="MAT",G108*(1+H108)*L108*PLAN_ETAPA!$C$5,IF(B108="MO",IF(M108=0,0,G108*L108*PLAN_ETAPA!$C$5*N108/M108),IF(B108="EQ",IF(M108=0,0,G108*L108*PLAN_ETAPA!$C$5/M108),0))))</f>
        <v>0</v>
      </c>
      <c r="Q108" s="218">
        <f t="shared" si="3"/>
        <v>0</v>
      </c>
    </row>
    <row r="109" spans="1:17" x14ac:dyDescent="0.35">
      <c r="A109" s="212" t="str">
        <f>COMPOSICIÓN!A109</f>
        <v>ALB-042</v>
      </c>
      <c r="B109" s="212" t="str">
        <f>COMPOSICIÓN!B109</f>
        <v>MO</v>
      </c>
      <c r="C109" s="212" t="str">
        <f>COMPOSICIÓN!C109</f>
        <v>ALB</v>
      </c>
      <c r="D109" s="212" t="str">
        <f>COMPOSICIÓN!D109</f>
        <v>MO-EAYUD</v>
      </c>
      <c r="E109" s="212" t="str">
        <f>COMPOSICIÓN!E109</f>
        <v>AYUDANTE</v>
      </c>
      <c r="F109" s="212" t="str">
        <f>COMPOSICIÓN!F109</f>
        <v>j</v>
      </c>
      <c r="G109" s="213">
        <f>COMPOSICIÓN!G109</f>
        <v>0.4</v>
      </c>
      <c r="H109" s="214">
        <f>COMPOSICIÓN!H109</f>
        <v>0</v>
      </c>
      <c r="I109" s="215">
        <f>COMPOSICIÓN!I109</f>
        <v>60860.580776572002</v>
      </c>
      <c r="J109" s="212" t="str">
        <f>IFERROR(VLOOKUP(A109,PARTIDAS!$A$2:$C$269,3,FALSE()),"")</f>
        <v>MAMPOSTERÍA</v>
      </c>
      <c r="K109" s="212" t="str">
        <f>IFERROR(INDEX(PPTO_GENERADOR!$B$4:$B$220,MATCH(A109,PPTO_GENERADOR!$Q$4:$Q$220,0)),"")</f>
        <v/>
      </c>
      <c r="L109" s="216">
        <f>IF(PLAN_ETAPA!$C$4="(TODOS)",SUMIFS(PPTO_GENERADOR!$E$4:$E$220,PPTO_GENERADOR!$Q$4:$Q$220,A109),SUMIFS(PPTO_GENERADOR!$E$4:$E$220,PPTO_GENERADOR!$Q$4:$Q$220,A109,PPTO_GENERADOR!$B$4:$B$220,PLAN_ETAPA!$C$4))</f>
        <v>0</v>
      </c>
      <c r="M109" s="216">
        <f>IFERROR(VLOOKUP(A109,PARTIDAS!$A$2:$F$269,6,FALSE()),1)</f>
        <v>28</v>
      </c>
      <c r="N109" s="216">
        <f>IFERROR(VLOOKUP(A109,PARTIDAS!$A$2:$I$269,9,FALSE()),1)</f>
        <v>1</v>
      </c>
      <c r="O109" s="217">
        <f t="shared" si="2"/>
        <v>0</v>
      </c>
      <c r="P109" s="216">
        <f>IF(O109=0,0,IF(B109="MAT",G109*(1+H109)*L109*PLAN_ETAPA!$C$5,IF(B109="MO",IF(M109=0,0,G109*L109*PLAN_ETAPA!$C$5*N109/M109),IF(B109="EQ",IF(M109=0,0,G109*L109*PLAN_ETAPA!$C$5/M109),0))))</f>
        <v>0</v>
      </c>
      <c r="Q109" s="218">
        <f t="shared" si="3"/>
        <v>0</v>
      </c>
    </row>
    <row r="110" spans="1:17" x14ac:dyDescent="0.35">
      <c r="A110" s="212" t="str">
        <f>COMPOSICIÓN!A110</f>
        <v>ALB-042</v>
      </c>
      <c r="B110" s="212" t="str">
        <f>COMPOSICIÓN!B110</f>
        <v>MO</v>
      </c>
      <c r="C110" s="212" t="str">
        <f>COMPOSICIÓN!C110</f>
        <v>ALB</v>
      </c>
      <c r="D110" s="212" t="str">
        <f>COMPOSICIÓN!D110</f>
        <v>MO-EESPE</v>
      </c>
      <c r="E110" s="212" t="str">
        <f>COMPOSICIÓN!E110</f>
        <v>ESPECIALIZADO</v>
      </c>
      <c r="F110" s="212" t="str">
        <f>COMPOSICIÓN!F110</f>
        <v>j</v>
      </c>
      <c r="G110" s="213">
        <f>COMPOSICIÓN!G110</f>
        <v>1</v>
      </c>
      <c r="H110" s="214">
        <f>COMPOSICIÓN!H110</f>
        <v>0</v>
      </c>
      <c r="I110" s="215">
        <f>COMPOSICIÓN!I110</f>
        <v>85927.097156571996</v>
      </c>
      <c r="J110" s="212" t="str">
        <f>IFERROR(VLOOKUP(A110,PARTIDAS!$A$2:$C$269,3,FALSE()),"")</f>
        <v>MAMPOSTERÍA</v>
      </c>
      <c r="K110" s="212" t="str">
        <f>IFERROR(INDEX(PPTO_GENERADOR!$B$4:$B$220,MATCH(A110,PPTO_GENERADOR!$Q$4:$Q$220,0)),"")</f>
        <v/>
      </c>
      <c r="L110" s="216">
        <f>IF(PLAN_ETAPA!$C$4="(TODOS)",SUMIFS(PPTO_GENERADOR!$E$4:$E$220,PPTO_GENERADOR!$Q$4:$Q$220,A110),SUMIFS(PPTO_GENERADOR!$E$4:$E$220,PPTO_GENERADOR!$Q$4:$Q$220,A110,PPTO_GENERADOR!$B$4:$B$220,PLAN_ETAPA!$C$4))</f>
        <v>0</v>
      </c>
      <c r="M110" s="216">
        <f>IFERROR(VLOOKUP(A110,PARTIDAS!$A$2:$F$269,6,FALSE()),1)</f>
        <v>28</v>
      </c>
      <c r="N110" s="216">
        <f>IFERROR(VLOOKUP(A110,PARTIDAS!$A$2:$I$269,9,FALSE()),1)</f>
        <v>1</v>
      </c>
      <c r="O110" s="217">
        <f t="shared" si="2"/>
        <v>0</v>
      </c>
      <c r="P110" s="216">
        <f>IF(O110=0,0,IF(B110="MAT",G110*(1+H110)*L110*PLAN_ETAPA!$C$5,IF(B110="MO",IF(M110=0,0,G110*L110*PLAN_ETAPA!$C$5*N110/M110),IF(B110="EQ",IF(M110=0,0,G110*L110*PLAN_ETAPA!$C$5/M110),0))))</f>
        <v>0</v>
      </c>
      <c r="Q110" s="218">
        <f t="shared" si="3"/>
        <v>0</v>
      </c>
    </row>
    <row r="111" spans="1:17" x14ac:dyDescent="0.35">
      <c r="A111" s="212" t="str">
        <f>COMPOSICIÓN!A111</f>
        <v>ALB-043</v>
      </c>
      <c r="B111" s="212" t="str">
        <f>COMPOSICIÓN!B111</f>
        <v>EQ</v>
      </c>
      <c r="C111" s="212">
        <f>COMPOSICIÓN!C111</f>
        <v>0</v>
      </c>
      <c r="D111" s="212" t="str">
        <f>COMPOSICIÓN!D111</f>
        <v>EQ-ANDAM0</v>
      </c>
      <c r="E111" s="212" t="str">
        <f>COMPOSICIÓN!E111</f>
        <v>ANDAMIO TUBULAR DE UNO A TRES CUERPOS</v>
      </c>
      <c r="F111" s="212">
        <f>COMPOSICIÓN!F111</f>
        <v>0</v>
      </c>
      <c r="G111" s="213">
        <f>COMPOSICIÓN!G111</f>
        <v>0.5</v>
      </c>
      <c r="H111" s="214">
        <f>COMPOSICIÓN!H111</f>
        <v>0</v>
      </c>
      <c r="I111" s="215">
        <f>COMPOSICIÓN!I111</f>
        <v>571.1794909807611</v>
      </c>
      <c r="J111" s="212" t="str">
        <f>IFERROR(VLOOKUP(A111,PARTIDAS!$A$2:$C$269,3,FALSE()),"")</f>
        <v>MAMPOSTERÍA</v>
      </c>
      <c r="K111" s="212" t="str">
        <f>IFERROR(INDEX(PPTO_GENERADOR!$B$4:$B$220,MATCH(A111,PPTO_GENERADOR!$Q$4:$Q$220,0)),"")</f>
        <v/>
      </c>
      <c r="L111" s="216">
        <f>IF(PLAN_ETAPA!$C$4="(TODOS)",SUMIFS(PPTO_GENERADOR!$E$4:$E$220,PPTO_GENERADOR!$Q$4:$Q$220,A111),SUMIFS(PPTO_GENERADOR!$E$4:$E$220,PPTO_GENERADOR!$Q$4:$Q$220,A111,PPTO_GENERADOR!$B$4:$B$220,PLAN_ETAPA!$C$4))</f>
        <v>0</v>
      </c>
      <c r="M111" s="216">
        <f>IFERROR(VLOOKUP(A111,PARTIDAS!$A$2:$F$269,6,FALSE()),1)</f>
        <v>6</v>
      </c>
      <c r="N111" s="216">
        <f>IFERROR(VLOOKUP(A111,PARTIDAS!$A$2:$I$269,9,FALSE()),1)</f>
        <v>1</v>
      </c>
      <c r="O111" s="217">
        <f t="shared" si="2"/>
        <v>0</v>
      </c>
      <c r="P111" s="216">
        <f>IF(O111=0,0,IF(B111="MAT",G111*(1+H111)*L111*PLAN_ETAPA!$C$5,IF(B111="MO",IF(M111=0,0,G111*L111*PLAN_ETAPA!$C$5*N111/M111),IF(B111="EQ",IF(M111=0,0,G111*L111*PLAN_ETAPA!$C$5/M111),0))))</f>
        <v>0</v>
      </c>
      <c r="Q111" s="218">
        <f t="shared" si="3"/>
        <v>0</v>
      </c>
    </row>
    <row r="112" spans="1:17" x14ac:dyDescent="0.35">
      <c r="A112" s="212" t="str">
        <f>COMPOSICIÓN!A112</f>
        <v>ALB-043</v>
      </c>
      <c r="B112" s="212" t="str">
        <f>COMPOSICIÓN!B112</f>
        <v>EQ</v>
      </c>
      <c r="C112" s="212">
        <f>COMPOSICIÓN!C112</f>
        <v>0</v>
      </c>
      <c r="D112" s="212" t="str">
        <f>COMPOSICIÓN!D112</f>
        <v>EQ-EQALBA</v>
      </c>
      <c r="E112" s="212" t="str">
        <f>COMPOSICIÓN!E112</f>
        <v>EQUIPO DE ALBAÑILERIA, carpetas, ladrillo</v>
      </c>
      <c r="F112" s="212">
        <f>COMPOSICIÓN!F112</f>
        <v>0</v>
      </c>
      <c r="G112" s="213">
        <f>COMPOSICIÓN!G112</f>
        <v>1</v>
      </c>
      <c r="H112" s="214">
        <f>COMPOSICIÓN!H112</f>
        <v>0</v>
      </c>
      <c r="I112" s="215">
        <f>COMPOSICIÓN!I112</f>
        <v>2287.1357450968057</v>
      </c>
      <c r="J112" s="212" t="str">
        <f>IFERROR(VLOOKUP(A112,PARTIDAS!$A$2:$C$269,3,FALSE()),"")</f>
        <v>MAMPOSTERÍA</v>
      </c>
      <c r="K112" s="212" t="str">
        <f>IFERROR(INDEX(PPTO_GENERADOR!$B$4:$B$220,MATCH(A112,PPTO_GENERADOR!$Q$4:$Q$220,0)),"")</f>
        <v/>
      </c>
      <c r="L112" s="216">
        <f>IF(PLAN_ETAPA!$C$4="(TODOS)",SUMIFS(PPTO_GENERADOR!$E$4:$E$220,PPTO_GENERADOR!$Q$4:$Q$220,A112),SUMIFS(PPTO_GENERADOR!$E$4:$E$220,PPTO_GENERADOR!$Q$4:$Q$220,A112,PPTO_GENERADOR!$B$4:$B$220,PLAN_ETAPA!$C$4))</f>
        <v>0</v>
      </c>
      <c r="M112" s="216">
        <f>IFERROR(VLOOKUP(A112,PARTIDAS!$A$2:$F$269,6,FALSE()),1)</f>
        <v>6</v>
      </c>
      <c r="N112" s="216">
        <f>IFERROR(VLOOKUP(A112,PARTIDAS!$A$2:$I$269,9,FALSE()),1)</f>
        <v>1</v>
      </c>
      <c r="O112" s="217">
        <f t="shared" si="2"/>
        <v>0</v>
      </c>
      <c r="P112" s="216">
        <f>IF(O112=0,0,IF(B112="MAT",G112*(1+H112)*L112*PLAN_ETAPA!$C$5,IF(B112="MO",IF(M112=0,0,G112*L112*PLAN_ETAPA!$C$5*N112/M112),IF(B112="EQ",IF(M112=0,0,G112*L112*PLAN_ETAPA!$C$5/M112),0))))</f>
        <v>0</v>
      </c>
      <c r="Q112" s="218">
        <f t="shared" si="3"/>
        <v>0</v>
      </c>
    </row>
    <row r="113" spans="1:17" x14ac:dyDescent="0.35">
      <c r="A113" s="212" t="str">
        <f>COMPOSICIÓN!A113</f>
        <v>ALB-043</v>
      </c>
      <c r="B113" s="212" t="str">
        <f>COMPOSICIÓN!B113</f>
        <v>EQ</v>
      </c>
      <c r="C113" s="212">
        <f>COMPOSICIÓN!C113</f>
        <v>0</v>
      </c>
      <c r="D113" s="212" t="str">
        <f>COMPOSICIÓN!D113</f>
        <v>EQ-TROMPO</v>
      </c>
      <c r="E113" s="212" t="str">
        <f>COMPOSICIÓN!E113</f>
        <v>Hormigonera De 150 Litros 1hp Con Rueda Maciza</v>
      </c>
      <c r="F113" s="212">
        <f>COMPOSICIÓN!F113</f>
        <v>0</v>
      </c>
      <c r="G113" s="213">
        <f>COMPOSICIÓN!G113</f>
        <v>1</v>
      </c>
      <c r="H113" s="214">
        <f>COMPOSICIÓN!H113</f>
        <v>0</v>
      </c>
      <c r="I113" s="215">
        <f>COMPOSICIÓN!I113</f>
        <v>957.25319614994726</v>
      </c>
      <c r="J113" s="212" t="str">
        <f>IFERROR(VLOOKUP(A113,PARTIDAS!$A$2:$C$269,3,FALSE()),"")</f>
        <v>MAMPOSTERÍA</v>
      </c>
      <c r="K113" s="212" t="str">
        <f>IFERROR(INDEX(PPTO_GENERADOR!$B$4:$B$220,MATCH(A113,PPTO_GENERADOR!$Q$4:$Q$220,0)),"")</f>
        <v/>
      </c>
      <c r="L113" s="216">
        <f>IF(PLAN_ETAPA!$C$4="(TODOS)",SUMIFS(PPTO_GENERADOR!$E$4:$E$220,PPTO_GENERADOR!$Q$4:$Q$220,A113),SUMIFS(PPTO_GENERADOR!$E$4:$E$220,PPTO_GENERADOR!$Q$4:$Q$220,A113,PPTO_GENERADOR!$B$4:$B$220,PLAN_ETAPA!$C$4))</f>
        <v>0</v>
      </c>
      <c r="M113" s="216">
        <f>IFERROR(VLOOKUP(A113,PARTIDAS!$A$2:$F$269,6,FALSE()),1)</f>
        <v>6</v>
      </c>
      <c r="N113" s="216">
        <f>IFERROR(VLOOKUP(A113,PARTIDAS!$A$2:$I$269,9,FALSE()),1)</f>
        <v>1</v>
      </c>
      <c r="O113" s="217">
        <f t="shared" si="2"/>
        <v>0</v>
      </c>
      <c r="P113" s="216">
        <f>IF(O113=0,0,IF(B113="MAT",G113*(1+H113)*L113*PLAN_ETAPA!$C$5,IF(B113="MO",IF(M113=0,0,G113*L113*PLAN_ETAPA!$C$5*N113/M113),IF(B113="EQ",IF(M113=0,0,G113*L113*PLAN_ETAPA!$C$5/M113),0))))</f>
        <v>0</v>
      </c>
      <c r="Q113" s="218">
        <f t="shared" si="3"/>
        <v>0</v>
      </c>
    </row>
    <row r="114" spans="1:17" x14ac:dyDescent="0.35">
      <c r="A114" s="212" t="str">
        <f>COMPOSICIÓN!A114</f>
        <v>ALB-043</v>
      </c>
      <c r="B114" s="212" t="str">
        <f>COMPOSICIÓN!B114</f>
        <v>MAT</v>
      </c>
      <c r="C114" s="212" t="str">
        <f>COMPOSICIÓN!C114</f>
        <v>OTR</v>
      </c>
      <c r="D114" s="212" t="str">
        <f>COMPOSICIÓN!D114</f>
        <v>AGR-001</v>
      </c>
      <c r="E114" s="212" t="str">
        <f>COMPOSICIÓN!E114</f>
        <v>ARENA LAVADA</v>
      </c>
      <c r="F114" s="212" t="str">
        <f>COMPOSICIÓN!F114</f>
        <v>m3</v>
      </c>
      <c r="G114" s="213">
        <f>COMPOSICIÓN!G114</f>
        <v>2.7E-2</v>
      </c>
      <c r="H114" s="214">
        <f>COMPOSICIÓN!H114</f>
        <v>0.1</v>
      </c>
      <c r="I114" s="215">
        <f>COMPOSICIÓN!I114</f>
        <v>32399.77</v>
      </c>
      <c r="J114" s="212" t="str">
        <f>IFERROR(VLOOKUP(A114,PARTIDAS!$A$2:$C$269,3,FALSE()),"")</f>
        <v>MAMPOSTERÍA</v>
      </c>
      <c r="K114" s="212" t="str">
        <f>IFERROR(INDEX(PPTO_GENERADOR!$B$4:$B$220,MATCH(A114,PPTO_GENERADOR!$Q$4:$Q$220,0)),"")</f>
        <v/>
      </c>
      <c r="L114" s="216">
        <f>IF(PLAN_ETAPA!$C$4="(TODOS)",SUMIFS(PPTO_GENERADOR!$E$4:$E$220,PPTO_GENERADOR!$Q$4:$Q$220,A114),SUMIFS(PPTO_GENERADOR!$E$4:$E$220,PPTO_GENERADOR!$Q$4:$Q$220,A114,PPTO_GENERADOR!$B$4:$B$220,PLAN_ETAPA!$C$4))</f>
        <v>0</v>
      </c>
      <c r="M114" s="216">
        <f>IFERROR(VLOOKUP(A114,PARTIDAS!$A$2:$F$269,6,FALSE()),1)</f>
        <v>6</v>
      </c>
      <c r="N114" s="216">
        <f>IFERROR(VLOOKUP(A114,PARTIDAS!$A$2:$I$269,9,FALSE()),1)</f>
        <v>1</v>
      </c>
      <c r="O114" s="217">
        <f t="shared" si="2"/>
        <v>0</v>
      </c>
      <c r="P114" s="216">
        <f>IF(O114=0,0,IF(B114="MAT",G114*(1+H114)*L114*PLAN_ETAPA!$C$5,IF(B114="MO",IF(M114=0,0,G114*L114*PLAN_ETAPA!$C$5*N114/M114),IF(B114="EQ",IF(M114=0,0,G114*L114*PLAN_ETAPA!$C$5/M114),0))))</f>
        <v>0</v>
      </c>
      <c r="Q114" s="218">
        <f t="shared" si="3"/>
        <v>0</v>
      </c>
    </row>
    <row r="115" spans="1:17" x14ac:dyDescent="0.35">
      <c r="A115" s="212" t="str">
        <f>COMPOSICIÓN!A115</f>
        <v>ALB-043</v>
      </c>
      <c r="B115" s="212" t="str">
        <f>COMPOSICIÓN!B115</f>
        <v>MAT</v>
      </c>
      <c r="C115" s="212" t="str">
        <f>COMPOSICIÓN!C115</f>
        <v>OTR</v>
      </c>
      <c r="D115" s="212" t="str">
        <f>COMPOSICIÓN!D115</f>
        <v>AGR-004</v>
      </c>
      <c r="E115" s="212" t="str">
        <f>COMPOSICIÓN!E115</f>
        <v>Cemento Portland x 50kg</v>
      </c>
      <c r="F115" s="212" t="str">
        <f>COMPOSICIÓN!F115</f>
        <v>Bol</v>
      </c>
      <c r="G115" s="213">
        <f>COMPOSICIÓN!G115</f>
        <v>4.5999999999999999E-2</v>
      </c>
      <c r="H115" s="214">
        <f>COMPOSICIÓN!H115</f>
        <v>0.1</v>
      </c>
      <c r="I115" s="215">
        <f>COMPOSICIÓN!I115</f>
        <v>7809.48</v>
      </c>
      <c r="J115" s="212" t="str">
        <f>IFERROR(VLOOKUP(A115,PARTIDAS!$A$2:$C$269,3,FALSE()),"")</f>
        <v>MAMPOSTERÍA</v>
      </c>
      <c r="K115" s="212" t="str">
        <f>IFERROR(INDEX(PPTO_GENERADOR!$B$4:$B$220,MATCH(A115,PPTO_GENERADOR!$Q$4:$Q$220,0)),"")</f>
        <v/>
      </c>
      <c r="L115" s="216">
        <f>IF(PLAN_ETAPA!$C$4="(TODOS)",SUMIFS(PPTO_GENERADOR!$E$4:$E$220,PPTO_GENERADOR!$Q$4:$Q$220,A115),SUMIFS(PPTO_GENERADOR!$E$4:$E$220,PPTO_GENERADOR!$Q$4:$Q$220,A115,PPTO_GENERADOR!$B$4:$B$220,PLAN_ETAPA!$C$4))</f>
        <v>0</v>
      </c>
      <c r="M115" s="216">
        <f>IFERROR(VLOOKUP(A115,PARTIDAS!$A$2:$F$269,6,FALSE()),1)</f>
        <v>6</v>
      </c>
      <c r="N115" s="216">
        <f>IFERROR(VLOOKUP(A115,PARTIDAS!$A$2:$I$269,9,FALSE()),1)</f>
        <v>1</v>
      </c>
      <c r="O115" s="217">
        <f t="shared" si="2"/>
        <v>0</v>
      </c>
      <c r="P115" s="216">
        <f>IF(O115=0,0,IF(B115="MAT",G115*(1+H115)*L115*PLAN_ETAPA!$C$5,IF(B115="MO",IF(M115=0,0,G115*L115*PLAN_ETAPA!$C$5*N115/M115),IF(B115="EQ",IF(M115=0,0,G115*L115*PLAN_ETAPA!$C$5/M115),0))))</f>
        <v>0</v>
      </c>
      <c r="Q115" s="218">
        <f t="shared" si="3"/>
        <v>0</v>
      </c>
    </row>
    <row r="116" spans="1:17" x14ac:dyDescent="0.35">
      <c r="A116" s="212" t="str">
        <f>COMPOSICIÓN!A116</f>
        <v>ALB-043</v>
      </c>
      <c r="B116" s="212" t="str">
        <f>COMPOSICIÓN!B116</f>
        <v>MAT</v>
      </c>
      <c r="C116" s="212" t="str">
        <f>COMPOSICIÓN!C116</f>
        <v>OTR</v>
      </c>
      <c r="D116" s="212" t="str">
        <f>COMPOSICIÓN!D116</f>
        <v>AGR-005</v>
      </c>
      <c r="E116" s="212" t="str">
        <f>COMPOSICIÓN!E116</f>
        <v>Cal Comun x 25kg</v>
      </c>
      <c r="F116" s="212" t="str">
        <f>COMPOSICIÓN!F116</f>
        <v>bol</v>
      </c>
      <c r="G116" s="213">
        <f>COMPOSICIÓN!G116</f>
        <v>0.14399999999999999</v>
      </c>
      <c r="H116" s="214">
        <f>COMPOSICIÓN!H116</f>
        <v>0.1</v>
      </c>
      <c r="I116" s="215">
        <f>COMPOSICIÓN!I116</f>
        <v>3837.96</v>
      </c>
      <c r="J116" s="212" t="str">
        <f>IFERROR(VLOOKUP(A116,PARTIDAS!$A$2:$C$269,3,FALSE()),"")</f>
        <v>MAMPOSTERÍA</v>
      </c>
      <c r="K116" s="212" t="str">
        <f>IFERROR(INDEX(PPTO_GENERADOR!$B$4:$B$220,MATCH(A116,PPTO_GENERADOR!$Q$4:$Q$220,0)),"")</f>
        <v/>
      </c>
      <c r="L116" s="216">
        <f>IF(PLAN_ETAPA!$C$4="(TODOS)",SUMIFS(PPTO_GENERADOR!$E$4:$E$220,PPTO_GENERADOR!$Q$4:$Q$220,A116),SUMIFS(PPTO_GENERADOR!$E$4:$E$220,PPTO_GENERADOR!$Q$4:$Q$220,A116,PPTO_GENERADOR!$B$4:$B$220,PLAN_ETAPA!$C$4))</f>
        <v>0</v>
      </c>
      <c r="M116" s="216">
        <f>IFERROR(VLOOKUP(A116,PARTIDAS!$A$2:$F$269,6,FALSE()),1)</f>
        <v>6</v>
      </c>
      <c r="N116" s="216">
        <f>IFERROR(VLOOKUP(A116,PARTIDAS!$A$2:$I$269,9,FALSE()),1)</f>
        <v>1</v>
      </c>
      <c r="O116" s="217">
        <f t="shared" si="2"/>
        <v>0</v>
      </c>
      <c r="P116" s="216">
        <f>IF(O116=0,0,IF(B116="MAT",G116*(1+H116)*L116*PLAN_ETAPA!$C$5,IF(B116="MO",IF(M116=0,0,G116*L116*PLAN_ETAPA!$C$5*N116/M116),IF(B116="EQ",IF(M116=0,0,G116*L116*PLAN_ETAPA!$C$5/M116),0))))</f>
        <v>0</v>
      </c>
      <c r="Q116" s="218">
        <f t="shared" si="3"/>
        <v>0</v>
      </c>
    </row>
    <row r="117" spans="1:17" x14ac:dyDescent="0.35">
      <c r="A117" s="212" t="str">
        <f>COMPOSICIÓN!A117</f>
        <v>ALB-043</v>
      </c>
      <c r="B117" s="212" t="str">
        <f>COMPOSICIÓN!B117</f>
        <v>MAT</v>
      </c>
      <c r="C117" s="212" t="str">
        <f>COMPOSICIÓN!C117</f>
        <v>OTR</v>
      </c>
      <c r="D117" s="212" t="str">
        <f>COMPOSICIÓN!D117</f>
        <v>AGR-006</v>
      </c>
      <c r="E117" s="212" t="str">
        <f>COMPOSICIÓN!E117</f>
        <v>cal milagro</v>
      </c>
      <c r="F117" s="212" t="str">
        <f>COMPOSICIÓN!F117</f>
        <v>bol</v>
      </c>
      <c r="G117" s="213">
        <f>COMPOSICIÓN!G117</f>
        <v>6.4000000000000001E-2</v>
      </c>
      <c r="H117" s="214">
        <f>COMPOSICIÓN!H117</f>
        <v>0.1</v>
      </c>
      <c r="I117" s="215">
        <f>COMPOSICIÓN!I117</f>
        <v>10936.8</v>
      </c>
      <c r="J117" s="212" t="str">
        <f>IFERROR(VLOOKUP(A117,PARTIDAS!$A$2:$C$269,3,FALSE()),"")</f>
        <v>MAMPOSTERÍA</v>
      </c>
      <c r="K117" s="212" t="str">
        <f>IFERROR(INDEX(PPTO_GENERADOR!$B$4:$B$220,MATCH(A117,PPTO_GENERADOR!$Q$4:$Q$220,0)),"")</f>
        <v/>
      </c>
      <c r="L117" s="216">
        <f>IF(PLAN_ETAPA!$C$4="(TODOS)",SUMIFS(PPTO_GENERADOR!$E$4:$E$220,PPTO_GENERADOR!$Q$4:$Q$220,A117),SUMIFS(PPTO_GENERADOR!$E$4:$E$220,PPTO_GENERADOR!$Q$4:$Q$220,A117,PPTO_GENERADOR!$B$4:$B$220,PLAN_ETAPA!$C$4))</f>
        <v>0</v>
      </c>
      <c r="M117" s="216">
        <f>IFERROR(VLOOKUP(A117,PARTIDAS!$A$2:$F$269,6,FALSE()),1)</f>
        <v>6</v>
      </c>
      <c r="N117" s="216">
        <f>IFERROR(VLOOKUP(A117,PARTIDAS!$A$2:$I$269,9,FALSE()),1)</f>
        <v>1</v>
      </c>
      <c r="O117" s="217">
        <f t="shared" si="2"/>
        <v>0</v>
      </c>
      <c r="P117" s="216">
        <f>IF(O117=0,0,IF(B117="MAT",G117*(1+H117)*L117*PLAN_ETAPA!$C$5,IF(B117="MO",IF(M117=0,0,G117*L117*PLAN_ETAPA!$C$5*N117/M117),IF(B117="EQ",IF(M117=0,0,G117*L117*PLAN_ETAPA!$C$5/M117),0))))</f>
        <v>0</v>
      </c>
      <c r="Q117" s="218">
        <f t="shared" si="3"/>
        <v>0</v>
      </c>
    </row>
    <row r="118" spans="1:17" x14ac:dyDescent="0.35">
      <c r="A118" s="212" t="str">
        <f>COMPOSICIÓN!A118</f>
        <v>ALB-043</v>
      </c>
      <c r="B118" s="212" t="str">
        <f>COMPOSICIÓN!B118</f>
        <v>MO</v>
      </c>
      <c r="C118" s="212" t="str">
        <f>COMPOSICIÓN!C118</f>
        <v>ALB</v>
      </c>
      <c r="D118" s="212" t="str">
        <f>COMPOSICIÓN!D118</f>
        <v>MO-EAYUD</v>
      </c>
      <c r="E118" s="212" t="str">
        <f>COMPOSICIÓN!E118</f>
        <v>AYUDANTE</v>
      </c>
      <c r="F118" s="212" t="str">
        <f>COMPOSICIÓN!F118</f>
        <v>j</v>
      </c>
      <c r="G118" s="213">
        <f>COMPOSICIÓN!G118</f>
        <v>0.65</v>
      </c>
      <c r="H118" s="214">
        <f>COMPOSICIÓN!H118</f>
        <v>0</v>
      </c>
      <c r="I118" s="215">
        <f>COMPOSICIÓN!I118</f>
        <v>60860.580776572002</v>
      </c>
      <c r="J118" s="212" t="str">
        <f>IFERROR(VLOOKUP(A118,PARTIDAS!$A$2:$C$269,3,FALSE()),"")</f>
        <v>MAMPOSTERÍA</v>
      </c>
      <c r="K118" s="212" t="str">
        <f>IFERROR(INDEX(PPTO_GENERADOR!$B$4:$B$220,MATCH(A118,PPTO_GENERADOR!$Q$4:$Q$220,0)),"")</f>
        <v/>
      </c>
      <c r="L118" s="216">
        <f>IF(PLAN_ETAPA!$C$4="(TODOS)",SUMIFS(PPTO_GENERADOR!$E$4:$E$220,PPTO_GENERADOR!$Q$4:$Q$220,A118),SUMIFS(PPTO_GENERADOR!$E$4:$E$220,PPTO_GENERADOR!$Q$4:$Q$220,A118,PPTO_GENERADOR!$B$4:$B$220,PLAN_ETAPA!$C$4))</f>
        <v>0</v>
      </c>
      <c r="M118" s="216">
        <f>IFERROR(VLOOKUP(A118,PARTIDAS!$A$2:$F$269,6,FALSE()),1)</f>
        <v>6</v>
      </c>
      <c r="N118" s="216">
        <f>IFERROR(VLOOKUP(A118,PARTIDAS!$A$2:$I$269,9,FALSE()),1)</f>
        <v>1</v>
      </c>
      <c r="O118" s="217">
        <f t="shared" si="2"/>
        <v>0</v>
      </c>
      <c r="P118" s="216">
        <f>IF(O118=0,0,IF(B118="MAT",G118*(1+H118)*L118*PLAN_ETAPA!$C$5,IF(B118="MO",IF(M118=0,0,G118*L118*PLAN_ETAPA!$C$5*N118/M118),IF(B118="EQ",IF(M118=0,0,G118*L118*PLAN_ETAPA!$C$5/M118),0))))</f>
        <v>0</v>
      </c>
      <c r="Q118" s="218">
        <f t="shared" si="3"/>
        <v>0</v>
      </c>
    </row>
    <row r="119" spans="1:17" x14ac:dyDescent="0.35">
      <c r="A119" s="212" t="str">
        <f>COMPOSICIÓN!A119</f>
        <v>ALB-043</v>
      </c>
      <c r="B119" s="212" t="str">
        <f>COMPOSICIÓN!B119</f>
        <v>MO</v>
      </c>
      <c r="C119" s="212" t="str">
        <f>COMPOSICIÓN!C119</f>
        <v>ALB</v>
      </c>
      <c r="D119" s="212" t="str">
        <f>COMPOSICIÓN!D119</f>
        <v>MO-EESPE</v>
      </c>
      <c r="E119" s="212" t="str">
        <f>COMPOSICIÓN!E119</f>
        <v>ESPECIALIZADO</v>
      </c>
      <c r="F119" s="212" t="str">
        <f>COMPOSICIÓN!F119</f>
        <v>j</v>
      </c>
      <c r="G119" s="213">
        <f>COMPOSICIÓN!G119</f>
        <v>1</v>
      </c>
      <c r="H119" s="214">
        <f>COMPOSICIÓN!H119</f>
        <v>0</v>
      </c>
      <c r="I119" s="215">
        <f>COMPOSICIÓN!I119</f>
        <v>85927.097156571996</v>
      </c>
      <c r="J119" s="212" t="str">
        <f>IFERROR(VLOOKUP(A119,PARTIDAS!$A$2:$C$269,3,FALSE()),"")</f>
        <v>MAMPOSTERÍA</v>
      </c>
      <c r="K119" s="212" t="str">
        <f>IFERROR(INDEX(PPTO_GENERADOR!$B$4:$B$220,MATCH(A119,PPTO_GENERADOR!$Q$4:$Q$220,0)),"")</f>
        <v/>
      </c>
      <c r="L119" s="216">
        <f>IF(PLAN_ETAPA!$C$4="(TODOS)",SUMIFS(PPTO_GENERADOR!$E$4:$E$220,PPTO_GENERADOR!$Q$4:$Q$220,A119),SUMIFS(PPTO_GENERADOR!$E$4:$E$220,PPTO_GENERADOR!$Q$4:$Q$220,A119,PPTO_GENERADOR!$B$4:$B$220,PLAN_ETAPA!$C$4))</f>
        <v>0</v>
      </c>
      <c r="M119" s="216">
        <f>IFERROR(VLOOKUP(A119,PARTIDAS!$A$2:$F$269,6,FALSE()),1)</f>
        <v>6</v>
      </c>
      <c r="N119" s="216">
        <f>IFERROR(VLOOKUP(A119,PARTIDAS!$A$2:$I$269,9,FALSE()),1)</f>
        <v>1</v>
      </c>
      <c r="O119" s="217">
        <f t="shared" si="2"/>
        <v>0</v>
      </c>
      <c r="P119" s="216">
        <f>IF(O119=0,0,IF(B119="MAT",G119*(1+H119)*L119*PLAN_ETAPA!$C$5,IF(B119="MO",IF(M119=0,0,G119*L119*PLAN_ETAPA!$C$5*N119/M119),IF(B119="EQ",IF(M119=0,0,G119*L119*PLAN_ETAPA!$C$5/M119),0))))</f>
        <v>0</v>
      </c>
      <c r="Q119" s="218">
        <f t="shared" si="3"/>
        <v>0</v>
      </c>
    </row>
    <row r="120" spans="1:17" x14ac:dyDescent="0.35">
      <c r="A120" s="212" t="str">
        <f>COMPOSICIÓN!A120</f>
        <v>ALB-044</v>
      </c>
      <c r="B120" s="212" t="str">
        <f>COMPOSICIÓN!B120</f>
        <v>EQ</v>
      </c>
      <c r="C120" s="212">
        <f>COMPOSICIÓN!C120</f>
        <v>0</v>
      </c>
      <c r="D120" s="212" t="str">
        <f>COMPOSICIÓN!D120</f>
        <v>EQ-ANDAM0</v>
      </c>
      <c r="E120" s="212" t="str">
        <f>COMPOSICIÓN!E120</f>
        <v>ANDAMIO TUBULAR DE UNO A TRES CUERPOS</v>
      </c>
      <c r="F120" s="212">
        <f>COMPOSICIÓN!F120</f>
        <v>0</v>
      </c>
      <c r="G120" s="213">
        <f>COMPOSICIÓN!G120</f>
        <v>0.5</v>
      </c>
      <c r="H120" s="214">
        <f>COMPOSICIÓN!H120</f>
        <v>0</v>
      </c>
      <c r="I120" s="215">
        <f>COMPOSICIÓN!I120</f>
        <v>571.1794909807611</v>
      </c>
      <c r="J120" s="212" t="str">
        <f>IFERROR(VLOOKUP(A120,PARTIDAS!$A$2:$C$269,3,FALSE()),"")</f>
        <v>MAMPOSTERÍA</v>
      </c>
      <c r="K120" s="212" t="str">
        <f>IFERROR(INDEX(PPTO_GENERADOR!$B$4:$B$220,MATCH(A120,PPTO_GENERADOR!$Q$4:$Q$220,0)),"")</f>
        <v>REVOQUES</v>
      </c>
      <c r="L120" s="216">
        <f>IF(PLAN_ETAPA!$C$4="(TODOS)",SUMIFS(PPTO_GENERADOR!$E$4:$E$220,PPTO_GENERADOR!$Q$4:$Q$220,A120),SUMIFS(PPTO_GENERADOR!$E$4:$E$220,PPTO_GENERADOR!$Q$4:$Q$220,A120,PPTO_GENERADOR!$B$4:$B$220,PLAN_ETAPA!$C$4))</f>
        <v>0</v>
      </c>
      <c r="M120" s="216">
        <f>IFERROR(VLOOKUP(A120,PARTIDAS!$A$2:$F$269,6,FALSE()),1)</f>
        <v>11.5</v>
      </c>
      <c r="N120" s="216">
        <f>IFERROR(VLOOKUP(A120,PARTIDAS!$A$2:$I$269,9,FALSE()),1)</f>
        <v>1</v>
      </c>
      <c r="O120" s="217">
        <f t="shared" si="2"/>
        <v>0</v>
      </c>
      <c r="P120" s="216">
        <f>IF(O120=0,0,IF(B120="MAT",G120*(1+H120)*L120*PLAN_ETAPA!$C$5,IF(B120="MO",IF(M120=0,0,G120*L120*PLAN_ETAPA!$C$5*N120/M120),IF(B120="EQ",IF(M120=0,0,G120*L120*PLAN_ETAPA!$C$5/M120),0))))</f>
        <v>0</v>
      </c>
      <c r="Q120" s="218">
        <f t="shared" si="3"/>
        <v>0</v>
      </c>
    </row>
    <row r="121" spans="1:17" x14ac:dyDescent="0.35">
      <c r="A121" s="212" t="str">
        <f>COMPOSICIÓN!A121</f>
        <v>ALB-044</v>
      </c>
      <c r="B121" s="212" t="str">
        <f>COMPOSICIÓN!B121</f>
        <v>EQ</v>
      </c>
      <c r="C121" s="212">
        <f>COMPOSICIÓN!C121</f>
        <v>0</v>
      </c>
      <c r="D121" s="212" t="str">
        <f>COMPOSICIÓN!D121</f>
        <v>EQ-EQALBA</v>
      </c>
      <c r="E121" s="212" t="str">
        <f>COMPOSICIÓN!E121</f>
        <v>EQUIPO DE ALBAÑILERIA, carpetas, ladrillo</v>
      </c>
      <c r="F121" s="212">
        <f>COMPOSICIÓN!F121</f>
        <v>0</v>
      </c>
      <c r="G121" s="213">
        <f>COMPOSICIÓN!G121</f>
        <v>1</v>
      </c>
      <c r="H121" s="214">
        <f>COMPOSICIÓN!H121</f>
        <v>0</v>
      </c>
      <c r="I121" s="215">
        <f>COMPOSICIÓN!I121</f>
        <v>2287.1357450968057</v>
      </c>
      <c r="J121" s="212" t="str">
        <f>IFERROR(VLOOKUP(A121,PARTIDAS!$A$2:$C$269,3,FALSE()),"")</f>
        <v>MAMPOSTERÍA</v>
      </c>
      <c r="K121" s="212" t="str">
        <f>IFERROR(INDEX(PPTO_GENERADOR!$B$4:$B$220,MATCH(A121,PPTO_GENERADOR!$Q$4:$Q$220,0)),"")</f>
        <v>REVOQUES</v>
      </c>
      <c r="L121" s="216">
        <f>IF(PLAN_ETAPA!$C$4="(TODOS)",SUMIFS(PPTO_GENERADOR!$E$4:$E$220,PPTO_GENERADOR!$Q$4:$Q$220,A121),SUMIFS(PPTO_GENERADOR!$E$4:$E$220,PPTO_GENERADOR!$Q$4:$Q$220,A121,PPTO_GENERADOR!$B$4:$B$220,PLAN_ETAPA!$C$4))</f>
        <v>0</v>
      </c>
      <c r="M121" s="216">
        <f>IFERROR(VLOOKUP(A121,PARTIDAS!$A$2:$F$269,6,FALSE()),1)</f>
        <v>11.5</v>
      </c>
      <c r="N121" s="216">
        <f>IFERROR(VLOOKUP(A121,PARTIDAS!$A$2:$I$269,9,FALSE()),1)</f>
        <v>1</v>
      </c>
      <c r="O121" s="217">
        <f t="shared" si="2"/>
        <v>0</v>
      </c>
      <c r="P121" s="216">
        <f>IF(O121=0,0,IF(B121="MAT",G121*(1+H121)*L121*PLAN_ETAPA!$C$5,IF(B121="MO",IF(M121=0,0,G121*L121*PLAN_ETAPA!$C$5*N121/M121),IF(B121="EQ",IF(M121=0,0,G121*L121*PLAN_ETAPA!$C$5/M121),0))))</f>
        <v>0</v>
      </c>
      <c r="Q121" s="218">
        <f t="shared" si="3"/>
        <v>0</v>
      </c>
    </row>
    <row r="122" spans="1:17" x14ac:dyDescent="0.35">
      <c r="A122" s="212" t="str">
        <f>COMPOSICIÓN!A122</f>
        <v>ALB-044</v>
      </c>
      <c r="B122" s="212" t="str">
        <f>COMPOSICIÓN!B122</f>
        <v>EQ</v>
      </c>
      <c r="C122" s="212">
        <f>COMPOSICIÓN!C122</f>
        <v>0</v>
      </c>
      <c r="D122" s="212" t="str">
        <f>COMPOSICIÓN!D122</f>
        <v>EQ-TROMPO</v>
      </c>
      <c r="E122" s="212" t="str">
        <f>COMPOSICIÓN!E122</f>
        <v>Hormigonera De 150 Litros 1hp Con Rueda Maciza</v>
      </c>
      <c r="F122" s="212">
        <f>COMPOSICIÓN!F122</f>
        <v>0</v>
      </c>
      <c r="G122" s="213">
        <f>COMPOSICIÓN!G122</f>
        <v>1</v>
      </c>
      <c r="H122" s="214">
        <f>COMPOSICIÓN!H122</f>
        <v>0</v>
      </c>
      <c r="I122" s="215">
        <f>COMPOSICIÓN!I122</f>
        <v>957.25319614994726</v>
      </c>
      <c r="J122" s="212" t="str">
        <f>IFERROR(VLOOKUP(A122,PARTIDAS!$A$2:$C$269,3,FALSE()),"")</f>
        <v>MAMPOSTERÍA</v>
      </c>
      <c r="K122" s="212" t="str">
        <f>IFERROR(INDEX(PPTO_GENERADOR!$B$4:$B$220,MATCH(A122,PPTO_GENERADOR!$Q$4:$Q$220,0)),"")</f>
        <v>REVOQUES</v>
      </c>
      <c r="L122" s="216">
        <f>IF(PLAN_ETAPA!$C$4="(TODOS)",SUMIFS(PPTO_GENERADOR!$E$4:$E$220,PPTO_GENERADOR!$Q$4:$Q$220,A122),SUMIFS(PPTO_GENERADOR!$E$4:$E$220,PPTO_GENERADOR!$Q$4:$Q$220,A122,PPTO_GENERADOR!$B$4:$B$220,PLAN_ETAPA!$C$4))</f>
        <v>0</v>
      </c>
      <c r="M122" s="216">
        <f>IFERROR(VLOOKUP(A122,PARTIDAS!$A$2:$F$269,6,FALSE()),1)</f>
        <v>11.5</v>
      </c>
      <c r="N122" s="216">
        <f>IFERROR(VLOOKUP(A122,PARTIDAS!$A$2:$I$269,9,FALSE()),1)</f>
        <v>1</v>
      </c>
      <c r="O122" s="217">
        <f t="shared" si="2"/>
        <v>0</v>
      </c>
      <c r="P122" s="216">
        <f>IF(O122=0,0,IF(B122="MAT",G122*(1+H122)*L122*PLAN_ETAPA!$C$5,IF(B122="MO",IF(M122=0,0,G122*L122*PLAN_ETAPA!$C$5*N122/M122),IF(B122="EQ",IF(M122=0,0,G122*L122*PLAN_ETAPA!$C$5/M122),0))))</f>
        <v>0</v>
      </c>
      <c r="Q122" s="218">
        <f t="shared" si="3"/>
        <v>0</v>
      </c>
    </row>
    <row r="123" spans="1:17" x14ac:dyDescent="0.35">
      <c r="A123" s="212" t="str">
        <f>COMPOSICIÓN!A123</f>
        <v>ALB-044</v>
      </c>
      <c r="B123" s="212" t="str">
        <f>COMPOSICIÓN!B123</f>
        <v>MAT</v>
      </c>
      <c r="C123" s="212" t="str">
        <f>COMPOSICIÓN!C123</f>
        <v>OTR</v>
      </c>
      <c r="D123" s="212" t="str">
        <f>COMPOSICIÓN!D123</f>
        <v>AGR-001</v>
      </c>
      <c r="E123" s="212" t="str">
        <f>COMPOSICIÓN!E123</f>
        <v>ARENA LAVADA</v>
      </c>
      <c r="F123" s="212" t="str">
        <f>COMPOSICIÓN!F123</f>
        <v>m3</v>
      </c>
      <c r="G123" s="213">
        <f>COMPOSICIÓN!G123</f>
        <v>2.5999999999999999E-2</v>
      </c>
      <c r="H123" s="214">
        <f>COMPOSICIÓN!H123</f>
        <v>0.1</v>
      </c>
      <c r="I123" s="215">
        <f>COMPOSICIÓN!I123</f>
        <v>32399.77</v>
      </c>
      <c r="J123" s="212" t="str">
        <f>IFERROR(VLOOKUP(A123,PARTIDAS!$A$2:$C$269,3,FALSE()),"")</f>
        <v>MAMPOSTERÍA</v>
      </c>
      <c r="K123" s="212" t="str">
        <f>IFERROR(INDEX(PPTO_GENERADOR!$B$4:$B$220,MATCH(A123,PPTO_GENERADOR!$Q$4:$Q$220,0)),"")</f>
        <v>REVOQUES</v>
      </c>
      <c r="L123" s="216">
        <f>IF(PLAN_ETAPA!$C$4="(TODOS)",SUMIFS(PPTO_GENERADOR!$E$4:$E$220,PPTO_GENERADOR!$Q$4:$Q$220,A123),SUMIFS(PPTO_GENERADOR!$E$4:$E$220,PPTO_GENERADOR!$Q$4:$Q$220,A123,PPTO_GENERADOR!$B$4:$B$220,PLAN_ETAPA!$C$4))</f>
        <v>0</v>
      </c>
      <c r="M123" s="216">
        <f>IFERROR(VLOOKUP(A123,PARTIDAS!$A$2:$F$269,6,FALSE()),1)</f>
        <v>11.5</v>
      </c>
      <c r="N123" s="216">
        <f>IFERROR(VLOOKUP(A123,PARTIDAS!$A$2:$I$269,9,FALSE()),1)</f>
        <v>1</v>
      </c>
      <c r="O123" s="217">
        <f t="shared" si="2"/>
        <v>0</v>
      </c>
      <c r="P123" s="216">
        <f>IF(O123=0,0,IF(B123="MAT",G123*(1+H123)*L123*PLAN_ETAPA!$C$5,IF(B123="MO",IF(M123=0,0,G123*L123*PLAN_ETAPA!$C$5*N123/M123),IF(B123="EQ",IF(M123=0,0,G123*L123*PLAN_ETAPA!$C$5/M123),0))))</f>
        <v>0</v>
      </c>
      <c r="Q123" s="218">
        <f t="shared" si="3"/>
        <v>0</v>
      </c>
    </row>
    <row r="124" spans="1:17" x14ac:dyDescent="0.35">
      <c r="A124" s="212" t="str">
        <f>COMPOSICIÓN!A124</f>
        <v>ALB-044</v>
      </c>
      <c r="B124" s="212" t="str">
        <f>COMPOSICIÓN!B124</f>
        <v>MAT</v>
      </c>
      <c r="C124" s="212" t="str">
        <f>COMPOSICIÓN!C124</f>
        <v>OTR</v>
      </c>
      <c r="D124" s="212" t="str">
        <f>COMPOSICIÓN!D124</f>
        <v>AGR-004</v>
      </c>
      <c r="E124" s="212" t="str">
        <f>COMPOSICIÓN!E124</f>
        <v>Cemento Portland x 50kg</v>
      </c>
      <c r="F124" s="212" t="str">
        <f>COMPOSICIÓN!F124</f>
        <v>Bol</v>
      </c>
      <c r="G124" s="213">
        <f>COMPOSICIÓN!G124</f>
        <v>0.314</v>
      </c>
      <c r="H124" s="214">
        <f>COMPOSICIÓN!H124</f>
        <v>0.1</v>
      </c>
      <c r="I124" s="215">
        <f>COMPOSICIÓN!I124</f>
        <v>7809.48</v>
      </c>
      <c r="J124" s="212" t="str">
        <f>IFERROR(VLOOKUP(A124,PARTIDAS!$A$2:$C$269,3,FALSE()),"")</f>
        <v>MAMPOSTERÍA</v>
      </c>
      <c r="K124" s="212" t="str">
        <f>IFERROR(INDEX(PPTO_GENERADOR!$B$4:$B$220,MATCH(A124,PPTO_GENERADOR!$Q$4:$Q$220,0)),"")</f>
        <v>REVOQUES</v>
      </c>
      <c r="L124" s="216">
        <f>IF(PLAN_ETAPA!$C$4="(TODOS)",SUMIFS(PPTO_GENERADOR!$E$4:$E$220,PPTO_GENERADOR!$Q$4:$Q$220,A124),SUMIFS(PPTO_GENERADOR!$E$4:$E$220,PPTO_GENERADOR!$Q$4:$Q$220,A124,PPTO_GENERADOR!$B$4:$B$220,PLAN_ETAPA!$C$4))</f>
        <v>0</v>
      </c>
      <c r="M124" s="216">
        <f>IFERROR(VLOOKUP(A124,PARTIDAS!$A$2:$F$269,6,FALSE()),1)</f>
        <v>11.5</v>
      </c>
      <c r="N124" s="216">
        <f>IFERROR(VLOOKUP(A124,PARTIDAS!$A$2:$I$269,9,FALSE()),1)</f>
        <v>1</v>
      </c>
      <c r="O124" s="217">
        <f t="shared" si="2"/>
        <v>0</v>
      </c>
      <c r="P124" s="216">
        <f>IF(O124=0,0,IF(B124="MAT",G124*(1+H124)*L124*PLAN_ETAPA!$C$5,IF(B124="MO",IF(M124=0,0,G124*L124*PLAN_ETAPA!$C$5*N124/M124),IF(B124="EQ",IF(M124=0,0,G124*L124*PLAN_ETAPA!$C$5/M124),0))))</f>
        <v>0</v>
      </c>
      <c r="Q124" s="218">
        <f t="shared" si="3"/>
        <v>0</v>
      </c>
    </row>
    <row r="125" spans="1:17" x14ac:dyDescent="0.35">
      <c r="A125" s="212" t="str">
        <f>COMPOSICIÓN!A125</f>
        <v>ALB-044</v>
      </c>
      <c r="B125" s="212" t="str">
        <f>COMPOSICIÓN!B125</f>
        <v>MAT</v>
      </c>
      <c r="C125" s="212" t="str">
        <f>COMPOSICIÓN!C125</f>
        <v>OTR</v>
      </c>
      <c r="D125" s="212" t="str">
        <f>COMPOSICIÓN!D125</f>
        <v>AGR-005</v>
      </c>
      <c r="E125" s="212" t="str">
        <f>COMPOSICIÓN!E125</f>
        <v>Cal Comun x 25kg</v>
      </c>
      <c r="F125" s="212" t="str">
        <f>COMPOSICIÓN!F125</f>
        <v>bol</v>
      </c>
      <c r="G125" s="213">
        <f>COMPOSICIÓN!G125</f>
        <v>0.06</v>
      </c>
      <c r="H125" s="214">
        <f>COMPOSICIÓN!H125</f>
        <v>0.1</v>
      </c>
      <c r="I125" s="215">
        <f>COMPOSICIÓN!I125</f>
        <v>3837.96</v>
      </c>
      <c r="J125" s="212" t="str">
        <f>IFERROR(VLOOKUP(A125,PARTIDAS!$A$2:$C$269,3,FALSE()),"")</f>
        <v>MAMPOSTERÍA</v>
      </c>
      <c r="K125" s="212" t="str">
        <f>IFERROR(INDEX(PPTO_GENERADOR!$B$4:$B$220,MATCH(A125,PPTO_GENERADOR!$Q$4:$Q$220,0)),"")</f>
        <v>REVOQUES</v>
      </c>
      <c r="L125" s="216">
        <f>IF(PLAN_ETAPA!$C$4="(TODOS)",SUMIFS(PPTO_GENERADOR!$E$4:$E$220,PPTO_GENERADOR!$Q$4:$Q$220,A125),SUMIFS(PPTO_GENERADOR!$E$4:$E$220,PPTO_GENERADOR!$Q$4:$Q$220,A125,PPTO_GENERADOR!$B$4:$B$220,PLAN_ETAPA!$C$4))</f>
        <v>0</v>
      </c>
      <c r="M125" s="216">
        <f>IFERROR(VLOOKUP(A125,PARTIDAS!$A$2:$F$269,6,FALSE()),1)</f>
        <v>11.5</v>
      </c>
      <c r="N125" s="216">
        <f>IFERROR(VLOOKUP(A125,PARTIDAS!$A$2:$I$269,9,FALSE()),1)</f>
        <v>1</v>
      </c>
      <c r="O125" s="217">
        <f t="shared" si="2"/>
        <v>0</v>
      </c>
      <c r="P125" s="216">
        <f>IF(O125=0,0,IF(B125="MAT",G125*(1+H125)*L125*PLAN_ETAPA!$C$5,IF(B125="MO",IF(M125=0,0,G125*L125*PLAN_ETAPA!$C$5*N125/M125),IF(B125="EQ",IF(M125=0,0,G125*L125*PLAN_ETAPA!$C$5/M125),0))))</f>
        <v>0</v>
      </c>
      <c r="Q125" s="218">
        <f t="shared" si="3"/>
        <v>0</v>
      </c>
    </row>
    <row r="126" spans="1:17" x14ac:dyDescent="0.35">
      <c r="A126" s="212" t="str">
        <f>COMPOSICIÓN!A126</f>
        <v>ALB-044</v>
      </c>
      <c r="B126" s="212" t="str">
        <f>COMPOSICIÓN!B126</f>
        <v>MAT</v>
      </c>
      <c r="C126" s="212" t="str">
        <f>COMPOSICIÓN!C126</f>
        <v>OTR</v>
      </c>
      <c r="D126" s="212" t="str">
        <f>COMPOSICIÓN!D126</f>
        <v>AIS-001</v>
      </c>
      <c r="E126" s="212" t="str">
        <f>COMPOSICIÓN!E126</f>
        <v>Aditivo Hidrofugo en pasta - Ceresita x 1kg</v>
      </c>
      <c r="F126" s="212" t="str">
        <f>COMPOSICIÓN!F126</f>
        <v>kg</v>
      </c>
      <c r="G126" s="213">
        <f>COMPOSICIÓN!G126</f>
        <v>0.1</v>
      </c>
      <c r="H126" s="214">
        <f>COMPOSICIÓN!H126</f>
        <v>0.05</v>
      </c>
      <c r="I126" s="215">
        <f>COMPOSICIÓN!I126</f>
        <v>1256.1279999999999</v>
      </c>
      <c r="J126" s="212" t="str">
        <f>IFERROR(VLOOKUP(A126,PARTIDAS!$A$2:$C$269,3,FALSE()),"")</f>
        <v>MAMPOSTERÍA</v>
      </c>
      <c r="K126" s="212" t="str">
        <f>IFERROR(INDEX(PPTO_GENERADOR!$B$4:$B$220,MATCH(A126,PPTO_GENERADOR!$Q$4:$Q$220,0)),"")</f>
        <v>REVOQUES</v>
      </c>
      <c r="L126" s="216">
        <f>IF(PLAN_ETAPA!$C$4="(TODOS)",SUMIFS(PPTO_GENERADOR!$E$4:$E$220,PPTO_GENERADOR!$Q$4:$Q$220,A126),SUMIFS(PPTO_GENERADOR!$E$4:$E$220,PPTO_GENERADOR!$Q$4:$Q$220,A126,PPTO_GENERADOR!$B$4:$B$220,PLAN_ETAPA!$C$4))</f>
        <v>0</v>
      </c>
      <c r="M126" s="216">
        <f>IFERROR(VLOOKUP(A126,PARTIDAS!$A$2:$F$269,6,FALSE()),1)</f>
        <v>11.5</v>
      </c>
      <c r="N126" s="216">
        <f>IFERROR(VLOOKUP(A126,PARTIDAS!$A$2:$I$269,9,FALSE()),1)</f>
        <v>1</v>
      </c>
      <c r="O126" s="217">
        <f t="shared" si="2"/>
        <v>0</v>
      </c>
      <c r="P126" s="216">
        <f>IF(O126=0,0,IF(B126="MAT",G126*(1+H126)*L126*PLAN_ETAPA!$C$5,IF(B126="MO",IF(M126=0,0,G126*L126*PLAN_ETAPA!$C$5*N126/M126),IF(B126="EQ",IF(M126=0,0,G126*L126*PLAN_ETAPA!$C$5/M126),0))))</f>
        <v>0</v>
      </c>
      <c r="Q126" s="218">
        <f t="shared" si="3"/>
        <v>0</v>
      </c>
    </row>
    <row r="127" spans="1:17" x14ac:dyDescent="0.35">
      <c r="A127" s="212" t="str">
        <f>COMPOSICIÓN!A127</f>
        <v>ALB-044</v>
      </c>
      <c r="B127" s="212" t="str">
        <f>COMPOSICIÓN!B127</f>
        <v>MO</v>
      </c>
      <c r="C127" s="212" t="str">
        <f>COMPOSICIÓN!C127</f>
        <v>ALB</v>
      </c>
      <c r="D127" s="212" t="str">
        <f>COMPOSICIÓN!D127</f>
        <v>MO-EAYUD</v>
      </c>
      <c r="E127" s="212" t="str">
        <f>COMPOSICIÓN!E127</f>
        <v>AYUDANTE</v>
      </c>
      <c r="F127" s="212" t="str">
        <f>COMPOSICIÓN!F127</f>
        <v>j</v>
      </c>
      <c r="G127" s="213">
        <f>COMPOSICIÓN!G127</f>
        <v>0.6</v>
      </c>
      <c r="H127" s="214">
        <f>COMPOSICIÓN!H127</f>
        <v>0</v>
      </c>
      <c r="I127" s="215">
        <f>COMPOSICIÓN!I127</f>
        <v>60860.580776572002</v>
      </c>
      <c r="J127" s="212" t="str">
        <f>IFERROR(VLOOKUP(A127,PARTIDAS!$A$2:$C$269,3,FALSE()),"")</f>
        <v>MAMPOSTERÍA</v>
      </c>
      <c r="K127" s="212" t="str">
        <f>IFERROR(INDEX(PPTO_GENERADOR!$B$4:$B$220,MATCH(A127,PPTO_GENERADOR!$Q$4:$Q$220,0)),"")</f>
        <v>REVOQUES</v>
      </c>
      <c r="L127" s="216">
        <f>IF(PLAN_ETAPA!$C$4="(TODOS)",SUMIFS(PPTO_GENERADOR!$E$4:$E$220,PPTO_GENERADOR!$Q$4:$Q$220,A127),SUMIFS(PPTO_GENERADOR!$E$4:$E$220,PPTO_GENERADOR!$Q$4:$Q$220,A127,PPTO_GENERADOR!$B$4:$B$220,PLAN_ETAPA!$C$4))</f>
        <v>0</v>
      </c>
      <c r="M127" s="216">
        <f>IFERROR(VLOOKUP(A127,PARTIDAS!$A$2:$F$269,6,FALSE()),1)</f>
        <v>11.5</v>
      </c>
      <c r="N127" s="216">
        <f>IFERROR(VLOOKUP(A127,PARTIDAS!$A$2:$I$269,9,FALSE()),1)</f>
        <v>1</v>
      </c>
      <c r="O127" s="217">
        <f t="shared" si="2"/>
        <v>0</v>
      </c>
      <c r="P127" s="216">
        <f>IF(O127=0,0,IF(B127="MAT",G127*(1+H127)*L127*PLAN_ETAPA!$C$5,IF(B127="MO",IF(M127=0,0,G127*L127*PLAN_ETAPA!$C$5*N127/M127),IF(B127="EQ",IF(M127=0,0,G127*L127*PLAN_ETAPA!$C$5/M127),0))))</f>
        <v>0</v>
      </c>
      <c r="Q127" s="218">
        <f t="shared" si="3"/>
        <v>0</v>
      </c>
    </row>
    <row r="128" spans="1:17" x14ac:dyDescent="0.35">
      <c r="A128" s="212" t="str">
        <f>COMPOSICIÓN!A128</f>
        <v>ALB-044</v>
      </c>
      <c r="B128" s="212" t="str">
        <f>COMPOSICIÓN!B128</f>
        <v>MO</v>
      </c>
      <c r="C128" s="212" t="str">
        <f>COMPOSICIÓN!C128</f>
        <v>ALB</v>
      </c>
      <c r="D128" s="212" t="str">
        <f>COMPOSICIÓN!D128</f>
        <v>MO-EESPE</v>
      </c>
      <c r="E128" s="212" t="str">
        <f>COMPOSICIÓN!E128</f>
        <v>ESPECIALIZADO</v>
      </c>
      <c r="F128" s="212" t="str">
        <f>COMPOSICIÓN!F128</f>
        <v>j</v>
      </c>
      <c r="G128" s="213">
        <f>COMPOSICIÓN!G128</f>
        <v>1</v>
      </c>
      <c r="H128" s="214">
        <f>COMPOSICIÓN!H128</f>
        <v>0</v>
      </c>
      <c r="I128" s="215">
        <f>COMPOSICIÓN!I128</f>
        <v>85927.097156571996</v>
      </c>
      <c r="J128" s="212" t="str">
        <f>IFERROR(VLOOKUP(A128,PARTIDAS!$A$2:$C$269,3,FALSE()),"")</f>
        <v>MAMPOSTERÍA</v>
      </c>
      <c r="K128" s="212" t="str">
        <f>IFERROR(INDEX(PPTO_GENERADOR!$B$4:$B$220,MATCH(A128,PPTO_GENERADOR!$Q$4:$Q$220,0)),"")</f>
        <v>REVOQUES</v>
      </c>
      <c r="L128" s="216">
        <f>IF(PLAN_ETAPA!$C$4="(TODOS)",SUMIFS(PPTO_GENERADOR!$E$4:$E$220,PPTO_GENERADOR!$Q$4:$Q$220,A128),SUMIFS(PPTO_GENERADOR!$E$4:$E$220,PPTO_GENERADOR!$Q$4:$Q$220,A128,PPTO_GENERADOR!$B$4:$B$220,PLAN_ETAPA!$C$4))</f>
        <v>0</v>
      </c>
      <c r="M128" s="216">
        <f>IFERROR(VLOOKUP(A128,PARTIDAS!$A$2:$F$269,6,FALSE()),1)</f>
        <v>11.5</v>
      </c>
      <c r="N128" s="216">
        <f>IFERROR(VLOOKUP(A128,PARTIDAS!$A$2:$I$269,9,FALSE()),1)</f>
        <v>1</v>
      </c>
      <c r="O128" s="217">
        <f t="shared" si="2"/>
        <v>0</v>
      </c>
      <c r="P128" s="216">
        <f>IF(O128=0,0,IF(B128="MAT",G128*(1+H128)*L128*PLAN_ETAPA!$C$5,IF(B128="MO",IF(M128=0,0,G128*L128*PLAN_ETAPA!$C$5*N128/M128),IF(B128="EQ",IF(M128=0,0,G128*L128*PLAN_ETAPA!$C$5/M128),0))))</f>
        <v>0</v>
      </c>
      <c r="Q128" s="218">
        <f t="shared" si="3"/>
        <v>0</v>
      </c>
    </row>
    <row r="129" spans="1:17" x14ac:dyDescent="0.35">
      <c r="A129" s="212" t="str">
        <f>COMPOSICIÓN!A129</f>
        <v>ALB-045</v>
      </c>
      <c r="B129" s="212" t="str">
        <f>COMPOSICIÓN!B129</f>
        <v>EQ</v>
      </c>
      <c r="C129" s="212">
        <f>COMPOSICIÓN!C129</f>
        <v>0</v>
      </c>
      <c r="D129" s="212" t="str">
        <f>COMPOSICIÓN!D129</f>
        <v>EQ-BALANC</v>
      </c>
      <c r="E129" s="212" t="str">
        <f>COMPOSICIÓN!E129</f>
        <v>Balancin</v>
      </c>
      <c r="F129" s="212">
        <f>COMPOSICIÓN!F129</f>
        <v>0</v>
      </c>
      <c r="G129" s="213">
        <f>COMPOSICIÓN!G129</f>
        <v>1</v>
      </c>
      <c r="H129" s="214">
        <f>COMPOSICIÓN!H129</f>
        <v>0</v>
      </c>
      <c r="I129" s="215">
        <f>COMPOSICIÓN!I129</f>
        <v>2910.133166666667</v>
      </c>
      <c r="J129" s="212" t="str">
        <f>IFERROR(VLOOKUP(A129,PARTIDAS!$A$2:$C$269,3,FALSE()),"")</f>
        <v>MAMPOSTERÍA</v>
      </c>
      <c r="K129" s="212" t="str">
        <f>IFERROR(INDEX(PPTO_GENERADOR!$B$4:$B$220,MATCH(A129,PPTO_GENERADOR!$Q$4:$Q$220,0)),"")</f>
        <v/>
      </c>
      <c r="L129" s="216">
        <f>IF(PLAN_ETAPA!$C$4="(TODOS)",SUMIFS(PPTO_GENERADOR!$E$4:$E$220,PPTO_GENERADOR!$Q$4:$Q$220,A129),SUMIFS(PPTO_GENERADOR!$E$4:$E$220,PPTO_GENERADOR!$Q$4:$Q$220,A129,PPTO_GENERADOR!$B$4:$B$220,PLAN_ETAPA!$C$4))</f>
        <v>0</v>
      </c>
      <c r="M129" s="216">
        <f>IFERROR(VLOOKUP(A129,PARTIDAS!$A$2:$F$269,6,FALSE()),1)</f>
        <v>8</v>
      </c>
      <c r="N129" s="216">
        <f>IFERROR(VLOOKUP(A129,PARTIDAS!$A$2:$I$269,9,FALSE()),1)</f>
        <v>1</v>
      </c>
      <c r="O129" s="217">
        <f t="shared" si="2"/>
        <v>0</v>
      </c>
      <c r="P129" s="216">
        <f>IF(O129=0,0,IF(B129="MAT",G129*(1+H129)*L129*PLAN_ETAPA!$C$5,IF(B129="MO",IF(M129=0,0,G129*L129*PLAN_ETAPA!$C$5*N129/M129),IF(B129="EQ",IF(M129=0,0,G129*L129*PLAN_ETAPA!$C$5/M129),0))))</f>
        <v>0</v>
      </c>
      <c r="Q129" s="218">
        <f t="shared" si="3"/>
        <v>0</v>
      </c>
    </row>
    <row r="130" spans="1:17" x14ac:dyDescent="0.35">
      <c r="A130" s="212" t="str">
        <f>COMPOSICIÓN!A130</f>
        <v>ALB-045</v>
      </c>
      <c r="B130" s="212" t="str">
        <f>COMPOSICIÓN!B130</f>
        <v>EQ</v>
      </c>
      <c r="C130" s="212">
        <f>COMPOSICIÓN!C130</f>
        <v>0</v>
      </c>
      <c r="D130" s="212" t="str">
        <f>COMPOSICIÓN!D130</f>
        <v>EQ-EQALBA</v>
      </c>
      <c r="E130" s="212" t="str">
        <f>COMPOSICIÓN!E130</f>
        <v>EQUIPO DE ALBAÑILERIA, carpetas, ladrillo</v>
      </c>
      <c r="F130" s="212">
        <f>COMPOSICIÓN!F130</f>
        <v>0</v>
      </c>
      <c r="G130" s="213">
        <f>COMPOSICIÓN!G130</f>
        <v>1</v>
      </c>
      <c r="H130" s="214">
        <f>COMPOSICIÓN!H130</f>
        <v>0</v>
      </c>
      <c r="I130" s="215">
        <f>COMPOSICIÓN!I130</f>
        <v>2287.1357450968057</v>
      </c>
      <c r="J130" s="212" t="str">
        <f>IFERROR(VLOOKUP(A130,PARTIDAS!$A$2:$C$269,3,FALSE()),"")</f>
        <v>MAMPOSTERÍA</v>
      </c>
      <c r="K130" s="212" t="str">
        <f>IFERROR(INDEX(PPTO_GENERADOR!$B$4:$B$220,MATCH(A130,PPTO_GENERADOR!$Q$4:$Q$220,0)),"")</f>
        <v/>
      </c>
      <c r="L130" s="216">
        <f>IF(PLAN_ETAPA!$C$4="(TODOS)",SUMIFS(PPTO_GENERADOR!$E$4:$E$220,PPTO_GENERADOR!$Q$4:$Q$220,A130),SUMIFS(PPTO_GENERADOR!$E$4:$E$220,PPTO_GENERADOR!$Q$4:$Q$220,A130,PPTO_GENERADOR!$B$4:$B$220,PLAN_ETAPA!$C$4))</f>
        <v>0</v>
      </c>
      <c r="M130" s="216">
        <f>IFERROR(VLOOKUP(A130,PARTIDAS!$A$2:$F$269,6,FALSE()),1)</f>
        <v>8</v>
      </c>
      <c r="N130" s="216">
        <f>IFERROR(VLOOKUP(A130,PARTIDAS!$A$2:$I$269,9,FALSE()),1)</f>
        <v>1</v>
      </c>
      <c r="O130" s="217">
        <f t="shared" ref="O130:O193" si="4">IF(L130&gt;0,1,0)</f>
        <v>0</v>
      </c>
      <c r="P130" s="216">
        <f>IF(O130=0,0,IF(B130="MAT",G130*(1+H130)*L130*PLAN_ETAPA!$C$5,IF(B130="MO",IF(M130=0,0,G130*L130*PLAN_ETAPA!$C$5*N130/M130),IF(B130="EQ",IF(M130=0,0,G130*L130*PLAN_ETAPA!$C$5/M130),0))))</f>
        <v>0</v>
      </c>
      <c r="Q130" s="218">
        <f t="shared" ref="Q130:Q193" si="5">P130*I130</f>
        <v>0</v>
      </c>
    </row>
    <row r="131" spans="1:17" x14ac:dyDescent="0.35">
      <c r="A131" s="212" t="str">
        <f>COMPOSICIÓN!A131</f>
        <v>ALB-045</v>
      </c>
      <c r="B131" s="212" t="str">
        <f>COMPOSICIÓN!B131</f>
        <v>EQ</v>
      </c>
      <c r="C131" s="212">
        <f>COMPOSICIÓN!C131</f>
        <v>0</v>
      </c>
      <c r="D131" s="212" t="str">
        <f>COMPOSICIÓN!D131</f>
        <v>EQ-TROMPO</v>
      </c>
      <c r="E131" s="212" t="str">
        <f>COMPOSICIÓN!E131</f>
        <v>Hormigonera De 150 Litros 1hp Con Rueda Maciza</v>
      </c>
      <c r="F131" s="212">
        <f>COMPOSICIÓN!F131</f>
        <v>0</v>
      </c>
      <c r="G131" s="213">
        <f>COMPOSICIÓN!G131</f>
        <v>1</v>
      </c>
      <c r="H131" s="214">
        <f>COMPOSICIÓN!H131</f>
        <v>0</v>
      </c>
      <c r="I131" s="215">
        <f>COMPOSICIÓN!I131</f>
        <v>957.25319614994726</v>
      </c>
      <c r="J131" s="212" t="str">
        <f>IFERROR(VLOOKUP(A131,PARTIDAS!$A$2:$C$269,3,FALSE()),"")</f>
        <v>MAMPOSTERÍA</v>
      </c>
      <c r="K131" s="212" t="str">
        <f>IFERROR(INDEX(PPTO_GENERADOR!$B$4:$B$220,MATCH(A131,PPTO_GENERADOR!$Q$4:$Q$220,0)),"")</f>
        <v/>
      </c>
      <c r="L131" s="216">
        <f>IF(PLAN_ETAPA!$C$4="(TODOS)",SUMIFS(PPTO_GENERADOR!$E$4:$E$220,PPTO_GENERADOR!$Q$4:$Q$220,A131),SUMIFS(PPTO_GENERADOR!$E$4:$E$220,PPTO_GENERADOR!$Q$4:$Q$220,A131,PPTO_GENERADOR!$B$4:$B$220,PLAN_ETAPA!$C$4))</f>
        <v>0</v>
      </c>
      <c r="M131" s="216">
        <f>IFERROR(VLOOKUP(A131,PARTIDAS!$A$2:$F$269,6,FALSE()),1)</f>
        <v>8</v>
      </c>
      <c r="N131" s="216">
        <f>IFERROR(VLOOKUP(A131,PARTIDAS!$A$2:$I$269,9,FALSE()),1)</f>
        <v>1</v>
      </c>
      <c r="O131" s="217">
        <f t="shared" si="4"/>
        <v>0</v>
      </c>
      <c r="P131" s="216">
        <f>IF(O131=0,0,IF(B131="MAT",G131*(1+H131)*L131*PLAN_ETAPA!$C$5,IF(B131="MO",IF(M131=0,0,G131*L131*PLAN_ETAPA!$C$5*N131/M131),IF(B131="EQ",IF(M131=0,0,G131*L131*PLAN_ETAPA!$C$5/M131),0))))</f>
        <v>0</v>
      </c>
      <c r="Q131" s="218">
        <f t="shared" si="5"/>
        <v>0</v>
      </c>
    </row>
    <row r="132" spans="1:17" x14ac:dyDescent="0.35">
      <c r="A132" s="212" t="str">
        <f>COMPOSICIÓN!A132</f>
        <v>ALB-045</v>
      </c>
      <c r="B132" s="212" t="str">
        <f>COMPOSICIÓN!B132</f>
        <v>MAT</v>
      </c>
      <c r="C132" s="212" t="str">
        <f>COMPOSICIÓN!C132</f>
        <v>OTR</v>
      </c>
      <c r="D132" s="212" t="str">
        <f>COMPOSICIÓN!D132</f>
        <v>AGR-001</v>
      </c>
      <c r="E132" s="212" t="str">
        <f>COMPOSICIÓN!E132</f>
        <v>ARENA LAVADA</v>
      </c>
      <c r="F132" s="212" t="str">
        <f>COMPOSICIÓN!F132</f>
        <v>m3</v>
      </c>
      <c r="G132" s="213">
        <f>COMPOSICIÓN!G132</f>
        <v>2.5999999999999999E-2</v>
      </c>
      <c r="H132" s="214">
        <f>COMPOSICIÓN!H132</f>
        <v>0.1</v>
      </c>
      <c r="I132" s="215">
        <f>COMPOSICIÓN!I132</f>
        <v>32399.77</v>
      </c>
      <c r="J132" s="212" t="str">
        <f>IFERROR(VLOOKUP(A132,PARTIDAS!$A$2:$C$269,3,FALSE()),"")</f>
        <v>MAMPOSTERÍA</v>
      </c>
      <c r="K132" s="212" t="str">
        <f>IFERROR(INDEX(PPTO_GENERADOR!$B$4:$B$220,MATCH(A132,PPTO_GENERADOR!$Q$4:$Q$220,0)),"")</f>
        <v/>
      </c>
      <c r="L132" s="216">
        <f>IF(PLAN_ETAPA!$C$4="(TODOS)",SUMIFS(PPTO_GENERADOR!$E$4:$E$220,PPTO_GENERADOR!$Q$4:$Q$220,A132),SUMIFS(PPTO_GENERADOR!$E$4:$E$220,PPTO_GENERADOR!$Q$4:$Q$220,A132,PPTO_GENERADOR!$B$4:$B$220,PLAN_ETAPA!$C$4))</f>
        <v>0</v>
      </c>
      <c r="M132" s="216">
        <f>IFERROR(VLOOKUP(A132,PARTIDAS!$A$2:$F$269,6,FALSE()),1)</f>
        <v>8</v>
      </c>
      <c r="N132" s="216">
        <f>IFERROR(VLOOKUP(A132,PARTIDAS!$A$2:$I$269,9,FALSE()),1)</f>
        <v>1</v>
      </c>
      <c r="O132" s="217">
        <f t="shared" si="4"/>
        <v>0</v>
      </c>
      <c r="P132" s="216">
        <f>IF(O132=0,0,IF(B132="MAT",G132*(1+H132)*L132*PLAN_ETAPA!$C$5,IF(B132="MO",IF(M132=0,0,G132*L132*PLAN_ETAPA!$C$5*N132/M132),IF(B132="EQ",IF(M132=0,0,G132*L132*PLAN_ETAPA!$C$5/M132),0))))</f>
        <v>0</v>
      </c>
      <c r="Q132" s="218">
        <f t="shared" si="5"/>
        <v>0</v>
      </c>
    </row>
    <row r="133" spans="1:17" x14ac:dyDescent="0.35">
      <c r="A133" s="212" t="str">
        <f>COMPOSICIÓN!A133</f>
        <v>ALB-045</v>
      </c>
      <c r="B133" s="212" t="str">
        <f>COMPOSICIÓN!B133</f>
        <v>MAT</v>
      </c>
      <c r="C133" s="212" t="str">
        <f>COMPOSICIÓN!C133</f>
        <v>OTR</v>
      </c>
      <c r="D133" s="212" t="str">
        <f>COMPOSICIÓN!D133</f>
        <v>AGR-004</v>
      </c>
      <c r="E133" s="212" t="str">
        <f>COMPOSICIÓN!E133</f>
        <v>Cemento Portland x 50kg</v>
      </c>
      <c r="F133" s="212" t="str">
        <f>COMPOSICIÓN!F133</f>
        <v>Bol</v>
      </c>
      <c r="G133" s="213">
        <f>COMPOSICIÓN!G133</f>
        <v>0.314</v>
      </c>
      <c r="H133" s="214">
        <f>COMPOSICIÓN!H133</f>
        <v>0.1</v>
      </c>
      <c r="I133" s="215">
        <f>COMPOSICIÓN!I133</f>
        <v>7809.48</v>
      </c>
      <c r="J133" s="212" t="str">
        <f>IFERROR(VLOOKUP(A133,PARTIDAS!$A$2:$C$269,3,FALSE()),"")</f>
        <v>MAMPOSTERÍA</v>
      </c>
      <c r="K133" s="212" t="str">
        <f>IFERROR(INDEX(PPTO_GENERADOR!$B$4:$B$220,MATCH(A133,PPTO_GENERADOR!$Q$4:$Q$220,0)),"")</f>
        <v/>
      </c>
      <c r="L133" s="216">
        <f>IF(PLAN_ETAPA!$C$4="(TODOS)",SUMIFS(PPTO_GENERADOR!$E$4:$E$220,PPTO_GENERADOR!$Q$4:$Q$220,A133),SUMIFS(PPTO_GENERADOR!$E$4:$E$220,PPTO_GENERADOR!$Q$4:$Q$220,A133,PPTO_GENERADOR!$B$4:$B$220,PLAN_ETAPA!$C$4))</f>
        <v>0</v>
      </c>
      <c r="M133" s="216">
        <f>IFERROR(VLOOKUP(A133,PARTIDAS!$A$2:$F$269,6,FALSE()),1)</f>
        <v>8</v>
      </c>
      <c r="N133" s="216">
        <f>IFERROR(VLOOKUP(A133,PARTIDAS!$A$2:$I$269,9,FALSE()),1)</f>
        <v>1</v>
      </c>
      <c r="O133" s="217">
        <f t="shared" si="4"/>
        <v>0</v>
      </c>
      <c r="P133" s="216">
        <f>IF(O133=0,0,IF(B133="MAT",G133*(1+H133)*L133*PLAN_ETAPA!$C$5,IF(B133="MO",IF(M133=0,0,G133*L133*PLAN_ETAPA!$C$5*N133/M133),IF(B133="EQ",IF(M133=0,0,G133*L133*PLAN_ETAPA!$C$5/M133),0))))</f>
        <v>0</v>
      </c>
      <c r="Q133" s="218">
        <f t="shared" si="5"/>
        <v>0</v>
      </c>
    </row>
    <row r="134" spans="1:17" x14ac:dyDescent="0.35">
      <c r="A134" s="212" t="str">
        <f>COMPOSICIÓN!A134</f>
        <v>ALB-045</v>
      </c>
      <c r="B134" s="212" t="str">
        <f>COMPOSICIÓN!B134</f>
        <v>MAT</v>
      </c>
      <c r="C134" s="212" t="str">
        <f>COMPOSICIÓN!C134</f>
        <v>OTR</v>
      </c>
      <c r="D134" s="212" t="str">
        <f>COMPOSICIÓN!D134</f>
        <v>AGR-005</v>
      </c>
      <c r="E134" s="212" t="str">
        <f>COMPOSICIÓN!E134</f>
        <v>Cal Comun x 25kg</v>
      </c>
      <c r="F134" s="212" t="str">
        <f>COMPOSICIÓN!F134</f>
        <v>bol</v>
      </c>
      <c r="G134" s="213">
        <f>COMPOSICIÓN!G134</f>
        <v>0.06</v>
      </c>
      <c r="H134" s="214">
        <f>COMPOSICIÓN!H134</f>
        <v>0.1</v>
      </c>
      <c r="I134" s="215">
        <f>COMPOSICIÓN!I134</f>
        <v>3837.96</v>
      </c>
      <c r="J134" s="212" t="str">
        <f>IFERROR(VLOOKUP(A134,PARTIDAS!$A$2:$C$269,3,FALSE()),"")</f>
        <v>MAMPOSTERÍA</v>
      </c>
      <c r="K134" s="212" t="str">
        <f>IFERROR(INDEX(PPTO_GENERADOR!$B$4:$B$220,MATCH(A134,PPTO_GENERADOR!$Q$4:$Q$220,0)),"")</f>
        <v/>
      </c>
      <c r="L134" s="216">
        <f>IF(PLAN_ETAPA!$C$4="(TODOS)",SUMIFS(PPTO_GENERADOR!$E$4:$E$220,PPTO_GENERADOR!$Q$4:$Q$220,A134),SUMIFS(PPTO_GENERADOR!$E$4:$E$220,PPTO_GENERADOR!$Q$4:$Q$220,A134,PPTO_GENERADOR!$B$4:$B$220,PLAN_ETAPA!$C$4))</f>
        <v>0</v>
      </c>
      <c r="M134" s="216">
        <f>IFERROR(VLOOKUP(A134,PARTIDAS!$A$2:$F$269,6,FALSE()),1)</f>
        <v>8</v>
      </c>
      <c r="N134" s="216">
        <f>IFERROR(VLOOKUP(A134,PARTIDAS!$A$2:$I$269,9,FALSE()),1)</f>
        <v>1</v>
      </c>
      <c r="O134" s="217">
        <f t="shared" si="4"/>
        <v>0</v>
      </c>
      <c r="P134" s="216">
        <f>IF(O134=0,0,IF(B134="MAT",G134*(1+H134)*L134*PLAN_ETAPA!$C$5,IF(B134="MO",IF(M134=0,0,G134*L134*PLAN_ETAPA!$C$5*N134/M134),IF(B134="EQ",IF(M134=0,0,G134*L134*PLAN_ETAPA!$C$5/M134),0))))</f>
        <v>0</v>
      </c>
      <c r="Q134" s="218">
        <f t="shared" si="5"/>
        <v>0</v>
      </c>
    </row>
    <row r="135" spans="1:17" x14ac:dyDescent="0.35">
      <c r="A135" s="212" t="str">
        <f>COMPOSICIÓN!A135</f>
        <v>ALB-045</v>
      </c>
      <c r="B135" s="212" t="str">
        <f>COMPOSICIÓN!B135</f>
        <v>MAT</v>
      </c>
      <c r="C135" s="212" t="str">
        <f>COMPOSICIÓN!C135</f>
        <v>OTR</v>
      </c>
      <c r="D135" s="212" t="str">
        <f>COMPOSICIÓN!D135</f>
        <v>AIS-001</v>
      </c>
      <c r="E135" s="212" t="str">
        <f>COMPOSICIÓN!E135</f>
        <v>Aditivo Hidrofugo en pasta - Ceresita x 1kg</v>
      </c>
      <c r="F135" s="212" t="str">
        <f>COMPOSICIÓN!F135</f>
        <v>kg</v>
      </c>
      <c r="G135" s="213">
        <f>COMPOSICIÓN!G135</f>
        <v>0.1</v>
      </c>
      <c r="H135" s="214">
        <f>COMPOSICIÓN!H135</f>
        <v>0.05</v>
      </c>
      <c r="I135" s="215">
        <f>COMPOSICIÓN!I135</f>
        <v>1256.1279999999999</v>
      </c>
      <c r="J135" s="212" t="str">
        <f>IFERROR(VLOOKUP(A135,PARTIDAS!$A$2:$C$269,3,FALSE()),"")</f>
        <v>MAMPOSTERÍA</v>
      </c>
      <c r="K135" s="212" t="str">
        <f>IFERROR(INDEX(PPTO_GENERADOR!$B$4:$B$220,MATCH(A135,PPTO_GENERADOR!$Q$4:$Q$220,0)),"")</f>
        <v/>
      </c>
      <c r="L135" s="216">
        <f>IF(PLAN_ETAPA!$C$4="(TODOS)",SUMIFS(PPTO_GENERADOR!$E$4:$E$220,PPTO_GENERADOR!$Q$4:$Q$220,A135),SUMIFS(PPTO_GENERADOR!$E$4:$E$220,PPTO_GENERADOR!$Q$4:$Q$220,A135,PPTO_GENERADOR!$B$4:$B$220,PLAN_ETAPA!$C$4))</f>
        <v>0</v>
      </c>
      <c r="M135" s="216">
        <f>IFERROR(VLOOKUP(A135,PARTIDAS!$A$2:$F$269,6,FALSE()),1)</f>
        <v>8</v>
      </c>
      <c r="N135" s="216">
        <f>IFERROR(VLOOKUP(A135,PARTIDAS!$A$2:$I$269,9,FALSE()),1)</f>
        <v>1</v>
      </c>
      <c r="O135" s="217">
        <f t="shared" si="4"/>
        <v>0</v>
      </c>
      <c r="P135" s="216">
        <f>IF(O135=0,0,IF(B135="MAT",G135*(1+H135)*L135*PLAN_ETAPA!$C$5,IF(B135="MO",IF(M135=0,0,G135*L135*PLAN_ETAPA!$C$5*N135/M135),IF(B135="EQ",IF(M135=0,0,G135*L135*PLAN_ETAPA!$C$5/M135),0))))</f>
        <v>0</v>
      </c>
      <c r="Q135" s="218">
        <f t="shared" si="5"/>
        <v>0</v>
      </c>
    </row>
    <row r="136" spans="1:17" x14ac:dyDescent="0.35">
      <c r="A136" s="212" t="str">
        <f>COMPOSICIÓN!A136</f>
        <v>ALB-045</v>
      </c>
      <c r="B136" s="212" t="str">
        <f>COMPOSICIÓN!B136</f>
        <v>MO</v>
      </c>
      <c r="C136" s="212" t="str">
        <f>COMPOSICIÓN!C136</f>
        <v>ALB</v>
      </c>
      <c r="D136" s="212" t="str">
        <f>COMPOSICIÓN!D136</f>
        <v>MO-EAYUD</v>
      </c>
      <c r="E136" s="212" t="str">
        <f>COMPOSICIÓN!E136</f>
        <v>AYUDANTE</v>
      </c>
      <c r="F136" s="212" t="str">
        <f>COMPOSICIÓN!F136</f>
        <v>j</v>
      </c>
      <c r="G136" s="213">
        <f>COMPOSICIÓN!G136</f>
        <v>0.6</v>
      </c>
      <c r="H136" s="214">
        <f>COMPOSICIÓN!H136</f>
        <v>0</v>
      </c>
      <c r="I136" s="215">
        <f>COMPOSICIÓN!I136</f>
        <v>60860.580776572002</v>
      </c>
      <c r="J136" s="212" t="str">
        <f>IFERROR(VLOOKUP(A136,PARTIDAS!$A$2:$C$269,3,FALSE()),"")</f>
        <v>MAMPOSTERÍA</v>
      </c>
      <c r="K136" s="212" t="str">
        <f>IFERROR(INDEX(PPTO_GENERADOR!$B$4:$B$220,MATCH(A136,PPTO_GENERADOR!$Q$4:$Q$220,0)),"")</f>
        <v/>
      </c>
      <c r="L136" s="216">
        <f>IF(PLAN_ETAPA!$C$4="(TODOS)",SUMIFS(PPTO_GENERADOR!$E$4:$E$220,PPTO_GENERADOR!$Q$4:$Q$220,A136),SUMIFS(PPTO_GENERADOR!$E$4:$E$220,PPTO_GENERADOR!$Q$4:$Q$220,A136,PPTO_GENERADOR!$B$4:$B$220,PLAN_ETAPA!$C$4))</f>
        <v>0</v>
      </c>
      <c r="M136" s="216">
        <f>IFERROR(VLOOKUP(A136,PARTIDAS!$A$2:$F$269,6,FALSE()),1)</f>
        <v>8</v>
      </c>
      <c r="N136" s="216">
        <f>IFERROR(VLOOKUP(A136,PARTIDAS!$A$2:$I$269,9,FALSE()),1)</f>
        <v>1</v>
      </c>
      <c r="O136" s="217">
        <f t="shared" si="4"/>
        <v>0</v>
      </c>
      <c r="P136" s="216">
        <f>IF(O136=0,0,IF(B136="MAT",G136*(1+H136)*L136*PLAN_ETAPA!$C$5,IF(B136="MO",IF(M136=0,0,G136*L136*PLAN_ETAPA!$C$5*N136/M136),IF(B136="EQ",IF(M136=0,0,G136*L136*PLAN_ETAPA!$C$5/M136),0))))</f>
        <v>0</v>
      </c>
      <c r="Q136" s="218">
        <f t="shared" si="5"/>
        <v>0</v>
      </c>
    </row>
    <row r="137" spans="1:17" x14ac:dyDescent="0.35">
      <c r="A137" s="212" t="str">
        <f>COMPOSICIÓN!A137</f>
        <v>ALB-045</v>
      </c>
      <c r="B137" s="212" t="str">
        <f>COMPOSICIÓN!B137</f>
        <v>MO</v>
      </c>
      <c r="C137" s="212" t="str">
        <f>COMPOSICIÓN!C137</f>
        <v>ALB</v>
      </c>
      <c r="D137" s="212" t="str">
        <f>COMPOSICIÓN!D137</f>
        <v>MO-EESPE</v>
      </c>
      <c r="E137" s="212" t="str">
        <f>COMPOSICIÓN!E137</f>
        <v>ESPECIALIZADO</v>
      </c>
      <c r="F137" s="212" t="str">
        <f>COMPOSICIÓN!F137</f>
        <v>j</v>
      </c>
      <c r="G137" s="213">
        <f>COMPOSICIÓN!G137</f>
        <v>1</v>
      </c>
      <c r="H137" s="214">
        <f>COMPOSICIÓN!H137</f>
        <v>0</v>
      </c>
      <c r="I137" s="215">
        <f>COMPOSICIÓN!I137</f>
        <v>85927.097156571996</v>
      </c>
      <c r="J137" s="212" t="str">
        <f>IFERROR(VLOOKUP(A137,PARTIDAS!$A$2:$C$269,3,FALSE()),"")</f>
        <v>MAMPOSTERÍA</v>
      </c>
      <c r="K137" s="212" t="str">
        <f>IFERROR(INDEX(PPTO_GENERADOR!$B$4:$B$220,MATCH(A137,PPTO_GENERADOR!$Q$4:$Q$220,0)),"")</f>
        <v/>
      </c>
      <c r="L137" s="216">
        <f>IF(PLAN_ETAPA!$C$4="(TODOS)",SUMIFS(PPTO_GENERADOR!$E$4:$E$220,PPTO_GENERADOR!$Q$4:$Q$220,A137),SUMIFS(PPTO_GENERADOR!$E$4:$E$220,PPTO_GENERADOR!$Q$4:$Q$220,A137,PPTO_GENERADOR!$B$4:$B$220,PLAN_ETAPA!$C$4))</f>
        <v>0</v>
      </c>
      <c r="M137" s="216">
        <f>IFERROR(VLOOKUP(A137,PARTIDAS!$A$2:$F$269,6,FALSE()),1)</f>
        <v>8</v>
      </c>
      <c r="N137" s="216">
        <f>IFERROR(VLOOKUP(A137,PARTIDAS!$A$2:$I$269,9,FALSE()),1)</f>
        <v>1</v>
      </c>
      <c r="O137" s="217">
        <f t="shared" si="4"/>
        <v>0</v>
      </c>
      <c r="P137" s="216">
        <f>IF(O137=0,0,IF(B137="MAT",G137*(1+H137)*L137*PLAN_ETAPA!$C$5,IF(B137="MO",IF(M137=0,0,G137*L137*PLAN_ETAPA!$C$5*N137/M137),IF(B137="EQ",IF(M137=0,0,G137*L137*PLAN_ETAPA!$C$5/M137),0))))</f>
        <v>0</v>
      </c>
      <c r="Q137" s="218">
        <f t="shared" si="5"/>
        <v>0</v>
      </c>
    </row>
    <row r="138" spans="1:17" x14ac:dyDescent="0.35">
      <c r="A138" s="212" t="str">
        <f>COMPOSICIÓN!A138</f>
        <v>ALB-046</v>
      </c>
      <c r="B138" s="212" t="str">
        <f>COMPOSICIÓN!B138</f>
        <v>EQ</v>
      </c>
      <c r="C138" s="212">
        <f>COMPOSICIÓN!C138</f>
        <v>0</v>
      </c>
      <c r="D138" s="212" t="str">
        <f>COMPOSICIÓN!D138</f>
        <v>EQ-EQALBA</v>
      </c>
      <c r="E138" s="212" t="str">
        <f>COMPOSICIÓN!E138</f>
        <v>EQUIPO DE ALBAÑILERIA, carpetas, ladrillo</v>
      </c>
      <c r="F138" s="212">
        <f>COMPOSICIÓN!F138</f>
        <v>0</v>
      </c>
      <c r="G138" s="213">
        <f>COMPOSICIÓN!G138</f>
        <v>1</v>
      </c>
      <c r="H138" s="214">
        <f>COMPOSICIÓN!H138</f>
        <v>0</v>
      </c>
      <c r="I138" s="215">
        <f>COMPOSICIÓN!I138</f>
        <v>2287.1357450968057</v>
      </c>
      <c r="J138" s="212" t="str">
        <f>IFERROR(VLOOKUP(A138,PARTIDAS!$A$2:$C$269,3,FALSE()),"")</f>
        <v>MAMPOSTERÍA</v>
      </c>
      <c r="K138" s="212" t="str">
        <f>IFERROR(INDEX(PPTO_GENERADOR!$B$4:$B$220,MATCH(A138,PPTO_GENERADOR!$Q$4:$Q$220,0)),"")</f>
        <v/>
      </c>
      <c r="L138" s="216">
        <f>IF(PLAN_ETAPA!$C$4="(TODOS)",SUMIFS(PPTO_GENERADOR!$E$4:$E$220,PPTO_GENERADOR!$Q$4:$Q$220,A138),SUMIFS(PPTO_GENERADOR!$E$4:$E$220,PPTO_GENERADOR!$Q$4:$Q$220,A138,PPTO_GENERADOR!$B$4:$B$220,PLAN_ETAPA!$C$4))</f>
        <v>0</v>
      </c>
      <c r="M138" s="216">
        <f>IFERROR(VLOOKUP(A138,PARTIDAS!$A$2:$F$269,6,FALSE()),1)</f>
        <v>1.4</v>
      </c>
      <c r="N138" s="216">
        <f>IFERROR(VLOOKUP(A138,PARTIDAS!$A$2:$I$269,9,FALSE()),1)</f>
        <v>1</v>
      </c>
      <c r="O138" s="217">
        <f t="shared" si="4"/>
        <v>0</v>
      </c>
      <c r="P138" s="216">
        <f>IF(O138=0,0,IF(B138="MAT",G138*(1+H138)*L138*PLAN_ETAPA!$C$5,IF(B138="MO",IF(M138=0,0,G138*L138*PLAN_ETAPA!$C$5*N138/M138),IF(B138="EQ",IF(M138=0,0,G138*L138*PLAN_ETAPA!$C$5/M138),0))))</f>
        <v>0</v>
      </c>
      <c r="Q138" s="218">
        <f t="shared" si="5"/>
        <v>0</v>
      </c>
    </row>
    <row r="139" spans="1:17" x14ac:dyDescent="0.35">
      <c r="A139" s="212" t="str">
        <f>COMPOSICIÓN!A139</f>
        <v>ALB-046</v>
      </c>
      <c r="B139" s="212" t="str">
        <f>COMPOSICIÓN!B139</f>
        <v>EQ</v>
      </c>
      <c r="C139" s="212">
        <f>COMPOSICIÓN!C139</f>
        <v>0</v>
      </c>
      <c r="D139" s="212" t="str">
        <f>COMPOSICIÓN!D139</f>
        <v>EQ-TROMPO</v>
      </c>
      <c r="E139" s="212" t="str">
        <f>COMPOSICIÓN!E139</f>
        <v>Hormigonera De 150 Litros 1hp Con Rueda Maciza</v>
      </c>
      <c r="F139" s="212">
        <f>COMPOSICIÓN!F139</f>
        <v>0</v>
      </c>
      <c r="G139" s="213">
        <f>COMPOSICIÓN!G139</f>
        <v>1</v>
      </c>
      <c r="H139" s="214">
        <f>COMPOSICIÓN!H139</f>
        <v>0</v>
      </c>
      <c r="I139" s="215">
        <f>COMPOSICIÓN!I139</f>
        <v>957.25319614994726</v>
      </c>
      <c r="J139" s="212" t="str">
        <f>IFERROR(VLOOKUP(A139,PARTIDAS!$A$2:$C$269,3,FALSE()),"")</f>
        <v>MAMPOSTERÍA</v>
      </c>
      <c r="K139" s="212" t="str">
        <f>IFERROR(INDEX(PPTO_GENERADOR!$B$4:$B$220,MATCH(A139,PPTO_GENERADOR!$Q$4:$Q$220,0)),"")</f>
        <v/>
      </c>
      <c r="L139" s="216">
        <f>IF(PLAN_ETAPA!$C$4="(TODOS)",SUMIFS(PPTO_GENERADOR!$E$4:$E$220,PPTO_GENERADOR!$Q$4:$Q$220,A139),SUMIFS(PPTO_GENERADOR!$E$4:$E$220,PPTO_GENERADOR!$Q$4:$Q$220,A139,PPTO_GENERADOR!$B$4:$B$220,PLAN_ETAPA!$C$4))</f>
        <v>0</v>
      </c>
      <c r="M139" s="216">
        <f>IFERROR(VLOOKUP(A139,PARTIDAS!$A$2:$F$269,6,FALSE()),1)</f>
        <v>1.4</v>
      </c>
      <c r="N139" s="216">
        <f>IFERROR(VLOOKUP(A139,PARTIDAS!$A$2:$I$269,9,FALSE()),1)</f>
        <v>1</v>
      </c>
      <c r="O139" s="217">
        <f t="shared" si="4"/>
        <v>0</v>
      </c>
      <c r="P139" s="216">
        <f>IF(O139=0,0,IF(B139="MAT",G139*(1+H139)*L139*PLAN_ETAPA!$C$5,IF(B139="MO",IF(M139=0,0,G139*L139*PLAN_ETAPA!$C$5*N139/M139),IF(B139="EQ",IF(M139=0,0,G139*L139*PLAN_ETAPA!$C$5/M139),0))))</f>
        <v>0</v>
      </c>
      <c r="Q139" s="218">
        <f t="shared" si="5"/>
        <v>0</v>
      </c>
    </row>
    <row r="140" spans="1:17" x14ac:dyDescent="0.35">
      <c r="A140" s="212" t="str">
        <f>COMPOSICIÓN!A140</f>
        <v>ALB-046</v>
      </c>
      <c r="B140" s="212" t="str">
        <f>COMPOSICIÓN!B140</f>
        <v>MAT</v>
      </c>
      <c r="C140" s="212" t="str">
        <f>COMPOSICIÓN!C140</f>
        <v>OTR</v>
      </c>
      <c r="D140" s="212" t="str">
        <f>COMPOSICIÓN!D140</f>
        <v>AGR-001</v>
      </c>
      <c r="E140" s="212" t="str">
        <f>COMPOSICIÓN!E140</f>
        <v>ARENA LAVADA</v>
      </c>
      <c r="F140" s="212" t="str">
        <f>COMPOSICIÓN!F140</f>
        <v>m3</v>
      </c>
      <c r="G140" s="213">
        <f>COMPOSICIÓN!G140</f>
        <v>0.51500000000000001</v>
      </c>
      <c r="H140" s="214">
        <f>COMPOSICIÓN!H140</f>
        <v>0.1</v>
      </c>
      <c r="I140" s="215">
        <f>COMPOSICIÓN!I140</f>
        <v>32399.77</v>
      </c>
      <c r="J140" s="212" t="str">
        <f>IFERROR(VLOOKUP(A140,PARTIDAS!$A$2:$C$269,3,FALSE()),"")</f>
        <v>MAMPOSTERÍA</v>
      </c>
      <c r="K140" s="212" t="str">
        <f>IFERROR(INDEX(PPTO_GENERADOR!$B$4:$B$220,MATCH(A140,PPTO_GENERADOR!$Q$4:$Q$220,0)),"")</f>
        <v/>
      </c>
      <c r="L140" s="216">
        <f>IF(PLAN_ETAPA!$C$4="(TODOS)",SUMIFS(PPTO_GENERADOR!$E$4:$E$220,PPTO_GENERADOR!$Q$4:$Q$220,A140),SUMIFS(PPTO_GENERADOR!$E$4:$E$220,PPTO_GENERADOR!$Q$4:$Q$220,A140,PPTO_GENERADOR!$B$4:$B$220,PLAN_ETAPA!$C$4))</f>
        <v>0</v>
      </c>
      <c r="M140" s="216">
        <f>IFERROR(VLOOKUP(A140,PARTIDAS!$A$2:$F$269,6,FALSE()),1)</f>
        <v>1.4</v>
      </c>
      <c r="N140" s="216">
        <f>IFERROR(VLOOKUP(A140,PARTIDAS!$A$2:$I$269,9,FALSE()),1)</f>
        <v>1</v>
      </c>
      <c r="O140" s="217">
        <f t="shared" si="4"/>
        <v>0</v>
      </c>
      <c r="P140" s="216">
        <f>IF(O140=0,0,IF(B140="MAT",G140*(1+H140)*L140*PLAN_ETAPA!$C$5,IF(B140="MO",IF(M140=0,0,G140*L140*PLAN_ETAPA!$C$5*N140/M140),IF(B140="EQ",IF(M140=0,0,G140*L140*PLAN_ETAPA!$C$5/M140),0))))</f>
        <v>0</v>
      </c>
      <c r="Q140" s="218">
        <f t="shared" si="5"/>
        <v>0</v>
      </c>
    </row>
    <row r="141" spans="1:17" x14ac:dyDescent="0.35">
      <c r="A141" s="212" t="str">
        <f>COMPOSICIÓN!A141</f>
        <v>ALB-046</v>
      </c>
      <c r="B141" s="212" t="str">
        <f>COMPOSICIÓN!B141</f>
        <v>MAT</v>
      </c>
      <c r="C141" s="212" t="str">
        <f>COMPOSICIÓN!C141</f>
        <v>OTR</v>
      </c>
      <c r="D141" s="212" t="str">
        <f>COMPOSICIÓN!D141</f>
        <v>AGR-003</v>
      </c>
      <c r="E141" s="212" t="str">
        <f>COMPOSICIÓN!E141</f>
        <v>Cascote</v>
      </c>
      <c r="F141" s="212" t="str">
        <f>COMPOSICIÓN!F141</f>
        <v>m3</v>
      </c>
      <c r="G141" s="213">
        <f>COMPOSICIÓN!G141</f>
        <v>0.77</v>
      </c>
      <c r="H141" s="214">
        <f>COMPOSICIÓN!H141</f>
        <v>0.1</v>
      </c>
      <c r="I141" s="215">
        <f>COMPOSICIÓN!I141</f>
        <v>34246.800000000003</v>
      </c>
      <c r="J141" s="212" t="str">
        <f>IFERROR(VLOOKUP(A141,PARTIDAS!$A$2:$C$269,3,FALSE()),"")</f>
        <v>MAMPOSTERÍA</v>
      </c>
      <c r="K141" s="212" t="str">
        <f>IFERROR(INDEX(PPTO_GENERADOR!$B$4:$B$220,MATCH(A141,PPTO_GENERADOR!$Q$4:$Q$220,0)),"")</f>
        <v/>
      </c>
      <c r="L141" s="216">
        <f>IF(PLAN_ETAPA!$C$4="(TODOS)",SUMIFS(PPTO_GENERADOR!$E$4:$E$220,PPTO_GENERADOR!$Q$4:$Q$220,A141),SUMIFS(PPTO_GENERADOR!$E$4:$E$220,PPTO_GENERADOR!$Q$4:$Q$220,A141,PPTO_GENERADOR!$B$4:$B$220,PLAN_ETAPA!$C$4))</f>
        <v>0</v>
      </c>
      <c r="M141" s="216">
        <f>IFERROR(VLOOKUP(A141,PARTIDAS!$A$2:$F$269,6,FALSE()),1)</f>
        <v>1.4</v>
      </c>
      <c r="N141" s="216">
        <f>IFERROR(VLOOKUP(A141,PARTIDAS!$A$2:$I$269,9,FALSE()),1)</f>
        <v>1</v>
      </c>
      <c r="O141" s="217">
        <f t="shared" si="4"/>
        <v>0</v>
      </c>
      <c r="P141" s="216">
        <f>IF(O141=0,0,IF(B141="MAT",G141*(1+H141)*L141*PLAN_ETAPA!$C$5,IF(B141="MO",IF(M141=0,0,G141*L141*PLAN_ETAPA!$C$5*N141/M141),IF(B141="EQ",IF(M141=0,0,G141*L141*PLAN_ETAPA!$C$5/M141),0))))</f>
        <v>0</v>
      </c>
      <c r="Q141" s="218">
        <f t="shared" si="5"/>
        <v>0</v>
      </c>
    </row>
    <row r="142" spans="1:17" x14ac:dyDescent="0.35">
      <c r="A142" s="212" t="str">
        <f>COMPOSICIÓN!A142</f>
        <v>ALB-046</v>
      </c>
      <c r="B142" s="212" t="str">
        <f>COMPOSICIÓN!B142</f>
        <v>MAT</v>
      </c>
      <c r="C142" s="212" t="str">
        <f>COMPOSICIÓN!C142</f>
        <v>OTR</v>
      </c>
      <c r="D142" s="212" t="str">
        <f>COMPOSICIÓN!D142</f>
        <v>AGR-004</v>
      </c>
      <c r="E142" s="212" t="str">
        <f>COMPOSICIÓN!E142</f>
        <v>Cemento Portland x 50kg</v>
      </c>
      <c r="F142" s="212" t="str">
        <f>COMPOSICIÓN!F142</f>
        <v>Bol</v>
      </c>
      <c r="G142" s="213">
        <f>COMPOSICIÓN!G142</f>
        <v>0.748</v>
      </c>
      <c r="H142" s="214">
        <f>COMPOSICIÓN!H142</f>
        <v>0.1</v>
      </c>
      <c r="I142" s="215">
        <f>COMPOSICIÓN!I142</f>
        <v>7809.48</v>
      </c>
      <c r="J142" s="212" t="str">
        <f>IFERROR(VLOOKUP(A142,PARTIDAS!$A$2:$C$269,3,FALSE()),"")</f>
        <v>MAMPOSTERÍA</v>
      </c>
      <c r="K142" s="212" t="str">
        <f>IFERROR(INDEX(PPTO_GENERADOR!$B$4:$B$220,MATCH(A142,PPTO_GENERADOR!$Q$4:$Q$220,0)),"")</f>
        <v/>
      </c>
      <c r="L142" s="216">
        <f>IF(PLAN_ETAPA!$C$4="(TODOS)",SUMIFS(PPTO_GENERADOR!$E$4:$E$220,PPTO_GENERADOR!$Q$4:$Q$220,A142),SUMIFS(PPTO_GENERADOR!$E$4:$E$220,PPTO_GENERADOR!$Q$4:$Q$220,A142,PPTO_GENERADOR!$B$4:$B$220,PLAN_ETAPA!$C$4))</f>
        <v>0</v>
      </c>
      <c r="M142" s="216">
        <f>IFERROR(VLOOKUP(A142,PARTIDAS!$A$2:$F$269,6,FALSE()),1)</f>
        <v>1.4</v>
      </c>
      <c r="N142" s="216">
        <f>IFERROR(VLOOKUP(A142,PARTIDAS!$A$2:$I$269,9,FALSE()),1)</f>
        <v>1</v>
      </c>
      <c r="O142" s="217">
        <f t="shared" si="4"/>
        <v>0</v>
      </c>
      <c r="P142" s="216">
        <f>IF(O142=0,0,IF(B142="MAT",G142*(1+H142)*L142*PLAN_ETAPA!$C$5,IF(B142="MO",IF(M142=0,0,G142*L142*PLAN_ETAPA!$C$5*N142/M142),IF(B142="EQ",IF(M142=0,0,G142*L142*PLAN_ETAPA!$C$5/M142),0))))</f>
        <v>0</v>
      </c>
      <c r="Q142" s="218">
        <f t="shared" si="5"/>
        <v>0</v>
      </c>
    </row>
    <row r="143" spans="1:17" x14ac:dyDescent="0.35">
      <c r="A143" s="212" t="str">
        <f>COMPOSICIÓN!A143</f>
        <v>ALB-046</v>
      </c>
      <c r="B143" s="212" t="str">
        <f>COMPOSICIÓN!B143</f>
        <v>MAT</v>
      </c>
      <c r="C143" s="212" t="str">
        <f>COMPOSICIÓN!C143</f>
        <v>OTR</v>
      </c>
      <c r="D143" s="212" t="str">
        <f>COMPOSICIÓN!D143</f>
        <v>AGR-005</v>
      </c>
      <c r="E143" s="212" t="str">
        <f>COMPOSICIÓN!E143</f>
        <v>Cal Comun x 25kg</v>
      </c>
      <c r="F143" s="212" t="str">
        <f>COMPOSICIÓN!F143</f>
        <v>bol</v>
      </c>
      <c r="G143" s="213">
        <f>COMPOSICIÓN!G143</f>
        <v>3.24</v>
      </c>
      <c r="H143" s="214">
        <f>COMPOSICIÓN!H143</f>
        <v>0.1</v>
      </c>
      <c r="I143" s="215">
        <f>COMPOSICIÓN!I143</f>
        <v>3837.96</v>
      </c>
      <c r="J143" s="212" t="str">
        <f>IFERROR(VLOOKUP(A143,PARTIDAS!$A$2:$C$269,3,FALSE()),"")</f>
        <v>MAMPOSTERÍA</v>
      </c>
      <c r="K143" s="212" t="str">
        <f>IFERROR(INDEX(PPTO_GENERADOR!$B$4:$B$220,MATCH(A143,PPTO_GENERADOR!$Q$4:$Q$220,0)),"")</f>
        <v/>
      </c>
      <c r="L143" s="216">
        <f>IF(PLAN_ETAPA!$C$4="(TODOS)",SUMIFS(PPTO_GENERADOR!$E$4:$E$220,PPTO_GENERADOR!$Q$4:$Q$220,A143),SUMIFS(PPTO_GENERADOR!$E$4:$E$220,PPTO_GENERADOR!$Q$4:$Q$220,A143,PPTO_GENERADOR!$B$4:$B$220,PLAN_ETAPA!$C$4))</f>
        <v>0</v>
      </c>
      <c r="M143" s="216">
        <f>IFERROR(VLOOKUP(A143,PARTIDAS!$A$2:$F$269,6,FALSE()),1)</f>
        <v>1.4</v>
      </c>
      <c r="N143" s="216">
        <f>IFERROR(VLOOKUP(A143,PARTIDAS!$A$2:$I$269,9,FALSE()),1)</f>
        <v>1</v>
      </c>
      <c r="O143" s="217">
        <f t="shared" si="4"/>
        <v>0</v>
      </c>
      <c r="P143" s="216">
        <f>IF(O143=0,0,IF(B143="MAT",G143*(1+H143)*L143*PLAN_ETAPA!$C$5,IF(B143="MO",IF(M143=0,0,G143*L143*PLAN_ETAPA!$C$5*N143/M143),IF(B143="EQ",IF(M143=0,0,G143*L143*PLAN_ETAPA!$C$5/M143),0))))</f>
        <v>0</v>
      </c>
      <c r="Q143" s="218">
        <f t="shared" si="5"/>
        <v>0</v>
      </c>
    </row>
    <row r="144" spans="1:17" x14ac:dyDescent="0.35">
      <c r="A144" s="212" t="str">
        <f>COMPOSICIÓN!A144</f>
        <v>ALB-046</v>
      </c>
      <c r="B144" s="212" t="str">
        <f>COMPOSICIÓN!B144</f>
        <v>MO</v>
      </c>
      <c r="C144" s="212" t="str">
        <f>COMPOSICIÓN!C144</f>
        <v>ALB</v>
      </c>
      <c r="D144" s="212" t="str">
        <f>COMPOSICIÓN!D144</f>
        <v>MO-EAYUD</v>
      </c>
      <c r="E144" s="212" t="str">
        <f>COMPOSICIÓN!E144</f>
        <v>AYUDANTE</v>
      </c>
      <c r="F144" s="212" t="str">
        <f>COMPOSICIÓN!F144</f>
        <v>j</v>
      </c>
      <c r="G144" s="213">
        <f>COMPOSICIÓN!G144</f>
        <v>1</v>
      </c>
      <c r="H144" s="214">
        <f>COMPOSICIÓN!H144</f>
        <v>0</v>
      </c>
      <c r="I144" s="215">
        <f>COMPOSICIÓN!I144</f>
        <v>60860.580776572002</v>
      </c>
      <c r="J144" s="212" t="str">
        <f>IFERROR(VLOOKUP(A144,PARTIDAS!$A$2:$C$269,3,FALSE()),"")</f>
        <v>MAMPOSTERÍA</v>
      </c>
      <c r="K144" s="212" t="str">
        <f>IFERROR(INDEX(PPTO_GENERADOR!$B$4:$B$220,MATCH(A144,PPTO_GENERADOR!$Q$4:$Q$220,0)),"")</f>
        <v/>
      </c>
      <c r="L144" s="216">
        <f>IF(PLAN_ETAPA!$C$4="(TODOS)",SUMIFS(PPTO_GENERADOR!$E$4:$E$220,PPTO_GENERADOR!$Q$4:$Q$220,A144),SUMIFS(PPTO_GENERADOR!$E$4:$E$220,PPTO_GENERADOR!$Q$4:$Q$220,A144,PPTO_GENERADOR!$B$4:$B$220,PLAN_ETAPA!$C$4))</f>
        <v>0</v>
      </c>
      <c r="M144" s="216">
        <f>IFERROR(VLOOKUP(A144,PARTIDAS!$A$2:$F$269,6,FALSE()),1)</f>
        <v>1.4</v>
      </c>
      <c r="N144" s="216">
        <f>IFERROR(VLOOKUP(A144,PARTIDAS!$A$2:$I$269,9,FALSE()),1)</f>
        <v>1</v>
      </c>
      <c r="O144" s="217">
        <f t="shared" si="4"/>
        <v>0</v>
      </c>
      <c r="P144" s="216">
        <f>IF(O144=0,0,IF(B144="MAT",G144*(1+H144)*L144*PLAN_ETAPA!$C$5,IF(B144="MO",IF(M144=0,0,G144*L144*PLAN_ETAPA!$C$5*N144/M144),IF(B144="EQ",IF(M144=0,0,G144*L144*PLAN_ETAPA!$C$5/M144),0))))</f>
        <v>0</v>
      </c>
      <c r="Q144" s="218">
        <f t="shared" si="5"/>
        <v>0</v>
      </c>
    </row>
    <row r="145" spans="1:17" x14ac:dyDescent="0.35">
      <c r="A145" s="212" t="str">
        <f>COMPOSICIÓN!A145</f>
        <v>ALB-046</v>
      </c>
      <c r="B145" s="212" t="str">
        <f>COMPOSICIÓN!B145</f>
        <v>MO</v>
      </c>
      <c r="C145" s="212" t="str">
        <f>COMPOSICIÓN!C145</f>
        <v>ALB</v>
      </c>
      <c r="D145" s="212" t="str">
        <f>COMPOSICIÓN!D145</f>
        <v>MO-EESPE</v>
      </c>
      <c r="E145" s="212" t="str">
        <f>COMPOSICIÓN!E145</f>
        <v>ESPECIALIZADO</v>
      </c>
      <c r="F145" s="212" t="str">
        <f>COMPOSICIÓN!F145</f>
        <v>j</v>
      </c>
      <c r="G145" s="213">
        <f>COMPOSICIÓN!G145</f>
        <v>0.75</v>
      </c>
      <c r="H145" s="214">
        <f>COMPOSICIÓN!H145</f>
        <v>0</v>
      </c>
      <c r="I145" s="215">
        <f>COMPOSICIÓN!I145</f>
        <v>85927.097156571996</v>
      </c>
      <c r="J145" s="212" t="str">
        <f>IFERROR(VLOOKUP(A145,PARTIDAS!$A$2:$C$269,3,FALSE()),"")</f>
        <v>MAMPOSTERÍA</v>
      </c>
      <c r="K145" s="212" t="str">
        <f>IFERROR(INDEX(PPTO_GENERADOR!$B$4:$B$220,MATCH(A145,PPTO_GENERADOR!$Q$4:$Q$220,0)),"")</f>
        <v/>
      </c>
      <c r="L145" s="216">
        <f>IF(PLAN_ETAPA!$C$4="(TODOS)",SUMIFS(PPTO_GENERADOR!$E$4:$E$220,PPTO_GENERADOR!$Q$4:$Q$220,A145),SUMIFS(PPTO_GENERADOR!$E$4:$E$220,PPTO_GENERADOR!$Q$4:$Q$220,A145,PPTO_GENERADOR!$B$4:$B$220,PLAN_ETAPA!$C$4))</f>
        <v>0</v>
      </c>
      <c r="M145" s="216">
        <f>IFERROR(VLOOKUP(A145,PARTIDAS!$A$2:$F$269,6,FALSE()),1)</f>
        <v>1.4</v>
      </c>
      <c r="N145" s="216">
        <f>IFERROR(VLOOKUP(A145,PARTIDAS!$A$2:$I$269,9,FALSE()),1)</f>
        <v>1</v>
      </c>
      <c r="O145" s="217">
        <f t="shared" si="4"/>
        <v>0</v>
      </c>
      <c r="P145" s="216">
        <f>IF(O145=0,0,IF(B145="MAT",G145*(1+H145)*L145*PLAN_ETAPA!$C$5,IF(B145="MO",IF(M145=0,0,G145*L145*PLAN_ETAPA!$C$5*N145/M145),IF(B145="EQ",IF(M145=0,0,G145*L145*PLAN_ETAPA!$C$5/M145),0))))</f>
        <v>0</v>
      </c>
      <c r="Q145" s="218">
        <f t="shared" si="5"/>
        <v>0</v>
      </c>
    </row>
    <row r="146" spans="1:17" x14ac:dyDescent="0.35">
      <c r="A146" s="212" t="str">
        <f>COMPOSICIÓN!A146</f>
        <v>ALB-047</v>
      </c>
      <c r="B146" s="212" t="str">
        <f>COMPOSICIÓN!B146</f>
        <v>EQ</v>
      </c>
      <c r="C146" s="212">
        <f>COMPOSICIÓN!C146</f>
        <v>0</v>
      </c>
      <c r="D146" s="212" t="str">
        <f>COMPOSICIÓN!D146</f>
        <v>EQ-EQALBA</v>
      </c>
      <c r="E146" s="212" t="str">
        <f>COMPOSICIÓN!E146</f>
        <v>EQUIPO DE ALBAÑILERIA, carpetas, ladrillo</v>
      </c>
      <c r="F146" s="212">
        <f>COMPOSICIÓN!F146</f>
        <v>0</v>
      </c>
      <c r="G146" s="213">
        <f>COMPOSICIÓN!G146</f>
        <v>1</v>
      </c>
      <c r="H146" s="214">
        <f>COMPOSICIÓN!H146</f>
        <v>0</v>
      </c>
      <c r="I146" s="215">
        <f>COMPOSICIÓN!I146</f>
        <v>2287.1357450968057</v>
      </c>
      <c r="J146" s="212" t="str">
        <f>IFERROR(VLOOKUP(A146,PARTIDAS!$A$2:$C$269,3,FALSE()),"")</f>
        <v>MAMPOSTERÍA</v>
      </c>
      <c r="K146" s="212" t="str">
        <f>IFERROR(INDEX(PPTO_GENERADOR!$B$4:$B$220,MATCH(A146,PPTO_GENERADOR!$Q$4:$Q$220,0)),"")</f>
        <v/>
      </c>
      <c r="L146" s="216">
        <f>IF(PLAN_ETAPA!$C$4="(TODOS)",SUMIFS(PPTO_GENERADOR!$E$4:$E$220,PPTO_GENERADOR!$Q$4:$Q$220,A146),SUMIFS(PPTO_GENERADOR!$E$4:$E$220,PPTO_GENERADOR!$Q$4:$Q$220,A146,PPTO_GENERADOR!$B$4:$B$220,PLAN_ETAPA!$C$4))</f>
        <v>0</v>
      </c>
      <c r="M146" s="216">
        <f>IFERROR(VLOOKUP(A146,PARTIDAS!$A$2:$F$269,6,FALSE()),1)</f>
        <v>15</v>
      </c>
      <c r="N146" s="216">
        <f>IFERROR(VLOOKUP(A146,PARTIDAS!$A$2:$I$269,9,FALSE()),1)</f>
        <v>1</v>
      </c>
      <c r="O146" s="217">
        <f t="shared" si="4"/>
        <v>0</v>
      </c>
      <c r="P146" s="216">
        <f>IF(O146=0,0,IF(B146="MAT",G146*(1+H146)*L146*PLAN_ETAPA!$C$5,IF(B146="MO",IF(M146=0,0,G146*L146*PLAN_ETAPA!$C$5*N146/M146),IF(B146="EQ",IF(M146=0,0,G146*L146*PLAN_ETAPA!$C$5/M146),0))))</f>
        <v>0</v>
      </c>
      <c r="Q146" s="218">
        <f t="shared" si="5"/>
        <v>0</v>
      </c>
    </row>
    <row r="147" spans="1:17" x14ac:dyDescent="0.35">
      <c r="A147" s="212" t="str">
        <f>COMPOSICIÓN!A147</f>
        <v>ALB-047</v>
      </c>
      <c r="B147" s="212" t="str">
        <f>COMPOSICIÓN!B147</f>
        <v>EQ</v>
      </c>
      <c r="C147" s="212">
        <f>COMPOSICIÓN!C147</f>
        <v>0</v>
      </c>
      <c r="D147" s="212" t="str">
        <f>COMPOSICIÓN!D147</f>
        <v>EQ-TROMPO</v>
      </c>
      <c r="E147" s="212" t="str">
        <f>COMPOSICIÓN!E147</f>
        <v>Hormigonera De 150 Litros 1hp Con Rueda Maciza</v>
      </c>
      <c r="F147" s="212">
        <f>COMPOSICIÓN!F147</f>
        <v>0</v>
      </c>
      <c r="G147" s="213">
        <f>COMPOSICIÓN!G147</f>
        <v>1</v>
      </c>
      <c r="H147" s="214">
        <f>COMPOSICIÓN!H147</f>
        <v>0</v>
      </c>
      <c r="I147" s="215">
        <f>COMPOSICIÓN!I147</f>
        <v>957.25319614994726</v>
      </c>
      <c r="J147" s="212" t="str">
        <f>IFERROR(VLOOKUP(A147,PARTIDAS!$A$2:$C$269,3,FALSE()),"")</f>
        <v>MAMPOSTERÍA</v>
      </c>
      <c r="K147" s="212" t="str">
        <f>IFERROR(INDEX(PPTO_GENERADOR!$B$4:$B$220,MATCH(A147,PPTO_GENERADOR!$Q$4:$Q$220,0)),"")</f>
        <v/>
      </c>
      <c r="L147" s="216">
        <f>IF(PLAN_ETAPA!$C$4="(TODOS)",SUMIFS(PPTO_GENERADOR!$E$4:$E$220,PPTO_GENERADOR!$Q$4:$Q$220,A147),SUMIFS(PPTO_GENERADOR!$E$4:$E$220,PPTO_GENERADOR!$Q$4:$Q$220,A147,PPTO_GENERADOR!$B$4:$B$220,PLAN_ETAPA!$C$4))</f>
        <v>0</v>
      </c>
      <c r="M147" s="216">
        <f>IFERROR(VLOOKUP(A147,PARTIDAS!$A$2:$F$269,6,FALSE()),1)</f>
        <v>15</v>
      </c>
      <c r="N147" s="216">
        <f>IFERROR(VLOOKUP(A147,PARTIDAS!$A$2:$I$269,9,FALSE()),1)</f>
        <v>1</v>
      </c>
      <c r="O147" s="217">
        <f t="shared" si="4"/>
        <v>0</v>
      </c>
      <c r="P147" s="216">
        <f>IF(O147=0,0,IF(B147="MAT",G147*(1+H147)*L147*PLAN_ETAPA!$C$5,IF(B147="MO",IF(M147=0,0,G147*L147*PLAN_ETAPA!$C$5*N147/M147),IF(B147="EQ",IF(M147=0,0,G147*L147*PLAN_ETAPA!$C$5/M147),0))))</f>
        <v>0</v>
      </c>
      <c r="Q147" s="218">
        <f t="shared" si="5"/>
        <v>0</v>
      </c>
    </row>
    <row r="148" spans="1:17" x14ac:dyDescent="0.35">
      <c r="A148" s="212" t="str">
        <f>COMPOSICIÓN!A148</f>
        <v>ALB-047</v>
      </c>
      <c r="B148" s="212" t="str">
        <f>COMPOSICIÓN!B148</f>
        <v>MAT</v>
      </c>
      <c r="C148" s="212" t="str">
        <f>COMPOSICIÓN!C148</f>
        <v>OTR</v>
      </c>
      <c r="D148" s="212" t="str">
        <f>COMPOSICIÓN!D148</f>
        <v>AGR-001</v>
      </c>
      <c r="E148" s="212" t="str">
        <f>COMPOSICIÓN!E148</f>
        <v>ARENA LAVADA</v>
      </c>
      <c r="F148" s="212" t="str">
        <f>COMPOSICIÓN!F148</f>
        <v>m3</v>
      </c>
      <c r="G148" s="213">
        <f>COMPOSICIÓN!G148</f>
        <v>0.03</v>
      </c>
      <c r="H148" s="214">
        <f>COMPOSICIÓN!H148</f>
        <v>0.1</v>
      </c>
      <c r="I148" s="215">
        <f>COMPOSICIÓN!I148</f>
        <v>32399.77</v>
      </c>
      <c r="J148" s="212" t="str">
        <f>IFERROR(VLOOKUP(A148,PARTIDAS!$A$2:$C$269,3,FALSE()),"")</f>
        <v>MAMPOSTERÍA</v>
      </c>
      <c r="K148" s="212" t="str">
        <f>IFERROR(INDEX(PPTO_GENERADOR!$B$4:$B$220,MATCH(A148,PPTO_GENERADOR!$Q$4:$Q$220,0)),"")</f>
        <v/>
      </c>
      <c r="L148" s="216">
        <f>IF(PLAN_ETAPA!$C$4="(TODOS)",SUMIFS(PPTO_GENERADOR!$E$4:$E$220,PPTO_GENERADOR!$Q$4:$Q$220,A148),SUMIFS(PPTO_GENERADOR!$E$4:$E$220,PPTO_GENERADOR!$Q$4:$Q$220,A148,PPTO_GENERADOR!$B$4:$B$220,PLAN_ETAPA!$C$4))</f>
        <v>0</v>
      </c>
      <c r="M148" s="216">
        <f>IFERROR(VLOOKUP(A148,PARTIDAS!$A$2:$F$269,6,FALSE()),1)</f>
        <v>15</v>
      </c>
      <c r="N148" s="216">
        <f>IFERROR(VLOOKUP(A148,PARTIDAS!$A$2:$I$269,9,FALSE()),1)</f>
        <v>1</v>
      </c>
      <c r="O148" s="217">
        <f t="shared" si="4"/>
        <v>0</v>
      </c>
      <c r="P148" s="216">
        <f>IF(O148=0,0,IF(B148="MAT",G148*(1+H148)*L148*PLAN_ETAPA!$C$5,IF(B148="MO",IF(M148=0,0,G148*L148*PLAN_ETAPA!$C$5*N148/M148),IF(B148="EQ",IF(M148=0,0,G148*L148*PLAN_ETAPA!$C$5/M148),0))))</f>
        <v>0</v>
      </c>
      <c r="Q148" s="218">
        <f t="shared" si="5"/>
        <v>0</v>
      </c>
    </row>
    <row r="149" spans="1:17" x14ac:dyDescent="0.35">
      <c r="A149" s="212" t="str">
        <f>COMPOSICIÓN!A149</f>
        <v>ALB-047</v>
      </c>
      <c r="B149" s="212" t="str">
        <f>COMPOSICIÓN!B149</f>
        <v>MAT</v>
      </c>
      <c r="C149" s="212" t="str">
        <f>COMPOSICIÓN!C149</f>
        <v>OTR</v>
      </c>
      <c r="D149" s="212" t="str">
        <f>COMPOSICIÓN!D149</f>
        <v>AGR-004</v>
      </c>
      <c r="E149" s="212" t="str">
        <f>COMPOSICIÓN!E149</f>
        <v>Cemento Portland x 50kg</v>
      </c>
      <c r="F149" s="212" t="str">
        <f>COMPOSICIÓN!F149</f>
        <v>Bol</v>
      </c>
      <c r="G149" s="213">
        <f>COMPOSICIÓN!G149</f>
        <v>0.27</v>
      </c>
      <c r="H149" s="214">
        <f>COMPOSICIÓN!H149</f>
        <v>0.1</v>
      </c>
      <c r="I149" s="215">
        <f>COMPOSICIÓN!I149</f>
        <v>7809.48</v>
      </c>
      <c r="J149" s="212" t="str">
        <f>IFERROR(VLOOKUP(A149,PARTIDAS!$A$2:$C$269,3,FALSE()),"")</f>
        <v>MAMPOSTERÍA</v>
      </c>
      <c r="K149" s="212" t="str">
        <f>IFERROR(INDEX(PPTO_GENERADOR!$B$4:$B$220,MATCH(A149,PPTO_GENERADOR!$Q$4:$Q$220,0)),"")</f>
        <v/>
      </c>
      <c r="L149" s="216">
        <f>IF(PLAN_ETAPA!$C$4="(TODOS)",SUMIFS(PPTO_GENERADOR!$E$4:$E$220,PPTO_GENERADOR!$Q$4:$Q$220,A149),SUMIFS(PPTO_GENERADOR!$E$4:$E$220,PPTO_GENERADOR!$Q$4:$Q$220,A149,PPTO_GENERADOR!$B$4:$B$220,PLAN_ETAPA!$C$4))</f>
        <v>0</v>
      </c>
      <c r="M149" s="216">
        <f>IFERROR(VLOOKUP(A149,PARTIDAS!$A$2:$F$269,6,FALSE()),1)</f>
        <v>15</v>
      </c>
      <c r="N149" s="216">
        <f>IFERROR(VLOOKUP(A149,PARTIDAS!$A$2:$I$269,9,FALSE()),1)</f>
        <v>1</v>
      </c>
      <c r="O149" s="217">
        <f t="shared" si="4"/>
        <v>0</v>
      </c>
      <c r="P149" s="216">
        <f>IF(O149=0,0,IF(B149="MAT",G149*(1+H149)*L149*PLAN_ETAPA!$C$5,IF(B149="MO",IF(M149=0,0,G149*L149*PLAN_ETAPA!$C$5*N149/M149),IF(B149="EQ",IF(M149=0,0,G149*L149*PLAN_ETAPA!$C$5/M149),0))))</f>
        <v>0</v>
      </c>
      <c r="Q149" s="218">
        <f t="shared" si="5"/>
        <v>0</v>
      </c>
    </row>
    <row r="150" spans="1:17" x14ac:dyDescent="0.35">
      <c r="A150" s="212" t="str">
        <f>COMPOSICIÓN!A150</f>
        <v>ALB-047</v>
      </c>
      <c r="B150" s="212" t="str">
        <f>COMPOSICIÓN!B150</f>
        <v>MO</v>
      </c>
      <c r="C150" s="212" t="str">
        <f>COMPOSICIÓN!C150</f>
        <v>ALB</v>
      </c>
      <c r="D150" s="212" t="str">
        <f>COMPOSICIÓN!D150</f>
        <v>MO-EAYUD</v>
      </c>
      <c r="E150" s="212" t="str">
        <f>COMPOSICIÓN!E150</f>
        <v>AYUDANTE</v>
      </c>
      <c r="F150" s="212" t="str">
        <f>COMPOSICIÓN!F150</f>
        <v>j</v>
      </c>
      <c r="G150" s="213">
        <f>COMPOSICIÓN!G150</f>
        <v>0.45</v>
      </c>
      <c r="H150" s="214">
        <f>COMPOSICIÓN!H150</f>
        <v>0</v>
      </c>
      <c r="I150" s="215">
        <f>COMPOSICIÓN!I150</f>
        <v>60860.580776572002</v>
      </c>
      <c r="J150" s="212" t="str">
        <f>IFERROR(VLOOKUP(A150,PARTIDAS!$A$2:$C$269,3,FALSE()),"")</f>
        <v>MAMPOSTERÍA</v>
      </c>
      <c r="K150" s="212" t="str">
        <f>IFERROR(INDEX(PPTO_GENERADOR!$B$4:$B$220,MATCH(A150,PPTO_GENERADOR!$Q$4:$Q$220,0)),"")</f>
        <v/>
      </c>
      <c r="L150" s="216">
        <f>IF(PLAN_ETAPA!$C$4="(TODOS)",SUMIFS(PPTO_GENERADOR!$E$4:$E$220,PPTO_GENERADOR!$Q$4:$Q$220,A150),SUMIFS(PPTO_GENERADOR!$E$4:$E$220,PPTO_GENERADOR!$Q$4:$Q$220,A150,PPTO_GENERADOR!$B$4:$B$220,PLAN_ETAPA!$C$4))</f>
        <v>0</v>
      </c>
      <c r="M150" s="216">
        <f>IFERROR(VLOOKUP(A150,PARTIDAS!$A$2:$F$269,6,FALSE()),1)</f>
        <v>15</v>
      </c>
      <c r="N150" s="216">
        <f>IFERROR(VLOOKUP(A150,PARTIDAS!$A$2:$I$269,9,FALSE()),1)</f>
        <v>1</v>
      </c>
      <c r="O150" s="217">
        <f t="shared" si="4"/>
        <v>0</v>
      </c>
      <c r="P150" s="216">
        <f>IF(O150=0,0,IF(B150="MAT",G150*(1+H150)*L150*PLAN_ETAPA!$C$5,IF(B150="MO",IF(M150=0,0,G150*L150*PLAN_ETAPA!$C$5*N150/M150),IF(B150="EQ",IF(M150=0,0,G150*L150*PLAN_ETAPA!$C$5/M150),0))))</f>
        <v>0</v>
      </c>
      <c r="Q150" s="218">
        <f t="shared" si="5"/>
        <v>0</v>
      </c>
    </row>
    <row r="151" spans="1:17" x14ac:dyDescent="0.35">
      <c r="A151" s="212" t="str">
        <f>COMPOSICIÓN!A151</f>
        <v>ALB-047</v>
      </c>
      <c r="B151" s="212" t="str">
        <f>COMPOSICIÓN!B151</f>
        <v>MO</v>
      </c>
      <c r="C151" s="212" t="str">
        <f>COMPOSICIÓN!C151</f>
        <v>ALB</v>
      </c>
      <c r="D151" s="212" t="str">
        <f>COMPOSICIÓN!D151</f>
        <v>MO-EESPE</v>
      </c>
      <c r="E151" s="212" t="str">
        <f>COMPOSICIÓN!E151</f>
        <v>ESPECIALIZADO</v>
      </c>
      <c r="F151" s="212" t="str">
        <f>COMPOSICIÓN!F151</f>
        <v>j</v>
      </c>
      <c r="G151" s="213">
        <f>COMPOSICIÓN!G151</f>
        <v>1</v>
      </c>
      <c r="H151" s="214">
        <f>COMPOSICIÓN!H151</f>
        <v>0</v>
      </c>
      <c r="I151" s="215">
        <f>COMPOSICIÓN!I151</f>
        <v>85927.097156571996</v>
      </c>
      <c r="J151" s="212" t="str">
        <f>IFERROR(VLOOKUP(A151,PARTIDAS!$A$2:$C$269,3,FALSE()),"")</f>
        <v>MAMPOSTERÍA</v>
      </c>
      <c r="K151" s="212" t="str">
        <f>IFERROR(INDEX(PPTO_GENERADOR!$B$4:$B$220,MATCH(A151,PPTO_GENERADOR!$Q$4:$Q$220,0)),"")</f>
        <v/>
      </c>
      <c r="L151" s="216">
        <f>IF(PLAN_ETAPA!$C$4="(TODOS)",SUMIFS(PPTO_GENERADOR!$E$4:$E$220,PPTO_GENERADOR!$Q$4:$Q$220,A151),SUMIFS(PPTO_GENERADOR!$E$4:$E$220,PPTO_GENERADOR!$Q$4:$Q$220,A151,PPTO_GENERADOR!$B$4:$B$220,PLAN_ETAPA!$C$4))</f>
        <v>0</v>
      </c>
      <c r="M151" s="216">
        <f>IFERROR(VLOOKUP(A151,PARTIDAS!$A$2:$F$269,6,FALSE()),1)</f>
        <v>15</v>
      </c>
      <c r="N151" s="216">
        <f>IFERROR(VLOOKUP(A151,PARTIDAS!$A$2:$I$269,9,FALSE()),1)</f>
        <v>1</v>
      </c>
      <c r="O151" s="217">
        <f t="shared" si="4"/>
        <v>0</v>
      </c>
      <c r="P151" s="216">
        <f>IF(O151=0,0,IF(B151="MAT",G151*(1+H151)*L151*PLAN_ETAPA!$C$5,IF(B151="MO",IF(M151=0,0,G151*L151*PLAN_ETAPA!$C$5*N151/M151),IF(B151="EQ",IF(M151=0,0,G151*L151*PLAN_ETAPA!$C$5/M151),0))))</f>
        <v>0</v>
      </c>
      <c r="Q151" s="218">
        <f t="shared" si="5"/>
        <v>0</v>
      </c>
    </row>
    <row r="152" spans="1:17" x14ac:dyDescent="0.35">
      <c r="A152" s="212" t="str">
        <f>COMPOSICIÓN!A152</f>
        <v>ALB-048</v>
      </c>
      <c r="B152" s="212" t="str">
        <f>COMPOSICIÓN!B152</f>
        <v>EQ</v>
      </c>
      <c r="C152" s="212">
        <f>COMPOSICIÓN!C152</f>
        <v>0</v>
      </c>
      <c r="D152" s="212" t="str">
        <f>COMPOSICIÓN!D152</f>
        <v>EQ-EQALBA</v>
      </c>
      <c r="E152" s="212" t="str">
        <f>COMPOSICIÓN!E152</f>
        <v>EQUIPO DE ALBAÑILERIA, carpetas, ladrillo</v>
      </c>
      <c r="F152" s="212">
        <f>COMPOSICIÓN!F152</f>
        <v>0</v>
      </c>
      <c r="G152" s="213">
        <f>COMPOSICIÓN!G152</f>
        <v>1</v>
      </c>
      <c r="H152" s="214">
        <f>COMPOSICIÓN!H152</f>
        <v>0</v>
      </c>
      <c r="I152" s="215">
        <f>COMPOSICIÓN!I152</f>
        <v>2287.1357450968057</v>
      </c>
      <c r="J152" s="212" t="str">
        <f>IFERROR(VLOOKUP(A152,PARTIDAS!$A$2:$C$269,3,FALSE()),"")</f>
        <v>MAMPOSTERÍA</v>
      </c>
      <c r="K152" s="212" t="str">
        <f>IFERROR(INDEX(PPTO_GENERADOR!$B$4:$B$220,MATCH(A152,PPTO_GENERADOR!$Q$4:$Q$220,0)),"")</f>
        <v/>
      </c>
      <c r="L152" s="216">
        <f>IF(PLAN_ETAPA!$C$4="(TODOS)",SUMIFS(PPTO_GENERADOR!$E$4:$E$220,PPTO_GENERADOR!$Q$4:$Q$220,A152),SUMIFS(PPTO_GENERADOR!$E$4:$E$220,PPTO_GENERADOR!$Q$4:$Q$220,A152,PPTO_GENERADOR!$B$4:$B$220,PLAN_ETAPA!$C$4))</f>
        <v>0</v>
      </c>
      <c r="M152" s="216">
        <f>IFERROR(VLOOKUP(A152,PARTIDAS!$A$2:$F$269,6,FALSE()),1)</f>
        <v>35</v>
      </c>
      <c r="N152" s="216">
        <f>IFERROR(VLOOKUP(A152,PARTIDAS!$A$2:$I$269,9,FALSE()),1)</f>
        <v>1</v>
      </c>
      <c r="O152" s="217">
        <f t="shared" si="4"/>
        <v>0</v>
      </c>
      <c r="P152" s="216">
        <f>IF(O152=0,0,IF(B152="MAT",G152*(1+H152)*L152*PLAN_ETAPA!$C$5,IF(B152="MO",IF(M152=0,0,G152*L152*PLAN_ETAPA!$C$5*N152/M152),IF(B152="EQ",IF(M152=0,0,G152*L152*PLAN_ETAPA!$C$5/M152),0))))</f>
        <v>0</v>
      </c>
      <c r="Q152" s="218">
        <f t="shared" si="5"/>
        <v>0</v>
      </c>
    </row>
    <row r="153" spans="1:17" x14ac:dyDescent="0.35">
      <c r="A153" s="212" t="str">
        <f>COMPOSICIÓN!A153</f>
        <v>ALB-048</v>
      </c>
      <c r="B153" s="212" t="str">
        <f>COMPOSICIÓN!B153</f>
        <v>EQ</v>
      </c>
      <c r="C153" s="212">
        <f>COMPOSICIÓN!C153</f>
        <v>0</v>
      </c>
      <c r="D153" s="212" t="str">
        <f>COMPOSICIÓN!D153</f>
        <v>EQ-TROMPO</v>
      </c>
      <c r="E153" s="212" t="str">
        <f>COMPOSICIÓN!E153</f>
        <v>Hormigonera De 150 Litros 1hp Con Rueda Maciza</v>
      </c>
      <c r="F153" s="212">
        <f>COMPOSICIÓN!F153</f>
        <v>0</v>
      </c>
      <c r="G153" s="213">
        <f>COMPOSICIÓN!G153</f>
        <v>2</v>
      </c>
      <c r="H153" s="214">
        <f>COMPOSICIÓN!H153</f>
        <v>0</v>
      </c>
      <c r="I153" s="215">
        <f>COMPOSICIÓN!I153</f>
        <v>957.25319614994726</v>
      </c>
      <c r="J153" s="212" t="str">
        <f>IFERROR(VLOOKUP(A153,PARTIDAS!$A$2:$C$269,3,FALSE()),"")</f>
        <v>MAMPOSTERÍA</v>
      </c>
      <c r="K153" s="212" t="str">
        <f>IFERROR(INDEX(PPTO_GENERADOR!$B$4:$B$220,MATCH(A153,PPTO_GENERADOR!$Q$4:$Q$220,0)),"")</f>
        <v/>
      </c>
      <c r="L153" s="216">
        <f>IF(PLAN_ETAPA!$C$4="(TODOS)",SUMIFS(PPTO_GENERADOR!$E$4:$E$220,PPTO_GENERADOR!$Q$4:$Q$220,A153),SUMIFS(PPTO_GENERADOR!$E$4:$E$220,PPTO_GENERADOR!$Q$4:$Q$220,A153,PPTO_GENERADOR!$B$4:$B$220,PLAN_ETAPA!$C$4))</f>
        <v>0</v>
      </c>
      <c r="M153" s="216">
        <f>IFERROR(VLOOKUP(A153,PARTIDAS!$A$2:$F$269,6,FALSE()),1)</f>
        <v>35</v>
      </c>
      <c r="N153" s="216">
        <f>IFERROR(VLOOKUP(A153,PARTIDAS!$A$2:$I$269,9,FALSE()),1)</f>
        <v>1</v>
      </c>
      <c r="O153" s="217">
        <f t="shared" si="4"/>
        <v>0</v>
      </c>
      <c r="P153" s="216">
        <f>IF(O153=0,0,IF(B153="MAT",G153*(1+H153)*L153*PLAN_ETAPA!$C$5,IF(B153="MO",IF(M153=0,0,G153*L153*PLAN_ETAPA!$C$5*N153/M153),IF(B153="EQ",IF(M153=0,0,G153*L153*PLAN_ETAPA!$C$5/M153),0))))</f>
        <v>0</v>
      </c>
      <c r="Q153" s="218">
        <f t="shared" si="5"/>
        <v>0</v>
      </c>
    </row>
    <row r="154" spans="1:17" x14ac:dyDescent="0.35">
      <c r="A154" s="212" t="str">
        <f>COMPOSICIÓN!A154</f>
        <v>ALB-048</v>
      </c>
      <c r="B154" s="212" t="str">
        <f>COMPOSICIÓN!B154</f>
        <v>MAT</v>
      </c>
      <c r="C154" s="212" t="str">
        <f>COMPOSICIÓN!C154</f>
        <v>OTR</v>
      </c>
      <c r="D154" s="212" t="str">
        <f>COMPOSICIÓN!D154</f>
        <v>ADT-001</v>
      </c>
      <c r="E154" s="212" t="str">
        <f>COMPOSICIÓN!E154</f>
        <v>Sika Poro Plus x 10 kg</v>
      </c>
      <c r="F154" s="212" t="str">
        <f>COMPOSICIÓN!F154</f>
        <v>b</v>
      </c>
      <c r="G154" s="213">
        <f>COMPOSICIÓN!G154</f>
        <v>2.4499999999999999E-3</v>
      </c>
      <c r="H154" s="214">
        <f>COMPOSICIÓN!H154</f>
        <v>0.05</v>
      </c>
      <c r="I154" s="215">
        <f>COMPOSICIÓN!I154</f>
        <v>252066.115702479</v>
      </c>
      <c r="J154" s="212" t="str">
        <f>IFERROR(VLOOKUP(A154,PARTIDAS!$A$2:$C$269,3,FALSE()),"")</f>
        <v>MAMPOSTERÍA</v>
      </c>
      <c r="K154" s="212" t="str">
        <f>IFERROR(INDEX(PPTO_GENERADOR!$B$4:$B$220,MATCH(A154,PPTO_GENERADOR!$Q$4:$Q$220,0)),"")</f>
        <v/>
      </c>
      <c r="L154" s="216">
        <f>IF(PLAN_ETAPA!$C$4="(TODOS)",SUMIFS(PPTO_GENERADOR!$E$4:$E$220,PPTO_GENERADOR!$Q$4:$Q$220,A154),SUMIFS(PPTO_GENERADOR!$E$4:$E$220,PPTO_GENERADOR!$Q$4:$Q$220,A154,PPTO_GENERADOR!$B$4:$B$220,PLAN_ETAPA!$C$4))</f>
        <v>0</v>
      </c>
      <c r="M154" s="216">
        <f>IFERROR(VLOOKUP(A154,PARTIDAS!$A$2:$F$269,6,FALSE()),1)</f>
        <v>35</v>
      </c>
      <c r="N154" s="216">
        <f>IFERROR(VLOOKUP(A154,PARTIDAS!$A$2:$I$269,9,FALSE()),1)</f>
        <v>1</v>
      </c>
      <c r="O154" s="217">
        <f t="shared" si="4"/>
        <v>0</v>
      </c>
      <c r="P154" s="216">
        <f>IF(O154=0,0,IF(B154="MAT",G154*(1+H154)*L154*PLAN_ETAPA!$C$5,IF(B154="MO",IF(M154=0,0,G154*L154*PLAN_ETAPA!$C$5*N154/M154),IF(B154="EQ",IF(M154=0,0,G154*L154*PLAN_ETAPA!$C$5/M154),0))))</f>
        <v>0</v>
      </c>
      <c r="Q154" s="218">
        <f t="shared" si="5"/>
        <v>0</v>
      </c>
    </row>
    <row r="155" spans="1:17" x14ac:dyDescent="0.35">
      <c r="A155" s="212" t="str">
        <f>COMPOSICIÓN!A155</f>
        <v>ALB-048</v>
      </c>
      <c r="B155" s="212" t="str">
        <f>COMPOSICIÓN!B155</f>
        <v>MAT</v>
      </c>
      <c r="C155" s="212" t="str">
        <f>COMPOSICIÓN!C155</f>
        <v>OTR</v>
      </c>
      <c r="D155" s="212" t="str">
        <f>COMPOSICIÓN!D155</f>
        <v>AGR-001</v>
      </c>
      <c r="E155" s="212" t="str">
        <f>COMPOSICIÓN!E155</f>
        <v>ARENA LAVADA</v>
      </c>
      <c r="F155" s="212" t="str">
        <f>COMPOSICIÓN!F155</f>
        <v>m3</v>
      </c>
      <c r="G155" s="213">
        <f>COMPOSICIÓN!G155</f>
        <v>5.9499999999999997E-2</v>
      </c>
      <c r="H155" s="214">
        <f>COMPOSICIÓN!H155</f>
        <v>0.1</v>
      </c>
      <c r="I155" s="215">
        <f>COMPOSICIÓN!I155</f>
        <v>32399.77</v>
      </c>
      <c r="J155" s="212" t="str">
        <f>IFERROR(VLOOKUP(A155,PARTIDAS!$A$2:$C$269,3,FALSE()),"")</f>
        <v>MAMPOSTERÍA</v>
      </c>
      <c r="K155" s="212" t="str">
        <f>IFERROR(INDEX(PPTO_GENERADOR!$B$4:$B$220,MATCH(A155,PPTO_GENERADOR!$Q$4:$Q$220,0)),"")</f>
        <v/>
      </c>
      <c r="L155" s="216">
        <f>IF(PLAN_ETAPA!$C$4="(TODOS)",SUMIFS(PPTO_GENERADOR!$E$4:$E$220,PPTO_GENERADOR!$Q$4:$Q$220,A155),SUMIFS(PPTO_GENERADOR!$E$4:$E$220,PPTO_GENERADOR!$Q$4:$Q$220,A155,PPTO_GENERADOR!$B$4:$B$220,PLAN_ETAPA!$C$4))</f>
        <v>0</v>
      </c>
      <c r="M155" s="216">
        <f>IFERROR(VLOOKUP(A155,PARTIDAS!$A$2:$F$269,6,FALSE()),1)</f>
        <v>35</v>
      </c>
      <c r="N155" s="216">
        <f>IFERROR(VLOOKUP(A155,PARTIDAS!$A$2:$I$269,9,FALSE()),1)</f>
        <v>1</v>
      </c>
      <c r="O155" s="217">
        <f t="shared" si="4"/>
        <v>0</v>
      </c>
      <c r="P155" s="216">
        <f>IF(O155=0,0,IF(B155="MAT",G155*(1+H155)*L155*PLAN_ETAPA!$C$5,IF(B155="MO",IF(M155=0,0,G155*L155*PLAN_ETAPA!$C$5*N155/M155),IF(B155="EQ",IF(M155=0,0,G155*L155*PLAN_ETAPA!$C$5/M155),0))))</f>
        <v>0</v>
      </c>
      <c r="Q155" s="218">
        <f t="shared" si="5"/>
        <v>0</v>
      </c>
    </row>
    <row r="156" spans="1:17" x14ac:dyDescent="0.35">
      <c r="A156" s="212" t="str">
        <f>COMPOSICIÓN!A156</f>
        <v>ALB-048</v>
      </c>
      <c r="B156" s="212" t="str">
        <f>COMPOSICIÓN!B156</f>
        <v>MAT</v>
      </c>
      <c r="C156" s="212" t="str">
        <f>COMPOSICIÓN!C156</f>
        <v>OTR</v>
      </c>
      <c r="D156" s="212" t="str">
        <f>COMPOSICIÓN!D156</f>
        <v>AGR-004</v>
      </c>
      <c r="E156" s="212" t="str">
        <f>COMPOSICIÓN!E156</f>
        <v>Cemento Portland x 50kg</v>
      </c>
      <c r="F156" s="212" t="str">
        <f>COMPOSICIÓN!F156</f>
        <v>Bol</v>
      </c>
      <c r="G156" s="213">
        <f>COMPOSICIÓN!G156</f>
        <v>0.42</v>
      </c>
      <c r="H156" s="214">
        <f>COMPOSICIÓN!H156</f>
        <v>0.1</v>
      </c>
      <c r="I156" s="215">
        <f>COMPOSICIÓN!I156</f>
        <v>7809.48</v>
      </c>
      <c r="J156" s="212" t="str">
        <f>IFERROR(VLOOKUP(A156,PARTIDAS!$A$2:$C$269,3,FALSE()),"")</f>
        <v>MAMPOSTERÍA</v>
      </c>
      <c r="K156" s="212" t="str">
        <f>IFERROR(INDEX(PPTO_GENERADOR!$B$4:$B$220,MATCH(A156,PPTO_GENERADOR!$Q$4:$Q$220,0)),"")</f>
        <v/>
      </c>
      <c r="L156" s="216">
        <f>IF(PLAN_ETAPA!$C$4="(TODOS)",SUMIFS(PPTO_GENERADOR!$E$4:$E$220,PPTO_GENERADOR!$Q$4:$Q$220,A156),SUMIFS(PPTO_GENERADOR!$E$4:$E$220,PPTO_GENERADOR!$Q$4:$Q$220,A156,PPTO_GENERADOR!$B$4:$B$220,PLAN_ETAPA!$C$4))</f>
        <v>0</v>
      </c>
      <c r="M156" s="216">
        <f>IFERROR(VLOOKUP(A156,PARTIDAS!$A$2:$F$269,6,FALSE()),1)</f>
        <v>35</v>
      </c>
      <c r="N156" s="216">
        <f>IFERROR(VLOOKUP(A156,PARTIDAS!$A$2:$I$269,9,FALSE()),1)</f>
        <v>1</v>
      </c>
      <c r="O156" s="217">
        <f t="shared" si="4"/>
        <v>0</v>
      </c>
      <c r="P156" s="216">
        <f>IF(O156=0,0,IF(B156="MAT",G156*(1+H156)*L156*PLAN_ETAPA!$C$5,IF(B156="MO",IF(M156=0,0,G156*L156*PLAN_ETAPA!$C$5*N156/M156),IF(B156="EQ",IF(M156=0,0,G156*L156*PLAN_ETAPA!$C$5/M156),0))))</f>
        <v>0</v>
      </c>
      <c r="Q156" s="218">
        <f t="shared" si="5"/>
        <v>0</v>
      </c>
    </row>
    <row r="157" spans="1:17" x14ac:dyDescent="0.35">
      <c r="A157" s="212" t="str">
        <f>COMPOSICIÓN!A157</f>
        <v>ALB-048</v>
      </c>
      <c r="B157" s="212" t="str">
        <f>COMPOSICIÓN!B157</f>
        <v>MAT</v>
      </c>
      <c r="C157" s="212" t="str">
        <f>COMPOSICIÓN!C157</f>
        <v>OTR</v>
      </c>
      <c r="D157" s="212" t="str">
        <f>COMPOSICIÓN!D157</f>
        <v>AGR-005</v>
      </c>
      <c r="E157" s="212" t="str">
        <f>COMPOSICIÓN!E157</f>
        <v>Cal Comun x 25kg</v>
      </c>
      <c r="F157" s="212" t="str">
        <f>COMPOSICIÓN!F157</f>
        <v>bol</v>
      </c>
      <c r="G157" s="213">
        <f>COMPOSICIÓN!G157</f>
        <v>0.14000000000000001</v>
      </c>
      <c r="H157" s="214">
        <f>COMPOSICIÓN!H157</f>
        <v>0.1</v>
      </c>
      <c r="I157" s="215">
        <f>COMPOSICIÓN!I157</f>
        <v>3837.96</v>
      </c>
      <c r="J157" s="212" t="str">
        <f>IFERROR(VLOOKUP(A157,PARTIDAS!$A$2:$C$269,3,FALSE()),"")</f>
        <v>MAMPOSTERÍA</v>
      </c>
      <c r="K157" s="212" t="str">
        <f>IFERROR(INDEX(PPTO_GENERADOR!$B$4:$B$220,MATCH(A157,PPTO_GENERADOR!$Q$4:$Q$220,0)),"")</f>
        <v/>
      </c>
      <c r="L157" s="216">
        <f>IF(PLAN_ETAPA!$C$4="(TODOS)",SUMIFS(PPTO_GENERADOR!$E$4:$E$220,PPTO_GENERADOR!$Q$4:$Q$220,A157),SUMIFS(PPTO_GENERADOR!$E$4:$E$220,PPTO_GENERADOR!$Q$4:$Q$220,A157,PPTO_GENERADOR!$B$4:$B$220,PLAN_ETAPA!$C$4))</f>
        <v>0</v>
      </c>
      <c r="M157" s="216">
        <f>IFERROR(VLOOKUP(A157,PARTIDAS!$A$2:$F$269,6,FALSE()),1)</f>
        <v>35</v>
      </c>
      <c r="N157" s="216">
        <f>IFERROR(VLOOKUP(A157,PARTIDAS!$A$2:$I$269,9,FALSE()),1)</f>
        <v>1</v>
      </c>
      <c r="O157" s="217">
        <f t="shared" si="4"/>
        <v>0</v>
      </c>
      <c r="P157" s="216">
        <f>IF(O157=0,0,IF(B157="MAT",G157*(1+H157)*L157*PLAN_ETAPA!$C$5,IF(B157="MO",IF(M157=0,0,G157*L157*PLAN_ETAPA!$C$5*N157/M157),IF(B157="EQ",IF(M157=0,0,G157*L157*PLAN_ETAPA!$C$5/M157),0))))</f>
        <v>0</v>
      </c>
      <c r="Q157" s="218">
        <f t="shared" si="5"/>
        <v>0</v>
      </c>
    </row>
    <row r="158" spans="1:17" x14ac:dyDescent="0.35">
      <c r="A158" s="212" t="str">
        <f>COMPOSICIÓN!A158</f>
        <v>ALB-048</v>
      </c>
      <c r="B158" s="212" t="str">
        <f>COMPOSICIÓN!B158</f>
        <v>MO</v>
      </c>
      <c r="C158" s="212" t="str">
        <f>COMPOSICIÓN!C158</f>
        <v>ALB</v>
      </c>
      <c r="D158" s="212" t="str">
        <f>COMPOSICIÓN!D158</f>
        <v>MO-EAYUD</v>
      </c>
      <c r="E158" s="212" t="str">
        <f>COMPOSICIÓN!E158</f>
        <v>AYUDANTE</v>
      </c>
      <c r="F158" s="212" t="str">
        <f>COMPOSICIÓN!F158</f>
        <v>j</v>
      </c>
      <c r="G158" s="213">
        <f>COMPOSICIÓN!G158</f>
        <v>3</v>
      </c>
      <c r="H158" s="214">
        <f>COMPOSICIÓN!H158</f>
        <v>0</v>
      </c>
      <c r="I158" s="215">
        <f>COMPOSICIÓN!I158</f>
        <v>60860.580776572002</v>
      </c>
      <c r="J158" s="212" t="str">
        <f>IFERROR(VLOOKUP(A158,PARTIDAS!$A$2:$C$269,3,FALSE()),"")</f>
        <v>MAMPOSTERÍA</v>
      </c>
      <c r="K158" s="212" t="str">
        <f>IFERROR(INDEX(PPTO_GENERADOR!$B$4:$B$220,MATCH(A158,PPTO_GENERADOR!$Q$4:$Q$220,0)),"")</f>
        <v/>
      </c>
      <c r="L158" s="216">
        <f>IF(PLAN_ETAPA!$C$4="(TODOS)",SUMIFS(PPTO_GENERADOR!$E$4:$E$220,PPTO_GENERADOR!$Q$4:$Q$220,A158),SUMIFS(PPTO_GENERADOR!$E$4:$E$220,PPTO_GENERADOR!$Q$4:$Q$220,A158,PPTO_GENERADOR!$B$4:$B$220,PLAN_ETAPA!$C$4))</f>
        <v>0</v>
      </c>
      <c r="M158" s="216">
        <f>IFERROR(VLOOKUP(A158,PARTIDAS!$A$2:$F$269,6,FALSE()),1)</f>
        <v>35</v>
      </c>
      <c r="N158" s="216">
        <f>IFERROR(VLOOKUP(A158,PARTIDAS!$A$2:$I$269,9,FALSE()),1)</f>
        <v>1</v>
      </c>
      <c r="O158" s="217">
        <f t="shared" si="4"/>
        <v>0</v>
      </c>
      <c r="P158" s="216">
        <f>IF(O158=0,0,IF(B158="MAT",G158*(1+H158)*L158*PLAN_ETAPA!$C$5,IF(B158="MO",IF(M158=0,0,G158*L158*PLAN_ETAPA!$C$5*N158/M158),IF(B158="EQ",IF(M158=0,0,G158*L158*PLAN_ETAPA!$C$5/M158),0))))</f>
        <v>0</v>
      </c>
      <c r="Q158" s="218">
        <f t="shared" si="5"/>
        <v>0</v>
      </c>
    </row>
    <row r="159" spans="1:17" x14ac:dyDescent="0.35">
      <c r="A159" s="212" t="str">
        <f>COMPOSICIÓN!A159</f>
        <v>ALB-048</v>
      </c>
      <c r="B159" s="212" t="str">
        <f>COMPOSICIÓN!B159</f>
        <v>MO</v>
      </c>
      <c r="C159" s="212" t="str">
        <f>COMPOSICIÓN!C159</f>
        <v>ALB</v>
      </c>
      <c r="D159" s="212" t="str">
        <f>COMPOSICIÓN!D159</f>
        <v>MO-EESPE</v>
      </c>
      <c r="E159" s="212" t="str">
        <f>COMPOSICIÓN!E159</f>
        <v>ESPECIALIZADO</v>
      </c>
      <c r="F159" s="212" t="str">
        <f>COMPOSICIÓN!F159</f>
        <v>j</v>
      </c>
      <c r="G159" s="213">
        <f>COMPOSICIÓN!G159</f>
        <v>2</v>
      </c>
      <c r="H159" s="214">
        <f>COMPOSICIÓN!H159</f>
        <v>0</v>
      </c>
      <c r="I159" s="215">
        <f>COMPOSICIÓN!I159</f>
        <v>85927.097156571996</v>
      </c>
      <c r="J159" s="212" t="str">
        <f>IFERROR(VLOOKUP(A159,PARTIDAS!$A$2:$C$269,3,FALSE()),"")</f>
        <v>MAMPOSTERÍA</v>
      </c>
      <c r="K159" s="212" t="str">
        <f>IFERROR(INDEX(PPTO_GENERADOR!$B$4:$B$220,MATCH(A159,PPTO_GENERADOR!$Q$4:$Q$220,0)),"")</f>
        <v/>
      </c>
      <c r="L159" s="216">
        <f>IF(PLAN_ETAPA!$C$4="(TODOS)",SUMIFS(PPTO_GENERADOR!$E$4:$E$220,PPTO_GENERADOR!$Q$4:$Q$220,A159),SUMIFS(PPTO_GENERADOR!$E$4:$E$220,PPTO_GENERADOR!$Q$4:$Q$220,A159,PPTO_GENERADOR!$B$4:$B$220,PLAN_ETAPA!$C$4))</f>
        <v>0</v>
      </c>
      <c r="M159" s="216">
        <f>IFERROR(VLOOKUP(A159,PARTIDAS!$A$2:$F$269,6,FALSE()),1)</f>
        <v>35</v>
      </c>
      <c r="N159" s="216">
        <f>IFERROR(VLOOKUP(A159,PARTIDAS!$A$2:$I$269,9,FALSE()),1)</f>
        <v>1</v>
      </c>
      <c r="O159" s="217">
        <f t="shared" si="4"/>
        <v>0</v>
      </c>
      <c r="P159" s="216">
        <f>IF(O159=0,0,IF(B159="MAT",G159*(1+H159)*L159*PLAN_ETAPA!$C$5,IF(B159="MO",IF(M159=0,0,G159*L159*PLAN_ETAPA!$C$5*N159/M159),IF(B159="EQ",IF(M159=0,0,G159*L159*PLAN_ETAPA!$C$5/M159),0))))</f>
        <v>0</v>
      </c>
      <c r="Q159" s="218">
        <f t="shared" si="5"/>
        <v>0</v>
      </c>
    </row>
    <row r="160" spans="1:17" x14ac:dyDescent="0.35">
      <c r="A160" s="212" t="str">
        <f>COMPOSICIÓN!A160</f>
        <v>ALB-049</v>
      </c>
      <c r="B160" s="212" t="str">
        <f>COMPOSICIÓN!B160</f>
        <v>EQ</v>
      </c>
      <c r="C160" s="212">
        <f>COMPOSICIÓN!C160</f>
        <v>0</v>
      </c>
      <c r="D160" s="212" t="str">
        <f>COMPOSICIÓN!D160</f>
        <v>EQ-EQALBA</v>
      </c>
      <c r="E160" s="212" t="str">
        <f>COMPOSICIÓN!E160</f>
        <v>EQUIPO DE ALBAÑILERIA, carpetas, ladrillo</v>
      </c>
      <c r="F160" s="212">
        <f>COMPOSICIÓN!F160</f>
        <v>0</v>
      </c>
      <c r="G160" s="213">
        <f>COMPOSICIÓN!G160</f>
        <v>1</v>
      </c>
      <c r="H160" s="214">
        <f>COMPOSICIÓN!H160</f>
        <v>0</v>
      </c>
      <c r="I160" s="215">
        <f>COMPOSICIÓN!I160</f>
        <v>2287.1357450968057</v>
      </c>
      <c r="J160" s="212" t="str">
        <f>IFERROR(VLOOKUP(A160,PARTIDAS!$A$2:$C$269,3,FALSE()),"")</f>
        <v>MAMPOSTERÍA</v>
      </c>
      <c r="K160" s="212" t="str">
        <f>IFERROR(INDEX(PPTO_GENERADOR!$B$4:$B$220,MATCH(A160,PPTO_GENERADOR!$Q$4:$Q$220,0)),"")</f>
        <v/>
      </c>
      <c r="L160" s="216">
        <f>IF(PLAN_ETAPA!$C$4="(TODOS)",SUMIFS(PPTO_GENERADOR!$E$4:$E$220,PPTO_GENERADOR!$Q$4:$Q$220,A160),SUMIFS(PPTO_GENERADOR!$E$4:$E$220,PPTO_GENERADOR!$Q$4:$Q$220,A160,PPTO_GENERADOR!$B$4:$B$220,PLAN_ETAPA!$C$4))</f>
        <v>0</v>
      </c>
      <c r="M160" s="216">
        <f>IFERROR(VLOOKUP(A160,PARTIDAS!$A$2:$F$269,6,FALSE()),1)</f>
        <v>15</v>
      </c>
      <c r="N160" s="216">
        <f>IFERROR(VLOOKUP(A160,PARTIDAS!$A$2:$I$269,9,FALSE()),1)</f>
        <v>1</v>
      </c>
      <c r="O160" s="217">
        <f t="shared" si="4"/>
        <v>0</v>
      </c>
      <c r="P160" s="216">
        <f>IF(O160=0,0,IF(B160="MAT",G160*(1+H160)*L160*PLAN_ETAPA!$C$5,IF(B160="MO",IF(M160=0,0,G160*L160*PLAN_ETAPA!$C$5*N160/M160),IF(B160="EQ",IF(M160=0,0,G160*L160*PLAN_ETAPA!$C$5/M160),0))))</f>
        <v>0</v>
      </c>
      <c r="Q160" s="218">
        <f t="shared" si="5"/>
        <v>0</v>
      </c>
    </row>
    <row r="161" spans="1:17" x14ac:dyDescent="0.35">
      <c r="A161" s="212" t="str">
        <f>COMPOSICIÓN!A161</f>
        <v>ALB-049</v>
      </c>
      <c r="B161" s="212" t="str">
        <f>COMPOSICIÓN!B161</f>
        <v>EQ</v>
      </c>
      <c r="C161" s="212">
        <f>COMPOSICIÓN!C161</f>
        <v>0</v>
      </c>
      <c r="D161" s="212" t="str">
        <f>COMPOSICIÓN!D161</f>
        <v>EQ-TROMPO</v>
      </c>
      <c r="E161" s="212" t="str">
        <f>COMPOSICIÓN!E161</f>
        <v>Hormigonera De 150 Litros 1hp Con Rueda Maciza</v>
      </c>
      <c r="F161" s="212">
        <f>COMPOSICIÓN!F161</f>
        <v>0</v>
      </c>
      <c r="G161" s="213">
        <f>COMPOSICIÓN!G161</f>
        <v>1</v>
      </c>
      <c r="H161" s="214">
        <f>COMPOSICIÓN!H161</f>
        <v>0</v>
      </c>
      <c r="I161" s="215">
        <f>COMPOSICIÓN!I161</f>
        <v>957.25319614994726</v>
      </c>
      <c r="J161" s="212" t="str">
        <f>IFERROR(VLOOKUP(A161,PARTIDAS!$A$2:$C$269,3,FALSE()),"")</f>
        <v>MAMPOSTERÍA</v>
      </c>
      <c r="K161" s="212" t="str">
        <f>IFERROR(INDEX(PPTO_GENERADOR!$B$4:$B$220,MATCH(A161,PPTO_GENERADOR!$Q$4:$Q$220,0)),"")</f>
        <v/>
      </c>
      <c r="L161" s="216">
        <f>IF(PLAN_ETAPA!$C$4="(TODOS)",SUMIFS(PPTO_GENERADOR!$E$4:$E$220,PPTO_GENERADOR!$Q$4:$Q$220,A161),SUMIFS(PPTO_GENERADOR!$E$4:$E$220,PPTO_GENERADOR!$Q$4:$Q$220,A161,PPTO_GENERADOR!$B$4:$B$220,PLAN_ETAPA!$C$4))</f>
        <v>0</v>
      </c>
      <c r="M161" s="216">
        <f>IFERROR(VLOOKUP(A161,PARTIDAS!$A$2:$F$269,6,FALSE()),1)</f>
        <v>15</v>
      </c>
      <c r="N161" s="216">
        <f>IFERROR(VLOOKUP(A161,PARTIDAS!$A$2:$I$269,9,FALSE()),1)</f>
        <v>1</v>
      </c>
      <c r="O161" s="217">
        <f t="shared" si="4"/>
        <v>0</v>
      </c>
      <c r="P161" s="216">
        <f>IF(O161=0,0,IF(B161="MAT",G161*(1+H161)*L161*PLAN_ETAPA!$C$5,IF(B161="MO",IF(M161=0,0,G161*L161*PLAN_ETAPA!$C$5*N161/M161),IF(B161="EQ",IF(M161=0,0,G161*L161*PLAN_ETAPA!$C$5/M161),0))))</f>
        <v>0</v>
      </c>
      <c r="Q161" s="218">
        <f t="shared" si="5"/>
        <v>0</v>
      </c>
    </row>
    <row r="162" spans="1:17" x14ac:dyDescent="0.35">
      <c r="A162" s="212" t="str">
        <f>COMPOSICIÓN!A162</f>
        <v>ALB-049</v>
      </c>
      <c r="B162" s="212" t="str">
        <f>COMPOSICIÓN!B162</f>
        <v>MAT</v>
      </c>
      <c r="C162" s="212" t="str">
        <f>COMPOSICIÓN!C162</f>
        <v>OTR</v>
      </c>
      <c r="D162" s="212" t="str">
        <f>COMPOSICIÓN!D162</f>
        <v>AGR-001</v>
      </c>
      <c r="E162" s="212" t="str">
        <f>COMPOSICIÓN!E162</f>
        <v>ARENA LAVADA</v>
      </c>
      <c r="F162" s="212" t="str">
        <f>COMPOSICIÓN!F162</f>
        <v>m3</v>
      </c>
      <c r="G162" s="213">
        <f>COMPOSICIÓN!G162</f>
        <v>0.03</v>
      </c>
      <c r="H162" s="214">
        <f>COMPOSICIÓN!H162</f>
        <v>0.1</v>
      </c>
      <c r="I162" s="215">
        <f>COMPOSICIÓN!I162</f>
        <v>32399.77</v>
      </c>
      <c r="J162" s="212" t="str">
        <f>IFERROR(VLOOKUP(A162,PARTIDAS!$A$2:$C$269,3,FALSE()),"")</f>
        <v>MAMPOSTERÍA</v>
      </c>
      <c r="K162" s="212" t="str">
        <f>IFERROR(INDEX(PPTO_GENERADOR!$B$4:$B$220,MATCH(A162,PPTO_GENERADOR!$Q$4:$Q$220,0)),"")</f>
        <v/>
      </c>
      <c r="L162" s="216">
        <f>IF(PLAN_ETAPA!$C$4="(TODOS)",SUMIFS(PPTO_GENERADOR!$E$4:$E$220,PPTO_GENERADOR!$Q$4:$Q$220,A162),SUMIFS(PPTO_GENERADOR!$E$4:$E$220,PPTO_GENERADOR!$Q$4:$Q$220,A162,PPTO_GENERADOR!$B$4:$B$220,PLAN_ETAPA!$C$4))</f>
        <v>0</v>
      </c>
      <c r="M162" s="216">
        <f>IFERROR(VLOOKUP(A162,PARTIDAS!$A$2:$F$269,6,FALSE()),1)</f>
        <v>15</v>
      </c>
      <c r="N162" s="216">
        <f>IFERROR(VLOOKUP(A162,PARTIDAS!$A$2:$I$269,9,FALSE()),1)</f>
        <v>1</v>
      </c>
      <c r="O162" s="217">
        <f t="shared" si="4"/>
        <v>0</v>
      </c>
      <c r="P162" s="216">
        <f>IF(O162=0,0,IF(B162="MAT",G162*(1+H162)*L162*PLAN_ETAPA!$C$5,IF(B162="MO",IF(M162=0,0,G162*L162*PLAN_ETAPA!$C$5*N162/M162),IF(B162="EQ",IF(M162=0,0,G162*L162*PLAN_ETAPA!$C$5/M162),0))))</f>
        <v>0</v>
      </c>
      <c r="Q162" s="218">
        <f t="shared" si="5"/>
        <v>0</v>
      </c>
    </row>
    <row r="163" spans="1:17" x14ac:dyDescent="0.35">
      <c r="A163" s="212" t="str">
        <f>COMPOSICIÓN!A163</f>
        <v>ALB-049</v>
      </c>
      <c r="B163" s="212" t="str">
        <f>COMPOSICIÓN!B163</f>
        <v>MAT</v>
      </c>
      <c r="C163" s="212" t="str">
        <f>COMPOSICIÓN!C163</f>
        <v>OTR</v>
      </c>
      <c r="D163" s="212" t="str">
        <f>COMPOSICIÓN!D163</f>
        <v>AGR-004</v>
      </c>
      <c r="E163" s="212" t="str">
        <f>COMPOSICIÓN!E163</f>
        <v>Cemento Portland x 50kg</v>
      </c>
      <c r="F163" s="212" t="str">
        <f>COMPOSICIÓN!F163</f>
        <v>Bol</v>
      </c>
      <c r="G163" s="213">
        <f>COMPOSICIÓN!G163</f>
        <v>0.27</v>
      </c>
      <c r="H163" s="214">
        <f>COMPOSICIÓN!H163</f>
        <v>0.1</v>
      </c>
      <c r="I163" s="215">
        <f>COMPOSICIÓN!I163</f>
        <v>7809.48</v>
      </c>
      <c r="J163" s="212" t="str">
        <f>IFERROR(VLOOKUP(A163,PARTIDAS!$A$2:$C$269,3,FALSE()),"")</f>
        <v>MAMPOSTERÍA</v>
      </c>
      <c r="K163" s="212" t="str">
        <f>IFERROR(INDEX(PPTO_GENERADOR!$B$4:$B$220,MATCH(A163,PPTO_GENERADOR!$Q$4:$Q$220,0)),"")</f>
        <v/>
      </c>
      <c r="L163" s="216">
        <f>IF(PLAN_ETAPA!$C$4="(TODOS)",SUMIFS(PPTO_GENERADOR!$E$4:$E$220,PPTO_GENERADOR!$Q$4:$Q$220,A163),SUMIFS(PPTO_GENERADOR!$E$4:$E$220,PPTO_GENERADOR!$Q$4:$Q$220,A163,PPTO_GENERADOR!$B$4:$B$220,PLAN_ETAPA!$C$4))</f>
        <v>0</v>
      </c>
      <c r="M163" s="216">
        <f>IFERROR(VLOOKUP(A163,PARTIDAS!$A$2:$F$269,6,FALSE()),1)</f>
        <v>15</v>
      </c>
      <c r="N163" s="216">
        <f>IFERROR(VLOOKUP(A163,PARTIDAS!$A$2:$I$269,9,FALSE()),1)</f>
        <v>1</v>
      </c>
      <c r="O163" s="217">
        <f t="shared" si="4"/>
        <v>0</v>
      </c>
      <c r="P163" s="216">
        <f>IF(O163=0,0,IF(B163="MAT",G163*(1+H163)*L163*PLAN_ETAPA!$C$5,IF(B163="MO",IF(M163=0,0,G163*L163*PLAN_ETAPA!$C$5*N163/M163),IF(B163="EQ",IF(M163=0,0,G163*L163*PLAN_ETAPA!$C$5/M163),0))))</f>
        <v>0</v>
      </c>
      <c r="Q163" s="218">
        <f t="shared" si="5"/>
        <v>0</v>
      </c>
    </row>
    <row r="164" spans="1:17" x14ac:dyDescent="0.35">
      <c r="A164" s="212" t="str">
        <f>COMPOSICIÓN!A164</f>
        <v>ALB-049</v>
      </c>
      <c r="B164" s="212" t="str">
        <f>COMPOSICIÓN!B164</f>
        <v>MAT</v>
      </c>
      <c r="C164" s="212" t="str">
        <f>COMPOSICIÓN!C164</f>
        <v>OTR</v>
      </c>
      <c r="D164" s="212" t="str">
        <f>COMPOSICIÓN!D164</f>
        <v>AIS-001</v>
      </c>
      <c r="E164" s="212" t="str">
        <f>COMPOSICIÓN!E164</f>
        <v>Aditivo Hidrofugo en pasta - Ceresita x 1kg</v>
      </c>
      <c r="F164" s="212" t="str">
        <f>COMPOSICIÓN!F164</f>
        <v>kg</v>
      </c>
      <c r="G164" s="213">
        <f>COMPOSICIÓN!G164</f>
        <v>0.5</v>
      </c>
      <c r="H164" s="214">
        <f>COMPOSICIÓN!H164</f>
        <v>0.05</v>
      </c>
      <c r="I164" s="215">
        <f>COMPOSICIÓN!I164</f>
        <v>1256.1279999999999</v>
      </c>
      <c r="J164" s="212" t="str">
        <f>IFERROR(VLOOKUP(A164,PARTIDAS!$A$2:$C$269,3,FALSE()),"")</f>
        <v>MAMPOSTERÍA</v>
      </c>
      <c r="K164" s="212" t="str">
        <f>IFERROR(INDEX(PPTO_GENERADOR!$B$4:$B$220,MATCH(A164,PPTO_GENERADOR!$Q$4:$Q$220,0)),"")</f>
        <v/>
      </c>
      <c r="L164" s="216">
        <f>IF(PLAN_ETAPA!$C$4="(TODOS)",SUMIFS(PPTO_GENERADOR!$E$4:$E$220,PPTO_GENERADOR!$Q$4:$Q$220,A164),SUMIFS(PPTO_GENERADOR!$E$4:$E$220,PPTO_GENERADOR!$Q$4:$Q$220,A164,PPTO_GENERADOR!$B$4:$B$220,PLAN_ETAPA!$C$4))</f>
        <v>0</v>
      </c>
      <c r="M164" s="216">
        <f>IFERROR(VLOOKUP(A164,PARTIDAS!$A$2:$F$269,6,FALSE()),1)</f>
        <v>15</v>
      </c>
      <c r="N164" s="216">
        <f>IFERROR(VLOOKUP(A164,PARTIDAS!$A$2:$I$269,9,FALSE()),1)</f>
        <v>1</v>
      </c>
      <c r="O164" s="217">
        <f t="shared" si="4"/>
        <v>0</v>
      </c>
      <c r="P164" s="216">
        <f>IF(O164=0,0,IF(B164="MAT",G164*(1+H164)*L164*PLAN_ETAPA!$C$5,IF(B164="MO",IF(M164=0,0,G164*L164*PLAN_ETAPA!$C$5*N164/M164),IF(B164="EQ",IF(M164=0,0,G164*L164*PLAN_ETAPA!$C$5/M164),0))))</f>
        <v>0</v>
      </c>
      <c r="Q164" s="218">
        <f t="shared" si="5"/>
        <v>0</v>
      </c>
    </row>
    <row r="165" spans="1:17" x14ac:dyDescent="0.35">
      <c r="A165" s="212" t="str">
        <f>COMPOSICIÓN!A165</f>
        <v>ALB-049</v>
      </c>
      <c r="B165" s="212" t="str">
        <f>COMPOSICIÓN!B165</f>
        <v>MO</v>
      </c>
      <c r="C165" s="212" t="str">
        <f>COMPOSICIÓN!C165</f>
        <v>ALB</v>
      </c>
      <c r="D165" s="212" t="str">
        <f>COMPOSICIÓN!D165</f>
        <v>MO-EAYUD</v>
      </c>
      <c r="E165" s="212" t="str">
        <f>COMPOSICIÓN!E165</f>
        <v>AYUDANTE</v>
      </c>
      <c r="F165" s="212" t="str">
        <f>COMPOSICIÓN!F165</f>
        <v>j</v>
      </c>
      <c r="G165" s="213">
        <f>COMPOSICIÓN!G165</f>
        <v>0.45</v>
      </c>
      <c r="H165" s="214">
        <f>COMPOSICIÓN!H165</f>
        <v>0</v>
      </c>
      <c r="I165" s="215">
        <f>COMPOSICIÓN!I165</f>
        <v>60860.580776572002</v>
      </c>
      <c r="J165" s="212" t="str">
        <f>IFERROR(VLOOKUP(A165,PARTIDAS!$A$2:$C$269,3,FALSE()),"")</f>
        <v>MAMPOSTERÍA</v>
      </c>
      <c r="K165" s="212" t="str">
        <f>IFERROR(INDEX(PPTO_GENERADOR!$B$4:$B$220,MATCH(A165,PPTO_GENERADOR!$Q$4:$Q$220,0)),"")</f>
        <v/>
      </c>
      <c r="L165" s="216">
        <f>IF(PLAN_ETAPA!$C$4="(TODOS)",SUMIFS(PPTO_GENERADOR!$E$4:$E$220,PPTO_GENERADOR!$Q$4:$Q$220,A165),SUMIFS(PPTO_GENERADOR!$E$4:$E$220,PPTO_GENERADOR!$Q$4:$Q$220,A165,PPTO_GENERADOR!$B$4:$B$220,PLAN_ETAPA!$C$4))</f>
        <v>0</v>
      </c>
      <c r="M165" s="216">
        <f>IFERROR(VLOOKUP(A165,PARTIDAS!$A$2:$F$269,6,FALSE()),1)</f>
        <v>15</v>
      </c>
      <c r="N165" s="216">
        <f>IFERROR(VLOOKUP(A165,PARTIDAS!$A$2:$I$269,9,FALSE()),1)</f>
        <v>1</v>
      </c>
      <c r="O165" s="217">
        <f t="shared" si="4"/>
        <v>0</v>
      </c>
      <c r="P165" s="216">
        <f>IF(O165=0,0,IF(B165="MAT",G165*(1+H165)*L165*PLAN_ETAPA!$C$5,IF(B165="MO",IF(M165=0,0,G165*L165*PLAN_ETAPA!$C$5*N165/M165),IF(B165="EQ",IF(M165=0,0,G165*L165*PLAN_ETAPA!$C$5/M165),0))))</f>
        <v>0</v>
      </c>
      <c r="Q165" s="218">
        <f t="shared" si="5"/>
        <v>0</v>
      </c>
    </row>
    <row r="166" spans="1:17" x14ac:dyDescent="0.35">
      <c r="A166" s="212" t="str">
        <f>COMPOSICIÓN!A166</f>
        <v>ALB-049</v>
      </c>
      <c r="B166" s="212" t="str">
        <f>COMPOSICIÓN!B166</f>
        <v>MO</v>
      </c>
      <c r="C166" s="212" t="str">
        <f>COMPOSICIÓN!C166</f>
        <v>ALB</v>
      </c>
      <c r="D166" s="212" t="str">
        <f>COMPOSICIÓN!D166</f>
        <v>MO-EESPE</v>
      </c>
      <c r="E166" s="212" t="str">
        <f>COMPOSICIÓN!E166</f>
        <v>ESPECIALIZADO</v>
      </c>
      <c r="F166" s="212" t="str">
        <f>COMPOSICIÓN!F166</f>
        <v>j</v>
      </c>
      <c r="G166" s="213">
        <f>COMPOSICIÓN!G166</f>
        <v>1</v>
      </c>
      <c r="H166" s="214">
        <f>COMPOSICIÓN!H166</f>
        <v>0</v>
      </c>
      <c r="I166" s="215">
        <f>COMPOSICIÓN!I166</f>
        <v>85927.097156571996</v>
      </c>
      <c r="J166" s="212" t="str">
        <f>IFERROR(VLOOKUP(A166,PARTIDAS!$A$2:$C$269,3,FALSE()),"")</f>
        <v>MAMPOSTERÍA</v>
      </c>
      <c r="K166" s="212" t="str">
        <f>IFERROR(INDEX(PPTO_GENERADOR!$B$4:$B$220,MATCH(A166,PPTO_GENERADOR!$Q$4:$Q$220,0)),"")</f>
        <v/>
      </c>
      <c r="L166" s="216">
        <f>IF(PLAN_ETAPA!$C$4="(TODOS)",SUMIFS(PPTO_GENERADOR!$E$4:$E$220,PPTO_GENERADOR!$Q$4:$Q$220,A166),SUMIFS(PPTO_GENERADOR!$E$4:$E$220,PPTO_GENERADOR!$Q$4:$Q$220,A166,PPTO_GENERADOR!$B$4:$B$220,PLAN_ETAPA!$C$4))</f>
        <v>0</v>
      </c>
      <c r="M166" s="216">
        <f>IFERROR(VLOOKUP(A166,PARTIDAS!$A$2:$F$269,6,FALSE()),1)</f>
        <v>15</v>
      </c>
      <c r="N166" s="216">
        <f>IFERROR(VLOOKUP(A166,PARTIDAS!$A$2:$I$269,9,FALSE()),1)</f>
        <v>1</v>
      </c>
      <c r="O166" s="217">
        <f t="shared" si="4"/>
        <v>0</v>
      </c>
      <c r="P166" s="216">
        <f>IF(O166=0,0,IF(B166="MAT",G166*(1+H166)*L166*PLAN_ETAPA!$C$5,IF(B166="MO",IF(M166=0,0,G166*L166*PLAN_ETAPA!$C$5*N166/M166),IF(B166="EQ",IF(M166=0,0,G166*L166*PLAN_ETAPA!$C$5/M166),0))))</f>
        <v>0</v>
      </c>
      <c r="Q166" s="218">
        <f t="shared" si="5"/>
        <v>0</v>
      </c>
    </row>
    <row r="167" spans="1:17" x14ac:dyDescent="0.35">
      <c r="A167" s="212" t="str">
        <f>COMPOSICIÓN!A167</f>
        <v>ALB-050</v>
      </c>
      <c r="B167" s="212" t="str">
        <f>COMPOSICIÓN!B167</f>
        <v>EQ</v>
      </c>
      <c r="C167" s="212">
        <f>COMPOSICIÓN!C167</f>
        <v>0</v>
      </c>
      <c r="D167" s="212" t="str">
        <f>COMPOSICIÓN!D167</f>
        <v>EQ-EQALBA</v>
      </c>
      <c r="E167" s="212" t="str">
        <f>COMPOSICIÓN!E167</f>
        <v>EQUIPO DE ALBAÑILERIA, carpetas, ladrillo</v>
      </c>
      <c r="F167" s="212">
        <f>COMPOSICIÓN!F167</f>
        <v>0</v>
      </c>
      <c r="G167" s="213">
        <f>COMPOSICIÓN!G167</f>
        <v>1</v>
      </c>
      <c r="H167" s="214">
        <f>COMPOSICIÓN!H167</f>
        <v>0</v>
      </c>
      <c r="I167" s="215">
        <f>COMPOSICIÓN!I167</f>
        <v>2287.1357450968057</v>
      </c>
      <c r="J167" s="212" t="str">
        <f>IFERROR(VLOOKUP(A167,PARTIDAS!$A$2:$C$269,3,FALSE()),"")</f>
        <v>MAMPOSTERÍA</v>
      </c>
      <c r="K167" s="212" t="str">
        <f>IFERROR(INDEX(PPTO_GENERADOR!$B$4:$B$220,MATCH(A167,PPTO_GENERADOR!$Q$4:$Q$220,0)),"")</f>
        <v/>
      </c>
      <c r="L167" s="216">
        <f>IF(PLAN_ETAPA!$C$4="(TODOS)",SUMIFS(PPTO_GENERADOR!$E$4:$E$220,PPTO_GENERADOR!$Q$4:$Q$220,A167),SUMIFS(PPTO_GENERADOR!$E$4:$E$220,PPTO_GENERADOR!$Q$4:$Q$220,A167,PPTO_GENERADOR!$B$4:$B$220,PLAN_ETAPA!$C$4))</f>
        <v>0</v>
      </c>
      <c r="M167" s="216">
        <f>IFERROR(VLOOKUP(A167,PARTIDAS!$A$2:$F$269,6,FALSE()),1)</f>
        <v>11.5</v>
      </c>
      <c r="N167" s="216">
        <f>IFERROR(VLOOKUP(A167,PARTIDAS!$A$2:$I$269,9,FALSE()),1)</f>
        <v>1</v>
      </c>
      <c r="O167" s="217">
        <f t="shared" si="4"/>
        <v>0</v>
      </c>
      <c r="P167" s="216">
        <f>IF(O167=0,0,IF(B167="MAT",G167*(1+H167)*L167*PLAN_ETAPA!$C$5,IF(B167="MO",IF(M167=0,0,G167*L167*PLAN_ETAPA!$C$5*N167/M167),IF(B167="EQ",IF(M167=0,0,G167*L167*PLAN_ETAPA!$C$5/M167),0))))</f>
        <v>0</v>
      </c>
      <c r="Q167" s="218">
        <f t="shared" si="5"/>
        <v>0</v>
      </c>
    </row>
    <row r="168" spans="1:17" x14ac:dyDescent="0.35">
      <c r="A168" s="212" t="str">
        <f>COMPOSICIÓN!A168</f>
        <v>ALB-050</v>
      </c>
      <c r="B168" s="212" t="str">
        <f>COMPOSICIÓN!B168</f>
        <v>EQ</v>
      </c>
      <c r="C168" s="212">
        <f>COMPOSICIÓN!C168</f>
        <v>0</v>
      </c>
      <c r="D168" s="212" t="str">
        <f>COMPOSICIÓN!D168</f>
        <v>EQ-TROMPO</v>
      </c>
      <c r="E168" s="212" t="str">
        <f>COMPOSICIÓN!E168</f>
        <v>Hormigonera De 150 Litros 1hp Con Rueda Maciza</v>
      </c>
      <c r="F168" s="212">
        <f>COMPOSICIÓN!F168</f>
        <v>0</v>
      </c>
      <c r="G168" s="213">
        <f>COMPOSICIÓN!G168</f>
        <v>1</v>
      </c>
      <c r="H168" s="214">
        <f>COMPOSICIÓN!H168</f>
        <v>0</v>
      </c>
      <c r="I168" s="215">
        <f>COMPOSICIÓN!I168</f>
        <v>957.25319614994726</v>
      </c>
      <c r="J168" s="212" t="str">
        <f>IFERROR(VLOOKUP(A168,PARTIDAS!$A$2:$C$269,3,FALSE()),"")</f>
        <v>MAMPOSTERÍA</v>
      </c>
      <c r="K168" s="212" t="str">
        <f>IFERROR(INDEX(PPTO_GENERADOR!$B$4:$B$220,MATCH(A168,PPTO_GENERADOR!$Q$4:$Q$220,0)),"")</f>
        <v/>
      </c>
      <c r="L168" s="216">
        <f>IF(PLAN_ETAPA!$C$4="(TODOS)",SUMIFS(PPTO_GENERADOR!$E$4:$E$220,PPTO_GENERADOR!$Q$4:$Q$220,A168),SUMIFS(PPTO_GENERADOR!$E$4:$E$220,PPTO_GENERADOR!$Q$4:$Q$220,A168,PPTO_GENERADOR!$B$4:$B$220,PLAN_ETAPA!$C$4))</f>
        <v>0</v>
      </c>
      <c r="M168" s="216">
        <f>IFERROR(VLOOKUP(A168,PARTIDAS!$A$2:$F$269,6,FALSE()),1)</f>
        <v>11.5</v>
      </c>
      <c r="N168" s="216">
        <f>IFERROR(VLOOKUP(A168,PARTIDAS!$A$2:$I$269,9,FALSE()),1)</f>
        <v>1</v>
      </c>
      <c r="O168" s="217">
        <f t="shared" si="4"/>
        <v>0</v>
      </c>
      <c r="P168" s="216">
        <f>IF(O168=0,0,IF(B168="MAT",G168*(1+H168)*L168*PLAN_ETAPA!$C$5,IF(B168="MO",IF(M168=0,0,G168*L168*PLAN_ETAPA!$C$5*N168/M168),IF(B168="EQ",IF(M168=0,0,G168*L168*PLAN_ETAPA!$C$5/M168),0))))</f>
        <v>0</v>
      </c>
      <c r="Q168" s="218">
        <f t="shared" si="5"/>
        <v>0</v>
      </c>
    </row>
    <row r="169" spans="1:17" x14ac:dyDescent="0.35">
      <c r="A169" s="212" t="str">
        <f>COMPOSICIÓN!A169</f>
        <v>ALB-050</v>
      </c>
      <c r="B169" s="212" t="str">
        <f>COMPOSICIÓN!B169</f>
        <v>MAT</v>
      </c>
      <c r="C169" s="212" t="str">
        <f>COMPOSICIÓN!C169</f>
        <v>OTR</v>
      </c>
      <c r="D169" s="212" t="str">
        <f>COMPOSICIÓN!D169</f>
        <v>AGR-001</v>
      </c>
      <c r="E169" s="212" t="str">
        <f>COMPOSICIÓN!E169</f>
        <v>ARENA LAVADA</v>
      </c>
      <c r="F169" s="212" t="str">
        <f>COMPOSICIÓN!F169</f>
        <v>m3</v>
      </c>
      <c r="G169" s="213">
        <f>COMPOSICIÓN!G169</f>
        <v>3.5999999999999997E-2</v>
      </c>
      <c r="H169" s="214">
        <f>COMPOSICIÓN!H169</f>
        <v>0.1</v>
      </c>
      <c r="I169" s="215">
        <f>COMPOSICIÓN!I169</f>
        <v>32399.77</v>
      </c>
      <c r="J169" s="212" t="str">
        <f>IFERROR(VLOOKUP(A169,PARTIDAS!$A$2:$C$269,3,FALSE()),"")</f>
        <v>MAMPOSTERÍA</v>
      </c>
      <c r="K169" s="212" t="str">
        <f>IFERROR(INDEX(PPTO_GENERADOR!$B$4:$B$220,MATCH(A169,PPTO_GENERADOR!$Q$4:$Q$220,0)),"")</f>
        <v/>
      </c>
      <c r="L169" s="216">
        <f>IF(PLAN_ETAPA!$C$4="(TODOS)",SUMIFS(PPTO_GENERADOR!$E$4:$E$220,PPTO_GENERADOR!$Q$4:$Q$220,A169),SUMIFS(PPTO_GENERADOR!$E$4:$E$220,PPTO_GENERADOR!$Q$4:$Q$220,A169,PPTO_GENERADOR!$B$4:$B$220,PLAN_ETAPA!$C$4))</f>
        <v>0</v>
      </c>
      <c r="M169" s="216">
        <f>IFERROR(VLOOKUP(A169,PARTIDAS!$A$2:$F$269,6,FALSE()),1)</f>
        <v>11.5</v>
      </c>
      <c r="N169" s="216">
        <f>IFERROR(VLOOKUP(A169,PARTIDAS!$A$2:$I$269,9,FALSE()),1)</f>
        <v>1</v>
      </c>
      <c r="O169" s="217">
        <f t="shared" si="4"/>
        <v>0</v>
      </c>
      <c r="P169" s="216">
        <f>IF(O169=0,0,IF(B169="MAT",G169*(1+H169)*L169*PLAN_ETAPA!$C$5,IF(B169="MO",IF(M169=0,0,G169*L169*PLAN_ETAPA!$C$5*N169/M169),IF(B169="EQ",IF(M169=0,0,G169*L169*PLAN_ETAPA!$C$5/M169),0))))</f>
        <v>0</v>
      </c>
      <c r="Q169" s="218">
        <f t="shared" si="5"/>
        <v>0</v>
      </c>
    </row>
    <row r="170" spans="1:17" x14ac:dyDescent="0.35">
      <c r="A170" s="212" t="str">
        <f>COMPOSICIÓN!A170</f>
        <v>ALB-050</v>
      </c>
      <c r="B170" s="212" t="str">
        <f>COMPOSICIÓN!B170</f>
        <v>MAT</v>
      </c>
      <c r="C170" s="212" t="str">
        <f>COMPOSICIÓN!C170</f>
        <v>OTR</v>
      </c>
      <c r="D170" s="212" t="str">
        <f>COMPOSICIÓN!D170</f>
        <v>AGR-004</v>
      </c>
      <c r="E170" s="212" t="str">
        <f>COMPOSICIÓN!E170</f>
        <v>Cemento Portland x 50kg</v>
      </c>
      <c r="F170" s="212" t="str">
        <f>COMPOSICIÓN!F170</f>
        <v>Bol</v>
      </c>
      <c r="G170" s="213">
        <f>COMPOSICIÓN!G170</f>
        <v>0.32400000000000001</v>
      </c>
      <c r="H170" s="214">
        <f>COMPOSICIÓN!H170</f>
        <v>0.1</v>
      </c>
      <c r="I170" s="215">
        <f>COMPOSICIÓN!I170</f>
        <v>7809.48</v>
      </c>
      <c r="J170" s="212" t="str">
        <f>IFERROR(VLOOKUP(A170,PARTIDAS!$A$2:$C$269,3,FALSE()),"")</f>
        <v>MAMPOSTERÍA</v>
      </c>
      <c r="K170" s="212" t="str">
        <f>IFERROR(INDEX(PPTO_GENERADOR!$B$4:$B$220,MATCH(A170,PPTO_GENERADOR!$Q$4:$Q$220,0)),"")</f>
        <v/>
      </c>
      <c r="L170" s="216">
        <f>IF(PLAN_ETAPA!$C$4="(TODOS)",SUMIFS(PPTO_GENERADOR!$E$4:$E$220,PPTO_GENERADOR!$Q$4:$Q$220,A170),SUMIFS(PPTO_GENERADOR!$E$4:$E$220,PPTO_GENERADOR!$Q$4:$Q$220,A170,PPTO_GENERADOR!$B$4:$B$220,PLAN_ETAPA!$C$4))</f>
        <v>0</v>
      </c>
      <c r="M170" s="216">
        <f>IFERROR(VLOOKUP(A170,PARTIDAS!$A$2:$F$269,6,FALSE()),1)</f>
        <v>11.5</v>
      </c>
      <c r="N170" s="216">
        <f>IFERROR(VLOOKUP(A170,PARTIDAS!$A$2:$I$269,9,FALSE()),1)</f>
        <v>1</v>
      </c>
      <c r="O170" s="217">
        <f t="shared" si="4"/>
        <v>0</v>
      </c>
      <c r="P170" s="216">
        <f>IF(O170=0,0,IF(B170="MAT",G170*(1+H170)*L170*PLAN_ETAPA!$C$5,IF(B170="MO",IF(M170=0,0,G170*L170*PLAN_ETAPA!$C$5*N170/M170),IF(B170="EQ",IF(M170=0,0,G170*L170*PLAN_ETAPA!$C$5/M170),0))))</f>
        <v>0</v>
      </c>
      <c r="Q170" s="218">
        <f t="shared" si="5"/>
        <v>0</v>
      </c>
    </row>
    <row r="171" spans="1:17" x14ac:dyDescent="0.35">
      <c r="A171" s="212" t="str">
        <f>COMPOSICIÓN!A171</f>
        <v>ALB-050</v>
      </c>
      <c r="B171" s="212" t="str">
        <f>COMPOSICIÓN!B171</f>
        <v>MO</v>
      </c>
      <c r="C171" s="212" t="str">
        <f>COMPOSICIÓN!C171</f>
        <v>ALB</v>
      </c>
      <c r="D171" s="212" t="str">
        <f>COMPOSICIÓN!D171</f>
        <v>MO-EAYUD</v>
      </c>
      <c r="E171" s="212" t="str">
        <f>COMPOSICIÓN!E171</f>
        <v>AYUDANTE</v>
      </c>
      <c r="F171" s="212" t="str">
        <f>COMPOSICIÓN!F171</f>
        <v>j</v>
      </c>
      <c r="G171" s="213">
        <f>COMPOSICIÓN!G171</f>
        <v>0.5</v>
      </c>
      <c r="H171" s="214">
        <f>COMPOSICIÓN!H171</f>
        <v>0</v>
      </c>
      <c r="I171" s="215">
        <f>COMPOSICIÓN!I171</f>
        <v>60860.580776572002</v>
      </c>
      <c r="J171" s="212" t="str">
        <f>IFERROR(VLOOKUP(A171,PARTIDAS!$A$2:$C$269,3,FALSE()),"")</f>
        <v>MAMPOSTERÍA</v>
      </c>
      <c r="K171" s="212" t="str">
        <f>IFERROR(INDEX(PPTO_GENERADOR!$B$4:$B$220,MATCH(A171,PPTO_GENERADOR!$Q$4:$Q$220,0)),"")</f>
        <v/>
      </c>
      <c r="L171" s="216">
        <f>IF(PLAN_ETAPA!$C$4="(TODOS)",SUMIFS(PPTO_GENERADOR!$E$4:$E$220,PPTO_GENERADOR!$Q$4:$Q$220,A171),SUMIFS(PPTO_GENERADOR!$E$4:$E$220,PPTO_GENERADOR!$Q$4:$Q$220,A171,PPTO_GENERADOR!$B$4:$B$220,PLAN_ETAPA!$C$4))</f>
        <v>0</v>
      </c>
      <c r="M171" s="216">
        <f>IFERROR(VLOOKUP(A171,PARTIDAS!$A$2:$F$269,6,FALSE()),1)</f>
        <v>11.5</v>
      </c>
      <c r="N171" s="216">
        <f>IFERROR(VLOOKUP(A171,PARTIDAS!$A$2:$I$269,9,FALSE()),1)</f>
        <v>1</v>
      </c>
      <c r="O171" s="217">
        <f t="shared" si="4"/>
        <v>0</v>
      </c>
      <c r="P171" s="216">
        <f>IF(O171=0,0,IF(B171="MAT",G171*(1+H171)*L171*PLAN_ETAPA!$C$5,IF(B171="MO",IF(M171=0,0,G171*L171*PLAN_ETAPA!$C$5*N171/M171),IF(B171="EQ",IF(M171=0,0,G171*L171*PLAN_ETAPA!$C$5/M171),0))))</f>
        <v>0</v>
      </c>
      <c r="Q171" s="218">
        <f t="shared" si="5"/>
        <v>0</v>
      </c>
    </row>
    <row r="172" spans="1:17" x14ac:dyDescent="0.35">
      <c r="A172" s="212" t="str">
        <f>COMPOSICIÓN!A172</f>
        <v>ALB-050</v>
      </c>
      <c r="B172" s="212" t="str">
        <f>COMPOSICIÓN!B172</f>
        <v>MO</v>
      </c>
      <c r="C172" s="212" t="str">
        <f>COMPOSICIÓN!C172</f>
        <v>ALB</v>
      </c>
      <c r="D172" s="212" t="str">
        <f>COMPOSICIÓN!D172</f>
        <v>MO-EESPE</v>
      </c>
      <c r="E172" s="212" t="str">
        <f>COMPOSICIÓN!E172</f>
        <v>ESPECIALIZADO</v>
      </c>
      <c r="F172" s="212" t="str">
        <f>COMPOSICIÓN!F172</f>
        <v>j</v>
      </c>
      <c r="G172" s="213">
        <f>COMPOSICIÓN!G172</f>
        <v>1</v>
      </c>
      <c r="H172" s="214">
        <f>COMPOSICIÓN!H172</f>
        <v>0</v>
      </c>
      <c r="I172" s="215">
        <f>COMPOSICIÓN!I172</f>
        <v>85927.097156571996</v>
      </c>
      <c r="J172" s="212" t="str">
        <f>IFERROR(VLOOKUP(A172,PARTIDAS!$A$2:$C$269,3,FALSE()),"")</f>
        <v>MAMPOSTERÍA</v>
      </c>
      <c r="K172" s="212" t="str">
        <f>IFERROR(INDEX(PPTO_GENERADOR!$B$4:$B$220,MATCH(A172,PPTO_GENERADOR!$Q$4:$Q$220,0)),"")</f>
        <v/>
      </c>
      <c r="L172" s="216">
        <f>IF(PLAN_ETAPA!$C$4="(TODOS)",SUMIFS(PPTO_GENERADOR!$E$4:$E$220,PPTO_GENERADOR!$Q$4:$Q$220,A172),SUMIFS(PPTO_GENERADOR!$E$4:$E$220,PPTO_GENERADOR!$Q$4:$Q$220,A172,PPTO_GENERADOR!$B$4:$B$220,PLAN_ETAPA!$C$4))</f>
        <v>0</v>
      </c>
      <c r="M172" s="216">
        <f>IFERROR(VLOOKUP(A172,PARTIDAS!$A$2:$F$269,6,FALSE()),1)</f>
        <v>11.5</v>
      </c>
      <c r="N172" s="216">
        <f>IFERROR(VLOOKUP(A172,PARTIDAS!$A$2:$I$269,9,FALSE()),1)</f>
        <v>1</v>
      </c>
      <c r="O172" s="217">
        <f t="shared" si="4"/>
        <v>0</v>
      </c>
      <c r="P172" s="216">
        <f>IF(O172=0,0,IF(B172="MAT",G172*(1+H172)*L172*PLAN_ETAPA!$C$5,IF(B172="MO",IF(M172=0,0,G172*L172*PLAN_ETAPA!$C$5*N172/M172),IF(B172="EQ",IF(M172=0,0,G172*L172*PLAN_ETAPA!$C$5/M172),0))))</f>
        <v>0</v>
      </c>
      <c r="Q172" s="218">
        <f t="shared" si="5"/>
        <v>0</v>
      </c>
    </row>
    <row r="173" spans="1:17" x14ac:dyDescent="0.35">
      <c r="A173" s="212" t="str">
        <f>COMPOSICIÓN!A173</f>
        <v>ALB-068</v>
      </c>
      <c r="B173" s="212" t="str">
        <f>COMPOSICIÓN!B173</f>
        <v>EQ</v>
      </c>
      <c r="C173" s="212">
        <f>COMPOSICIÓN!C173</f>
        <v>0</v>
      </c>
      <c r="D173" s="212" t="str">
        <f>COMPOSICIÓN!D173</f>
        <v>EQ-ANDAM0</v>
      </c>
      <c r="E173" s="212" t="str">
        <f>COMPOSICIÓN!E173</f>
        <v>ANDAMIO TUBULAR DE UNO A TRES CUERPOS</v>
      </c>
      <c r="F173" s="212">
        <f>COMPOSICIÓN!F173</f>
        <v>0</v>
      </c>
      <c r="G173" s="213">
        <f>COMPOSICIÓN!G173</f>
        <v>0.5</v>
      </c>
      <c r="H173" s="214">
        <f>COMPOSICIÓN!H173</f>
        <v>0</v>
      </c>
      <c r="I173" s="215">
        <f>COMPOSICIÓN!I173</f>
        <v>571.1794909807611</v>
      </c>
      <c r="J173" s="212" t="str">
        <f>IFERROR(VLOOKUP(A173,PARTIDAS!$A$2:$C$269,3,FALSE()),"")</f>
        <v>MAMPOSTERÍA</v>
      </c>
      <c r="K173" s="212" t="str">
        <f>IFERROR(INDEX(PPTO_GENERADOR!$B$4:$B$220,MATCH(A173,PPTO_GENERADOR!$Q$4:$Q$220,0)),"")</f>
        <v/>
      </c>
      <c r="L173" s="216">
        <f>IF(PLAN_ETAPA!$C$4="(TODOS)",SUMIFS(PPTO_GENERADOR!$E$4:$E$220,PPTO_GENERADOR!$Q$4:$Q$220,A173),SUMIFS(PPTO_GENERADOR!$E$4:$E$220,PPTO_GENERADOR!$Q$4:$Q$220,A173,PPTO_GENERADOR!$B$4:$B$220,PLAN_ETAPA!$C$4))</f>
        <v>0</v>
      </c>
      <c r="M173" s="216">
        <f>IFERROR(VLOOKUP(A173,PARTIDAS!$A$2:$F$269,6,FALSE()),1)</f>
        <v>15</v>
      </c>
      <c r="N173" s="216">
        <f>IFERROR(VLOOKUP(A173,PARTIDAS!$A$2:$I$269,9,FALSE()),1)</f>
        <v>1</v>
      </c>
      <c r="O173" s="217">
        <f t="shared" si="4"/>
        <v>0</v>
      </c>
      <c r="P173" s="216">
        <f>IF(O173=0,0,IF(B173="MAT",G173*(1+H173)*L173*PLAN_ETAPA!$C$5,IF(B173="MO",IF(M173=0,0,G173*L173*PLAN_ETAPA!$C$5*N173/M173),IF(B173="EQ",IF(M173=0,0,G173*L173*PLAN_ETAPA!$C$5/M173),0))))</f>
        <v>0</v>
      </c>
      <c r="Q173" s="218">
        <f t="shared" si="5"/>
        <v>0</v>
      </c>
    </row>
    <row r="174" spans="1:17" x14ac:dyDescent="0.35">
      <c r="A174" s="212" t="str">
        <f>COMPOSICIÓN!A174</f>
        <v>ALB-068</v>
      </c>
      <c r="B174" s="212" t="str">
        <f>COMPOSICIÓN!B174</f>
        <v>EQ</v>
      </c>
      <c r="C174" s="212">
        <f>COMPOSICIÓN!C174</f>
        <v>0</v>
      </c>
      <c r="D174" s="212" t="str">
        <f>COMPOSICIÓN!D174</f>
        <v>EQ-EQALBA</v>
      </c>
      <c r="E174" s="212" t="str">
        <f>COMPOSICIÓN!E174</f>
        <v>EQUIPO DE ALBAÑILERIA, carpetas, ladrillo</v>
      </c>
      <c r="F174" s="212">
        <f>COMPOSICIÓN!F174</f>
        <v>0</v>
      </c>
      <c r="G174" s="213">
        <f>COMPOSICIÓN!G174</f>
        <v>1</v>
      </c>
      <c r="H174" s="214">
        <f>COMPOSICIÓN!H174</f>
        <v>0</v>
      </c>
      <c r="I174" s="215">
        <f>COMPOSICIÓN!I174</f>
        <v>2287.1357450968057</v>
      </c>
      <c r="J174" s="212" t="str">
        <f>IFERROR(VLOOKUP(A174,PARTIDAS!$A$2:$C$269,3,FALSE()),"")</f>
        <v>MAMPOSTERÍA</v>
      </c>
      <c r="K174" s="212" t="str">
        <f>IFERROR(INDEX(PPTO_GENERADOR!$B$4:$B$220,MATCH(A174,PPTO_GENERADOR!$Q$4:$Q$220,0)),"")</f>
        <v/>
      </c>
      <c r="L174" s="216">
        <f>IF(PLAN_ETAPA!$C$4="(TODOS)",SUMIFS(PPTO_GENERADOR!$E$4:$E$220,PPTO_GENERADOR!$Q$4:$Q$220,A174),SUMIFS(PPTO_GENERADOR!$E$4:$E$220,PPTO_GENERADOR!$Q$4:$Q$220,A174,PPTO_GENERADOR!$B$4:$B$220,PLAN_ETAPA!$C$4))</f>
        <v>0</v>
      </c>
      <c r="M174" s="216">
        <f>IFERROR(VLOOKUP(A174,PARTIDAS!$A$2:$F$269,6,FALSE()),1)</f>
        <v>15</v>
      </c>
      <c r="N174" s="216">
        <f>IFERROR(VLOOKUP(A174,PARTIDAS!$A$2:$I$269,9,FALSE()),1)</f>
        <v>1</v>
      </c>
      <c r="O174" s="217">
        <f t="shared" si="4"/>
        <v>0</v>
      </c>
      <c r="P174" s="216">
        <f>IF(O174=0,0,IF(B174="MAT",G174*(1+H174)*L174*PLAN_ETAPA!$C$5,IF(B174="MO",IF(M174=0,0,G174*L174*PLAN_ETAPA!$C$5*N174/M174),IF(B174="EQ",IF(M174=0,0,G174*L174*PLAN_ETAPA!$C$5/M174),0))))</f>
        <v>0</v>
      </c>
      <c r="Q174" s="218">
        <f t="shared" si="5"/>
        <v>0</v>
      </c>
    </row>
    <row r="175" spans="1:17" x14ac:dyDescent="0.35">
      <c r="A175" s="212" t="str">
        <f>COMPOSICIÓN!A175</f>
        <v>ALB-068</v>
      </c>
      <c r="B175" s="212" t="str">
        <f>COMPOSICIÓN!B175</f>
        <v>EQ</v>
      </c>
      <c r="C175" s="212">
        <f>COMPOSICIÓN!C175</f>
        <v>0</v>
      </c>
      <c r="D175" s="212" t="str">
        <f>COMPOSICIÓN!D175</f>
        <v>EQ-TROMPO</v>
      </c>
      <c r="E175" s="212" t="str">
        <f>COMPOSICIÓN!E175</f>
        <v>Hormigonera De 150 Litros 1hp Con Rueda Maciza</v>
      </c>
      <c r="F175" s="212">
        <f>COMPOSICIÓN!F175</f>
        <v>0</v>
      </c>
      <c r="G175" s="213">
        <f>COMPOSICIÓN!G175</f>
        <v>1</v>
      </c>
      <c r="H175" s="214">
        <f>COMPOSICIÓN!H175</f>
        <v>0</v>
      </c>
      <c r="I175" s="215">
        <f>COMPOSICIÓN!I175</f>
        <v>957.25319614994726</v>
      </c>
      <c r="J175" s="212" t="str">
        <f>IFERROR(VLOOKUP(A175,PARTIDAS!$A$2:$C$269,3,FALSE()),"")</f>
        <v>MAMPOSTERÍA</v>
      </c>
      <c r="K175" s="212" t="str">
        <f>IFERROR(INDEX(PPTO_GENERADOR!$B$4:$B$220,MATCH(A175,PPTO_GENERADOR!$Q$4:$Q$220,0)),"")</f>
        <v/>
      </c>
      <c r="L175" s="216">
        <f>IF(PLAN_ETAPA!$C$4="(TODOS)",SUMIFS(PPTO_GENERADOR!$E$4:$E$220,PPTO_GENERADOR!$Q$4:$Q$220,A175),SUMIFS(PPTO_GENERADOR!$E$4:$E$220,PPTO_GENERADOR!$Q$4:$Q$220,A175,PPTO_GENERADOR!$B$4:$B$220,PLAN_ETAPA!$C$4))</f>
        <v>0</v>
      </c>
      <c r="M175" s="216">
        <f>IFERROR(VLOOKUP(A175,PARTIDAS!$A$2:$F$269,6,FALSE()),1)</f>
        <v>15</v>
      </c>
      <c r="N175" s="216">
        <f>IFERROR(VLOOKUP(A175,PARTIDAS!$A$2:$I$269,9,FALSE()),1)</f>
        <v>1</v>
      </c>
      <c r="O175" s="217">
        <f t="shared" si="4"/>
        <v>0</v>
      </c>
      <c r="P175" s="216">
        <f>IF(O175=0,0,IF(B175="MAT",G175*(1+H175)*L175*PLAN_ETAPA!$C$5,IF(B175="MO",IF(M175=0,0,G175*L175*PLAN_ETAPA!$C$5*N175/M175),IF(B175="EQ",IF(M175=0,0,G175*L175*PLAN_ETAPA!$C$5/M175),0))))</f>
        <v>0</v>
      </c>
      <c r="Q175" s="218">
        <f t="shared" si="5"/>
        <v>0</v>
      </c>
    </row>
    <row r="176" spans="1:17" x14ac:dyDescent="0.35">
      <c r="A176" s="212" t="str">
        <f>COMPOSICIÓN!A176</f>
        <v>ALB-068</v>
      </c>
      <c r="B176" s="212" t="str">
        <f>COMPOSICIÓN!B176</f>
        <v>MAT</v>
      </c>
      <c r="C176" s="212" t="str">
        <f>COMPOSICIÓN!C176</f>
        <v>OTR</v>
      </c>
      <c r="D176" s="212" t="str">
        <f>COMPOSICIÓN!D176</f>
        <v>ACE-001</v>
      </c>
      <c r="E176" s="212" t="str">
        <f>COMPOSICIÓN!E176</f>
        <v>Barra de Acero Aleteado - 6mm x 12m</v>
      </c>
      <c r="F176" s="212" t="str">
        <f>COMPOSICIÓN!F176</f>
        <v>u</v>
      </c>
      <c r="G176" s="213">
        <f>COMPOSICIÓN!G176</f>
        <v>0.17</v>
      </c>
      <c r="H176" s="214">
        <f>COMPOSICIÓN!H176</f>
        <v>0.1</v>
      </c>
      <c r="I176" s="215">
        <f>COMPOSICIÓN!I176</f>
        <v>3424.53</v>
      </c>
      <c r="J176" s="212" t="str">
        <f>IFERROR(VLOOKUP(A176,PARTIDAS!$A$2:$C$269,3,FALSE()),"")</f>
        <v>MAMPOSTERÍA</v>
      </c>
      <c r="K176" s="212" t="str">
        <f>IFERROR(INDEX(PPTO_GENERADOR!$B$4:$B$220,MATCH(A176,PPTO_GENERADOR!$Q$4:$Q$220,0)),"")</f>
        <v/>
      </c>
      <c r="L176" s="216">
        <f>IF(PLAN_ETAPA!$C$4="(TODOS)",SUMIFS(PPTO_GENERADOR!$E$4:$E$220,PPTO_GENERADOR!$Q$4:$Q$220,A176),SUMIFS(PPTO_GENERADOR!$E$4:$E$220,PPTO_GENERADOR!$Q$4:$Q$220,A176,PPTO_GENERADOR!$B$4:$B$220,PLAN_ETAPA!$C$4))</f>
        <v>0</v>
      </c>
      <c r="M176" s="216">
        <f>IFERROR(VLOOKUP(A176,PARTIDAS!$A$2:$F$269,6,FALSE()),1)</f>
        <v>15</v>
      </c>
      <c r="N176" s="216">
        <f>IFERROR(VLOOKUP(A176,PARTIDAS!$A$2:$I$269,9,FALSE()),1)</f>
        <v>1</v>
      </c>
      <c r="O176" s="217">
        <f t="shared" si="4"/>
        <v>0</v>
      </c>
      <c r="P176" s="216">
        <f>IF(O176=0,0,IF(B176="MAT",G176*(1+H176)*L176*PLAN_ETAPA!$C$5,IF(B176="MO",IF(M176=0,0,G176*L176*PLAN_ETAPA!$C$5*N176/M176),IF(B176="EQ",IF(M176=0,0,G176*L176*PLAN_ETAPA!$C$5/M176),0))))</f>
        <v>0</v>
      </c>
      <c r="Q176" s="218">
        <f t="shared" si="5"/>
        <v>0</v>
      </c>
    </row>
    <row r="177" spans="1:17" x14ac:dyDescent="0.35">
      <c r="A177" s="212" t="str">
        <f>COMPOSICIÓN!A177</f>
        <v>ALB-068</v>
      </c>
      <c r="B177" s="212" t="str">
        <f>COMPOSICIÓN!B177</f>
        <v>MAT</v>
      </c>
      <c r="C177" s="212" t="str">
        <f>COMPOSICIÓN!C177</f>
        <v>OTR</v>
      </c>
      <c r="D177" s="212" t="str">
        <f>COMPOSICIÓN!D177</f>
        <v>AGR-001</v>
      </c>
      <c r="E177" s="212" t="str">
        <f>COMPOSICIÓN!E177</f>
        <v>ARENA LAVADA</v>
      </c>
      <c r="F177" s="212" t="str">
        <f>COMPOSICIÓN!F177</f>
        <v>m3</v>
      </c>
      <c r="G177" s="213">
        <f>COMPOSICIÓN!G177</f>
        <v>0.03</v>
      </c>
      <c r="H177" s="214">
        <f>COMPOSICIÓN!H177</f>
        <v>0.05</v>
      </c>
      <c r="I177" s="215">
        <f>COMPOSICIÓN!I177</f>
        <v>32399.77</v>
      </c>
      <c r="J177" s="212" t="str">
        <f>IFERROR(VLOOKUP(A177,PARTIDAS!$A$2:$C$269,3,FALSE()),"")</f>
        <v>MAMPOSTERÍA</v>
      </c>
      <c r="K177" s="212" t="str">
        <f>IFERROR(INDEX(PPTO_GENERADOR!$B$4:$B$220,MATCH(A177,PPTO_GENERADOR!$Q$4:$Q$220,0)),"")</f>
        <v/>
      </c>
      <c r="L177" s="216">
        <f>IF(PLAN_ETAPA!$C$4="(TODOS)",SUMIFS(PPTO_GENERADOR!$E$4:$E$220,PPTO_GENERADOR!$Q$4:$Q$220,A177),SUMIFS(PPTO_GENERADOR!$E$4:$E$220,PPTO_GENERADOR!$Q$4:$Q$220,A177,PPTO_GENERADOR!$B$4:$B$220,PLAN_ETAPA!$C$4))</f>
        <v>0</v>
      </c>
      <c r="M177" s="216">
        <f>IFERROR(VLOOKUP(A177,PARTIDAS!$A$2:$F$269,6,FALSE()),1)</f>
        <v>15</v>
      </c>
      <c r="N177" s="216">
        <f>IFERROR(VLOOKUP(A177,PARTIDAS!$A$2:$I$269,9,FALSE()),1)</f>
        <v>1</v>
      </c>
      <c r="O177" s="217">
        <f t="shared" si="4"/>
        <v>0</v>
      </c>
      <c r="P177" s="216">
        <f>IF(O177=0,0,IF(B177="MAT",G177*(1+H177)*L177*PLAN_ETAPA!$C$5,IF(B177="MO",IF(M177=0,0,G177*L177*PLAN_ETAPA!$C$5*N177/M177),IF(B177="EQ",IF(M177=0,0,G177*L177*PLAN_ETAPA!$C$5/M177),0))))</f>
        <v>0</v>
      </c>
      <c r="Q177" s="218">
        <f t="shared" si="5"/>
        <v>0</v>
      </c>
    </row>
    <row r="178" spans="1:17" x14ac:dyDescent="0.35">
      <c r="A178" s="212" t="str">
        <f>COMPOSICIÓN!A178</f>
        <v>ALB-068</v>
      </c>
      <c r="B178" s="212" t="str">
        <f>COMPOSICIÓN!B178</f>
        <v>MAT</v>
      </c>
      <c r="C178" s="212" t="str">
        <f>COMPOSICIÓN!C178</f>
        <v>OTR</v>
      </c>
      <c r="D178" s="212" t="str">
        <f>COMPOSICIÓN!D178</f>
        <v>AGR-004</v>
      </c>
      <c r="E178" s="212" t="str">
        <f>COMPOSICIÓN!E178</f>
        <v>Cemento Portland x 50kg</v>
      </c>
      <c r="F178" s="212" t="str">
        <f>COMPOSICIÓN!F178</f>
        <v>Bol</v>
      </c>
      <c r="G178" s="213">
        <f>COMPOSICIÓN!G178</f>
        <v>0.125</v>
      </c>
      <c r="H178" s="214">
        <f>COMPOSICIÓN!H178</f>
        <v>0.03</v>
      </c>
      <c r="I178" s="215">
        <f>COMPOSICIÓN!I178</f>
        <v>7809.48</v>
      </c>
      <c r="J178" s="212" t="str">
        <f>IFERROR(VLOOKUP(A178,PARTIDAS!$A$2:$C$269,3,FALSE()),"")</f>
        <v>MAMPOSTERÍA</v>
      </c>
      <c r="K178" s="212" t="str">
        <f>IFERROR(INDEX(PPTO_GENERADOR!$B$4:$B$220,MATCH(A178,PPTO_GENERADOR!$Q$4:$Q$220,0)),"")</f>
        <v/>
      </c>
      <c r="L178" s="216">
        <f>IF(PLAN_ETAPA!$C$4="(TODOS)",SUMIFS(PPTO_GENERADOR!$E$4:$E$220,PPTO_GENERADOR!$Q$4:$Q$220,A178),SUMIFS(PPTO_GENERADOR!$E$4:$E$220,PPTO_GENERADOR!$Q$4:$Q$220,A178,PPTO_GENERADOR!$B$4:$B$220,PLAN_ETAPA!$C$4))</f>
        <v>0</v>
      </c>
      <c r="M178" s="216">
        <f>IFERROR(VLOOKUP(A178,PARTIDAS!$A$2:$F$269,6,FALSE()),1)</f>
        <v>15</v>
      </c>
      <c r="N178" s="216">
        <f>IFERROR(VLOOKUP(A178,PARTIDAS!$A$2:$I$269,9,FALSE()),1)</f>
        <v>1</v>
      </c>
      <c r="O178" s="217">
        <f t="shared" si="4"/>
        <v>0</v>
      </c>
      <c r="P178" s="216">
        <f>IF(O178=0,0,IF(B178="MAT",G178*(1+H178)*L178*PLAN_ETAPA!$C$5,IF(B178="MO",IF(M178=0,0,G178*L178*PLAN_ETAPA!$C$5*N178/M178),IF(B178="EQ",IF(M178=0,0,G178*L178*PLAN_ETAPA!$C$5/M178),0))))</f>
        <v>0</v>
      </c>
      <c r="Q178" s="218">
        <f t="shared" si="5"/>
        <v>0</v>
      </c>
    </row>
    <row r="179" spans="1:17" x14ac:dyDescent="0.35">
      <c r="A179" s="212" t="str">
        <f>COMPOSICIÓN!A179</f>
        <v>ALB-068</v>
      </c>
      <c r="B179" s="212" t="str">
        <f>COMPOSICIÓN!B179</f>
        <v>MAT</v>
      </c>
      <c r="C179" s="212" t="str">
        <f>COMPOSICIÓN!C179</f>
        <v>OTR</v>
      </c>
      <c r="D179" s="212" t="str">
        <f>COMPOSICIÓN!D179</f>
        <v>AGR-005</v>
      </c>
      <c r="E179" s="212" t="str">
        <f>COMPOSICIÓN!E179</f>
        <v>Cal Comun x 25kg</v>
      </c>
      <c r="F179" s="212" t="str">
        <f>COMPOSICIÓN!F179</f>
        <v>bol</v>
      </c>
      <c r="G179" s="213">
        <f>COMPOSICIÓN!G179</f>
        <v>0.25</v>
      </c>
      <c r="H179" s="214">
        <f>COMPOSICIÓN!H179</f>
        <v>0.05</v>
      </c>
      <c r="I179" s="215">
        <f>COMPOSICIÓN!I179</f>
        <v>3837.96</v>
      </c>
      <c r="J179" s="212" t="str">
        <f>IFERROR(VLOOKUP(A179,PARTIDAS!$A$2:$C$269,3,FALSE()),"")</f>
        <v>MAMPOSTERÍA</v>
      </c>
      <c r="K179" s="212" t="str">
        <f>IFERROR(INDEX(PPTO_GENERADOR!$B$4:$B$220,MATCH(A179,PPTO_GENERADOR!$Q$4:$Q$220,0)),"")</f>
        <v/>
      </c>
      <c r="L179" s="216">
        <f>IF(PLAN_ETAPA!$C$4="(TODOS)",SUMIFS(PPTO_GENERADOR!$E$4:$E$220,PPTO_GENERADOR!$Q$4:$Q$220,A179),SUMIFS(PPTO_GENERADOR!$E$4:$E$220,PPTO_GENERADOR!$Q$4:$Q$220,A179,PPTO_GENERADOR!$B$4:$B$220,PLAN_ETAPA!$C$4))</f>
        <v>0</v>
      </c>
      <c r="M179" s="216">
        <f>IFERROR(VLOOKUP(A179,PARTIDAS!$A$2:$F$269,6,FALSE()),1)</f>
        <v>15</v>
      </c>
      <c r="N179" s="216">
        <f>IFERROR(VLOOKUP(A179,PARTIDAS!$A$2:$I$269,9,FALSE()),1)</f>
        <v>1</v>
      </c>
      <c r="O179" s="217">
        <f t="shared" si="4"/>
        <v>0</v>
      </c>
      <c r="P179" s="216">
        <f>IF(O179=0,0,IF(B179="MAT",G179*(1+H179)*L179*PLAN_ETAPA!$C$5,IF(B179="MO",IF(M179=0,0,G179*L179*PLAN_ETAPA!$C$5*N179/M179),IF(B179="EQ",IF(M179=0,0,G179*L179*PLAN_ETAPA!$C$5/M179),0))))</f>
        <v>0</v>
      </c>
      <c r="Q179" s="218">
        <f t="shared" si="5"/>
        <v>0</v>
      </c>
    </row>
    <row r="180" spans="1:17" x14ac:dyDescent="0.35">
      <c r="A180" s="212" t="str">
        <f>COMPOSICIÓN!A180</f>
        <v>ALB-068</v>
      </c>
      <c r="B180" s="212" t="str">
        <f>COMPOSICIÓN!B180</f>
        <v>MAT</v>
      </c>
      <c r="C180" s="212" t="str">
        <f>COMPOSICIÓN!C180</f>
        <v>OTR</v>
      </c>
      <c r="D180" s="212" t="str">
        <f>COMPOSICIÓN!D180</f>
        <v>CER-004</v>
      </c>
      <c r="E180" s="212" t="str">
        <f>COMPOSICIÓN!E180</f>
        <v>LADRILLO CERAMICO 18 x 18 x 33 cm</v>
      </c>
      <c r="F180" s="212" t="str">
        <f>COMPOSICIÓN!F180</f>
        <v>u</v>
      </c>
      <c r="G180" s="213">
        <f>COMPOSICIÓN!G180</f>
        <v>15</v>
      </c>
      <c r="H180" s="214">
        <f>COMPOSICIÓN!H180</f>
        <v>0.05</v>
      </c>
      <c r="I180" s="215">
        <f>COMPOSICIÓN!I180</f>
        <v>519.12</v>
      </c>
      <c r="J180" s="212" t="str">
        <f>IFERROR(VLOOKUP(A180,PARTIDAS!$A$2:$C$269,3,FALSE()),"")</f>
        <v>MAMPOSTERÍA</v>
      </c>
      <c r="K180" s="212" t="str">
        <f>IFERROR(INDEX(PPTO_GENERADOR!$B$4:$B$220,MATCH(A180,PPTO_GENERADOR!$Q$4:$Q$220,0)),"")</f>
        <v/>
      </c>
      <c r="L180" s="216">
        <f>IF(PLAN_ETAPA!$C$4="(TODOS)",SUMIFS(PPTO_GENERADOR!$E$4:$E$220,PPTO_GENERADOR!$Q$4:$Q$220,A180),SUMIFS(PPTO_GENERADOR!$E$4:$E$220,PPTO_GENERADOR!$Q$4:$Q$220,A180,PPTO_GENERADOR!$B$4:$B$220,PLAN_ETAPA!$C$4))</f>
        <v>0</v>
      </c>
      <c r="M180" s="216">
        <f>IFERROR(VLOOKUP(A180,PARTIDAS!$A$2:$F$269,6,FALSE()),1)</f>
        <v>15</v>
      </c>
      <c r="N180" s="216">
        <f>IFERROR(VLOOKUP(A180,PARTIDAS!$A$2:$I$269,9,FALSE()),1)</f>
        <v>1</v>
      </c>
      <c r="O180" s="217">
        <f t="shared" si="4"/>
        <v>0</v>
      </c>
      <c r="P180" s="216">
        <f>IF(O180=0,0,IF(B180="MAT",G180*(1+H180)*L180*PLAN_ETAPA!$C$5,IF(B180="MO",IF(M180=0,0,G180*L180*PLAN_ETAPA!$C$5*N180/M180),IF(B180="EQ",IF(M180=0,0,G180*L180*PLAN_ETAPA!$C$5/M180),0))))</f>
        <v>0</v>
      </c>
      <c r="Q180" s="218">
        <f t="shared" si="5"/>
        <v>0</v>
      </c>
    </row>
    <row r="181" spans="1:17" x14ac:dyDescent="0.35">
      <c r="A181" s="212" t="str">
        <f>COMPOSICIÓN!A181</f>
        <v>ALB-068</v>
      </c>
      <c r="B181" s="212" t="str">
        <f>COMPOSICIÓN!B181</f>
        <v>MO</v>
      </c>
      <c r="C181" s="212" t="str">
        <f>COMPOSICIÓN!C181</f>
        <v>ALB</v>
      </c>
      <c r="D181" s="212" t="str">
        <f>COMPOSICIÓN!D181</f>
        <v>MO-EAYUD</v>
      </c>
      <c r="E181" s="212" t="str">
        <f>COMPOSICIÓN!E181</f>
        <v>AYUDANTE</v>
      </c>
      <c r="F181" s="212" t="str">
        <f>COMPOSICIÓN!F181</f>
        <v>j</v>
      </c>
      <c r="G181" s="213">
        <f>COMPOSICIÓN!G181</f>
        <v>1</v>
      </c>
      <c r="H181" s="214">
        <f>COMPOSICIÓN!H181</f>
        <v>0</v>
      </c>
      <c r="I181" s="215">
        <f>COMPOSICIÓN!I181</f>
        <v>60860.580776572002</v>
      </c>
      <c r="J181" s="212" t="str">
        <f>IFERROR(VLOOKUP(A181,PARTIDAS!$A$2:$C$269,3,FALSE()),"")</f>
        <v>MAMPOSTERÍA</v>
      </c>
      <c r="K181" s="212" t="str">
        <f>IFERROR(INDEX(PPTO_GENERADOR!$B$4:$B$220,MATCH(A181,PPTO_GENERADOR!$Q$4:$Q$220,0)),"")</f>
        <v/>
      </c>
      <c r="L181" s="216">
        <f>IF(PLAN_ETAPA!$C$4="(TODOS)",SUMIFS(PPTO_GENERADOR!$E$4:$E$220,PPTO_GENERADOR!$Q$4:$Q$220,A181),SUMIFS(PPTO_GENERADOR!$E$4:$E$220,PPTO_GENERADOR!$Q$4:$Q$220,A181,PPTO_GENERADOR!$B$4:$B$220,PLAN_ETAPA!$C$4))</f>
        <v>0</v>
      </c>
      <c r="M181" s="216">
        <f>IFERROR(VLOOKUP(A181,PARTIDAS!$A$2:$F$269,6,FALSE()),1)</f>
        <v>15</v>
      </c>
      <c r="N181" s="216">
        <f>IFERROR(VLOOKUP(A181,PARTIDAS!$A$2:$I$269,9,FALSE()),1)</f>
        <v>1</v>
      </c>
      <c r="O181" s="217">
        <f t="shared" si="4"/>
        <v>0</v>
      </c>
      <c r="P181" s="216">
        <f>IF(O181=0,0,IF(B181="MAT",G181*(1+H181)*L181*PLAN_ETAPA!$C$5,IF(B181="MO",IF(M181=0,0,G181*L181*PLAN_ETAPA!$C$5*N181/M181),IF(B181="EQ",IF(M181=0,0,G181*L181*PLAN_ETAPA!$C$5/M181),0))))</f>
        <v>0</v>
      </c>
      <c r="Q181" s="218">
        <f t="shared" si="5"/>
        <v>0</v>
      </c>
    </row>
    <row r="182" spans="1:17" x14ac:dyDescent="0.35">
      <c r="A182" s="212" t="str">
        <f>COMPOSICIÓN!A182</f>
        <v>ALB-068</v>
      </c>
      <c r="B182" s="212" t="str">
        <f>COMPOSICIÓN!B182</f>
        <v>MO</v>
      </c>
      <c r="C182" s="212" t="str">
        <f>COMPOSICIÓN!C182</f>
        <v>ALB</v>
      </c>
      <c r="D182" s="212" t="str">
        <f>COMPOSICIÓN!D182</f>
        <v>MO-EESPE</v>
      </c>
      <c r="E182" s="212" t="str">
        <f>COMPOSICIÓN!E182</f>
        <v>ESPECIALIZADO</v>
      </c>
      <c r="F182" s="212" t="str">
        <f>COMPOSICIÓN!F182</f>
        <v>j</v>
      </c>
      <c r="G182" s="213">
        <f>COMPOSICIÓN!G182</f>
        <v>1</v>
      </c>
      <c r="H182" s="214">
        <f>COMPOSICIÓN!H182</f>
        <v>0</v>
      </c>
      <c r="I182" s="215">
        <f>COMPOSICIÓN!I182</f>
        <v>85927.097156571996</v>
      </c>
      <c r="J182" s="212" t="str">
        <f>IFERROR(VLOOKUP(A182,PARTIDAS!$A$2:$C$269,3,FALSE()),"")</f>
        <v>MAMPOSTERÍA</v>
      </c>
      <c r="K182" s="212" t="str">
        <f>IFERROR(INDEX(PPTO_GENERADOR!$B$4:$B$220,MATCH(A182,PPTO_GENERADOR!$Q$4:$Q$220,0)),"")</f>
        <v/>
      </c>
      <c r="L182" s="216">
        <f>IF(PLAN_ETAPA!$C$4="(TODOS)",SUMIFS(PPTO_GENERADOR!$E$4:$E$220,PPTO_GENERADOR!$Q$4:$Q$220,A182),SUMIFS(PPTO_GENERADOR!$E$4:$E$220,PPTO_GENERADOR!$Q$4:$Q$220,A182,PPTO_GENERADOR!$B$4:$B$220,PLAN_ETAPA!$C$4))</f>
        <v>0</v>
      </c>
      <c r="M182" s="216">
        <f>IFERROR(VLOOKUP(A182,PARTIDAS!$A$2:$F$269,6,FALSE()),1)</f>
        <v>15</v>
      </c>
      <c r="N182" s="216">
        <f>IFERROR(VLOOKUP(A182,PARTIDAS!$A$2:$I$269,9,FALSE()),1)</f>
        <v>1</v>
      </c>
      <c r="O182" s="217">
        <f t="shared" si="4"/>
        <v>0</v>
      </c>
      <c r="P182" s="216">
        <f>IF(O182=0,0,IF(B182="MAT",G182*(1+H182)*L182*PLAN_ETAPA!$C$5,IF(B182="MO",IF(M182=0,0,G182*L182*PLAN_ETAPA!$C$5*N182/M182),IF(B182="EQ",IF(M182=0,0,G182*L182*PLAN_ETAPA!$C$5/M182),0))))</f>
        <v>0</v>
      </c>
      <c r="Q182" s="218">
        <f t="shared" si="5"/>
        <v>0</v>
      </c>
    </row>
    <row r="183" spans="1:17" x14ac:dyDescent="0.35">
      <c r="A183" s="212" t="str">
        <f>COMPOSICIÓN!A183</f>
        <v>ALB-070</v>
      </c>
      <c r="B183" s="212" t="str">
        <f>COMPOSICIÓN!B183</f>
        <v>EQ</v>
      </c>
      <c r="C183" s="212">
        <f>COMPOSICIÓN!C183</f>
        <v>0</v>
      </c>
      <c r="D183" s="212" t="str">
        <f>COMPOSICIÓN!D183</f>
        <v>EQ-SOLD00</v>
      </c>
      <c r="E183" s="212" t="str">
        <f>COMPOSICIÓN!E183</f>
        <v>Soldador Soplete A Gas Techista Membrana 10 Kg Boca 50mm</v>
      </c>
      <c r="F183" s="212">
        <f>COMPOSICIÓN!F183</f>
        <v>0</v>
      </c>
      <c r="G183" s="213">
        <f>COMPOSICIÓN!G183</f>
        <v>1</v>
      </c>
      <c r="H183" s="214">
        <f>COMPOSICIÓN!H183</f>
        <v>0</v>
      </c>
      <c r="I183" s="215">
        <f>COMPOSICIÓN!I183</f>
        <v>804.50568716120006</v>
      </c>
      <c r="J183" s="212" t="str">
        <f>IFERROR(VLOOKUP(A183,PARTIDAS!$A$2:$C$269,3,FALSE()),"")</f>
        <v>MAMPOSTERÍA</v>
      </c>
      <c r="K183" s="212" t="str">
        <f>IFERROR(INDEX(PPTO_GENERADOR!$B$4:$B$220,MATCH(A183,PPTO_GENERADOR!$Q$4:$Q$220,0)),"")</f>
        <v/>
      </c>
      <c r="L183" s="216">
        <f>IF(PLAN_ETAPA!$C$4="(TODOS)",SUMIFS(PPTO_GENERADOR!$E$4:$E$220,PPTO_GENERADOR!$Q$4:$Q$220,A183),SUMIFS(PPTO_GENERADOR!$E$4:$E$220,PPTO_GENERADOR!$Q$4:$Q$220,A183,PPTO_GENERADOR!$B$4:$B$220,PLAN_ETAPA!$C$4))</f>
        <v>0</v>
      </c>
      <c r="M183" s="216">
        <f>IFERROR(VLOOKUP(A183,PARTIDAS!$A$2:$F$269,6,FALSE()),1)</f>
        <v>25</v>
      </c>
      <c r="N183" s="216">
        <f>IFERROR(VLOOKUP(A183,PARTIDAS!$A$2:$I$269,9,FALSE()),1)</f>
        <v>1</v>
      </c>
      <c r="O183" s="217">
        <f t="shared" si="4"/>
        <v>0</v>
      </c>
      <c r="P183" s="216">
        <f>IF(O183=0,0,IF(B183="MAT",G183*(1+H183)*L183*PLAN_ETAPA!$C$5,IF(B183="MO",IF(M183=0,0,G183*L183*PLAN_ETAPA!$C$5*N183/M183),IF(B183="EQ",IF(M183=0,0,G183*L183*PLAN_ETAPA!$C$5/M183),0))))</f>
        <v>0</v>
      </c>
      <c r="Q183" s="218">
        <f t="shared" si="5"/>
        <v>0</v>
      </c>
    </row>
    <row r="184" spans="1:17" x14ac:dyDescent="0.35">
      <c r="A184" s="212" t="str">
        <f>COMPOSICIÓN!A184</f>
        <v>ALB-070</v>
      </c>
      <c r="B184" s="212" t="str">
        <f>COMPOSICIÓN!B184</f>
        <v>MAT</v>
      </c>
      <c r="C184" s="212" t="str">
        <f>COMPOSICIÓN!C184</f>
        <v>OTR</v>
      </c>
      <c r="D184" s="212" t="str">
        <f>COMPOSICIÓN!D184</f>
        <v>OTR-022</v>
      </c>
      <c r="E184" s="212" t="str">
        <f>COMPOSICIÓN!E184</f>
        <v>Aguarras Hydrarras Hydra x 18lts</v>
      </c>
      <c r="F184" s="212" t="str">
        <f>COMPOSICIÓN!F184</f>
        <v>b</v>
      </c>
      <c r="G184" s="213">
        <f>COMPOSICIÓN!G184</f>
        <v>0.01</v>
      </c>
      <c r="H184" s="214">
        <f>COMPOSICIÓN!H184</f>
        <v>0.05</v>
      </c>
      <c r="I184" s="215">
        <f>COMPOSICIÓN!I184</f>
        <v>26907.33</v>
      </c>
      <c r="J184" s="212" t="str">
        <f>IFERROR(VLOOKUP(A184,PARTIDAS!$A$2:$C$269,3,FALSE()),"")</f>
        <v>MAMPOSTERÍA</v>
      </c>
      <c r="K184" s="212" t="str">
        <f>IFERROR(INDEX(PPTO_GENERADOR!$B$4:$B$220,MATCH(A184,PPTO_GENERADOR!$Q$4:$Q$220,0)),"")</f>
        <v/>
      </c>
      <c r="L184" s="216">
        <f>IF(PLAN_ETAPA!$C$4="(TODOS)",SUMIFS(PPTO_GENERADOR!$E$4:$E$220,PPTO_GENERADOR!$Q$4:$Q$220,A184),SUMIFS(PPTO_GENERADOR!$E$4:$E$220,PPTO_GENERADOR!$Q$4:$Q$220,A184,PPTO_GENERADOR!$B$4:$B$220,PLAN_ETAPA!$C$4))</f>
        <v>0</v>
      </c>
      <c r="M184" s="216">
        <f>IFERROR(VLOOKUP(A184,PARTIDAS!$A$2:$F$269,6,FALSE()),1)</f>
        <v>25</v>
      </c>
      <c r="N184" s="216">
        <f>IFERROR(VLOOKUP(A184,PARTIDAS!$A$2:$I$269,9,FALSE()),1)</f>
        <v>1</v>
      </c>
      <c r="O184" s="217">
        <f t="shared" si="4"/>
        <v>0</v>
      </c>
      <c r="P184" s="216">
        <f>IF(O184=0,0,IF(B184="MAT",G184*(1+H184)*L184*PLAN_ETAPA!$C$5,IF(B184="MO",IF(M184=0,0,G184*L184*PLAN_ETAPA!$C$5*N184/M184),IF(B184="EQ",IF(M184=0,0,G184*L184*PLAN_ETAPA!$C$5/M184),0))))</f>
        <v>0</v>
      </c>
      <c r="Q184" s="218">
        <f t="shared" si="5"/>
        <v>0</v>
      </c>
    </row>
    <row r="185" spans="1:17" x14ac:dyDescent="0.35">
      <c r="A185" s="212" t="str">
        <f>COMPOSICIÓN!A185</f>
        <v>ALB-070</v>
      </c>
      <c r="B185" s="212" t="str">
        <f>COMPOSICIÓN!B185</f>
        <v>MAT</v>
      </c>
      <c r="C185" s="212" t="str">
        <f>COMPOSICIÓN!C185</f>
        <v>OTR</v>
      </c>
      <c r="D185" s="212" t="str">
        <f>COMPOSICIÓN!D185</f>
        <v>OTR-025</v>
      </c>
      <c r="E185" s="212" t="str">
        <f>COMPOSICIÓN!E185</f>
        <v>Trapo</v>
      </c>
      <c r="F185" s="212" t="str">
        <f>COMPOSICIÓN!F185</f>
        <v>u</v>
      </c>
      <c r="G185" s="213">
        <f>COMPOSICIÓN!G185</f>
        <v>0.02</v>
      </c>
      <c r="H185" s="214">
        <f>COMPOSICIÓN!H185</f>
        <v>0.05</v>
      </c>
      <c r="I185" s="215">
        <f>COMPOSICIÓN!I185</f>
        <v>735.06</v>
      </c>
      <c r="J185" s="212" t="str">
        <f>IFERROR(VLOOKUP(A185,PARTIDAS!$A$2:$C$269,3,FALSE()),"")</f>
        <v>MAMPOSTERÍA</v>
      </c>
      <c r="K185" s="212" t="str">
        <f>IFERROR(INDEX(PPTO_GENERADOR!$B$4:$B$220,MATCH(A185,PPTO_GENERADOR!$Q$4:$Q$220,0)),"")</f>
        <v/>
      </c>
      <c r="L185" s="216">
        <f>IF(PLAN_ETAPA!$C$4="(TODOS)",SUMIFS(PPTO_GENERADOR!$E$4:$E$220,PPTO_GENERADOR!$Q$4:$Q$220,A185),SUMIFS(PPTO_GENERADOR!$E$4:$E$220,PPTO_GENERADOR!$Q$4:$Q$220,A185,PPTO_GENERADOR!$B$4:$B$220,PLAN_ETAPA!$C$4))</f>
        <v>0</v>
      </c>
      <c r="M185" s="216">
        <f>IFERROR(VLOOKUP(A185,PARTIDAS!$A$2:$F$269,6,FALSE()),1)</f>
        <v>25</v>
      </c>
      <c r="N185" s="216">
        <f>IFERROR(VLOOKUP(A185,PARTIDAS!$A$2:$I$269,9,FALSE()),1)</f>
        <v>1</v>
      </c>
      <c r="O185" s="217">
        <f t="shared" si="4"/>
        <v>0</v>
      </c>
      <c r="P185" s="216">
        <f>IF(O185=0,0,IF(B185="MAT",G185*(1+H185)*L185*PLAN_ETAPA!$C$5,IF(B185="MO",IF(M185=0,0,G185*L185*PLAN_ETAPA!$C$5*N185/M185),IF(B185="EQ",IF(M185=0,0,G185*L185*PLAN_ETAPA!$C$5/M185),0))))</f>
        <v>0</v>
      </c>
      <c r="Q185" s="218">
        <f t="shared" si="5"/>
        <v>0</v>
      </c>
    </row>
    <row r="186" spans="1:17" x14ac:dyDescent="0.35">
      <c r="A186" s="212" t="str">
        <f>COMPOSICIÓN!A186</f>
        <v>ALB-070</v>
      </c>
      <c r="B186" s="212" t="str">
        <f>COMPOSICIÓN!B186</f>
        <v>MAT</v>
      </c>
      <c r="C186" s="212" t="str">
        <f>COMPOSICIÓN!C186</f>
        <v>OTR</v>
      </c>
      <c r="D186" s="212" t="str">
        <f>COMPOSICIÓN!D186</f>
        <v>OTR-027</v>
      </c>
      <c r="E186" s="212" t="str">
        <f>COMPOSICIÓN!E186</f>
        <v>Rodillo de lana pelo largo N°22 - El Galgo</v>
      </c>
      <c r="F186" s="212" t="str">
        <f>COMPOSICIÓN!F186</f>
        <v>u</v>
      </c>
      <c r="G186" s="213">
        <f>COMPOSICIÓN!G186</f>
        <v>0.01</v>
      </c>
      <c r="H186" s="214">
        <f>COMPOSICIÓN!H186</f>
        <v>0.05</v>
      </c>
      <c r="I186" s="215">
        <f>COMPOSICIÓN!I186</f>
        <v>6678.36</v>
      </c>
      <c r="J186" s="212" t="str">
        <f>IFERROR(VLOOKUP(A186,PARTIDAS!$A$2:$C$269,3,FALSE()),"")</f>
        <v>MAMPOSTERÍA</v>
      </c>
      <c r="K186" s="212" t="str">
        <f>IFERROR(INDEX(PPTO_GENERADOR!$B$4:$B$220,MATCH(A186,PPTO_GENERADOR!$Q$4:$Q$220,0)),"")</f>
        <v/>
      </c>
      <c r="L186" s="216">
        <f>IF(PLAN_ETAPA!$C$4="(TODOS)",SUMIFS(PPTO_GENERADOR!$E$4:$E$220,PPTO_GENERADOR!$Q$4:$Q$220,A186),SUMIFS(PPTO_GENERADOR!$E$4:$E$220,PPTO_GENERADOR!$Q$4:$Q$220,A186,PPTO_GENERADOR!$B$4:$B$220,PLAN_ETAPA!$C$4))</f>
        <v>0</v>
      </c>
      <c r="M186" s="216">
        <f>IFERROR(VLOOKUP(A186,PARTIDAS!$A$2:$F$269,6,FALSE()),1)</f>
        <v>25</v>
      </c>
      <c r="N186" s="216">
        <f>IFERROR(VLOOKUP(A186,PARTIDAS!$A$2:$I$269,9,FALSE()),1)</f>
        <v>1</v>
      </c>
      <c r="O186" s="217">
        <f t="shared" si="4"/>
        <v>0</v>
      </c>
      <c r="P186" s="216">
        <f>IF(O186=0,0,IF(B186="MAT",G186*(1+H186)*L186*PLAN_ETAPA!$C$5,IF(B186="MO",IF(M186=0,0,G186*L186*PLAN_ETAPA!$C$5*N186/M186),IF(B186="EQ",IF(M186=0,0,G186*L186*PLAN_ETAPA!$C$5/M186),0))))</f>
        <v>0</v>
      </c>
      <c r="Q186" s="218">
        <f t="shared" si="5"/>
        <v>0</v>
      </c>
    </row>
    <row r="187" spans="1:17" x14ac:dyDescent="0.35">
      <c r="A187" s="212" t="str">
        <f>COMPOSICIÓN!A187</f>
        <v>ALB-070</v>
      </c>
      <c r="B187" s="212" t="str">
        <f>COMPOSICIÓN!B187</f>
        <v>MAT</v>
      </c>
      <c r="C187" s="212" t="str">
        <f>COMPOSICIÓN!C187</f>
        <v>OTR</v>
      </c>
      <c r="D187" s="212" t="str">
        <f>COMPOSICIÓN!D187</f>
        <v>OTR-028</v>
      </c>
      <c r="E187" s="212" t="str">
        <f>COMPOSICIÓN!E187</f>
        <v>Pincel N° 20 - El Galgo</v>
      </c>
      <c r="F187" s="212" t="str">
        <f>COMPOSICIÓN!F187</f>
        <v>u</v>
      </c>
      <c r="G187" s="213">
        <f>COMPOSICIÓN!G187</f>
        <v>0.02</v>
      </c>
      <c r="H187" s="214">
        <f>COMPOSICIÓN!H187</f>
        <v>0.05</v>
      </c>
      <c r="I187" s="215">
        <f>COMPOSICIÓN!I187</f>
        <v>5282.24</v>
      </c>
      <c r="J187" s="212" t="str">
        <f>IFERROR(VLOOKUP(A187,PARTIDAS!$A$2:$C$269,3,FALSE()),"")</f>
        <v>MAMPOSTERÍA</v>
      </c>
      <c r="K187" s="212" t="str">
        <f>IFERROR(INDEX(PPTO_GENERADOR!$B$4:$B$220,MATCH(A187,PPTO_GENERADOR!$Q$4:$Q$220,0)),"")</f>
        <v/>
      </c>
      <c r="L187" s="216">
        <f>IF(PLAN_ETAPA!$C$4="(TODOS)",SUMIFS(PPTO_GENERADOR!$E$4:$E$220,PPTO_GENERADOR!$Q$4:$Q$220,A187),SUMIFS(PPTO_GENERADOR!$E$4:$E$220,PPTO_GENERADOR!$Q$4:$Q$220,A187,PPTO_GENERADOR!$B$4:$B$220,PLAN_ETAPA!$C$4))</f>
        <v>0</v>
      </c>
      <c r="M187" s="216">
        <f>IFERROR(VLOOKUP(A187,PARTIDAS!$A$2:$F$269,6,FALSE()),1)</f>
        <v>25</v>
      </c>
      <c r="N187" s="216">
        <f>IFERROR(VLOOKUP(A187,PARTIDAS!$A$2:$I$269,9,FALSE()),1)</f>
        <v>1</v>
      </c>
      <c r="O187" s="217">
        <f t="shared" si="4"/>
        <v>0</v>
      </c>
      <c r="P187" s="216">
        <f>IF(O187=0,0,IF(B187="MAT",G187*(1+H187)*L187*PLAN_ETAPA!$C$5,IF(B187="MO",IF(M187=0,0,G187*L187*PLAN_ETAPA!$C$5*N187/M187),IF(B187="EQ",IF(M187=0,0,G187*L187*PLAN_ETAPA!$C$5/M187),0))))</f>
        <v>0</v>
      </c>
      <c r="Q187" s="218">
        <f t="shared" si="5"/>
        <v>0</v>
      </c>
    </row>
    <row r="188" spans="1:17" x14ac:dyDescent="0.35">
      <c r="A188" s="212" t="str">
        <f>COMPOSICIÓN!A188</f>
        <v>ALB-070</v>
      </c>
      <c r="B188" s="212" t="str">
        <f>COMPOSICIÓN!B188</f>
        <v>MAT</v>
      </c>
      <c r="C188" s="212" t="str">
        <f>COMPOSICIÓN!C188</f>
        <v>OTR</v>
      </c>
      <c r="D188" s="212" t="str">
        <f>COMPOSICIÓN!D188</f>
        <v>OTR-047</v>
      </c>
      <c r="E188" s="212" t="str">
        <f>COMPOSICIÓN!E188</f>
        <v>Guante Vaqueta Medio Paseo</v>
      </c>
      <c r="F188" s="212" t="str">
        <f>COMPOSICIÓN!F188</f>
        <v>par</v>
      </c>
      <c r="G188" s="213">
        <f>COMPOSICIÓN!G188</f>
        <v>0.06</v>
      </c>
      <c r="H188" s="214">
        <f>COMPOSICIÓN!H188</f>
        <v>0.05</v>
      </c>
      <c r="I188" s="215">
        <f>COMPOSICIÓN!I188</f>
        <v>4842</v>
      </c>
      <c r="J188" s="212" t="str">
        <f>IFERROR(VLOOKUP(A188,PARTIDAS!$A$2:$C$269,3,FALSE()),"")</f>
        <v>MAMPOSTERÍA</v>
      </c>
      <c r="K188" s="212" t="str">
        <f>IFERROR(INDEX(PPTO_GENERADOR!$B$4:$B$220,MATCH(A188,PPTO_GENERADOR!$Q$4:$Q$220,0)),"")</f>
        <v/>
      </c>
      <c r="L188" s="216">
        <f>IF(PLAN_ETAPA!$C$4="(TODOS)",SUMIFS(PPTO_GENERADOR!$E$4:$E$220,PPTO_GENERADOR!$Q$4:$Q$220,A188),SUMIFS(PPTO_GENERADOR!$E$4:$E$220,PPTO_GENERADOR!$Q$4:$Q$220,A188,PPTO_GENERADOR!$B$4:$B$220,PLAN_ETAPA!$C$4))</f>
        <v>0</v>
      </c>
      <c r="M188" s="216">
        <f>IFERROR(VLOOKUP(A188,PARTIDAS!$A$2:$F$269,6,FALSE()),1)</f>
        <v>25</v>
      </c>
      <c r="N188" s="216">
        <f>IFERROR(VLOOKUP(A188,PARTIDAS!$A$2:$I$269,9,FALSE()),1)</f>
        <v>1</v>
      </c>
      <c r="O188" s="217">
        <f t="shared" si="4"/>
        <v>0</v>
      </c>
      <c r="P188" s="216">
        <f>IF(O188=0,0,IF(B188="MAT",G188*(1+H188)*L188*PLAN_ETAPA!$C$5,IF(B188="MO",IF(M188=0,0,G188*L188*PLAN_ETAPA!$C$5*N188/M188),IF(B188="EQ",IF(M188=0,0,G188*L188*PLAN_ETAPA!$C$5/M188),0))))</f>
        <v>0</v>
      </c>
      <c r="Q188" s="218">
        <f t="shared" si="5"/>
        <v>0</v>
      </c>
    </row>
    <row r="189" spans="1:17" x14ac:dyDescent="0.35">
      <c r="A189" s="212" t="str">
        <f>COMPOSICIÓN!A189</f>
        <v>ALB-070</v>
      </c>
      <c r="B189" s="212" t="str">
        <f>COMPOSICIÓN!B189</f>
        <v>MAT</v>
      </c>
      <c r="C189" s="212" t="str">
        <f>COMPOSICIÓN!C189</f>
        <v>OTR</v>
      </c>
      <c r="D189" s="212" t="str">
        <f>COMPOSICIÓN!D189</f>
        <v>OTR-048</v>
      </c>
      <c r="E189" s="212" t="str">
        <f>COMPOSICIÓN!E189</f>
        <v>Recarga de garrafa</v>
      </c>
      <c r="F189" s="212" t="str">
        <f>COMPOSICIÓN!F189</f>
        <v>u</v>
      </c>
      <c r="G189" s="213">
        <f>COMPOSICIÓN!G189</f>
        <v>0.02</v>
      </c>
      <c r="H189" s="214">
        <f>COMPOSICIÓN!H189</f>
        <v>0.05</v>
      </c>
      <c r="I189" s="215">
        <f>COMPOSICIÓN!I189</f>
        <v>12396.694214876001</v>
      </c>
      <c r="J189" s="212" t="str">
        <f>IFERROR(VLOOKUP(A189,PARTIDAS!$A$2:$C$269,3,FALSE()),"")</f>
        <v>MAMPOSTERÍA</v>
      </c>
      <c r="K189" s="212" t="str">
        <f>IFERROR(INDEX(PPTO_GENERADOR!$B$4:$B$220,MATCH(A189,PPTO_GENERADOR!$Q$4:$Q$220,0)),"")</f>
        <v/>
      </c>
      <c r="L189" s="216">
        <f>IF(PLAN_ETAPA!$C$4="(TODOS)",SUMIFS(PPTO_GENERADOR!$E$4:$E$220,PPTO_GENERADOR!$Q$4:$Q$220,A189),SUMIFS(PPTO_GENERADOR!$E$4:$E$220,PPTO_GENERADOR!$Q$4:$Q$220,A189,PPTO_GENERADOR!$B$4:$B$220,PLAN_ETAPA!$C$4))</f>
        <v>0</v>
      </c>
      <c r="M189" s="216">
        <f>IFERROR(VLOOKUP(A189,PARTIDAS!$A$2:$F$269,6,FALSE()),1)</f>
        <v>25</v>
      </c>
      <c r="N189" s="216">
        <f>IFERROR(VLOOKUP(A189,PARTIDAS!$A$2:$I$269,9,FALSE()),1)</f>
        <v>1</v>
      </c>
      <c r="O189" s="217">
        <f t="shared" si="4"/>
        <v>0</v>
      </c>
      <c r="P189" s="216">
        <f>IF(O189=0,0,IF(B189="MAT",G189*(1+H189)*L189*PLAN_ETAPA!$C$5,IF(B189="MO",IF(M189=0,0,G189*L189*PLAN_ETAPA!$C$5*N189/M189),IF(B189="EQ",IF(M189=0,0,G189*L189*PLAN_ETAPA!$C$5/M189),0))))</f>
        <v>0</v>
      </c>
      <c r="Q189" s="218">
        <f t="shared" si="5"/>
        <v>0</v>
      </c>
    </row>
    <row r="190" spans="1:17" x14ac:dyDescent="0.35">
      <c r="A190" s="212" t="str">
        <f>COMPOSICIÓN!A190</f>
        <v>ALB-070</v>
      </c>
      <c r="B190" s="212" t="str">
        <f>COMPOSICIÓN!B190</f>
        <v>MAT</v>
      </c>
      <c r="C190" s="212" t="str">
        <f>COMPOSICIÓN!C190</f>
        <v>OTR</v>
      </c>
      <c r="D190" s="212" t="str">
        <f>COMPOSICIÓN!D190</f>
        <v>PIN-008</v>
      </c>
      <c r="E190" s="212" t="str">
        <f>COMPOSICIÓN!E190</f>
        <v>Pintura Asfaltica Asfasol x18ts</v>
      </c>
      <c r="F190" s="212" t="str">
        <f>COMPOSICIÓN!F190</f>
        <v>b</v>
      </c>
      <c r="G190" s="213">
        <f>COMPOSICIÓN!G190</f>
        <v>2.7777777777777801E-2</v>
      </c>
      <c r="H190" s="214">
        <f>COMPOSICIÓN!H190</f>
        <v>0.1</v>
      </c>
      <c r="I190" s="215">
        <f>COMPOSICIÓN!I190</f>
        <v>32845.78</v>
      </c>
      <c r="J190" s="212" t="str">
        <f>IFERROR(VLOOKUP(A190,PARTIDAS!$A$2:$C$269,3,FALSE()),"")</f>
        <v>MAMPOSTERÍA</v>
      </c>
      <c r="K190" s="212" t="str">
        <f>IFERROR(INDEX(PPTO_GENERADOR!$B$4:$B$220,MATCH(A190,PPTO_GENERADOR!$Q$4:$Q$220,0)),"")</f>
        <v/>
      </c>
      <c r="L190" s="216">
        <f>IF(PLAN_ETAPA!$C$4="(TODOS)",SUMIFS(PPTO_GENERADOR!$E$4:$E$220,PPTO_GENERADOR!$Q$4:$Q$220,A190),SUMIFS(PPTO_GENERADOR!$E$4:$E$220,PPTO_GENERADOR!$Q$4:$Q$220,A190,PPTO_GENERADOR!$B$4:$B$220,PLAN_ETAPA!$C$4))</f>
        <v>0</v>
      </c>
      <c r="M190" s="216">
        <f>IFERROR(VLOOKUP(A190,PARTIDAS!$A$2:$F$269,6,FALSE()),1)</f>
        <v>25</v>
      </c>
      <c r="N190" s="216">
        <f>IFERROR(VLOOKUP(A190,PARTIDAS!$A$2:$I$269,9,FALSE()),1)</f>
        <v>1</v>
      </c>
      <c r="O190" s="217">
        <f t="shared" si="4"/>
        <v>0</v>
      </c>
      <c r="P190" s="216">
        <f>IF(O190=0,0,IF(B190="MAT",G190*(1+H190)*L190*PLAN_ETAPA!$C$5,IF(B190="MO",IF(M190=0,0,G190*L190*PLAN_ETAPA!$C$5*N190/M190),IF(B190="EQ",IF(M190=0,0,G190*L190*PLAN_ETAPA!$C$5/M190),0))))</f>
        <v>0</v>
      </c>
      <c r="Q190" s="218">
        <f t="shared" si="5"/>
        <v>0</v>
      </c>
    </row>
    <row r="191" spans="1:17" x14ac:dyDescent="0.35">
      <c r="A191" s="212" t="str">
        <f>COMPOSICIÓN!A191</f>
        <v>ALB-070</v>
      </c>
      <c r="B191" s="212" t="str">
        <f>COMPOSICIÓN!B191</f>
        <v>MAT</v>
      </c>
      <c r="C191" s="212" t="str">
        <f>COMPOSICIÓN!C191</f>
        <v>OTR</v>
      </c>
      <c r="D191" s="212" t="str">
        <f>COMPOSICIÓN!D191</f>
        <v>AIS-002</v>
      </c>
      <c r="E191" s="212" t="str">
        <f>COMPOSICIÓN!E191</f>
        <v>Membrana Geotextil Ormiflex 4mm - (35kg) x10m</v>
      </c>
      <c r="F191" s="212" t="str">
        <f>COMPOSICIÓN!F191</f>
        <v>u</v>
      </c>
      <c r="G191" s="213">
        <f>COMPOSICIÓN!G191</f>
        <v>0.1</v>
      </c>
      <c r="H191" s="214">
        <f>COMPOSICIÓN!H191</f>
        <v>0.1</v>
      </c>
      <c r="I191" s="215">
        <f>COMPOSICIÓN!I191</f>
        <v>70192.210000000006</v>
      </c>
      <c r="J191" s="212" t="str">
        <f>IFERROR(VLOOKUP(A191,PARTIDAS!$A$2:$C$269,3,FALSE()),"")</f>
        <v>MAMPOSTERÍA</v>
      </c>
      <c r="K191" s="212" t="str">
        <f>IFERROR(INDEX(PPTO_GENERADOR!$B$4:$B$220,MATCH(A191,PPTO_GENERADOR!$Q$4:$Q$220,0)),"")</f>
        <v/>
      </c>
      <c r="L191" s="216">
        <f>IF(PLAN_ETAPA!$C$4="(TODOS)",SUMIFS(PPTO_GENERADOR!$E$4:$E$220,PPTO_GENERADOR!$Q$4:$Q$220,A191),SUMIFS(PPTO_GENERADOR!$E$4:$E$220,PPTO_GENERADOR!$Q$4:$Q$220,A191,PPTO_GENERADOR!$B$4:$B$220,PLAN_ETAPA!$C$4))</f>
        <v>0</v>
      </c>
      <c r="M191" s="216">
        <f>IFERROR(VLOOKUP(A191,PARTIDAS!$A$2:$F$269,6,FALSE()),1)</f>
        <v>25</v>
      </c>
      <c r="N191" s="216">
        <f>IFERROR(VLOOKUP(A191,PARTIDAS!$A$2:$I$269,9,FALSE()),1)</f>
        <v>1</v>
      </c>
      <c r="O191" s="217">
        <f t="shared" si="4"/>
        <v>0</v>
      </c>
      <c r="P191" s="216">
        <f>IF(O191=0,0,IF(B191="MAT",G191*(1+H191)*L191*PLAN_ETAPA!$C$5,IF(B191="MO",IF(M191=0,0,G191*L191*PLAN_ETAPA!$C$5*N191/M191),IF(B191="EQ",IF(M191=0,0,G191*L191*PLAN_ETAPA!$C$5/M191),0))))</f>
        <v>0</v>
      </c>
      <c r="Q191" s="218">
        <f t="shared" si="5"/>
        <v>0</v>
      </c>
    </row>
    <row r="192" spans="1:17" x14ac:dyDescent="0.35">
      <c r="A192" s="212" t="str">
        <f>COMPOSICIÓN!A192</f>
        <v>ALB-070</v>
      </c>
      <c r="B192" s="212" t="str">
        <f>COMPOSICIÓN!B192</f>
        <v>MO</v>
      </c>
      <c r="C192" s="212" t="str">
        <f>COMPOSICIÓN!C192</f>
        <v>ALB</v>
      </c>
      <c r="D192" s="212" t="str">
        <f>COMPOSICIÓN!D192</f>
        <v>MO-EAYUD</v>
      </c>
      <c r="E192" s="212" t="str">
        <f>COMPOSICIÓN!E192</f>
        <v>AYUDANTE</v>
      </c>
      <c r="F192" s="212" t="str">
        <f>COMPOSICIÓN!F192</f>
        <v>j</v>
      </c>
      <c r="G192" s="213">
        <f>COMPOSICIÓN!G192</f>
        <v>1</v>
      </c>
      <c r="H192" s="214">
        <f>COMPOSICIÓN!H192</f>
        <v>0</v>
      </c>
      <c r="I192" s="215">
        <f>COMPOSICIÓN!I192</f>
        <v>60860.580776572002</v>
      </c>
      <c r="J192" s="212" t="str">
        <f>IFERROR(VLOOKUP(A192,PARTIDAS!$A$2:$C$269,3,FALSE()),"")</f>
        <v>MAMPOSTERÍA</v>
      </c>
      <c r="K192" s="212" t="str">
        <f>IFERROR(INDEX(PPTO_GENERADOR!$B$4:$B$220,MATCH(A192,PPTO_GENERADOR!$Q$4:$Q$220,0)),"")</f>
        <v/>
      </c>
      <c r="L192" s="216">
        <f>IF(PLAN_ETAPA!$C$4="(TODOS)",SUMIFS(PPTO_GENERADOR!$E$4:$E$220,PPTO_GENERADOR!$Q$4:$Q$220,A192),SUMIFS(PPTO_GENERADOR!$E$4:$E$220,PPTO_GENERADOR!$Q$4:$Q$220,A192,PPTO_GENERADOR!$B$4:$B$220,PLAN_ETAPA!$C$4))</f>
        <v>0</v>
      </c>
      <c r="M192" s="216">
        <f>IFERROR(VLOOKUP(A192,PARTIDAS!$A$2:$F$269,6,FALSE()),1)</f>
        <v>25</v>
      </c>
      <c r="N192" s="216">
        <f>IFERROR(VLOOKUP(A192,PARTIDAS!$A$2:$I$269,9,FALSE()),1)</f>
        <v>1</v>
      </c>
      <c r="O192" s="217">
        <f t="shared" si="4"/>
        <v>0</v>
      </c>
      <c r="P192" s="216">
        <f>IF(O192=0,0,IF(B192="MAT",G192*(1+H192)*L192*PLAN_ETAPA!$C$5,IF(B192="MO",IF(M192=0,0,G192*L192*PLAN_ETAPA!$C$5*N192/M192),IF(B192="EQ",IF(M192=0,0,G192*L192*PLAN_ETAPA!$C$5/M192),0))))</f>
        <v>0</v>
      </c>
      <c r="Q192" s="218">
        <f t="shared" si="5"/>
        <v>0</v>
      </c>
    </row>
    <row r="193" spans="1:17" x14ac:dyDescent="0.35">
      <c r="A193" s="212" t="str">
        <f>COMPOSICIÓN!A193</f>
        <v>ALB-070</v>
      </c>
      <c r="B193" s="212" t="str">
        <f>COMPOSICIÓN!B193</f>
        <v>MO</v>
      </c>
      <c r="C193" s="212" t="str">
        <f>COMPOSICIÓN!C193</f>
        <v>ALB</v>
      </c>
      <c r="D193" s="212" t="str">
        <f>COMPOSICIÓN!D193</f>
        <v>MO-EESPE</v>
      </c>
      <c r="E193" s="212" t="str">
        <f>COMPOSICIÓN!E193</f>
        <v>ESPECIALIZADO</v>
      </c>
      <c r="F193" s="212" t="str">
        <f>COMPOSICIÓN!F193</f>
        <v>j</v>
      </c>
      <c r="G193" s="213">
        <f>COMPOSICIÓN!G193</f>
        <v>1</v>
      </c>
      <c r="H193" s="214">
        <f>COMPOSICIÓN!H193</f>
        <v>0</v>
      </c>
      <c r="I193" s="215">
        <f>COMPOSICIÓN!I193</f>
        <v>85927.097156571996</v>
      </c>
      <c r="J193" s="212" t="str">
        <f>IFERROR(VLOOKUP(A193,PARTIDAS!$A$2:$C$269,3,FALSE()),"")</f>
        <v>MAMPOSTERÍA</v>
      </c>
      <c r="K193" s="212" t="str">
        <f>IFERROR(INDEX(PPTO_GENERADOR!$B$4:$B$220,MATCH(A193,PPTO_GENERADOR!$Q$4:$Q$220,0)),"")</f>
        <v/>
      </c>
      <c r="L193" s="216">
        <f>IF(PLAN_ETAPA!$C$4="(TODOS)",SUMIFS(PPTO_GENERADOR!$E$4:$E$220,PPTO_GENERADOR!$Q$4:$Q$220,A193),SUMIFS(PPTO_GENERADOR!$E$4:$E$220,PPTO_GENERADOR!$Q$4:$Q$220,A193,PPTO_GENERADOR!$B$4:$B$220,PLAN_ETAPA!$C$4))</f>
        <v>0</v>
      </c>
      <c r="M193" s="216">
        <f>IFERROR(VLOOKUP(A193,PARTIDAS!$A$2:$F$269,6,FALSE()),1)</f>
        <v>25</v>
      </c>
      <c r="N193" s="216">
        <f>IFERROR(VLOOKUP(A193,PARTIDAS!$A$2:$I$269,9,FALSE()),1)</f>
        <v>1</v>
      </c>
      <c r="O193" s="217">
        <f t="shared" si="4"/>
        <v>0</v>
      </c>
      <c r="P193" s="216">
        <f>IF(O193=0,0,IF(B193="MAT",G193*(1+H193)*L193*PLAN_ETAPA!$C$5,IF(B193="MO",IF(M193=0,0,G193*L193*PLAN_ETAPA!$C$5*N193/M193),IF(B193="EQ",IF(M193=0,0,G193*L193*PLAN_ETAPA!$C$5/M193),0))))</f>
        <v>0</v>
      </c>
      <c r="Q193" s="218">
        <f t="shared" si="5"/>
        <v>0</v>
      </c>
    </row>
    <row r="194" spans="1:17" x14ac:dyDescent="0.35">
      <c r="A194" s="212" t="str">
        <f>COMPOSICIÓN!A194</f>
        <v>ALB-074</v>
      </c>
      <c r="B194" s="212" t="str">
        <f>COMPOSICIÓN!B194</f>
        <v>EQ</v>
      </c>
      <c r="C194" s="212">
        <f>COMPOSICIÓN!C194</f>
        <v>0</v>
      </c>
      <c r="D194" s="212" t="str">
        <f>COMPOSICIÓN!D194</f>
        <v>EQ-EQUIPI</v>
      </c>
      <c r="E194" s="212" t="str">
        <f>COMPOSICIÓN!E194</f>
        <v>EQUIPO PARA PINTAR</v>
      </c>
      <c r="F194" s="212">
        <f>COMPOSICIÓN!F194</f>
        <v>0</v>
      </c>
      <c r="G194" s="213">
        <f>COMPOSICIÓN!G194</f>
        <v>1</v>
      </c>
      <c r="H194" s="214">
        <f>COMPOSICIÓN!H194</f>
        <v>0</v>
      </c>
      <c r="I194" s="215">
        <f>COMPOSICIÓN!I194</f>
        <v>1723.6259595547085</v>
      </c>
      <c r="J194" s="212" t="str">
        <f>IFERROR(VLOOKUP(A194,PARTIDAS!$A$2:$C$269,3,FALSE()),"")</f>
        <v>MAMPOSTERÍA</v>
      </c>
      <c r="K194" s="212" t="str">
        <f>IFERROR(INDEX(PPTO_GENERADOR!$B$4:$B$220,MATCH(A194,PPTO_GENERADOR!$Q$4:$Q$220,0)),"")</f>
        <v/>
      </c>
      <c r="L194" s="216">
        <f>IF(PLAN_ETAPA!$C$4="(TODOS)",SUMIFS(PPTO_GENERADOR!$E$4:$E$220,PPTO_GENERADOR!$Q$4:$Q$220,A194),SUMIFS(PPTO_GENERADOR!$E$4:$E$220,PPTO_GENERADOR!$Q$4:$Q$220,A194,PPTO_GENERADOR!$B$4:$B$220,PLAN_ETAPA!$C$4))</f>
        <v>0</v>
      </c>
      <c r="M194" s="216">
        <f>IFERROR(VLOOKUP(A194,PARTIDAS!$A$2:$F$269,6,FALSE()),1)</f>
        <v>15.5</v>
      </c>
      <c r="N194" s="216">
        <f>IFERROR(VLOOKUP(A194,PARTIDAS!$A$2:$I$269,9,FALSE()),1)</f>
        <v>1</v>
      </c>
      <c r="O194" s="217">
        <f t="shared" ref="O194:O257" si="6">IF(L194&gt;0,1,0)</f>
        <v>0</v>
      </c>
      <c r="P194" s="216">
        <f>IF(O194=0,0,IF(B194="MAT",G194*(1+H194)*L194*PLAN_ETAPA!$C$5,IF(B194="MO",IF(M194=0,0,G194*L194*PLAN_ETAPA!$C$5*N194/M194),IF(B194="EQ",IF(M194=0,0,G194*L194*PLAN_ETAPA!$C$5/M194),0))))</f>
        <v>0</v>
      </c>
      <c r="Q194" s="218">
        <f t="shared" ref="Q194:Q257" si="7">P194*I194</f>
        <v>0</v>
      </c>
    </row>
    <row r="195" spans="1:17" x14ac:dyDescent="0.35">
      <c r="A195" s="212" t="str">
        <f>COMPOSICIÓN!A195</f>
        <v>ALB-074</v>
      </c>
      <c r="B195" s="212" t="str">
        <f>COMPOSICIÓN!B195</f>
        <v>EQ</v>
      </c>
      <c r="C195" s="212">
        <f>COMPOSICIÓN!C195</f>
        <v>0</v>
      </c>
      <c r="D195" s="212" t="str">
        <f>COMPOSICIÓN!D195</f>
        <v>EQ-PTO026</v>
      </c>
      <c r="E195" s="212" t="str">
        <f>COMPOSICIÓN!E195</f>
        <v>ESCALERA MADERA PINTOR 8 ESCALONES</v>
      </c>
      <c r="F195" s="212">
        <f>COMPOSICIÓN!F195</f>
        <v>0</v>
      </c>
      <c r="G195" s="213">
        <f>COMPOSICIÓN!G195</f>
        <v>1</v>
      </c>
      <c r="H195" s="214">
        <f>COMPOSICIÓN!H195</f>
        <v>0</v>
      </c>
      <c r="I195" s="215">
        <f>COMPOSICIÓN!I195</f>
        <v>200.25307946474501</v>
      </c>
      <c r="J195" s="212" t="str">
        <f>IFERROR(VLOOKUP(A195,PARTIDAS!$A$2:$C$269,3,FALSE()),"")</f>
        <v>MAMPOSTERÍA</v>
      </c>
      <c r="K195" s="212" t="str">
        <f>IFERROR(INDEX(PPTO_GENERADOR!$B$4:$B$220,MATCH(A195,PPTO_GENERADOR!$Q$4:$Q$220,0)),"")</f>
        <v/>
      </c>
      <c r="L195" s="216">
        <f>IF(PLAN_ETAPA!$C$4="(TODOS)",SUMIFS(PPTO_GENERADOR!$E$4:$E$220,PPTO_GENERADOR!$Q$4:$Q$220,A195),SUMIFS(PPTO_GENERADOR!$E$4:$E$220,PPTO_GENERADOR!$Q$4:$Q$220,A195,PPTO_GENERADOR!$B$4:$B$220,PLAN_ETAPA!$C$4))</f>
        <v>0</v>
      </c>
      <c r="M195" s="216">
        <f>IFERROR(VLOOKUP(A195,PARTIDAS!$A$2:$F$269,6,FALSE()),1)</f>
        <v>15.5</v>
      </c>
      <c r="N195" s="216">
        <f>IFERROR(VLOOKUP(A195,PARTIDAS!$A$2:$I$269,9,FALSE()),1)</f>
        <v>1</v>
      </c>
      <c r="O195" s="217">
        <f t="shared" si="6"/>
        <v>0</v>
      </c>
      <c r="P195" s="216">
        <f>IF(O195=0,0,IF(B195="MAT",G195*(1+H195)*L195*PLAN_ETAPA!$C$5,IF(B195="MO",IF(M195=0,0,G195*L195*PLAN_ETAPA!$C$5*N195/M195),IF(B195="EQ",IF(M195=0,0,G195*L195*PLAN_ETAPA!$C$5/M195),0))))</f>
        <v>0</v>
      </c>
      <c r="Q195" s="218">
        <f t="shared" si="7"/>
        <v>0</v>
      </c>
    </row>
    <row r="196" spans="1:17" x14ac:dyDescent="0.35">
      <c r="A196" s="212" t="str">
        <f>COMPOSICIÓN!A196</f>
        <v>ALB-074</v>
      </c>
      <c r="B196" s="212" t="str">
        <f>COMPOSICIÓN!B196</f>
        <v>MAT</v>
      </c>
      <c r="C196" s="212" t="str">
        <f>COMPOSICIÓN!C196</f>
        <v>OTR</v>
      </c>
      <c r="D196" s="212" t="str">
        <f>COMPOSICIÓN!D196</f>
        <v>OTR-021</v>
      </c>
      <c r="E196" s="212" t="str">
        <f>COMPOSICIÓN!E196</f>
        <v>Fijador al agua x 20 lts</v>
      </c>
      <c r="F196" s="212" t="str">
        <f>COMPOSICIÓN!F196</f>
        <v>b</v>
      </c>
      <c r="G196" s="213">
        <f>COMPOSICIÓN!G196</f>
        <v>4.0000000000000001E-3</v>
      </c>
      <c r="H196" s="214">
        <f>COMPOSICIÓN!H196</f>
        <v>0.05</v>
      </c>
      <c r="I196" s="215">
        <f>COMPOSICIÓN!I196</f>
        <v>30467.49</v>
      </c>
      <c r="J196" s="212" t="str">
        <f>IFERROR(VLOOKUP(A196,PARTIDAS!$A$2:$C$269,3,FALSE()),"")</f>
        <v>MAMPOSTERÍA</v>
      </c>
      <c r="K196" s="212" t="str">
        <f>IFERROR(INDEX(PPTO_GENERADOR!$B$4:$B$220,MATCH(A196,PPTO_GENERADOR!$Q$4:$Q$220,0)),"")</f>
        <v/>
      </c>
      <c r="L196" s="216">
        <f>IF(PLAN_ETAPA!$C$4="(TODOS)",SUMIFS(PPTO_GENERADOR!$E$4:$E$220,PPTO_GENERADOR!$Q$4:$Q$220,A196),SUMIFS(PPTO_GENERADOR!$E$4:$E$220,PPTO_GENERADOR!$Q$4:$Q$220,A196,PPTO_GENERADOR!$B$4:$B$220,PLAN_ETAPA!$C$4))</f>
        <v>0</v>
      </c>
      <c r="M196" s="216">
        <f>IFERROR(VLOOKUP(A196,PARTIDAS!$A$2:$F$269,6,FALSE()),1)</f>
        <v>15.5</v>
      </c>
      <c r="N196" s="216">
        <f>IFERROR(VLOOKUP(A196,PARTIDAS!$A$2:$I$269,9,FALSE()),1)</f>
        <v>1</v>
      </c>
      <c r="O196" s="217">
        <f t="shared" si="6"/>
        <v>0</v>
      </c>
      <c r="P196" s="216">
        <f>IF(O196=0,0,IF(B196="MAT",G196*(1+H196)*L196*PLAN_ETAPA!$C$5,IF(B196="MO",IF(M196=0,0,G196*L196*PLAN_ETAPA!$C$5*N196/M196),IF(B196="EQ",IF(M196=0,0,G196*L196*PLAN_ETAPA!$C$5/M196),0))))</f>
        <v>0</v>
      </c>
      <c r="Q196" s="218">
        <f t="shared" si="7"/>
        <v>0</v>
      </c>
    </row>
    <row r="197" spans="1:17" x14ac:dyDescent="0.35">
      <c r="A197" s="212" t="str">
        <f>COMPOSICIÓN!A197</f>
        <v>ALB-074</v>
      </c>
      <c r="B197" s="212" t="str">
        <f>COMPOSICIÓN!B197</f>
        <v>MAT</v>
      </c>
      <c r="C197" s="212" t="str">
        <f>COMPOSICIÓN!C197</f>
        <v>OTR</v>
      </c>
      <c r="D197" s="212" t="str">
        <f>COMPOSICIÓN!D197</f>
        <v>OTR-023</v>
      </c>
      <c r="E197" s="212" t="str">
        <f>COMPOSICIÓN!E197</f>
        <v>Lija 180 al agua x 10u</v>
      </c>
      <c r="F197" s="212" t="str">
        <f>COMPOSICIÓN!F197</f>
        <v>u</v>
      </c>
      <c r="G197" s="213">
        <f>COMPOSICIÓN!G197</f>
        <v>0.01</v>
      </c>
      <c r="H197" s="214">
        <f>COMPOSICIÓN!H197</f>
        <v>0.05</v>
      </c>
      <c r="I197" s="215">
        <f>COMPOSICIÓN!I197</f>
        <v>5661.4</v>
      </c>
      <c r="J197" s="212" t="str">
        <f>IFERROR(VLOOKUP(A197,PARTIDAS!$A$2:$C$269,3,FALSE()),"")</f>
        <v>MAMPOSTERÍA</v>
      </c>
      <c r="K197" s="212" t="str">
        <f>IFERROR(INDEX(PPTO_GENERADOR!$B$4:$B$220,MATCH(A197,PPTO_GENERADOR!$Q$4:$Q$220,0)),"")</f>
        <v/>
      </c>
      <c r="L197" s="216">
        <f>IF(PLAN_ETAPA!$C$4="(TODOS)",SUMIFS(PPTO_GENERADOR!$E$4:$E$220,PPTO_GENERADOR!$Q$4:$Q$220,A197),SUMIFS(PPTO_GENERADOR!$E$4:$E$220,PPTO_GENERADOR!$Q$4:$Q$220,A197,PPTO_GENERADOR!$B$4:$B$220,PLAN_ETAPA!$C$4))</f>
        <v>0</v>
      </c>
      <c r="M197" s="216">
        <f>IFERROR(VLOOKUP(A197,PARTIDAS!$A$2:$F$269,6,FALSE()),1)</f>
        <v>15.5</v>
      </c>
      <c r="N197" s="216">
        <f>IFERROR(VLOOKUP(A197,PARTIDAS!$A$2:$I$269,9,FALSE()),1)</f>
        <v>1</v>
      </c>
      <c r="O197" s="217">
        <f t="shared" si="6"/>
        <v>0</v>
      </c>
      <c r="P197" s="216">
        <f>IF(O197=0,0,IF(B197="MAT",G197*(1+H197)*L197*PLAN_ETAPA!$C$5,IF(B197="MO",IF(M197=0,0,G197*L197*PLAN_ETAPA!$C$5*N197/M197),IF(B197="EQ",IF(M197=0,0,G197*L197*PLAN_ETAPA!$C$5/M197),0))))</f>
        <v>0</v>
      </c>
      <c r="Q197" s="218">
        <f t="shared" si="7"/>
        <v>0</v>
      </c>
    </row>
    <row r="198" spans="1:17" x14ac:dyDescent="0.35">
      <c r="A198" s="212" t="str">
        <f>COMPOSICIÓN!A198</f>
        <v>ALB-074</v>
      </c>
      <c r="B198" s="212" t="str">
        <f>COMPOSICIÓN!B198</f>
        <v>MAT</v>
      </c>
      <c r="C198" s="212" t="str">
        <f>COMPOSICIÓN!C198</f>
        <v>OTR</v>
      </c>
      <c r="D198" s="212" t="str">
        <f>COMPOSICIÓN!D198</f>
        <v>OTR-024</v>
      </c>
      <c r="E198" s="212" t="str">
        <f>COMPOSICIÓN!E198</f>
        <v>Cinta de Papel 36 mm x 40m</v>
      </c>
      <c r="F198" s="212" t="str">
        <f>COMPOSICIÓN!F198</f>
        <v>u</v>
      </c>
      <c r="G198" s="213">
        <f>COMPOSICIÓN!G198</f>
        <v>0.01</v>
      </c>
      <c r="H198" s="214">
        <f>COMPOSICIÓN!H198</f>
        <v>0.1</v>
      </c>
      <c r="I198" s="215">
        <f>COMPOSICIÓN!I198</f>
        <v>3293.01</v>
      </c>
      <c r="J198" s="212" t="str">
        <f>IFERROR(VLOOKUP(A198,PARTIDAS!$A$2:$C$269,3,FALSE()),"")</f>
        <v>MAMPOSTERÍA</v>
      </c>
      <c r="K198" s="212" t="str">
        <f>IFERROR(INDEX(PPTO_GENERADOR!$B$4:$B$220,MATCH(A198,PPTO_GENERADOR!$Q$4:$Q$220,0)),"")</f>
        <v/>
      </c>
      <c r="L198" s="216">
        <f>IF(PLAN_ETAPA!$C$4="(TODOS)",SUMIFS(PPTO_GENERADOR!$E$4:$E$220,PPTO_GENERADOR!$Q$4:$Q$220,A198),SUMIFS(PPTO_GENERADOR!$E$4:$E$220,PPTO_GENERADOR!$Q$4:$Q$220,A198,PPTO_GENERADOR!$B$4:$B$220,PLAN_ETAPA!$C$4))</f>
        <v>0</v>
      </c>
      <c r="M198" s="216">
        <f>IFERROR(VLOOKUP(A198,PARTIDAS!$A$2:$F$269,6,FALSE()),1)</f>
        <v>15.5</v>
      </c>
      <c r="N198" s="216">
        <f>IFERROR(VLOOKUP(A198,PARTIDAS!$A$2:$I$269,9,FALSE()),1)</f>
        <v>1</v>
      </c>
      <c r="O198" s="217">
        <f t="shared" si="6"/>
        <v>0</v>
      </c>
      <c r="P198" s="216">
        <f>IF(O198=0,0,IF(B198="MAT",G198*(1+H198)*L198*PLAN_ETAPA!$C$5,IF(B198="MO",IF(M198=0,0,G198*L198*PLAN_ETAPA!$C$5*N198/M198),IF(B198="EQ",IF(M198=0,0,G198*L198*PLAN_ETAPA!$C$5/M198),0))))</f>
        <v>0</v>
      </c>
      <c r="Q198" s="218">
        <f t="shared" si="7"/>
        <v>0</v>
      </c>
    </row>
    <row r="199" spans="1:17" x14ac:dyDescent="0.35">
      <c r="A199" s="212" t="str">
        <f>COMPOSICIÓN!A199</f>
        <v>ALB-074</v>
      </c>
      <c r="B199" s="212" t="str">
        <f>COMPOSICIÓN!B199</f>
        <v>MAT</v>
      </c>
      <c r="C199" s="212" t="str">
        <f>COMPOSICIÓN!C199</f>
        <v>OTR</v>
      </c>
      <c r="D199" s="212" t="str">
        <f>COMPOSICIÓN!D199</f>
        <v>OTR-025</v>
      </c>
      <c r="E199" s="212" t="str">
        <f>COMPOSICIÓN!E199</f>
        <v>Trapo</v>
      </c>
      <c r="F199" s="212" t="str">
        <f>COMPOSICIÓN!F199</f>
        <v>u</v>
      </c>
      <c r="G199" s="213">
        <f>COMPOSICIÓN!G199</f>
        <v>0.01</v>
      </c>
      <c r="H199" s="214">
        <f>COMPOSICIÓN!H199</f>
        <v>0.05</v>
      </c>
      <c r="I199" s="215">
        <f>COMPOSICIÓN!I199</f>
        <v>735.06</v>
      </c>
      <c r="J199" s="212" t="str">
        <f>IFERROR(VLOOKUP(A199,PARTIDAS!$A$2:$C$269,3,FALSE()),"")</f>
        <v>MAMPOSTERÍA</v>
      </c>
      <c r="K199" s="212" t="str">
        <f>IFERROR(INDEX(PPTO_GENERADOR!$B$4:$B$220,MATCH(A199,PPTO_GENERADOR!$Q$4:$Q$220,0)),"")</f>
        <v/>
      </c>
      <c r="L199" s="216">
        <f>IF(PLAN_ETAPA!$C$4="(TODOS)",SUMIFS(PPTO_GENERADOR!$E$4:$E$220,PPTO_GENERADOR!$Q$4:$Q$220,A199),SUMIFS(PPTO_GENERADOR!$E$4:$E$220,PPTO_GENERADOR!$Q$4:$Q$220,A199,PPTO_GENERADOR!$B$4:$B$220,PLAN_ETAPA!$C$4))</f>
        <v>0</v>
      </c>
      <c r="M199" s="216">
        <f>IFERROR(VLOOKUP(A199,PARTIDAS!$A$2:$F$269,6,FALSE()),1)</f>
        <v>15.5</v>
      </c>
      <c r="N199" s="216">
        <f>IFERROR(VLOOKUP(A199,PARTIDAS!$A$2:$I$269,9,FALSE()),1)</f>
        <v>1</v>
      </c>
      <c r="O199" s="217">
        <f t="shared" si="6"/>
        <v>0</v>
      </c>
      <c r="P199" s="216">
        <f>IF(O199=0,0,IF(B199="MAT",G199*(1+H199)*L199*PLAN_ETAPA!$C$5,IF(B199="MO",IF(M199=0,0,G199*L199*PLAN_ETAPA!$C$5*N199/M199),IF(B199="EQ",IF(M199=0,0,G199*L199*PLAN_ETAPA!$C$5/M199),0))))</f>
        <v>0</v>
      </c>
      <c r="Q199" s="218">
        <f t="shared" si="7"/>
        <v>0</v>
      </c>
    </row>
    <row r="200" spans="1:17" x14ac:dyDescent="0.35">
      <c r="A200" s="212" t="str">
        <f>COMPOSICIÓN!A200</f>
        <v>ALB-074</v>
      </c>
      <c r="B200" s="212" t="str">
        <f>COMPOSICIÓN!B200</f>
        <v>MAT</v>
      </c>
      <c r="C200" s="212" t="str">
        <f>COMPOSICIÓN!C200</f>
        <v>OTR</v>
      </c>
      <c r="D200" s="212" t="str">
        <f>COMPOSICIÓN!D200</f>
        <v>OTR-027</v>
      </c>
      <c r="E200" s="212" t="str">
        <f>COMPOSICIÓN!E200</f>
        <v>Rodillo de lana pelo largo N°22 - El Galgo</v>
      </c>
      <c r="F200" s="212" t="str">
        <f>COMPOSICIÓN!F200</f>
        <v>u</v>
      </c>
      <c r="G200" s="213">
        <f>COMPOSICIÓN!G200</f>
        <v>5.0000000000000001E-3</v>
      </c>
      <c r="H200" s="214">
        <f>COMPOSICIÓN!H200</f>
        <v>0.05</v>
      </c>
      <c r="I200" s="215">
        <f>COMPOSICIÓN!I200</f>
        <v>6678.36</v>
      </c>
      <c r="J200" s="212" t="str">
        <f>IFERROR(VLOOKUP(A200,PARTIDAS!$A$2:$C$269,3,FALSE()),"")</f>
        <v>MAMPOSTERÍA</v>
      </c>
      <c r="K200" s="212" t="str">
        <f>IFERROR(INDEX(PPTO_GENERADOR!$B$4:$B$220,MATCH(A200,PPTO_GENERADOR!$Q$4:$Q$220,0)),"")</f>
        <v/>
      </c>
      <c r="L200" s="216">
        <f>IF(PLAN_ETAPA!$C$4="(TODOS)",SUMIFS(PPTO_GENERADOR!$E$4:$E$220,PPTO_GENERADOR!$Q$4:$Q$220,A200),SUMIFS(PPTO_GENERADOR!$E$4:$E$220,PPTO_GENERADOR!$Q$4:$Q$220,A200,PPTO_GENERADOR!$B$4:$B$220,PLAN_ETAPA!$C$4))</f>
        <v>0</v>
      </c>
      <c r="M200" s="216">
        <f>IFERROR(VLOOKUP(A200,PARTIDAS!$A$2:$F$269,6,FALSE()),1)</f>
        <v>15.5</v>
      </c>
      <c r="N200" s="216">
        <f>IFERROR(VLOOKUP(A200,PARTIDAS!$A$2:$I$269,9,FALSE()),1)</f>
        <v>1</v>
      </c>
      <c r="O200" s="217">
        <f t="shared" si="6"/>
        <v>0</v>
      </c>
      <c r="P200" s="216">
        <f>IF(O200=0,0,IF(B200="MAT",G200*(1+H200)*L200*PLAN_ETAPA!$C$5,IF(B200="MO",IF(M200=0,0,G200*L200*PLAN_ETAPA!$C$5*N200/M200),IF(B200="EQ",IF(M200=0,0,G200*L200*PLAN_ETAPA!$C$5/M200),0))))</f>
        <v>0</v>
      </c>
      <c r="Q200" s="218">
        <f t="shared" si="7"/>
        <v>0</v>
      </c>
    </row>
    <row r="201" spans="1:17" x14ac:dyDescent="0.35">
      <c r="A201" s="212" t="str">
        <f>COMPOSICIÓN!A201</f>
        <v>ALB-074</v>
      </c>
      <c r="B201" s="212" t="str">
        <f>COMPOSICIÓN!B201</f>
        <v>MAT</v>
      </c>
      <c r="C201" s="212" t="str">
        <f>COMPOSICIÓN!C201</f>
        <v>OTR</v>
      </c>
      <c r="D201" s="212" t="str">
        <f>COMPOSICIÓN!D201</f>
        <v>OTR-028</v>
      </c>
      <c r="E201" s="212" t="str">
        <f>COMPOSICIÓN!E201</f>
        <v>Pincel N° 20 - El Galgo</v>
      </c>
      <c r="F201" s="212" t="str">
        <f>COMPOSICIÓN!F201</f>
        <v>u</v>
      </c>
      <c r="G201" s="213">
        <f>COMPOSICIÓN!G201</f>
        <v>5.0000000000000001E-3</v>
      </c>
      <c r="H201" s="214">
        <f>COMPOSICIÓN!H201</f>
        <v>0.05</v>
      </c>
      <c r="I201" s="215">
        <f>COMPOSICIÓN!I201</f>
        <v>5282.24</v>
      </c>
      <c r="J201" s="212" t="str">
        <f>IFERROR(VLOOKUP(A201,PARTIDAS!$A$2:$C$269,3,FALSE()),"")</f>
        <v>MAMPOSTERÍA</v>
      </c>
      <c r="K201" s="212" t="str">
        <f>IFERROR(INDEX(PPTO_GENERADOR!$B$4:$B$220,MATCH(A201,PPTO_GENERADOR!$Q$4:$Q$220,0)),"")</f>
        <v/>
      </c>
      <c r="L201" s="216">
        <f>IF(PLAN_ETAPA!$C$4="(TODOS)",SUMIFS(PPTO_GENERADOR!$E$4:$E$220,PPTO_GENERADOR!$Q$4:$Q$220,A201),SUMIFS(PPTO_GENERADOR!$E$4:$E$220,PPTO_GENERADOR!$Q$4:$Q$220,A201,PPTO_GENERADOR!$B$4:$B$220,PLAN_ETAPA!$C$4))</f>
        <v>0</v>
      </c>
      <c r="M201" s="216">
        <f>IFERROR(VLOOKUP(A201,PARTIDAS!$A$2:$F$269,6,FALSE()),1)</f>
        <v>15.5</v>
      </c>
      <c r="N201" s="216">
        <f>IFERROR(VLOOKUP(A201,PARTIDAS!$A$2:$I$269,9,FALSE()),1)</f>
        <v>1</v>
      </c>
      <c r="O201" s="217">
        <f t="shared" si="6"/>
        <v>0</v>
      </c>
      <c r="P201" s="216">
        <f>IF(O201=0,0,IF(B201="MAT",G201*(1+H201)*L201*PLAN_ETAPA!$C$5,IF(B201="MO",IF(M201=0,0,G201*L201*PLAN_ETAPA!$C$5*N201/M201),IF(B201="EQ",IF(M201=0,0,G201*L201*PLAN_ETAPA!$C$5/M201),0))))</f>
        <v>0</v>
      </c>
      <c r="Q201" s="218">
        <f t="shared" si="7"/>
        <v>0</v>
      </c>
    </row>
    <row r="202" spans="1:17" x14ac:dyDescent="0.35">
      <c r="A202" s="212" t="str">
        <f>COMPOSICIÓN!A202</f>
        <v>ALB-074</v>
      </c>
      <c r="B202" s="212" t="str">
        <f>COMPOSICIÓN!B202</f>
        <v>MAT</v>
      </c>
      <c r="C202" s="212" t="str">
        <f>COMPOSICIÓN!C202</f>
        <v>OTR</v>
      </c>
      <c r="D202" s="212" t="str">
        <f>COMPOSICIÓN!D202</f>
        <v>OTR-029</v>
      </c>
      <c r="E202" s="212" t="str">
        <f>COMPOSICIÓN!E202</f>
        <v>Rollo de cartón corrugado 0,90 x 25 mts</v>
      </c>
      <c r="F202" s="212" t="str">
        <f>COMPOSICIÓN!F202</f>
        <v>u</v>
      </c>
      <c r="G202" s="213">
        <f>COMPOSICIÓN!G202</f>
        <v>0.01</v>
      </c>
      <c r="H202" s="214">
        <f>COMPOSICIÓN!H202</f>
        <v>0.05</v>
      </c>
      <c r="I202" s="215">
        <f>COMPOSICIÓN!I202</f>
        <v>7427.6</v>
      </c>
      <c r="J202" s="212" t="str">
        <f>IFERROR(VLOOKUP(A202,PARTIDAS!$A$2:$C$269,3,FALSE()),"")</f>
        <v>MAMPOSTERÍA</v>
      </c>
      <c r="K202" s="212" t="str">
        <f>IFERROR(INDEX(PPTO_GENERADOR!$B$4:$B$220,MATCH(A202,PPTO_GENERADOR!$Q$4:$Q$220,0)),"")</f>
        <v/>
      </c>
      <c r="L202" s="216">
        <f>IF(PLAN_ETAPA!$C$4="(TODOS)",SUMIFS(PPTO_GENERADOR!$E$4:$E$220,PPTO_GENERADOR!$Q$4:$Q$220,A202),SUMIFS(PPTO_GENERADOR!$E$4:$E$220,PPTO_GENERADOR!$Q$4:$Q$220,A202,PPTO_GENERADOR!$B$4:$B$220,PLAN_ETAPA!$C$4))</f>
        <v>0</v>
      </c>
      <c r="M202" s="216">
        <f>IFERROR(VLOOKUP(A202,PARTIDAS!$A$2:$F$269,6,FALSE()),1)</f>
        <v>15.5</v>
      </c>
      <c r="N202" s="216">
        <f>IFERROR(VLOOKUP(A202,PARTIDAS!$A$2:$I$269,9,FALSE()),1)</f>
        <v>1</v>
      </c>
      <c r="O202" s="217">
        <f t="shared" si="6"/>
        <v>0</v>
      </c>
      <c r="P202" s="216">
        <f>IF(O202=0,0,IF(B202="MAT",G202*(1+H202)*L202*PLAN_ETAPA!$C$5,IF(B202="MO",IF(M202=0,0,G202*L202*PLAN_ETAPA!$C$5*N202/M202),IF(B202="EQ",IF(M202=0,0,G202*L202*PLAN_ETAPA!$C$5/M202),0))))</f>
        <v>0</v>
      </c>
      <c r="Q202" s="218">
        <f t="shared" si="7"/>
        <v>0</v>
      </c>
    </row>
    <row r="203" spans="1:17" x14ac:dyDescent="0.35">
      <c r="A203" s="212" t="str">
        <f>COMPOSICIÓN!A203</f>
        <v>ALB-074</v>
      </c>
      <c r="B203" s="212" t="str">
        <f>COMPOSICIÓN!B203</f>
        <v>MAT</v>
      </c>
      <c r="C203" s="212" t="str">
        <f>COMPOSICIÓN!C203</f>
        <v>OTR</v>
      </c>
      <c r="D203" s="212" t="str">
        <f>COMPOSICIÓN!D203</f>
        <v>PIN-001</v>
      </c>
      <c r="E203" s="212" t="str">
        <f>COMPOSICIÓN!E203</f>
        <v>Latex Loxon Interior Sherwin Williams Mate Bco x 20lts</v>
      </c>
      <c r="F203" s="212" t="str">
        <f>COMPOSICIÓN!F203</f>
        <v>B</v>
      </c>
      <c r="G203" s="213">
        <f>COMPOSICIÓN!G203</f>
        <v>1.2500000000000001E-2</v>
      </c>
      <c r="H203" s="214">
        <f>COMPOSICIÓN!H203</f>
        <v>0.1</v>
      </c>
      <c r="I203" s="215">
        <f>COMPOSICIÓN!I203</f>
        <v>120622.23</v>
      </c>
      <c r="J203" s="212" t="str">
        <f>IFERROR(VLOOKUP(A203,PARTIDAS!$A$2:$C$269,3,FALSE()),"")</f>
        <v>MAMPOSTERÍA</v>
      </c>
      <c r="K203" s="212" t="str">
        <f>IFERROR(INDEX(PPTO_GENERADOR!$B$4:$B$220,MATCH(A203,PPTO_GENERADOR!$Q$4:$Q$220,0)),"")</f>
        <v/>
      </c>
      <c r="L203" s="216">
        <f>IF(PLAN_ETAPA!$C$4="(TODOS)",SUMIFS(PPTO_GENERADOR!$E$4:$E$220,PPTO_GENERADOR!$Q$4:$Q$220,A203),SUMIFS(PPTO_GENERADOR!$E$4:$E$220,PPTO_GENERADOR!$Q$4:$Q$220,A203,PPTO_GENERADOR!$B$4:$B$220,PLAN_ETAPA!$C$4))</f>
        <v>0</v>
      </c>
      <c r="M203" s="216">
        <f>IFERROR(VLOOKUP(A203,PARTIDAS!$A$2:$F$269,6,FALSE()),1)</f>
        <v>15.5</v>
      </c>
      <c r="N203" s="216">
        <f>IFERROR(VLOOKUP(A203,PARTIDAS!$A$2:$I$269,9,FALSE()),1)</f>
        <v>1</v>
      </c>
      <c r="O203" s="217">
        <f t="shared" si="6"/>
        <v>0</v>
      </c>
      <c r="P203" s="216">
        <f>IF(O203=0,0,IF(B203="MAT",G203*(1+H203)*L203*PLAN_ETAPA!$C$5,IF(B203="MO",IF(M203=0,0,G203*L203*PLAN_ETAPA!$C$5*N203/M203),IF(B203="EQ",IF(M203=0,0,G203*L203*PLAN_ETAPA!$C$5/M203),0))))</f>
        <v>0</v>
      </c>
      <c r="Q203" s="218">
        <f t="shared" si="7"/>
        <v>0</v>
      </c>
    </row>
    <row r="204" spans="1:17" x14ac:dyDescent="0.35">
      <c r="A204" s="212" t="str">
        <f>COMPOSICIÓN!A204</f>
        <v>ALB-074</v>
      </c>
      <c r="B204" s="212" t="str">
        <f>COMPOSICIÓN!B204</f>
        <v>MO</v>
      </c>
      <c r="C204" s="212" t="str">
        <f>COMPOSICIÓN!C204</f>
        <v>ALB</v>
      </c>
      <c r="D204" s="212" t="str">
        <f>COMPOSICIÓN!D204</f>
        <v>MO-EESPE</v>
      </c>
      <c r="E204" s="212" t="str">
        <f>COMPOSICIÓN!E204</f>
        <v>ESPECIALIZADO</v>
      </c>
      <c r="F204" s="212" t="str">
        <f>COMPOSICIÓN!F204</f>
        <v>j</v>
      </c>
      <c r="G204" s="213">
        <f>COMPOSICIÓN!G204</f>
        <v>1</v>
      </c>
      <c r="H204" s="214">
        <f>COMPOSICIÓN!H204</f>
        <v>0</v>
      </c>
      <c r="I204" s="215">
        <f>COMPOSICIÓN!I204</f>
        <v>85927.097156571996</v>
      </c>
      <c r="J204" s="212" t="str">
        <f>IFERROR(VLOOKUP(A204,PARTIDAS!$A$2:$C$269,3,FALSE()),"")</f>
        <v>MAMPOSTERÍA</v>
      </c>
      <c r="K204" s="212" t="str">
        <f>IFERROR(INDEX(PPTO_GENERADOR!$B$4:$B$220,MATCH(A204,PPTO_GENERADOR!$Q$4:$Q$220,0)),"")</f>
        <v/>
      </c>
      <c r="L204" s="216">
        <f>IF(PLAN_ETAPA!$C$4="(TODOS)",SUMIFS(PPTO_GENERADOR!$E$4:$E$220,PPTO_GENERADOR!$Q$4:$Q$220,A204),SUMIFS(PPTO_GENERADOR!$E$4:$E$220,PPTO_GENERADOR!$Q$4:$Q$220,A204,PPTO_GENERADOR!$B$4:$B$220,PLAN_ETAPA!$C$4))</f>
        <v>0</v>
      </c>
      <c r="M204" s="216">
        <f>IFERROR(VLOOKUP(A204,PARTIDAS!$A$2:$F$269,6,FALSE()),1)</f>
        <v>15.5</v>
      </c>
      <c r="N204" s="216">
        <f>IFERROR(VLOOKUP(A204,PARTIDAS!$A$2:$I$269,9,FALSE()),1)</f>
        <v>1</v>
      </c>
      <c r="O204" s="217">
        <f t="shared" si="6"/>
        <v>0</v>
      </c>
      <c r="P204" s="216">
        <f>IF(O204=0,0,IF(B204="MAT",G204*(1+H204)*L204*PLAN_ETAPA!$C$5,IF(B204="MO",IF(M204=0,0,G204*L204*PLAN_ETAPA!$C$5*N204/M204),IF(B204="EQ",IF(M204=0,0,G204*L204*PLAN_ETAPA!$C$5/M204),0))))</f>
        <v>0</v>
      </c>
      <c r="Q204" s="218">
        <f t="shared" si="7"/>
        <v>0</v>
      </c>
    </row>
    <row r="205" spans="1:17" x14ac:dyDescent="0.35">
      <c r="A205" s="212" t="str">
        <f>COMPOSICIÓN!A205</f>
        <v>ALB-075</v>
      </c>
      <c r="B205" s="212" t="str">
        <f>COMPOSICIÓN!B205</f>
        <v>EQ</v>
      </c>
      <c r="C205" s="212">
        <f>COMPOSICIÓN!C205</f>
        <v>0</v>
      </c>
      <c r="D205" s="212" t="str">
        <f>COMPOSICIÓN!D205</f>
        <v>EQ-ANDAM0</v>
      </c>
      <c r="E205" s="212" t="str">
        <f>COMPOSICIÓN!E205</f>
        <v>ANDAMIO TUBULAR DE UNO A TRES CUERPOS</v>
      </c>
      <c r="F205" s="212">
        <f>COMPOSICIÓN!F205</f>
        <v>0</v>
      </c>
      <c r="G205" s="213">
        <f>COMPOSICIÓN!G205</f>
        <v>0.5</v>
      </c>
      <c r="H205" s="214">
        <f>COMPOSICIÓN!H205</f>
        <v>0</v>
      </c>
      <c r="I205" s="215">
        <f>COMPOSICIÓN!I205</f>
        <v>571.1794909807611</v>
      </c>
      <c r="J205" s="212" t="str">
        <f>IFERROR(VLOOKUP(A205,PARTIDAS!$A$2:$C$269,3,FALSE()),"")</f>
        <v>MAMPOSTERÍA</v>
      </c>
      <c r="K205" s="212" t="str">
        <f>IFERROR(INDEX(PPTO_GENERADOR!$B$4:$B$220,MATCH(A205,PPTO_GENERADOR!$Q$4:$Q$220,0)),"")</f>
        <v/>
      </c>
      <c r="L205" s="216">
        <f>IF(PLAN_ETAPA!$C$4="(TODOS)",SUMIFS(PPTO_GENERADOR!$E$4:$E$220,PPTO_GENERADOR!$Q$4:$Q$220,A205),SUMIFS(PPTO_GENERADOR!$E$4:$E$220,PPTO_GENERADOR!$Q$4:$Q$220,A205,PPTO_GENERADOR!$B$4:$B$220,PLAN_ETAPA!$C$4))</f>
        <v>0</v>
      </c>
      <c r="M205" s="216">
        <f>IFERROR(VLOOKUP(A205,PARTIDAS!$A$2:$F$269,6,FALSE()),1)</f>
        <v>15</v>
      </c>
      <c r="N205" s="216">
        <f>IFERROR(VLOOKUP(A205,PARTIDAS!$A$2:$I$269,9,FALSE()),1)</f>
        <v>1</v>
      </c>
      <c r="O205" s="217">
        <f t="shared" si="6"/>
        <v>0</v>
      </c>
      <c r="P205" s="216">
        <f>IF(O205=0,0,IF(B205="MAT",G205*(1+H205)*L205*PLAN_ETAPA!$C$5,IF(B205="MO",IF(M205=0,0,G205*L205*PLAN_ETAPA!$C$5*N205/M205),IF(B205="EQ",IF(M205=0,0,G205*L205*PLAN_ETAPA!$C$5/M205),0))))</f>
        <v>0</v>
      </c>
      <c r="Q205" s="218">
        <f t="shared" si="7"/>
        <v>0</v>
      </c>
    </row>
    <row r="206" spans="1:17" x14ac:dyDescent="0.35">
      <c r="A206" s="212" t="str">
        <f>COMPOSICIÓN!A206</f>
        <v>ALB-075</v>
      </c>
      <c r="B206" s="212" t="str">
        <f>COMPOSICIÓN!B206</f>
        <v>EQ</v>
      </c>
      <c r="C206" s="212">
        <f>COMPOSICIÓN!C206</f>
        <v>0</v>
      </c>
      <c r="D206" s="212" t="str">
        <f>COMPOSICIÓN!D206</f>
        <v>EQ-EQALBA</v>
      </c>
      <c r="E206" s="212" t="str">
        <f>COMPOSICIÓN!E206</f>
        <v>EQUIPO DE ALBAÑILERIA, carpetas, ladrillo</v>
      </c>
      <c r="F206" s="212">
        <f>COMPOSICIÓN!F206</f>
        <v>0</v>
      </c>
      <c r="G206" s="213">
        <f>COMPOSICIÓN!G206</f>
        <v>1</v>
      </c>
      <c r="H206" s="214">
        <f>COMPOSICIÓN!H206</f>
        <v>0</v>
      </c>
      <c r="I206" s="215">
        <f>COMPOSICIÓN!I206</f>
        <v>2287.1357450968057</v>
      </c>
      <c r="J206" s="212" t="str">
        <f>IFERROR(VLOOKUP(A206,PARTIDAS!$A$2:$C$269,3,FALSE()),"")</f>
        <v>MAMPOSTERÍA</v>
      </c>
      <c r="K206" s="212" t="str">
        <f>IFERROR(INDEX(PPTO_GENERADOR!$B$4:$B$220,MATCH(A206,PPTO_GENERADOR!$Q$4:$Q$220,0)),"")</f>
        <v/>
      </c>
      <c r="L206" s="216">
        <f>IF(PLAN_ETAPA!$C$4="(TODOS)",SUMIFS(PPTO_GENERADOR!$E$4:$E$220,PPTO_GENERADOR!$Q$4:$Q$220,A206),SUMIFS(PPTO_GENERADOR!$E$4:$E$220,PPTO_GENERADOR!$Q$4:$Q$220,A206,PPTO_GENERADOR!$B$4:$B$220,PLAN_ETAPA!$C$4))</f>
        <v>0</v>
      </c>
      <c r="M206" s="216">
        <f>IFERROR(VLOOKUP(A206,PARTIDAS!$A$2:$F$269,6,FALSE()),1)</f>
        <v>15</v>
      </c>
      <c r="N206" s="216">
        <f>IFERROR(VLOOKUP(A206,PARTIDAS!$A$2:$I$269,9,FALSE()),1)</f>
        <v>1</v>
      </c>
      <c r="O206" s="217">
        <f t="shared" si="6"/>
        <v>0</v>
      </c>
      <c r="P206" s="216">
        <f>IF(O206=0,0,IF(B206="MAT",G206*(1+H206)*L206*PLAN_ETAPA!$C$5,IF(B206="MO",IF(M206=0,0,G206*L206*PLAN_ETAPA!$C$5*N206/M206),IF(B206="EQ",IF(M206=0,0,G206*L206*PLAN_ETAPA!$C$5/M206),0))))</f>
        <v>0</v>
      </c>
      <c r="Q206" s="218">
        <f t="shared" si="7"/>
        <v>0</v>
      </c>
    </row>
    <row r="207" spans="1:17" x14ac:dyDescent="0.35">
      <c r="A207" s="212" t="str">
        <f>COMPOSICIÓN!A207</f>
        <v>ALB-075</v>
      </c>
      <c r="B207" s="212" t="str">
        <f>COMPOSICIÓN!B207</f>
        <v>EQ</v>
      </c>
      <c r="C207" s="212">
        <f>COMPOSICIÓN!C207</f>
        <v>0</v>
      </c>
      <c r="D207" s="212" t="str">
        <f>COMPOSICIÓN!D207</f>
        <v>EQ-TROMPO</v>
      </c>
      <c r="E207" s="212" t="str">
        <f>COMPOSICIÓN!E207</f>
        <v>Hormigonera De 150 Litros 1hp Con Rueda Maciza</v>
      </c>
      <c r="F207" s="212">
        <f>COMPOSICIÓN!F207</f>
        <v>0</v>
      </c>
      <c r="G207" s="213">
        <f>COMPOSICIÓN!G207</f>
        <v>1</v>
      </c>
      <c r="H207" s="214">
        <f>COMPOSICIÓN!H207</f>
        <v>0</v>
      </c>
      <c r="I207" s="215">
        <f>COMPOSICIÓN!I207</f>
        <v>957.25319614994726</v>
      </c>
      <c r="J207" s="212" t="str">
        <f>IFERROR(VLOOKUP(A207,PARTIDAS!$A$2:$C$269,3,FALSE()),"")</f>
        <v>MAMPOSTERÍA</v>
      </c>
      <c r="K207" s="212" t="str">
        <f>IFERROR(INDEX(PPTO_GENERADOR!$B$4:$B$220,MATCH(A207,PPTO_GENERADOR!$Q$4:$Q$220,0)),"")</f>
        <v/>
      </c>
      <c r="L207" s="216">
        <f>IF(PLAN_ETAPA!$C$4="(TODOS)",SUMIFS(PPTO_GENERADOR!$E$4:$E$220,PPTO_GENERADOR!$Q$4:$Q$220,A207),SUMIFS(PPTO_GENERADOR!$E$4:$E$220,PPTO_GENERADOR!$Q$4:$Q$220,A207,PPTO_GENERADOR!$B$4:$B$220,PLAN_ETAPA!$C$4))</f>
        <v>0</v>
      </c>
      <c r="M207" s="216">
        <f>IFERROR(VLOOKUP(A207,PARTIDAS!$A$2:$F$269,6,FALSE()),1)</f>
        <v>15</v>
      </c>
      <c r="N207" s="216">
        <f>IFERROR(VLOOKUP(A207,PARTIDAS!$A$2:$I$269,9,FALSE()),1)</f>
        <v>1</v>
      </c>
      <c r="O207" s="217">
        <f t="shared" si="6"/>
        <v>0</v>
      </c>
      <c r="P207" s="216">
        <f>IF(O207=0,0,IF(B207="MAT",G207*(1+H207)*L207*PLAN_ETAPA!$C$5,IF(B207="MO",IF(M207=0,0,G207*L207*PLAN_ETAPA!$C$5*N207/M207),IF(B207="EQ",IF(M207=0,0,G207*L207*PLAN_ETAPA!$C$5/M207),0))))</f>
        <v>0</v>
      </c>
      <c r="Q207" s="218">
        <f t="shared" si="7"/>
        <v>0</v>
      </c>
    </row>
    <row r="208" spans="1:17" x14ac:dyDescent="0.35">
      <c r="A208" s="212" t="str">
        <f>COMPOSICIÓN!A208</f>
        <v>ALB-075</v>
      </c>
      <c r="B208" s="212" t="str">
        <f>COMPOSICIÓN!B208</f>
        <v>MAT</v>
      </c>
      <c r="C208" s="212" t="str">
        <f>COMPOSICIÓN!C208</f>
        <v>OTR</v>
      </c>
      <c r="D208" s="212" t="str">
        <f>COMPOSICIÓN!D208</f>
        <v>ACE-001</v>
      </c>
      <c r="E208" s="212" t="str">
        <f>COMPOSICIÓN!E208</f>
        <v>Barra de Acero Aleteado - 6mm x 12m</v>
      </c>
      <c r="F208" s="212" t="str">
        <f>COMPOSICIÓN!F208</f>
        <v>u</v>
      </c>
      <c r="G208" s="213">
        <f>COMPOSICIÓN!G208</f>
        <v>0.17</v>
      </c>
      <c r="H208" s="214">
        <f>COMPOSICIÓN!H208</f>
        <v>0.1</v>
      </c>
      <c r="I208" s="215">
        <f>COMPOSICIÓN!I208</f>
        <v>3424.53</v>
      </c>
      <c r="J208" s="212" t="str">
        <f>IFERROR(VLOOKUP(A208,PARTIDAS!$A$2:$C$269,3,FALSE()),"")</f>
        <v>MAMPOSTERÍA</v>
      </c>
      <c r="K208" s="212" t="str">
        <f>IFERROR(INDEX(PPTO_GENERADOR!$B$4:$B$220,MATCH(A208,PPTO_GENERADOR!$Q$4:$Q$220,0)),"")</f>
        <v/>
      </c>
      <c r="L208" s="216">
        <f>IF(PLAN_ETAPA!$C$4="(TODOS)",SUMIFS(PPTO_GENERADOR!$E$4:$E$220,PPTO_GENERADOR!$Q$4:$Q$220,A208),SUMIFS(PPTO_GENERADOR!$E$4:$E$220,PPTO_GENERADOR!$Q$4:$Q$220,A208,PPTO_GENERADOR!$B$4:$B$220,PLAN_ETAPA!$C$4))</f>
        <v>0</v>
      </c>
      <c r="M208" s="216">
        <f>IFERROR(VLOOKUP(A208,PARTIDAS!$A$2:$F$269,6,FALSE()),1)</f>
        <v>15</v>
      </c>
      <c r="N208" s="216">
        <f>IFERROR(VLOOKUP(A208,PARTIDAS!$A$2:$I$269,9,FALSE()),1)</f>
        <v>1</v>
      </c>
      <c r="O208" s="217">
        <f t="shared" si="6"/>
        <v>0</v>
      </c>
      <c r="P208" s="216">
        <f>IF(O208=0,0,IF(B208="MAT",G208*(1+H208)*L208*PLAN_ETAPA!$C$5,IF(B208="MO",IF(M208=0,0,G208*L208*PLAN_ETAPA!$C$5*N208/M208),IF(B208="EQ",IF(M208=0,0,G208*L208*PLAN_ETAPA!$C$5/M208),0))))</f>
        <v>0</v>
      </c>
      <c r="Q208" s="218">
        <f t="shared" si="7"/>
        <v>0</v>
      </c>
    </row>
    <row r="209" spans="1:17" x14ac:dyDescent="0.35">
      <c r="A209" s="212" t="str">
        <f>COMPOSICIÓN!A209</f>
        <v>ALB-075</v>
      </c>
      <c r="B209" s="212" t="str">
        <f>COMPOSICIÓN!B209</f>
        <v>MAT</v>
      </c>
      <c r="C209" s="212" t="str">
        <f>COMPOSICIÓN!C209</f>
        <v>OTR</v>
      </c>
      <c r="D209" s="212" t="str">
        <f>COMPOSICIÓN!D209</f>
        <v>AGR-001</v>
      </c>
      <c r="E209" s="212" t="str">
        <f>COMPOSICIÓN!E209</f>
        <v>ARENA LAVADA</v>
      </c>
      <c r="F209" s="212" t="str">
        <f>COMPOSICIÓN!F209</f>
        <v>m3</v>
      </c>
      <c r="G209" s="213">
        <f>COMPOSICIÓN!G209</f>
        <v>2.4E-2</v>
      </c>
      <c r="H209" s="214">
        <f>COMPOSICIÓN!H209</f>
        <v>0.1</v>
      </c>
      <c r="I209" s="215">
        <f>COMPOSICIÓN!I209</f>
        <v>32399.77</v>
      </c>
      <c r="J209" s="212" t="str">
        <f>IFERROR(VLOOKUP(A209,PARTIDAS!$A$2:$C$269,3,FALSE()),"")</f>
        <v>MAMPOSTERÍA</v>
      </c>
      <c r="K209" s="212" t="str">
        <f>IFERROR(INDEX(PPTO_GENERADOR!$B$4:$B$220,MATCH(A209,PPTO_GENERADOR!$Q$4:$Q$220,0)),"")</f>
        <v/>
      </c>
      <c r="L209" s="216">
        <f>IF(PLAN_ETAPA!$C$4="(TODOS)",SUMIFS(PPTO_GENERADOR!$E$4:$E$220,PPTO_GENERADOR!$Q$4:$Q$220,A209),SUMIFS(PPTO_GENERADOR!$E$4:$E$220,PPTO_GENERADOR!$Q$4:$Q$220,A209,PPTO_GENERADOR!$B$4:$B$220,PLAN_ETAPA!$C$4))</f>
        <v>0</v>
      </c>
      <c r="M209" s="216">
        <f>IFERROR(VLOOKUP(A209,PARTIDAS!$A$2:$F$269,6,FALSE()),1)</f>
        <v>15</v>
      </c>
      <c r="N209" s="216">
        <f>IFERROR(VLOOKUP(A209,PARTIDAS!$A$2:$I$269,9,FALSE()),1)</f>
        <v>1</v>
      </c>
      <c r="O209" s="217">
        <f t="shared" si="6"/>
        <v>0</v>
      </c>
      <c r="P209" s="216">
        <f>IF(O209=0,0,IF(B209="MAT",G209*(1+H209)*L209*PLAN_ETAPA!$C$5,IF(B209="MO",IF(M209=0,0,G209*L209*PLAN_ETAPA!$C$5*N209/M209),IF(B209="EQ",IF(M209=0,0,G209*L209*PLAN_ETAPA!$C$5/M209),0))))</f>
        <v>0</v>
      </c>
      <c r="Q209" s="218">
        <f t="shared" si="7"/>
        <v>0</v>
      </c>
    </row>
    <row r="210" spans="1:17" x14ac:dyDescent="0.35">
      <c r="A210" s="212" t="str">
        <f>COMPOSICIÓN!A210</f>
        <v>ALB-075</v>
      </c>
      <c r="B210" s="212" t="str">
        <f>COMPOSICIÓN!B210</f>
        <v>MAT</v>
      </c>
      <c r="C210" s="212" t="str">
        <f>COMPOSICIÓN!C210</f>
        <v>OTR</v>
      </c>
      <c r="D210" s="212" t="str">
        <f>COMPOSICIÓN!D210</f>
        <v>AGR-004</v>
      </c>
      <c r="E210" s="212" t="str">
        <f>COMPOSICIÓN!E210</f>
        <v>Cemento Portland x 50kg</v>
      </c>
      <c r="F210" s="212" t="str">
        <f>COMPOSICIÓN!F210</f>
        <v>Bol</v>
      </c>
      <c r="G210" s="213">
        <f>COMPOSICIÓN!G210</f>
        <v>0.1</v>
      </c>
      <c r="H210" s="214">
        <f>COMPOSICIÓN!H210</f>
        <v>0.1</v>
      </c>
      <c r="I210" s="215">
        <f>COMPOSICIÓN!I210</f>
        <v>7809.48</v>
      </c>
      <c r="J210" s="212" t="str">
        <f>IFERROR(VLOOKUP(A210,PARTIDAS!$A$2:$C$269,3,FALSE()),"")</f>
        <v>MAMPOSTERÍA</v>
      </c>
      <c r="K210" s="212" t="str">
        <f>IFERROR(INDEX(PPTO_GENERADOR!$B$4:$B$220,MATCH(A210,PPTO_GENERADOR!$Q$4:$Q$220,0)),"")</f>
        <v/>
      </c>
      <c r="L210" s="216">
        <f>IF(PLAN_ETAPA!$C$4="(TODOS)",SUMIFS(PPTO_GENERADOR!$E$4:$E$220,PPTO_GENERADOR!$Q$4:$Q$220,A210),SUMIFS(PPTO_GENERADOR!$E$4:$E$220,PPTO_GENERADOR!$Q$4:$Q$220,A210,PPTO_GENERADOR!$B$4:$B$220,PLAN_ETAPA!$C$4))</f>
        <v>0</v>
      </c>
      <c r="M210" s="216">
        <f>IFERROR(VLOOKUP(A210,PARTIDAS!$A$2:$F$269,6,FALSE()),1)</f>
        <v>15</v>
      </c>
      <c r="N210" s="216">
        <f>IFERROR(VLOOKUP(A210,PARTIDAS!$A$2:$I$269,9,FALSE()),1)</f>
        <v>1</v>
      </c>
      <c r="O210" s="217">
        <f t="shared" si="6"/>
        <v>0</v>
      </c>
      <c r="P210" s="216">
        <f>IF(O210=0,0,IF(B210="MAT",G210*(1+H210)*L210*PLAN_ETAPA!$C$5,IF(B210="MO",IF(M210=0,0,G210*L210*PLAN_ETAPA!$C$5*N210/M210),IF(B210="EQ",IF(M210=0,0,G210*L210*PLAN_ETAPA!$C$5/M210),0))))</f>
        <v>0</v>
      </c>
      <c r="Q210" s="218">
        <f t="shared" si="7"/>
        <v>0</v>
      </c>
    </row>
    <row r="211" spans="1:17" x14ac:dyDescent="0.35">
      <c r="A211" s="212" t="str">
        <f>COMPOSICIÓN!A211</f>
        <v>ALB-075</v>
      </c>
      <c r="B211" s="212" t="str">
        <f>COMPOSICIÓN!B211</f>
        <v>MAT</v>
      </c>
      <c r="C211" s="212" t="str">
        <f>COMPOSICIÓN!C211</f>
        <v>OTR</v>
      </c>
      <c r="D211" s="212" t="str">
        <f>COMPOSICIÓN!D211</f>
        <v>AGR-005</v>
      </c>
      <c r="E211" s="212" t="str">
        <f>COMPOSICIÓN!E211</f>
        <v>Cal Comun x 25kg</v>
      </c>
      <c r="F211" s="212" t="str">
        <f>COMPOSICIÓN!F211</f>
        <v>bol</v>
      </c>
      <c r="G211" s="213">
        <f>COMPOSICIÓN!G211</f>
        <v>0.2</v>
      </c>
      <c r="H211" s="214">
        <f>COMPOSICIÓN!H211</f>
        <v>0.1</v>
      </c>
      <c r="I211" s="215">
        <f>COMPOSICIÓN!I211</f>
        <v>3837.96</v>
      </c>
      <c r="J211" s="212" t="str">
        <f>IFERROR(VLOOKUP(A211,PARTIDAS!$A$2:$C$269,3,FALSE()),"")</f>
        <v>MAMPOSTERÍA</v>
      </c>
      <c r="K211" s="212" t="str">
        <f>IFERROR(INDEX(PPTO_GENERADOR!$B$4:$B$220,MATCH(A211,PPTO_GENERADOR!$Q$4:$Q$220,0)),"")</f>
        <v/>
      </c>
      <c r="L211" s="216">
        <f>IF(PLAN_ETAPA!$C$4="(TODOS)",SUMIFS(PPTO_GENERADOR!$E$4:$E$220,PPTO_GENERADOR!$Q$4:$Q$220,A211),SUMIFS(PPTO_GENERADOR!$E$4:$E$220,PPTO_GENERADOR!$Q$4:$Q$220,A211,PPTO_GENERADOR!$B$4:$B$220,PLAN_ETAPA!$C$4))</f>
        <v>0</v>
      </c>
      <c r="M211" s="216">
        <f>IFERROR(VLOOKUP(A211,PARTIDAS!$A$2:$F$269,6,FALSE()),1)</f>
        <v>15</v>
      </c>
      <c r="N211" s="216">
        <f>IFERROR(VLOOKUP(A211,PARTIDAS!$A$2:$I$269,9,FALSE()),1)</f>
        <v>1</v>
      </c>
      <c r="O211" s="217">
        <f t="shared" si="6"/>
        <v>0</v>
      </c>
      <c r="P211" s="216">
        <f>IF(O211=0,0,IF(B211="MAT",G211*(1+H211)*L211*PLAN_ETAPA!$C$5,IF(B211="MO",IF(M211=0,0,G211*L211*PLAN_ETAPA!$C$5*N211/M211),IF(B211="EQ",IF(M211=0,0,G211*L211*PLAN_ETAPA!$C$5/M211),0))))</f>
        <v>0</v>
      </c>
      <c r="Q211" s="218">
        <f t="shared" si="7"/>
        <v>0</v>
      </c>
    </row>
    <row r="212" spans="1:17" x14ac:dyDescent="0.35">
      <c r="A212" s="212" t="str">
        <f>COMPOSICIÓN!A212</f>
        <v>ALB-075</v>
      </c>
      <c r="B212" s="212" t="str">
        <f>COMPOSICIÓN!B212</f>
        <v>MAT</v>
      </c>
      <c r="C212" s="212" t="str">
        <f>COMPOSICIÓN!C212</f>
        <v>OTR</v>
      </c>
      <c r="D212" s="212" t="str">
        <f>COMPOSICIÓN!D212</f>
        <v>CER-003</v>
      </c>
      <c r="E212" s="212" t="str">
        <f>COMPOSICIÓN!E212</f>
        <v>LADRILLO CERAMICO 12 x 18 x 33 cm</v>
      </c>
      <c r="F212" s="212" t="str">
        <f>COMPOSICIÓN!F212</f>
        <v>u</v>
      </c>
      <c r="G212" s="213">
        <f>COMPOSICIÓN!G212</f>
        <v>15</v>
      </c>
      <c r="H212" s="214">
        <f>COMPOSICIÓN!H212</f>
        <v>0.05</v>
      </c>
      <c r="I212" s="215">
        <f>COMPOSICIÓN!I212</f>
        <v>365.4</v>
      </c>
      <c r="J212" s="212" t="str">
        <f>IFERROR(VLOOKUP(A212,PARTIDAS!$A$2:$C$269,3,FALSE()),"")</f>
        <v>MAMPOSTERÍA</v>
      </c>
      <c r="K212" s="212" t="str">
        <f>IFERROR(INDEX(PPTO_GENERADOR!$B$4:$B$220,MATCH(A212,PPTO_GENERADOR!$Q$4:$Q$220,0)),"")</f>
        <v/>
      </c>
      <c r="L212" s="216">
        <f>IF(PLAN_ETAPA!$C$4="(TODOS)",SUMIFS(PPTO_GENERADOR!$E$4:$E$220,PPTO_GENERADOR!$Q$4:$Q$220,A212),SUMIFS(PPTO_GENERADOR!$E$4:$E$220,PPTO_GENERADOR!$Q$4:$Q$220,A212,PPTO_GENERADOR!$B$4:$B$220,PLAN_ETAPA!$C$4))</f>
        <v>0</v>
      </c>
      <c r="M212" s="216">
        <f>IFERROR(VLOOKUP(A212,PARTIDAS!$A$2:$F$269,6,FALSE()),1)</f>
        <v>15</v>
      </c>
      <c r="N212" s="216">
        <f>IFERROR(VLOOKUP(A212,PARTIDAS!$A$2:$I$269,9,FALSE()),1)</f>
        <v>1</v>
      </c>
      <c r="O212" s="217">
        <f t="shared" si="6"/>
        <v>0</v>
      </c>
      <c r="P212" s="216">
        <f>IF(O212=0,0,IF(B212="MAT",G212*(1+H212)*L212*PLAN_ETAPA!$C$5,IF(B212="MO",IF(M212=0,0,G212*L212*PLAN_ETAPA!$C$5*N212/M212),IF(B212="EQ",IF(M212=0,0,G212*L212*PLAN_ETAPA!$C$5/M212),0))))</f>
        <v>0</v>
      </c>
      <c r="Q212" s="218">
        <f t="shared" si="7"/>
        <v>0</v>
      </c>
    </row>
    <row r="213" spans="1:17" x14ac:dyDescent="0.35">
      <c r="A213" s="212" t="str">
        <f>COMPOSICIÓN!A213</f>
        <v>ALB-075</v>
      </c>
      <c r="B213" s="212" t="str">
        <f>COMPOSICIÓN!B213</f>
        <v>MAT</v>
      </c>
      <c r="C213" s="212" t="str">
        <f>COMPOSICIÓN!C213</f>
        <v>OTR</v>
      </c>
      <c r="D213" s="212" t="str">
        <f>COMPOSICIÓN!D213</f>
        <v>MAT-CONS</v>
      </c>
      <c r="E213" s="212" t="str">
        <f>COMPOSICIÓN!E213</f>
        <v>Consumibles</v>
      </c>
      <c r="F213" s="212" t="str">
        <f>COMPOSICIÓN!F213</f>
        <v>gl</v>
      </c>
      <c r="G213" s="213">
        <f>COMPOSICIÓN!G213</f>
        <v>1.4557741900000001</v>
      </c>
      <c r="H213" s="214">
        <f>COMPOSICIÓN!H213</f>
        <v>0</v>
      </c>
      <c r="I213" s="215">
        <f>COMPOSICIÓN!I213</f>
        <v>1</v>
      </c>
      <c r="J213" s="212" t="str">
        <f>IFERROR(VLOOKUP(A213,PARTIDAS!$A$2:$C$269,3,FALSE()),"")</f>
        <v>MAMPOSTERÍA</v>
      </c>
      <c r="K213" s="212" t="str">
        <f>IFERROR(INDEX(PPTO_GENERADOR!$B$4:$B$220,MATCH(A213,PPTO_GENERADOR!$Q$4:$Q$220,0)),"")</f>
        <v/>
      </c>
      <c r="L213" s="216">
        <f>IF(PLAN_ETAPA!$C$4="(TODOS)",SUMIFS(PPTO_GENERADOR!$E$4:$E$220,PPTO_GENERADOR!$Q$4:$Q$220,A213),SUMIFS(PPTO_GENERADOR!$E$4:$E$220,PPTO_GENERADOR!$Q$4:$Q$220,A213,PPTO_GENERADOR!$B$4:$B$220,PLAN_ETAPA!$C$4))</f>
        <v>0</v>
      </c>
      <c r="M213" s="216">
        <f>IFERROR(VLOOKUP(A213,PARTIDAS!$A$2:$F$269,6,FALSE()),1)</f>
        <v>15</v>
      </c>
      <c r="N213" s="216">
        <f>IFERROR(VLOOKUP(A213,PARTIDAS!$A$2:$I$269,9,FALSE()),1)</f>
        <v>1</v>
      </c>
      <c r="O213" s="217">
        <f t="shared" si="6"/>
        <v>0</v>
      </c>
      <c r="P213" s="216">
        <f>IF(O213=0,0,IF(B213="MAT",G213*(1+H213)*L213*PLAN_ETAPA!$C$5,IF(B213="MO",IF(M213=0,0,G213*L213*PLAN_ETAPA!$C$5*N213/M213),IF(B213="EQ",IF(M213=0,0,G213*L213*PLAN_ETAPA!$C$5/M213),0))))</f>
        <v>0</v>
      </c>
      <c r="Q213" s="218">
        <f t="shared" si="7"/>
        <v>0</v>
      </c>
    </row>
    <row r="214" spans="1:17" x14ac:dyDescent="0.35">
      <c r="A214" s="212" t="str">
        <f>COMPOSICIÓN!A214</f>
        <v>ALB-075</v>
      </c>
      <c r="B214" s="212" t="str">
        <f>COMPOSICIÓN!B214</f>
        <v>MO</v>
      </c>
      <c r="C214" s="212" t="str">
        <f>COMPOSICIÓN!C214</f>
        <v>ALB</v>
      </c>
      <c r="D214" s="212" t="str">
        <f>COMPOSICIÓN!D214</f>
        <v>MO-EMEDI</v>
      </c>
      <c r="E214" s="212" t="str">
        <f>COMPOSICIÓN!E214</f>
        <v>MEDIO OFICIAL</v>
      </c>
      <c r="F214" s="212" t="str">
        <f>COMPOSICIÓN!F214</f>
        <v>j</v>
      </c>
      <c r="G214" s="213">
        <f>COMPOSICIÓN!G214</f>
        <v>1</v>
      </c>
      <c r="H214" s="214">
        <f>COMPOSICIÓN!H214</f>
        <v>0</v>
      </c>
      <c r="I214" s="215">
        <f>COMPOSICIÓN!I214</f>
        <v>65493.071636572</v>
      </c>
      <c r="J214" s="212" t="str">
        <f>IFERROR(VLOOKUP(A214,PARTIDAS!$A$2:$C$269,3,FALSE()),"")</f>
        <v>MAMPOSTERÍA</v>
      </c>
      <c r="K214" s="212" t="str">
        <f>IFERROR(INDEX(PPTO_GENERADOR!$B$4:$B$220,MATCH(A214,PPTO_GENERADOR!$Q$4:$Q$220,0)),"")</f>
        <v/>
      </c>
      <c r="L214" s="216">
        <f>IF(PLAN_ETAPA!$C$4="(TODOS)",SUMIFS(PPTO_GENERADOR!$E$4:$E$220,PPTO_GENERADOR!$Q$4:$Q$220,A214),SUMIFS(PPTO_GENERADOR!$E$4:$E$220,PPTO_GENERADOR!$Q$4:$Q$220,A214,PPTO_GENERADOR!$B$4:$B$220,PLAN_ETAPA!$C$4))</f>
        <v>0</v>
      </c>
      <c r="M214" s="216">
        <f>IFERROR(VLOOKUP(A214,PARTIDAS!$A$2:$F$269,6,FALSE()),1)</f>
        <v>15</v>
      </c>
      <c r="N214" s="216">
        <f>IFERROR(VLOOKUP(A214,PARTIDAS!$A$2:$I$269,9,FALSE()),1)</f>
        <v>1</v>
      </c>
      <c r="O214" s="217">
        <f t="shared" si="6"/>
        <v>0</v>
      </c>
      <c r="P214" s="216">
        <f>IF(O214=0,0,IF(B214="MAT",G214*(1+H214)*L214*PLAN_ETAPA!$C$5,IF(B214="MO",IF(M214=0,0,G214*L214*PLAN_ETAPA!$C$5*N214/M214),IF(B214="EQ",IF(M214=0,0,G214*L214*PLAN_ETAPA!$C$5/M214),0))))</f>
        <v>0</v>
      </c>
      <c r="Q214" s="218">
        <f t="shared" si="7"/>
        <v>0</v>
      </c>
    </row>
    <row r="215" spans="1:17" x14ac:dyDescent="0.35">
      <c r="A215" s="212" t="str">
        <f>COMPOSICIÓN!A215</f>
        <v>ALB-075</v>
      </c>
      <c r="B215" s="212" t="str">
        <f>COMPOSICIÓN!B215</f>
        <v>MO</v>
      </c>
      <c r="C215" s="212" t="str">
        <f>COMPOSICIÓN!C215</f>
        <v>ALB</v>
      </c>
      <c r="D215" s="212" t="str">
        <f>COMPOSICIÓN!D215</f>
        <v>MO-EESPE</v>
      </c>
      <c r="E215" s="212" t="str">
        <f>COMPOSICIÓN!E215</f>
        <v>ESPECIALIZADO</v>
      </c>
      <c r="F215" s="212" t="str">
        <f>COMPOSICIÓN!F215</f>
        <v>j</v>
      </c>
      <c r="G215" s="213">
        <f>COMPOSICIÓN!G215</f>
        <v>1</v>
      </c>
      <c r="H215" s="214">
        <f>COMPOSICIÓN!H215</f>
        <v>0</v>
      </c>
      <c r="I215" s="215">
        <f>COMPOSICIÓN!I215</f>
        <v>85927.097156571996</v>
      </c>
      <c r="J215" s="212" t="str">
        <f>IFERROR(VLOOKUP(A215,PARTIDAS!$A$2:$C$269,3,FALSE()),"")</f>
        <v>MAMPOSTERÍA</v>
      </c>
      <c r="K215" s="212" t="str">
        <f>IFERROR(INDEX(PPTO_GENERADOR!$B$4:$B$220,MATCH(A215,PPTO_GENERADOR!$Q$4:$Q$220,0)),"")</f>
        <v/>
      </c>
      <c r="L215" s="216">
        <f>IF(PLAN_ETAPA!$C$4="(TODOS)",SUMIFS(PPTO_GENERADOR!$E$4:$E$220,PPTO_GENERADOR!$Q$4:$Q$220,A215),SUMIFS(PPTO_GENERADOR!$E$4:$E$220,PPTO_GENERADOR!$Q$4:$Q$220,A215,PPTO_GENERADOR!$B$4:$B$220,PLAN_ETAPA!$C$4))</f>
        <v>0</v>
      </c>
      <c r="M215" s="216">
        <f>IFERROR(VLOOKUP(A215,PARTIDAS!$A$2:$F$269,6,FALSE()),1)</f>
        <v>15</v>
      </c>
      <c r="N215" s="216">
        <f>IFERROR(VLOOKUP(A215,PARTIDAS!$A$2:$I$269,9,FALSE()),1)</f>
        <v>1</v>
      </c>
      <c r="O215" s="217">
        <f t="shared" si="6"/>
        <v>0</v>
      </c>
      <c r="P215" s="216">
        <f>IF(O215=0,0,IF(B215="MAT",G215*(1+H215)*L215*PLAN_ETAPA!$C$5,IF(B215="MO",IF(M215=0,0,G215*L215*PLAN_ETAPA!$C$5*N215/M215),IF(B215="EQ",IF(M215=0,0,G215*L215*PLAN_ETAPA!$C$5/M215),0))))</f>
        <v>0</v>
      </c>
      <c r="Q215" s="218">
        <f t="shared" si="7"/>
        <v>0</v>
      </c>
    </row>
    <row r="216" spans="1:17" x14ac:dyDescent="0.35">
      <c r="A216" s="212" t="str">
        <f>COMPOSICIÓN!A216</f>
        <v>ALB-115</v>
      </c>
      <c r="B216" s="212" t="str">
        <f>COMPOSICIÓN!B216</f>
        <v>MAT</v>
      </c>
      <c r="C216" s="212" t="str">
        <f>COMPOSICIÓN!C216</f>
        <v>OTR</v>
      </c>
      <c r="D216" s="212" t="str">
        <f>COMPOSICIÓN!D216</f>
        <v>AGR-001</v>
      </c>
      <c r="E216" s="212" t="str">
        <f>COMPOSICIÓN!E216</f>
        <v>ARENA LAVADA</v>
      </c>
      <c r="F216" s="212" t="str">
        <f>COMPOSICIÓN!F216</f>
        <v>m3</v>
      </c>
      <c r="G216" s="213">
        <f>COMPOSICIÓN!G216</f>
        <v>0.02</v>
      </c>
      <c r="H216" s="214">
        <f>COMPOSICIÓN!H216</f>
        <v>0.03</v>
      </c>
      <c r="I216" s="215">
        <f>COMPOSICIÓN!I216</f>
        <v>32399.77</v>
      </c>
      <c r="J216" s="212" t="str">
        <f>IFERROR(VLOOKUP(A216,PARTIDAS!$A$2:$C$269,3,FALSE()),"")</f>
        <v>MAMPOSTERÍA</v>
      </c>
      <c r="K216" s="212" t="str">
        <f>IFERROR(INDEX(PPTO_GENERADOR!$B$4:$B$220,MATCH(A216,PPTO_GENERADOR!$Q$4:$Q$220,0)),"")</f>
        <v/>
      </c>
      <c r="L216" s="216">
        <f>IF(PLAN_ETAPA!$C$4="(TODOS)",SUMIFS(PPTO_GENERADOR!$E$4:$E$220,PPTO_GENERADOR!$Q$4:$Q$220,A216),SUMIFS(PPTO_GENERADOR!$E$4:$E$220,PPTO_GENERADOR!$Q$4:$Q$220,A216,PPTO_GENERADOR!$B$4:$B$220,PLAN_ETAPA!$C$4))</f>
        <v>0</v>
      </c>
      <c r="M216" s="216">
        <f>IFERROR(VLOOKUP(A216,PARTIDAS!$A$2:$F$269,6,FALSE()),1)</f>
        <v>15</v>
      </c>
      <c r="N216" s="216">
        <f>IFERROR(VLOOKUP(A216,PARTIDAS!$A$2:$I$269,9,FALSE()),1)</f>
        <v>1</v>
      </c>
      <c r="O216" s="217">
        <f t="shared" si="6"/>
        <v>0</v>
      </c>
      <c r="P216" s="216">
        <f>IF(O216=0,0,IF(B216="MAT",G216*(1+H216)*L216*PLAN_ETAPA!$C$5,IF(B216="MO",IF(M216=0,0,G216*L216*PLAN_ETAPA!$C$5*N216/M216),IF(B216="EQ",IF(M216=0,0,G216*L216*PLAN_ETAPA!$C$5/M216),0))))</f>
        <v>0</v>
      </c>
      <c r="Q216" s="218">
        <f t="shared" si="7"/>
        <v>0</v>
      </c>
    </row>
    <row r="217" spans="1:17" x14ac:dyDescent="0.35">
      <c r="A217" s="212" t="str">
        <f>COMPOSICIÓN!A217</f>
        <v>ALB-115</v>
      </c>
      <c r="B217" s="212" t="str">
        <f>COMPOSICIÓN!B217</f>
        <v>MAT</v>
      </c>
      <c r="C217" s="212" t="str">
        <f>COMPOSICIÓN!C217</f>
        <v>OTR</v>
      </c>
      <c r="D217" s="212" t="str">
        <f>COMPOSICIÓN!D217</f>
        <v>AGR-004</v>
      </c>
      <c r="E217" s="212" t="str">
        <f>COMPOSICIÓN!E217</f>
        <v>Cemento Portland x 50kg</v>
      </c>
      <c r="F217" s="212" t="str">
        <f>COMPOSICIÓN!F217</f>
        <v>Bol</v>
      </c>
      <c r="G217" s="213">
        <f>COMPOSICIÓN!G217</f>
        <v>0.26</v>
      </c>
      <c r="H217" s="214">
        <f>COMPOSICIÓN!H217</f>
        <v>0.03</v>
      </c>
      <c r="I217" s="215">
        <f>COMPOSICIÓN!I217</f>
        <v>7809.48</v>
      </c>
      <c r="J217" s="212" t="str">
        <f>IFERROR(VLOOKUP(A217,PARTIDAS!$A$2:$C$269,3,FALSE()),"")</f>
        <v>MAMPOSTERÍA</v>
      </c>
      <c r="K217" s="212" t="str">
        <f>IFERROR(INDEX(PPTO_GENERADOR!$B$4:$B$220,MATCH(A217,PPTO_GENERADOR!$Q$4:$Q$220,0)),"")</f>
        <v/>
      </c>
      <c r="L217" s="216">
        <f>IF(PLAN_ETAPA!$C$4="(TODOS)",SUMIFS(PPTO_GENERADOR!$E$4:$E$220,PPTO_GENERADOR!$Q$4:$Q$220,A217),SUMIFS(PPTO_GENERADOR!$E$4:$E$220,PPTO_GENERADOR!$Q$4:$Q$220,A217,PPTO_GENERADOR!$B$4:$B$220,PLAN_ETAPA!$C$4))</f>
        <v>0</v>
      </c>
      <c r="M217" s="216">
        <f>IFERROR(VLOOKUP(A217,PARTIDAS!$A$2:$F$269,6,FALSE()),1)</f>
        <v>15</v>
      </c>
      <c r="N217" s="216">
        <f>IFERROR(VLOOKUP(A217,PARTIDAS!$A$2:$I$269,9,FALSE()),1)</f>
        <v>1</v>
      </c>
      <c r="O217" s="217">
        <f t="shared" si="6"/>
        <v>0</v>
      </c>
      <c r="P217" s="216">
        <f>IF(O217=0,0,IF(B217="MAT",G217*(1+H217)*L217*PLAN_ETAPA!$C$5,IF(B217="MO",IF(M217=0,0,G217*L217*PLAN_ETAPA!$C$5*N217/M217),IF(B217="EQ",IF(M217=0,0,G217*L217*PLAN_ETAPA!$C$5/M217),0))))</f>
        <v>0</v>
      </c>
      <c r="Q217" s="218">
        <f t="shared" si="7"/>
        <v>0</v>
      </c>
    </row>
    <row r="218" spans="1:17" x14ac:dyDescent="0.35">
      <c r="A218" s="212" t="str">
        <f>COMPOSICIÓN!A218</f>
        <v>ALB-115</v>
      </c>
      <c r="B218" s="212" t="str">
        <f>COMPOSICIÓN!B218</f>
        <v>MAT</v>
      </c>
      <c r="C218" s="212" t="str">
        <f>COMPOSICIÓN!C218</f>
        <v>OTR</v>
      </c>
      <c r="D218" s="212" t="str">
        <f>COMPOSICIÓN!D218</f>
        <v>AGR-005</v>
      </c>
      <c r="E218" s="212" t="str">
        <f>COMPOSICIÓN!E218</f>
        <v>Cal Comun x 25kg</v>
      </c>
      <c r="F218" s="212" t="str">
        <f>COMPOSICIÓN!F218</f>
        <v>bol</v>
      </c>
      <c r="G218" s="213">
        <f>COMPOSICIÓN!G218</f>
        <v>0.06</v>
      </c>
      <c r="H218" s="214">
        <f>COMPOSICIÓN!H218</f>
        <v>0.05</v>
      </c>
      <c r="I218" s="215">
        <f>COMPOSICIÓN!I218</f>
        <v>3837.96</v>
      </c>
      <c r="J218" s="212" t="str">
        <f>IFERROR(VLOOKUP(A218,PARTIDAS!$A$2:$C$269,3,FALSE()),"")</f>
        <v>MAMPOSTERÍA</v>
      </c>
      <c r="K218" s="212" t="str">
        <f>IFERROR(INDEX(PPTO_GENERADOR!$B$4:$B$220,MATCH(A218,PPTO_GENERADOR!$Q$4:$Q$220,0)),"")</f>
        <v/>
      </c>
      <c r="L218" s="216">
        <f>IF(PLAN_ETAPA!$C$4="(TODOS)",SUMIFS(PPTO_GENERADOR!$E$4:$E$220,PPTO_GENERADOR!$Q$4:$Q$220,A218),SUMIFS(PPTO_GENERADOR!$E$4:$E$220,PPTO_GENERADOR!$Q$4:$Q$220,A218,PPTO_GENERADOR!$B$4:$B$220,PLAN_ETAPA!$C$4))</f>
        <v>0</v>
      </c>
      <c r="M218" s="216">
        <f>IFERROR(VLOOKUP(A218,PARTIDAS!$A$2:$F$269,6,FALSE()),1)</f>
        <v>15</v>
      </c>
      <c r="N218" s="216">
        <f>IFERROR(VLOOKUP(A218,PARTIDAS!$A$2:$I$269,9,FALSE()),1)</f>
        <v>1</v>
      </c>
      <c r="O218" s="217">
        <f t="shared" si="6"/>
        <v>0</v>
      </c>
      <c r="P218" s="216">
        <f>IF(O218=0,0,IF(B218="MAT",G218*(1+H218)*L218*PLAN_ETAPA!$C$5,IF(B218="MO",IF(M218=0,0,G218*L218*PLAN_ETAPA!$C$5*N218/M218),IF(B218="EQ",IF(M218=0,0,G218*L218*PLAN_ETAPA!$C$5/M218),0))))</f>
        <v>0</v>
      </c>
      <c r="Q218" s="218">
        <f t="shared" si="7"/>
        <v>0</v>
      </c>
    </row>
    <row r="219" spans="1:17" x14ac:dyDescent="0.35">
      <c r="A219" s="212" t="str">
        <f>COMPOSICIÓN!A219</f>
        <v>ALB-115</v>
      </c>
      <c r="B219" s="212" t="str">
        <f>COMPOSICIÓN!B219</f>
        <v>MO</v>
      </c>
      <c r="C219" s="212" t="str">
        <f>COMPOSICIÓN!C219</f>
        <v>ALB</v>
      </c>
      <c r="D219" s="212" t="str">
        <f>COMPOSICIÓN!D219</f>
        <v>MO-EAYUD</v>
      </c>
      <c r="E219" s="212" t="str">
        <f>COMPOSICIÓN!E219</f>
        <v>AYUDANTE</v>
      </c>
      <c r="F219" s="212" t="str">
        <f>COMPOSICIÓN!F219</f>
        <v>j</v>
      </c>
      <c r="G219" s="213">
        <f>COMPOSICIÓN!G219</f>
        <v>1</v>
      </c>
      <c r="H219" s="214">
        <f>COMPOSICIÓN!H219</f>
        <v>0</v>
      </c>
      <c r="I219" s="215">
        <f>COMPOSICIÓN!I219</f>
        <v>60860.580776572002</v>
      </c>
      <c r="J219" s="212" t="str">
        <f>IFERROR(VLOOKUP(A219,PARTIDAS!$A$2:$C$269,3,FALSE()),"")</f>
        <v>MAMPOSTERÍA</v>
      </c>
      <c r="K219" s="212" t="str">
        <f>IFERROR(INDEX(PPTO_GENERADOR!$B$4:$B$220,MATCH(A219,PPTO_GENERADOR!$Q$4:$Q$220,0)),"")</f>
        <v/>
      </c>
      <c r="L219" s="216">
        <f>IF(PLAN_ETAPA!$C$4="(TODOS)",SUMIFS(PPTO_GENERADOR!$E$4:$E$220,PPTO_GENERADOR!$Q$4:$Q$220,A219),SUMIFS(PPTO_GENERADOR!$E$4:$E$220,PPTO_GENERADOR!$Q$4:$Q$220,A219,PPTO_GENERADOR!$B$4:$B$220,PLAN_ETAPA!$C$4))</f>
        <v>0</v>
      </c>
      <c r="M219" s="216">
        <f>IFERROR(VLOOKUP(A219,PARTIDAS!$A$2:$F$269,6,FALSE()),1)</f>
        <v>15</v>
      </c>
      <c r="N219" s="216">
        <f>IFERROR(VLOOKUP(A219,PARTIDAS!$A$2:$I$269,9,FALSE()),1)</f>
        <v>1</v>
      </c>
      <c r="O219" s="217">
        <f t="shared" si="6"/>
        <v>0</v>
      </c>
      <c r="P219" s="216">
        <f>IF(O219=0,0,IF(B219="MAT",G219*(1+H219)*L219*PLAN_ETAPA!$C$5,IF(B219="MO",IF(M219=0,0,G219*L219*PLAN_ETAPA!$C$5*N219/M219),IF(B219="EQ",IF(M219=0,0,G219*L219*PLAN_ETAPA!$C$5/M219),0))))</f>
        <v>0</v>
      </c>
      <c r="Q219" s="218">
        <f t="shared" si="7"/>
        <v>0</v>
      </c>
    </row>
    <row r="220" spans="1:17" x14ac:dyDescent="0.35">
      <c r="A220" s="212" t="str">
        <f>COMPOSICIÓN!A220</f>
        <v>ALB-115</v>
      </c>
      <c r="B220" s="212" t="str">
        <f>COMPOSICIÓN!B220</f>
        <v>MO</v>
      </c>
      <c r="C220" s="212" t="str">
        <f>COMPOSICIÓN!C220</f>
        <v>ALB</v>
      </c>
      <c r="D220" s="212" t="str">
        <f>COMPOSICIÓN!D220</f>
        <v>MO-EESPE</v>
      </c>
      <c r="E220" s="212" t="str">
        <f>COMPOSICIÓN!E220</f>
        <v>ESPECIALIZADO</v>
      </c>
      <c r="F220" s="212" t="str">
        <f>COMPOSICIÓN!F220</f>
        <v>j</v>
      </c>
      <c r="G220" s="213">
        <f>COMPOSICIÓN!G220</f>
        <v>1</v>
      </c>
      <c r="H220" s="214">
        <f>COMPOSICIÓN!H220</f>
        <v>0</v>
      </c>
      <c r="I220" s="215">
        <f>COMPOSICIÓN!I220</f>
        <v>85927.097156571996</v>
      </c>
      <c r="J220" s="212" t="str">
        <f>IFERROR(VLOOKUP(A220,PARTIDAS!$A$2:$C$269,3,FALSE()),"")</f>
        <v>MAMPOSTERÍA</v>
      </c>
      <c r="K220" s="212" t="str">
        <f>IFERROR(INDEX(PPTO_GENERADOR!$B$4:$B$220,MATCH(A220,PPTO_GENERADOR!$Q$4:$Q$220,0)),"")</f>
        <v/>
      </c>
      <c r="L220" s="216">
        <f>IF(PLAN_ETAPA!$C$4="(TODOS)",SUMIFS(PPTO_GENERADOR!$E$4:$E$220,PPTO_GENERADOR!$Q$4:$Q$220,A220),SUMIFS(PPTO_GENERADOR!$E$4:$E$220,PPTO_GENERADOR!$Q$4:$Q$220,A220,PPTO_GENERADOR!$B$4:$B$220,PLAN_ETAPA!$C$4))</f>
        <v>0</v>
      </c>
      <c r="M220" s="216">
        <f>IFERROR(VLOOKUP(A220,PARTIDAS!$A$2:$F$269,6,FALSE()),1)</f>
        <v>15</v>
      </c>
      <c r="N220" s="216">
        <f>IFERROR(VLOOKUP(A220,PARTIDAS!$A$2:$I$269,9,FALSE()),1)</f>
        <v>1</v>
      </c>
      <c r="O220" s="217">
        <f t="shared" si="6"/>
        <v>0</v>
      </c>
      <c r="P220" s="216">
        <f>IF(O220=0,0,IF(B220="MAT",G220*(1+H220)*L220*PLAN_ETAPA!$C$5,IF(B220="MO",IF(M220=0,0,G220*L220*PLAN_ETAPA!$C$5*N220/M220),IF(B220="EQ",IF(M220=0,0,G220*L220*PLAN_ETAPA!$C$5/M220),0))))</f>
        <v>0</v>
      </c>
      <c r="Q220" s="218">
        <f t="shared" si="7"/>
        <v>0</v>
      </c>
    </row>
    <row r="221" spans="1:17" x14ac:dyDescent="0.35">
      <c r="A221" s="212" t="str">
        <f>COMPOSICIÓN!A221</f>
        <v>ALB-118</v>
      </c>
      <c r="B221" s="212" t="str">
        <f>COMPOSICIÓN!B221</f>
        <v>EQ</v>
      </c>
      <c r="C221" s="212">
        <f>COMPOSICIÓN!C221</f>
        <v>0</v>
      </c>
      <c r="D221" s="212" t="str">
        <f>COMPOSICIÓN!D221</f>
        <v>EQ-ANDAM0</v>
      </c>
      <c r="E221" s="212" t="str">
        <f>COMPOSICIÓN!E221</f>
        <v>ANDAMIO TUBULAR DE UNO A TRES CUERPOS</v>
      </c>
      <c r="F221" s="212">
        <f>COMPOSICIÓN!F221</f>
        <v>0</v>
      </c>
      <c r="G221" s="213">
        <f>COMPOSICIÓN!G221</f>
        <v>0.5</v>
      </c>
      <c r="H221" s="214">
        <f>COMPOSICIÓN!H221</f>
        <v>0</v>
      </c>
      <c r="I221" s="215">
        <f>COMPOSICIÓN!I221</f>
        <v>571.1794909807611</v>
      </c>
      <c r="J221" s="212" t="str">
        <f>IFERROR(VLOOKUP(A221,PARTIDAS!$A$2:$C$269,3,FALSE()),"")</f>
        <v>MAMPOSTERÍA</v>
      </c>
      <c r="K221" s="212" t="str">
        <f>IFERROR(INDEX(PPTO_GENERADOR!$B$4:$B$220,MATCH(A221,PPTO_GENERADOR!$Q$4:$Q$220,0)),"")</f>
        <v/>
      </c>
      <c r="L221" s="216">
        <f>IF(PLAN_ETAPA!$C$4="(TODOS)",SUMIFS(PPTO_GENERADOR!$E$4:$E$220,PPTO_GENERADOR!$Q$4:$Q$220,A221),SUMIFS(PPTO_GENERADOR!$E$4:$E$220,PPTO_GENERADOR!$Q$4:$Q$220,A221,PPTO_GENERADOR!$B$4:$B$220,PLAN_ETAPA!$C$4))</f>
        <v>0</v>
      </c>
      <c r="M221" s="216">
        <f>IFERROR(VLOOKUP(A221,PARTIDAS!$A$2:$F$269,6,FALSE()),1)</f>
        <v>11.5</v>
      </c>
      <c r="N221" s="216">
        <f>IFERROR(VLOOKUP(A221,PARTIDAS!$A$2:$I$269,9,FALSE()),1)</f>
        <v>1</v>
      </c>
      <c r="O221" s="217">
        <f t="shared" si="6"/>
        <v>0</v>
      </c>
      <c r="P221" s="216">
        <f>IF(O221=0,0,IF(B221="MAT",G221*(1+H221)*L221*PLAN_ETAPA!$C$5,IF(B221="MO",IF(M221=0,0,G221*L221*PLAN_ETAPA!$C$5*N221/M221),IF(B221="EQ",IF(M221=0,0,G221*L221*PLAN_ETAPA!$C$5/M221),0))))</f>
        <v>0</v>
      </c>
      <c r="Q221" s="218">
        <f t="shared" si="7"/>
        <v>0</v>
      </c>
    </row>
    <row r="222" spans="1:17" x14ac:dyDescent="0.35">
      <c r="A222" s="212" t="str">
        <f>COMPOSICIÓN!A222</f>
        <v>ALB-118</v>
      </c>
      <c r="B222" s="212" t="str">
        <f>COMPOSICIÓN!B222</f>
        <v>EQ</v>
      </c>
      <c r="C222" s="212">
        <f>COMPOSICIÓN!C222</f>
        <v>0</v>
      </c>
      <c r="D222" s="212" t="str">
        <f>COMPOSICIÓN!D222</f>
        <v>EQ-EQALBA</v>
      </c>
      <c r="E222" s="212" t="str">
        <f>COMPOSICIÓN!E222</f>
        <v>EQUIPO DE ALBAÑILERIA, carpetas, ladrillo</v>
      </c>
      <c r="F222" s="212">
        <f>COMPOSICIÓN!F222</f>
        <v>0</v>
      </c>
      <c r="G222" s="213">
        <f>COMPOSICIÓN!G222</f>
        <v>1</v>
      </c>
      <c r="H222" s="214">
        <f>COMPOSICIÓN!H222</f>
        <v>0</v>
      </c>
      <c r="I222" s="215">
        <f>COMPOSICIÓN!I222</f>
        <v>2287.1357450968057</v>
      </c>
      <c r="J222" s="212" t="str">
        <f>IFERROR(VLOOKUP(A222,PARTIDAS!$A$2:$C$269,3,FALSE()),"")</f>
        <v>MAMPOSTERÍA</v>
      </c>
      <c r="K222" s="212" t="str">
        <f>IFERROR(INDEX(PPTO_GENERADOR!$B$4:$B$220,MATCH(A222,PPTO_GENERADOR!$Q$4:$Q$220,0)),"")</f>
        <v/>
      </c>
      <c r="L222" s="216">
        <f>IF(PLAN_ETAPA!$C$4="(TODOS)",SUMIFS(PPTO_GENERADOR!$E$4:$E$220,PPTO_GENERADOR!$Q$4:$Q$220,A222),SUMIFS(PPTO_GENERADOR!$E$4:$E$220,PPTO_GENERADOR!$Q$4:$Q$220,A222,PPTO_GENERADOR!$B$4:$B$220,PLAN_ETAPA!$C$4))</f>
        <v>0</v>
      </c>
      <c r="M222" s="216">
        <f>IFERROR(VLOOKUP(A222,PARTIDAS!$A$2:$F$269,6,FALSE()),1)</f>
        <v>11.5</v>
      </c>
      <c r="N222" s="216">
        <f>IFERROR(VLOOKUP(A222,PARTIDAS!$A$2:$I$269,9,FALSE()),1)</f>
        <v>1</v>
      </c>
      <c r="O222" s="217">
        <f t="shared" si="6"/>
        <v>0</v>
      </c>
      <c r="P222" s="216">
        <f>IF(O222=0,0,IF(B222="MAT",G222*(1+H222)*L222*PLAN_ETAPA!$C$5,IF(B222="MO",IF(M222=0,0,G222*L222*PLAN_ETAPA!$C$5*N222/M222),IF(B222="EQ",IF(M222=0,0,G222*L222*PLAN_ETAPA!$C$5/M222),0))))</f>
        <v>0</v>
      </c>
      <c r="Q222" s="218">
        <f t="shared" si="7"/>
        <v>0</v>
      </c>
    </row>
    <row r="223" spans="1:17" x14ac:dyDescent="0.35">
      <c r="A223" s="212" t="str">
        <f>COMPOSICIÓN!A223</f>
        <v>ALB-118</v>
      </c>
      <c r="B223" s="212" t="str">
        <f>COMPOSICIÓN!B223</f>
        <v>EQ</v>
      </c>
      <c r="C223" s="212">
        <f>COMPOSICIÓN!C223</f>
        <v>0</v>
      </c>
      <c r="D223" s="212" t="str">
        <f>COMPOSICIÓN!D223</f>
        <v>EQ-TROMPO</v>
      </c>
      <c r="E223" s="212" t="str">
        <f>COMPOSICIÓN!E223</f>
        <v>Hormigonera De 150 Litros 1hp Con Rueda Maciza</v>
      </c>
      <c r="F223" s="212">
        <f>COMPOSICIÓN!F223</f>
        <v>0</v>
      </c>
      <c r="G223" s="213">
        <f>COMPOSICIÓN!G223</f>
        <v>1</v>
      </c>
      <c r="H223" s="214">
        <f>COMPOSICIÓN!H223</f>
        <v>0</v>
      </c>
      <c r="I223" s="215">
        <f>COMPOSICIÓN!I223</f>
        <v>957.25319614994726</v>
      </c>
      <c r="J223" s="212" t="str">
        <f>IFERROR(VLOOKUP(A223,PARTIDAS!$A$2:$C$269,3,FALSE()),"")</f>
        <v>MAMPOSTERÍA</v>
      </c>
      <c r="K223" s="212" t="str">
        <f>IFERROR(INDEX(PPTO_GENERADOR!$B$4:$B$220,MATCH(A223,PPTO_GENERADOR!$Q$4:$Q$220,0)),"")</f>
        <v/>
      </c>
      <c r="L223" s="216">
        <f>IF(PLAN_ETAPA!$C$4="(TODOS)",SUMIFS(PPTO_GENERADOR!$E$4:$E$220,PPTO_GENERADOR!$Q$4:$Q$220,A223),SUMIFS(PPTO_GENERADOR!$E$4:$E$220,PPTO_GENERADOR!$Q$4:$Q$220,A223,PPTO_GENERADOR!$B$4:$B$220,PLAN_ETAPA!$C$4))</f>
        <v>0</v>
      </c>
      <c r="M223" s="216">
        <f>IFERROR(VLOOKUP(A223,PARTIDAS!$A$2:$F$269,6,FALSE()),1)</f>
        <v>11.5</v>
      </c>
      <c r="N223" s="216">
        <f>IFERROR(VLOOKUP(A223,PARTIDAS!$A$2:$I$269,9,FALSE()),1)</f>
        <v>1</v>
      </c>
      <c r="O223" s="217">
        <f t="shared" si="6"/>
        <v>0</v>
      </c>
      <c r="P223" s="216">
        <f>IF(O223=0,0,IF(B223="MAT",G223*(1+H223)*L223*PLAN_ETAPA!$C$5,IF(B223="MO",IF(M223=0,0,G223*L223*PLAN_ETAPA!$C$5*N223/M223),IF(B223="EQ",IF(M223=0,0,G223*L223*PLAN_ETAPA!$C$5/M223),0))))</f>
        <v>0</v>
      </c>
      <c r="Q223" s="218">
        <f t="shared" si="7"/>
        <v>0</v>
      </c>
    </row>
    <row r="224" spans="1:17" x14ac:dyDescent="0.35">
      <c r="A224" s="212" t="str">
        <f>COMPOSICIÓN!A224</f>
        <v>ALB-118</v>
      </c>
      <c r="B224" s="212" t="str">
        <f>COMPOSICIÓN!B224</f>
        <v>MAT</v>
      </c>
      <c r="C224" s="212" t="str">
        <f>COMPOSICIÓN!C224</f>
        <v>OTR</v>
      </c>
      <c r="D224" s="212" t="str">
        <f>COMPOSICIÓN!D224</f>
        <v>ACE-001</v>
      </c>
      <c r="E224" s="212" t="str">
        <f>COMPOSICIÓN!E224</f>
        <v>Barra de Acero Aleteado - 6mm x 12m</v>
      </c>
      <c r="F224" s="212" t="str">
        <f>COMPOSICIÓN!F224</f>
        <v>u</v>
      </c>
      <c r="G224" s="213">
        <f>COMPOSICIÓN!G224</f>
        <v>0.17</v>
      </c>
      <c r="H224" s="214">
        <f>COMPOSICIÓN!H224</f>
        <v>0.1</v>
      </c>
      <c r="I224" s="215">
        <f>COMPOSICIÓN!I224</f>
        <v>3424.53</v>
      </c>
      <c r="J224" s="212" t="str">
        <f>IFERROR(VLOOKUP(A224,PARTIDAS!$A$2:$C$269,3,FALSE()),"")</f>
        <v>MAMPOSTERÍA</v>
      </c>
      <c r="K224" s="212" t="str">
        <f>IFERROR(INDEX(PPTO_GENERADOR!$B$4:$B$220,MATCH(A224,PPTO_GENERADOR!$Q$4:$Q$220,0)),"")</f>
        <v/>
      </c>
      <c r="L224" s="216">
        <f>IF(PLAN_ETAPA!$C$4="(TODOS)",SUMIFS(PPTO_GENERADOR!$E$4:$E$220,PPTO_GENERADOR!$Q$4:$Q$220,A224),SUMIFS(PPTO_GENERADOR!$E$4:$E$220,PPTO_GENERADOR!$Q$4:$Q$220,A224,PPTO_GENERADOR!$B$4:$B$220,PLAN_ETAPA!$C$4))</f>
        <v>0</v>
      </c>
      <c r="M224" s="216">
        <f>IFERROR(VLOOKUP(A224,PARTIDAS!$A$2:$F$269,6,FALSE()),1)</f>
        <v>11.5</v>
      </c>
      <c r="N224" s="216">
        <f>IFERROR(VLOOKUP(A224,PARTIDAS!$A$2:$I$269,9,FALSE()),1)</f>
        <v>1</v>
      </c>
      <c r="O224" s="217">
        <f t="shared" si="6"/>
        <v>0</v>
      </c>
      <c r="P224" s="216">
        <f>IF(O224=0,0,IF(B224="MAT",G224*(1+H224)*L224*PLAN_ETAPA!$C$5,IF(B224="MO",IF(M224=0,0,G224*L224*PLAN_ETAPA!$C$5*N224/M224),IF(B224="EQ",IF(M224=0,0,G224*L224*PLAN_ETAPA!$C$5/M224),0))))</f>
        <v>0</v>
      </c>
      <c r="Q224" s="218">
        <f t="shared" si="7"/>
        <v>0</v>
      </c>
    </row>
    <row r="225" spans="1:17" x14ac:dyDescent="0.35">
      <c r="A225" s="212" t="str">
        <f>COMPOSICIÓN!A225</f>
        <v>ALB-118</v>
      </c>
      <c r="B225" s="212" t="str">
        <f>COMPOSICIÓN!B225</f>
        <v>MAT</v>
      </c>
      <c r="C225" s="212" t="str">
        <f>COMPOSICIÓN!C225</f>
        <v>OTR</v>
      </c>
      <c r="D225" s="212" t="str">
        <f>COMPOSICIÓN!D225</f>
        <v>AGR-001</v>
      </c>
      <c r="E225" s="212" t="str">
        <f>COMPOSICIÓN!E225</f>
        <v>ARENA LAVADA</v>
      </c>
      <c r="F225" s="212" t="str">
        <f>COMPOSICIÓN!F225</f>
        <v>m3</v>
      </c>
      <c r="G225" s="213">
        <f>COMPOSICIÓN!G225</f>
        <v>1.2E-2</v>
      </c>
      <c r="H225" s="214">
        <f>COMPOSICIÓN!H225</f>
        <v>0.1</v>
      </c>
      <c r="I225" s="215">
        <f>COMPOSICIÓN!I225</f>
        <v>32399.77</v>
      </c>
      <c r="J225" s="212" t="str">
        <f>IFERROR(VLOOKUP(A225,PARTIDAS!$A$2:$C$269,3,FALSE()),"")</f>
        <v>MAMPOSTERÍA</v>
      </c>
      <c r="K225" s="212" t="str">
        <f>IFERROR(INDEX(PPTO_GENERADOR!$B$4:$B$220,MATCH(A225,PPTO_GENERADOR!$Q$4:$Q$220,0)),"")</f>
        <v/>
      </c>
      <c r="L225" s="216">
        <f>IF(PLAN_ETAPA!$C$4="(TODOS)",SUMIFS(PPTO_GENERADOR!$E$4:$E$220,PPTO_GENERADOR!$Q$4:$Q$220,A225),SUMIFS(PPTO_GENERADOR!$E$4:$E$220,PPTO_GENERADOR!$Q$4:$Q$220,A225,PPTO_GENERADOR!$B$4:$B$220,PLAN_ETAPA!$C$4))</f>
        <v>0</v>
      </c>
      <c r="M225" s="216">
        <f>IFERROR(VLOOKUP(A225,PARTIDAS!$A$2:$F$269,6,FALSE()),1)</f>
        <v>11.5</v>
      </c>
      <c r="N225" s="216">
        <f>IFERROR(VLOOKUP(A225,PARTIDAS!$A$2:$I$269,9,FALSE()),1)</f>
        <v>1</v>
      </c>
      <c r="O225" s="217">
        <f t="shared" si="6"/>
        <v>0</v>
      </c>
      <c r="P225" s="216">
        <f>IF(O225=0,0,IF(B225="MAT",G225*(1+H225)*L225*PLAN_ETAPA!$C$5,IF(B225="MO",IF(M225=0,0,G225*L225*PLAN_ETAPA!$C$5*N225/M225),IF(B225="EQ",IF(M225=0,0,G225*L225*PLAN_ETAPA!$C$5/M225),0))))</f>
        <v>0</v>
      </c>
      <c r="Q225" s="218">
        <f t="shared" si="7"/>
        <v>0</v>
      </c>
    </row>
    <row r="226" spans="1:17" x14ac:dyDescent="0.35">
      <c r="A226" s="212" t="str">
        <f>COMPOSICIÓN!A226</f>
        <v>ALB-118</v>
      </c>
      <c r="B226" s="212" t="str">
        <f>COMPOSICIÓN!B226</f>
        <v>MAT</v>
      </c>
      <c r="C226" s="212" t="str">
        <f>COMPOSICIÓN!C226</f>
        <v>OTR</v>
      </c>
      <c r="D226" s="212" t="str">
        <f>COMPOSICIÓN!D226</f>
        <v>AGR-004</v>
      </c>
      <c r="E226" s="212" t="str">
        <f>COMPOSICIÓN!E226</f>
        <v>Cemento Portland x 50kg</v>
      </c>
      <c r="F226" s="212" t="str">
        <f>COMPOSICIÓN!F226</f>
        <v>Bol</v>
      </c>
      <c r="G226" s="213">
        <f>COMPOSICIÓN!G226</f>
        <v>5.1999999999999998E-2</v>
      </c>
      <c r="H226" s="214">
        <f>COMPOSICIÓN!H226</f>
        <v>0.1</v>
      </c>
      <c r="I226" s="215">
        <f>COMPOSICIÓN!I226</f>
        <v>7809.48</v>
      </c>
      <c r="J226" s="212" t="str">
        <f>IFERROR(VLOOKUP(A226,PARTIDAS!$A$2:$C$269,3,FALSE()),"")</f>
        <v>MAMPOSTERÍA</v>
      </c>
      <c r="K226" s="212" t="str">
        <f>IFERROR(INDEX(PPTO_GENERADOR!$B$4:$B$220,MATCH(A226,PPTO_GENERADOR!$Q$4:$Q$220,0)),"")</f>
        <v/>
      </c>
      <c r="L226" s="216">
        <f>IF(PLAN_ETAPA!$C$4="(TODOS)",SUMIFS(PPTO_GENERADOR!$E$4:$E$220,PPTO_GENERADOR!$Q$4:$Q$220,A226),SUMIFS(PPTO_GENERADOR!$E$4:$E$220,PPTO_GENERADOR!$Q$4:$Q$220,A226,PPTO_GENERADOR!$B$4:$B$220,PLAN_ETAPA!$C$4))</f>
        <v>0</v>
      </c>
      <c r="M226" s="216">
        <f>IFERROR(VLOOKUP(A226,PARTIDAS!$A$2:$F$269,6,FALSE()),1)</f>
        <v>11.5</v>
      </c>
      <c r="N226" s="216">
        <f>IFERROR(VLOOKUP(A226,PARTIDAS!$A$2:$I$269,9,FALSE()),1)</f>
        <v>1</v>
      </c>
      <c r="O226" s="217">
        <f t="shared" si="6"/>
        <v>0</v>
      </c>
      <c r="P226" s="216">
        <f>IF(O226=0,0,IF(B226="MAT",G226*(1+H226)*L226*PLAN_ETAPA!$C$5,IF(B226="MO",IF(M226=0,0,G226*L226*PLAN_ETAPA!$C$5*N226/M226),IF(B226="EQ",IF(M226=0,0,G226*L226*PLAN_ETAPA!$C$5/M226),0))))</f>
        <v>0</v>
      </c>
      <c r="Q226" s="218">
        <f t="shared" si="7"/>
        <v>0</v>
      </c>
    </row>
    <row r="227" spans="1:17" x14ac:dyDescent="0.35">
      <c r="A227" s="212" t="str">
        <f>COMPOSICIÓN!A227</f>
        <v>ALB-118</v>
      </c>
      <c r="B227" s="212" t="str">
        <f>COMPOSICIÓN!B227</f>
        <v>MAT</v>
      </c>
      <c r="C227" s="212" t="str">
        <f>COMPOSICIÓN!C227</f>
        <v>OTR</v>
      </c>
      <c r="D227" s="212" t="str">
        <f>COMPOSICIÓN!D227</f>
        <v>AGR-005</v>
      </c>
      <c r="E227" s="212" t="str">
        <f>COMPOSICIÓN!E227</f>
        <v>Cal Comun x 25kg</v>
      </c>
      <c r="F227" s="212" t="str">
        <f>COMPOSICIÓN!F227</f>
        <v>bol</v>
      </c>
      <c r="G227" s="213">
        <f>COMPOSICIÓN!G227</f>
        <v>0.1</v>
      </c>
      <c r="H227" s="214">
        <f>COMPOSICIÓN!H227</f>
        <v>0.1</v>
      </c>
      <c r="I227" s="215">
        <f>COMPOSICIÓN!I227</f>
        <v>3837.96</v>
      </c>
      <c r="J227" s="212" t="str">
        <f>IFERROR(VLOOKUP(A227,PARTIDAS!$A$2:$C$269,3,FALSE()),"")</f>
        <v>MAMPOSTERÍA</v>
      </c>
      <c r="K227" s="212" t="str">
        <f>IFERROR(INDEX(PPTO_GENERADOR!$B$4:$B$220,MATCH(A227,PPTO_GENERADOR!$Q$4:$Q$220,0)),"")</f>
        <v/>
      </c>
      <c r="L227" s="216">
        <f>IF(PLAN_ETAPA!$C$4="(TODOS)",SUMIFS(PPTO_GENERADOR!$E$4:$E$220,PPTO_GENERADOR!$Q$4:$Q$220,A227),SUMIFS(PPTO_GENERADOR!$E$4:$E$220,PPTO_GENERADOR!$Q$4:$Q$220,A227,PPTO_GENERADOR!$B$4:$B$220,PLAN_ETAPA!$C$4))</f>
        <v>0</v>
      </c>
      <c r="M227" s="216">
        <f>IFERROR(VLOOKUP(A227,PARTIDAS!$A$2:$F$269,6,FALSE()),1)</f>
        <v>11.5</v>
      </c>
      <c r="N227" s="216">
        <f>IFERROR(VLOOKUP(A227,PARTIDAS!$A$2:$I$269,9,FALSE()),1)</f>
        <v>1</v>
      </c>
      <c r="O227" s="217">
        <f t="shared" si="6"/>
        <v>0</v>
      </c>
      <c r="P227" s="216">
        <f>IF(O227=0,0,IF(B227="MAT",G227*(1+H227)*L227*PLAN_ETAPA!$C$5,IF(B227="MO",IF(M227=0,0,G227*L227*PLAN_ETAPA!$C$5*N227/M227),IF(B227="EQ",IF(M227=0,0,G227*L227*PLAN_ETAPA!$C$5/M227),0))))</f>
        <v>0</v>
      </c>
      <c r="Q227" s="218">
        <f t="shared" si="7"/>
        <v>0</v>
      </c>
    </row>
    <row r="228" spans="1:17" x14ac:dyDescent="0.35">
      <c r="A228" s="212" t="str">
        <f>COMPOSICIÓN!A228</f>
        <v>ALB-118</v>
      </c>
      <c r="B228" s="212" t="str">
        <f>COMPOSICIÓN!B228</f>
        <v>MAT</v>
      </c>
      <c r="C228" s="212" t="str">
        <f>COMPOSICIÓN!C228</f>
        <v>OTR</v>
      </c>
      <c r="D228" s="212" t="str">
        <f>COMPOSICIÓN!D228</f>
        <v>BLO-002</v>
      </c>
      <c r="E228" s="212" t="str">
        <f>COMPOSICIÓN!E228</f>
        <v>Bloque de Hormigon 10 x 19 x 39</v>
      </c>
      <c r="F228" s="212" t="str">
        <f>COMPOSICIÓN!F228</f>
        <v>u</v>
      </c>
      <c r="G228" s="213">
        <f>COMPOSICIÓN!G228</f>
        <v>12.5</v>
      </c>
      <c r="H228" s="214">
        <f>COMPOSICIÓN!H228</f>
        <v>0.05</v>
      </c>
      <c r="I228" s="215">
        <f>COMPOSICIÓN!I228</f>
        <v>682.52</v>
      </c>
      <c r="J228" s="212" t="str">
        <f>IFERROR(VLOOKUP(A228,PARTIDAS!$A$2:$C$269,3,FALSE()),"")</f>
        <v>MAMPOSTERÍA</v>
      </c>
      <c r="K228" s="212" t="str">
        <f>IFERROR(INDEX(PPTO_GENERADOR!$B$4:$B$220,MATCH(A228,PPTO_GENERADOR!$Q$4:$Q$220,0)),"")</f>
        <v/>
      </c>
      <c r="L228" s="216">
        <f>IF(PLAN_ETAPA!$C$4="(TODOS)",SUMIFS(PPTO_GENERADOR!$E$4:$E$220,PPTO_GENERADOR!$Q$4:$Q$220,A228),SUMIFS(PPTO_GENERADOR!$E$4:$E$220,PPTO_GENERADOR!$Q$4:$Q$220,A228,PPTO_GENERADOR!$B$4:$B$220,PLAN_ETAPA!$C$4))</f>
        <v>0</v>
      </c>
      <c r="M228" s="216">
        <f>IFERROR(VLOOKUP(A228,PARTIDAS!$A$2:$F$269,6,FALSE()),1)</f>
        <v>11.5</v>
      </c>
      <c r="N228" s="216">
        <f>IFERROR(VLOOKUP(A228,PARTIDAS!$A$2:$I$269,9,FALSE()),1)</f>
        <v>1</v>
      </c>
      <c r="O228" s="217">
        <f t="shared" si="6"/>
        <v>0</v>
      </c>
      <c r="P228" s="216">
        <f>IF(O228=0,0,IF(B228="MAT",G228*(1+H228)*L228*PLAN_ETAPA!$C$5,IF(B228="MO",IF(M228=0,0,G228*L228*PLAN_ETAPA!$C$5*N228/M228),IF(B228="EQ",IF(M228=0,0,G228*L228*PLAN_ETAPA!$C$5/M228),0))))</f>
        <v>0</v>
      </c>
      <c r="Q228" s="218">
        <f t="shared" si="7"/>
        <v>0</v>
      </c>
    </row>
    <row r="229" spans="1:17" x14ac:dyDescent="0.35">
      <c r="A229" s="212" t="str">
        <f>COMPOSICIÓN!A229</f>
        <v>ALB-118</v>
      </c>
      <c r="B229" s="212" t="str">
        <f>COMPOSICIÓN!B229</f>
        <v>MAT</v>
      </c>
      <c r="C229" s="212" t="str">
        <f>COMPOSICIÓN!C229</f>
        <v>OTR</v>
      </c>
      <c r="D229" s="212" t="str">
        <f>COMPOSICIÓN!D229</f>
        <v>MAT-CONS</v>
      </c>
      <c r="E229" s="212" t="str">
        <f>COMPOSICIÓN!E229</f>
        <v>Consumibles</v>
      </c>
      <c r="F229" s="212" t="str">
        <f>COMPOSICIÓN!F229</f>
        <v>gl</v>
      </c>
      <c r="G229" s="213">
        <f>COMPOSICIÓN!G229</f>
        <v>1.1221867400000001</v>
      </c>
      <c r="H229" s="214">
        <f>COMPOSICIÓN!H229</f>
        <v>0</v>
      </c>
      <c r="I229" s="215">
        <f>COMPOSICIÓN!I229</f>
        <v>1</v>
      </c>
      <c r="J229" s="212" t="str">
        <f>IFERROR(VLOOKUP(A229,PARTIDAS!$A$2:$C$269,3,FALSE()),"")</f>
        <v>MAMPOSTERÍA</v>
      </c>
      <c r="K229" s="212" t="str">
        <f>IFERROR(INDEX(PPTO_GENERADOR!$B$4:$B$220,MATCH(A229,PPTO_GENERADOR!$Q$4:$Q$220,0)),"")</f>
        <v/>
      </c>
      <c r="L229" s="216">
        <f>IF(PLAN_ETAPA!$C$4="(TODOS)",SUMIFS(PPTO_GENERADOR!$E$4:$E$220,PPTO_GENERADOR!$Q$4:$Q$220,A229),SUMIFS(PPTO_GENERADOR!$E$4:$E$220,PPTO_GENERADOR!$Q$4:$Q$220,A229,PPTO_GENERADOR!$B$4:$B$220,PLAN_ETAPA!$C$4))</f>
        <v>0</v>
      </c>
      <c r="M229" s="216">
        <f>IFERROR(VLOOKUP(A229,PARTIDAS!$A$2:$F$269,6,FALSE()),1)</f>
        <v>11.5</v>
      </c>
      <c r="N229" s="216">
        <f>IFERROR(VLOOKUP(A229,PARTIDAS!$A$2:$I$269,9,FALSE()),1)</f>
        <v>1</v>
      </c>
      <c r="O229" s="217">
        <f t="shared" si="6"/>
        <v>0</v>
      </c>
      <c r="P229" s="216">
        <f>IF(O229=0,0,IF(B229="MAT",G229*(1+H229)*L229*PLAN_ETAPA!$C$5,IF(B229="MO",IF(M229=0,0,G229*L229*PLAN_ETAPA!$C$5*N229/M229),IF(B229="EQ",IF(M229=0,0,G229*L229*PLAN_ETAPA!$C$5/M229),0))))</f>
        <v>0</v>
      </c>
      <c r="Q229" s="218">
        <f t="shared" si="7"/>
        <v>0</v>
      </c>
    </row>
    <row r="230" spans="1:17" x14ac:dyDescent="0.35">
      <c r="A230" s="212" t="str">
        <f>COMPOSICIÓN!A230</f>
        <v>ALB-118</v>
      </c>
      <c r="B230" s="212" t="str">
        <f>COMPOSICIÓN!B230</f>
        <v>MO</v>
      </c>
      <c r="C230" s="212" t="str">
        <f>COMPOSICIÓN!C230</f>
        <v>ALB</v>
      </c>
      <c r="D230" s="212" t="str">
        <f>COMPOSICIÓN!D230</f>
        <v>MO-EAYUD</v>
      </c>
      <c r="E230" s="212" t="str">
        <f>COMPOSICIÓN!E230</f>
        <v>AYUDANTE</v>
      </c>
      <c r="F230" s="212" t="str">
        <f>COMPOSICIÓN!F230</f>
        <v>j</v>
      </c>
      <c r="G230" s="213">
        <f>COMPOSICIÓN!G230</f>
        <v>0.75</v>
      </c>
      <c r="H230" s="214">
        <f>COMPOSICIÓN!H230</f>
        <v>0</v>
      </c>
      <c r="I230" s="215">
        <f>COMPOSICIÓN!I230</f>
        <v>60860.580776572002</v>
      </c>
      <c r="J230" s="212" t="str">
        <f>IFERROR(VLOOKUP(A230,PARTIDAS!$A$2:$C$269,3,FALSE()),"")</f>
        <v>MAMPOSTERÍA</v>
      </c>
      <c r="K230" s="212" t="str">
        <f>IFERROR(INDEX(PPTO_GENERADOR!$B$4:$B$220,MATCH(A230,PPTO_GENERADOR!$Q$4:$Q$220,0)),"")</f>
        <v/>
      </c>
      <c r="L230" s="216">
        <f>IF(PLAN_ETAPA!$C$4="(TODOS)",SUMIFS(PPTO_GENERADOR!$E$4:$E$220,PPTO_GENERADOR!$Q$4:$Q$220,A230),SUMIFS(PPTO_GENERADOR!$E$4:$E$220,PPTO_GENERADOR!$Q$4:$Q$220,A230,PPTO_GENERADOR!$B$4:$B$220,PLAN_ETAPA!$C$4))</f>
        <v>0</v>
      </c>
      <c r="M230" s="216">
        <f>IFERROR(VLOOKUP(A230,PARTIDAS!$A$2:$F$269,6,FALSE()),1)</f>
        <v>11.5</v>
      </c>
      <c r="N230" s="216">
        <f>IFERROR(VLOOKUP(A230,PARTIDAS!$A$2:$I$269,9,FALSE()),1)</f>
        <v>1</v>
      </c>
      <c r="O230" s="217">
        <f t="shared" si="6"/>
        <v>0</v>
      </c>
      <c r="P230" s="216">
        <f>IF(O230=0,0,IF(B230="MAT",G230*(1+H230)*L230*PLAN_ETAPA!$C$5,IF(B230="MO",IF(M230=0,0,G230*L230*PLAN_ETAPA!$C$5*N230/M230),IF(B230="EQ",IF(M230=0,0,G230*L230*PLAN_ETAPA!$C$5/M230),0))))</f>
        <v>0</v>
      </c>
      <c r="Q230" s="218">
        <f t="shared" si="7"/>
        <v>0</v>
      </c>
    </row>
    <row r="231" spans="1:17" x14ac:dyDescent="0.35">
      <c r="A231" s="212" t="str">
        <f>COMPOSICIÓN!A231</f>
        <v>ALB-118</v>
      </c>
      <c r="B231" s="212" t="str">
        <f>COMPOSICIÓN!B231</f>
        <v>MO</v>
      </c>
      <c r="C231" s="212" t="str">
        <f>COMPOSICIÓN!C231</f>
        <v>ALB</v>
      </c>
      <c r="D231" s="212" t="str">
        <f>COMPOSICIÓN!D231</f>
        <v>MO-EESPE</v>
      </c>
      <c r="E231" s="212" t="str">
        <f>COMPOSICIÓN!E231</f>
        <v>ESPECIALIZADO</v>
      </c>
      <c r="F231" s="212" t="str">
        <f>COMPOSICIÓN!F231</f>
        <v>j</v>
      </c>
      <c r="G231" s="213">
        <f>COMPOSICIÓN!G231</f>
        <v>1</v>
      </c>
      <c r="H231" s="214">
        <f>COMPOSICIÓN!H231</f>
        <v>0</v>
      </c>
      <c r="I231" s="215">
        <f>COMPOSICIÓN!I231</f>
        <v>85927.097156571996</v>
      </c>
      <c r="J231" s="212" t="str">
        <f>IFERROR(VLOOKUP(A231,PARTIDAS!$A$2:$C$269,3,FALSE()),"")</f>
        <v>MAMPOSTERÍA</v>
      </c>
      <c r="K231" s="212" t="str">
        <f>IFERROR(INDEX(PPTO_GENERADOR!$B$4:$B$220,MATCH(A231,PPTO_GENERADOR!$Q$4:$Q$220,0)),"")</f>
        <v/>
      </c>
      <c r="L231" s="216">
        <f>IF(PLAN_ETAPA!$C$4="(TODOS)",SUMIFS(PPTO_GENERADOR!$E$4:$E$220,PPTO_GENERADOR!$Q$4:$Q$220,A231),SUMIFS(PPTO_GENERADOR!$E$4:$E$220,PPTO_GENERADOR!$Q$4:$Q$220,A231,PPTO_GENERADOR!$B$4:$B$220,PLAN_ETAPA!$C$4))</f>
        <v>0</v>
      </c>
      <c r="M231" s="216">
        <f>IFERROR(VLOOKUP(A231,PARTIDAS!$A$2:$F$269,6,FALSE()),1)</f>
        <v>11.5</v>
      </c>
      <c r="N231" s="216">
        <f>IFERROR(VLOOKUP(A231,PARTIDAS!$A$2:$I$269,9,FALSE()),1)</f>
        <v>1</v>
      </c>
      <c r="O231" s="217">
        <f t="shared" si="6"/>
        <v>0</v>
      </c>
      <c r="P231" s="216">
        <f>IF(O231=0,0,IF(B231="MAT",G231*(1+H231)*L231*PLAN_ETAPA!$C$5,IF(B231="MO",IF(M231=0,0,G231*L231*PLAN_ETAPA!$C$5*N231/M231),IF(B231="EQ",IF(M231=0,0,G231*L231*PLAN_ETAPA!$C$5/M231),0))))</f>
        <v>0</v>
      </c>
      <c r="Q231" s="218">
        <f t="shared" si="7"/>
        <v>0</v>
      </c>
    </row>
    <row r="232" spans="1:17" x14ac:dyDescent="0.35">
      <c r="A232" s="212" t="str">
        <f>COMPOSICIÓN!A232</f>
        <v>ALB-119</v>
      </c>
      <c r="B232" s="212" t="str">
        <f>COMPOSICIÓN!B232</f>
        <v>EQ</v>
      </c>
      <c r="C232" s="212">
        <f>COMPOSICIÓN!C232</f>
        <v>0</v>
      </c>
      <c r="D232" s="212" t="str">
        <f>COMPOSICIÓN!D232</f>
        <v>EQ-ANDAM0</v>
      </c>
      <c r="E232" s="212" t="str">
        <f>COMPOSICIÓN!E232</f>
        <v>ANDAMIO TUBULAR DE UNO A TRES CUERPOS</v>
      </c>
      <c r="F232" s="212">
        <f>COMPOSICIÓN!F232</f>
        <v>0</v>
      </c>
      <c r="G232" s="213">
        <f>COMPOSICIÓN!G232</f>
        <v>0.5</v>
      </c>
      <c r="H232" s="214">
        <f>COMPOSICIÓN!H232</f>
        <v>0</v>
      </c>
      <c r="I232" s="215">
        <f>COMPOSICIÓN!I232</f>
        <v>571.1794909807611</v>
      </c>
      <c r="J232" s="212" t="str">
        <f>IFERROR(VLOOKUP(A232,PARTIDAS!$A$2:$C$269,3,FALSE()),"")</f>
        <v>MAMPOSTERÍA</v>
      </c>
      <c r="K232" s="212" t="str">
        <f>IFERROR(INDEX(PPTO_GENERADOR!$B$4:$B$220,MATCH(A232,PPTO_GENERADOR!$Q$4:$Q$220,0)),"")</f>
        <v/>
      </c>
      <c r="L232" s="216">
        <f>IF(PLAN_ETAPA!$C$4="(TODOS)",SUMIFS(PPTO_GENERADOR!$E$4:$E$220,PPTO_GENERADOR!$Q$4:$Q$220,A232),SUMIFS(PPTO_GENERADOR!$E$4:$E$220,PPTO_GENERADOR!$Q$4:$Q$220,A232,PPTO_GENERADOR!$B$4:$B$220,PLAN_ETAPA!$C$4))</f>
        <v>0</v>
      </c>
      <c r="M232" s="216">
        <f>IFERROR(VLOOKUP(A232,PARTIDAS!$A$2:$F$269,6,FALSE()),1)</f>
        <v>11.5</v>
      </c>
      <c r="N232" s="216">
        <f>IFERROR(VLOOKUP(A232,PARTIDAS!$A$2:$I$269,9,FALSE()),1)</f>
        <v>1</v>
      </c>
      <c r="O232" s="217">
        <f t="shared" si="6"/>
        <v>0</v>
      </c>
      <c r="P232" s="216">
        <f>IF(O232=0,0,IF(B232="MAT",G232*(1+H232)*L232*PLAN_ETAPA!$C$5,IF(B232="MO",IF(M232=0,0,G232*L232*PLAN_ETAPA!$C$5*N232/M232),IF(B232="EQ",IF(M232=0,0,G232*L232*PLAN_ETAPA!$C$5/M232),0))))</f>
        <v>0</v>
      </c>
      <c r="Q232" s="218">
        <f t="shared" si="7"/>
        <v>0</v>
      </c>
    </row>
    <row r="233" spans="1:17" x14ac:dyDescent="0.35">
      <c r="A233" s="212" t="str">
        <f>COMPOSICIÓN!A233</f>
        <v>ALB-119</v>
      </c>
      <c r="B233" s="212" t="str">
        <f>COMPOSICIÓN!B233</f>
        <v>EQ</v>
      </c>
      <c r="C233" s="212">
        <f>COMPOSICIÓN!C233</f>
        <v>0</v>
      </c>
      <c r="D233" s="212" t="str">
        <f>COMPOSICIÓN!D233</f>
        <v>EQ-EQALBA</v>
      </c>
      <c r="E233" s="212" t="str">
        <f>COMPOSICIÓN!E233</f>
        <v>EQUIPO DE ALBAÑILERIA, carpetas, ladrillo</v>
      </c>
      <c r="F233" s="212">
        <f>COMPOSICIÓN!F233</f>
        <v>0</v>
      </c>
      <c r="G233" s="213">
        <f>COMPOSICIÓN!G233</f>
        <v>1</v>
      </c>
      <c r="H233" s="214">
        <f>COMPOSICIÓN!H233</f>
        <v>0</v>
      </c>
      <c r="I233" s="215">
        <f>COMPOSICIÓN!I233</f>
        <v>2287.1357450968057</v>
      </c>
      <c r="J233" s="212" t="str">
        <f>IFERROR(VLOOKUP(A233,PARTIDAS!$A$2:$C$269,3,FALSE()),"")</f>
        <v>MAMPOSTERÍA</v>
      </c>
      <c r="K233" s="212" t="str">
        <f>IFERROR(INDEX(PPTO_GENERADOR!$B$4:$B$220,MATCH(A233,PPTO_GENERADOR!$Q$4:$Q$220,0)),"")</f>
        <v/>
      </c>
      <c r="L233" s="216">
        <f>IF(PLAN_ETAPA!$C$4="(TODOS)",SUMIFS(PPTO_GENERADOR!$E$4:$E$220,PPTO_GENERADOR!$Q$4:$Q$220,A233),SUMIFS(PPTO_GENERADOR!$E$4:$E$220,PPTO_GENERADOR!$Q$4:$Q$220,A233,PPTO_GENERADOR!$B$4:$B$220,PLAN_ETAPA!$C$4))</f>
        <v>0</v>
      </c>
      <c r="M233" s="216">
        <f>IFERROR(VLOOKUP(A233,PARTIDAS!$A$2:$F$269,6,FALSE()),1)</f>
        <v>11.5</v>
      </c>
      <c r="N233" s="216">
        <f>IFERROR(VLOOKUP(A233,PARTIDAS!$A$2:$I$269,9,FALSE()),1)</f>
        <v>1</v>
      </c>
      <c r="O233" s="217">
        <f t="shared" si="6"/>
        <v>0</v>
      </c>
      <c r="P233" s="216">
        <f>IF(O233=0,0,IF(B233="MAT",G233*(1+H233)*L233*PLAN_ETAPA!$C$5,IF(B233="MO",IF(M233=0,0,G233*L233*PLAN_ETAPA!$C$5*N233/M233),IF(B233="EQ",IF(M233=0,0,G233*L233*PLAN_ETAPA!$C$5/M233),0))))</f>
        <v>0</v>
      </c>
      <c r="Q233" s="218">
        <f t="shared" si="7"/>
        <v>0</v>
      </c>
    </row>
    <row r="234" spans="1:17" x14ac:dyDescent="0.35">
      <c r="A234" s="212" t="str">
        <f>COMPOSICIÓN!A234</f>
        <v>ALB-119</v>
      </c>
      <c r="B234" s="212" t="str">
        <f>COMPOSICIÓN!B234</f>
        <v>EQ</v>
      </c>
      <c r="C234" s="212">
        <f>COMPOSICIÓN!C234</f>
        <v>0</v>
      </c>
      <c r="D234" s="212" t="str">
        <f>COMPOSICIÓN!D234</f>
        <v>EQ-TROMPO</v>
      </c>
      <c r="E234" s="212" t="str">
        <f>COMPOSICIÓN!E234</f>
        <v>Hormigonera De 150 Litros 1hp Con Rueda Maciza</v>
      </c>
      <c r="F234" s="212">
        <f>COMPOSICIÓN!F234</f>
        <v>0</v>
      </c>
      <c r="G234" s="213">
        <f>COMPOSICIÓN!G234</f>
        <v>1</v>
      </c>
      <c r="H234" s="214">
        <f>COMPOSICIÓN!H234</f>
        <v>0</v>
      </c>
      <c r="I234" s="215">
        <f>COMPOSICIÓN!I234</f>
        <v>957.25319614994726</v>
      </c>
      <c r="J234" s="212" t="str">
        <f>IFERROR(VLOOKUP(A234,PARTIDAS!$A$2:$C$269,3,FALSE()),"")</f>
        <v>MAMPOSTERÍA</v>
      </c>
      <c r="K234" s="212" t="str">
        <f>IFERROR(INDEX(PPTO_GENERADOR!$B$4:$B$220,MATCH(A234,PPTO_GENERADOR!$Q$4:$Q$220,0)),"")</f>
        <v/>
      </c>
      <c r="L234" s="216">
        <f>IF(PLAN_ETAPA!$C$4="(TODOS)",SUMIFS(PPTO_GENERADOR!$E$4:$E$220,PPTO_GENERADOR!$Q$4:$Q$220,A234),SUMIFS(PPTO_GENERADOR!$E$4:$E$220,PPTO_GENERADOR!$Q$4:$Q$220,A234,PPTO_GENERADOR!$B$4:$B$220,PLAN_ETAPA!$C$4))</f>
        <v>0</v>
      </c>
      <c r="M234" s="216">
        <f>IFERROR(VLOOKUP(A234,PARTIDAS!$A$2:$F$269,6,FALSE()),1)</f>
        <v>11.5</v>
      </c>
      <c r="N234" s="216">
        <f>IFERROR(VLOOKUP(A234,PARTIDAS!$A$2:$I$269,9,FALSE()),1)</f>
        <v>1</v>
      </c>
      <c r="O234" s="217">
        <f t="shared" si="6"/>
        <v>0</v>
      </c>
      <c r="P234" s="216">
        <f>IF(O234=0,0,IF(B234="MAT",G234*(1+H234)*L234*PLAN_ETAPA!$C$5,IF(B234="MO",IF(M234=0,0,G234*L234*PLAN_ETAPA!$C$5*N234/M234),IF(B234="EQ",IF(M234=0,0,G234*L234*PLAN_ETAPA!$C$5/M234),0))))</f>
        <v>0</v>
      </c>
      <c r="Q234" s="218">
        <f t="shared" si="7"/>
        <v>0</v>
      </c>
    </row>
    <row r="235" spans="1:17" x14ac:dyDescent="0.35">
      <c r="A235" s="212" t="str">
        <f>COMPOSICIÓN!A235</f>
        <v>ALB-119</v>
      </c>
      <c r="B235" s="212" t="str">
        <f>COMPOSICIÓN!B235</f>
        <v>MAT</v>
      </c>
      <c r="C235" s="212" t="str">
        <f>COMPOSICIÓN!C235</f>
        <v>OTR</v>
      </c>
      <c r="D235" s="212" t="str">
        <f>COMPOSICIÓN!D235</f>
        <v>ACE-001</v>
      </c>
      <c r="E235" s="212" t="str">
        <f>COMPOSICIÓN!E235</f>
        <v>Barra de Acero Aleteado - 6mm x 12m</v>
      </c>
      <c r="F235" s="212" t="str">
        <f>COMPOSICIÓN!F235</f>
        <v>u</v>
      </c>
      <c r="G235" s="213">
        <f>COMPOSICIÓN!G235</f>
        <v>0.17</v>
      </c>
      <c r="H235" s="214">
        <f>COMPOSICIÓN!H235</f>
        <v>0.1</v>
      </c>
      <c r="I235" s="215">
        <f>COMPOSICIÓN!I235</f>
        <v>3424.53</v>
      </c>
      <c r="J235" s="212" t="str">
        <f>IFERROR(VLOOKUP(A235,PARTIDAS!$A$2:$C$269,3,FALSE()),"")</f>
        <v>MAMPOSTERÍA</v>
      </c>
      <c r="K235" s="212" t="str">
        <f>IFERROR(INDEX(PPTO_GENERADOR!$B$4:$B$220,MATCH(A235,PPTO_GENERADOR!$Q$4:$Q$220,0)),"")</f>
        <v/>
      </c>
      <c r="L235" s="216">
        <f>IF(PLAN_ETAPA!$C$4="(TODOS)",SUMIFS(PPTO_GENERADOR!$E$4:$E$220,PPTO_GENERADOR!$Q$4:$Q$220,A235),SUMIFS(PPTO_GENERADOR!$E$4:$E$220,PPTO_GENERADOR!$Q$4:$Q$220,A235,PPTO_GENERADOR!$B$4:$B$220,PLAN_ETAPA!$C$4))</f>
        <v>0</v>
      </c>
      <c r="M235" s="216">
        <f>IFERROR(VLOOKUP(A235,PARTIDAS!$A$2:$F$269,6,FALSE()),1)</f>
        <v>11.5</v>
      </c>
      <c r="N235" s="216">
        <f>IFERROR(VLOOKUP(A235,PARTIDAS!$A$2:$I$269,9,FALSE()),1)</f>
        <v>1</v>
      </c>
      <c r="O235" s="217">
        <f t="shared" si="6"/>
        <v>0</v>
      </c>
      <c r="P235" s="216">
        <f>IF(O235=0,0,IF(B235="MAT",G235*(1+H235)*L235*PLAN_ETAPA!$C$5,IF(B235="MO",IF(M235=0,0,G235*L235*PLAN_ETAPA!$C$5*N235/M235),IF(B235="EQ",IF(M235=0,0,G235*L235*PLAN_ETAPA!$C$5/M235),0))))</f>
        <v>0</v>
      </c>
      <c r="Q235" s="218">
        <f t="shared" si="7"/>
        <v>0</v>
      </c>
    </row>
    <row r="236" spans="1:17" x14ac:dyDescent="0.35">
      <c r="A236" s="212" t="str">
        <f>COMPOSICIÓN!A236</f>
        <v>ALB-119</v>
      </c>
      <c r="B236" s="212" t="str">
        <f>COMPOSICIÓN!B236</f>
        <v>MAT</v>
      </c>
      <c r="C236" s="212" t="str">
        <f>COMPOSICIÓN!C236</f>
        <v>OTR</v>
      </c>
      <c r="D236" s="212" t="str">
        <f>COMPOSICIÓN!D236</f>
        <v>AGR-001</v>
      </c>
      <c r="E236" s="212" t="str">
        <f>COMPOSICIÓN!E236</f>
        <v>ARENA LAVADA</v>
      </c>
      <c r="F236" s="212" t="str">
        <f>COMPOSICIÓN!F236</f>
        <v>m3</v>
      </c>
      <c r="G236" s="213">
        <f>COMPOSICIÓN!G236</f>
        <v>1.44E-2</v>
      </c>
      <c r="H236" s="214">
        <f>COMPOSICIÓN!H236</f>
        <v>0.1</v>
      </c>
      <c r="I236" s="215">
        <f>COMPOSICIÓN!I236</f>
        <v>32399.77</v>
      </c>
      <c r="J236" s="212" t="str">
        <f>IFERROR(VLOOKUP(A236,PARTIDAS!$A$2:$C$269,3,FALSE()),"")</f>
        <v>MAMPOSTERÍA</v>
      </c>
      <c r="K236" s="212" t="str">
        <f>IFERROR(INDEX(PPTO_GENERADOR!$B$4:$B$220,MATCH(A236,PPTO_GENERADOR!$Q$4:$Q$220,0)),"")</f>
        <v/>
      </c>
      <c r="L236" s="216">
        <f>IF(PLAN_ETAPA!$C$4="(TODOS)",SUMIFS(PPTO_GENERADOR!$E$4:$E$220,PPTO_GENERADOR!$Q$4:$Q$220,A236),SUMIFS(PPTO_GENERADOR!$E$4:$E$220,PPTO_GENERADOR!$Q$4:$Q$220,A236,PPTO_GENERADOR!$B$4:$B$220,PLAN_ETAPA!$C$4))</f>
        <v>0</v>
      </c>
      <c r="M236" s="216">
        <f>IFERROR(VLOOKUP(A236,PARTIDAS!$A$2:$F$269,6,FALSE()),1)</f>
        <v>11.5</v>
      </c>
      <c r="N236" s="216">
        <f>IFERROR(VLOOKUP(A236,PARTIDAS!$A$2:$I$269,9,FALSE()),1)</f>
        <v>1</v>
      </c>
      <c r="O236" s="217">
        <f t="shared" si="6"/>
        <v>0</v>
      </c>
      <c r="P236" s="216">
        <f>IF(O236=0,0,IF(B236="MAT",G236*(1+H236)*L236*PLAN_ETAPA!$C$5,IF(B236="MO",IF(M236=0,0,G236*L236*PLAN_ETAPA!$C$5*N236/M236),IF(B236="EQ",IF(M236=0,0,G236*L236*PLAN_ETAPA!$C$5/M236),0))))</f>
        <v>0</v>
      </c>
      <c r="Q236" s="218">
        <f t="shared" si="7"/>
        <v>0</v>
      </c>
    </row>
    <row r="237" spans="1:17" x14ac:dyDescent="0.35">
      <c r="A237" s="212" t="str">
        <f>COMPOSICIÓN!A237</f>
        <v>ALB-119</v>
      </c>
      <c r="B237" s="212" t="str">
        <f>COMPOSICIÓN!B237</f>
        <v>MAT</v>
      </c>
      <c r="C237" s="212" t="str">
        <f>COMPOSICIÓN!C237</f>
        <v>OTR</v>
      </c>
      <c r="D237" s="212" t="str">
        <f>COMPOSICIÓN!D237</f>
        <v>AGR-004</v>
      </c>
      <c r="E237" s="212" t="str">
        <f>COMPOSICIÓN!E237</f>
        <v>Cemento Portland x 50kg</v>
      </c>
      <c r="F237" s="212" t="str">
        <f>COMPOSICIÓN!F237</f>
        <v>Bol</v>
      </c>
      <c r="G237" s="213">
        <f>COMPOSICIÓN!G237</f>
        <v>6.2399999999999997E-2</v>
      </c>
      <c r="H237" s="214">
        <f>COMPOSICIÓN!H237</f>
        <v>0.1</v>
      </c>
      <c r="I237" s="215">
        <f>COMPOSICIÓN!I237</f>
        <v>7809.48</v>
      </c>
      <c r="J237" s="212" t="str">
        <f>IFERROR(VLOOKUP(A237,PARTIDAS!$A$2:$C$269,3,FALSE()),"")</f>
        <v>MAMPOSTERÍA</v>
      </c>
      <c r="K237" s="212" t="str">
        <f>IFERROR(INDEX(PPTO_GENERADOR!$B$4:$B$220,MATCH(A237,PPTO_GENERADOR!$Q$4:$Q$220,0)),"")</f>
        <v/>
      </c>
      <c r="L237" s="216">
        <f>IF(PLAN_ETAPA!$C$4="(TODOS)",SUMIFS(PPTO_GENERADOR!$E$4:$E$220,PPTO_GENERADOR!$Q$4:$Q$220,A237),SUMIFS(PPTO_GENERADOR!$E$4:$E$220,PPTO_GENERADOR!$Q$4:$Q$220,A237,PPTO_GENERADOR!$B$4:$B$220,PLAN_ETAPA!$C$4))</f>
        <v>0</v>
      </c>
      <c r="M237" s="216">
        <f>IFERROR(VLOOKUP(A237,PARTIDAS!$A$2:$F$269,6,FALSE()),1)</f>
        <v>11.5</v>
      </c>
      <c r="N237" s="216">
        <f>IFERROR(VLOOKUP(A237,PARTIDAS!$A$2:$I$269,9,FALSE()),1)</f>
        <v>1</v>
      </c>
      <c r="O237" s="217">
        <f t="shared" si="6"/>
        <v>0</v>
      </c>
      <c r="P237" s="216">
        <f>IF(O237=0,0,IF(B237="MAT",G237*(1+H237)*L237*PLAN_ETAPA!$C$5,IF(B237="MO",IF(M237=0,0,G237*L237*PLAN_ETAPA!$C$5*N237/M237),IF(B237="EQ",IF(M237=0,0,G237*L237*PLAN_ETAPA!$C$5/M237),0))))</f>
        <v>0</v>
      </c>
      <c r="Q237" s="218">
        <f t="shared" si="7"/>
        <v>0</v>
      </c>
    </row>
    <row r="238" spans="1:17" x14ac:dyDescent="0.35">
      <c r="A238" s="212" t="str">
        <f>COMPOSICIÓN!A238</f>
        <v>ALB-119</v>
      </c>
      <c r="B238" s="212" t="str">
        <f>COMPOSICIÓN!B238</f>
        <v>MAT</v>
      </c>
      <c r="C238" s="212" t="str">
        <f>COMPOSICIÓN!C238</f>
        <v>OTR</v>
      </c>
      <c r="D238" s="212" t="str">
        <f>COMPOSICIÓN!D238</f>
        <v>AGR-005</v>
      </c>
      <c r="E238" s="212" t="str">
        <f>COMPOSICIÓN!E238</f>
        <v>Cal Comun x 25kg</v>
      </c>
      <c r="F238" s="212" t="str">
        <f>COMPOSICIÓN!F238</f>
        <v>bol</v>
      </c>
      <c r="G238" s="213">
        <f>COMPOSICIÓN!G238</f>
        <v>0.12</v>
      </c>
      <c r="H238" s="214">
        <f>COMPOSICIÓN!H238</f>
        <v>0.1</v>
      </c>
      <c r="I238" s="215">
        <f>COMPOSICIÓN!I238</f>
        <v>3837.96</v>
      </c>
      <c r="J238" s="212" t="str">
        <f>IFERROR(VLOOKUP(A238,PARTIDAS!$A$2:$C$269,3,FALSE()),"")</f>
        <v>MAMPOSTERÍA</v>
      </c>
      <c r="K238" s="212" t="str">
        <f>IFERROR(INDEX(PPTO_GENERADOR!$B$4:$B$220,MATCH(A238,PPTO_GENERADOR!$Q$4:$Q$220,0)),"")</f>
        <v/>
      </c>
      <c r="L238" s="216">
        <f>IF(PLAN_ETAPA!$C$4="(TODOS)",SUMIFS(PPTO_GENERADOR!$E$4:$E$220,PPTO_GENERADOR!$Q$4:$Q$220,A238),SUMIFS(PPTO_GENERADOR!$E$4:$E$220,PPTO_GENERADOR!$Q$4:$Q$220,A238,PPTO_GENERADOR!$B$4:$B$220,PLAN_ETAPA!$C$4))</f>
        <v>0</v>
      </c>
      <c r="M238" s="216">
        <f>IFERROR(VLOOKUP(A238,PARTIDAS!$A$2:$F$269,6,FALSE()),1)</f>
        <v>11.5</v>
      </c>
      <c r="N238" s="216">
        <f>IFERROR(VLOOKUP(A238,PARTIDAS!$A$2:$I$269,9,FALSE()),1)</f>
        <v>1</v>
      </c>
      <c r="O238" s="217">
        <f t="shared" si="6"/>
        <v>0</v>
      </c>
      <c r="P238" s="216">
        <f>IF(O238=0,0,IF(B238="MAT",G238*(1+H238)*L238*PLAN_ETAPA!$C$5,IF(B238="MO",IF(M238=0,0,G238*L238*PLAN_ETAPA!$C$5*N238/M238),IF(B238="EQ",IF(M238=0,0,G238*L238*PLAN_ETAPA!$C$5/M238),0))))</f>
        <v>0</v>
      </c>
      <c r="Q238" s="218">
        <f t="shared" si="7"/>
        <v>0</v>
      </c>
    </row>
    <row r="239" spans="1:17" x14ac:dyDescent="0.35">
      <c r="A239" s="212" t="str">
        <f>COMPOSICIÓN!A239</f>
        <v>ALB-119</v>
      </c>
      <c r="B239" s="212" t="str">
        <f>COMPOSICIÓN!B239</f>
        <v>MAT</v>
      </c>
      <c r="C239" s="212" t="str">
        <f>COMPOSICIÓN!C239</f>
        <v>OTR</v>
      </c>
      <c r="D239" s="212" t="str">
        <f>COMPOSICIÓN!D239</f>
        <v>BLO-001</v>
      </c>
      <c r="E239" s="212" t="str">
        <f>COMPOSICIÓN!E239</f>
        <v>Bloque de Hormigon 19 x 19 x 39</v>
      </c>
      <c r="F239" s="212" t="str">
        <f>COMPOSICIÓN!F239</f>
        <v>u</v>
      </c>
      <c r="G239" s="213">
        <f>COMPOSICIÓN!G239</f>
        <v>12.5</v>
      </c>
      <c r="H239" s="214">
        <f>COMPOSICIÓN!H239</f>
        <v>0.05</v>
      </c>
      <c r="I239" s="215">
        <f>COMPOSICIÓN!I239</f>
        <v>1016.6</v>
      </c>
      <c r="J239" s="212" t="str">
        <f>IFERROR(VLOOKUP(A239,PARTIDAS!$A$2:$C$269,3,FALSE()),"")</f>
        <v>MAMPOSTERÍA</v>
      </c>
      <c r="K239" s="212" t="str">
        <f>IFERROR(INDEX(PPTO_GENERADOR!$B$4:$B$220,MATCH(A239,PPTO_GENERADOR!$Q$4:$Q$220,0)),"")</f>
        <v/>
      </c>
      <c r="L239" s="216">
        <f>IF(PLAN_ETAPA!$C$4="(TODOS)",SUMIFS(PPTO_GENERADOR!$E$4:$E$220,PPTO_GENERADOR!$Q$4:$Q$220,A239),SUMIFS(PPTO_GENERADOR!$E$4:$E$220,PPTO_GENERADOR!$Q$4:$Q$220,A239,PPTO_GENERADOR!$B$4:$B$220,PLAN_ETAPA!$C$4))</f>
        <v>0</v>
      </c>
      <c r="M239" s="216">
        <f>IFERROR(VLOOKUP(A239,PARTIDAS!$A$2:$F$269,6,FALSE()),1)</f>
        <v>11.5</v>
      </c>
      <c r="N239" s="216">
        <f>IFERROR(VLOOKUP(A239,PARTIDAS!$A$2:$I$269,9,FALSE()),1)</f>
        <v>1</v>
      </c>
      <c r="O239" s="217">
        <f t="shared" si="6"/>
        <v>0</v>
      </c>
      <c r="P239" s="216">
        <f>IF(O239=0,0,IF(B239="MAT",G239*(1+H239)*L239*PLAN_ETAPA!$C$5,IF(B239="MO",IF(M239=0,0,G239*L239*PLAN_ETAPA!$C$5*N239/M239),IF(B239="EQ",IF(M239=0,0,G239*L239*PLAN_ETAPA!$C$5/M239),0))))</f>
        <v>0</v>
      </c>
      <c r="Q239" s="218">
        <f t="shared" si="7"/>
        <v>0</v>
      </c>
    </row>
    <row r="240" spans="1:17" x14ac:dyDescent="0.35">
      <c r="A240" s="212" t="str">
        <f>COMPOSICIÓN!A240</f>
        <v>ALB-119</v>
      </c>
      <c r="B240" s="212" t="str">
        <f>COMPOSICIÓN!B240</f>
        <v>MAT</v>
      </c>
      <c r="C240" s="212" t="str">
        <f>COMPOSICIÓN!C240</f>
        <v>OTR</v>
      </c>
      <c r="D240" s="212" t="str">
        <f>COMPOSICIÓN!D240</f>
        <v>MAT-CONS</v>
      </c>
      <c r="E240" s="212" t="str">
        <f>COMPOSICIÓN!E240</f>
        <v>Consumibles</v>
      </c>
      <c r="F240" s="212" t="str">
        <f>COMPOSICIÓN!F240</f>
        <v>gl</v>
      </c>
      <c r="G240" s="213">
        <f>COMPOSICIÓN!G240</f>
        <v>1.6005301700000001</v>
      </c>
      <c r="H240" s="214">
        <f>COMPOSICIÓN!H240</f>
        <v>0</v>
      </c>
      <c r="I240" s="215">
        <f>COMPOSICIÓN!I240</f>
        <v>1</v>
      </c>
      <c r="J240" s="212" t="str">
        <f>IFERROR(VLOOKUP(A240,PARTIDAS!$A$2:$C$269,3,FALSE()),"")</f>
        <v>MAMPOSTERÍA</v>
      </c>
      <c r="K240" s="212" t="str">
        <f>IFERROR(INDEX(PPTO_GENERADOR!$B$4:$B$220,MATCH(A240,PPTO_GENERADOR!$Q$4:$Q$220,0)),"")</f>
        <v/>
      </c>
      <c r="L240" s="216">
        <f>IF(PLAN_ETAPA!$C$4="(TODOS)",SUMIFS(PPTO_GENERADOR!$E$4:$E$220,PPTO_GENERADOR!$Q$4:$Q$220,A240),SUMIFS(PPTO_GENERADOR!$E$4:$E$220,PPTO_GENERADOR!$Q$4:$Q$220,A240,PPTO_GENERADOR!$B$4:$B$220,PLAN_ETAPA!$C$4))</f>
        <v>0</v>
      </c>
      <c r="M240" s="216">
        <f>IFERROR(VLOOKUP(A240,PARTIDAS!$A$2:$F$269,6,FALSE()),1)</f>
        <v>11.5</v>
      </c>
      <c r="N240" s="216">
        <f>IFERROR(VLOOKUP(A240,PARTIDAS!$A$2:$I$269,9,FALSE()),1)</f>
        <v>1</v>
      </c>
      <c r="O240" s="217">
        <f t="shared" si="6"/>
        <v>0</v>
      </c>
      <c r="P240" s="216">
        <f>IF(O240=0,0,IF(B240="MAT",G240*(1+H240)*L240*PLAN_ETAPA!$C$5,IF(B240="MO",IF(M240=0,0,G240*L240*PLAN_ETAPA!$C$5*N240/M240),IF(B240="EQ",IF(M240=0,0,G240*L240*PLAN_ETAPA!$C$5/M240),0))))</f>
        <v>0</v>
      </c>
      <c r="Q240" s="218">
        <f t="shared" si="7"/>
        <v>0</v>
      </c>
    </row>
    <row r="241" spans="1:17" x14ac:dyDescent="0.35">
      <c r="A241" s="212" t="str">
        <f>COMPOSICIÓN!A241</f>
        <v>ALB-119</v>
      </c>
      <c r="B241" s="212" t="str">
        <f>COMPOSICIÓN!B241</f>
        <v>MO</v>
      </c>
      <c r="C241" s="212" t="str">
        <f>COMPOSICIÓN!C241</f>
        <v>ALB</v>
      </c>
      <c r="D241" s="212" t="str">
        <f>COMPOSICIÓN!D241</f>
        <v>MO-EAYUD</v>
      </c>
      <c r="E241" s="212" t="str">
        <f>COMPOSICIÓN!E241</f>
        <v>AYUDANTE</v>
      </c>
      <c r="F241" s="212" t="str">
        <f>COMPOSICIÓN!F241</f>
        <v>j</v>
      </c>
      <c r="G241" s="213">
        <f>COMPOSICIÓN!G241</f>
        <v>0.75</v>
      </c>
      <c r="H241" s="214">
        <f>COMPOSICIÓN!H241</f>
        <v>0</v>
      </c>
      <c r="I241" s="215">
        <f>COMPOSICIÓN!I241</f>
        <v>60860.580776572002</v>
      </c>
      <c r="J241" s="212" t="str">
        <f>IFERROR(VLOOKUP(A241,PARTIDAS!$A$2:$C$269,3,FALSE()),"")</f>
        <v>MAMPOSTERÍA</v>
      </c>
      <c r="K241" s="212" t="str">
        <f>IFERROR(INDEX(PPTO_GENERADOR!$B$4:$B$220,MATCH(A241,PPTO_GENERADOR!$Q$4:$Q$220,0)),"")</f>
        <v/>
      </c>
      <c r="L241" s="216">
        <f>IF(PLAN_ETAPA!$C$4="(TODOS)",SUMIFS(PPTO_GENERADOR!$E$4:$E$220,PPTO_GENERADOR!$Q$4:$Q$220,A241),SUMIFS(PPTO_GENERADOR!$E$4:$E$220,PPTO_GENERADOR!$Q$4:$Q$220,A241,PPTO_GENERADOR!$B$4:$B$220,PLAN_ETAPA!$C$4))</f>
        <v>0</v>
      </c>
      <c r="M241" s="216">
        <f>IFERROR(VLOOKUP(A241,PARTIDAS!$A$2:$F$269,6,FALSE()),1)</f>
        <v>11.5</v>
      </c>
      <c r="N241" s="216">
        <f>IFERROR(VLOOKUP(A241,PARTIDAS!$A$2:$I$269,9,FALSE()),1)</f>
        <v>1</v>
      </c>
      <c r="O241" s="217">
        <f t="shared" si="6"/>
        <v>0</v>
      </c>
      <c r="P241" s="216">
        <f>IF(O241=0,0,IF(B241="MAT",G241*(1+H241)*L241*PLAN_ETAPA!$C$5,IF(B241="MO",IF(M241=0,0,G241*L241*PLAN_ETAPA!$C$5*N241/M241),IF(B241="EQ",IF(M241=0,0,G241*L241*PLAN_ETAPA!$C$5/M241),0))))</f>
        <v>0</v>
      </c>
      <c r="Q241" s="218">
        <f t="shared" si="7"/>
        <v>0</v>
      </c>
    </row>
    <row r="242" spans="1:17" x14ac:dyDescent="0.35">
      <c r="A242" s="212" t="str">
        <f>COMPOSICIÓN!A242</f>
        <v>ALB-119</v>
      </c>
      <c r="B242" s="212" t="str">
        <f>COMPOSICIÓN!B242</f>
        <v>MO</v>
      </c>
      <c r="C242" s="212" t="str">
        <f>COMPOSICIÓN!C242</f>
        <v>ALB</v>
      </c>
      <c r="D242" s="212" t="str">
        <f>COMPOSICIÓN!D242</f>
        <v>MO-EESPE</v>
      </c>
      <c r="E242" s="212" t="str">
        <f>COMPOSICIÓN!E242</f>
        <v>ESPECIALIZADO</v>
      </c>
      <c r="F242" s="212" t="str">
        <f>COMPOSICIÓN!F242</f>
        <v>j</v>
      </c>
      <c r="G242" s="213">
        <f>COMPOSICIÓN!G242</f>
        <v>1</v>
      </c>
      <c r="H242" s="214">
        <f>COMPOSICIÓN!H242</f>
        <v>0</v>
      </c>
      <c r="I242" s="215">
        <f>COMPOSICIÓN!I242</f>
        <v>85927.097156571996</v>
      </c>
      <c r="J242" s="212" t="str">
        <f>IFERROR(VLOOKUP(A242,PARTIDAS!$A$2:$C$269,3,FALSE()),"")</f>
        <v>MAMPOSTERÍA</v>
      </c>
      <c r="K242" s="212" t="str">
        <f>IFERROR(INDEX(PPTO_GENERADOR!$B$4:$B$220,MATCH(A242,PPTO_GENERADOR!$Q$4:$Q$220,0)),"")</f>
        <v/>
      </c>
      <c r="L242" s="216">
        <f>IF(PLAN_ETAPA!$C$4="(TODOS)",SUMIFS(PPTO_GENERADOR!$E$4:$E$220,PPTO_GENERADOR!$Q$4:$Q$220,A242),SUMIFS(PPTO_GENERADOR!$E$4:$E$220,PPTO_GENERADOR!$Q$4:$Q$220,A242,PPTO_GENERADOR!$B$4:$B$220,PLAN_ETAPA!$C$4))</f>
        <v>0</v>
      </c>
      <c r="M242" s="216">
        <f>IFERROR(VLOOKUP(A242,PARTIDAS!$A$2:$F$269,6,FALSE()),1)</f>
        <v>11.5</v>
      </c>
      <c r="N242" s="216">
        <f>IFERROR(VLOOKUP(A242,PARTIDAS!$A$2:$I$269,9,FALSE()),1)</f>
        <v>1</v>
      </c>
      <c r="O242" s="217">
        <f t="shared" si="6"/>
        <v>0</v>
      </c>
      <c r="P242" s="216">
        <f>IF(O242=0,0,IF(B242="MAT",G242*(1+H242)*L242*PLAN_ETAPA!$C$5,IF(B242="MO",IF(M242=0,0,G242*L242*PLAN_ETAPA!$C$5*N242/M242),IF(B242="EQ",IF(M242=0,0,G242*L242*PLAN_ETAPA!$C$5/M242),0))))</f>
        <v>0</v>
      </c>
      <c r="Q242" s="218">
        <f t="shared" si="7"/>
        <v>0</v>
      </c>
    </row>
    <row r="243" spans="1:17" x14ac:dyDescent="0.35">
      <c r="A243" s="212" t="str">
        <f>COMPOSICIÓN!A243</f>
        <v>ALB-136</v>
      </c>
      <c r="B243" s="212" t="str">
        <f>COMPOSICIÓN!B243</f>
        <v>EQ</v>
      </c>
      <c r="C243" s="212">
        <f>COMPOSICIÓN!C243</f>
        <v>0</v>
      </c>
      <c r="D243" s="212" t="str">
        <f>COMPOSICIÓN!D243</f>
        <v>EQ-EQALBA</v>
      </c>
      <c r="E243" s="212" t="str">
        <f>COMPOSICIÓN!E243</f>
        <v>EQUIPO DE ALBAÑILERIA, carpetas, ladrillo</v>
      </c>
      <c r="F243" s="212">
        <f>COMPOSICIÓN!F243</f>
        <v>0</v>
      </c>
      <c r="G243" s="213">
        <f>COMPOSICIÓN!G243</f>
        <v>1</v>
      </c>
      <c r="H243" s="214">
        <f>COMPOSICIÓN!H243</f>
        <v>0</v>
      </c>
      <c r="I243" s="215">
        <f>COMPOSICIÓN!I243</f>
        <v>2287.1357450968057</v>
      </c>
      <c r="J243" s="212" t="str">
        <f>IFERROR(VLOOKUP(A243,PARTIDAS!$A$2:$C$269,3,FALSE()),"")</f>
        <v>MAMPOSTERÍA</v>
      </c>
      <c r="K243" s="212" t="str">
        <f>IFERROR(INDEX(PPTO_GENERADOR!$B$4:$B$220,MATCH(A243,PPTO_GENERADOR!$Q$4:$Q$220,0)),"")</f>
        <v>CONTRAPISOS Y CARPETAS</v>
      </c>
      <c r="L243" s="216">
        <f>IF(PLAN_ETAPA!$C$4="(TODOS)",SUMIFS(PPTO_GENERADOR!$E$4:$E$220,PPTO_GENERADOR!$Q$4:$Q$220,A243),SUMIFS(PPTO_GENERADOR!$E$4:$E$220,PPTO_GENERADOR!$Q$4:$Q$220,A243,PPTO_GENERADOR!$B$4:$B$220,PLAN_ETAPA!$C$4))</f>
        <v>0</v>
      </c>
      <c r="M243" s="216">
        <f>IFERROR(VLOOKUP(A243,PARTIDAS!$A$2:$F$269,6,FALSE()),1)</f>
        <v>14.5</v>
      </c>
      <c r="N243" s="216">
        <f>IFERROR(VLOOKUP(A243,PARTIDAS!$A$2:$I$269,9,FALSE()),1)</f>
        <v>1</v>
      </c>
      <c r="O243" s="217">
        <f t="shared" si="6"/>
        <v>0</v>
      </c>
      <c r="P243" s="216">
        <f>IF(O243=0,0,IF(B243="MAT",G243*(1+H243)*L243*PLAN_ETAPA!$C$5,IF(B243="MO",IF(M243=0,0,G243*L243*PLAN_ETAPA!$C$5*N243/M243),IF(B243="EQ",IF(M243=0,0,G243*L243*PLAN_ETAPA!$C$5/M243),0))))</f>
        <v>0</v>
      </c>
      <c r="Q243" s="218">
        <f t="shared" si="7"/>
        <v>0</v>
      </c>
    </row>
    <row r="244" spans="1:17" x14ac:dyDescent="0.35">
      <c r="A244" s="212" t="str">
        <f>COMPOSICIÓN!A244</f>
        <v>ALB-136</v>
      </c>
      <c r="B244" s="212" t="str">
        <f>COMPOSICIÓN!B244</f>
        <v>EQ</v>
      </c>
      <c r="C244" s="212">
        <f>COMPOSICIÓN!C244</f>
        <v>0</v>
      </c>
      <c r="D244" s="212" t="str">
        <f>COMPOSICIÓN!D244</f>
        <v>EQ-TROMPO</v>
      </c>
      <c r="E244" s="212" t="str">
        <f>COMPOSICIÓN!E244</f>
        <v>Hormigonera De 150 Litros 1hp Con Rueda Maciza</v>
      </c>
      <c r="F244" s="212">
        <f>COMPOSICIÓN!F244</f>
        <v>0</v>
      </c>
      <c r="G244" s="213">
        <f>COMPOSICIÓN!G244</f>
        <v>1</v>
      </c>
      <c r="H244" s="214">
        <f>COMPOSICIÓN!H244</f>
        <v>0</v>
      </c>
      <c r="I244" s="215">
        <f>COMPOSICIÓN!I244</f>
        <v>957.25319614994726</v>
      </c>
      <c r="J244" s="212" t="str">
        <f>IFERROR(VLOOKUP(A244,PARTIDAS!$A$2:$C$269,3,FALSE()),"")</f>
        <v>MAMPOSTERÍA</v>
      </c>
      <c r="K244" s="212" t="str">
        <f>IFERROR(INDEX(PPTO_GENERADOR!$B$4:$B$220,MATCH(A244,PPTO_GENERADOR!$Q$4:$Q$220,0)),"")</f>
        <v>CONTRAPISOS Y CARPETAS</v>
      </c>
      <c r="L244" s="216">
        <f>IF(PLAN_ETAPA!$C$4="(TODOS)",SUMIFS(PPTO_GENERADOR!$E$4:$E$220,PPTO_GENERADOR!$Q$4:$Q$220,A244),SUMIFS(PPTO_GENERADOR!$E$4:$E$220,PPTO_GENERADOR!$Q$4:$Q$220,A244,PPTO_GENERADOR!$B$4:$B$220,PLAN_ETAPA!$C$4))</f>
        <v>0</v>
      </c>
      <c r="M244" s="216">
        <f>IFERROR(VLOOKUP(A244,PARTIDAS!$A$2:$F$269,6,FALSE()),1)</f>
        <v>14.5</v>
      </c>
      <c r="N244" s="216">
        <f>IFERROR(VLOOKUP(A244,PARTIDAS!$A$2:$I$269,9,FALSE()),1)</f>
        <v>1</v>
      </c>
      <c r="O244" s="217">
        <f t="shared" si="6"/>
        <v>0</v>
      </c>
      <c r="P244" s="216">
        <f>IF(O244=0,0,IF(B244="MAT",G244*(1+H244)*L244*PLAN_ETAPA!$C$5,IF(B244="MO",IF(M244=0,0,G244*L244*PLAN_ETAPA!$C$5*N244/M244),IF(B244="EQ",IF(M244=0,0,G244*L244*PLAN_ETAPA!$C$5/M244),0))))</f>
        <v>0</v>
      </c>
      <c r="Q244" s="218">
        <f t="shared" si="7"/>
        <v>0</v>
      </c>
    </row>
    <row r="245" spans="1:17" x14ac:dyDescent="0.35">
      <c r="A245" s="212" t="str">
        <f>COMPOSICIÓN!A245</f>
        <v>ALB-136</v>
      </c>
      <c r="B245" s="212" t="str">
        <f>COMPOSICIÓN!B245</f>
        <v>MAT</v>
      </c>
      <c r="C245" s="212" t="str">
        <f>COMPOSICIÓN!C245</f>
        <v>OTR</v>
      </c>
      <c r="D245" s="212" t="str">
        <f>COMPOSICIÓN!D245</f>
        <v>AGR-001</v>
      </c>
      <c r="E245" s="212" t="str">
        <f>COMPOSICIÓN!E245</f>
        <v>ARENA LAVADA</v>
      </c>
      <c r="F245" s="212" t="str">
        <f>COMPOSICIÓN!F245</f>
        <v>m3</v>
      </c>
      <c r="G245" s="213">
        <f>COMPOSICIÓN!G245</f>
        <v>0.03</v>
      </c>
      <c r="H245" s="214">
        <f>COMPOSICIÓN!H245</f>
        <v>0.1</v>
      </c>
      <c r="I245" s="215">
        <f>COMPOSICIÓN!I245</f>
        <v>32399.77</v>
      </c>
      <c r="J245" s="212" t="str">
        <f>IFERROR(VLOOKUP(A245,PARTIDAS!$A$2:$C$269,3,FALSE()),"")</f>
        <v>MAMPOSTERÍA</v>
      </c>
      <c r="K245" s="212" t="str">
        <f>IFERROR(INDEX(PPTO_GENERADOR!$B$4:$B$220,MATCH(A245,PPTO_GENERADOR!$Q$4:$Q$220,0)),"")</f>
        <v>CONTRAPISOS Y CARPETAS</v>
      </c>
      <c r="L245" s="216">
        <f>IF(PLAN_ETAPA!$C$4="(TODOS)",SUMIFS(PPTO_GENERADOR!$E$4:$E$220,PPTO_GENERADOR!$Q$4:$Q$220,A245),SUMIFS(PPTO_GENERADOR!$E$4:$E$220,PPTO_GENERADOR!$Q$4:$Q$220,A245,PPTO_GENERADOR!$B$4:$B$220,PLAN_ETAPA!$C$4))</f>
        <v>0</v>
      </c>
      <c r="M245" s="216">
        <f>IFERROR(VLOOKUP(A245,PARTIDAS!$A$2:$F$269,6,FALSE()),1)</f>
        <v>14.5</v>
      </c>
      <c r="N245" s="216">
        <f>IFERROR(VLOOKUP(A245,PARTIDAS!$A$2:$I$269,9,FALSE()),1)</f>
        <v>1</v>
      </c>
      <c r="O245" s="217">
        <f t="shared" si="6"/>
        <v>0</v>
      </c>
      <c r="P245" s="216">
        <f>IF(O245=0,0,IF(B245="MAT",G245*(1+H245)*L245*PLAN_ETAPA!$C$5,IF(B245="MO",IF(M245=0,0,G245*L245*PLAN_ETAPA!$C$5*N245/M245),IF(B245="EQ",IF(M245=0,0,G245*L245*PLAN_ETAPA!$C$5/M245),0))))</f>
        <v>0</v>
      </c>
      <c r="Q245" s="218">
        <f t="shared" si="7"/>
        <v>0</v>
      </c>
    </row>
    <row r="246" spans="1:17" x14ac:dyDescent="0.35">
      <c r="A246" s="212" t="str">
        <f>COMPOSICIÓN!A246</f>
        <v>ALB-136</v>
      </c>
      <c r="B246" s="212" t="str">
        <f>COMPOSICIÓN!B246</f>
        <v>MAT</v>
      </c>
      <c r="C246" s="212" t="str">
        <f>COMPOSICIÓN!C246</f>
        <v>OTR</v>
      </c>
      <c r="D246" s="212" t="str">
        <f>COMPOSICIÓN!D246</f>
        <v>AGR-004</v>
      </c>
      <c r="E246" s="212" t="str">
        <f>COMPOSICIÓN!E246</f>
        <v>Cemento Portland x 50kg</v>
      </c>
      <c r="F246" s="212" t="str">
        <f>COMPOSICIÓN!F246</f>
        <v>Bol</v>
      </c>
      <c r="G246" s="213">
        <f>COMPOSICIÓN!G246</f>
        <v>7.0000000000000007E-2</v>
      </c>
      <c r="H246" s="214">
        <f>COMPOSICIÓN!H246</f>
        <v>0.1</v>
      </c>
      <c r="I246" s="215">
        <f>COMPOSICIÓN!I246</f>
        <v>7809.48</v>
      </c>
      <c r="J246" s="212" t="str">
        <f>IFERROR(VLOOKUP(A246,PARTIDAS!$A$2:$C$269,3,FALSE()),"")</f>
        <v>MAMPOSTERÍA</v>
      </c>
      <c r="K246" s="212" t="str">
        <f>IFERROR(INDEX(PPTO_GENERADOR!$B$4:$B$220,MATCH(A246,PPTO_GENERADOR!$Q$4:$Q$220,0)),"")</f>
        <v>CONTRAPISOS Y CARPETAS</v>
      </c>
      <c r="L246" s="216">
        <f>IF(PLAN_ETAPA!$C$4="(TODOS)",SUMIFS(PPTO_GENERADOR!$E$4:$E$220,PPTO_GENERADOR!$Q$4:$Q$220,A246),SUMIFS(PPTO_GENERADOR!$E$4:$E$220,PPTO_GENERADOR!$Q$4:$Q$220,A246,PPTO_GENERADOR!$B$4:$B$220,PLAN_ETAPA!$C$4))</f>
        <v>0</v>
      </c>
      <c r="M246" s="216">
        <f>IFERROR(VLOOKUP(A246,PARTIDAS!$A$2:$F$269,6,FALSE()),1)</f>
        <v>14.5</v>
      </c>
      <c r="N246" s="216">
        <f>IFERROR(VLOOKUP(A246,PARTIDAS!$A$2:$I$269,9,FALSE()),1)</f>
        <v>1</v>
      </c>
      <c r="O246" s="217">
        <f t="shared" si="6"/>
        <v>0</v>
      </c>
      <c r="P246" s="216">
        <f>IF(O246=0,0,IF(B246="MAT",G246*(1+H246)*L246*PLAN_ETAPA!$C$5,IF(B246="MO",IF(M246=0,0,G246*L246*PLAN_ETAPA!$C$5*N246/M246),IF(B246="EQ",IF(M246=0,0,G246*L246*PLAN_ETAPA!$C$5/M246),0))))</f>
        <v>0</v>
      </c>
      <c r="Q246" s="218">
        <f t="shared" si="7"/>
        <v>0</v>
      </c>
    </row>
    <row r="247" spans="1:17" x14ac:dyDescent="0.35">
      <c r="A247" s="212" t="str">
        <f>COMPOSICIÓN!A247</f>
        <v>ALB-136</v>
      </c>
      <c r="B247" s="212" t="str">
        <f>COMPOSICIÓN!B247</f>
        <v>MAT</v>
      </c>
      <c r="C247" s="212" t="str">
        <f>COMPOSICIÓN!C247</f>
        <v>OTR</v>
      </c>
      <c r="D247" s="212" t="str">
        <f>COMPOSICIÓN!D247</f>
        <v>AGR-005</v>
      </c>
      <c r="E247" s="212" t="str">
        <f>COMPOSICIÓN!E247</f>
        <v>Cal Comun x 25kg</v>
      </c>
      <c r="F247" s="212" t="str">
        <f>COMPOSICIÓN!F247</f>
        <v>bol</v>
      </c>
      <c r="G247" s="213">
        <f>COMPOSICIÓN!G247</f>
        <v>0.248</v>
      </c>
      <c r="H247" s="214">
        <f>COMPOSICIÓN!H247</f>
        <v>0.1</v>
      </c>
      <c r="I247" s="215">
        <f>COMPOSICIÓN!I247</f>
        <v>3837.96</v>
      </c>
      <c r="J247" s="212" t="str">
        <f>IFERROR(VLOOKUP(A247,PARTIDAS!$A$2:$C$269,3,FALSE()),"")</f>
        <v>MAMPOSTERÍA</v>
      </c>
      <c r="K247" s="212" t="str">
        <f>IFERROR(INDEX(PPTO_GENERADOR!$B$4:$B$220,MATCH(A247,PPTO_GENERADOR!$Q$4:$Q$220,0)),"")</f>
        <v>CONTRAPISOS Y CARPETAS</v>
      </c>
      <c r="L247" s="216">
        <f>IF(PLAN_ETAPA!$C$4="(TODOS)",SUMIFS(PPTO_GENERADOR!$E$4:$E$220,PPTO_GENERADOR!$Q$4:$Q$220,A247),SUMIFS(PPTO_GENERADOR!$E$4:$E$220,PPTO_GENERADOR!$Q$4:$Q$220,A247,PPTO_GENERADOR!$B$4:$B$220,PLAN_ETAPA!$C$4))</f>
        <v>0</v>
      </c>
      <c r="M247" s="216">
        <f>IFERROR(VLOOKUP(A247,PARTIDAS!$A$2:$F$269,6,FALSE()),1)</f>
        <v>14.5</v>
      </c>
      <c r="N247" s="216">
        <f>IFERROR(VLOOKUP(A247,PARTIDAS!$A$2:$I$269,9,FALSE()),1)</f>
        <v>1</v>
      </c>
      <c r="O247" s="217">
        <f t="shared" si="6"/>
        <v>0</v>
      </c>
      <c r="P247" s="216">
        <f>IF(O247=0,0,IF(B247="MAT",G247*(1+H247)*L247*PLAN_ETAPA!$C$5,IF(B247="MO",IF(M247=0,0,G247*L247*PLAN_ETAPA!$C$5*N247/M247),IF(B247="EQ",IF(M247=0,0,G247*L247*PLAN_ETAPA!$C$5/M247),0))))</f>
        <v>0</v>
      </c>
      <c r="Q247" s="218">
        <f t="shared" si="7"/>
        <v>0</v>
      </c>
    </row>
    <row r="248" spans="1:17" x14ac:dyDescent="0.35">
      <c r="A248" s="212" t="str">
        <f>COMPOSICIÓN!A248</f>
        <v>ALB-136</v>
      </c>
      <c r="B248" s="212" t="str">
        <f>COMPOSICIÓN!B248</f>
        <v>MO</v>
      </c>
      <c r="C248" s="212" t="str">
        <f>COMPOSICIÓN!C248</f>
        <v>ALB</v>
      </c>
      <c r="D248" s="212" t="str">
        <f>COMPOSICIÓN!D248</f>
        <v>MO-EAYUD</v>
      </c>
      <c r="E248" s="212" t="str">
        <f>COMPOSICIÓN!E248</f>
        <v>AYUDANTE</v>
      </c>
      <c r="F248" s="212" t="str">
        <f>COMPOSICIÓN!F248</f>
        <v>j</v>
      </c>
      <c r="G248" s="213">
        <f>COMPOSICIÓN!G248</f>
        <v>0.45</v>
      </c>
      <c r="H248" s="214">
        <f>COMPOSICIÓN!H248</f>
        <v>0</v>
      </c>
      <c r="I248" s="215">
        <f>COMPOSICIÓN!I248</f>
        <v>60860.580776572002</v>
      </c>
      <c r="J248" s="212" t="str">
        <f>IFERROR(VLOOKUP(A248,PARTIDAS!$A$2:$C$269,3,FALSE()),"")</f>
        <v>MAMPOSTERÍA</v>
      </c>
      <c r="K248" s="212" t="str">
        <f>IFERROR(INDEX(PPTO_GENERADOR!$B$4:$B$220,MATCH(A248,PPTO_GENERADOR!$Q$4:$Q$220,0)),"")</f>
        <v>CONTRAPISOS Y CARPETAS</v>
      </c>
      <c r="L248" s="216">
        <f>IF(PLAN_ETAPA!$C$4="(TODOS)",SUMIFS(PPTO_GENERADOR!$E$4:$E$220,PPTO_GENERADOR!$Q$4:$Q$220,A248),SUMIFS(PPTO_GENERADOR!$E$4:$E$220,PPTO_GENERADOR!$Q$4:$Q$220,A248,PPTO_GENERADOR!$B$4:$B$220,PLAN_ETAPA!$C$4))</f>
        <v>0</v>
      </c>
      <c r="M248" s="216">
        <f>IFERROR(VLOOKUP(A248,PARTIDAS!$A$2:$F$269,6,FALSE()),1)</f>
        <v>14.5</v>
      </c>
      <c r="N248" s="216">
        <f>IFERROR(VLOOKUP(A248,PARTIDAS!$A$2:$I$269,9,FALSE()),1)</f>
        <v>1</v>
      </c>
      <c r="O248" s="217">
        <f t="shared" si="6"/>
        <v>0</v>
      </c>
      <c r="P248" s="216">
        <f>IF(O248=0,0,IF(B248="MAT",G248*(1+H248)*L248*PLAN_ETAPA!$C$5,IF(B248="MO",IF(M248=0,0,G248*L248*PLAN_ETAPA!$C$5*N248/M248),IF(B248="EQ",IF(M248=0,0,G248*L248*PLAN_ETAPA!$C$5/M248),0))))</f>
        <v>0</v>
      </c>
      <c r="Q248" s="218">
        <f t="shared" si="7"/>
        <v>0</v>
      </c>
    </row>
    <row r="249" spans="1:17" x14ac:dyDescent="0.35">
      <c r="A249" s="212" t="str">
        <f>COMPOSICIÓN!A249</f>
        <v>ALB-136</v>
      </c>
      <c r="B249" s="212" t="str">
        <f>COMPOSICIÓN!B249</f>
        <v>MO</v>
      </c>
      <c r="C249" s="212" t="str">
        <f>COMPOSICIÓN!C249</f>
        <v>ALB</v>
      </c>
      <c r="D249" s="212" t="str">
        <f>COMPOSICIÓN!D249</f>
        <v>MO-EESPE</v>
      </c>
      <c r="E249" s="212" t="str">
        <f>COMPOSICIÓN!E249</f>
        <v>ESPECIALIZADO</v>
      </c>
      <c r="F249" s="212" t="str">
        <f>COMPOSICIÓN!F249</f>
        <v>j</v>
      </c>
      <c r="G249" s="213">
        <f>COMPOSICIÓN!G249</f>
        <v>1</v>
      </c>
      <c r="H249" s="214">
        <f>COMPOSICIÓN!H249</f>
        <v>0</v>
      </c>
      <c r="I249" s="215">
        <f>COMPOSICIÓN!I249</f>
        <v>85927.097156571996</v>
      </c>
      <c r="J249" s="212" t="str">
        <f>IFERROR(VLOOKUP(A249,PARTIDAS!$A$2:$C$269,3,FALSE()),"")</f>
        <v>MAMPOSTERÍA</v>
      </c>
      <c r="K249" s="212" t="str">
        <f>IFERROR(INDEX(PPTO_GENERADOR!$B$4:$B$220,MATCH(A249,PPTO_GENERADOR!$Q$4:$Q$220,0)),"")</f>
        <v>CONTRAPISOS Y CARPETAS</v>
      </c>
      <c r="L249" s="216">
        <f>IF(PLAN_ETAPA!$C$4="(TODOS)",SUMIFS(PPTO_GENERADOR!$E$4:$E$220,PPTO_GENERADOR!$Q$4:$Q$220,A249),SUMIFS(PPTO_GENERADOR!$E$4:$E$220,PPTO_GENERADOR!$Q$4:$Q$220,A249,PPTO_GENERADOR!$B$4:$B$220,PLAN_ETAPA!$C$4))</f>
        <v>0</v>
      </c>
      <c r="M249" s="216">
        <f>IFERROR(VLOOKUP(A249,PARTIDAS!$A$2:$F$269,6,FALSE()),1)</f>
        <v>14.5</v>
      </c>
      <c r="N249" s="216">
        <f>IFERROR(VLOOKUP(A249,PARTIDAS!$A$2:$I$269,9,FALSE()),1)</f>
        <v>1</v>
      </c>
      <c r="O249" s="217">
        <f t="shared" si="6"/>
        <v>0</v>
      </c>
      <c r="P249" s="216">
        <f>IF(O249=0,0,IF(B249="MAT",G249*(1+H249)*L249*PLAN_ETAPA!$C$5,IF(B249="MO",IF(M249=0,0,G249*L249*PLAN_ETAPA!$C$5*N249/M249),IF(B249="EQ",IF(M249=0,0,G249*L249*PLAN_ETAPA!$C$5/M249),0))))</f>
        <v>0</v>
      </c>
      <c r="Q249" s="218">
        <f t="shared" si="7"/>
        <v>0</v>
      </c>
    </row>
    <row r="250" spans="1:17" x14ac:dyDescent="0.35">
      <c r="A250" s="212" t="str">
        <f>COMPOSICIÓN!A250</f>
        <v>COL-056</v>
      </c>
      <c r="B250" s="212" t="str">
        <f>COMPOSICIÓN!B250</f>
        <v>EQ</v>
      </c>
      <c r="C250" s="212">
        <f>COMPOSICIÓN!C250</f>
        <v>0</v>
      </c>
      <c r="D250" s="212" t="str">
        <f>COMPOSICIÓN!D250</f>
        <v>EQ-CORTA</v>
      </c>
      <c r="E250" s="212" t="str">
        <f>COMPOSICIÓN!E250</f>
        <v>CORTADORA CERAMICA PROFESIONAL 1200MM (PORCELANATO HASTA 16MM)</v>
      </c>
      <c r="F250" s="212">
        <f>COMPOSICIÓN!F250</f>
        <v>0</v>
      </c>
      <c r="G250" s="213">
        <f>COMPOSICIÓN!G250</f>
        <v>1</v>
      </c>
      <c r="H250" s="214">
        <f>COMPOSICIÓN!H250</f>
        <v>0</v>
      </c>
      <c r="I250" s="215">
        <f>COMPOSICIÓN!I250</f>
        <v>298.42384358082836</v>
      </c>
      <c r="J250" s="212" t="str">
        <f>IFERROR(VLOOKUP(A250,PARTIDAS!$A$2:$C$269,3,FALSE()),"")</f>
        <v>PISOS</v>
      </c>
      <c r="K250" s="212" t="str">
        <f>IFERROR(INDEX(PPTO_GENERADOR!$B$4:$B$220,MATCH(A250,PPTO_GENERADOR!$Q$4:$Q$220,0)),"")</f>
        <v>PISOS</v>
      </c>
      <c r="L250" s="216">
        <f>IF(PLAN_ETAPA!$C$4="(TODOS)",SUMIFS(PPTO_GENERADOR!$E$4:$E$220,PPTO_GENERADOR!$Q$4:$Q$220,A250),SUMIFS(PPTO_GENERADOR!$E$4:$E$220,PPTO_GENERADOR!$Q$4:$Q$220,A250,PPTO_GENERADOR!$B$4:$B$220,PLAN_ETAPA!$C$4))</f>
        <v>0</v>
      </c>
      <c r="M250" s="216">
        <f>IFERROR(VLOOKUP(A250,PARTIDAS!$A$2:$F$269,6,FALSE()),1)</f>
        <v>13</v>
      </c>
      <c r="N250" s="216">
        <f>IFERROR(VLOOKUP(A250,PARTIDAS!$A$2:$I$269,9,FALSE()),1)</f>
        <v>1</v>
      </c>
      <c r="O250" s="217">
        <f t="shared" si="6"/>
        <v>0</v>
      </c>
      <c r="P250" s="216">
        <f>IF(O250=0,0,IF(B250="MAT",G250*(1+H250)*L250*PLAN_ETAPA!$C$5,IF(B250="MO",IF(M250=0,0,G250*L250*PLAN_ETAPA!$C$5*N250/M250),IF(B250="EQ",IF(M250=0,0,G250*L250*PLAN_ETAPA!$C$5/M250),0))))</f>
        <v>0</v>
      </c>
      <c r="Q250" s="218">
        <f t="shared" si="7"/>
        <v>0</v>
      </c>
    </row>
    <row r="251" spans="1:17" x14ac:dyDescent="0.35">
      <c r="A251" s="212" t="str">
        <f>COMPOSICIÓN!A251</f>
        <v>COL-056</v>
      </c>
      <c r="B251" s="212" t="str">
        <f>COMPOSICIÓN!B251</f>
        <v>EQ</v>
      </c>
      <c r="C251" s="212">
        <f>COMPOSICIÓN!C251</f>
        <v>0</v>
      </c>
      <c r="D251" s="212" t="str">
        <f>COMPOSICIÓN!D251</f>
        <v>EQ-EQCERA</v>
      </c>
      <c r="E251" s="212" t="str">
        <f>COMPOSICIÓN!E251</f>
        <v>EQUIPO PARA COLOCACION DE CERAMICA</v>
      </c>
      <c r="F251" s="212">
        <f>COMPOSICIÓN!F251</f>
        <v>0</v>
      </c>
      <c r="G251" s="213">
        <f>COMPOSICIÓN!G251</f>
        <v>1</v>
      </c>
      <c r="H251" s="214">
        <f>COMPOSICIÓN!H251</f>
        <v>0</v>
      </c>
      <c r="I251" s="215">
        <f>COMPOSICIÓN!I251</f>
        <v>2637.1418444899073</v>
      </c>
      <c r="J251" s="212" t="str">
        <f>IFERROR(VLOOKUP(A251,PARTIDAS!$A$2:$C$269,3,FALSE()),"")</f>
        <v>PISOS</v>
      </c>
      <c r="K251" s="212" t="str">
        <f>IFERROR(INDEX(PPTO_GENERADOR!$B$4:$B$220,MATCH(A251,PPTO_GENERADOR!$Q$4:$Q$220,0)),"")</f>
        <v>PISOS</v>
      </c>
      <c r="L251" s="216">
        <f>IF(PLAN_ETAPA!$C$4="(TODOS)",SUMIFS(PPTO_GENERADOR!$E$4:$E$220,PPTO_GENERADOR!$Q$4:$Q$220,A251),SUMIFS(PPTO_GENERADOR!$E$4:$E$220,PPTO_GENERADOR!$Q$4:$Q$220,A251,PPTO_GENERADOR!$B$4:$B$220,PLAN_ETAPA!$C$4))</f>
        <v>0</v>
      </c>
      <c r="M251" s="216">
        <f>IFERROR(VLOOKUP(A251,PARTIDAS!$A$2:$F$269,6,FALSE()),1)</f>
        <v>13</v>
      </c>
      <c r="N251" s="216">
        <f>IFERROR(VLOOKUP(A251,PARTIDAS!$A$2:$I$269,9,FALSE()),1)</f>
        <v>1</v>
      </c>
      <c r="O251" s="217">
        <f t="shared" si="6"/>
        <v>0</v>
      </c>
      <c r="P251" s="216">
        <f>IF(O251=0,0,IF(B251="MAT",G251*(1+H251)*L251*PLAN_ETAPA!$C$5,IF(B251="MO",IF(M251=0,0,G251*L251*PLAN_ETAPA!$C$5*N251/M251),IF(B251="EQ",IF(M251=0,0,G251*L251*PLAN_ETAPA!$C$5/M251),0))))</f>
        <v>0</v>
      </c>
      <c r="Q251" s="218">
        <f t="shared" si="7"/>
        <v>0</v>
      </c>
    </row>
    <row r="252" spans="1:17" x14ac:dyDescent="0.35">
      <c r="A252" s="212" t="str">
        <f>COMPOSICIÓN!A252</f>
        <v>COL-056</v>
      </c>
      <c r="B252" s="212" t="str">
        <f>COMPOSICIÓN!B252</f>
        <v>MAT</v>
      </c>
      <c r="C252" s="212" t="str">
        <f>COMPOSICIÓN!C252</f>
        <v>COR</v>
      </c>
      <c r="D252" s="212" t="str">
        <f>COMPOSICIÓN!D252</f>
        <v>ADH-001</v>
      </c>
      <c r="E252" s="212" t="str">
        <f>COMPOSICIÓN!E252</f>
        <v>Adhesivo Klaukol Porcellanato Fluido x 30Kg</v>
      </c>
      <c r="F252" s="212" t="str">
        <f>COMPOSICIÓN!F252</f>
        <v>bol</v>
      </c>
      <c r="G252" s="213">
        <f>COMPOSICIÓN!G252</f>
        <v>0.2</v>
      </c>
      <c r="H252" s="214">
        <f>COMPOSICIÓN!H252</f>
        <v>0.2</v>
      </c>
      <c r="I252" s="215">
        <f>COMPOSICIÓN!I252</f>
        <v>18802.511999999999</v>
      </c>
      <c r="J252" s="212" t="str">
        <f>IFERROR(VLOOKUP(A252,PARTIDAS!$A$2:$C$269,3,FALSE()),"")</f>
        <v>PISOS</v>
      </c>
      <c r="K252" s="212" t="str">
        <f>IFERROR(INDEX(PPTO_GENERADOR!$B$4:$B$220,MATCH(A252,PPTO_GENERADOR!$Q$4:$Q$220,0)),"")</f>
        <v>PISOS</v>
      </c>
      <c r="L252" s="216">
        <f>IF(PLAN_ETAPA!$C$4="(TODOS)",SUMIFS(PPTO_GENERADOR!$E$4:$E$220,PPTO_GENERADOR!$Q$4:$Q$220,A252),SUMIFS(PPTO_GENERADOR!$E$4:$E$220,PPTO_GENERADOR!$Q$4:$Q$220,A252,PPTO_GENERADOR!$B$4:$B$220,PLAN_ETAPA!$C$4))</f>
        <v>0</v>
      </c>
      <c r="M252" s="216">
        <f>IFERROR(VLOOKUP(A252,PARTIDAS!$A$2:$F$269,6,FALSE()),1)</f>
        <v>13</v>
      </c>
      <c r="N252" s="216">
        <f>IFERROR(VLOOKUP(A252,PARTIDAS!$A$2:$I$269,9,FALSE()),1)</f>
        <v>1</v>
      </c>
      <c r="O252" s="217">
        <f t="shared" si="6"/>
        <v>0</v>
      </c>
      <c r="P252" s="216">
        <f>IF(O252=0,0,IF(B252="MAT",G252*(1+H252)*L252*PLAN_ETAPA!$C$5,IF(B252="MO",IF(M252=0,0,G252*L252*PLAN_ETAPA!$C$5*N252/M252),IF(B252="EQ",IF(M252=0,0,G252*L252*PLAN_ETAPA!$C$5/M252),0))))</f>
        <v>0</v>
      </c>
      <c r="Q252" s="218">
        <f t="shared" si="7"/>
        <v>0</v>
      </c>
    </row>
    <row r="253" spans="1:17" x14ac:dyDescent="0.35">
      <c r="A253" s="212" t="str">
        <f>COMPOSICIÓN!A253</f>
        <v>COL-056</v>
      </c>
      <c r="B253" s="212" t="str">
        <f>COMPOSICIÓN!B253</f>
        <v>MAT</v>
      </c>
      <c r="C253" s="212" t="str">
        <f>COMPOSICIÓN!C253</f>
        <v>COR</v>
      </c>
      <c r="D253" s="212" t="str">
        <f>COMPOSICIÓN!D253</f>
        <v>ADH-003</v>
      </c>
      <c r="E253" s="212" t="str">
        <f>COMPOSICIÓN!E253</f>
        <v>Pastina Klaukol x 1kg - Alta performance</v>
      </c>
      <c r="F253" s="212" t="str">
        <f>COMPOSICIÓN!F253</f>
        <v>u</v>
      </c>
      <c r="G253" s="213">
        <f>COMPOSICIÓN!G253</f>
        <v>0.2</v>
      </c>
      <c r="H253" s="214">
        <f>COMPOSICIÓN!H253</f>
        <v>0.05</v>
      </c>
      <c r="I253" s="215">
        <f>COMPOSICIÓN!I253</f>
        <v>3214.35</v>
      </c>
      <c r="J253" s="212" t="str">
        <f>IFERROR(VLOOKUP(A253,PARTIDAS!$A$2:$C$269,3,FALSE()),"")</f>
        <v>PISOS</v>
      </c>
      <c r="K253" s="212" t="str">
        <f>IFERROR(INDEX(PPTO_GENERADOR!$B$4:$B$220,MATCH(A253,PPTO_GENERADOR!$Q$4:$Q$220,0)),"")</f>
        <v>PISOS</v>
      </c>
      <c r="L253" s="216">
        <f>IF(PLAN_ETAPA!$C$4="(TODOS)",SUMIFS(PPTO_GENERADOR!$E$4:$E$220,PPTO_GENERADOR!$Q$4:$Q$220,A253),SUMIFS(PPTO_GENERADOR!$E$4:$E$220,PPTO_GENERADOR!$Q$4:$Q$220,A253,PPTO_GENERADOR!$B$4:$B$220,PLAN_ETAPA!$C$4))</f>
        <v>0</v>
      </c>
      <c r="M253" s="216">
        <f>IFERROR(VLOOKUP(A253,PARTIDAS!$A$2:$F$269,6,FALSE()),1)</f>
        <v>13</v>
      </c>
      <c r="N253" s="216">
        <f>IFERROR(VLOOKUP(A253,PARTIDAS!$A$2:$I$269,9,FALSE()),1)</f>
        <v>1</v>
      </c>
      <c r="O253" s="217">
        <f t="shared" si="6"/>
        <v>0</v>
      </c>
      <c r="P253" s="216">
        <f>IF(O253=0,0,IF(B253="MAT",G253*(1+H253)*L253*PLAN_ETAPA!$C$5,IF(B253="MO",IF(M253=0,0,G253*L253*PLAN_ETAPA!$C$5*N253/M253),IF(B253="EQ",IF(M253=0,0,G253*L253*PLAN_ETAPA!$C$5/M253),0))))</f>
        <v>0</v>
      </c>
      <c r="Q253" s="218">
        <f t="shared" si="7"/>
        <v>0</v>
      </c>
    </row>
    <row r="254" spans="1:17" x14ac:dyDescent="0.35">
      <c r="A254" s="212" t="str">
        <f>COMPOSICIÓN!A254</f>
        <v>COL-056</v>
      </c>
      <c r="B254" s="212" t="str">
        <f>COMPOSICIÓN!B254</f>
        <v>MAT</v>
      </c>
      <c r="C254" s="212" t="str">
        <f>COMPOSICIÓN!C254</f>
        <v>COR</v>
      </c>
      <c r="D254" s="212" t="str">
        <f>COMPOSICIÓN!D254</f>
        <v>OTR-025</v>
      </c>
      <c r="E254" s="212" t="str">
        <f>COMPOSICIÓN!E254</f>
        <v>Trapo</v>
      </c>
      <c r="F254" s="212" t="str">
        <f>COMPOSICIÓN!F254</f>
        <v>u</v>
      </c>
      <c r="G254" s="213">
        <f>COMPOSICIÓN!G254</f>
        <v>0.01</v>
      </c>
      <c r="H254" s="214">
        <f>COMPOSICIÓN!H254</f>
        <v>0.03</v>
      </c>
      <c r="I254" s="215">
        <f>COMPOSICIÓN!I254</f>
        <v>735.06</v>
      </c>
      <c r="J254" s="212" t="str">
        <f>IFERROR(VLOOKUP(A254,PARTIDAS!$A$2:$C$269,3,FALSE()),"")</f>
        <v>PISOS</v>
      </c>
      <c r="K254" s="212" t="str">
        <f>IFERROR(INDEX(PPTO_GENERADOR!$B$4:$B$220,MATCH(A254,PPTO_GENERADOR!$Q$4:$Q$220,0)),"")</f>
        <v>PISOS</v>
      </c>
      <c r="L254" s="216">
        <f>IF(PLAN_ETAPA!$C$4="(TODOS)",SUMIFS(PPTO_GENERADOR!$E$4:$E$220,PPTO_GENERADOR!$Q$4:$Q$220,A254),SUMIFS(PPTO_GENERADOR!$E$4:$E$220,PPTO_GENERADOR!$Q$4:$Q$220,A254,PPTO_GENERADOR!$B$4:$B$220,PLAN_ETAPA!$C$4))</f>
        <v>0</v>
      </c>
      <c r="M254" s="216">
        <f>IFERROR(VLOOKUP(A254,PARTIDAS!$A$2:$F$269,6,FALSE()),1)</f>
        <v>13</v>
      </c>
      <c r="N254" s="216">
        <f>IFERROR(VLOOKUP(A254,PARTIDAS!$A$2:$I$269,9,FALSE()),1)</f>
        <v>1</v>
      </c>
      <c r="O254" s="217">
        <f t="shared" si="6"/>
        <v>0</v>
      </c>
      <c r="P254" s="216">
        <f>IF(O254=0,0,IF(B254="MAT",G254*(1+H254)*L254*PLAN_ETAPA!$C$5,IF(B254="MO",IF(M254=0,0,G254*L254*PLAN_ETAPA!$C$5*N254/M254),IF(B254="EQ",IF(M254=0,0,G254*L254*PLAN_ETAPA!$C$5/M254),0))))</f>
        <v>0</v>
      </c>
      <c r="Q254" s="218">
        <f t="shared" si="7"/>
        <v>0</v>
      </c>
    </row>
    <row r="255" spans="1:17" x14ac:dyDescent="0.35">
      <c r="A255" s="212" t="str">
        <f>COMPOSICIÓN!A255</f>
        <v>COL-056</v>
      </c>
      <c r="B255" s="212" t="str">
        <f>COMPOSICIÓN!B255</f>
        <v>MAT</v>
      </c>
      <c r="C255" s="212" t="str">
        <f>COMPOSICIÓN!C255</f>
        <v>COR</v>
      </c>
      <c r="D255" s="212" t="str">
        <f>COMPOSICIÓN!D255</f>
        <v>OTR-046</v>
      </c>
      <c r="E255" s="212" t="str">
        <f>COMPOSICIÓN!E255</f>
        <v>Disco Diamantado Aliafor Turbo Fino TRF</v>
      </c>
      <c r="F255" s="212" t="str">
        <f>COMPOSICIÓN!F255</f>
        <v>u</v>
      </c>
      <c r="G255" s="213">
        <f>COMPOSICIÓN!G255</f>
        <v>4.0000000000000001E-3</v>
      </c>
      <c r="H255" s="214">
        <f>COMPOSICIÓN!H255</f>
        <v>0.05</v>
      </c>
      <c r="I255" s="215">
        <f>COMPOSICIÓN!I255</f>
        <v>20237</v>
      </c>
      <c r="J255" s="212" t="str">
        <f>IFERROR(VLOOKUP(A255,PARTIDAS!$A$2:$C$269,3,FALSE()),"")</f>
        <v>PISOS</v>
      </c>
      <c r="K255" s="212" t="str">
        <f>IFERROR(INDEX(PPTO_GENERADOR!$B$4:$B$220,MATCH(A255,PPTO_GENERADOR!$Q$4:$Q$220,0)),"")</f>
        <v>PISOS</v>
      </c>
      <c r="L255" s="216">
        <f>IF(PLAN_ETAPA!$C$4="(TODOS)",SUMIFS(PPTO_GENERADOR!$E$4:$E$220,PPTO_GENERADOR!$Q$4:$Q$220,A255),SUMIFS(PPTO_GENERADOR!$E$4:$E$220,PPTO_GENERADOR!$Q$4:$Q$220,A255,PPTO_GENERADOR!$B$4:$B$220,PLAN_ETAPA!$C$4))</f>
        <v>0</v>
      </c>
      <c r="M255" s="216">
        <f>IFERROR(VLOOKUP(A255,PARTIDAS!$A$2:$F$269,6,FALSE()),1)</f>
        <v>13</v>
      </c>
      <c r="N255" s="216">
        <f>IFERROR(VLOOKUP(A255,PARTIDAS!$A$2:$I$269,9,FALSE()),1)</f>
        <v>1</v>
      </c>
      <c r="O255" s="217">
        <f t="shared" si="6"/>
        <v>0</v>
      </c>
      <c r="P255" s="216">
        <f>IF(O255=0,0,IF(B255="MAT",G255*(1+H255)*L255*PLAN_ETAPA!$C$5,IF(B255="MO",IF(M255=0,0,G255*L255*PLAN_ETAPA!$C$5*N255/M255),IF(B255="EQ",IF(M255=0,0,G255*L255*PLAN_ETAPA!$C$5/M255),0))))</f>
        <v>0</v>
      </c>
      <c r="Q255" s="218">
        <f t="shared" si="7"/>
        <v>0</v>
      </c>
    </row>
    <row r="256" spans="1:17" x14ac:dyDescent="0.35">
      <c r="A256" s="212" t="str">
        <f>COMPOSICIÓN!A256</f>
        <v>COL-056</v>
      </c>
      <c r="B256" s="212" t="str">
        <f>COMPOSICIÓN!B256</f>
        <v>MAT</v>
      </c>
      <c r="C256" s="212" t="str">
        <f>COMPOSICIÓN!C256</f>
        <v>COR</v>
      </c>
      <c r="D256" s="212" t="str">
        <f>COMPOSICIÓN!D256</f>
        <v>REV-012</v>
      </c>
      <c r="E256" s="212" t="str">
        <f>COMPOSICIÓN!E256</f>
        <v>Arco y cuña niveladores porcelanatos x 150 un</v>
      </c>
      <c r="F256" s="212" t="str">
        <f>COMPOSICIÓN!F256</f>
        <v>b</v>
      </c>
      <c r="G256" s="213">
        <f>COMPOSICIÓN!G256</f>
        <v>0.04</v>
      </c>
      <c r="H256" s="214">
        <f>COMPOSICIÓN!H256</f>
        <v>0.05</v>
      </c>
      <c r="I256" s="215">
        <f>COMPOSICIÓN!I256</f>
        <v>44669.4214876033</v>
      </c>
      <c r="J256" s="212" t="str">
        <f>IFERROR(VLOOKUP(A256,PARTIDAS!$A$2:$C$269,3,FALSE()),"")</f>
        <v>PISOS</v>
      </c>
      <c r="K256" s="212" t="str">
        <f>IFERROR(INDEX(PPTO_GENERADOR!$B$4:$B$220,MATCH(A256,PPTO_GENERADOR!$Q$4:$Q$220,0)),"")</f>
        <v>PISOS</v>
      </c>
      <c r="L256" s="216">
        <f>IF(PLAN_ETAPA!$C$4="(TODOS)",SUMIFS(PPTO_GENERADOR!$E$4:$E$220,PPTO_GENERADOR!$Q$4:$Q$220,A256),SUMIFS(PPTO_GENERADOR!$E$4:$E$220,PPTO_GENERADOR!$Q$4:$Q$220,A256,PPTO_GENERADOR!$B$4:$B$220,PLAN_ETAPA!$C$4))</f>
        <v>0</v>
      </c>
      <c r="M256" s="216">
        <f>IFERROR(VLOOKUP(A256,PARTIDAS!$A$2:$F$269,6,FALSE()),1)</f>
        <v>13</v>
      </c>
      <c r="N256" s="216">
        <f>IFERROR(VLOOKUP(A256,PARTIDAS!$A$2:$I$269,9,FALSE()),1)</f>
        <v>1</v>
      </c>
      <c r="O256" s="217">
        <f t="shared" si="6"/>
        <v>0</v>
      </c>
      <c r="P256" s="216">
        <f>IF(O256=0,0,IF(B256="MAT",G256*(1+H256)*L256*PLAN_ETAPA!$C$5,IF(B256="MO",IF(M256=0,0,G256*L256*PLAN_ETAPA!$C$5*N256/M256),IF(B256="EQ",IF(M256=0,0,G256*L256*PLAN_ETAPA!$C$5/M256),0))))</f>
        <v>0</v>
      </c>
      <c r="Q256" s="218">
        <f t="shared" si="7"/>
        <v>0</v>
      </c>
    </row>
    <row r="257" spans="1:17" x14ac:dyDescent="0.35">
      <c r="A257" s="212" t="str">
        <f>COMPOSICIÓN!A257</f>
        <v>COL-056</v>
      </c>
      <c r="B257" s="212" t="str">
        <f>COMPOSICIÓN!B257</f>
        <v>MO</v>
      </c>
      <c r="C257" s="212" t="str">
        <f>COMPOSICIÓN!C257</f>
        <v>ALB</v>
      </c>
      <c r="D257" s="212" t="str">
        <f>COMPOSICIÓN!D257</f>
        <v>MO-EMEDI</v>
      </c>
      <c r="E257" s="212" t="str">
        <f>COMPOSICIÓN!E257</f>
        <v>MEDIO OFICIAL</v>
      </c>
      <c r="F257" s="212" t="str">
        <f>COMPOSICIÓN!F257</f>
        <v>j</v>
      </c>
      <c r="G257" s="213">
        <f>COMPOSICIÓN!G257</f>
        <v>1</v>
      </c>
      <c r="H257" s="214">
        <f>COMPOSICIÓN!H257</f>
        <v>0</v>
      </c>
      <c r="I257" s="215">
        <f>COMPOSICIÓN!I257</f>
        <v>65493.071636572</v>
      </c>
      <c r="J257" s="212" t="str">
        <f>IFERROR(VLOOKUP(A257,PARTIDAS!$A$2:$C$269,3,FALSE()),"")</f>
        <v>PISOS</v>
      </c>
      <c r="K257" s="212" t="str">
        <f>IFERROR(INDEX(PPTO_GENERADOR!$B$4:$B$220,MATCH(A257,PPTO_GENERADOR!$Q$4:$Q$220,0)),"")</f>
        <v>PISOS</v>
      </c>
      <c r="L257" s="216">
        <f>IF(PLAN_ETAPA!$C$4="(TODOS)",SUMIFS(PPTO_GENERADOR!$E$4:$E$220,PPTO_GENERADOR!$Q$4:$Q$220,A257),SUMIFS(PPTO_GENERADOR!$E$4:$E$220,PPTO_GENERADOR!$Q$4:$Q$220,A257,PPTO_GENERADOR!$B$4:$B$220,PLAN_ETAPA!$C$4))</f>
        <v>0</v>
      </c>
      <c r="M257" s="216">
        <f>IFERROR(VLOOKUP(A257,PARTIDAS!$A$2:$F$269,6,FALSE()),1)</f>
        <v>13</v>
      </c>
      <c r="N257" s="216">
        <f>IFERROR(VLOOKUP(A257,PARTIDAS!$A$2:$I$269,9,FALSE()),1)</f>
        <v>1</v>
      </c>
      <c r="O257" s="217">
        <f t="shared" si="6"/>
        <v>0</v>
      </c>
      <c r="P257" s="216">
        <f>IF(O257=0,0,IF(B257="MAT",G257*(1+H257)*L257*PLAN_ETAPA!$C$5,IF(B257="MO",IF(M257=0,0,G257*L257*PLAN_ETAPA!$C$5*N257/M257),IF(B257="EQ",IF(M257=0,0,G257*L257*PLAN_ETAPA!$C$5/M257),0))))</f>
        <v>0</v>
      </c>
      <c r="Q257" s="218">
        <f t="shared" si="7"/>
        <v>0</v>
      </c>
    </row>
    <row r="258" spans="1:17" x14ac:dyDescent="0.35">
      <c r="A258" s="212" t="str">
        <f>COMPOSICIÓN!A258</f>
        <v>COL-056</v>
      </c>
      <c r="B258" s="212" t="str">
        <f>COMPOSICIÓN!B258</f>
        <v>MO</v>
      </c>
      <c r="C258" s="212" t="str">
        <f>COMPOSICIÓN!C258</f>
        <v>ALB</v>
      </c>
      <c r="D258" s="212" t="str">
        <f>COMPOSICIÓN!D258</f>
        <v>MO-EOFIC</v>
      </c>
      <c r="E258" s="212" t="str">
        <f>COMPOSICIÓN!E258</f>
        <v>OFICIAL</v>
      </c>
      <c r="F258" s="212" t="str">
        <f>COMPOSICIÓN!F258</f>
        <v>j</v>
      </c>
      <c r="G258" s="213">
        <f>COMPOSICIÓN!G258</f>
        <v>1</v>
      </c>
      <c r="H258" s="214">
        <f>COMPOSICIÓN!H258</f>
        <v>0</v>
      </c>
      <c r="I258" s="215">
        <f>COMPOSICIÓN!I258</f>
        <v>76955.079706571996</v>
      </c>
      <c r="J258" s="212" t="str">
        <f>IFERROR(VLOOKUP(A258,PARTIDAS!$A$2:$C$269,3,FALSE()),"")</f>
        <v>PISOS</v>
      </c>
      <c r="K258" s="212" t="str">
        <f>IFERROR(INDEX(PPTO_GENERADOR!$B$4:$B$220,MATCH(A258,PPTO_GENERADOR!$Q$4:$Q$220,0)),"")</f>
        <v>PISOS</v>
      </c>
      <c r="L258" s="216">
        <f>IF(PLAN_ETAPA!$C$4="(TODOS)",SUMIFS(PPTO_GENERADOR!$E$4:$E$220,PPTO_GENERADOR!$Q$4:$Q$220,A258),SUMIFS(PPTO_GENERADOR!$E$4:$E$220,PPTO_GENERADOR!$Q$4:$Q$220,A258,PPTO_GENERADOR!$B$4:$B$220,PLAN_ETAPA!$C$4))</f>
        <v>0</v>
      </c>
      <c r="M258" s="216">
        <f>IFERROR(VLOOKUP(A258,PARTIDAS!$A$2:$F$269,6,FALSE()),1)</f>
        <v>13</v>
      </c>
      <c r="N258" s="216">
        <f>IFERROR(VLOOKUP(A258,PARTIDAS!$A$2:$I$269,9,FALSE()),1)</f>
        <v>1</v>
      </c>
      <c r="O258" s="217">
        <f t="shared" ref="O258:O321" si="8">IF(L258&gt;0,1,0)</f>
        <v>0</v>
      </c>
      <c r="P258" s="216">
        <f>IF(O258=0,0,IF(B258="MAT",G258*(1+H258)*L258*PLAN_ETAPA!$C$5,IF(B258="MO",IF(M258=0,0,G258*L258*PLAN_ETAPA!$C$5*N258/M258),IF(B258="EQ",IF(M258=0,0,G258*L258*PLAN_ETAPA!$C$5/M258),0))))</f>
        <v>0</v>
      </c>
      <c r="Q258" s="218">
        <f t="shared" ref="Q258:Q321" si="9">P258*I258</f>
        <v>0</v>
      </c>
    </row>
    <row r="259" spans="1:17" x14ac:dyDescent="0.35">
      <c r="A259" s="212" t="str">
        <f>COMPOSICIÓN!A259</f>
        <v>COL-057</v>
      </c>
      <c r="B259" s="212" t="str">
        <f>COMPOSICIÓN!B259</f>
        <v>EQ</v>
      </c>
      <c r="C259" s="212">
        <f>COMPOSICIÓN!C259</f>
        <v>0</v>
      </c>
      <c r="D259" s="212" t="str">
        <f>COMPOSICIÓN!D259</f>
        <v>EQ-CORTA</v>
      </c>
      <c r="E259" s="212" t="str">
        <f>COMPOSICIÓN!E259</f>
        <v>CORTADORA CERAMICA PROFESIONAL 1200MM (PORCELANATO HASTA 16MM)</v>
      </c>
      <c r="F259" s="212">
        <f>COMPOSICIÓN!F259</f>
        <v>0</v>
      </c>
      <c r="G259" s="213">
        <f>COMPOSICIÓN!G259</f>
        <v>1</v>
      </c>
      <c r="H259" s="214">
        <f>COMPOSICIÓN!H259</f>
        <v>0</v>
      </c>
      <c r="I259" s="215">
        <f>COMPOSICIÓN!I259</f>
        <v>298.42384358082836</v>
      </c>
      <c r="J259" s="212" t="str">
        <f>IFERROR(VLOOKUP(A259,PARTIDAS!$A$2:$C$269,3,FALSE()),"")</f>
        <v>PISOS</v>
      </c>
      <c r="K259" s="212" t="str">
        <f>IFERROR(INDEX(PPTO_GENERADOR!$B$4:$B$220,MATCH(A259,PPTO_GENERADOR!$Q$4:$Q$220,0)),"")</f>
        <v>PISOS</v>
      </c>
      <c r="L259" s="216">
        <f>IF(PLAN_ETAPA!$C$4="(TODOS)",SUMIFS(PPTO_GENERADOR!$E$4:$E$220,PPTO_GENERADOR!$Q$4:$Q$220,A259),SUMIFS(PPTO_GENERADOR!$E$4:$E$220,PPTO_GENERADOR!$Q$4:$Q$220,A259,PPTO_GENERADOR!$B$4:$B$220,PLAN_ETAPA!$C$4))</f>
        <v>0</v>
      </c>
      <c r="M259" s="216">
        <f>IFERROR(VLOOKUP(A259,PARTIDAS!$A$2:$F$269,6,FALSE()),1)</f>
        <v>10</v>
      </c>
      <c r="N259" s="216">
        <f>IFERROR(VLOOKUP(A259,PARTIDAS!$A$2:$I$269,9,FALSE()),1)</f>
        <v>1</v>
      </c>
      <c r="O259" s="217">
        <f t="shared" si="8"/>
        <v>0</v>
      </c>
      <c r="P259" s="216">
        <f>IF(O259=0,0,IF(B259="MAT",G259*(1+H259)*L259*PLAN_ETAPA!$C$5,IF(B259="MO",IF(M259=0,0,G259*L259*PLAN_ETAPA!$C$5*N259/M259),IF(B259="EQ",IF(M259=0,0,G259*L259*PLAN_ETAPA!$C$5/M259),0))))</f>
        <v>0</v>
      </c>
      <c r="Q259" s="218">
        <f t="shared" si="9"/>
        <v>0</v>
      </c>
    </row>
    <row r="260" spans="1:17" x14ac:dyDescent="0.35">
      <c r="A260" s="212" t="str">
        <f>COMPOSICIÓN!A260</f>
        <v>COL-057</v>
      </c>
      <c r="B260" s="212" t="str">
        <f>COMPOSICIÓN!B260</f>
        <v>EQ</v>
      </c>
      <c r="C260" s="212">
        <f>COMPOSICIÓN!C260</f>
        <v>0</v>
      </c>
      <c r="D260" s="212" t="str">
        <f>COMPOSICIÓN!D260</f>
        <v>EQ-EQCERA</v>
      </c>
      <c r="E260" s="212" t="str">
        <f>COMPOSICIÓN!E260</f>
        <v>EQUIPO PARA COLOCACION DE CERAMICA</v>
      </c>
      <c r="F260" s="212">
        <f>COMPOSICIÓN!F260</f>
        <v>0</v>
      </c>
      <c r="G260" s="213">
        <f>COMPOSICIÓN!G260</f>
        <v>1</v>
      </c>
      <c r="H260" s="214">
        <f>COMPOSICIÓN!H260</f>
        <v>0</v>
      </c>
      <c r="I260" s="215">
        <f>COMPOSICIÓN!I260</f>
        <v>2637.1418444899073</v>
      </c>
      <c r="J260" s="212" t="str">
        <f>IFERROR(VLOOKUP(A260,PARTIDAS!$A$2:$C$269,3,FALSE()),"")</f>
        <v>PISOS</v>
      </c>
      <c r="K260" s="212" t="str">
        <f>IFERROR(INDEX(PPTO_GENERADOR!$B$4:$B$220,MATCH(A260,PPTO_GENERADOR!$Q$4:$Q$220,0)),"")</f>
        <v>PISOS</v>
      </c>
      <c r="L260" s="216">
        <f>IF(PLAN_ETAPA!$C$4="(TODOS)",SUMIFS(PPTO_GENERADOR!$E$4:$E$220,PPTO_GENERADOR!$Q$4:$Q$220,A260),SUMIFS(PPTO_GENERADOR!$E$4:$E$220,PPTO_GENERADOR!$Q$4:$Q$220,A260,PPTO_GENERADOR!$B$4:$B$220,PLAN_ETAPA!$C$4))</f>
        <v>0</v>
      </c>
      <c r="M260" s="216">
        <f>IFERROR(VLOOKUP(A260,PARTIDAS!$A$2:$F$269,6,FALSE()),1)</f>
        <v>10</v>
      </c>
      <c r="N260" s="216">
        <f>IFERROR(VLOOKUP(A260,PARTIDAS!$A$2:$I$269,9,FALSE()),1)</f>
        <v>1</v>
      </c>
      <c r="O260" s="217">
        <f t="shared" si="8"/>
        <v>0</v>
      </c>
      <c r="P260" s="216">
        <f>IF(O260=0,0,IF(B260="MAT",G260*(1+H260)*L260*PLAN_ETAPA!$C$5,IF(B260="MO",IF(M260=0,0,G260*L260*PLAN_ETAPA!$C$5*N260/M260),IF(B260="EQ",IF(M260=0,0,G260*L260*PLAN_ETAPA!$C$5/M260),0))))</f>
        <v>0</v>
      </c>
      <c r="Q260" s="218">
        <f t="shared" si="9"/>
        <v>0</v>
      </c>
    </row>
    <row r="261" spans="1:17" x14ac:dyDescent="0.35">
      <c r="A261" s="212" t="str">
        <f>COMPOSICIÓN!A261</f>
        <v>COL-057</v>
      </c>
      <c r="B261" s="212" t="str">
        <f>COMPOSICIÓN!B261</f>
        <v>MAT</v>
      </c>
      <c r="C261" s="212" t="str">
        <f>COMPOSICIÓN!C261</f>
        <v>COR</v>
      </c>
      <c r="D261" s="212" t="str">
        <f>COMPOSICIÓN!D261</f>
        <v>ADH-001</v>
      </c>
      <c r="E261" s="212" t="str">
        <f>COMPOSICIÓN!E261</f>
        <v>Adhesivo Klaukol Porcellanato Fluido x 30Kg</v>
      </c>
      <c r="F261" s="212" t="str">
        <f>COMPOSICIÓN!F261</f>
        <v>bol</v>
      </c>
      <c r="G261" s="213">
        <f>COMPOSICIÓN!G261</f>
        <v>0.2</v>
      </c>
      <c r="H261" s="214">
        <f>COMPOSICIÓN!H261</f>
        <v>0.2</v>
      </c>
      <c r="I261" s="215">
        <f>COMPOSICIÓN!I261</f>
        <v>18802.511999999999</v>
      </c>
      <c r="J261" s="212" t="str">
        <f>IFERROR(VLOOKUP(A261,PARTIDAS!$A$2:$C$269,3,FALSE()),"")</f>
        <v>PISOS</v>
      </c>
      <c r="K261" s="212" t="str">
        <f>IFERROR(INDEX(PPTO_GENERADOR!$B$4:$B$220,MATCH(A261,PPTO_GENERADOR!$Q$4:$Q$220,0)),"")</f>
        <v>PISOS</v>
      </c>
      <c r="L261" s="216">
        <f>IF(PLAN_ETAPA!$C$4="(TODOS)",SUMIFS(PPTO_GENERADOR!$E$4:$E$220,PPTO_GENERADOR!$Q$4:$Q$220,A261),SUMIFS(PPTO_GENERADOR!$E$4:$E$220,PPTO_GENERADOR!$Q$4:$Q$220,A261,PPTO_GENERADOR!$B$4:$B$220,PLAN_ETAPA!$C$4))</f>
        <v>0</v>
      </c>
      <c r="M261" s="216">
        <f>IFERROR(VLOOKUP(A261,PARTIDAS!$A$2:$F$269,6,FALSE()),1)</f>
        <v>10</v>
      </c>
      <c r="N261" s="216">
        <f>IFERROR(VLOOKUP(A261,PARTIDAS!$A$2:$I$269,9,FALSE()),1)</f>
        <v>1</v>
      </c>
      <c r="O261" s="217">
        <f t="shared" si="8"/>
        <v>0</v>
      </c>
      <c r="P261" s="216">
        <f>IF(O261=0,0,IF(B261="MAT",G261*(1+H261)*L261*PLAN_ETAPA!$C$5,IF(B261="MO",IF(M261=0,0,G261*L261*PLAN_ETAPA!$C$5*N261/M261),IF(B261="EQ",IF(M261=0,0,G261*L261*PLAN_ETAPA!$C$5/M261),0))))</f>
        <v>0</v>
      </c>
      <c r="Q261" s="218">
        <f t="shared" si="9"/>
        <v>0</v>
      </c>
    </row>
    <row r="262" spans="1:17" x14ac:dyDescent="0.35">
      <c r="A262" s="212" t="str">
        <f>COMPOSICIÓN!A262</f>
        <v>COL-057</v>
      </c>
      <c r="B262" s="212" t="str">
        <f>COMPOSICIÓN!B262</f>
        <v>MAT</v>
      </c>
      <c r="C262" s="212" t="str">
        <f>COMPOSICIÓN!C262</f>
        <v>COR</v>
      </c>
      <c r="D262" s="212" t="str">
        <f>COMPOSICIÓN!D262</f>
        <v>ADH-003</v>
      </c>
      <c r="E262" s="212" t="str">
        <f>COMPOSICIÓN!E262</f>
        <v>Pastina Klaukol x 1kg - Alta performance</v>
      </c>
      <c r="F262" s="212" t="str">
        <f>COMPOSICIÓN!F262</f>
        <v>u</v>
      </c>
      <c r="G262" s="213">
        <f>COMPOSICIÓN!G262</f>
        <v>0.2</v>
      </c>
      <c r="H262" s="214">
        <f>COMPOSICIÓN!H262</f>
        <v>0.05</v>
      </c>
      <c r="I262" s="215">
        <f>COMPOSICIÓN!I262</f>
        <v>3214.35</v>
      </c>
      <c r="J262" s="212" t="str">
        <f>IFERROR(VLOOKUP(A262,PARTIDAS!$A$2:$C$269,3,FALSE()),"")</f>
        <v>PISOS</v>
      </c>
      <c r="K262" s="212" t="str">
        <f>IFERROR(INDEX(PPTO_GENERADOR!$B$4:$B$220,MATCH(A262,PPTO_GENERADOR!$Q$4:$Q$220,0)),"")</f>
        <v>PISOS</v>
      </c>
      <c r="L262" s="216">
        <f>IF(PLAN_ETAPA!$C$4="(TODOS)",SUMIFS(PPTO_GENERADOR!$E$4:$E$220,PPTO_GENERADOR!$Q$4:$Q$220,A262),SUMIFS(PPTO_GENERADOR!$E$4:$E$220,PPTO_GENERADOR!$Q$4:$Q$220,A262,PPTO_GENERADOR!$B$4:$B$220,PLAN_ETAPA!$C$4))</f>
        <v>0</v>
      </c>
      <c r="M262" s="216">
        <f>IFERROR(VLOOKUP(A262,PARTIDAS!$A$2:$F$269,6,FALSE()),1)</f>
        <v>10</v>
      </c>
      <c r="N262" s="216">
        <f>IFERROR(VLOOKUP(A262,PARTIDAS!$A$2:$I$269,9,FALSE()),1)</f>
        <v>1</v>
      </c>
      <c r="O262" s="217">
        <f t="shared" si="8"/>
        <v>0</v>
      </c>
      <c r="P262" s="216">
        <f>IF(O262=0,0,IF(B262="MAT",G262*(1+H262)*L262*PLAN_ETAPA!$C$5,IF(B262="MO",IF(M262=0,0,G262*L262*PLAN_ETAPA!$C$5*N262/M262),IF(B262="EQ",IF(M262=0,0,G262*L262*PLAN_ETAPA!$C$5/M262),0))))</f>
        <v>0</v>
      </c>
      <c r="Q262" s="218">
        <f t="shared" si="9"/>
        <v>0</v>
      </c>
    </row>
    <row r="263" spans="1:17" x14ac:dyDescent="0.35">
      <c r="A263" s="212" t="str">
        <f>COMPOSICIÓN!A263</f>
        <v>COL-057</v>
      </c>
      <c r="B263" s="212" t="str">
        <f>COMPOSICIÓN!B263</f>
        <v>MAT</v>
      </c>
      <c r="C263" s="212" t="str">
        <f>COMPOSICIÓN!C263</f>
        <v>COR</v>
      </c>
      <c r="D263" s="212" t="str">
        <f>COMPOSICIÓN!D263</f>
        <v>OTR-025</v>
      </c>
      <c r="E263" s="212" t="str">
        <f>COMPOSICIÓN!E263</f>
        <v>Trapo</v>
      </c>
      <c r="F263" s="212" t="str">
        <f>COMPOSICIÓN!F263</f>
        <v>u</v>
      </c>
      <c r="G263" s="213">
        <f>COMPOSICIÓN!G263</f>
        <v>0.01</v>
      </c>
      <c r="H263" s="214">
        <f>COMPOSICIÓN!H263</f>
        <v>0.03</v>
      </c>
      <c r="I263" s="215">
        <f>COMPOSICIÓN!I263</f>
        <v>735.06</v>
      </c>
      <c r="J263" s="212" t="str">
        <f>IFERROR(VLOOKUP(A263,PARTIDAS!$A$2:$C$269,3,FALSE()),"")</f>
        <v>PISOS</v>
      </c>
      <c r="K263" s="212" t="str">
        <f>IFERROR(INDEX(PPTO_GENERADOR!$B$4:$B$220,MATCH(A263,PPTO_GENERADOR!$Q$4:$Q$220,0)),"")</f>
        <v>PISOS</v>
      </c>
      <c r="L263" s="216">
        <f>IF(PLAN_ETAPA!$C$4="(TODOS)",SUMIFS(PPTO_GENERADOR!$E$4:$E$220,PPTO_GENERADOR!$Q$4:$Q$220,A263),SUMIFS(PPTO_GENERADOR!$E$4:$E$220,PPTO_GENERADOR!$Q$4:$Q$220,A263,PPTO_GENERADOR!$B$4:$B$220,PLAN_ETAPA!$C$4))</f>
        <v>0</v>
      </c>
      <c r="M263" s="216">
        <f>IFERROR(VLOOKUP(A263,PARTIDAS!$A$2:$F$269,6,FALSE()),1)</f>
        <v>10</v>
      </c>
      <c r="N263" s="216">
        <f>IFERROR(VLOOKUP(A263,PARTIDAS!$A$2:$I$269,9,FALSE()),1)</f>
        <v>1</v>
      </c>
      <c r="O263" s="217">
        <f t="shared" si="8"/>
        <v>0</v>
      </c>
      <c r="P263" s="216">
        <f>IF(O263=0,0,IF(B263="MAT",G263*(1+H263)*L263*PLAN_ETAPA!$C$5,IF(B263="MO",IF(M263=0,0,G263*L263*PLAN_ETAPA!$C$5*N263/M263),IF(B263="EQ",IF(M263=0,0,G263*L263*PLAN_ETAPA!$C$5/M263),0))))</f>
        <v>0</v>
      </c>
      <c r="Q263" s="218">
        <f t="shared" si="9"/>
        <v>0</v>
      </c>
    </row>
    <row r="264" spans="1:17" x14ac:dyDescent="0.35">
      <c r="A264" s="212" t="str">
        <f>COMPOSICIÓN!A264</f>
        <v>COL-057</v>
      </c>
      <c r="B264" s="212" t="str">
        <f>COMPOSICIÓN!B264</f>
        <v>MAT</v>
      </c>
      <c r="C264" s="212" t="str">
        <f>COMPOSICIÓN!C264</f>
        <v>COR</v>
      </c>
      <c r="D264" s="212" t="str">
        <f>COMPOSICIÓN!D264</f>
        <v>OTR-046</v>
      </c>
      <c r="E264" s="212" t="str">
        <f>COMPOSICIÓN!E264</f>
        <v>Disco Diamantado Aliafor Turbo Fino TRF</v>
      </c>
      <c r="F264" s="212" t="str">
        <f>COMPOSICIÓN!F264</f>
        <v>u</v>
      </c>
      <c r="G264" s="213">
        <f>COMPOSICIÓN!G264</f>
        <v>4.0000000000000001E-3</v>
      </c>
      <c r="H264" s="214">
        <f>COMPOSICIÓN!H264</f>
        <v>0.05</v>
      </c>
      <c r="I264" s="215">
        <f>COMPOSICIÓN!I264</f>
        <v>20237</v>
      </c>
      <c r="J264" s="212" t="str">
        <f>IFERROR(VLOOKUP(A264,PARTIDAS!$A$2:$C$269,3,FALSE()),"")</f>
        <v>PISOS</v>
      </c>
      <c r="K264" s="212" t="str">
        <f>IFERROR(INDEX(PPTO_GENERADOR!$B$4:$B$220,MATCH(A264,PPTO_GENERADOR!$Q$4:$Q$220,0)),"")</f>
        <v>PISOS</v>
      </c>
      <c r="L264" s="216">
        <f>IF(PLAN_ETAPA!$C$4="(TODOS)",SUMIFS(PPTO_GENERADOR!$E$4:$E$220,PPTO_GENERADOR!$Q$4:$Q$220,A264),SUMIFS(PPTO_GENERADOR!$E$4:$E$220,PPTO_GENERADOR!$Q$4:$Q$220,A264,PPTO_GENERADOR!$B$4:$B$220,PLAN_ETAPA!$C$4))</f>
        <v>0</v>
      </c>
      <c r="M264" s="216">
        <f>IFERROR(VLOOKUP(A264,PARTIDAS!$A$2:$F$269,6,FALSE()),1)</f>
        <v>10</v>
      </c>
      <c r="N264" s="216">
        <f>IFERROR(VLOOKUP(A264,PARTIDAS!$A$2:$I$269,9,FALSE()),1)</f>
        <v>1</v>
      </c>
      <c r="O264" s="217">
        <f t="shared" si="8"/>
        <v>0</v>
      </c>
      <c r="P264" s="216">
        <f>IF(O264=0,0,IF(B264="MAT",G264*(1+H264)*L264*PLAN_ETAPA!$C$5,IF(B264="MO",IF(M264=0,0,G264*L264*PLAN_ETAPA!$C$5*N264/M264),IF(B264="EQ",IF(M264=0,0,G264*L264*PLAN_ETAPA!$C$5/M264),0))))</f>
        <v>0</v>
      </c>
      <c r="Q264" s="218">
        <f t="shared" si="9"/>
        <v>0</v>
      </c>
    </row>
    <row r="265" spans="1:17" x14ac:dyDescent="0.35">
      <c r="A265" s="212" t="str">
        <f>COMPOSICIÓN!A265</f>
        <v>COL-057</v>
      </c>
      <c r="B265" s="212" t="str">
        <f>COMPOSICIÓN!B265</f>
        <v>MAT</v>
      </c>
      <c r="C265" s="212" t="str">
        <f>COMPOSICIÓN!C265</f>
        <v>COR</v>
      </c>
      <c r="D265" s="212" t="str">
        <f>COMPOSICIÓN!D265</f>
        <v>REV-012</v>
      </c>
      <c r="E265" s="212" t="str">
        <f>COMPOSICIÓN!E265</f>
        <v>Arco y cuña niveladores porcelanatos x 150 un</v>
      </c>
      <c r="F265" s="212" t="str">
        <f>COMPOSICIÓN!F265</f>
        <v>b</v>
      </c>
      <c r="G265" s="213">
        <f>COMPOSICIÓN!G265</f>
        <v>0.04</v>
      </c>
      <c r="H265" s="214">
        <f>COMPOSICIÓN!H265</f>
        <v>0.05</v>
      </c>
      <c r="I265" s="215">
        <f>COMPOSICIÓN!I265</f>
        <v>44669.4214876033</v>
      </c>
      <c r="J265" s="212" t="str">
        <f>IFERROR(VLOOKUP(A265,PARTIDAS!$A$2:$C$269,3,FALSE()),"")</f>
        <v>PISOS</v>
      </c>
      <c r="K265" s="212" t="str">
        <f>IFERROR(INDEX(PPTO_GENERADOR!$B$4:$B$220,MATCH(A265,PPTO_GENERADOR!$Q$4:$Q$220,0)),"")</f>
        <v>PISOS</v>
      </c>
      <c r="L265" s="216">
        <f>IF(PLAN_ETAPA!$C$4="(TODOS)",SUMIFS(PPTO_GENERADOR!$E$4:$E$220,PPTO_GENERADOR!$Q$4:$Q$220,A265),SUMIFS(PPTO_GENERADOR!$E$4:$E$220,PPTO_GENERADOR!$Q$4:$Q$220,A265,PPTO_GENERADOR!$B$4:$B$220,PLAN_ETAPA!$C$4))</f>
        <v>0</v>
      </c>
      <c r="M265" s="216">
        <f>IFERROR(VLOOKUP(A265,PARTIDAS!$A$2:$F$269,6,FALSE()),1)</f>
        <v>10</v>
      </c>
      <c r="N265" s="216">
        <f>IFERROR(VLOOKUP(A265,PARTIDAS!$A$2:$I$269,9,FALSE()),1)</f>
        <v>1</v>
      </c>
      <c r="O265" s="217">
        <f t="shared" si="8"/>
        <v>0</v>
      </c>
      <c r="P265" s="216">
        <f>IF(O265=0,0,IF(B265="MAT",G265*(1+H265)*L265*PLAN_ETAPA!$C$5,IF(B265="MO",IF(M265=0,0,G265*L265*PLAN_ETAPA!$C$5*N265/M265),IF(B265="EQ",IF(M265=0,0,G265*L265*PLAN_ETAPA!$C$5/M265),0))))</f>
        <v>0</v>
      </c>
      <c r="Q265" s="218">
        <f t="shared" si="9"/>
        <v>0</v>
      </c>
    </row>
    <row r="266" spans="1:17" x14ac:dyDescent="0.35">
      <c r="A266" s="212" t="str">
        <f>COMPOSICIÓN!A266</f>
        <v>COL-057</v>
      </c>
      <c r="B266" s="212" t="str">
        <f>COMPOSICIÓN!B266</f>
        <v>MO</v>
      </c>
      <c r="C266" s="212" t="str">
        <f>COMPOSICIÓN!C266</f>
        <v>ALB</v>
      </c>
      <c r="D266" s="212" t="str">
        <f>COMPOSICIÓN!D266</f>
        <v>MO-EMEDI</v>
      </c>
      <c r="E266" s="212" t="str">
        <f>COMPOSICIÓN!E266</f>
        <v>MEDIO OFICIAL</v>
      </c>
      <c r="F266" s="212" t="str">
        <f>COMPOSICIÓN!F266</f>
        <v>j</v>
      </c>
      <c r="G266" s="213">
        <f>COMPOSICIÓN!G266</f>
        <v>1</v>
      </c>
      <c r="H266" s="214">
        <f>COMPOSICIÓN!H266</f>
        <v>0</v>
      </c>
      <c r="I266" s="215">
        <f>COMPOSICIÓN!I266</f>
        <v>65493.071636572</v>
      </c>
      <c r="J266" s="212" t="str">
        <f>IFERROR(VLOOKUP(A266,PARTIDAS!$A$2:$C$269,3,FALSE()),"")</f>
        <v>PISOS</v>
      </c>
      <c r="K266" s="212" t="str">
        <f>IFERROR(INDEX(PPTO_GENERADOR!$B$4:$B$220,MATCH(A266,PPTO_GENERADOR!$Q$4:$Q$220,0)),"")</f>
        <v>PISOS</v>
      </c>
      <c r="L266" s="216">
        <f>IF(PLAN_ETAPA!$C$4="(TODOS)",SUMIFS(PPTO_GENERADOR!$E$4:$E$220,PPTO_GENERADOR!$Q$4:$Q$220,A266),SUMIFS(PPTO_GENERADOR!$E$4:$E$220,PPTO_GENERADOR!$Q$4:$Q$220,A266,PPTO_GENERADOR!$B$4:$B$220,PLAN_ETAPA!$C$4))</f>
        <v>0</v>
      </c>
      <c r="M266" s="216">
        <f>IFERROR(VLOOKUP(A266,PARTIDAS!$A$2:$F$269,6,FALSE()),1)</f>
        <v>10</v>
      </c>
      <c r="N266" s="216">
        <f>IFERROR(VLOOKUP(A266,PARTIDAS!$A$2:$I$269,9,FALSE()),1)</f>
        <v>1</v>
      </c>
      <c r="O266" s="217">
        <f t="shared" si="8"/>
        <v>0</v>
      </c>
      <c r="P266" s="216">
        <f>IF(O266=0,0,IF(B266="MAT",G266*(1+H266)*L266*PLAN_ETAPA!$C$5,IF(B266="MO",IF(M266=0,0,G266*L266*PLAN_ETAPA!$C$5*N266/M266),IF(B266="EQ",IF(M266=0,0,G266*L266*PLAN_ETAPA!$C$5/M266),0))))</f>
        <v>0</v>
      </c>
      <c r="Q266" s="218">
        <f t="shared" si="9"/>
        <v>0</v>
      </c>
    </row>
    <row r="267" spans="1:17" x14ac:dyDescent="0.35">
      <c r="A267" s="212" t="str">
        <f>COMPOSICIÓN!A267</f>
        <v>COL-057</v>
      </c>
      <c r="B267" s="212" t="str">
        <f>COMPOSICIÓN!B267</f>
        <v>MO</v>
      </c>
      <c r="C267" s="212" t="str">
        <f>COMPOSICIÓN!C267</f>
        <v>ALB</v>
      </c>
      <c r="D267" s="212" t="str">
        <f>COMPOSICIÓN!D267</f>
        <v>MO-EOFIC</v>
      </c>
      <c r="E267" s="212" t="str">
        <f>COMPOSICIÓN!E267</f>
        <v>OFICIAL</v>
      </c>
      <c r="F267" s="212" t="str">
        <f>COMPOSICIÓN!F267</f>
        <v>j</v>
      </c>
      <c r="G267" s="213">
        <f>COMPOSICIÓN!G267</f>
        <v>1</v>
      </c>
      <c r="H267" s="214">
        <f>COMPOSICIÓN!H267</f>
        <v>0</v>
      </c>
      <c r="I267" s="215">
        <f>COMPOSICIÓN!I267</f>
        <v>76955.079706571996</v>
      </c>
      <c r="J267" s="212" t="str">
        <f>IFERROR(VLOOKUP(A267,PARTIDAS!$A$2:$C$269,3,FALSE()),"")</f>
        <v>PISOS</v>
      </c>
      <c r="K267" s="212" t="str">
        <f>IFERROR(INDEX(PPTO_GENERADOR!$B$4:$B$220,MATCH(A267,PPTO_GENERADOR!$Q$4:$Q$220,0)),"")</f>
        <v>PISOS</v>
      </c>
      <c r="L267" s="216">
        <f>IF(PLAN_ETAPA!$C$4="(TODOS)",SUMIFS(PPTO_GENERADOR!$E$4:$E$220,PPTO_GENERADOR!$Q$4:$Q$220,A267),SUMIFS(PPTO_GENERADOR!$E$4:$E$220,PPTO_GENERADOR!$Q$4:$Q$220,A267,PPTO_GENERADOR!$B$4:$B$220,PLAN_ETAPA!$C$4))</f>
        <v>0</v>
      </c>
      <c r="M267" s="216">
        <f>IFERROR(VLOOKUP(A267,PARTIDAS!$A$2:$F$269,6,FALSE()),1)</f>
        <v>10</v>
      </c>
      <c r="N267" s="216">
        <f>IFERROR(VLOOKUP(A267,PARTIDAS!$A$2:$I$269,9,FALSE()),1)</f>
        <v>1</v>
      </c>
      <c r="O267" s="217">
        <f t="shared" si="8"/>
        <v>0</v>
      </c>
      <c r="P267" s="216">
        <f>IF(O267=0,0,IF(B267="MAT",G267*(1+H267)*L267*PLAN_ETAPA!$C$5,IF(B267="MO",IF(M267=0,0,G267*L267*PLAN_ETAPA!$C$5*N267/M267),IF(B267="EQ",IF(M267=0,0,G267*L267*PLAN_ETAPA!$C$5/M267),0))))</f>
        <v>0</v>
      </c>
      <c r="Q267" s="218">
        <f t="shared" si="9"/>
        <v>0</v>
      </c>
    </row>
    <row r="268" spans="1:17" x14ac:dyDescent="0.35">
      <c r="A268" s="212" t="str">
        <f>COMPOSICIÓN!A268</f>
        <v>COL-058</v>
      </c>
      <c r="B268" s="212" t="str">
        <f>COMPOSICIÓN!B268</f>
        <v>EQ</v>
      </c>
      <c r="C268" s="212">
        <f>COMPOSICIÓN!C268</f>
        <v>0</v>
      </c>
      <c r="D268" s="212" t="str">
        <f>COMPOSICIÓN!D268</f>
        <v>EQ-CORTA</v>
      </c>
      <c r="E268" s="212" t="str">
        <f>COMPOSICIÓN!E268</f>
        <v>CORTADORA CERAMICA PROFESIONAL 1200MM (PORCELANATO HASTA 16MM)</v>
      </c>
      <c r="F268" s="212">
        <f>COMPOSICIÓN!F268</f>
        <v>0</v>
      </c>
      <c r="G268" s="213">
        <f>COMPOSICIÓN!G268</f>
        <v>1</v>
      </c>
      <c r="H268" s="214">
        <f>COMPOSICIÓN!H268</f>
        <v>0</v>
      </c>
      <c r="I268" s="215">
        <f>COMPOSICIÓN!I268</f>
        <v>298.42384358082836</v>
      </c>
      <c r="J268" s="212" t="str">
        <f>IFERROR(VLOOKUP(A268,PARTIDAS!$A$2:$C$269,3,FALSE()),"")</f>
        <v>PISOS</v>
      </c>
      <c r="K268" s="212" t="str">
        <f>IFERROR(INDEX(PPTO_GENERADOR!$B$4:$B$220,MATCH(A268,PPTO_GENERADOR!$Q$4:$Q$220,0)),"")</f>
        <v>ZÓCALOS</v>
      </c>
      <c r="L268" s="216">
        <f>IF(PLAN_ETAPA!$C$4="(TODOS)",SUMIFS(PPTO_GENERADOR!$E$4:$E$220,PPTO_GENERADOR!$Q$4:$Q$220,A268),SUMIFS(PPTO_GENERADOR!$E$4:$E$220,PPTO_GENERADOR!$Q$4:$Q$220,A268,PPTO_GENERADOR!$B$4:$B$220,PLAN_ETAPA!$C$4))</f>
        <v>0</v>
      </c>
      <c r="M268" s="216">
        <f>IFERROR(VLOOKUP(A268,PARTIDAS!$A$2:$F$269,6,FALSE()),1)</f>
        <v>30</v>
      </c>
      <c r="N268" s="216">
        <f>IFERROR(VLOOKUP(A268,PARTIDAS!$A$2:$I$269,9,FALSE()),1)</f>
        <v>1</v>
      </c>
      <c r="O268" s="217">
        <f t="shared" si="8"/>
        <v>0</v>
      </c>
      <c r="P268" s="216">
        <f>IF(O268=0,0,IF(B268="MAT",G268*(1+H268)*L268*PLAN_ETAPA!$C$5,IF(B268="MO",IF(M268=0,0,G268*L268*PLAN_ETAPA!$C$5*N268/M268),IF(B268="EQ",IF(M268=0,0,G268*L268*PLAN_ETAPA!$C$5/M268),0))))</f>
        <v>0</v>
      </c>
      <c r="Q268" s="218">
        <f t="shared" si="9"/>
        <v>0</v>
      </c>
    </row>
    <row r="269" spans="1:17" x14ac:dyDescent="0.35">
      <c r="A269" s="212" t="str">
        <f>COMPOSICIÓN!A269</f>
        <v>COL-058</v>
      </c>
      <c r="B269" s="212" t="str">
        <f>COMPOSICIÓN!B269</f>
        <v>EQ</v>
      </c>
      <c r="C269" s="212">
        <f>COMPOSICIÓN!C269</f>
        <v>0</v>
      </c>
      <c r="D269" s="212" t="str">
        <f>COMPOSICIÓN!D269</f>
        <v>EQ-EQCERA</v>
      </c>
      <c r="E269" s="212" t="str">
        <f>COMPOSICIÓN!E269</f>
        <v>EQUIPO PARA COLOCACION DE CERAMICA</v>
      </c>
      <c r="F269" s="212">
        <f>COMPOSICIÓN!F269</f>
        <v>0</v>
      </c>
      <c r="G269" s="213">
        <f>COMPOSICIÓN!G269</f>
        <v>1</v>
      </c>
      <c r="H269" s="214">
        <f>COMPOSICIÓN!H269</f>
        <v>0</v>
      </c>
      <c r="I269" s="215">
        <f>COMPOSICIÓN!I269</f>
        <v>2637.1418444899073</v>
      </c>
      <c r="J269" s="212" t="str">
        <f>IFERROR(VLOOKUP(A269,PARTIDAS!$A$2:$C$269,3,FALSE()),"")</f>
        <v>PISOS</v>
      </c>
      <c r="K269" s="212" t="str">
        <f>IFERROR(INDEX(PPTO_GENERADOR!$B$4:$B$220,MATCH(A269,PPTO_GENERADOR!$Q$4:$Q$220,0)),"")</f>
        <v>ZÓCALOS</v>
      </c>
      <c r="L269" s="216">
        <f>IF(PLAN_ETAPA!$C$4="(TODOS)",SUMIFS(PPTO_GENERADOR!$E$4:$E$220,PPTO_GENERADOR!$Q$4:$Q$220,A269),SUMIFS(PPTO_GENERADOR!$E$4:$E$220,PPTO_GENERADOR!$Q$4:$Q$220,A269,PPTO_GENERADOR!$B$4:$B$220,PLAN_ETAPA!$C$4))</f>
        <v>0</v>
      </c>
      <c r="M269" s="216">
        <f>IFERROR(VLOOKUP(A269,PARTIDAS!$A$2:$F$269,6,FALSE()),1)</f>
        <v>30</v>
      </c>
      <c r="N269" s="216">
        <f>IFERROR(VLOOKUP(A269,PARTIDAS!$A$2:$I$269,9,FALSE()),1)</f>
        <v>1</v>
      </c>
      <c r="O269" s="217">
        <f t="shared" si="8"/>
        <v>0</v>
      </c>
      <c r="P269" s="216">
        <f>IF(O269=0,0,IF(B269="MAT",G269*(1+H269)*L269*PLAN_ETAPA!$C$5,IF(B269="MO",IF(M269=0,0,G269*L269*PLAN_ETAPA!$C$5*N269/M269),IF(B269="EQ",IF(M269=0,0,G269*L269*PLAN_ETAPA!$C$5/M269),0))))</f>
        <v>0</v>
      </c>
      <c r="Q269" s="218">
        <f t="shared" si="9"/>
        <v>0</v>
      </c>
    </row>
    <row r="270" spans="1:17" x14ac:dyDescent="0.35">
      <c r="A270" s="212" t="str">
        <f>COMPOSICIÓN!A270</f>
        <v>COL-058</v>
      </c>
      <c r="B270" s="212" t="str">
        <f>COMPOSICIÓN!B270</f>
        <v>MAT</v>
      </c>
      <c r="C270" s="212" t="str">
        <f>COMPOSICIÓN!C270</f>
        <v>COR</v>
      </c>
      <c r="D270" s="212" t="str">
        <f>COMPOSICIÓN!D270</f>
        <v>ADH-001</v>
      </c>
      <c r="E270" s="212" t="str">
        <f>COMPOSICIÓN!E270</f>
        <v>Adhesivo Klaukol Porcellanato Fluido x 30Kg</v>
      </c>
      <c r="F270" s="212" t="str">
        <f>COMPOSICIÓN!F270</f>
        <v>bol</v>
      </c>
      <c r="G270" s="213">
        <f>COMPOSICIÓN!G270</f>
        <v>0.04</v>
      </c>
      <c r="H270" s="214">
        <f>COMPOSICIÓN!H270</f>
        <v>0.2</v>
      </c>
      <c r="I270" s="215">
        <f>COMPOSICIÓN!I270</f>
        <v>18802.511999999999</v>
      </c>
      <c r="J270" s="212" t="str">
        <f>IFERROR(VLOOKUP(A270,PARTIDAS!$A$2:$C$269,3,FALSE()),"")</f>
        <v>PISOS</v>
      </c>
      <c r="K270" s="212" t="str">
        <f>IFERROR(INDEX(PPTO_GENERADOR!$B$4:$B$220,MATCH(A270,PPTO_GENERADOR!$Q$4:$Q$220,0)),"")</f>
        <v>ZÓCALOS</v>
      </c>
      <c r="L270" s="216">
        <f>IF(PLAN_ETAPA!$C$4="(TODOS)",SUMIFS(PPTO_GENERADOR!$E$4:$E$220,PPTO_GENERADOR!$Q$4:$Q$220,A270),SUMIFS(PPTO_GENERADOR!$E$4:$E$220,PPTO_GENERADOR!$Q$4:$Q$220,A270,PPTO_GENERADOR!$B$4:$B$220,PLAN_ETAPA!$C$4))</f>
        <v>0</v>
      </c>
      <c r="M270" s="216">
        <f>IFERROR(VLOOKUP(A270,PARTIDAS!$A$2:$F$269,6,FALSE()),1)</f>
        <v>30</v>
      </c>
      <c r="N270" s="216">
        <f>IFERROR(VLOOKUP(A270,PARTIDAS!$A$2:$I$269,9,FALSE()),1)</f>
        <v>1</v>
      </c>
      <c r="O270" s="217">
        <f t="shared" si="8"/>
        <v>0</v>
      </c>
      <c r="P270" s="216">
        <f>IF(O270=0,0,IF(B270="MAT",G270*(1+H270)*L270*PLAN_ETAPA!$C$5,IF(B270="MO",IF(M270=0,0,G270*L270*PLAN_ETAPA!$C$5*N270/M270),IF(B270="EQ",IF(M270=0,0,G270*L270*PLAN_ETAPA!$C$5/M270),0))))</f>
        <v>0</v>
      </c>
      <c r="Q270" s="218">
        <f t="shared" si="9"/>
        <v>0</v>
      </c>
    </row>
    <row r="271" spans="1:17" x14ac:dyDescent="0.35">
      <c r="A271" s="212" t="str">
        <f>COMPOSICIÓN!A271</f>
        <v>COL-058</v>
      </c>
      <c r="B271" s="212" t="str">
        <f>COMPOSICIÓN!B271</f>
        <v>MAT</v>
      </c>
      <c r="C271" s="212" t="str">
        <f>COMPOSICIÓN!C271</f>
        <v>COR</v>
      </c>
      <c r="D271" s="212" t="str">
        <f>COMPOSICIÓN!D271</f>
        <v>ADH-003</v>
      </c>
      <c r="E271" s="212" t="str">
        <f>COMPOSICIÓN!E271</f>
        <v>Pastina Klaukol x 1kg - Alta performance</v>
      </c>
      <c r="F271" s="212" t="str">
        <f>COMPOSICIÓN!F271</f>
        <v>u</v>
      </c>
      <c r="G271" s="213">
        <f>COMPOSICIÓN!G271</f>
        <v>0.04</v>
      </c>
      <c r="H271" s="214">
        <f>COMPOSICIÓN!H271</f>
        <v>0.05</v>
      </c>
      <c r="I271" s="215">
        <f>COMPOSICIÓN!I271</f>
        <v>3214.35</v>
      </c>
      <c r="J271" s="212" t="str">
        <f>IFERROR(VLOOKUP(A271,PARTIDAS!$A$2:$C$269,3,FALSE()),"")</f>
        <v>PISOS</v>
      </c>
      <c r="K271" s="212" t="str">
        <f>IFERROR(INDEX(PPTO_GENERADOR!$B$4:$B$220,MATCH(A271,PPTO_GENERADOR!$Q$4:$Q$220,0)),"")</f>
        <v>ZÓCALOS</v>
      </c>
      <c r="L271" s="216">
        <f>IF(PLAN_ETAPA!$C$4="(TODOS)",SUMIFS(PPTO_GENERADOR!$E$4:$E$220,PPTO_GENERADOR!$Q$4:$Q$220,A271),SUMIFS(PPTO_GENERADOR!$E$4:$E$220,PPTO_GENERADOR!$Q$4:$Q$220,A271,PPTO_GENERADOR!$B$4:$B$220,PLAN_ETAPA!$C$4))</f>
        <v>0</v>
      </c>
      <c r="M271" s="216">
        <f>IFERROR(VLOOKUP(A271,PARTIDAS!$A$2:$F$269,6,FALSE()),1)</f>
        <v>30</v>
      </c>
      <c r="N271" s="216">
        <f>IFERROR(VLOOKUP(A271,PARTIDAS!$A$2:$I$269,9,FALSE()),1)</f>
        <v>1</v>
      </c>
      <c r="O271" s="217">
        <f t="shared" si="8"/>
        <v>0</v>
      </c>
      <c r="P271" s="216">
        <f>IF(O271=0,0,IF(B271="MAT",G271*(1+H271)*L271*PLAN_ETAPA!$C$5,IF(B271="MO",IF(M271=0,0,G271*L271*PLAN_ETAPA!$C$5*N271/M271),IF(B271="EQ",IF(M271=0,0,G271*L271*PLAN_ETAPA!$C$5/M271),0))))</f>
        <v>0</v>
      </c>
      <c r="Q271" s="218">
        <f t="shared" si="9"/>
        <v>0</v>
      </c>
    </row>
    <row r="272" spans="1:17" x14ac:dyDescent="0.35">
      <c r="A272" s="212" t="str">
        <f>COMPOSICIÓN!A272</f>
        <v>COL-058</v>
      </c>
      <c r="B272" s="212" t="str">
        <f>COMPOSICIÓN!B272</f>
        <v>MAT</v>
      </c>
      <c r="C272" s="212" t="str">
        <f>COMPOSICIÓN!C272</f>
        <v>COR</v>
      </c>
      <c r="D272" s="212" t="str">
        <f>COMPOSICIÓN!D272</f>
        <v>OTR-025</v>
      </c>
      <c r="E272" s="212" t="str">
        <f>COMPOSICIÓN!E272</f>
        <v>Trapo</v>
      </c>
      <c r="F272" s="212" t="str">
        <f>COMPOSICIÓN!F272</f>
        <v>u</v>
      </c>
      <c r="G272" s="213">
        <f>COMPOSICIÓN!G272</f>
        <v>0.01</v>
      </c>
      <c r="H272" s="214">
        <f>COMPOSICIÓN!H272</f>
        <v>0.03</v>
      </c>
      <c r="I272" s="215">
        <f>COMPOSICIÓN!I272</f>
        <v>735.06</v>
      </c>
      <c r="J272" s="212" t="str">
        <f>IFERROR(VLOOKUP(A272,PARTIDAS!$A$2:$C$269,3,FALSE()),"")</f>
        <v>PISOS</v>
      </c>
      <c r="K272" s="212" t="str">
        <f>IFERROR(INDEX(PPTO_GENERADOR!$B$4:$B$220,MATCH(A272,PPTO_GENERADOR!$Q$4:$Q$220,0)),"")</f>
        <v>ZÓCALOS</v>
      </c>
      <c r="L272" s="216">
        <f>IF(PLAN_ETAPA!$C$4="(TODOS)",SUMIFS(PPTO_GENERADOR!$E$4:$E$220,PPTO_GENERADOR!$Q$4:$Q$220,A272),SUMIFS(PPTO_GENERADOR!$E$4:$E$220,PPTO_GENERADOR!$Q$4:$Q$220,A272,PPTO_GENERADOR!$B$4:$B$220,PLAN_ETAPA!$C$4))</f>
        <v>0</v>
      </c>
      <c r="M272" s="216">
        <f>IFERROR(VLOOKUP(A272,PARTIDAS!$A$2:$F$269,6,FALSE()),1)</f>
        <v>30</v>
      </c>
      <c r="N272" s="216">
        <f>IFERROR(VLOOKUP(A272,PARTIDAS!$A$2:$I$269,9,FALSE()),1)</f>
        <v>1</v>
      </c>
      <c r="O272" s="217">
        <f t="shared" si="8"/>
        <v>0</v>
      </c>
      <c r="P272" s="216">
        <f>IF(O272=0,0,IF(B272="MAT",G272*(1+H272)*L272*PLAN_ETAPA!$C$5,IF(B272="MO",IF(M272=0,0,G272*L272*PLAN_ETAPA!$C$5*N272/M272),IF(B272="EQ",IF(M272=0,0,G272*L272*PLAN_ETAPA!$C$5/M272),0))))</f>
        <v>0</v>
      </c>
      <c r="Q272" s="218">
        <f t="shared" si="9"/>
        <v>0</v>
      </c>
    </row>
    <row r="273" spans="1:17" x14ac:dyDescent="0.35">
      <c r="A273" s="212" t="str">
        <f>COMPOSICIÓN!A273</f>
        <v>COL-058</v>
      </c>
      <c r="B273" s="212" t="str">
        <f>COMPOSICIÓN!B273</f>
        <v>MAT</v>
      </c>
      <c r="C273" s="212" t="str">
        <f>COMPOSICIÓN!C273</f>
        <v>COR</v>
      </c>
      <c r="D273" s="212" t="str">
        <f>COMPOSICIÓN!D273</f>
        <v>OTR-046</v>
      </c>
      <c r="E273" s="212" t="str">
        <f>COMPOSICIÓN!E273</f>
        <v>Disco Diamantado Aliafor Turbo Fino TRF</v>
      </c>
      <c r="F273" s="212" t="str">
        <f>COMPOSICIÓN!F273</f>
        <v>u</v>
      </c>
      <c r="G273" s="213">
        <f>COMPOSICIÓN!G273</f>
        <v>1E-3</v>
      </c>
      <c r="H273" s="214">
        <f>COMPOSICIÓN!H273</f>
        <v>0.05</v>
      </c>
      <c r="I273" s="215">
        <f>COMPOSICIÓN!I273</f>
        <v>20237</v>
      </c>
      <c r="J273" s="212" t="str">
        <f>IFERROR(VLOOKUP(A273,PARTIDAS!$A$2:$C$269,3,FALSE()),"")</f>
        <v>PISOS</v>
      </c>
      <c r="K273" s="212" t="str">
        <f>IFERROR(INDEX(PPTO_GENERADOR!$B$4:$B$220,MATCH(A273,PPTO_GENERADOR!$Q$4:$Q$220,0)),"")</f>
        <v>ZÓCALOS</v>
      </c>
      <c r="L273" s="216">
        <f>IF(PLAN_ETAPA!$C$4="(TODOS)",SUMIFS(PPTO_GENERADOR!$E$4:$E$220,PPTO_GENERADOR!$Q$4:$Q$220,A273),SUMIFS(PPTO_GENERADOR!$E$4:$E$220,PPTO_GENERADOR!$Q$4:$Q$220,A273,PPTO_GENERADOR!$B$4:$B$220,PLAN_ETAPA!$C$4))</f>
        <v>0</v>
      </c>
      <c r="M273" s="216">
        <f>IFERROR(VLOOKUP(A273,PARTIDAS!$A$2:$F$269,6,FALSE()),1)</f>
        <v>30</v>
      </c>
      <c r="N273" s="216">
        <f>IFERROR(VLOOKUP(A273,PARTIDAS!$A$2:$I$269,9,FALSE()),1)</f>
        <v>1</v>
      </c>
      <c r="O273" s="217">
        <f t="shared" si="8"/>
        <v>0</v>
      </c>
      <c r="P273" s="216">
        <f>IF(O273=0,0,IF(B273="MAT",G273*(1+H273)*L273*PLAN_ETAPA!$C$5,IF(B273="MO",IF(M273=0,0,G273*L273*PLAN_ETAPA!$C$5*N273/M273),IF(B273="EQ",IF(M273=0,0,G273*L273*PLAN_ETAPA!$C$5/M273),0))))</f>
        <v>0</v>
      </c>
      <c r="Q273" s="218">
        <f t="shared" si="9"/>
        <v>0</v>
      </c>
    </row>
    <row r="274" spans="1:17" x14ac:dyDescent="0.35">
      <c r="A274" s="212" t="str">
        <f>COMPOSICIÓN!A274</f>
        <v>COL-058</v>
      </c>
      <c r="B274" s="212" t="str">
        <f>COMPOSICIÓN!B274</f>
        <v>MO</v>
      </c>
      <c r="C274" s="212" t="str">
        <f>COMPOSICIÓN!C274</f>
        <v>ALB</v>
      </c>
      <c r="D274" s="212" t="str">
        <f>COMPOSICIÓN!D274</f>
        <v>MO-EMEDI</v>
      </c>
      <c r="E274" s="212" t="str">
        <f>COMPOSICIÓN!E274</f>
        <v>MEDIO OFICIAL</v>
      </c>
      <c r="F274" s="212" t="str">
        <f>COMPOSICIÓN!F274</f>
        <v>j</v>
      </c>
      <c r="G274" s="213">
        <f>COMPOSICIÓN!G274</f>
        <v>1</v>
      </c>
      <c r="H274" s="214">
        <f>COMPOSICIÓN!H274</f>
        <v>0</v>
      </c>
      <c r="I274" s="215">
        <f>COMPOSICIÓN!I274</f>
        <v>65493.071636572</v>
      </c>
      <c r="J274" s="212" t="str">
        <f>IFERROR(VLOOKUP(A274,PARTIDAS!$A$2:$C$269,3,FALSE()),"")</f>
        <v>PISOS</v>
      </c>
      <c r="K274" s="212" t="str">
        <f>IFERROR(INDEX(PPTO_GENERADOR!$B$4:$B$220,MATCH(A274,PPTO_GENERADOR!$Q$4:$Q$220,0)),"")</f>
        <v>ZÓCALOS</v>
      </c>
      <c r="L274" s="216">
        <f>IF(PLAN_ETAPA!$C$4="(TODOS)",SUMIFS(PPTO_GENERADOR!$E$4:$E$220,PPTO_GENERADOR!$Q$4:$Q$220,A274),SUMIFS(PPTO_GENERADOR!$E$4:$E$220,PPTO_GENERADOR!$Q$4:$Q$220,A274,PPTO_GENERADOR!$B$4:$B$220,PLAN_ETAPA!$C$4))</f>
        <v>0</v>
      </c>
      <c r="M274" s="216">
        <f>IFERROR(VLOOKUP(A274,PARTIDAS!$A$2:$F$269,6,FALSE()),1)</f>
        <v>30</v>
      </c>
      <c r="N274" s="216">
        <f>IFERROR(VLOOKUP(A274,PARTIDAS!$A$2:$I$269,9,FALSE()),1)</f>
        <v>1</v>
      </c>
      <c r="O274" s="217">
        <f t="shared" si="8"/>
        <v>0</v>
      </c>
      <c r="P274" s="216">
        <f>IF(O274=0,0,IF(B274="MAT",G274*(1+H274)*L274*PLAN_ETAPA!$C$5,IF(B274="MO",IF(M274=0,0,G274*L274*PLAN_ETAPA!$C$5*N274/M274),IF(B274="EQ",IF(M274=0,0,G274*L274*PLAN_ETAPA!$C$5/M274),0))))</f>
        <v>0</v>
      </c>
      <c r="Q274" s="218">
        <f t="shared" si="9"/>
        <v>0</v>
      </c>
    </row>
    <row r="275" spans="1:17" x14ac:dyDescent="0.35">
      <c r="A275" s="212" t="str">
        <f>COMPOSICIÓN!A275</f>
        <v>COL-058</v>
      </c>
      <c r="B275" s="212" t="str">
        <f>COMPOSICIÓN!B275</f>
        <v>MO</v>
      </c>
      <c r="C275" s="212" t="str">
        <f>COMPOSICIÓN!C275</f>
        <v>ALB</v>
      </c>
      <c r="D275" s="212" t="str">
        <f>COMPOSICIÓN!D275</f>
        <v>MO-EOFIC</v>
      </c>
      <c r="E275" s="212" t="str">
        <f>COMPOSICIÓN!E275</f>
        <v>OFICIAL</v>
      </c>
      <c r="F275" s="212" t="str">
        <f>COMPOSICIÓN!F275</f>
        <v>j</v>
      </c>
      <c r="G275" s="213">
        <f>COMPOSICIÓN!G275</f>
        <v>1</v>
      </c>
      <c r="H275" s="214">
        <f>COMPOSICIÓN!H275</f>
        <v>0</v>
      </c>
      <c r="I275" s="215">
        <f>COMPOSICIÓN!I275</f>
        <v>76955.079706571996</v>
      </c>
      <c r="J275" s="212" t="str">
        <f>IFERROR(VLOOKUP(A275,PARTIDAS!$A$2:$C$269,3,FALSE()),"")</f>
        <v>PISOS</v>
      </c>
      <c r="K275" s="212" t="str">
        <f>IFERROR(INDEX(PPTO_GENERADOR!$B$4:$B$220,MATCH(A275,PPTO_GENERADOR!$Q$4:$Q$220,0)),"")</f>
        <v>ZÓCALOS</v>
      </c>
      <c r="L275" s="216">
        <f>IF(PLAN_ETAPA!$C$4="(TODOS)",SUMIFS(PPTO_GENERADOR!$E$4:$E$220,PPTO_GENERADOR!$Q$4:$Q$220,A275),SUMIFS(PPTO_GENERADOR!$E$4:$E$220,PPTO_GENERADOR!$Q$4:$Q$220,A275,PPTO_GENERADOR!$B$4:$B$220,PLAN_ETAPA!$C$4))</f>
        <v>0</v>
      </c>
      <c r="M275" s="216">
        <f>IFERROR(VLOOKUP(A275,PARTIDAS!$A$2:$F$269,6,FALSE()),1)</f>
        <v>30</v>
      </c>
      <c r="N275" s="216">
        <f>IFERROR(VLOOKUP(A275,PARTIDAS!$A$2:$I$269,9,FALSE()),1)</f>
        <v>1</v>
      </c>
      <c r="O275" s="217">
        <f t="shared" si="8"/>
        <v>0</v>
      </c>
      <c r="P275" s="216">
        <f>IF(O275=0,0,IF(B275="MAT",G275*(1+H275)*L275*PLAN_ETAPA!$C$5,IF(B275="MO",IF(M275=0,0,G275*L275*PLAN_ETAPA!$C$5*N275/M275),IF(B275="EQ",IF(M275=0,0,G275*L275*PLAN_ETAPA!$C$5/M275),0))))</f>
        <v>0</v>
      </c>
      <c r="Q275" s="218">
        <f t="shared" si="9"/>
        <v>0</v>
      </c>
    </row>
    <row r="276" spans="1:17" x14ac:dyDescent="0.35">
      <c r="A276" s="212" t="str">
        <f>COMPOSICIÓN!A276</f>
        <v>COL-080</v>
      </c>
      <c r="B276" s="212" t="str">
        <f>COMPOSICIÓN!B276</f>
        <v>MAT</v>
      </c>
      <c r="C276" s="212" t="str">
        <f>COMPOSICIÓN!C276</f>
        <v>OTR</v>
      </c>
      <c r="D276" s="212" t="str">
        <f>COMPOSICIÓN!D276</f>
        <v>ACE-010</v>
      </c>
      <c r="E276" s="212" t="str">
        <f>COMPOSICIÓN!E276</f>
        <v>Alambre de Fardo</v>
      </c>
      <c r="F276" s="212" t="str">
        <f>COMPOSICIÓN!F276</f>
        <v>kg</v>
      </c>
      <c r="G276" s="213">
        <f>COMPOSICIÓN!G276</f>
        <v>6.7000000000000004E-2</v>
      </c>
      <c r="H276" s="214">
        <f>COMPOSICIÓN!H276</f>
        <v>0.15</v>
      </c>
      <c r="I276" s="215">
        <f>COMPOSICIÓN!I276</f>
        <v>2302.02</v>
      </c>
      <c r="J276" s="212" t="str">
        <f>IFERROR(VLOOKUP(A276,PARTIDAS!$A$2:$C$269,3,FALSE()),"")</f>
        <v>PISOS</v>
      </c>
      <c r="K276" s="212" t="str">
        <f>IFERROR(INDEX(PPTO_GENERADOR!$B$4:$B$220,MATCH(A276,PPTO_GENERADOR!$Q$4:$Q$220,0)),"")</f>
        <v/>
      </c>
      <c r="L276" s="216">
        <f>IF(PLAN_ETAPA!$C$4="(TODOS)",SUMIFS(PPTO_GENERADOR!$E$4:$E$220,PPTO_GENERADOR!$Q$4:$Q$220,A276),SUMIFS(PPTO_GENERADOR!$E$4:$E$220,PPTO_GENERADOR!$Q$4:$Q$220,A276,PPTO_GENERADOR!$B$4:$B$220,PLAN_ETAPA!$C$4))</f>
        <v>0</v>
      </c>
      <c r="M276" s="216">
        <f>IFERROR(VLOOKUP(A276,PARTIDAS!$A$2:$F$269,6,FALSE()),1)</f>
        <v>450</v>
      </c>
      <c r="N276" s="216">
        <f>IFERROR(VLOOKUP(A276,PARTIDAS!$A$2:$I$269,9,FALSE()),1)</f>
        <v>1</v>
      </c>
      <c r="O276" s="217">
        <f t="shared" si="8"/>
        <v>0</v>
      </c>
      <c r="P276" s="216">
        <f>IF(O276=0,0,IF(B276="MAT",G276*(1+H276)*L276*PLAN_ETAPA!$C$5,IF(B276="MO",IF(M276=0,0,G276*L276*PLAN_ETAPA!$C$5*N276/M276),IF(B276="EQ",IF(M276=0,0,G276*L276*PLAN_ETAPA!$C$5/M276),0))))</f>
        <v>0</v>
      </c>
      <c r="Q276" s="218">
        <f t="shared" si="9"/>
        <v>0</v>
      </c>
    </row>
    <row r="277" spans="1:17" x14ac:dyDescent="0.35">
      <c r="A277" s="212" t="str">
        <f>COMPOSICIÓN!A277</f>
        <v>COL-080</v>
      </c>
      <c r="B277" s="212" t="str">
        <f>COMPOSICIÓN!B277</f>
        <v>MAT</v>
      </c>
      <c r="C277" s="212" t="str">
        <f>COMPOSICIÓN!C277</f>
        <v>OTR</v>
      </c>
      <c r="D277" s="212" t="str">
        <f>COMPOSICIÓN!D277</f>
        <v>ACE-016</v>
      </c>
      <c r="E277" s="212" t="str">
        <f>COMPOSICIÓN!E277</f>
        <v>ACERO ESTRUCTURAL POR KILO</v>
      </c>
      <c r="F277" s="212" t="str">
        <f>COMPOSICIÓN!F277</f>
        <v>KGF</v>
      </c>
      <c r="G277" s="213">
        <f>COMPOSICIÓN!G277</f>
        <v>1</v>
      </c>
      <c r="H277" s="214">
        <f>COMPOSICIÓN!H277</f>
        <v>7.0000000000000007E-2</v>
      </c>
      <c r="I277" s="215">
        <f>COMPOSICIÓN!I277</f>
        <v>1269.26</v>
      </c>
      <c r="J277" s="212" t="str">
        <f>IFERROR(VLOOKUP(A277,PARTIDAS!$A$2:$C$269,3,FALSE()),"")</f>
        <v>PISOS</v>
      </c>
      <c r="K277" s="212" t="str">
        <f>IFERROR(INDEX(PPTO_GENERADOR!$B$4:$B$220,MATCH(A277,PPTO_GENERADOR!$Q$4:$Q$220,0)),"")</f>
        <v/>
      </c>
      <c r="L277" s="216">
        <f>IF(PLAN_ETAPA!$C$4="(TODOS)",SUMIFS(PPTO_GENERADOR!$E$4:$E$220,PPTO_GENERADOR!$Q$4:$Q$220,A277),SUMIFS(PPTO_GENERADOR!$E$4:$E$220,PPTO_GENERADOR!$Q$4:$Q$220,A277,PPTO_GENERADOR!$B$4:$B$220,PLAN_ETAPA!$C$4))</f>
        <v>0</v>
      </c>
      <c r="M277" s="216">
        <f>IFERROR(VLOOKUP(A277,PARTIDAS!$A$2:$F$269,6,FALSE()),1)</f>
        <v>450</v>
      </c>
      <c r="N277" s="216">
        <f>IFERROR(VLOOKUP(A277,PARTIDAS!$A$2:$I$269,9,FALSE()),1)</f>
        <v>1</v>
      </c>
      <c r="O277" s="217">
        <f t="shared" si="8"/>
        <v>0</v>
      </c>
      <c r="P277" s="216">
        <f>IF(O277=0,0,IF(B277="MAT",G277*(1+H277)*L277*PLAN_ETAPA!$C$5,IF(B277="MO",IF(M277=0,0,G277*L277*PLAN_ETAPA!$C$5*N277/M277),IF(B277="EQ",IF(M277=0,0,G277*L277*PLAN_ETAPA!$C$5/M277),0))))</f>
        <v>0</v>
      </c>
      <c r="Q277" s="218">
        <f t="shared" si="9"/>
        <v>0</v>
      </c>
    </row>
    <row r="278" spans="1:17" x14ac:dyDescent="0.35">
      <c r="A278" s="212" t="str">
        <f>COMPOSICIÓN!A278</f>
        <v>COL-080</v>
      </c>
      <c r="B278" s="212" t="str">
        <f>COMPOSICIÓN!B278</f>
        <v>MO</v>
      </c>
      <c r="C278" s="212" t="str">
        <f>COMPOSICIÓN!C278</f>
        <v>ALB</v>
      </c>
      <c r="D278" s="212" t="str">
        <f>COMPOSICIÓN!D278</f>
        <v>MO-EAYUD</v>
      </c>
      <c r="E278" s="212" t="str">
        <f>COMPOSICIÓN!E278</f>
        <v>AYUDANTE</v>
      </c>
      <c r="F278" s="212" t="str">
        <f>COMPOSICIÓN!F278</f>
        <v>j</v>
      </c>
      <c r="G278" s="213">
        <f>COMPOSICIÓN!G278</f>
        <v>1</v>
      </c>
      <c r="H278" s="214">
        <f>COMPOSICIÓN!H278</f>
        <v>0</v>
      </c>
      <c r="I278" s="215">
        <f>COMPOSICIÓN!I278</f>
        <v>60860.580776572002</v>
      </c>
      <c r="J278" s="212" t="str">
        <f>IFERROR(VLOOKUP(A278,PARTIDAS!$A$2:$C$269,3,FALSE()),"")</f>
        <v>PISOS</v>
      </c>
      <c r="K278" s="212" t="str">
        <f>IFERROR(INDEX(PPTO_GENERADOR!$B$4:$B$220,MATCH(A278,PPTO_GENERADOR!$Q$4:$Q$220,0)),"")</f>
        <v/>
      </c>
      <c r="L278" s="216">
        <f>IF(PLAN_ETAPA!$C$4="(TODOS)",SUMIFS(PPTO_GENERADOR!$E$4:$E$220,PPTO_GENERADOR!$Q$4:$Q$220,A278),SUMIFS(PPTO_GENERADOR!$E$4:$E$220,PPTO_GENERADOR!$Q$4:$Q$220,A278,PPTO_GENERADOR!$B$4:$B$220,PLAN_ETAPA!$C$4))</f>
        <v>0</v>
      </c>
      <c r="M278" s="216">
        <f>IFERROR(VLOOKUP(A278,PARTIDAS!$A$2:$F$269,6,FALSE()),1)</f>
        <v>450</v>
      </c>
      <c r="N278" s="216">
        <f>IFERROR(VLOOKUP(A278,PARTIDAS!$A$2:$I$269,9,FALSE()),1)</f>
        <v>1</v>
      </c>
      <c r="O278" s="217">
        <f t="shared" si="8"/>
        <v>0</v>
      </c>
      <c r="P278" s="216">
        <f>IF(O278=0,0,IF(B278="MAT",G278*(1+H278)*L278*PLAN_ETAPA!$C$5,IF(B278="MO",IF(M278=0,0,G278*L278*PLAN_ETAPA!$C$5*N278/M278),IF(B278="EQ",IF(M278=0,0,G278*L278*PLAN_ETAPA!$C$5/M278),0))))</f>
        <v>0</v>
      </c>
      <c r="Q278" s="218">
        <f t="shared" si="9"/>
        <v>0</v>
      </c>
    </row>
    <row r="279" spans="1:17" x14ac:dyDescent="0.35">
      <c r="A279" s="212" t="str">
        <f>COMPOSICIÓN!A279</f>
        <v>COL-080</v>
      </c>
      <c r="B279" s="212" t="str">
        <f>COMPOSICIÓN!B279</f>
        <v>MO</v>
      </c>
      <c r="C279" s="212" t="str">
        <f>COMPOSICIÓN!C279</f>
        <v>ALB</v>
      </c>
      <c r="D279" s="212" t="str">
        <f>COMPOSICIÓN!D279</f>
        <v>MO-EESPE</v>
      </c>
      <c r="E279" s="212" t="str">
        <f>COMPOSICIÓN!E279</f>
        <v>ESPECIALIZADO</v>
      </c>
      <c r="F279" s="212" t="str">
        <f>COMPOSICIÓN!F279</f>
        <v>j</v>
      </c>
      <c r="G279" s="213">
        <f>COMPOSICIÓN!G279</f>
        <v>2</v>
      </c>
      <c r="H279" s="214">
        <f>COMPOSICIÓN!H279</f>
        <v>0</v>
      </c>
      <c r="I279" s="215">
        <f>COMPOSICIÓN!I279</f>
        <v>85927.097156571996</v>
      </c>
      <c r="J279" s="212" t="str">
        <f>IFERROR(VLOOKUP(A279,PARTIDAS!$A$2:$C$269,3,FALSE()),"")</f>
        <v>PISOS</v>
      </c>
      <c r="K279" s="212" t="str">
        <f>IFERROR(INDEX(PPTO_GENERADOR!$B$4:$B$220,MATCH(A279,PPTO_GENERADOR!$Q$4:$Q$220,0)),"")</f>
        <v/>
      </c>
      <c r="L279" s="216">
        <f>IF(PLAN_ETAPA!$C$4="(TODOS)",SUMIFS(PPTO_GENERADOR!$E$4:$E$220,PPTO_GENERADOR!$Q$4:$Q$220,A279),SUMIFS(PPTO_GENERADOR!$E$4:$E$220,PPTO_GENERADOR!$Q$4:$Q$220,A279,PPTO_GENERADOR!$B$4:$B$220,PLAN_ETAPA!$C$4))</f>
        <v>0</v>
      </c>
      <c r="M279" s="216">
        <f>IFERROR(VLOOKUP(A279,PARTIDAS!$A$2:$F$269,6,FALSE()),1)</f>
        <v>450</v>
      </c>
      <c r="N279" s="216">
        <f>IFERROR(VLOOKUP(A279,PARTIDAS!$A$2:$I$269,9,FALSE()),1)</f>
        <v>1</v>
      </c>
      <c r="O279" s="217">
        <f t="shared" si="8"/>
        <v>0</v>
      </c>
      <c r="P279" s="216">
        <f>IF(O279=0,0,IF(B279="MAT",G279*(1+H279)*L279*PLAN_ETAPA!$C$5,IF(B279="MO",IF(M279=0,0,G279*L279*PLAN_ETAPA!$C$5*N279/M279),IF(B279="EQ",IF(M279=0,0,G279*L279*PLAN_ETAPA!$C$5/M279),0))))</f>
        <v>0</v>
      </c>
      <c r="Q279" s="218">
        <f t="shared" si="9"/>
        <v>0</v>
      </c>
    </row>
    <row r="280" spans="1:17" x14ac:dyDescent="0.35">
      <c r="A280" s="212" t="str">
        <f>COMPOSICIÓN!A280</f>
        <v>COL-080</v>
      </c>
      <c r="B280" s="212" t="str">
        <f>COMPOSICIÓN!B280</f>
        <v>MO</v>
      </c>
      <c r="C280" s="212" t="str">
        <f>COMPOSICIÓN!C280</f>
        <v>ALB</v>
      </c>
      <c r="D280" s="212" t="str">
        <f>COMPOSICIÓN!D280</f>
        <v>MO-EESPE</v>
      </c>
      <c r="E280" s="212" t="str">
        <f>COMPOSICIÓN!E280</f>
        <v>ESPECIALIZADO</v>
      </c>
      <c r="F280" s="212" t="str">
        <f>COMPOSICIÓN!F280</f>
        <v>j</v>
      </c>
      <c r="G280" s="213">
        <f>COMPOSICIÓN!G280</f>
        <v>2</v>
      </c>
      <c r="H280" s="214">
        <f>COMPOSICIÓN!H280</f>
        <v>0</v>
      </c>
      <c r="I280" s="215">
        <f>COMPOSICIÓN!I280</f>
        <v>85927.097156571996</v>
      </c>
      <c r="J280" s="212" t="str">
        <f>IFERROR(VLOOKUP(A280,PARTIDAS!$A$2:$C$269,3,FALSE()),"")</f>
        <v>PISOS</v>
      </c>
      <c r="K280" s="212" t="str">
        <f>IFERROR(INDEX(PPTO_GENERADOR!$B$4:$B$220,MATCH(A280,PPTO_GENERADOR!$Q$4:$Q$220,0)),"")</f>
        <v/>
      </c>
      <c r="L280" s="216">
        <f>IF(PLAN_ETAPA!$C$4="(TODOS)",SUMIFS(PPTO_GENERADOR!$E$4:$E$220,PPTO_GENERADOR!$Q$4:$Q$220,A280),SUMIFS(PPTO_GENERADOR!$E$4:$E$220,PPTO_GENERADOR!$Q$4:$Q$220,A280,PPTO_GENERADOR!$B$4:$B$220,PLAN_ETAPA!$C$4))</f>
        <v>0</v>
      </c>
      <c r="M280" s="216">
        <f>IFERROR(VLOOKUP(A280,PARTIDAS!$A$2:$F$269,6,FALSE()),1)</f>
        <v>450</v>
      </c>
      <c r="N280" s="216">
        <f>IFERROR(VLOOKUP(A280,PARTIDAS!$A$2:$I$269,9,FALSE()),1)</f>
        <v>1</v>
      </c>
      <c r="O280" s="217">
        <f t="shared" si="8"/>
        <v>0</v>
      </c>
      <c r="P280" s="216">
        <f>IF(O280=0,0,IF(B280="MAT",G280*(1+H280)*L280*PLAN_ETAPA!$C$5,IF(B280="MO",IF(M280=0,0,G280*L280*PLAN_ETAPA!$C$5*N280/M280),IF(B280="EQ",IF(M280=0,0,G280*L280*PLAN_ETAPA!$C$5/M280),0))))</f>
        <v>0</v>
      </c>
      <c r="Q280" s="218">
        <f t="shared" si="9"/>
        <v>0</v>
      </c>
    </row>
    <row r="281" spans="1:17" x14ac:dyDescent="0.35">
      <c r="A281" s="212" t="str">
        <f>COMPOSICIÓN!A281</f>
        <v>COL-081</v>
      </c>
      <c r="B281" s="212" t="str">
        <f>COMPOSICIÓN!B281</f>
        <v>MAT</v>
      </c>
      <c r="C281" s="212" t="str">
        <f>COMPOSICIÓN!C281</f>
        <v>OTR</v>
      </c>
      <c r="D281" s="212" t="str">
        <f>COMPOSICIÓN!D281</f>
        <v>ACE-010</v>
      </c>
      <c r="E281" s="212" t="str">
        <f>COMPOSICIÓN!E281</f>
        <v>Alambre de Fardo</v>
      </c>
      <c r="F281" s="212" t="str">
        <f>COMPOSICIÓN!F281</f>
        <v>kg</v>
      </c>
      <c r="G281" s="213">
        <f>COMPOSICIÓN!G281</f>
        <v>6.7000000000000004E-2</v>
      </c>
      <c r="H281" s="214">
        <f>COMPOSICIÓN!H281</f>
        <v>0.15</v>
      </c>
      <c r="I281" s="215">
        <f>COMPOSICIÓN!I281</f>
        <v>2302.02</v>
      </c>
      <c r="J281" s="212" t="str">
        <f>IFERROR(VLOOKUP(A281,PARTIDAS!$A$2:$C$269,3,FALSE()),"")</f>
        <v>PISOS</v>
      </c>
      <c r="K281" s="212" t="str">
        <f>IFERROR(INDEX(PPTO_GENERADOR!$B$4:$B$220,MATCH(A281,PPTO_GENERADOR!$Q$4:$Q$220,0)),"")</f>
        <v/>
      </c>
      <c r="L281" s="216">
        <f>IF(PLAN_ETAPA!$C$4="(TODOS)",SUMIFS(PPTO_GENERADOR!$E$4:$E$220,PPTO_GENERADOR!$Q$4:$Q$220,A281),SUMIFS(PPTO_GENERADOR!$E$4:$E$220,PPTO_GENERADOR!$Q$4:$Q$220,A281,PPTO_GENERADOR!$B$4:$B$220,PLAN_ETAPA!$C$4))</f>
        <v>0</v>
      </c>
      <c r="M281" s="216">
        <f>IFERROR(VLOOKUP(A281,PARTIDAS!$A$2:$F$269,6,FALSE()),1)</f>
        <v>380</v>
      </c>
      <c r="N281" s="216">
        <f>IFERROR(VLOOKUP(A281,PARTIDAS!$A$2:$I$269,9,FALSE()),1)</f>
        <v>1</v>
      </c>
      <c r="O281" s="217">
        <f t="shared" si="8"/>
        <v>0</v>
      </c>
      <c r="P281" s="216">
        <f>IF(O281=0,0,IF(B281="MAT",G281*(1+H281)*L281*PLAN_ETAPA!$C$5,IF(B281="MO",IF(M281=0,0,G281*L281*PLAN_ETAPA!$C$5*N281/M281),IF(B281="EQ",IF(M281=0,0,G281*L281*PLAN_ETAPA!$C$5/M281),0))))</f>
        <v>0</v>
      </c>
      <c r="Q281" s="218">
        <f t="shared" si="9"/>
        <v>0</v>
      </c>
    </row>
    <row r="282" spans="1:17" x14ac:dyDescent="0.35">
      <c r="A282" s="212" t="str">
        <f>COMPOSICIÓN!A282</f>
        <v>COL-081</v>
      </c>
      <c r="B282" s="212" t="str">
        <f>COMPOSICIÓN!B282</f>
        <v>MAT</v>
      </c>
      <c r="C282" s="212" t="str">
        <f>COMPOSICIÓN!C282</f>
        <v>OTR</v>
      </c>
      <c r="D282" s="212" t="str">
        <f>COMPOSICIÓN!D282</f>
        <v>ACE-016</v>
      </c>
      <c r="E282" s="212" t="str">
        <f>COMPOSICIÓN!E282</f>
        <v>ACERO ESTRUCTURAL POR KILO</v>
      </c>
      <c r="F282" s="212" t="str">
        <f>COMPOSICIÓN!F282</f>
        <v>KGF</v>
      </c>
      <c r="G282" s="213">
        <f>COMPOSICIÓN!G282</f>
        <v>1</v>
      </c>
      <c r="H282" s="214">
        <f>COMPOSICIÓN!H282</f>
        <v>7.0000000000000007E-2</v>
      </c>
      <c r="I282" s="215">
        <f>COMPOSICIÓN!I282</f>
        <v>1269.26</v>
      </c>
      <c r="J282" s="212" t="str">
        <f>IFERROR(VLOOKUP(A282,PARTIDAS!$A$2:$C$269,3,FALSE()),"")</f>
        <v>PISOS</v>
      </c>
      <c r="K282" s="212" t="str">
        <f>IFERROR(INDEX(PPTO_GENERADOR!$B$4:$B$220,MATCH(A282,PPTO_GENERADOR!$Q$4:$Q$220,0)),"")</f>
        <v/>
      </c>
      <c r="L282" s="216">
        <f>IF(PLAN_ETAPA!$C$4="(TODOS)",SUMIFS(PPTO_GENERADOR!$E$4:$E$220,PPTO_GENERADOR!$Q$4:$Q$220,A282),SUMIFS(PPTO_GENERADOR!$E$4:$E$220,PPTO_GENERADOR!$Q$4:$Q$220,A282,PPTO_GENERADOR!$B$4:$B$220,PLAN_ETAPA!$C$4))</f>
        <v>0</v>
      </c>
      <c r="M282" s="216">
        <f>IFERROR(VLOOKUP(A282,PARTIDAS!$A$2:$F$269,6,FALSE()),1)</f>
        <v>380</v>
      </c>
      <c r="N282" s="216">
        <f>IFERROR(VLOOKUP(A282,PARTIDAS!$A$2:$I$269,9,FALSE()),1)</f>
        <v>1</v>
      </c>
      <c r="O282" s="217">
        <f t="shared" si="8"/>
        <v>0</v>
      </c>
      <c r="P282" s="216">
        <f>IF(O282=0,0,IF(B282="MAT",G282*(1+H282)*L282*PLAN_ETAPA!$C$5,IF(B282="MO",IF(M282=0,0,G282*L282*PLAN_ETAPA!$C$5*N282/M282),IF(B282="EQ",IF(M282=0,0,G282*L282*PLAN_ETAPA!$C$5/M282),0))))</f>
        <v>0</v>
      </c>
      <c r="Q282" s="218">
        <f t="shared" si="9"/>
        <v>0</v>
      </c>
    </row>
    <row r="283" spans="1:17" x14ac:dyDescent="0.35">
      <c r="A283" s="212" t="str">
        <f>COMPOSICIÓN!A283</f>
        <v>COL-081</v>
      </c>
      <c r="B283" s="212" t="str">
        <f>COMPOSICIÓN!B283</f>
        <v>MO</v>
      </c>
      <c r="C283" s="212" t="str">
        <f>COMPOSICIÓN!C283</f>
        <v>ALB</v>
      </c>
      <c r="D283" s="212" t="str">
        <f>COMPOSICIÓN!D283</f>
        <v>MO-EAYUD</v>
      </c>
      <c r="E283" s="212" t="str">
        <f>COMPOSICIÓN!E283</f>
        <v>AYUDANTE</v>
      </c>
      <c r="F283" s="212" t="str">
        <f>COMPOSICIÓN!F283</f>
        <v>j</v>
      </c>
      <c r="G283" s="213">
        <f>COMPOSICIÓN!G283</f>
        <v>1</v>
      </c>
      <c r="H283" s="214">
        <f>COMPOSICIÓN!H283</f>
        <v>0</v>
      </c>
      <c r="I283" s="215">
        <f>COMPOSICIÓN!I283</f>
        <v>60860.580776572002</v>
      </c>
      <c r="J283" s="212" t="str">
        <f>IFERROR(VLOOKUP(A283,PARTIDAS!$A$2:$C$269,3,FALSE()),"")</f>
        <v>PISOS</v>
      </c>
      <c r="K283" s="212" t="str">
        <f>IFERROR(INDEX(PPTO_GENERADOR!$B$4:$B$220,MATCH(A283,PPTO_GENERADOR!$Q$4:$Q$220,0)),"")</f>
        <v/>
      </c>
      <c r="L283" s="216">
        <f>IF(PLAN_ETAPA!$C$4="(TODOS)",SUMIFS(PPTO_GENERADOR!$E$4:$E$220,PPTO_GENERADOR!$Q$4:$Q$220,A283),SUMIFS(PPTO_GENERADOR!$E$4:$E$220,PPTO_GENERADOR!$Q$4:$Q$220,A283,PPTO_GENERADOR!$B$4:$B$220,PLAN_ETAPA!$C$4))</f>
        <v>0</v>
      </c>
      <c r="M283" s="216">
        <f>IFERROR(VLOOKUP(A283,PARTIDAS!$A$2:$F$269,6,FALSE()),1)</f>
        <v>380</v>
      </c>
      <c r="N283" s="216">
        <f>IFERROR(VLOOKUP(A283,PARTIDAS!$A$2:$I$269,9,FALSE()),1)</f>
        <v>1</v>
      </c>
      <c r="O283" s="217">
        <f t="shared" si="8"/>
        <v>0</v>
      </c>
      <c r="P283" s="216">
        <f>IF(O283=0,0,IF(B283="MAT",G283*(1+H283)*L283*PLAN_ETAPA!$C$5,IF(B283="MO",IF(M283=0,0,G283*L283*PLAN_ETAPA!$C$5*N283/M283),IF(B283="EQ",IF(M283=0,0,G283*L283*PLAN_ETAPA!$C$5/M283),0))))</f>
        <v>0</v>
      </c>
      <c r="Q283" s="218">
        <f t="shared" si="9"/>
        <v>0</v>
      </c>
    </row>
    <row r="284" spans="1:17" x14ac:dyDescent="0.35">
      <c r="A284" s="212" t="str">
        <f>COMPOSICIÓN!A284</f>
        <v>COL-081</v>
      </c>
      <c r="B284" s="212" t="str">
        <f>COMPOSICIÓN!B284</f>
        <v>MO</v>
      </c>
      <c r="C284" s="212" t="str">
        <f>COMPOSICIÓN!C284</f>
        <v>ALB</v>
      </c>
      <c r="D284" s="212" t="str">
        <f>COMPOSICIÓN!D284</f>
        <v>MO-EESPE</v>
      </c>
      <c r="E284" s="212" t="str">
        <f>COMPOSICIÓN!E284</f>
        <v>ESPECIALIZADO</v>
      </c>
      <c r="F284" s="212" t="str">
        <f>COMPOSICIÓN!F284</f>
        <v>j</v>
      </c>
      <c r="G284" s="213">
        <f>COMPOSICIÓN!G284</f>
        <v>2</v>
      </c>
      <c r="H284" s="214">
        <f>COMPOSICIÓN!H284</f>
        <v>0</v>
      </c>
      <c r="I284" s="215">
        <f>COMPOSICIÓN!I284</f>
        <v>85927.097156571996</v>
      </c>
      <c r="J284" s="212" t="str">
        <f>IFERROR(VLOOKUP(A284,PARTIDAS!$A$2:$C$269,3,FALSE()),"")</f>
        <v>PISOS</v>
      </c>
      <c r="K284" s="212" t="str">
        <f>IFERROR(INDEX(PPTO_GENERADOR!$B$4:$B$220,MATCH(A284,PPTO_GENERADOR!$Q$4:$Q$220,0)),"")</f>
        <v/>
      </c>
      <c r="L284" s="216">
        <f>IF(PLAN_ETAPA!$C$4="(TODOS)",SUMIFS(PPTO_GENERADOR!$E$4:$E$220,PPTO_GENERADOR!$Q$4:$Q$220,A284),SUMIFS(PPTO_GENERADOR!$E$4:$E$220,PPTO_GENERADOR!$Q$4:$Q$220,A284,PPTO_GENERADOR!$B$4:$B$220,PLAN_ETAPA!$C$4))</f>
        <v>0</v>
      </c>
      <c r="M284" s="216">
        <f>IFERROR(VLOOKUP(A284,PARTIDAS!$A$2:$F$269,6,FALSE()),1)</f>
        <v>380</v>
      </c>
      <c r="N284" s="216">
        <f>IFERROR(VLOOKUP(A284,PARTIDAS!$A$2:$I$269,9,FALSE()),1)</f>
        <v>1</v>
      </c>
      <c r="O284" s="217">
        <f t="shared" si="8"/>
        <v>0</v>
      </c>
      <c r="P284" s="216">
        <f>IF(O284=0,0,IF(B284="MAT",G284*(1+H284)*L284*PLAN_ETAPA!$C$5,IF(B284="MO",IF(M284=0,0,G284*L284*PLAN_ETAPA!$C$5*N284/M284),IF(B284="EQ",IF(M284=0,0,G284*L284*PLAN_ETAPA!$C$5/M284),0))))</f>
        <v>0</v>
      </c>
      <c r="Q284" s="218">
        <f t="shared" si="9"/>
        <v>0</v>
      </c>
    </row>
    <row r="285" spans="1:17" x14ac:dyDescent="0.35">
      <c r="A285" s="212" t="str">
        <f>COMPOSICIÓN!A285</f>
        <v>COL-081</v>
      </c>
      <c r="B285" s="212" t="str">
        <f>COMPOSICIÓN!B285</f>
        <v>MO</v>
      </c>
      <c r="C285" s="212" t="str">
        <f>COMPOSICIÓN!C285</f>
        <v>ALB</v>
      </c>
      <c r="D285" s="212" t="str">
        <f>COMPOSICIÓN!D285</f>
        <v>MO-EESPE</v>
      </c>
      <c r="E285" s="212" t="str">
        <f>COMPOSICIÓN!E285</f>
        <v>ESPECIALIZADO</v>
      </c>
      <c r="F285" s="212" t="str">
        <f>COMPOSICIÓN!F285</f>
        <v>j</v>
      </c>
      <c r="G285" s="213">
        <f>COMPOSICIÓN!G285</f>
        <v>2</v>
      </c>
      <c r="H285" s="214">
        <f>COMPOSICIÓN!H285</f>
        <v>0</v>
      </c>
      <c r="I285" s="215">
        <f>COMPOSICIÓN!I285</f>
        <v>85927.097156571996</v>
      </c>
      <c r="J285" s="212" t="str">
        <f>IFERROR(VLOOKUP(A285,PARTIDAS!$A$2:$C$269,3,FALSE()),"")</f>
        <v>PISOS</v>
      </c>
      <c r="K285" s="212" t="str">
        <f>IFERROR(INDEX(PPTO_GENERADOR!$B$4:$B$220,MATCH(A285,PPTO_GENERADOR!$Q$4:$Q$220,0)),"")</f>
        <v/>
      </c>
      <c r="L285" s="216">
        <f>IF(PLAN_ETAPA!$C$4="(TODOS)",SUMIFS(PPTO_GENERADOR!$E$4:$E$220,PPTO_GENERADOR!$Q$4:$Q$220,A285),SUMIFS(PPTO_GENERADOR!$E$4:$E$220,PPTO_GENERADOR!$Q$4:$Q$220,A285,PPTO_GENERADOR!$B$4:$B$220,PLAN_ETAPA!$C$4))</f>
        <v>0</v>
      </c>
      <c r="M285" s="216">
        <f>IFERROR(VLOOKUP(A285,PARTIDAS!$A$2:$F$269,6,FALSE()),1)</f>
        <v>380</v>
      </c>
      <c r="N285" s="216">
        <f>IFERROR(VLOOKUP(A285,PARTIDAS!$A$2:$I$269,9,FALSE()),1)</f>
        <v>1</v>
      </c>
      <c r="O285" s="217">
        <f t="shared" si="8"/>
        <v>0</v>
      </c>
      <c r="P285" s="216">
        <f>IF(O285=0,0,IF(B285="MAT",G285*(1+H285)*L285*PLAN_ETAPA!$C$5,IF(B285="MO",IF(M285=0,0,G285*L285*PLAN_ETAPA!$C$5*N285/M285),IF(B285="EQ",IF(M285=0,0,G285*L285*PLAN_ETAPA!$C$5/M285),0))))</f>
        <v>0</v>
      </c>
      <c r="Q285" s="218">
        <f t="shared" si="9"/>
        <v>0</v>
      </c>
    </row>
    <row r="286" spans="1:17" x14ac:dyDescent="0.35">
      <c r="A286" s="212" t="str">
        <f>COMPOSICIÓN!A286</f>
        <v>COL-082</v>
      </c>
      <c r="B286" s="212" t="str">
        <f>COMPOSICIÓN!B286</f>
        <v>MAT</v>
      </c>
      <c r="C286" s="212" t="str">
        <f>COMPOSICIÓN!C286</f>
        <v>OTR</v>
      </c>
      <c r="D286" s="212" t="str">
        <f>COMPOSICIÓN!D286</f>
        <v>ACE-010</v>
      </c>
      <c r="E286" s="212" t="str">
        <f>COMPOSICIÓN!E286</f>
        <v>Alambre de Fardo</v>
      </c>
      <c r="F286" s="212" t="str">
        <f>COMPOSICIÓN!F286</f>
        <v>kg</v>
      </c>
      <c r="G286" s="213">
        <f>COMPOSICIÓN!G286</f>
        <v>6.7000000000000004E-2</v>
      </c>
      <c r="H286" s="214">
        <f>COMPOSICIÓN!H286</f>
        <v>0.15</v>
      </c>
      <c r="I286" s="215">
        <f>COMPOSICIÓN!I286</f>
        <v>2302.02</v>
      </c>
      <c r="J286" s="212" t="str">
        <f>IFERROR(VLOOKUP(A286,PARTIDAS!$A$2:$C$269,3,FALSE()),"")</f>
        <v>PISOS</v>
      </c>
      <c r="K286" s="212" t="str">
        <f>IFERROR(INDEX(PPTO_GENERADOR!$B$4:$B$220,MATCH(A286,PPTO_GENERADOR!$Q$4:$Q$220,0)),"")</f>
        <v/>
      </c>
      <c r="L286" s="216">
        <f>IF(PLAN_ETAPA!$C$4="(TODOS)",SUMIFS(PPTO_GENERADOR!$E$4:$E$220,PPTO_GENERADOR!$Q$4:$Q$220,A286),SUMIFS(PPTO_GENERADOR!$E$4:$E$220,PPTO_GENERADOR!$Q$4:$Q$220,A286,PPTO_GENERADOR!$B$4:$B$220,PLAN_ETAPA!$C$4))</f>
        <v>0</v>
      </c>
      <c r="M286" s="216">
        <f>IFERROR(VLOOKUP(A286,PARTIDAS!$A$2:$F$269,6,FALSE()),1)</f>
        <v>420</v>
      </c>
      <c r="N286" s="216">
        <f>IFERROR(VLOOKUP(A286,PARTIDAS!$A$2:$I$269,9,FALSE()),1)</f>
        <v>1</v>
      </c>
      <c r="O286" s="217">
        <f t="shared" si="8"/>
        <v>0</v>
      </c>
      <c r="P286" s="216">
        <f>IF(O286=0,0,IF(B286="MAT",G286*(1+H286)*L286*PLAN_ETAPA!$C$5,IF(B286="MO",IF(M286=0,0,G286*L286*PLAN_ETAPA!$C$5*N286/M286),IF(B286="EQ",IF(M286=0,0,G286*L286*PLAN_ETAPA!$C$5/M286),0))))</f>
        <v>0</v>
      </c>
      <c r="Q286" s="218">
        <f t="shared" si="9"/>
        <v>0</v>
      </c>
    </row>
    <row r="287" spans="1:17" x14ac:dyDescent="0.35">
      <c r="A287" s="212" t="str">
        <f>COMPOSICIÓN!A287</f>
        <v>COL-082</v>
      </c>
      <c r="B287" s="212" t="str">
        <f>COMPOSICIÓN!B287</f>
        <v>MAT</v>
      </c>
      <c r="C287" s="212" t="str">
        <f>COMPOSICIÓN!C287</f>
        <v>OTR</v>
      </c>
      <c r="D287" s="212" t="str">
        <f>COMPOSICIÓN!D287</f>
        <v>ACE-016</v>
      </c>
      <c r="E287" s="212" t="str">
        <f>COMPOSICIÓN!E287</f>
        <v>ACERO ESTRUCTURAL POR KILO</v>
      </c>
      <c r="F287" s="212" t="str">
        <f>COMPOSICIÓN!F287</f>
        <v>KGF</v>
      </c>
      <c r="G287" s="213">
        <f>COMPOSICIÓN!G287</f>
        <v>1</v>
      </c>
      <c r="H287" s="214">
        <f>COMPOSICIÓN!H287</f>
        <v>7.0000000000000007E-2</v>
      </c>
      <c r="I287" s="215">
        <f>COMPOSICIÓN!I287</f>
        <v>1269.26</v>
      </c>
      <c r="J287" s="212" t="str">
        <f>IFERROR(VLOOKUP(A287,PARTIDAS!$A$2:$C$269,3,FALSE()),"")</f>
        <v>PISOS</v>
      </c>
      <c r="K287" s="212" t="str">
        <f>IFERROR(INDEX(PPTO_GENERADOR!$B$4:$B$220,MATCH(A287,PPTO_GENERADOR!$Q$4:$Q$220,0)),"")</f>
        <v/>
      </c>
      <c r="L287" s="216">
        <f>IF(PLAN_ETAPA!$C$4="(TODOS)",SUMIFS(PPTO_GENERADOR!$E$4:$E$220,PPTO_GENERADOR!$Q$4:$Q$220,A287),SUMIFS(PPTO_GENERADOR!$E$4:$E$220,PPTO_GENERADOR!$Q$4:$Q$220,A287,PPTO_GENERADOR!$B$4:$B$220,PLAN_ETAPA!$C$4))</f>
        <v>0</v>
      </c>
      <c r="M287" s="216">
        <f>IFERROR(VLOOKUP(A287,PARTIDAS!$A$2:$F$269,6,FALSE()),1)</f>
        <v>420</v>
      </c>
      <c r="N287" s="216">
        <f>IFERROR(VLOOKUP(A287,PARTIDAS!$A$2:$I$269,9,FALSE()),1)</f>
        <v>1</v>
      </c>
      <c r="O287" s="217">
        <f t="shared" si="8"/>
        <v>0</v>
      </c>
      <c r="P287" s="216">
        <f>IF(O287=0,0,IF(B287="MAT",G287*(1+H287)*L287*PLAN_ETAPA!$C$5,IF(B287="MO",IF(M287=0,0,G287*L287*PLAN_ETAPA!$C$5*N287/M287),IF(B287="EQ",IF(M287=0,0,G287*L287*PLAN_ETAPA!$C$5/M287),0))))</f>
        <v>0</v>
      </c>
      <c r="Q287" s="218">
        <f t="shared" si="9"/>
        <v>0</v>
      </c>
    </row>
    <row r="288" spans="1:17" x14ac:dyDescent="0.35">
      <c r="A288" s="212" t="str">
        <f>COMPOSICIÓN!A288</f>
        <v>COL-082</v>
      </c>
      <c r="B288" s="212" t="str">
        <f>COMPOSICIÓN!B288</f>
        <v>MO</v>
      </c>
      <c r="C288" s="212" t="str">
        <f>COMPOSICIÓN!C288</f>
        <v>ALB</v>
      </c>
      <c r="D288" s="212" t="str">
        <f>COMPOSICIÓN!D288</f>
        <v>MO-EAYUD</v>
      </c>
      <c r="E288" s="212" t="str">
        <f>COMPOSICIÓN!E288</f>
        <v>AYUDANTE</v>
      </c>
      <c r="F288" s="212" t="str">
        <f>COMPOSICIÓN!F288</f>
        <v>j</v>
      </c>
      <c r="G288" s="213">
        <f>COMPOSICIÓN!G288</f>
        <v>1</v>
      </c>
      <c r="H288" s="214">
        <f>COMPOSICIÓN!H288</f>
        <v>0</v>
      </c>
      <c r="I288" s="215">
        <f>COMPOSICIÓN!I288</f>
        <v>60860.580776572002</v>
      </c>
      <c r="J288" s="212" t="str">
        <f>IFERROR(VLOOKUP(A288,PARTIDAS!$A$2:$C$269,3,FALSE()),"")</f>
        <v>PISOS</v>
      </c>
      <c r="K288" s="212" t="str">
        <f>IFERROR(INDEX(PPTO_GENERADOR!$B$4:$B$220,MATCH(A288,PPTO_GENERADOR!$Q$4:$Q$220,0)),"")</f>
        <v/>
      </c>
      <c r="L288" s="216">
        <f>IF(PLAN_ETAPA!$C$4="(TODOS)",SUMIFS(PPTO_GENERADOR!$E$4:$E$220,PPTO_GENERADOR!$Q$4:$Q$220,A288),SUMIFS(PPTO_GENERADOR!$E$4:$E$220,PPTO_GENERADOR!$Q$4:$Q$220,A288,PPTO_GENERADOR!$B$4:$B$220,PLAN_ETAPA!$C$4))</f>
        <v>0</v>
      </c>
      <c r="M288" s="216">
        <f>IFERROR(VLOOKUP(A288,PARTIDAS!$A$2:$F$269,6,FALSE()),1)</f>
        <v>420</v>
      </c>
      <c r="N288" s="216">
        <f>IFERROR(VLOOKUP(A288,PARTIDAS!$A$2:$I$269,9,FALSE()),1)</f>
        <v>1</v>
      </c>
      <c r="O288" s="217">
        <f t="shared" si="8"/>
        <v>0</v>
      </c>
      <c r="P288" s="216">
        <f>IF(O288=0,0,IF(B288="MAT",G288*(1+H288)*L288*PLAN_ETAPA!$C$5,IF(B288="MO",IF(M288=0,0,G288*L288*PLAN_ETAPA!$C$5*N288/M288),IF(B288="EQ",IF(M288=0,0,G288*L288*PLAN_ETAPA!$C$5/M288),0))))</f>
        <v>0</v>
      </c>
      <c r="Q288" s="218">
        <f t="shared" si="9"/>
        <v>0</v>
      </c>
    </row>
    <row r="289" spans="1:17" x14ac:dyDescent="0.35">
      <c r="A289" s="212" t="str">
        <f>COMPOSICIÓN!A289</f>
        <v>COL-082</v>
      </c>
      <c r="B289" s="212" t="str">
        <f>COMPOSICIÓN!B289</f>
        <v>MO</v>
      </c>
      <c r="C289" s="212" t="str">
        <f>COMPOSICIÓN!C289</f>
        <v>ALB</v>
      </c>
      <c r="D289" s="212" t="str">
        <f>COMPOSICIÓN!D289</f>
        <v>MO-EESPE</v>
      </c>
      <c r="E289" s="212" t="str">
        <f>COMPOSICIÓN!E289</f>
        <v>ESPECIALIZADO</v>
      </c>
      <c r="F289" s="212" t="str">
        <f>COMPOSICIÓN!F289</f>
        <v>j</v>
      </c>
      <c r="G289" s="213">
        <f>COMPOSICIÓN!G289</f>
        <v>2</v>
      </c>
      <c r="H289" s="214">
        <f>COMPOSICIÓN!H289</f>
        <v>0</v>
      </c>
      <c r="I289" s="215">
        <f>COMPOSICIÓN!I289</f>
        <v>85927.097156571996</v>
      </c>
      <c r="J289" s="212" t="str">
        <f>IFERROR(VLOOKUP(A289,PARTIDAS!$A$2:$C$269,3,FALSE()),"")</f>
        <v>PISOS</v>
      </c>
      <c r="K289" s="212" t="str">
        <f>IFERROR(INDEX(PPTO_GENERADOR!$B$4:$B$220,MATCH(A289,PPTO_GENERADOR!$Q$4:$Q$220,0)),"")</f>
        <v/>
      </c>
      <c r="L289" s="216">
        <f>IF(PLAN_ETAPA!$C$4="(TODOS)",SUMIFS(PPTO_GENERADOR!$E$4:$E$220,PPTO_GENERADOR!$Q$4:$Q$220,A289),SUMIFS(PPTO_GENERADOR!$E$4:$E$220,PPTO_GENERADOR!$Q$4:$Q$220,A289,PPTO_GENERADOR!$B$4:$B$220,PLAN_ETAPA!$C$4))</f>
        <v>0</v>
      </c>
      <c r="M289" s="216">
        <f>IFERROR(VLOOKUP(A289,PARTIDAS!$A$2:$F$269,6,FALSE()),1)</f>
        <v>420</v>
      </c>
      <c r="N289" s="216">
        <f>IFERROR(VLOOKUP(A289,PARTIDAS!$A$2:$I$269,9,FALSE()),1)</f>
        <v>1</v>
      </c>
      <c r="O289" s="217">
        <f t="shared" si="8"/>
        <v>0</v>
      </c>
      <c r="P289" s="216">
        <f>IF(O289=0,0,IF(B289="MAT",G289*(1+H289)*L289*PLAN_ETAPA!$C$5,IF(B289="MO",IF(M289=0,0,G289*L289*PLAN_ETAPA!$C$5*N289/M289),IF(B289="EQ",IF(M289=0,0,G289*L289*PLAN_ETAPA!$C$5/M289),0))))</f>
        <v>0</v>
      </c>
      <c r="Q289" s="218">
        <f t="shared" si="9"/>
        <v>0</v>
      </c>
    </row>
    <row r="290" spans="1:17" x14ac:dyDescent="0.35">
      <c r="A290" s="212" t="str">
        <f>COMPOSICIÓN!A290</f>
        <v>COL-082</v>
      </c>
      <c r="B290" s="212" t="str">
        <f>COMPOSICIÓN!B290</f>
        <v>MO</v>
      </c>
      <c r="C290" s="212" t="str">
        <f>COMPOSICIÓN!C290</f>
        <v>ALB</v>
      </c>
      <c r="D290" s="212" t="str">
        <f>COMPOSICIÓN!D290</f>
        <v>MO-EESPE</v>
      </c>
      <c r="E290" s="212" t="str">
        <f>COMPOSICIÓN!E290</f>
        <v>ESPECIALIZADO</v>
      </c>
      <c r="F290" s="212" t="str">
        <f>COMPOSICIÓN!F290</f>
        <v>j</v>
      </c>
      <c r="G290" s="213">
        <f>COMPOSICIÓN!G290</f>
        <v>2</v>
      </c>
      <c r="H290" s="214">
        <f>COMPOSICIÓN!H290</f>
        <v>0</v>
      </c>
      <c r="I290" s="215">
        <f>COMPOSICIÓN!I290</f>
        <v>85927.097156571996</v>
      </c>
      <c r="J290" s="212" t="str">
        <f>IFERROR(VLOOKUP(A290,PARTIDAS!$A$2:$C$269,3,FALSE()),"")</f>
        <v>PISOS</v>
      </c>
      <c r="K290" s="212" t="str">
        <f>IFERROR(INDEX(PPTO_GENERADOR!$B$4:$B$220,MATCH(A290,PPTO_GENERADOR!$Q$4:$Q$220,0)),"")</f>
        <v/>
      </c>
      <c r="L290" s="216">
        <f>IF(PLAN_ETAPA!$C$4="(TODOS)",SUMIFS(PPTO_GENERADOR!$E$4:$E$220,PPTO_GENERADOR!$Q$4:$Q$220,A290),SUMIFS(PPTO_GENERADOR!$E$4:$E$220,PPTO_GENERADOR!$Q$4:$Q$220,A290,PPTO_GENERADOR!$B$4:$B$220,PLAN_ETAPA!$C$4))</f>
        <v>0</v>
      </c>
      <c r="M290" s="216">
        <f>IFERROR(VLOOKUP(A290,PARTIDAS!$A$2:$F$269,6,FALSE()),1)</f>
        <v>420</v>
      </c>
      <c r="N290" s="216">
        <f>IFERROR(VLOOKUP(A290,PARTIDAS!$A$2:$I$269,9,FALSE()),1)</f>
        <v>1</v>
      </c>
      <c r="O290" s="217">
        <f t="shared" si="8"/>
        <v>0</v>
      </c>
      <c r="P290" s="216">
        <f>IF(O290=0,0,IF(B290="MAT",G290*(1+H290)*L290*PLAN_ETAPA!$C$5,IF(B290="MO",IF(M290=0,0,G290*L290*PLAN_ETAPA!$C$5*N290/M290),IF(B290="EQ",IF(M290=0,0,G290*L290*PLAN_ETAPA!$C$5/M290),0))))</f>
        <v>0</v>
      </c>
      <c r="Q290" s="218">
        <f t="shared" si="9"/>
        <v>0</v>
      </c>
    </row>
    <row r="291" spans="1:17" x14ac:dyDescent="0.35">
      <c r="A291" s="212" t="str">
        <f>COMPOSICIÓN!A291</f>
        <v>COL-083</v>
      </c>
      <c r="B291" s="212" t="str">
        <f>COMPOSICIÓN!B291</f>
        <v>MAT</v>
      </c>
      <c r="C291" s="212" t="str">
        <f>COMPOSICIÓN!C291</f>
        <v>OTR</v>
      </c>
      <c r="D291" s="212" t="str">
        <f>COMPOSICIÓN!D291</f>
        <v>ACE-010</v>
      </c>
      <c r="E291" s="212" t="str">
        <f>COMPOSICIÓN!E291</f>
        <v>Alambre de Fardo</v>
      </c>
      <c r="F291" s="212" t="str">
        <f>COMPOSICIÓN!F291</f>
        <v>kg</v>
      </c>
      <c r="G291" s="213">
        <f>COMPOSICIÓN!G291</f>
        <v>6.7000000000000004E-2</v>
      </c>
      <c r="H291" s="214">
        <f>COMPOSICIÓN!H291</f>
        <v>0.15</v>
      </c>
      <c r="I291" s="215">
        <f>COMPOSICIÓN!I291</f>
        <v>2302.02</v>
      </c>
      <c r="J291" s="212" t="str">
        <f>IFERROR(VLOOKUP(A291,PARTIDAS!$A$2:$C$269,3,FALSE()),"")</f>
        <v>PISOS</v>
      </c>
      <c r="K291" s="212" t="str">
        <f>IFERROR(INDEX(PPTO_GENERADOR!$B$4:$B$220,MATCH(A291,PPTO_GENERADOR!$Q$4:$Q$220,0)),"")</f>
        <v/>
      </c>
      <c r="L291" s="216">
        <f>IF(PLAN_ETAPA!$C$4="(TODOS)",SUMIFS(PPTO_GENERADOR!$E$4:$E$220,PPTO_GENERADOR!$Q$4:$Q$220,A291),SUMIFS(PPTO_GENERADOR!$E$4:$E$220,PPTO_GENERADOR!$Q$4:$Q$220,A291,PPTO_GENERADOR!$B$4:$B$220,PLAN_ETAPA!$C$4))</f>
        <v>0</v>
      </c>
      <c r="M291" s="216">
        <f>IFERROR(VLOOKUP(A291,PARTIDAS!$A$2:$F$269,6,FALSE()),1)</f>
        <v>400</v>
      </c>
      <c r="N291" s="216">
        <f>IFERROR(VLOOKUP(A291,PARTIDAS!$A$2:$I$269,9,FALSE()),1)</f>
        <v>1</v>
      </c>
      <c r="O291" s="217">
        <f t="shared" si="8"/>
        <v>0</v>
      </c>
      <c r="P291" s="216">
        <f>IF(O291=0,0,IF(B291="MAT",G291*(1+H291)*L291*PLAN_ETAPA!$C$5,IF(B291="MO",IF(M291=0,0,G291*L291*PLAN_ETAPA!$C$5*N291/M291),IF(B291="EQ",IF(M291=0,0,G291*L291*PLAN_ETAPA!$C$5/M291),0))))</f>
        <v>0</v>
      </c>
      <c r="Q291" s="218">
        <f t="shared" si="9"/>
        <v>0</v>
      </c>
    </row>
    <row r="292" spans="1:17" x14ac:dyDescent="0.35">
      <c r="A292" s="212" t="str">
        <f>COMPOSICIÓN!A292</f>
        <v>COL-083</v>
      </c>
      <c r="B292" s="212" t="str">
        <f>COMPOSICIÓN!B292</f>
        <v>MAT</v>
      </c>
      <c r="C292" s="212" t="str">
        <f>COMPOSICIÓN!C292</f>
        <v>OTR</v>
      </c>
      <c r="D292" s="212" t="str">
        <f>COMPOSICIÓN!D292</f>
        <v>ACE-016</v>
      </c>
      <c r="E292" s="212" t="str">
        <f>COMPOSICIÓN!E292</f>
        <v>ACERO ESTRUCTURAL POR KILO</v>
      </c>
      <c r="F292" s="212" t="str">
        <f>COMPOSICIÓN!F292</f>
        <v>KGF</v>
      </c>
      <c r="G292" s="213">
        <f>COMPOSICIÓN!G292</f>
        <v>1</v>
      </c>
      <c r="H292" s="214">
        <f>COMPOSICIÓN!H292</f>
        <v>7.0000000000000007E-2</v>
      </c>
      <c r="I292" s="215">
        <f>COMPOSICIÓN!I292</f>
        <v>1269.26</v>
      </c>
      <c r="J292" s="212" t="str">
        <f>IFERROR(VLOOKUP(A292,PARTIDAS!$A$2:$C$269,3,FALSE()),"")</f>
        <v>PISOS</v>
      </c>
      <c r="K292" s="212" t="str">
        <f>IFERROR(INDEX(PPTO_GENERADOR!$B$4:$B$220,MATCH(A292,PPTO_GENERADOR!$Q$4:$Q$220,0)),"")</f>
        <v/>
      </c>
      <c r="L292" s="216">
        <f>IF(PLAN_ETAPA!$C$4="(TODOS)",SUMIFS(PPTO_GENERADOR!$E$4:$E$220,PPTO_GENERADOR!$Q$4:$Q$220,A292),SUMIFS(PPTO_GENERADOR!$E$4:$E$220,PPTO_GENERADOR!$Q$4:$Q$220,A292,PPTO_GENERADOR!$B$4:$B$220,PLAN_ETAPA!$C$4))</f>
        <v>0</v>
      </c>
      <c r="M292" s="216">
        <f>IFERROR(VLOOKUP(A292,PARTIDAS!$A$2:$F$269,6,FALSE()),1)</f>
        <v>400</v>
      </c>
      <c r="N292" s="216">
        <f>IFERROR(VLOOKUP(A292,PARTIDAS!$A$2:$I$269,9,FALSE()),1)</f>
        <v>1</v>
      </c>
      <c r="O292" s="217">
        <f t="shared" si="8"/>
        <v>0</v>
      </c>
      <c r="P292" s="216">
        <f>IF(O292=0,0,IF(B292="MAT",G292*(1+H292)*L292*PLAN_ETAPA!$C$5,IF(B292="MO",IF(M292=0,0,G292*L292*PLAN_ETAPA!$C$5*N292/M292),IF(B292="EQ",IF(M292=0,0,G292*L292*PLAN_ETAPA!$C$5/M292),0))))</f>
        <v>0</v>
      </c>
      <c r="Q292" s="218">
        <f t="shared" si="9"/>
        <v>0</v>
      </c>
    </row>
    <row r="293" spans="1:17" x14ac:dyDescent="0.35">
      <c r="A293" s="212" t="str">
        <f>COMPOSICIÓN!A293</f>
        <v>COL-083</v>
      </c>
      <c r="B293" s="212" t="str">
        <f>COMPOSICIÓN!B293</f>
        <v>MO</v>
      </c>
      <c r="C293" s="212" t="str">
        <f>COMPOSICIÓN!C293</f>
        <v>ALB</v>
      </c>
      <c r="D293" s="212" t="str">
        <f>COMPOSICIÓN!D293</f>
        <v>MO-EAYUD</v>
      </c>
      <c r="E293" s="212" t="str">
        <f>COMPOSICIÓN!E293</f>
        <v>AYUDANTE</v>
      </c>
      <c r="F293" s="212" t="str">
        <f>COMPOSICIÓN!F293</f>
        <v>j</v>
      </c>
      <c r="G293" s="213">
        <f>COMPOSICIÓN!G293</f>
        <v>1</v>
      </c>
      <c r="H293" s="214">
        <f>COMPOSICIÓN!H293</f>
        <v>0</v>
      </c>
      <c r="I293" s="215">
        <f>COMPOSICIÓN!I293</f>
        <v>60860.580776572002</v>
      </c>
      <c r="J293" s="212" t="str">
        <f>IFERROR(VLOOKUP(A293,PARTIDAS!$A$2:$C$269,3,FALSE()),"")</f>
        <v>PISOS</v>
      </c>
      <c r="K293" s="212" t="str">
        <f>IFERROR(INDEX(PPTO_GENERADOR!$B$4:$B$220,MATCH(A293,PPTO_GENERADOR!$Q$4:$Q$220,0)),"")</f>
        <v/>
      </c>
      <c r="L293" s="216">
        <f>IF(PLAN_ETAPA!$C$4="(TODOS)",SUMIFS(PPTO_GENERADOR!$E$4:$E$220,PPTO_GENERADOR!$Q$4:$Q$220,A293),SUMIFS(PPTO_GENERADOR!$E$4:$E$220,PPTO_GENERADOR!$Q$4:$Q$220,A293,PPTO_GENERADOR!$B$4:$B$220,PLAN_ETAPA!$C$4))</f>
        <v>0</v>
      </c>
      <c r="M293" s="216">
        <f>IFERROR(VLOOKUP(A293,PARTIDAS!$A$2:$F$269,6,FALSE()),1)</f>
        <v>400</v>
      </c>
      <c r="N293" s="216">
        <f>IFERROR(VLOOKUP(A293,PARTIDAS!$A$2:$I$269,9,FALSE()),1)</f>
        <v>1</v>
      </c>
      <c r="O293" s="217">
        <f t="shared" si="8"/>
        <v>0</v>
      </c>
      <c r="P293" s="216">
        <f>IF(O293=0,0,IF(B293="MAT",G293*(1+H293)*L293*PLAN_ETAPA!$C$5,IF(B293="MO",IF(M293=0,0,G293*L293*PLAN_ETAPA!$C$5*N293/M293),IF(B293="EQ",IF(M293=0,0,G293*L293*PLAN_ETAPA!$C$5/M293),0))))</f>
        <v>0</v>
      </c>
      <c r="Q293" s="218">
        <f t="shared" si="9"/>
        <v>0</v>
      </c>
    </row>
    <row r="294" spans="1:17" x14ac:dyDescent="0.35">
      <c r="A294" s="212" t="str">
        <f>COMPOSICIÓN!A294</f>
        <v>COL-083</v>
      </c>
      <c r="B294" s="212" t="str">
        <f>COMPOSICIÓN!B294</f>
        <v>MO</v>
      </c>
      <c r="C294" s="212" t="str">
        <f>COMPOSICIÓN!C294</f>
        <v>ALB</v>
      </c>
      <c r="D294" s="212" t="str">
        <f>COMPOSICIÓN!D294</f>
        <v>MO-EESPE</v>
      </c>
      <c r="E294" s="212" t="str">
        <f>COMPOSICIÓN!E294</f>
        <v>ESPECIALIZADO</v>
      </c>
      <c r="F294" s="212" t="str">
        <f>COMPOSICIÓN!F294</f>
        <v>j</v>
      </c>
      <c r="G294" s="213">
        <f>COMPOSICIÓN!G294</f>
        <v>2</v>
      </c>
      <c r="H294" s="214">
        <f>COMPOSICIÓN!H294</f>
        <v>0</v>
      </c>
      <c r="I294" s="215">
        <f>COMPOSICIÓN!I294</f>
        <v>85927.097156571996</v>
      </c>
      <c r="J294" s="212" t="str">
        <f>IFERROR(VLOOKUP(A294,PARTIDAS!$A$2:$C$269,3,FALSE()),"")</f>
        <v>PISOS</v>
      </c>
      <c r="K294" s="212" t="str">
        <f>IFERROR(INDEX(PPTO_GENERADOR!$B$4:$B$220,MATCH(A294,PPTO_GENERADOR!$Q$4:$Q$220,0)),"")</f>
        <v/>
      </c>
      <c r="L294" s="216">
        <f>IF(PLAN_ETAPA!$C$4="(TODOS)",SUMIFS(PPTO_GENERADOR!$E$4:$E$220,PPTO_GENERADOR!$Q$4:$Q$220,A294),SUMIFS(PPTO_GENERADOR!$E$4:$E$220,PPTO_GENERADOR!$Q$4:$Q$220,A294,PPTO_GENERADOR!$B$4:$B$220,PLAN_ETAPA!$C$4))</f>
        <v>0</v>
      </c>
      <c r="M294" s="216">
        <f>IFERROR(VLOOKUP(A294,PARTIDAS!$A$2:$F$269,6,FALSE()),1)</f>
        <v>400</v>
      </c>
      <c r="N294" s="216">
        <f>IFERROR(VLOOKUP(A294,PARTIDAS!$A$2:$I$269,9,FALSE()),1)</f>
        <v>1</v>
      </c>
      <c r="O294" s="217">
        <f t="shared" si="8"/>
        <v>0</v>
      </c>
      <c r="P294" s="216">
        <f>IF(O294=0,0,IF(B294="MAT",G294*(1+H294)*L294*PLAN_ETAPA!$C$5,IF(B294="MO",IF(M294=0,0,G294*L294*PLAN_ETAPA!$C$5*N294/M294),IF(B294="EQ",IF(M294=0,0,G294*L294*PLAN_ETAPA!$C$5/M294),0))))</f>
        <v>0</v>
      </c>
      <c r="Q294" s="218">
        <f t="shared" si="9"/>
        <v>0</v>
      </c>
    </row>
    <row r="295" spans="1:17" x14ac:dyDescent="0.35">
      <c r="A295" s="212" t="str">
        <f>COMPOSICIÓN!A295</f>
        <v>COL-083</v>
      </c>
      <c r="B295" s="212" t="str">
        <f>COMPOSICIÓN!B295</f>
        <v>MO</v>
      </c>
      <c r="C295" s="212" t="str">
        <f>COMPOSICIÓN!C295</f>
        <v>ALB</v>
      </c>
      <c r="D295" s="212" t="str">
        <f>COMPOSICIÓN!D295</f>
        <v>MO-EESPE</v>
      </c>
      <c r="E295" s="212" t="str">
        <f>COMPOSICIÓN!E295</f>
        <v>ESPECIALIZADO</v>
      </c>
      <c r="F295" s="212" t="str">
        <f>COMPOSICIÓN!F295</f>
        <v>j</v>
      </c>
      <c r="G295" s="213">
        <f>COMPOSICIÓN!G295</f>
        <v>2</v>
      </c>
      <c r="H295" s="214">
        <f>COMPOSICIÓN!H295</f>
        <v>0</v>
      </c>
      <c r="I295" s="215">
        <f>COMPOSICIÓN!I295</f>
        <v>85927.097156571996</v>
      </c>
      <c r="J295" s="212" t="str">
        <f>IFERROR(VLOOKUP(A295,PARTIDAS!$A$2:$C$269,3,FALSE()),"")</f>
        <v>PISOS</v>
      </c>
      <c r="K295" s="212" t="str">
        <f>IFERROR(INDEX(PPTO_GENERADOR!$B$4:$B$220,MATCH(A295,PPTO_GENERADOR!$Q$4:$Q$220,0)),"")</f>
        <v/>
      </c>
      <c r="L295" s="216">
        <f>IF(PLAN_ETAPA!$C$4="(TODOS)",SUMIFS(PPTO_GENERADOR!$E$4:$E$220,PPTO_GENERADOR!$Q$4:$Q$220,A295),SUMIFS(PPTO_GENERADOR!$E$4:$E$220,PPTO_GENERADOR!$Q$4:$Q$220,A295,PPTO_GENERADOR!$B$4:$B$220,PLAN_ETAPA!$C$4))</f>
        <v>0</v>
      </c>
      <c r="M295" s="216">
        <f>IFERROR(VLOOKUP(A295,PARTIDAS!$A$2:$F$269,6,FALSE()),1)</f>
        <v>400</v>
      </c>
      <c r="N295" s="216">
        <f>IFERROR(VLOOKUP(A295,PARTIDAS!$A$2:$I$269,9,FALSE()),1)</f>
        <v>1</v>
      </c>
      <c r="O295" s="217">
        <f t="shared" si="8"/>
        <v>0</v>
      </c>
      <c r="P295" s="216">
        <f>IF(O295=0,0,IF(B295="MAT",G295*(1+H295)*L295*PLAN_ETAPA!$C$5,IF(B295="MO",IF(M295=0,0,G295*L295*PLAN_ETAPA!$C$5*N295/M295),IF(B295="EQ",IF(M295=0,0,G295*L295*PLAN_ETAPA!$C$5/M295),0))))</f>
        <v>0</v>
      </c>
      <c r="Q295" s="218">
        <f t="shared" si="9"/>
        <v>0</v>
      </c>
    </row>
    <row r="296" spans="1:17" x14ac:dyDescent="0.35">
      <c r="A296" s="212" t="str">
        <f>COMPOSICIÓN!A296</f>
        <v>COL-084</v>
      </c>
      <c r="B296" s="212" t="str">
        <f>COMPOSICIÓN!B296</f>
        <v>MAT</v>
      </c>
      <c r="C296" s="212" t="str">
        <f>COMPOSICIÓN!C296</f>
        <v>OTR</v>
      </c>
      <c r="D296" s="212" t="str">
        <f>COMPOSICIÓN!D296</f>
        <v>ACE-010</v>
      </c>
      <c r="E296" s="212" t="str">
        <f>COMPOSICIÓN!E296</f>
        <v>Alambre de Fardo</v>
      </c>
      <c r="F296" s="212" t="str">
        <f>COMPOSICIÓN!F296</f>
        <v>kg</v>
      </c>
      <c r="G296" s="213">
        <f>COMPOSICIÓN!G296</f>
        <v>6.5000000000000002E-2</v>
      </c>
      <c r="H296" s="214">
        <f>COMPOSICIÓN!H296</f>
        <v>0.15</v>
      </c>
      <c r="I296" s="215">
        <f>COMPOSICIÓN!I296</f>
        <v>2302.02</v>
      </c>
      <c r="J296" s="212" t="str">
        <f>IFERROR(VLOOKUP(A296,PARTIDAS!$A$2:$C$269,3,FALSE()),"")</f>
        <v>PISOS</v>
      </c>
      <c r="K296" s="212" t="str">
        <f>IFERROR(INDEX(PPTO_GENERADOR!$B$4:$B$220,MATCH(A296,PPTO_GENERADOR!$Q$4:$Q$220,0)),"")</f>
        <v/>
      </c>
      <c r="L296" s="216">
        <f>IF(PLAN_ETAPA!$C$4="(TODOS)",SUMIFS(PPTO_GENERADOR!$E$4:$E$220,PPTO_GENERADOR!$Q$4:$Q$220,A296),SUMIFS(PPTO_GENERADOR!$E$4:$E$220,PPTO_GENERADOR!$Q$4:$Q$220,A296,PPTO_GENERADOR!$B$4:$B$220,PLAN_ETAPA!$C$4))</f>
        <v>0</v>
      </c>
      <c r="M296" s="216">
        <f>IFERROR(VLOOKUP(A296,PARTIDAS!$A$2:$F$269,6,FALSE()),1)</f>
        <v>150</v>
      </c>
      <c r="N296" s="216">
        <f>IFERROR(VLOOKUP(A296,PARTIDAS!$A$2:$I$269,9,FALSE()),1)</f>
        <v>1</v>
      </c>
      <c r="O296" s="217">
        <f t="shared" si="8"/>
        <v>0</v>
      </c>
      <c r="P296" s="216">
        <f>IF(O296=0,0,IF(B296="MAT",G296*(1+H296)*L296*PLAN_ETAPA!$C$5,IF(B296="MO",IF(M296=0,0,G296*L296*PLAN_ETAPA!$C$5*N296/M296),IF(B296="EQ",IF(M296=0,0,G296*L296*PLAN_ETAPA!$C$5/M296),0))))</f>
        <v>0</v>
      </c>
      <c r="Q296" s="218">
        <f t="shared" si="9"/>
        <v>0</v>
      </c>
    </row>
    <row r="297" spans="1:17" x14ac:dyDescent="0.35">
      <c r="A297" s="212" t="str">
        <f>COMPOSICIÓN!A297</f>
        <v>COL-084</v>
      </c>
      <c r="B297" s="212" t="str">
        <f>COMPOSICIÓN!B297</f>
        <v>MAT</v>
      </c>
      <c r="C297" s="212" t="str">
        <f>COMPOSICIÓN!C297</f>
        <v>OTR</v>
      </c>
      <c r="D297" s="212" t="str">
        <f>COMPOSICIÓN!D297</f>
        <v>ACE-016</v>
      </c>
      <c r="E297" s="212" t="str">
        <f>COMPOSICIÓN!E297</f>
        <v>ACERO ESTRUCTURAL POR KILO</v>
      </c>
      <c r="F297" s="212" t="str">
        <f>COMPOSICIÓN!F297</f>
        <v>KGF</v>
      </c>
      <c r="G297" s="213">
        <f>COMPOSICIÓN!G297</f>
        <v>8.3333333333333301E-2</v>
      </c>
      <c r="H297" s="214">
        <f>COMPOSICIÓN!H297</f>
        <v>7.0000000000000007E-2</v>
      </c>
      <c r="I297" s="215">
        <f>COMPOSICIÓN!I297</f>
        <v>1269.26</v>
      </c>
      <c r="J297" s="212" t="str">
        <f>IFERROR(VLOOKUP(A297,PARTIDAS!$A$2:$C$269,3,FALSE()),"")</f>
        <v>PISOS</v>
      </c>
      <c r="K297" s="212" t="str">
        <f>IFERROR(INDEX(PPTO_GENERADOR!$B$4:$B$220,MATCH(A297,PPTO_GENERADOR!$Q$4:$Q$220,0)),"")</f>
        <v/>
      </c>
      <c r="L297" s="216">
        <f>IF(PLAN_ETAPA!$C$4="(TODOS)",SUMIFS(PPTO_GENERADOR!$E$4:$E$220,PPTO_GENERADOR!$Q$4:$Q$220,A297),SUMIFS(PPTO_GENERADOR!$E$4:$E$220,PPTO_GENERADOR!$Q$4:$Q$220,A297,PPTO_GENERADOR!$B$4:$B$220,PLAN_ETAPA!$C$4))</f>
        <v>0</v>
      </c>
      <c r="M297" s="216">
        <f>IFERROR(VLOOKUP(A297,PARTIDAS!$A$2:$F$269,6,FALSE()),1)</f>
        <v>150</v>
      </c>
      <c r="N297" s="216">
        <f>IFERROR(VLOOKUP(A297,PARTIDAS!$A$2:$I$269,9,FALSE()),1)</f>
        <v>1</v>
      </c>
      <c r="O297" s="217">
        <f t="shared" si="8"/>
        <v>0</v>
      </c>
      <c r="P297" s="216">
        <f>IF(O297=0,0,IF(B297="MAT",G297*(1+H297)*L297*PLAN_ETAPA!$C$5,IF(B297="MO",IF(M297=0,0,G297*L297*PLAN_ETAPA!$C$5*N297/M297),IF(B297="EQ",IF(M297=0,0,G297*L297*PLAN_ETAPA!$C$5/M297),0))))</f>
        <v>0</v>
      </c>
      <c r="Q297" s="218">
        <f t="shared" si="9"/>
        <v>0</v>
      </c>
    </row>
    <row r="298" spans="1:17" x14ac:dyDescent="0.35">
      <c r="A298" s="212" t="str">
        <f>COMPOSICIÓN!A298</f>
        <v>COL-084</v>
      </c>
      <c r="B298" s="212" t="str">
        <f>COMPOSICIÓN!B298</f>
        <v>MO</v>
      </c>
      <c r="C298" s="212" t="str">
        <f>COMPOSICIÓN!C298</f>
        <v>ALB</v>
      </c>
      <c r="D298" s="212" t="str">
        <f>COMPOSICIÓN!D298</f>
        <v>MO-EESPE</v>
      </c>
      <c r="E298" s="212" t="str">
        <f>COMPOSICIÓN!E298</f>
        <v>ESPECIALIZADO</v>
      </c>
      <c r="F298" s="212" t="str">
        <f>COMPOSICIÓN!F298</f>
        <v>j</v>
      </c>
      <c r="G298" s="213">
        <f>COMPOSICIÓN!G298</f>
        <v>3</v>
      </c>
      <c r="H298" s="214">
        <f>COMPOSICIÓN!H298</f>
        <v>0</v>
      </c>
      <c r="I298" s="215">
        <f>COMPOSICIÓN!I298</f>
        <v>85927.097156571996</v>
      </c>
      <c r="J298" s="212" t="str">
        <f>IFERROR(VLOOKUP(A298,PARTIDAS!$A$2:$C$269,3,FALSE()),"")</f>
        <v>PISOS</v>
      </c>
      <c r="K298" s="212" t="str">
        <f>IFERROR(INDEX(PPTO_GENERADOR!$B$4:$B$220,MATCH(A298,PPTO_GENERADOR!$Q$4:$Q$220,0)),"")</f>
        <v/>
      </c>
      <c r="L298" s="216">
        <f>IF(PLAN_ETAPA!$C$4="(TODOS)",SUMIFS(PPTO_GENERADOR!$E$4:$E$220,PPTO_GENERADOR!$Q$4:$Q$220,A298),SUMIFS(PPTO_GENERADOR!$E$4:$E$220,PPTO_GENERADOR!$Q$4:$Q$220,A298,PPTO_GENERADOR!$B$4:$B$220,PLAN_ETAPA!$C$4))</f>
        <v>0</v>
      </c>
      <c r="M298" s="216">
        <f>IFERROR(VLOOKUP(A298,PARTIDAS!$A$2:$F$269,6,FALSE()),1)</f>
        <v>150</v>
      </c>
      <c r="N298" s="216">
        <f>IFERROR(VLOOKUP(A298,PARTIDAS!$A$2:$I$269,9,FALSE()),1)</f>
        <v>1</v>
      </c>
      <c r="O298" s="217">
        <f t="shared" si="8"/>
        <v>0</v>
      </c>
      <c r="P298" s="216">
        <f>IF(O298=0,0,IF(B298="MAT",G298*(1+H298)*L298*PLAN_ETAPA!$C$5,IF(B298="MO",IF(M298=0,0,G298*L298*PLAN_ETAPA!$C$5*N298/M298),IF(B298="EQ",IF(M298=0,0,G298*L298*PLAN_ETAPA!$C$5/M298),0))))</f>
        <v>0</v>
      </c>
      <c r="Q298" s="218">
        <f t="shared" si="9"/>
        <v>0</v>
      </c>
    </row>
    <row r="299" spans="1:17" x14ac:dyDescent="0.35">
      <c r="A299" s="212" t="str">
        <f>COMPOSICIÓN!A299</f>
        <v>COL-084</v>
      </c>
      <c r="B299" s="212" t="str">
        <f>COMPOSICIÓN!B299</f>
        <v>MO</v>
      </c>
      <c r="C299" s="212" t="str">
        <f>COMPOSICIÓN!C299</f>
        <v>ALB</v>
      </c>
      <c r="D299" s="212" t="str">
        <f>COMPOSICIÓN!D299</f>
        <v>MO-EESPE</v>
      </c>
      <c r="E299" s="212" t="str">
        <f>COMPOSICIÓN!E299</f>
        <v>ESPECIALIZADO</v>
      </c>
      <c r="F299" s="212" t="str">
        <f>COMPOSICIÓN!F299</f>
        <v>j</v>
      </c>
      <c r="G299" s="213">
        <f>COMPOSICIÓN!G299</f>
        <v>2</v>
      </c>
      <c r="H299" s="214">
        <f>COMPOSICIÓN!H299</f>
        <v>0</v>
      </c>
      <c r="I299" s="215">
        <f>COMPOSICIÓN!I299</f>
        <v>85927.097156571996</v>
      </c>
      <c r="J299" s="212" t="str">
        <f>IFERROR(VLOOKUP(A299,PARTIDAS!$A$2:$C$269,3,FALSE()),"")</f>
        <v>PISOS</v>
      </c>
      <c r="K299" s="212" t="str">
        <f>IFERROR(INDEX(PPTO_GENERADOR!$B$4:$B$220,MATCH(A299,PPTO_GENERADOR!$Q$4:$Q$220,0)),"")</f>
        <v/>
      </c>
      <c r="L299" s="216">
        <f>IF(PLAN_ETAPA!$C$4="(TODOS)",SUMIFS(PPTO_GENERADOR!$E$4:$E$220,PPTO_GENERADOR!$Q$4:$Q$220,A299),SUMIFS(PPTO_GENERADOR!$E$4:$E$220,PPTO_GENERADOR!$Q$4:$Q$220,A299,PPTO_GENERADOR!$B$4:$B$220,PLAN_ETAPA!$C$4))</f>
        <v>0</v>
      </c>
      <c r="M299" s="216">
        <f>IFERROR(VLOOKUP(A299,PARTIDAS!$A$2:$F$269,6,FALSE()),1)</f>
        <v>150</v>
      </c>
      <c r="N299" s="216">
        <f>IFERROR(VLOOKUP(A299,PARTIDAS!$A$2:$I$269,9,FALSE()),1)</f>
        <v>1</v>
      </c>
      <c r="O299" s="217">
        <f t="shared" si="8"/>
        <v>0</v>
      </c>
      <c r="P299" s="216">
        <f>IF(O299=0,0,IF(B299="MAT",G299*(1+H299)*L299*PLAN_ETAPA!$C$5,IF(B299="MO",IF(M299=0,0,G299*L299*PLAN_ETAPA!$C$5*N299/M299),IF(B299="EQ",IF(M299=0,0,G299*L299*PLAN_ETAPA!$C$5/M299),0))))</f>
        <v>0</v>
      </c>
      <c r="Q299" s="218">
        <f t="shared" si="9"/>
        <v>0</v>
      </c>
    </row>
    <row r="300" spans="1:17" x14ac:dyDescent="0.35">
      <c r="A300" s="212" t="str">
        <f>COMPOSICIÓN!A300</f>
        <v>COL-086</v>
      </c>
      <c r="B300" s="212" t="str">
        <f>COMPOSICIÓN!B300</f>
        <v>MAT</v>
      </c>
      <c r="C300" s="212" t="str">
        <f>COMPOSICIÓN!C300</f>
        <v>OTR</v>
      </c>
      <c r="D300" s="212" t="str">
        <f>COMPOSICIÓN!D300</f>
        <v>ACE-010</v>
      </c>
      <c r="E300" s="212" t="str">
        <f>COMPOSICIÓN!E300</f>
        <v>Alambre de Fardo</v>
      </c>
      <c r="F300" s="212" t="str">
        <f>COMPOSICIÓN!F300</f>
        <v>kg</v>
      </c>
      <c r="G300" s="213">
        <f>COMPOSICIÓN!G300</f>
        <v>6.7000000000000004E-2</v>
      </c>
      <c r="H300" s="214">
        <f>COMPOSICIÓN!H300</f>
        <v>0.15</v>
      </c>
      <c r="I300" s="215">
        <f>COMPOSICIÓN!I300</f>
        <v>2302.02</v>
      </c>
      <c r="J300" s="212" t="str">
        <f>IFERROR(VLOOKUP(A300,PARTIDAS!$A$2:$C$269,3,FALSE()),"")</f>
        <v>PISOS</v>
      </c>
      <c r="K300" s="212" t="str">
        <f>IFERROR(INDEX(PPTO_GENERADOR!$B$4:$B$220,MATCH(A300,PPTO_GENERADOR!$Q$4:$Q$220,0)),"")</f>
        <v/>
      </c>
      <c r="L300" s="216">
        <f>IF(PLAN_ETAPA!$C$4="(TODOS)",SUMIFS(PPTO_GENERADOR!$E$4:$E$220,PPTO_GENERADOR!$Q$4:$Q$220,A300),SUMIFS(PPTO_GENERADOR!$E$4:$E$220,PPTO_GENERADOR!$Q$4:$Q$220,A300,PPTO_GENERADOR!$B$4:$B$220,PLAN_ETAPA!$C$4))</f>
        <v>0</v>
      </c>
      <c r="M300" s="216">
        <f>IFERROR(VLOOKUP(A300,PARTIDAS!$A$2:$F$269,6,FALSE()),1)</f>
        <v>400</v>
      </c>
      <c r="N300" s="216">
        <f>IFERROR(VLOOKUP(A300,PARTIDAS!$A$2:$I$269,9,FALSE()),1)</f>
        <v>1</v>
      </c>
      <c r="O300" s="217">
        <f t="shared" si="8"/>
        <v>0</v>
      </c>
      <c r="P300" s="216">
        <f>IF(O300=0,0,IF(B300="MAT",G300*(1+H300)*L300*PLAN_ETAPA!$C$5,IF(B300="MO",IF(M300=0,0,G300*L300*PLAN_ETAPA!$C$5*N300/M300),IF(B300="EQ",IF(M300=0,0,G300*L300*PLAN_ETAPA!$C$5/M300),0))))</f>
        <v>0</v>
      </c>
      <c r="Q300" s="218">
        <f t="shared" si="9"/>
        <v>0</v>
      </c>
    </row>
    <row r="301" spans="1:17" x14ac:dyDescent="0.35">
      <c r="A301" s="212" t="str">
        <f>COMPOSICIÓN!A301</f>
        <v>COL-086</v>
      </c>
      <c r="B301" s="212" t="str">
        <f>COMPOSICIÓN!B301</f>
        <v>MAT</v>
      </c>
      <c r="C301" s="212" t="str">
        <f>COMPOSICIÓN!C301</f>
        <v>OTR</v>
      </c>
      <c r="D301" s="212" t="str">
        <f>COMPOSICIÓN!D301</f>
        <v>ACE-016</v>
      </c>
      <c r="E301" s="212" t="str">
        <f>COMPOSICIÓN!E301</f>
        <v>ACERO ESTRUCTURAL POR KILO</v>
      </c>
      <c r="F301" s="212" t="str">
        <f>COMPOSICIÓN!F301</f>
        <v>KGF</v>
      </c>
      <c r="G301" s="213">
        <f>COMPOSICIÓN!G301</f>
        <v>1</v>
      </c>
      <c r="H301" s="214">
        <f>COMPOSICIÓN!H301</f>
        <v>7.0000000000000007E-2</v>
      </c>
      <c r="I301" s="215">
        <f>COMPOSICIÓN!I301</f>
        <v>1269.26</v>
      </c>
      <c r="J301" s="212" t="str">
        <f>IFERROR(VLOOKUP(A301,PARTIDAS!$A$2:$C$269,3,FALSE()),"")</f>
        <v>PISOS</v>
      </c>
      <c r="K301" s="212" t="str">
        <f>IFERROR(INDEX(PPTO_GENERADOR!$B$4:$B$220,MATCH(A301,PPTO_GENERADOR!$Q$4:$Q$220,0)),"")</f>
        <v/>
      </c>
      <c r="L301" s="216">
        <f>IF(PLAN_ETAPA!$C$4="(TODOS)",SUMIFS(PPTO_GENERADOR!$E$4:$E$220,PPTO_GENERADOR!$Q$4:$Q$220,A301),SUMIFS(PPTO_GENERADOR!$E$4:$E$220,PPTO_GENERADOR!$Q$4:$Q$220,A301,PPTO_GENERADOR!$B$4:$B$220,PLAN_ETAPA!$C$4))</f>
        <v>0</v>
      </c>
      <c r="M301" s="216">
        <f>IFERROR(VLOOKUP(A301,PARTIDAS!$A$2:$F$269,6,FALSE()),1)</f>
        <v>400</v>
      </c>
      <c r="N301" s="216">
        <f>IFERROR(VLOOKUP(A301,PARTIDAS!$A$2:$I$269,9,FALSE()),1)</f>
        <v>1</v>
      </c>
      <c r="O301" s="217">
        <f t="shared" si="8"/>
        <v>0</v>
      </c>
      <c r="P301" s="216">
        <f>IF(O301=0,0,IF(B301="MAT",G301*(1+H301)*L301*PLAN_ETAPA!$C$5,IF(B301="MO",IF(M301=0,0,G301*L301*PLAN_ETAPA!$C$5*N301/M301),IF(B301="EQ",IF(M301=0,0,G301*L301*PLAN_ETAPA!$C$5/M301),0))))</f>
        <v>0</v>
      </c>
      <c r="Q301" s="218">
        <f t="shared" si="9"/>
        <v>0</v>
      </c>
    </row>
    <row r="302" spans="1:17" x14ac:dyDescent="0.35">
      <c r="A302" s="212" t="str">
        <f>COMPOSICIÓN!A302</f>
        <v>COL-086</v>
      </c>
      <c r="B302" s="212" t="str">
        <f>COMPOSICIÓN!B302</f>
        <v>MO</v>
      </c>
      <c r="C302" s="212" t="str">
        <f>COMPOSICIÓN!C302</f>
        <v>ALB</v>
      </c>
      <c r="D302" s="212" t="str">
        <f>COMPOSICIÓN!D302</f>
        <v>MO-EAYUD</v>
      </c>
      <c r="E302" s="212" t="str">
        <f>COMPOSICIÓN!E302</f>
        <v>AYUDANTE</v>
      </c>
      <c r="F302" s="212" t="str">
        <f>COMPOSICIÓN!F302</f>
        <v>j</v>
      </c>
      <c r="G302" s="213">
        <f>COMPOSICIÓN!G302</f>
        <v>1</v>
      </c>
      <c r="H302" s="214">
        <f>COMPOSICIÓN!H302</f>
        <v>0</v>
      </c>
      <c r="I302" s="215">
        <f>COMPOSICIÓN!I302</f>
        <v>60860.580776572002</v>
      </c>
      <c r="J302" s="212" t="str">
        <f>IFERROR(VLOOKUP(A302,PARTIDAS!$A$2:$C$269,3,FALSE()),"")</f>
        <v>PISOS</v>
      </c>
      <c r="K302" s="212" t="str">
        <f>IFERROR(INDEX(PPTO_GENERADOR!$B$4:$B$220,MATCH(A302,PPTO_GENERADOR!$Q$4:$Q$220,0)),"")</f>
        <v/>
      </c>
      <c r="L302" s="216">
        <f>IF(PLAN_ETAPA!$C$4="(TODOS)",SUMIFS(PPTO_GENERADOR!$E$4:$E$220,PPTO_GENERADOR!$Q$4:$Q$220,A302),SUMIFS(PPTO_GENERADOR!$E$4:$E$220,PPTO_GENERADOR!$Q$4:$Q$220,A302,PPTO_GENERADOR!$B$4:$B$220,PLAN_ETAPA!$C$4))</f>
        <v>0</v>
      </c>
      <c r="M302" s="216">
        <f>IFERROR(VLOOKUP(A302,PARTIDAS!$A$2:$F$269,6,FALSE()),1)</f>
        <v>400</v>
      </c>
      <c r="N302" s="216">
        <f>IFERROR(VLOOKUP(A302,PARTIDAS!$A$2:$I$269,9,FALSE()),1)</f>
        <v>1</v>
      </c>
      <c r="O302" s="217">
        <f t="shared" si="8"/>
        <v>0</v>
      </c>
      <c r="P302" s="216">
        <f>IF(O302=0,0,IF(B302="MAT",G302*(1+H302)*L302*PLAN_ETAPA!$C$5,IF(B302="MO",IF(M302=0,0,G302*L302*PLAN_ETAPA!$C$5*N302/M302),IF(B302="EQ",IF(M302=0,0,G302*L302*PLAN_ETAPA!$C$5/M302),0))))</f>
        <v>0</v>
      </c>
      <c r="Q302" s="218">
        <f t="shared" si="9"/>
        <v>0</v>
      </c>
    </row>
    <row r="303" spans="1:17" x14ac:dyDescent="0.35">
      <c r="A303" s="212" t="str">
        <f>COMPOSICIÓN!A303</f>
        <v>COL-086</v>
      </c>
      <c r="B303" s="212" t="str">
        <f>COMPOSICIÓN!B303</f>
        <v>MO</v>
      </c>
      <c r="C303" s="212" t="str">
        <f>COMPOSICIÓN!C303</f>
        <v>ALB</v>
      </c>
      <c r="D303" s="212" t="str">
        <f>COMPOSICIÓN!D303</f>
        <v>MO-EESPE</v>
      </c>
      <c r="E303" s="212" t="str">
        <f>COMPOSICIÓN!E303</f>
        <v>ESPECIALIZADO</v>
      </c>
      <c r="F303" s="212" t="str">
        <f>COMPOSICIÓN!F303</f>
        <v>j</v>
      </c>
      <c r="G303" s="213">
        <f>COMPOSICIÓN!G303</f>
        <v>2</v>
      </c>
      <c r="H303" s="214">
        <f>COMPOSICIÓN!H303</f>
        <v>0</v>
      </c>
      <c r="I303" s="215">
        <f>COMPOSICIÓN!I303</f>
        <v>85927.097156571996</v>
      </c>
      <c r="J303" s="212" t="str">
        <f>IFERROR(VLOOKUP(A303,PARTIDAS!$A$2:$C$269,3,FALSE()),"")</f>
        <v>PISOS</v>
      </c>
      <c r="K303" s="212" t="str">
        <f>IFERROR(INDEX(PPTO_GENERADOR!$B$4:$B$220,MATCH(A303,PPTO_GENERADOR!$Q$4:$Q$220,0)),"")</f>
        <v/>
      </c>
      <c r="L303" s="216">
        <f>IF(PLAN_ETAPA!$C$4="(TODOS)",SUMIFS(PPTO_GENERADOR!$E$4:$E$220,PPTO_GENERADOR!$Q$4:$Q$220,A303),SUMIFS(PPTO_GENERADOR!$E$4:$E$220,PPTO_GENERADOR!$Q$4:$Q$220,A303,PPTO_GENERADOR!$B$4:$B$220,PLAN_ETAPA!$C$4))</f>
        <v>0</v>
      </c>
      <c r="M303" s="216">
        <f>IFERROR(VLOOKUP(A303,PARTIDAS!$A$2:$F$269,6,FALSE()),1)</f>
        <v>400</v>
      </c>
      <c r="N303" s="216">
        <f>IFERROR(VLOOKUP(A303,PARTIDAS!$A$2:$I$269,9,FALSE()),1)</f>
        <v>1</v>
      </c>
      <c r="O303" s="217">
        <f t="shared" si="8"/>
        <v>0</v>
      </c>
      <c r="P303" s="216">
        <f>IF(O303=0,0,IF(B303="MAT",G303*(1+H303)*L303*PLAN_ETAPA!$C$5,IF(B303="MO",IF(M303=0,0,G303*L303*PLAN_ETAPA!$C$5*N303/M303),IF(B303="EQ",IF(M303=0,0,G303*L303*PLAN_ETAPA!$C$5/M303),0))))</f>
        <v>0</v>
      </c>
      <c r="Q303" s="218">
        <f t="shared" si="9"/>
        <v>0</v>
      </c>
    </row>
    <row r="304" spans="1:17" x14ac:dyDescent="0.35">
      <c r="A304" s="212" t="str">
        <f>COMPOSICIÓN!A304</f>
        <v>COL-086</v>
      </c>
      <c r="B304" s="212" t="str">
        <f>COMPOSICIÓN!B304</f>
        <v>MO</v>
      </c>
      <c r="C304" s="212" t="str">
        <f>COMPOSICIÓN!C304</f>
        <v>ALB</v>
      </c>
      <c r="D304" s="212" t="str">
        <f>COMPOSICIÓN!D304</f>
        <v>MO-EESPE</v>
      </c>
      <c r="E304" s="212" t="str">
        <f>COMPOSICIÓN!E304</f>
        <v>ESPECIALIZADO</v>
      </c>
      <c r="F304" s="212" t="str">
        <f>COMPOSICIÓN!F304</f>
        <v>j</v>
      </c>
      <c r="G304" s="213">
        <f>COMPOSICIÓN!G304</f>
        <v>2</v>
      </c>
      <c r="H304" s="214">
        <f>COMPOSICIÓN!H304</f>
        <v>0</v>
      </c>
      <c r="I304" s="215">
        <f>COMPOSICIÓN!I304</f>
        <v>85927.097156571996</v>
      </c>
      <c r="J304" s="212" t="str">
        <f>IFERROR(VLOOKUP(A304,PARTIDAS!$A$2:$C$269,3,FALSE()),"")</f>
        <v>PISOS</v>
      </c>
      <c r="K304" s="212" t="str">
        <f>IFERROR(INDEX(PPTO_GENERADOR!$B$4:$B$220,MATCH(A304,PPTO_GENERADOR!$Q$4:$Q$220,0)),"")</f>
        <v/>
      </c>
      <c r="L304" s="216">
        <f>IF(PLAN_ETAPA!$C$4="(TODOS)",SUMIFS(PPTO_GENERADOR!$E$4:$E$220,PPTO_GENERADOR!$Q$4:$Q$220,A304),SUMIFS(PPTO_GENERADOR!$E$4:$E$220,PPTO_GENERADOR!$Q$4:$Q$220,A304,PPTO_GENERADOR!$B$4:$B$220,PLAN_ETAPA!$C$4))</f>
        <v>0</v>
      </c>
      <c r="M304" s="216">
        <f>IFERROR(VLOOKUP(A304,PARTIDAS!$A$2:$F$269,6,FALSE()),1)</f>
        <v>400</v>
      </c>
      <c r="N304" s="216">
        <f>IFERROR(VLOOKUP(A304,PARTIDAS!$A$2:$I$269,9,FALSE()),1)</f>
        <v>1</v>
      </c>
      <c r="O304" s="217">
        <f t="shared" si="8"/>
        <v>0</v>
      </c>
      <c r="P304" s="216">
        <f>IF(O304=0,0,IF(B304="MAT",G304*(1+H304)*L304*PLAN_ETAPA!$C$5,IF(B304="MO",IF(M304=0,0,G304*L304*PLAN_ETAPA!$C$5*N304/M304),IF(B304="EQ",IF(M304=0,0,G304*L304*PLAN_ETAPA!$C$5/M304),0))))</f>
        <v>0</v>
      </c>
      <c r="Q304" s="218">
        <f t="shared" si="9"/>
        <v>0</v>
      </c>
    </row>
    <row r="305" spans="1:17" x14ac:dyDescent="0.35">
      <c r="A305" s="212" t="str">
        <f>COMPOSICIÓN!A305</f>
        <v>DUR-060</v>
      </c>
      <c r="B305" s="212" t="str">
        <f>COMPOSICIÓN!B305</f>
        <v>EQ</v>
      </c>
      <c r="C305" s="212">
        <f>COMPOSICIÓN!C305</f>
        <v>0</v>
      </c>
      <c r="D305" s="212" t="str">
        <f>COMPOSICIÓN!D305</f>
        <v>EQ-ESCALE</v>
      </c>
      <c r="E305" s="212" t="str">
        <f>COMPOSICIÓN!E305</f>
        <v>ESCALERA GLOSS ALUMINIO ARTICULADA 4 X 4 ESCALONES HASTA 150KG</v>
      </c>
      <c r="F305" s="212">
        <f>COMPOSICIÓN!F305</f>
        <v>0</v>
      </c>
      <c r="G305" s="213">
        <f>COMPOSICIÓN!G305</f>
        <v>1</v>
      </c>
      <c r="H305" s="214">
        <f>COMPOSICIÓN!H305</f>
        <v>0</v>
      </c>
      <c r="I305" s="215">
        <f>COMPOSICIÓN!I305</f>
        <v>140.19809259430903</v>
      </c>
      <c r="J305" s="212" t="str">
        <f>IFERROR(VLOOKUP(A305,PARTIDAS!$A$2:$C$269,3,FALSE()),"")</f>
        <v>REVOQUES FINOS Y CIELORRASOS</v>
      </c>
      <c r="K305" s="212" t="str">
        <f>IFERROR(INDEX(PPTO_GENERADOR!$B$4:$B$220,MATCH(A305,PPTO_GENERADOR!$Q$4:$Q$220,0)),"")</f>
        <v/>
      </c>
      <c r="L305" s="216">
        <f>IF(PLAN_ETAPA!$C$4="(TODOS)",SUMIFS(PPTO_GENERADOR!$E$4:$E$220,PPTO_GENERADOR!$Q$4:$Q$220,A305),SUMIFS(PPTO_GENERADOR!$E$4:$E$220,PPTO_GENERADOR!$Q$4:$Q$220,A305,PPTO_GENERADOR!$B$4:$B$220,PLAN_ETAPA!$C$4))</f>
        <v>0</v>
      </c>
      <c r="M305" s="216">
        <f>IFERROR(VLOOKUP(A305,PARTIDAS!$A$2:$F$269,6,FALSE()),1)</f>
        <v>9.5</v>
      </c>
      <c r="N305" s="216">
        <f>IFERROR(VLOOKUP(A305,PARTIDAS!$A$2:$I$269,9,FALSE()),1)</f>
        <v>1</v>
      </c>
      <c r="O305" s="217">
        <f t="shared" si="8"/>
        <v>0</v>
      </c>
      <c r="P305" s="216">
        <f>IF(O305=0,0,IF(B305="MAT",G305*(1+H305)*L305*PLAN_ETAPA!$C$5,IF(B305="MO",IF(M305=0,0,G305*L305*PLAN_ETAPA!$C$5*N305/M305),IF(B305="EQ",IF(M305=0,0,G305*L305*PLAN_ETAPA!$C$5/M305),0))))</f>
        <v>0</v>
      </c>
      <c r="Q305" s="218">
        <f t="shared" si="9"/>
        <v>0</v>
      </c>
    </row>
    <row r="306" spans="1:17" x14ac:dyDescent="0.35">
      <c r="A306" s="212" t="str">
        <f>COMPOSICIÓN!A306</f>
        <v>DUR-060</v>
      </c>
      <c r="B306" s="212" t="str">
        <f>COMPOSICIÓN!B306</f>
        <v>EQ</v>
      </c>
      <c r="C306" s="212">
        <f>COMPOSICIÓN!C306</f>
        <v>0</v>
      </c>
      <c r="D306" s="212" t="str">
        <f>COMPOSICIÓN!D306</f>
        <v>EQ-PTO024</v>
      </c>
      <c r="E306" s="212" t="str">
        <f>COMPOSICIÓN!E306</f>
        <v>EQUIPO DE CONSTRUCCION EN SECO</v>
      </c>
      <c r="F306" s="212">
        <f>COMPOSICIÓN!F306</f>
        <v>0</v>
      </c>
      <c r="G306" s="213">
        <f>COMPOSICIÓN!G306</f>
        <v>1</v>
      </c>
      <c r="H306" s="214">
        <f>COMPOSICIÓN!H306</f>
        <v>0</v>
      </c>
      <c r="I306" s="215">
        <f>COMPOSICIÓN!I306</f>
        <v>2365.2381485799501</v>
      </c>
      <c r="J306" s="212" t="str">
        <f>IFERROR(VLOOKUP(A306,PARTIDAS!$A$2:$C$269,3,FALSE()),"")</f>
        <v>REVOQUES FINOS Y CIELORRASOS</v>
      </c>
      <c r="K306" s="212" t="str">
        <f>IFERROR(INDEX(PPTO_GENERADOR!$B$4:$B$220,MATCH(A306,PPTO_GENERADOR!$Q$4:$Q$220,0)),"")</f>
        <v/>
      </c>
      <c r="L306" s="216">
        <f>IF(PLAN_ETAPA!$C$4="(TODOS)",SUMIFS(PPTO_GENERADOR!$E$4:$E$220,PPTO_GENERADOR!$Q$4:$Q$220,A306),SUMIFS(PPTO_GENERADOR!$E$4:$E$220,PPTO_GENERADOR!$Q$4:$Q$220,A306,PPTO_GENERADOR!$B$4:$B$220,PLAN_ETAPA!$C$4))</f>
        <v>0</v>
      </c>
      <c r="M306" s="216">
        <f>IFERROR(VLOOKUP(A306,PARTIDAS!$A$2:$F$269,6,FALSE()),1)</f>
        <v>9.5</v>
      </c>
      <c r="N306" s="216">
        <f>IFERROR(VLOOKUP(A306,PARTIDAS!$A$2:$I$269,9,FALSE()),1)</f>
        <v>1</v>
      </c>
      <c r="O306" s="217">
        <f t="shared" si="8"/>
        <v>0</v>
      </c>
      <c r="P306" s="216">
        <f>IF(O306=0,0,IF(B306="MAT",G306*(1+H306)*L306*PLAN_ETAPA!$C$5,IF(B306="MO",IF(M306=0,0,G306*L306*PLAN_ETAPA!$C$5*N306/M306),IF(B306="EQ",IF(M306=0,0,G306*L306*PLAN_ETAPA!$C$5/M306),0))))</f>
        <v>0</v>
      </c>
      <c r="Q306" s="218">
        <f t="shared" si="9"/>
        <v>0</v>
      </c>
    </row>
    <row r="307" spans="1:17" x14ac:dyDescent="0.35">
      <c r="A307" s="212" t="str">
        <f>COMPOSICIÓN!A307</f>
        <v>DUR-060</v>
      </c>
      <c r="B307" s="212" t="str">
        <f>COMPOSICIÓN!B307</f>
        <v>MAT</v>
      </c>
      <c r="C307" s="212" t="str">
        <f>COMPOSICIÓN!C307</f>
        <v>OTR</v>
      </c>
      <c r="D307" s="212" t="str">
        <f>COMPOSICIÓN!D307</f>
        <v>DUR-003</v>
      </c>
      <c r="E307" s="212" t="str">
        <f>COMPOSICIÓN!E307</f>
        <v>Solera 35mm x 2.60m</v>
      </c>
      <c r="F307" s="212" t="str">
        <f>COMPOSICIÓN!F307</f>
        <v>u</v>
      </c>
      <c r="G307" s="213">
        <f>COMPOSICIÓN!G307</f>
        <v>0.507692307692308</v>
      </c>
      <c r="H307" s="214">
        <f>COMPOSICIÓN!H307</f>
        <v>0.1</v>
      </c>
      <c r="I307" s="215">
        <f>COMPOSICIÓN!I307</f>
        <v>2147.85</v>
      </c>
      <c r="J307" s="212" t="str">
        <f>IFERROR(VLOOKUP(A307,PARTIDAS!$A$2:$C$269,3,FALSE()),"")</f>
        <v>REVOQUES FINOS Y CIELORRASOS</v>
      </c>
      <c r="K307" s="212" t="str">
        <f>IFERROR(INDEX(PPTO_GENERADOR!$B$4:$B$220,MATCH(A307,PPTO_GENERADOR!$Q$4:$Q$220,0)),"")</f>
        <v/>
      </c>
      <c r="L307" s="216">
        <f>IF(PLAN_ETAPA!$C$4="(TODOS)",SUMIFS(PPTO_GENERADOR!$E$4:$E$220,PPTO_GENERADOR!$Q$4:$Q$220,A307),SUMIFS(PPTO_GENERADOR!$E$4:$E$220,PPTO_GENERADOR!$Q$4:$Q$220,A307,PPTO_GENERADOR!$B$4:$B$220,PLAN_ETAPA!$C$4))</f>
        <v>0</v>
      </c>
      <c r="M307" s="216">
        <f>IFERROR(VLOOKUP(A307,PARTIDAS!$A$2:$F$269,6,FALSE()),1)</f>
        <v>9.5</v>
      </c>
      <c r="N307" s="216">
        <f>IFERROR(VLOOKUP(A307,PARTIDAS!$A$2:$I$269,9,FALSE()),1)</f>
        <v>1</v>
      </c>
      <c r="O307" s="217">
        <f t="shared" si="8"/>
        <v>0</v>
      </c>
      <c r="P307" s="216">
        <f>IF(O307=0,0,IF(B307="MAT",G307*(1+H307)*L307*PLAN_ETAPA!$C$5,IF(B307="MO",IF(M307=0,0,G307*L307*PLAN_ETAPA!$C$5*N307/M307),IF(B307="EQ",IF(M307=0,0,G307*L307*PLAN_ETAPA!$C$5/M307),0))))</f>
        <v>0</v>
      </c>
      <c r="Q307" s="218">
        <f t="shared" si="9"/>
        <v>0</v>
      </c>
    </row>
    <row r="308" spans="1:17" x14ac:dyDescent="0.35">
      <c r="A308" s="212" t="str">
        <f>COMPOSICIÓN!A308</f>
        <v>DUR-060</v>
      </c>
      <c r="B308" s="212" t="str">
        <f>COMPOSICIÓN!B308</f>
        <v>MAT</v>
      </c>
      <c r="C308" s="212" t="str">
        <f>COMPOSICIÓN!C308</f>
        <v>OTR</v>
      </c>
      <c r="D308" s="212" t="str">
        <f>COMPOSICIÓN!D308</f>
        <v>DUR-004</v>
      </c>
      <c r="E308" s="212" t="str">
        <f>COMPOSICIÓN!E308</f>
        <v>Montante 34mm x 2.60m</v>
      </c>
      <c r="F308" s="212" t="str">
        <f>COMPOSICIÓN!F308</f>
        <v>u</v>
      </c>
      <c r="G308" s="213">
        <f>COMPOSICIÓN!G308</f>
        <v>1.2307692307692299</v>
      </c>
      <c r="H308" s="214">
        <f>COMPOSICIÓN!H308</f>
        <v>0.1</v>
      </c>
      <c r="I308" s="215">
        <f>COMPOSICIÓN!I308</f>
        <v>2468.66</v>
      </c>
      <c r="J308" s="212" t="str">
        <f>IFERROR(VLOOKUP(A308,PARTIDAS!$A$2:$C$269,3,FALSE()),"")</f>
        <v>REVOQUES FINOS Y CIELORRASOS</v>
      </c>
      <c r="K308" s="212" t="str">
        <f>IFERROR(INDEX(PPTO_GENERADOR!$B$4:$B$220,MATCH(A308,PPTO_GENERADOR!$Q$4:$Q$220,0)),"")</f>
        <v/>
      </c>
      <c r="L308" s="216">
        <f>IF(PLAN_ETAPA!$C$4="(TODOS)",SUMIFS(PPTO_GENERADOR!$E$4:$E$220,PPTO_GENERADOR!$Q$4:$Q$220,A308),SUMIFS(PPTO_GENERADOR!$E$4:$E$220,PPTO_GENERADOR!$Q$4:$Q$220,A308,PPTO_GENERADOR!$B$4:$B$220,PLAN_ETAPA!$C$4))</f>
        <v>0</v>
      </c>
      <c r="M308" s="216">
        <f>IFERROR(VLOOKUP(A308,PARTIDAS!$A$2:$F$269,6,FALSE()),1)</f>
        <v>9.5</v>
      </c>
      <c r="N308" s="216">
        <f>IFERROR(VLOOKUP(A308,PARTIDAS!$A$2:$I$269,9,FALSE()),1)</f>
        <v>1</v>
      </c>
      <c r="O308" s="217">
        <f t="shared" si="8"/>
        <v>0</v>
      </c>
      <c r="P308" s="216">
        <f>IF(O308=0,0,IF(B308="MAT",G308*(1+H308)*L308*PLAN_ETAPA!$C$5,IF(B308="MO",IF(M308=0,0,G308*L308*PLAN_ETAPA!$C$5*N308/M308),IF(B308="EQ",IF(M308=0,0,G308*L308*PLAN_ETAPA!$C$5/M308),0))))</f>
        <v>0</v>
      </c>
      <c r="Q308" s="218">
        <f t="shared" si="9"/>
        <v>0</v>
      </c>
    </row>
    <row r="309" spans="1:17" x14ac:dyDescent="0.35">
      <c r="A309" s="212" t="str">
        <f>COMPOSICIÓN!A309</f>
        <v>DUR-060</v>
      </c>
      <c r="B309" s="212" t="str">
        <f>COMPOSICIÓN!B309</f>
        <v>MAT</v>
      </c>
      <c r="C309" s="212" t="str">
        <f>COMPOSICIÓN!C309</f>
        <v>OTR</v>
      </c>
      <c r="D309" s="212" t="str">
        <f>COMPOSICIÓN!D309</f>
        <v>DUR-005</v>
      </c>
      <c r="E309" s="212" t="str">
        <f>COMPOSICIÓN!E309</f>
        <v>Masilla x 32kg</v>
      </c>
      <c r="F309" s="212" t="str">
        <f>COMPOSICIÓN!F309</f>
        <v>u</v>
      </c>
      <c r="G309" s="213">
        <f>COMPOSICIÓN!G309</f>
        <v>2.8125000000000001E-2</v>
      </c>
      <c r="H309" s="214">
        <f>COMPOSICIÓN!H309</f>
        <v>0.05</v>
      </c>
      <c r="I309" s="215">
        <f>COMPOSICIÓN!I309</f>
        <v>26872.02</v>
      </c>
      <c r="J309" s="212" t="str">
        <f>IFERROR(VLOOKUP(A309,PARTIDAS!$A$2:$C$269,3,FALSE()),"")</f>
        <v>REVOQUES FINOS Y CIELORRASOS</v>
      </c>
      <c r="K309" s="212" t="str">
        <f>IFERROR(INDEX(PPTO_GENERADOR!$B$4:$B$220,MATCH(A309,PPTO_GENERADOR!$Q$4:$Q$220,0)),"")</f>
        <v/>
      </c>
      <c r="L309" s="216">
        <f>IF(PLAN_ETAPA!$C$4="(TODOS)",SUMIFS(PPTO_GENERADOR!$E$4:$E$220,PPTO_GENERADOR!$Q$4:$Q$220,A309),SUMIFS(PPTO_GENERADOR!$E$4:$E$220,PPTO_GENERADOR!$Q$4:$Q$220,A309,PPTO_GENERADOR!$B$4:$B$220,PLAN_ETAPA!$C$4))</f>
        <v>0</v>
      </c>
      <c r="M309" s="216">
        <f>IFERROR(VLOOKUP(A309,PARTIDAS!$A$2:$F$269,6,FALSE()),1)</f>
        <v>9.5</v>
      </c>
      <c r="N309" s="216">
        <f>IFERROR(VLOOKUP(A309,PARTIDAS!$A$2:$I$269,9,FALSE()),1)</f>
        <v>1</v>
      </c>
      <c r="O309" s="217">
        <f t="shared" si="8"/>
        <v>0</v>
      </c>
      <c r="P309" s="216">
        <f>IF(O309=0,0,IF(B309="MAT",G309*(1+H309)*L309*PLAN_ETAPA!$C$5,IF(B309="MO",IF(M309=0,0,G309*L309*PLAN_ETAPA!$C$5*N309/M309),IF(B309="EQ",IF(M309=0,0,G309*L309*PLAN_ETAPA!$C$5/M309),0))))</f>
        <v>0</v>
      </c>
      <c r="Q309" s="218">
        <f t="shared" si="9"/>
        <v>0</v>
      </c>
    </row>
    <row r="310" spans="1:17" x14ac:dyDescent="0.35">
      <c r="A310" s="212" t="str">
        <f>COMPOSICIÓN!A310</f>
        <v>DUR-060</v>
      </c>
      <c r="B310" s="212" t="str">
        <f>COMPOSICIÓN!B310</f>
        <v>MAT</v>
      </c>
      <c r="C310" s="212" t="str">
        <f>COMPOSICIÓN!C310</f>
        <v>OTR</v>
      </c>
      <c r="D310" s="212" t="str">
        <f>COMPOSICIÓN!D310</f>
        <v>OTR-007</v>
      </c>
      <c r="E310" s="212" t="str">
        <f>COMPOSICIÓN!E310</f>
        <v>Tornillo T1 - Aguja</v>
      </c>
      <c r="F310" s="212" t="str">
        <f>COMPOSICIÓN!F310</f>
        <v>u</v>
      </c>
      <c r="G310" s="213">
        <f>COMPOSICIÓN!G310</f>
        <v>16</v>
      </c>
      <c r="H310" s="214">
        <f>COMPOSICIÓN!H310</f>
        <v>0.05</v>
      </c>
      <c r="I310" s="215">
        <f>COMPOSICIÓN!I310</f>
        <v>32.707173553719002</v>
      </c>
      <c r="J310" s="212" t="str">
        <f>IFERROR(VLOOKUP(A310,PARTIDAS!$A$2:$C$269,3,FALSE()),"")</f>
        <v>REVOQUES FINOS Y CIELORRASOS</v>
      </c>
      <c r="K310" s="212" t="str">
        <f>IFERROR(INDEX(PPTO_GENERADOR!$B$4:$B$220,MATCH(A310,PPTO_GENERADOR!$Q$4:$Q$220,0)),"")</f>
        <v/>
      </c>
      <c r="L310" s="216">
        <f>IF(PLAN_ETAPA!$C$4="(TODOS)",SUMIFS(PPTO_GENERADOR!$E$4:$E$220,PPTO_GENERADOR!$Q$4:$Q$220,A310),SUMIFS(PPTO_GENERADOR!$E$4:$E$220,PPTO_GENERADOR!$Q$4:$Q$220,A310,PPTO_GENERADOR!$B$4:$B$220,PLAN_ETAPA!$C$4))</f>
        <v>0</v>
      </c>
      <c r="M310" s="216">
        <f>IFERROR(VLOOKUP(A310,PARTIDAS!$A$2:$F$269,6,FALSE()),1)</f>
        <v>9.5</v>
      </c>
      <c r="N310" s="216">
        <f>IFERROR(VLOOKUP(A310,PARTIDAS!$A$2:$I$269,9,FALSE()),1)</f>
        <v>1</v>
      </c>
      <c r="O310" s="217">
        <f t="shared" si="8"/>
        <v>0</v>
      </c>
      <c r="P310" s="216">
        <f>IF(O310=0,0,IF(B310="MAT",G310*(1+H310)*L310*PLAN_ETAPA!$C$5,IF(B310="MO",IF(M310=0,0,G310*L310*PLAN_ETAPA!$C$5*N310/M310),IF(B310="EQ",IF(M310=0,0,G310*L310*PLAN_ETAPA!$C$5/M310),0))))</f>
        <v>0</v>
      </c>
      <c r="Q310" s="218">
        <f t="shared" si="9"/>
        <v>0</v>
      </c>
    </row>
    <row r="311" spans="1:17" x14ac:dyDescent="0.35">
      <c r="A311" s="212" t="str">
        <f>COMPOSICIÓN!A311</f>
        <v>DUR-060</v>
      </c>
      <c r="B311" s="212" t="str">
        <f>COMPOSICIÓN!B311</f>
        <v>MAT</v>
      </c>
      <c r="C311" s="212" t="str">
        <f>COMPOSICIÓN!C311</f>
        <v>OTR</v>
      </c>
      <c r="D311" s="212" t="str">
        <f>COMPOSICIÓN!D311</f>
        <v>OTR-008</v>
      </c>
      <c r="E311" s="212" t="str">
        <f>COMPOSICIÓN!E311</f>
        <v>Tornillo T2 - Aguja</v>
      </c>
      <c r="F311" s="212" t="str">
        <f>COMPOSICIÓN!F311</f>
        <v>u</v>
      </c>
      <c r="G311" s="213">
        <f>COMPOSICIÓN!G311</f>
        <v>18</v>
      </c>
      <c r="H311" s="214">
        <f>COMPOSICIÓN!H311</f>
        <v>0.05</v>
      </c>
      <c r="I311" s="215">
        <f>COMPOSICIÓN!I311</f>
        <v>17.1963177226814</v>
      </c>
      <c r="J311" s="212" t="str">
        <f>IFERROR(VLOOKUP(A311,PARTIDAS!$A$2:$C$269,3,FALSE()),"")</f>
        <v>REVOQUES FINOS Y CIELORRASOS</v>
      </c>
      <c r="K311" s="212" t="str">
        <f>IFERROR(INDEX(PPTO_GENERADOR!$B$4:$B$220,MATCH(A311,PPTO_GENERADOR!$Q$4:$Q$220,0)),"")</f>
        <v/>
      </c>
      <c r="L311" s="216">
        <f>IF(PLAN_ETAPA!$C$4="(TODOS)",SUMIFS(PPTO_GENERADOR!$E$4:$E$220,PPTO_GENERADOR!$Q$4:$Q$220,A311),SUMIFS(PPTO_GENERADOR!$E$4:$E$220,PPTO_GENERADOR!$Q$4:$Q$220,A311,PPTO_GENERADOR!$B$4:$B$220,PLAN_ETAPA!$C$4))</f>
        <v>0</v>
      </c>
      <c r="M311" s="216">
        <f>IFERROR(VLOOKUP(A311,PARTIDAS!$A$2:$F$269,6,FALSE()),1)</f>
        <v>9.5</v>
      </c>
      <c r="N311" s="216">
        <f>IFERROR(VLOOKUP(A311,PARTIDAS!$A$2:$I$269,9,FALSE()),1)</f>
        <v>1</v>
      </c>
      <c r="O311" s="217">
        <f t="shared" si="8"/>
        <v>0</v>
      </c>
      <c r="P311" s="216">
        <f>IF(O311=0,0,IF(B311="MAT",G311*(1+H311)*L311*PLAN_ETAPA!$C$5,IF(B311="MO",IF(M311=0,0,G311*L311*PLAN_ETAPA!$C$5*N311/M311),IF(B311="EQ",IF(M311=0,0,G311*L311*PLAN_ETAPA!$C$5/M311),0))))</f>
        <v>0</v>
      </c>
      <c r="Q311" s="218">
        <f t="shared" si="9"/>
        <v>0</v>
      </c>
    </row>
    <row r="312" spans="1:17" x14ac:dyDescent="0.35">
      <c r="A312" s="212" t="str">
        <f>COMPOSICIÓN!A312</f>
        <v>DUR-060</v>
      </c>
      <c r="B312" s="212" t="str">
        <f>COMPOSICIÓN!B312</f>
        <v>MAT</v>
      </c>
      <c r="C312" s="212" t="str">
        <f>COMPOSICIÓN!C312</f>
        <v>OTR</v>
      </c>
      <c r="D312" s="212" t="str">
        <f>COMPOSICIÓN!D312</f>
        <v>OTR-010</v>
      </c>
      <c r="E312" s="212" t="str">
        <f>COMPOSICIÓN!E312</f>
        <v>Fijacion completa del 8</v>
      </c>
      <c r="F312" s="212" t="str">
        <f>COMPOSICIÓN!F312</f>
        <v>u</v>
      </c>
      <c r="G312" s="213">
        <f>COMPOSICIÓN!G312</f>
        <v>6</v>
      </c>
      <c r="H312" s="214">
        <f>COMPOSICIÓN!H312</f>
        <v>0.05</v>
      </c>
      <c r="I312" s="215">
        <f>COMPOSICIÓN!I312</f>
        <v>65.919008264462803</v>
      </c>
      <c r="J312" s="212" t="str">
        <f>IFERROR(VLOOKUP(A312,PARTIDAS!$A$2:$C$269,3,FALSE()),"")</f>
        <v>REVOQUES FINOS Y CIELORRASOS</v>
      </c>
      <c r="K312" s="212" t="str">
        <f>IFERROR(INDEX(PPTO_GENERADOR!$B$4:$B$220,MATCH(A312,PPTO_GENERADOR!$Q$4:$Q$220,0)),"")</f>
        <v/>
      </c>
      <c r="L312" s="216">
        <f>IF(PLAN_ETAPA!$C$4="(TODOS)",SUMIFS(PPTO_GENERADOR!$E$4:$E$220,PPTO_GENERADOR!$Q$4:$Q$220,A312),SUMIFS(PPTO_GENERADOR!$E$4:$E$220,PPTO_GENERADOR!$Q$4:$Q$220,A312,PPTO_GENERADOR!$B$4:$B$220,PLAN_ETAPA!$C$4))</f>
        <v>0</v>
      </c>
      <c r="M312" s="216">
        <f>IFERROR(VLOOKUP(A312,PARTIDAS!$A$2:$F$269,6,FALSE()),1)</f>
        <v>9.5</v>
      </c>
      <c r="N312" s="216">
        <f>IFERROR(VLOOKUP(A312,PARTIDAS!$A$2:$I$269,9,FALSE()),1)</f>
        <v>1</v>
      </c>
      <c r="O312" s="217">
        <f t="shared" si="8"/>
        <v>0</v>
      </c>
      <c r="P312" s="216">
        <f>IF(O312=0,0,IF(B312="MAT",G312*(1+H312)*L312*PLAN_ETAPA!$C$5,IF(B312="MO",IF(M312=0,0,G312*L312*PLAN_ETAPA!$C$5*N312/M312),IF(B312="EQ",IF(M312=0,0,G312*L312*PLAN_ETAPA!$C$5/M312),0))))</f>
        <v>0</v>
      </c>
      <c r="Q312" s="218">
        <f t="shared" si="9"/>
        <v>0</v>
      </c>
    </row>
    <row r="313" spans="1:17" x14ac:dyDescent="0.35">
      <c r="A313" s="212" t="str">
        <f>COMPOSICIÓN!A313</f>
        <v>DUR-060</v>
      </c>
      <c r="B313" s="212" t="str">
        <f>COMPOSICIÓN!B313</f>
        <v>MAT</v>
      </c>
      <c r="C313" s="212" t="str">
        <f>COMPOSICIÓN!C313</f>
        <v>OTR</v>
      </c>
      <c r="D313" s="212" t="str">
        <f>COMPOSICIÓN!D313</f>
        <v>OTR-011</v>
      </c>
      <c r="E313" s="212" t="str">
        <f>COMPOSICIÓN!E313</f>
        <v>Cinta Entramada - 90m</v>
      </c>
      <c r="F313" s="212" t="str">
        <f>COMPOSICIÓN!F313</f>
        <v>u</v>
      </c>
      <c r="G313" s="213">
        <f>COMPOSICIÓN!G313</f>
        <v>1.8333333333333299E-2</v>
      </c>
      <c r="H313" s="214">
        <f>COMPOSICIÓN!H313</f>
        <v>0.05</v>
      </c>
      <c r="I313" s="215">
        <f>COMPOSICIÓN!I313</f>
        <v>4042.71</v>
      </c>
      <c r="J313" s="212" t="str">
        <f>IFERROR(VLOOKUP(A313,PARTIDAS!$A$2:$C$269,3,FALSE()),"")</f>
        <v>REVOQUES FINOS Y CIELORRASOS</v>
      </c>
      <c r="K313" s="212" t="str">
        <f>IFERROR(INDEX(PPTO_GENERADOR!$B$4:$B$220,MATCH(A313,PPTO_GENERADOR!$Q$4:$Q$220,0)),"")</f>
        <v/>
      </c>
      <c r="L313" s="216">
        <f>IF(PLAN_ETAPA!$C$4="(TODOS)",SUMIFS(PPTO_GENERADOR!$E$4:$E$220,PPTO_GENERADOR!$Q$4:$Q$220,A313),SUMIFS(PPTO_GENERADOR!$E$4:$E$220,PPTO_GENERADOR!$Q$4:$Q$220,A313,PPTO_GENERADOR!$B$4:$B$220,PLAN_ETAPA!$C$4))</f>
        <v>0</v>
      </c>
      <c r="M313" s="216">
        <f>IFERROR(VLOOKUP(A313,PARTIDAS!$A$2:$F$269,6,FALSE()),1)</f>
        <v>9.5</v>
      </c>
      <c r="N313" s="216">
        <f>IFERROR(VLOOKUP(A313,PARTIDAS!$A$2:$I$269,9,FALSE()),1)</f>
        <v>1</v>
      </c>
      <c r="O313" s="217">
        <f t="shared" si="8"/>
        <v>0</v>
      </c>
      <c r="P313" s="216">
        <f>IF(O313=0,0,IF(B313="MAT",G313*(1+H313)*L313*PLAN_ETAPA!$C$5,IF(B313="MO",IF(M313=0,0,G313*L313*PLAN_ETAPA!$C$5*N313/M313),IF(B313="EQ",IF(M313=0,0,G313*L313*PLAN_ETAPA!$C$5/M313),0))))</f>
        <v>0</v>
      </c>
      <c r="Q313" s="218">
        <f t="shared" si="9"/>
        <v>0</v>
      </c>
    </row>
    <row r="314" spans="1:17" x14ac:dyDescent="0.35">
      <c r="A314" s="212" t="str">
        <f>COMPOSICIÓN!A314</f>
        <v>DUR-060</v>
      </c>
      <c r="B314" s="212" t="str">
        <f>COMPOSICIÓN!B314</f>
        <v>MAT</v>
      </c>
      <c r="C314" s="212" t="str">
        <f>COMPOSICIÓN!C314</f>
        <v>OTR</v>
      </c>
      <c r="D314" s="212" t="str">
        <f>COMPOSICIÓN!D314</f>
        <v>REV-006</v>
      </c>
      <c r="E314" s="212" t="str">
        <f>COMPOSICIÓN!E314</f>
        <v>Placa Roca de Yeso 1220 x 2440 - 12.5mm - STD</v>
      </c>
      <c r="F314" s="212" t="str">
        <f>COMPOSICIÓN!F314</f>
        <v>u</v>
      </c>
      <c r="G314" s="213">
        <f>COMPOSICIÓN!G314</f>
        <v>0.36</v>
      </c>
      <c r="H314" s="214">
        <f>COMPOSICIÓN!H314</f>
        <v>0.1</v>
      </c>
      <c r="I314" s="215">
        <f>COMPOSICIÓN!I314</f>
        <v>10022.959999999999</v>
      </c>
      <c r="J314" s="212" t="str">
        <f>IFERROR(VLOOKUP(A314,PARTIDAS!$A$2:$C$269,3,FALSE()),"")</f>
        <v>REVOQUES FINOS Y CIELORRASOS</v>
      </c>
      <c r="K314" s="212" t="str">
        <f>IFERROR(INDEX(PPTO_GENERADOR!$B$4:$B$220,MATCH(A314,PPTO_GENERADOR!$Q$4:$Q$220,0)),"")</f>
        <v/>
      </c>
      <c r="L314" s="216">
        <f>IF(PLAN_ETAPA!$C$4="(TODOS)",SUMIFS(PPTO_GENERADOR!$E$4:$E$220,PPTO_GENERADOR!$Q$4:$Q$220,A314),SUMIFS(PPTO_GENERADOR!$E$4:$E$220,PPTO_GENERADOR!$Q$4:$Q$220,A314,PPTO_GENERADOR!$B$4:$B$220,PLAN_ETAPA!$C$4))</f>
        <v>0</v>
      </c>
      <c r="M314" s="216">
        <f>IFERROR(VLOOKUP(A314,PARTIDAS!$A$2:$F$269,6,FALSE()),1)</f>
        <v>9.5</v>
      </c>
      <c r="N314" s="216">
        <f>IFERROR(VLOOKUP(A314,PARTIDAS!$A$2:$I$269,9,FALSE()),1)</f>
        <v>1</v>
      </c>
      <c r="O314" s="217">
        <f t="shared" si="8"/>
        <v>0</v>
      </c>
      <c r="P314" s="216">
        <f>IF(O314=0,0,IF(B314="MAT",G314*(1+H314)*L314*PLAN_ETAPA!$C$5,IF(B314="MO",IF(M314=0,0,G314*L314*PLAN_ETAPA!$C$5*N314/M314),IF(B314="EQ",IF(M314=0,0,G314*L314*PLAN_ETAPA!$C$5/M314),0))))</f>
        <v>0</v>
      </c>
      <c r="Q314" s="218">
        <f t="shared" si="9"/>
        <v>0</v>
      </c>
    </row>
    <row r="315" spans="1:17" x14ac:dyDescent="0.35">
      <c r="A315" s="212" t="str">
        <f>COMPOSICIÓN!A315</f>
        <v>DUR-060</v>
      </c>
      <c r="B315" s="212" t="str">
        <f>COMPOSICIÓN!B315</f>
        <v>MO</v>
      </c>
      <c r="C315" s="212" t="str">
        <f>COMPOSICIÓN!C315</f>
        <v>ALB</v>
      </c>
      <c r="D315" s="212" t="str">
        <f>COMPOSICIÓN!D315</f>
        <v>MO-EMEDI</v>
      </c>
      <c r="E315" s="212" t="str">
        <f>COMPOSICIÓN!E315</f>
        <v>MEDIO OFICIAL</v>
      </c>
      <c r="F315" s="212" t="str">
        <f>COMPOSICIÓN!F315</f>
        <v>j</v>
      </c>
      <c r="G315" s="213">
        <f>COMPOSICIÓN!G315</f>
        <v>1</v>
      </c>
      <c r="H315" s="214">
        <f>COMPOSICIÓN!H315</f>
        <v>0</v>
      </c>
      <c r="I315" s="215">
        <f>COMPOSICIÓN!I315</f>
        <v>65493.071636572</v>
      </c>
      <c r="J315" s="212" t="str">
        <f>IFERROR(VLOOKUP(A315,PARTIDAS!$A$2:$C$269,3,FALSE()),"")</f>
        <v>REVOQUES FINOS Y CIELORRASOS</v>
      </c>
      <c r="K315" s="212" t="str">
        <f>IFERROR(INDEX(PPTO_GENERADOR!$B$4:$B$220,MATCH(A315,PPTO_GENERADOR!$Q$4:$Q$220,0)),"")</f>
        <v/>
      </c>
      <c r="L315" s="216">
        <f>IF(PLAN_ETAPA!$C$4="(TODOS)",SUMIFS(PPTO_GENERADOR!$E$4:$E$220,PPTO_GENERADOR!$Q$4:$Q$220,A315),SUMIFS(PPTO_GENERADOR!$E$4:$E$220,PPTO_GENERADOR!$Q$4:$Q$220,A315,PPTO_GENERADOR!$B$4:$B$220,PLAN_ETAPA!$C$4))</f>
        <v>0</v>
      </c>
      <c r="M315" s="216">
        <f>IFERROR(VLOOKUP(A315,PARTIDAS!$A$2:$F$269,6,FALSE()),1)</f>
        <v>9.5</v>
      </c>
      <c r="N315" s="216">
        <f>IFERROR(VLOOKUP(A315,PARTIDAS!$A$2:$I$269,9,FALSE()),1)</f>
        <v>1</v>
      </c>
      <c r="O315" s="217">
        <f t="shared" si="8"/>
        <v>0</v>
      </c>
      <c r="P315" s="216">
        <f>IF(O315=0,0,IF(B315="MAT",G315*(1+H315)*L315*PLAN_ETAPA!$C$5,IF(B315="MO",IF(M315=0,0,G315*L315*PLAN_ETAPA!$C$5*N315/M315),IF(B315="EQ",IF(M315=0,0,G315*L315*PLAN_ETAPA!$C$5/M315),0))))</f>
        <v>0</v>
      </c>
      <c r="Q315" s="218">
        <f t="shared" si="9"/>
        <v>0</v>
      </c>
    </row>
    <row r="316" spans="1:17" x14ac:dyDescent="0.35">
      <c r="A316" s="212" t="str">
        <f>COMPOSICIÓN!A316</f>
        <v>DUR-060</v>
      </c>
      <c r="B316" s="212" t="str">
        <f>COMPOSICIÓN!B316</f>
        <v>MO</v>
      </c>
      <c r="C316" s="212" t="str">
        <f>COMPOSICIÓN!C316</f>
        <v>ALB</v>
      </c>
      <c r="D316" s="212" t="str">
        <f>COMPOSICIÓN!D316</f>
        <v>MO-EESPE</v>
      </c>
      <c r="E316" s="212" t="str">
        <f>COMPOSICIÓN!E316</f>
        <v>ESPECIALIZADO</v>
      </c>
      <c r="F316" s="212" t="str">
        <f>COMPOSICIÓN!F316</f>
        <v>j</v>
      </c>
      <c r="G316" s="213">
        <f>COMPOSICIÓN!G316</f>
        <v>1</v>
      </c>
      <c r="H316" s="214">
        <f>COMPOSICIÓN!H316</f>
        <v>0</v>
      </c>
      <c r="I316" s="215">
        <f>COMPOSICIÓN!I316</f>
        <v>85927.097156571996</v>
      </c>
      <c r="J316" s="212" t="str">
        <f>IFERROR(VLOOKUP(A316,PARTIDAS!$A$2:$C$269,3,FALSE()),"")</f>
        <v>REVOQUES FINOS Y CIELORRASOS</v>
      </c>
      <c r="K316" s="212" t="str">
        <f>IFERROR(INDEX(PPTO_GENERADOR!$B$4:$B$220,MATCH(A316,PPTO_GENERADOR!$Q$4:$Q$220,0)),"")</f>
        <v/>
      </c>
      <c r="L316" s="216">
        <f>IF(PLAN_ETAPA!$C$4="(TODOS)",SUMIFS(PPTO_GENERADOR!$E$4:$E$220,PPTO_GENERADOR!$Q$4:$Q$220,A316),SUMIFS(PPTO_GENERADOR!$E$4:$E$220,PPTO_GENERADOR!$Q$4:$Q$220,A316,PPTO_GENERADOR!$B$4:$B$220,PLAN_ETAPA!$C$4))</f>
        <v>0</v>
      </c>
      <c r="M316" s="216">
        <f>IFERROR(VLOOKUP(A316,PARTIDAS!$A$2:$F$269,6,FALSE()),1)</f>
        <v>9.5</v>
      </c>
      <c r="N316" s="216">
        <f>IFERROR(VLOOKUP(A316,PARTIDAS!$A$2:$I$269,9,FALSE()),1)</f>
        <v>1</v>
      </c>
      <c r="O316" s="217">
        <f t="shared" si="8"/>
        <v>0</v>
      </c>
      <c r="P316" s="216">
        <f>IF(O316=0,0,IF(B316="MAT",G316*(1+H316)*L316*PLAN_ETAPA!$C$5,IF(B316="MO",IF(M316=0,0,G316*L316*PLAN_ETAPA!$C$5*N316/M316),IF(B316="EQ",IF(M316=0,0,G316*L316*PLAN_ETAPA!$C$5/M316),0))))</f>
        <v>0</v>
      </c>
      <c r="Q316" s="218">
        <f t="shared" si="9"/>
        <v>0</v>
      </c>
    </row>
    <row r="317" spans="1:17" x14ac:dyDescent="0.35">
      <c r="A317" s="212" t="str">
        <f>COMPOSICIÓN!A317</f>
        <v>DUR-061</v>
      </c>
      <c r="B317" s="212" t="str">
        <f>COMPOSICIÓN!B317</f>
        <v>EQ</v>
      </c>
      <c r="C317" s="212">
        <f>COMPOSICIÓN!C317</f>
        <v>0</v>
      </c>
      <c r="D317" s="212" t="str">
        <f>COMPOSICIÓN!D317</f>
        <v>EQ-ESCALE</v>
      </c>
      <c r="E317" s="212" t="str">
        <f>COMPOSICIÓN!E317</f>
        <v>ESCALERA GLOSS ALUMINIO ARTICULADA 4 X 4 ESCALONES HASTA 150KG</v>
      </c>
      <c r="F317" s="212">
        <f>COMPOSICIÓN!F317</f>
        <v>0</v>
      </c>
      <c r="G317" s="213">
        <f>COMPOSICIÓN!G317</f>
        <v>1</v>
      </c>
      <c r="H317" s="214">
        <f>COMPOSICIÓN!H317</f>
        <v>0</v>
      </c>
      <c r="I317" s="215">
        <f>COMPOSICIÓN!I317</f>
        <v>140.19809259430903</v>
      </c>
      <c r="J317" s="212" t="str">
        <f>IFERROR(VLOOKUP(A317,PARTIDAS!$A$2:$C$269,3,FALSE()),"")</f>
        <v>REVOQUES FINOS Y CIELORRASOS</v>
      </c>
      <c r="K317" s="212" t="str">
        <f>IFERROR(INDEX(PPTO_GENERADOR!$B$4:$B$220,MATCH(A317,PPTO_GENERADOR!$Q$4:$Q$220,0)),"")</f>
        <v/>
      </c>
      <c r="L317" s="216">
        <f>IF(PLAN_ETAPA!$C$4="(TODOS)",SUMIFS(PPTO_GENERADOR!$E$4:$E$220,PPTO_GENERADOR!$Q$4:$Q$220,A317),SUMIFS(PPTO_GENERADOR!$E$4:$E$220,PPTO_GENERADOR!$Q$4:$Q$220,A317,PPTO_GENERADOR!$B$4:$B$220,PLAN_ETAPA!$C$4))</f>
        <v>0</v>
      </c>
      <c r="M317" s="216">
        <f>IFERROR(VLOOKUP(A317,PARTIDAS!$A$2:$F$269,6,FALSE()),1)</f>
        <v>9.5</v>
      </c>
      <c r="N317" s="216">
        <f>IFERROR(VLOOKUP(A317,PARTIDAS!$A$2:$I$269,9,FALSE()),1)</f>
        <v>1</v>
      </c>
      <c r="O317" s="217">
        <f t="shared" si="8"/>
        <v>0</v>
      </c>
      <c r="P317" s="216">
        <f>IF(O317=0,0,IF(B317="MAT",G317*(1+H317)*L317*PLAN_ETAPA!$C$5,IF(B317="MO",IF(M317=0,0,G317*L317*PLAN_ETAPA!$C$5*N317/M317),IF(B317="EQ",IF(M317=0,0,G317*L317*PLAN_ETAPA!$C$5/M317),0))))</f>
        <v>0</v>
      </c>
      <c r="Q317" s="218">
        <f t="shared" si="9"/>
        <v>0</v>
      </c>
    </row>
    <row r="318" spans="1:17" x14ac:dyDescent="0.35">
      <c r="A318" s="212" t="str">
        <f>COMPOSICIÓN!A318</f>
        <v>DUR-061</v>
      </c>
      <c r="B318" s="212" t="str">
        <f>COMPOSICIÓN!B318</f>
        <v>EQ</v>
      </c>
      <c r="C318" s="212">
        <f>COMPOSICIÓN!C318</f>
        <v>0</v>
      </c>
      <c r="D318" s="212" t="str">
        <f>COMPOSICIÓN!D318</f>
        <v>EQ-PTO024</v>
      </c>
      <c r="E318" s="212" t="str">
        <f>COMPOSICIÓN!E318</f>
        <v>EQUIPO DE CONSTRUCCION EN SECO</v>
      </c>
      <c r="F318" s="212">
        <f>COMPOSICIÓN!F318</f>
        <v>0</v>
      </c>
      <c r="G318" s="213">
        <f>COMPOSICIÓN!G318</f>
        <v>1</v>
      </c>
      <c r="H318" s="214">
        <f>COMPOSICIÓN!H318</f>
        <v>0</v>
      </c>
      <c r="I318" s="215">
        <f>COMPOSICIÓN!I318</f>
        <v>2365.2381485799501</v>
      </c>
      <c r="J318" s="212" t="str">
        <f>IFERROR(VLOOKUP(A318,PARTIDAS!$A$2:$C$269,3,FALSE()),"")</f>
        <v>REVOQUES FINOS Y CIELORRASOS</v>
      </c>
      <c r="K318" s="212" t="str">
        <f>IFERROR(INDEX(PPTO_GENERADOR!$B$4:$B$220,MATCH(A318,PPTO_GENERADOR!$Q$4:$Q$220,0)),"")</f>
        <v/>
      </c>
      <c r="L318" s="216">
        <f>IF(PLAN_ETAPA!$C$4="(TODOS)",SUMIFS(PPTO_GENERADOR!$E$4:$E$220,PPTO_GENERADOR!$Q$4:$Q$220,A318),SUMIFS(PPTO_GENERADOR!$E$4:$E$220,PPTO_GENERADOR!$Q$4:$Q$220,A318,PPTO_GENERADOR!$B$4:$B$220,PLAN_ETAPA!$C$4))</f>
        <v>0</v>
      </c>
      <c r="M318" s="216">
        <f>IFERROR(VLOOKUP(A318,PARTIDAS!$A$2:$F$269,6,FALSE()),1)</f>
        <v>9.5</v>
      </c>
      <c r="N318" s="216">
        <f>IFERROR(VLOOKUP(A318,PARTIDAS!$A$2:$I$269,9,FALSE()),1)</f>
        <v>1</v>
      </c>
      <c r="O318" s="217">
        <f t="shared" si="8"/>
        <v>0</v>
      </c>
      <c r="P318" s="216">
        <f>IF(O318=0,0,IF(B318="MAT",G318*(1+H318)*L318*PLAN_ETAPA!$C$5,IF(B318="MO",IF(M318=0,0,G318*L318*PLAN_ETAPA!$C$5*N318/M318),IF(B318="EQ",IF(M318=0,0,G318*L318*PLAN_ETAPA!$C$5/M318),0))))</f>
        <v>0</v>
      </c>
      <c r="Q318" s="218">
        <f t="shared" si="9"/>
        <v>0</v>
      </c>
    </row>
    <row r="319" spans="1:17" x14ac:dyDescent="0.35">
      <c r="A319" s="212" t="str">
        <f>COMPOSICIÓN!A319</f>
        <v>DUR-061</v>
      </c>
      <c r="B319" s="212" t="str">
        <f>COMPOSICIÓN!B319</f>
        <v>MAT</v>
      </c>
      <c r="C319" s="212" t="str">
        <f>COMPOSICIÓN!C319</f>
        <v>OTR</v>
      </c>
      <c r="D319" s="212" t="str">
        <f>COMPOSICIÓN!D319</f>
        <v>DUR-001</v>
      </c>
      <c r="E319" s="212" t="str">
        <f>COMPOSICIÓN!E319</f>
        <v>Solera 70mm x 2.60m</v>
      </c>
      <c r="F319" s="212" t="str">
        <f>COMPOSICIÓN!F319</f>
        <v>u</v>
      </c>
      <c r="G319" s="213">
        <f>COMPOSICIÓN!G319</f>
        <v>0.507692307692308</v>
      </c>
      <c r="H319" s="214">
        <f>COMPOSICIÓN!H319</f>
        <v>0.1</v>
      </c>
      <c r="I319" s="215">
        <f>COMPOSICIÓN!I319</f>
        <v>2932.93</v>
      </c>
      <c r="J319" s="212" t="str">
        <f>IFERROR(VLOOKUP(A319,PARTIDAS!$A$2:$C$269,3,FALSE()),"")</f>
        <v>REVOQUES FINOS Y CIELORRASOS</v>
      </c>
      <c r="K319" s="212" t="str">
        <f>IFERROR(INDEX(PPTO_GENERADOR!$B$4:$B$220,MATCH(A319,PPTO_GENERADOR!$Q$4:$Q$220,0)),"")</f>
        <v/>
      </c>
      <c r="L319" s="216">
        <f>IF(PLAN_ETAPA!$C$4="(TODOS)",SUMIFS(PPTO_GENERADOR!$E$4:$E$220,PPTO_GENERADOR!$Q$4:$Q$220,A319),SUMIFS(PPTO_GENERADOR!$E$4:$E$220,PPTO_GENERADOR!$Q$4:$Q$220,A319,PPTO_GENERADOR!$B$4:$B$220,PLAN_ETAPA!$C$4))</f>
        <v>0</v>
      </c>
      <c r="M319" s="216">
        <f>IFERROR(VLOOKUP(A319,PARTIDAS!$A$2:$F$269,6,FALSE()),1)</f>
        <v>9.5</v>
      </c>
      <c r="N319" s="216">
        <f>IFERROR(VLOOKUP(A319,PARTIDAS!$A$2:$I$269,9,FALSE()),1)</f>
        <v>1</v>
      </c>
      <c r="O319" s="217">
        <f t="shared" si="8"/>
        <v>0</v>
      </c>
      <c r="P319" s="216">
        <f>IF(O319=0,0,IF(B319="MAT",G319*(1+H319)*L319*PLAN_ETAPA!$C$5,IF(B319="MO",IF(M319=0,0,G319*L319*PLAN_ETAPA!$C$5*N319/M319),IF(B319="EQ",IF(M319=0,0,G319*L319*PLAN_ETAPA!$C$5/M319),0))))</f>
        <v>0</v>
      </c>
      <c r="Q319" s="218">
        <f t="shared" si="9"/>
        <v>0</v>
      </c>
    </row>
    <row r="320" spans="1:17" x14ac:dyDescent="0.35">
      <c r="A320" s="212" t="str">
        <f>COMPOSICIÓN!A320</f>
        <v>DUR-061</v>
      </c>
      <c r="B320" s="212" t="str">
        <f>COMPOSICIÓN!B320</f>
        <v>MAT</v>
      </c>
      <c r="C320" s="212" t="str">
        <f>COMPOSICIÓN!C320</f>
        <v>OTR</v>
      </c>
      <c r="D320" s="212" t="str">
        <f>COMPOSICIÓN!D320</f>
        <v>DUR-002</v>
      </c>
      <c r="E320" s="212" t="str">
        <f>COMPOSICIÓN!E320</f>
        <v>Montante 69mm x 2.60m</v>
      </c>
      <c r="F320" s="212" t="str">
        <f>COMPOSICIÓN!F320</f>
        <v>u</v>
      </c>
      <c r="G320" s="213">
        <f>COMPOSICIÓN!G320</f>
        <v>1.2307692307692299</v>
      </c>
      <c r="H320" s="214">
        <f>COMPOSICIÓN!H320</f>
        <v>0.1</v>
      </c>
      <c r="I320" s="215">
        <f>COMPOSICIÓN!I320</f>
        <v>3295.47</v>
      </c>
      <c r="J320" s="212" t="str">
        <f>IFERROR(VLOOKUP(A320,PARTIDAS!$A$2:$C$269,3,FALSE()),"")</f>
        <v>REVOQUES FINOS Y CIELORRASOS</v>
      </c>
      <c r="K320" s="212" t="str">
        <f>IFERROR(INDEX(PPTO_GENERADOR!$B$4:$B$220,MATCH(A320,PPTO_GENERADOR!$Q$4:$Q$220,0)),"")</f>
        <v/>
      </c>
      <c r="L320" s="216">
        <f>IF(PLAN_ETAPA!$C$4="(TODOS)",SUMIFS(PPTO_GENERADOR!$E$4:$E$220,PPTO_GENERADOR!$Q$4:$Q$220,A320),SUMIFS(PPTO_GENERADOR!$E$4:$E$220,PPTO_GENERADOR!$Q$4:$Q$220,A320,PPTO_GENERADOR!$B$4:$B$220,PLAN_ETAPA!$C$4))</f>
        <v>0</v>
      </c>
      <c r="M320" s="216">
        <f>IFERROR(VLOOKUP(A320,PARTIDAS!$A$2:$F$269,6,FALSE()),1)</f>
        <v>9.5</v>
      </c>
      <c r="N320" s="216">
        <f>IFERROR(VLOOKUP(A320,PARTIDAS!$A$2:$I$269,9,FALSE()),1)</f>
        <v>1</v>
      </c>
      <c r="O320" s="217">
        <f t="shared" si="8"/>
        <v>0</v>
      </c>
      <c r="P320" s="216">
        <f>IF(O320=0,0,IF(B320="MAT",G320*(1+H320)*L320*PLAN_ETAPA!$C$5,IF(B320="MO",IF(M320=0,0,G320*L320*PLAN_ETAPA!$C$5*N320/M320),IF(B320="EQ",IF(M320=0,0,G320*L320*PLAN_ETAPA!$C$5/M320),0))))</f>
        <v>0</v>
      </c>
      <c r="Q320" s="218">
        <f t="shared" si="9"/>
        <v>0</v>
      </c>
    </row>
    <row r="321" spans="1:17" x14ac:dyDescent="0.35">
      <c r="A321" s="212" t="str">
        <f>COMPOSICIÓN!A321</f>
        <v>DUR-061</v>
      </c>
      <c r="B321" s="212" t="str">
        <f>COMPOSICIÓN!B321</f>
        <v>MAT</v>
      </c>
      <c r="C321" s="212" t="str">
        <f>COMPOSICIÓN!C321</f>
        <v>OTR</v>
      </c>
      <c r="D321" s="212" t="str">
        <f>COMPOSICIÓN!D321</f>
        <v>DUR-005</v>
      </c>
      <c r="E321" s="212" t="str">
        <f>COMPOSICIÓN!E321</f>
        <v>Masilla x 32kg</v>
      </c>
      <c r="F321" s="212" t="str">
        <f>COMPOSICIÓN!F321</f>
        <v>u</v>
      </c>
      <c r="G321" s="213">
        <f>COMPOSICIÓN!G321</f>
        <v>2.8125000000000001E-2</v>
      </c>
      <c r="H321" s="214">
        <f>COMPOSICIÓN!H321</f>
        <v>0.05</v>
      </c>
      <c r="I321" s="215">
        <f>COMPOSICIÓN!I321</f>
        <v>26872.02</v>
      </c>
      <c r="J321" s="212" t="str">
        <f>IFERROR(VLOOKUP(A321,PARTIDAS!$A$2:$C$269,3,FALSE()),"")</f>
        <v>REVOQUES FINOS Y CIELORRASOS</v>
      </c>
      <c r="K321" s="212" t="str">
        <f>IFERROR(INDEX(PPTO_GENERADOR!$B$4:$B$220,MATCH(A321,PPTO_GENERADOR!$Q$4:$Q$220,0)),"")</f>
        <v/>
      </c>
      <c r="L321" s="216">
        <f>IF(PLAN_ETAPA!$C$4="(TODOS)",SUMIFS(PPTO_GENERADOR!$E$4:$E$220,PPTO_GENERADOR!$Q$4:$Q$220,A321),SUMIFS(PPTO_GENERADOR!$E$4:$E$220,PPTO_GENERADOR!$Q$4:$Q$220,A321,PPTO_GENERADOR!$B$4:$B$220,PLAN_ETAPA!$C$4))</f>
        <v>0</v>
      </c>
      <c r="M321" s="216">
        <f>IFERROR(VLOOKUP(A321,PARTIDAS!$A$2:$F$269,6,FALSE()),1)</f>
        <v>9.5</v>
      </c>
      <c r="N321" s="216">
        <f>IFERROR(VLOOKUP(A321,PARTIDAS!$A$2:$I$269,9,FALSE()),1)</f>
        <v>1</v>
      </c>
      <c r="O321" s="217">
        <f t="shared" si="8"/>
        <v>0</v>
      </c>
      <c r="P321" s="216">
        <f>IF(O321=0,0,IF(B321="MAT",G321*(1+H321)*L321*PLAN_ETAPA!$C$5,IF(B321="MO",IF(M321=0,0,G321*L321*PLAN_ETAPA!$C$5*N321/M321),IF(B321="EQ",IF(M321=0,0,G321*L321*PLAN_ETAPA!$C$5/M321),0))))</f>
        <v>0</v>
      </c>
      <c r="Q321" s="218">
        <f t="shared" si="9"/>
        <v>0</v>
      </c>
    </row>
    <row r="322" spans="1:17" x14ac:dyDescent="0.35">
      <c r="A322" s="212" t="str">
        <f>COMPOSICIÓN!A322</f>
        <v>DUR-061</v>
      </c>
      <c r="B322" s="212" t="str">
        <f>COMPOSICIÓN!B322</f>
        <v>MAT</v>
      </c>
      <c r="C322" s="212" t="str">
        <f>COMPOSICIÓN!C322</f>
        <v>OTR</v>
      </c>
      <c r="D322" s="212" t="str">
        <f>COMPOSICIÓN!D322</f>
        <v>OTR-007</v>
      </c>
      <c r="E322" s="212" t="str">
        <f>COMPOSICIÓN!E322</f>
        <v>Tornillo T1 - Aguja</v>
      </c>
      <c r="F322" s="212" t="str">
        <f>COMPOSICIÓN!F322</f>
        <v>u</v>
      </c>
      <c r="G322" s="213">
        <f>COMPOSICIÓN!G322</f>
        <v>16</v>
      </c>
      <c r="H322" s="214">
        <f>COMPOSICIÓN!H322</f>
        <v>0.05</v>
      </c>
      <c r="I322" s="215">
        <f>COMPOSICIÓN!I322</f>
        <v>32.707173553719002</v>
      </c>
      <c r="J322" s="212" t="str">
        <f>IFERROR(VLOOKUP(A322,PARTIDAS!$A$2:$C$269,3,FALSE()),"")</f>
        <v>REVOQUES FINOS Y CIELORRASOS</v>
      </c>
      <c r="K322" s="212" t="str">
        <f>IFERROR(INDEX(PPTO_GENERADOR!$B$4:$B$220,MATCH(A322,PPTO_GENERADOR!$Q$4:$Q$220,0)),"")</f>
        <v/>
      </c>
      <c r="L322" s="216">
        <f>IF(PLAN_ETAPA!$C$4="(TODOS)",SUMIFS(PPTO_GENERADOR!$E$4:$E$220,PPTO_GENERADOR!$Q$4:$Q$220,A322),SUMIFS(PPTO_GENERADOR!$E$4:$E$220,PPTO_GENERADOR!$Q$4:$Q$220,A322,PPTO_GENERADOR!$B$4:$B$220,PLAN_ETAPA!$C$4))</f>
        <v>0</v>
      </c>
      <c r="M322" s="216">
        <f>IFERROR(VLOOKUP(A322,PARTIDAS!$A$2:$F$269,6,FALSE()),1)</f>
        <v>9.5</v>
      </c>
      <c r="N322" s="216">
        <f>IFERROR(VLOOKUP(A322,PARTIDAS!$A$2:$I$269,9,FALSE()),1)</f>
        <v>1</v>
      </c>
      <c r="O322" s="217">
        <f t="shared" ref="O322:O385" si="10">IF(L322&gt;0,1,0)</f>
        <v>0</v>
      </c>
      <c r="P322" s="216">
        <f>IF(O322=0,0,IF(B322="MAT",G322*(1+H322)*L322*PLAN_ETAPA!$C$5,IF(B322="MO",IF(M322=0,0,G322*L322*PLAN_ETAPA!$C$5*N322/M322),IF(B322="EQ",IF(M322=0,0,G322*L322*PLAN_ETAPA!$C$5/M322),0))))</f>
        <v>0</v>
      </c>
      <c r="Q322" s="218">
        <f t="shared" ref="Q322:Q385" si="11">P322*I322</f>
        <v>0</v>
      </c>
    </row>
    <row r="323" spans="1:17" x14ac:dyDescent="0.35">
      <c r="A323" s="212" t="str">
        <f>COMPOSICIÓN!A323</f>
        <v>DUR-061</v>
      </c>
      <c r="B323" s="212" t="str">
        <f>COMPOSICIÓN!B323</f>
        <v>MAT</v>
      </c>
      <c r="C323" s="212" t="str">
        <f>COMPOSICIÓN!C323</f>
        <v>OTR</v>
      </c>
      <c r="D323" s="212" t="str">
        <f>COMPOSICIÓN!D323</f>
        <v>OTR-008</v>
      </c>
      <c r="E323" s="212" t="str">
        <f>COMPOSICIÓN!E323</f>
        <v>Tornillo T2 - Aguja</v>
      </c>
      <c r="F323" s="212" t="str">
        <f>COMPOSICIÓN!F323</f>
        <v>u</v>
      </c>
      <c r="G323" s="213">
        <f>COMPOSICIÓN!G323</f>
        <v>18</v>
      </c>
      <c r="H323" s="214">
        <f>COMPOSICIÓN!H323</f>
        <v>0.05</v>
      </c>
      <c r="I323" s="215">
        <f>COMPOSICIÓN!I323</f>
        <v>17.1963177226814</v>
      </c>
      <c r="J323" s="212" t="str">
        <f>IFERROR(VLOOKUP(A323,PARTIDAS!$A$2:$C$269,3,FALSE()),"")</f>
        <v>REVOQUES FINOS Y CIELORRASOS</v>
      </c>
      <c r="K323" s="212" t="str">
        <f>IFERROR(INDEX(PPTO_GENERADOR!$B$4:$B$220,MATCH(A323,PPTO_GENERADOR!$Q$4:$Q$220,0)),"")</f>
        <v/>
      </c>
      <c r="L323" s="216">
        <f>IF(PLAN_ETAPA!$C$4="(TODOS)",SUMIFS(PPTO_GENERADOR!$E$4:$E$220,PPTO_GENERADOR!$Q$4:$Q$220,A323),SUMIFS(PPTO_GENERADOR!$E$4:$E$220,PPTO_GENERADOR!$Q$4:$Q$220,A323,PPTO_GENERADOR!$B$4:$B$220,PLAN_ETAPA!$C$4))</f>
        <v>0</v>
      </c>
      <c r="M323" s="216">
        <f>IFERROR(VLOOKUP(A323,PARTIDAS!$A$2:$F$269,6,FALSE()),1)</f>
        <v>9.5</v>
      </c>
      <c r="N323" s="216">
        <f>IFERROR(VLOOKUP(A323,PARTIDAS!$A$2:$I$269,9,FALSE()),1)</f>
        <v>1</v>
      </c>
      <c r="O323" s="217">
        <f t="shared" si="10"/>
        <v>0</v>
      </c>
      <c r="P323" s="216">
        <f>IF(O323=0,0,IF(B323="MAT",G323*(1+H323)*L323*PLAN_ETAPA!$C$5,IF(B323="MO",IF(M323=0,0,G323*L323*PLAN_ETAPA!$C$5*N323/M323),IF(B323="EQ",IF(M323=0,0,G323*L323*PLAN_ETAPA!$C$5/M323),0))))</f>
        <v>0</v>
      </c>
      <c r="Q323" s="218">
        <f t="shared" si="11"/>
        <v>0</v>
      </c>
    </row>
    <row r="324" spans="1:17" x14ac:dyDescent="0.35">
      <c r="A324" s="212" t="str">
        <f>COMPOSICIÓN!A324</f>
        <v>DUR-061</v>
      </c>
      <c r="B324" s="212" t="str">
        <f>COMPOSICIÓN!B324</f>
        <v>MAT</v>
      </c>
      <c r="C324" s="212" t="str">
        <f>COMPOSICIÓN!C324</f>
        <v>OTR</v>
      </c>
      <c r="D324" s="212" t="str">
        <f>COMPOSICIÓN!D324</f>
        <v>OTR-010</v>
      </c>
      <c r="E324" s="212" t="str">
        <f>COMPOSICIÓN!E324</f>
        <v>Fijacion completa del 8</v>
      </c>
      <c r="F324" s="212" t="str">
        <f>COMPOSICIÓN!F324</f>
        <v>u</v>
      </c>
      <c r="G324" s="213">
        <f>COMPOSICIÓN!G324</f>
        <v>6</v>
      </c>
      <c r="H324" s="214">
        <f>COMPOSICIÓN!H324</f>
        <v>0.05</v>
      </c>
      <c r="I324" s="215">
        <f>COMPOSICIÓN!I324</f>
        <v>65.919008264462803</v>
      </c>
      <c r="J324" s="212" t="str">
        <f>IFERROR(VLOOKUP(A324,PARTIDAS!$A$2:$C$269,3,FALSE()),"")</f>
        <v>REVOQUES FINOS Y CIELORRASOS</v>
      </c>
      <c r="K324" s="212" t="str">
        <f>IFERROR(INDEX(PPTO_GENERADOR!$B$4:$B$220,MATCH(A324,PPTO_GENERADOR!$Q$4:$Q$220,0)),"")</f>
        <v/>
      </c>
      <c r="L324" s="216">
        <f>IF(PLAN_ETAPA!$C$4="(TODOS)",SUMIFS(PPTO_GENERADOR!$E$4:$E$220,PPTO_GENERADOR!$Q$4:$Q$220,A324),SUMIFS(PPTO_GENERADOR!$E$4:$E$220,PPTO_GENERADOR!$Q$4:$Q$220,A324,PPTO_GENERADOR!$B$4:$B$220,PLAN_ETAPA!$C$4))</f>
        <v>0</v>
      </c>
      <c r="M324" s="216">
        <f>IFERROR(VLOOKUP(A324,PARTIDAS!$A$2:$F$269,6,FALSE()),1)</f>
        <v>9.5</v>
      </c>
      <c r="N324" s="216">
        <f>IFERROR(VLOOKUP(A324,PARTIDAS!$A$2:$I$269,9,FALSE()),1)</f>
        <v>1</v>
      </c>
      <c r="O324" s="217">
        <f t="shared" si="10"/>
        <v>0</v>
      </c>
      <c r="P324" s="216">
        <f>IF(O324=0,0,IF(B324="MAT",G324*(1+H324)*L324*PLAN_ETAPA!$C$5,IF(B324="MO",IF(M324=0,0,G324*L324*PLAN_ETAPA!$C$5*N324/M324),IF(B324="EQ",IF(M324=0,0,G324*L324*PLAN_ETAPA!$C$5/M324),0))))</f>
        <v>0</v>
      </c>
      <c r="Q324" s="218">
        <f t="shared" si="11"/>
        <v>0</v>
      </c>
    </row>
    <row r="325" spans="1:17" x14ac:dyDescent="0.35">
      <c r="A325" s="212" t="str">
        <f>COMPOSICIÓN!A325</f>
        <v>DUR-061</v>
      </c>
      <c r="B325" s="212" t="str">
        <f>COMPOSICIÓN!B325</f>
        <v>MAT</v>
      </c>
      <c r="C325" s="212" t="str">
        <f>COMPOSICIÓN!C325</f>
        <v>OTR</v>
      </c>
      <c r="D325" s="212" t="str">
        <f>COMPOSICIÓN!D325</f>
        <v>OTR-011</v>
      </c>
      <c r="E325" s="212" t="str">
        <f>COMPOSICIÓN!E325</f>
        <v>Cinta Entramada - 90m</v>
      </c>
      <c r="F325" s="212" t="str">
        <f>COMPOSICIÓN!F325</f>
        <v>u</v>
      </c>
      <c r="G325" s="213">
        <f>COMPOSICIÓN!G325</f>
        <v>1.8333333333333299E-2</v>
      </c>
      <c r="H325" s="214">
        <f>COMPOSICIÓN!H325</f>
        <v>0.05</v>
      </c>
      <c r="I325" s="215">
        <f>COMPOSICIÓN!I325</f>
        <v>4042.71</v>
      </c>
      <c r="J325" s="212" t="str">
        <f>IFERROR(VLOOKUP(A325,PARTIDAS!$A$2:$C$269,3,FALSE()),"")</f>
        <v>REVOQUES FINOS Y CIELORRASOS</v>
      </c>
      <c r="K325" s="212" t="str">
        <f>IFERROR(INDEX(PPTO_GENERADOR!$B$4:$B$220,MATCH(A325,PPTO_GENERADOR!$Q$4:$Q$220,0)),"")</f>
        <v/>
      </c>
      <c r="L325" s="216">
        <f>IF(PLAN_ETAPA!$C$4="(TODOS)",SUMIFS(PPTO_GENERADOR!$E$4:$E$220,PPTO_GENERADOR!$Q$4:$Q$220,A325),SUMIFS(PPTO_GENERADOR!$E$4:$E$220,PPTO_GENERADOR!$Q$4:$Q$220,A325,PPTO_GENERADOR!$B$4:$B$220,PLAN_ETAPA!$C$4))</f>
        <v>0</v>
      </c>
      <c r="M325" s="216">
        <f>IFERROR(VLOOKUP(A325,PARTIDAS!$A$2:$F$269,6,FALSE()),1)</f>
        <v>9.5</v>
      </c>
      <c r="N325" s="216">
        <f>IFERROR(VLOOKUP(A325,PARTIDAS!$A$2:$I$269,9,FALSE()),1)</f>
        <v>1</v>
      </c>
      <c r="O325" s="217">
        <f t="shared" si="10"/>
        <v>0</v>
      </c>
      <c r="P325" s="216">
        <f>IF(O325=0,0,IF(B325="MAT",G325*(1+H325)*L325*PLAN_ETAPA!$C$5,IF(B325="MO",IF(M325=0,0,G325*L325*PLAN_ETAPA!$C$5*N325/M325),IF(B325="EQ",IF(M325=0,0,G325*L325*PLAN_ETAPA!$C$5/M325),0))))</f>
        <v>0</v>
      </c>
      <c r="Q325" s="218">
        <f t="shared" si="11"/>
        <v>0</v>
      </c>
    </row>
    <row r="326" spans="1:17" x14ac:dyDescent="0.35">
      <c r="A326" s="212" t="str">
        <f>COMPOSICIÓN!A326</f>
        <v>DUR-061</v>
      </c>
      <c r="B326" s="212" t="str">
        <f>COMPOSICIÓN!B326</f>
        <v>MAT</v>
      </c>
      <c r="C326" s="212" t="str">
        <f>COMPOSICIÓN!C326</f>
        <v>OTR</v>
      </c>
      <c r="D326" s="212" t="str">
        <f>COMPOSICIÓN!D326</f>
        <v>REV-007</v>
      </c>
      <c r="E326" s="212" t="str">
        <f>COMPOSICIÓN!E326</f>
        <v>Placa Roca de Yeso 1220 x 2440 - 12.5mm - RH</v>
      </c>
      <c r="F326" s="212" t="str">
        <f>COMPOSICIÓN!F326</f>
        <v>u</v>
      </c>
      <c r="G326" s="213">
        <f>COMPOSICIÓN!G326</f>
        <v>0.36</v>
      </c>
      <c r="H326" s="214">
        <f>COMPOSICIÓN!H326</f>
        <v>0.1</v>
      </c>
      <c r="I326" s="215">
        <f>COMPOSICIÓN!I326</f>
        <v>16160.1</v>
      </c>
      <c r="J326" s="212" t="str">
        <f>IFERROR(VLOOKUP(A326,PARTIDAS!$A$2:$C$269,3,FALSE()),"")</f>
        <v>REVOQUES FINOS Y CIELORRASOS</v>
      </c>
      <c r="K326" s="212" t="str">
        <f>IFERROR(INDEX(PPTO_GENERADOR!$B$4:$B$220,MATCH(A326,PPTO_GENERADOR!$Q$4:$Q$220,0)),"")</f>
        <v/>
      </c>
      <c r="L326" s="216">
        <f>IF(PLAN_ETAPA!$C$4="(TODOS)",SUMIFS(PPTO_GENERADOR!$E$4:$E$220,PPTO_GENERADOR!$Q$4:$Q$220,A326),SUMIFS(PPTO_GENERADOR!$E$4:$E$220,PPTO_GENERADOR!$Q$4:$Q$220,A326,PPTO_GENERADOR!$B$4:$B$220,PLAN_ETAPA!$C$4))</f>
        <v>0</v>
      </c>
      <c r="M326" s="216">
        <f>IFERROR(VLOOKUP(A326,PARTIDAS!$A$2:$F$269,6,FALSE()),1)</f>
        <v>9.5</v>
      </c>
      <c r="N326" s="216">
        <f>IFERROR(VLOOKUP(A326,PARTIDAS!$A$2:$I$269,9,FALSE()),1)</f>
        <v>1</v>
      </c>
      <c r="O326" s="217">
        <f t="shared" si="10"/>
        <v>0</v>
      </c>
      <c r="P326" s="216">
        <f>IF(O326=0,0,IF(B326="MAT",G326*(1+H326)*L326*PLAN_ETAPA!$C$5,IF(B326="MO",IF(M326=0,0,G326*L326*PLAN_ETAPA!$C$5*N326/M326),IF(B326="EQ",IF(M326=0,0,G326*L326*PLAN_ETAPA!$C$5/M326),0))))</f>
        <v>0</v>
      </c>
      <c r="Q326" s="218">
        <f t="shared" si="11"/>
        <v>0</v>
      </c>
    </row>
    <row r="327" spans="1:17" x14ac:dyDescent="0.35">
      <c r="A327" s="212" t="str">
        <f>COMPOSICIÓN!A327</f>
        <v>DUR-061</v>
      </c>
      <c r="B327" s="212" t="str">
        <f>COMPOSICIÓN!B327</f>
        <v>MO</v>
      </c>
      <c r="C327" s="212" t="str">
        <f>COMPOSICIÓN!C327</f>
        <v>ALB</v>
      </c>
      <c r="D327" s="212" t="str">
        <f>COMPOSICIÓN!D327</f>
        <v>MO-EMEDI</v>
      </c>
      <c r="E327" s="212" t="str">
        <f>COMPOSICIÓN!E327</f>
        <v>MEDIO OFICIAL</v>
      </c>
      <c r="F327" s="212" t="str">
        <f>COMPOSICIÓN!F327</f>
        <v>j</v>
      </c>
      <c r="G327" s="213">
        <f>COMPOSICIÓN!G327</f>
        <v>1</v>
      </c>
      <c r="H327" s="214">
        <f>COMPOSICIÓN!H327</f>
        <v>0</v>
      </c>
      <c r="I327" s="215">
        <f>COMPOSICIÓN!I327</f>
        <v>65493.071636572</v>
      </c>
      <c r="J327" s="212" t="str">
        <f>IFERROR(VLOOKUP(A327,PARTIDAS!$A$2:$C$269,3,FALSE()),"")</f>
        <v>REVOQUES FINOS Y CIELORRASOS</v>
      </c>
      <c r="K327" s="212" t="str">
        <f>IFERROR(INDEX(PPTO_GENERADOR!$B$4:$B$220,MATCH(A327,PPTO_GENERADOR!$Q$4:$Q$220,0)),"")</f>
        <v/>
      </c>
      <c r="L327" s="216">
        <f>IF(PLAN_ETAPA!$C$4="(TODOS)",SUMIFS(PPTO_GENERADOR!$E$4:$E$220,PPTO_GENERADOR!$Q$4:$Q$220,A327),SUMIFS(PPTO_GENERADOR!$E$4:$E$220,PPTO_GENERADOR!$Q$4:$Q$220,A327,PPTO_GENERADOR!$B$4:$B$220,PLAN_ETAPA!$C$4))</f>
        <v>0</v>
      </c>
      <c r="M327" s="216">
        <f>IFERROR(VLOOKUP(A327,PARTIDAS!$A$2:$F$269,6,FALSE()),1)</f>
        <v>9.5</v>
      </c>
      <c r="N327" s="216">
        <f>IFERROR(VLOOKUP(A327,PARTIDAS!$A$2:$I$269,9,FALSE()),1)</f>
        <v>1</v>
      </c>
      <c r="O327" s="217">
        <f t="shared" si="10"/>
        <v>0</v>
      </c>
      <c r="P327" s="216">
        <f>IF(O327=0,0,IF(B327="MAT",G327*(1+H327)*L327*PLAN_ETAPA!$C$5,IF(B327="MO",IF(M327=0,0,G327*L327*PLAN_ETAPA!$C$5*N327/M327),IF(B327="EQ",IF(M327=0,0,G327*L327*PLAN_ETAPA!$C$5/M327),0))))</f>
        <v>0</v>
      </c>
      <c r="Q327" s="218">
        <f t="shared" si="11"/>
        <v>0</v>
      </c>
    </row>
    <row r="328" spans="1:17" x14ac:dyDescent="0.35">
      <c r="A328" s="212" t="str">
        <f>COMPOSICIÓN!A328</f>
        <v>DUR-061</v>
      </c>
      <c r="B328" s="212" t="str">
        <f>COMPOSICIÓN!B328</f>
        <v>MO</v>
      </c>
      <c r="C328" s="212" t="str">
        <f>COMPOSICIÓN!C328</f>
        <v>ALB</v>
      </c>
      <c r="D328" s="212" t="str">
        <f>COMPOSICIÓN!D328</f>
        <v>MO-EESPE</v>
      </c>
      <c r="E328" s="212" t="str">
        <f>COMPOSICIÓN!E328</f>
        <v>ESPECIALIZADO</v>
      </c>
      <c r="F328" s="212" t="str">
        <f>COMPOSICIÓN!F328</f>
        <v>j</v>
      </c>
      <c r="G328" s="213">
        <f>COMPOSICIÓN!G328</f>
        <v>1</v>
      </c>
      <c r="H328" s="214">
        <f>COMPOSICIÓN!H328</f>
        <v>0</v>
      </c>
      <c r="I328" s="215">
        <f>COMPOSICIÓN!I328</f>
        <v>85927.097156571996</v>
      </c>
      <c r="J328" s="212" t="str">
        <f>IFERROR(VLOOKUP(A328,PARTIDAS!$A$2:$C$269,3,FALSE()),"")</f>
        <v>REVOQUES FINOS Y CIELORRASOS</v>
      </c>
      <c r="K328" s="212" t="str">
        <f>IFERROR(INDEX(PPTO_GENERADOR!$B$4:$B$220,MATCH(A328,PPTO_GENERADOR!$Q$4:$Q$220,0)),"")</f>
        <v/>
      </c>
      <c r="L328" s="216">
        <f>IF(PLAN_ETAPA!$C$4="(TODOS)",SUMIFS(PPTO_GENERADOR!$E$4:$E$220,PPTO_GENERADOR!$Q$4:$Q$220,A328),SUMIFS(PPTO_GENERADOR!$E$4:$E$220,PPTO_GENERADOR!$Q$4:$Q$220,A328,PPTO_GENERADOR!$B$4:$B$220,PLAN_ETAPA!$C$4))</f>
        <v>0</v>
      </c>
      <c r="M328" s="216">
        <f>IFERROR(VLOOKUP(A328,PARTIDAS!$A$2:$F$269,6,FALSE()),1)</f>
        <v>9.5</v>
      </c>
      <c r="N328" s="216">
        <f>IFERROR(VLOOKUP(A328,PARTIDAS!$A$2:$I$269,9,FALSE()),1)</f>
        <v>1</v>
      </c>
      <c r="O328" s="217">
        <f t="shared" si="10"/>
        <v>0</v>
      </c>
      <c r="P328" s="216">
        <f>IF(O328=0,0,IF(B328="MAT",G328*(1+H328)*L328*PLAN_ETAPA!$C$5,IF(B328="MO",IF(M328=0,0,G328*L328*PLAN_ETAPA!$C$5*N328/M328),IF(B328="EQ",IF(M328=0,0,G328*L328*PLAN_ETAPA!$C$5/M328),0))))</f>
        <v>0</v>
      </c>
      <c r="Q328" s="218">
        <f t="shared" si="11"/>
        <v>0</v>
      </c>
    </row>
    <row r="329" spans="1:17" x14ac:dyDescent="0.35">
      <c r="A329" s="212" t="str">
        <f>COMPOSICIÓN!A329</f>
        <v>DUR-062</v>
      </c>
      <c r="B329" s="212" t="str">
        <f>COMPOSICIÓN!B329</f>
        <v>EQ</v>
      </c>
      <c r="C329" s="212">
        <f>COMPOSICIÓN!C329</f>
        <v>0</v>
      </c>
      <c r="D329" s="212" t="str">
        <f>COMPOSICIÓN!D329</f>
        <v>EQ-PTO024</v>
      </c>
      <c r="E329" s="212" t="str">
        <f>COMPOSICIÓN!E329</f>
        <v>EQUIPO DE CONSTRUCCION EN SECO</v>
      </c>
      <c r="F329" s="212">
        <f>COMPOSICIÓN!F329</f>
        <v>0</v>
      </c>
      <c r="G329" s="213">
        <f>COMPOSICIÓN!G329</f>
        <v>1</v>
      </c>
      <c r="H329" s="214">
        <f>COMPOSICIÓN!H329</f>
        <v>0</v>
      </c>
      <c r="I329" s="215">
        <f>COMPOSICIÓN!I329</f>
        <v>2365.2381485799501</v>
      </c>
      <c r="J329" s="212" t="str">
        <f>IFERROR(VLOOKUP(A329,PARTIDAS!$A$2:$C$269,3,FALSE()),"")</f>
        <v>REVOQUES FINOS Y CIELORRASOS</v>
      </c>
      <c r="K329" s="212" t="str">
        <f>IFERROR(INDEX(PPTO_GENERADOR!$B$4:$B$220,MATCH(A329,PPTO_GENERADOR!$Q$4:$Q$220,0)),"")</f>
        <v/>
      </c>
      <c r="L329" s="216">
        <f>IF(PLAN_ETAPA!$C$4="(TODOS)",SUMIFS(PPTO_GENERADOR!$E$4:$E$220,PPTO_GENERADOR!$Q$4:$Q$220,A329),SUMIFS(PPTO_GENERADOR!$E$4:$E$220,PPTO_GENERADOR!$Q$4:$Q$220,A329,PPTO_GENERADOR!$B$4:$B$220,PLAN_ETAPA!$C$4))</f>
        <v>0</v>
      </c>
      <c r="M329" s="216">
        <f>IFERROR(VLOOKUP(A329,PARTIDAS!$A$2:$F$269,6,FALSE()),1)</f>
        <v>9.5</v>
      </c>
      <c r="N329" s="216">
        <f>IFERROR(VLOOKUP(A329,PARTIDAS!$A$2:$I$269,9,FALSE()),1)</f>
        <v>1</v>
      </c>
      <c r="O329" s="217">
        <f t="shared" si="10"/>
        <v>0</v>
      </c>
      <c r="P329" s="216">
        <f>IF(O329=0,0,IF(B329="MAT",G329*(1+H329)*L329*PLAN_ETAPA!$C$5,IF(B329="MO",IF(M329=0,0,G329*L329*PLAN_ETAPA!$C$5*N329/M329),IF(B329="EQ",IF(M329=0,0,G329*L329*PLAN_ETAPA!$C$5/M329),0))))</f>
        <v>0</v>
      </c>
      <c r="Q329" s="218">
        <f t="shared" si="11"/>
        <v>0</v>
      </c>
    </row>
    <row r="330" spans="1:17" x14ac:dyDescent="0.35">
      <c r="A330" s="212" t="str">
        <f>COMPOSICIÓN!A330</f>
        <v>DUR-062</v>
      </c>
      <c r="B330" s="212" t="str">
        <f>COMPOSICIÓN!B330</f>
        <v>EQ</v>
      </c>
      <c r="C330" s="212">
        <f>COMPOSICIÓN!C330</f>
        <v>0</v>
      </c>
      <c r="D330" s="212" t="str">
        <f>COMPOSICIÓN!D330</f>
        <v>EQ-ESCALE</v>
      </c>
      <c r="E330" s="212" t="str">
        <f>COMPOSICIÓN!E330</f>
        <v>ESCALERA GLOSS ALUMINIO ARTICULADA 4 X 4 ESCALONES HASTA 150KG</v>
      </c>
      <c r="F330" s="212">
        <f>COMPOSICIÓN!F330</f>
        <v>0</v>
      </c>
      <c r="G330" s="213">
        <f>COMPOSICIÓN!G330</f>
        <v>1</v>
      </c>
      <c r="H330" s="214">
        <f>COMPOSICIÓN!H330</f>
        <v>0</v>
      </c>
      <c r="I330" s="215">
        <f>COMPOSICIÓN!I330</f>
        <v>140.19809259430903</v>
      </c>
      <c r="J330" s="212" t="str">
        <f>IFERROR(VLOOKUP(A330,PARTIDAS!$A$2:$C$269,3,FALSE()),"")</f>
        <v>REVOQUES FINOS Y CIELORRASOS</v>
      </c>
      <c r="K330" s="212" t="str">
        <f>IFERROR(INDEX(PPTO_GENERADOR!$B$4:$B$220,MATCH(A330,PPTO_GENERADOR!$Q$4:$Q$220,0)),"")</f>
        <v/>
      </c>
      <c r="L330" s="216">
        <f>IF(PLAN_ETAPA!$C$4="(TODOS)",SUMIFS(PPTO_GENERADOR!$E$4:$E$220,PPTO_GENERADOR!$Q$4:$Q$220,A330),SUMIFS(PPTO_GENERADOR!$E$4:$E$220,PPTO_GENERADOR!$Q$4:$Q$220,A330,PPTO_GENERADOR!$B$4:$B$220,PLAN_ETAPA!$C$4))</f>
        <v>0</v>
      </c>
      <c r="M330" s="216">
        <f>IFERROR(VLOOKUP(A330,PARTIDAS!$A$2:$F$269,6,FALSE()),1)</f>
        <v>9.5</v>
      </c>
      <c r="N330" s="216">
        <f>IFERROR(VLOOKUP(A330,PARTIDAS!$A$2:$I$269,9,FALSE()),1)</f>
        <v>1</v>
      </c>
      <c r="O330" s="217">
        <f t="shared" si="10"/>
        <v>0</v>
      </c>
      <c r="P330" s="216">
        <f>IF(O330=0,0,IF(B330="MAT",G330*(1+H330)*L330*PLAN_ETAPA!$C$5,IF(B330="MO",IF(M330=0,0,G330*L330*PLAN_ETAPA!$C$5*N330/M330),IF(B330="EQ",IF(M330=0,0,G330*L330*PLAN_ETAPA!$C$5/M330),0))))</f>
        <v>0</v>
      </c>
      <c r="Q330" s="218">
        <f t="shared" si="11"/>
        <v>0</v>
      </c>
    </row>
    <row r="331" spans="1:17" x14ac:dyDescent="0.35">
      <c r="A331" s="212" t="str">
        <f>COMPOSICIÓN!A331</f>
        <v>DUR-062</v>
      </c>
      <c r="B331" s="212" t="str">
        <f>COMPOSICIÓN!B331</f>
        <v>MAT</v>
      </c>
      <c r="C331" s="212" t="str">
        <f>COMPOSICIÓN!C331</f>
        <v>OTR</v>
      </c>
      <c r="D331" s="212" t="str">
        <f>COMPOSICIÓN!D331</f>
        <v>DUR-001</v>
      </c>
      <c r="E331" s="212" t="str">
        <f>COMPOSICIÓN!E331</f>
        <v>Solera 70mm x 2.60m</v>
      </c>
      <c r="F331" s="212" t="str">
        <f>COMPOSICIÓN!F331</f>
        <v>u</v>
      </c>
      <c r="G331" s="213">
        <f>COMPOSICIÓN!G331</f>
        <v>0.50770000000000004</v>
      </c>
      <c r="H331" s="214">
        <f>COMPOSICIÓN!H331</f>
        <v>0.1</v>
      </c>
      <c r="I331" s="215">
        <f>COMPOSICIÓN!I331</f>
        <v>2932.93</v>
      </c>
      <c r="J331" s="212" t="str">
        <f>IFERROR(VLOOKUP(A331,PARTIDAS!$A$2:$C$269,3,FALSE()),"")</f>
        <v>REVOQUES FINOS Y CIELORRASOS</v>
      </c>
      <c r="K331" s="212" t="str">
        <f>IFERROR(INDEX(PPTO_GENERADOR!$B$4:$B$220,MATCH(A331,PPTO_GENERADOR!$Q$4:$Q$220,0)),"")</f>
        <v/>
      </c>
      <c r="L331" s="216">
        <f>IF(PLAN_ETAPA!$C$4="(TODOS)",SUMIFS(PPTO_GENERADOR!$E$4:$E$220,PPTO_GENERADOR!$Q$4:$Q$220,A331),SUMIFS(PPTO_GENERADOR!$E$4:$E$220,PPTO_GENERADOR!$Q$4:$Q$220,A331,PPTO_GENERADOR!$B$4:$B$220,PLAN_ETAPA!$C$4))</f>
        <v>0</v>
      </c>
      <c r="M331" s="216">
        <f>IFERROR(VLOOKUP(A331,PARTIDAS!$A$2:$F$269,6,FALSE()),1)</f>
        <v>9.5</v>
      </c>
      <c r="N331" s="216">
        <f>IFERROR(VLOOKUP(A331,PARTIDAS!$A$2:$I$269,9,FALSE()),1)</f>
        <v>1</v>
      </c>
      <c r="O331" s="217">
        <f t="shared" si="10"/>
        <v>0</v>
      </c>
      <c r="P331" s="216">
        <f>IF(O331=0,0,IF(B331="MAT",G331*(1+H331)*L331*PLAN_ETAPA!$C$5,IF(B331="MO",IF(M331=0,0,G331*L331*PLAN_ETAPA!$C$5*N331/M331),IF(B331="EQ",IF(M331=0,0,G331*L331*PLAN_ETAPA!$C$5/M331),0))))</f>
        <v>0</v>
      </c>
      <c r="Q331" s="218">
        <f t="shared" si="11"/>
        <v>0</v>
      </c>
    </row>
    <row r="332" spans="1:17" x14ac:dyDescent="0.35">
      <c r="A332" s="212" t="str">
        <f>COMPOSICIÓN!A332</f>
        <v>DUR-062</v>
      </c>
      <c r="B332" s="212" t="str">
        <f>COMPOSICIÓN!B332</f>
        <v>MAT</v>
      </c>
      <c r="C332" s="212" t="str">
        <f>COMPOSICIÓN!C332</f>
        <v>OTR</v>
      </c>
      <c r="D332" s="212" t="str">
        <f>COMPOSICIÓN!D332</f>
        <v>DUR-002</v>
      </c>
      <c r="E332" s="212" t="str">
        <f>COMPOSICIÓN!E332</f>
        <v>Montante 69mm x 2.60m</v>
      </c>
      <c r="F332" s="212" t="str">
        <f>COMPOSICIÓN!F332</f>
        <v>u</v>
      </c>
      <c r="G332" s="213">
        <f>COMPOSICIÓN!G332</f>
        <v>1.2307692307692299</v>
      </c>
      <c r="H332" s="214">
        <f>COMPOSICIÓN!H332</f>
        <v>0.1</v>
      </c>
      <c r="I332" s="215">
        <f>COMPOSICIÓN!I332</f>
        <v>3295.47</v>
      </c>
      <c r="J332" s="212" t="str">
        <f>IFERROR(VLOOKUP(A332,PARTIDAS!$A$2:$C$269,3,FALSE()),"")</f>
        <v>REVOQUES FINOS Y CIELORRASOS</v>
      </c>
      <c r="K332" s="212" t="str">
        <f>IFERROR(INDEX(PPTO_GENERADOR!$B$4:$B$220,MATCH(A332,PPTO_GENERADOR!$Q$4:$Q$220,0)),"")</f>
        <v/>
      </c>
      <c r="L332" s="216">
        <f>IF(PLAN_ETAPA!$C$4="(TODOS)",SUMIFS(PPTO_GENERADOR!$E$4:$E$220,PPTO_GENERADOR!$Q$4:$Q$220,A332),SUMIFS(PPTO_GENERADOR!$E$4:$E$220,PPTO_GENERADOR!$Q$4:$Q$220,A332,PPTO_GENERADOR!$B$4:$B$220,PLAN_ETAPA!$C$4))</f>
        <v>0</v>
      </c>
      <c r="M332" s="216">
        <f>IFERROR(VLOOKUP(A332,PARTIDAS!$A$2:$F$269,6,FALSE()),1)</f>
        <v>9.5</v>
      </c>
      <c r="N332" s="216">
        <f>IFERROR(VLOOKUP(A332,PARTIDAS!$A$2:$I$269,9,FALSE()),1)</f>
        <v>1</v>
      </c>
      <c r="O332" s="217">
        <f t="shared" si="10"/>
        <v>0</v>
      </c>
      <c r="P332" s="216">
        <f>IF(O332=0,0,IF(B332="MAT",G332*(1+H332)*L332*PLAN_ETAPA!$C$5,IF(B332="MO",IF(M332=0,0,G332*L332*PLAN_ETAPA!$C$5*N332/M332),IF(B332="EQ",IF(M332=0,0,G332*L332*PLAN_ETAPA!$C$5/M332),0))))</f>
        <v>0</v>
      </c>
      <c r="Q332" s="218">
        <f t="shared" si="11"/>
        <v>0</v>
      </c>
    </row>
    <row r="333" spans="1:17" x14ac:dyDescent="0.35">
      <c r="A333" s="212" t="str">
        <f>COMPOSICIÓN!A333</f>
        <v>DUR-062</v>
      </c>
      <c r="B333" s="212" t="str">
        <f>COMPOSICIÓN!B333</f>
        <v>MAT</v>
      </c>
      <c r="C333" s="212" t="str">
        <f>COMPOSICIÓN!C333</f>
        <v>OTR</v>
      </c>
      <c r="D333" s="212" t="str">
        <f>COMPOSICIÓN!D333</f>
        <v>DUR-005</v>
      </c>
      <c r="E333" s="212" t="str">
        <f>COMPOSICIÓN!E333</f>
        <v>Masilla x 32kg</v>
      </c>
      <c r="F333" s="212" t="str">
        <f>COMPOSICIÓN!F333</f>
        <v>u</v>
      </c>
      <c r="G333" s="213">
        <f>COMPOSICIÓN!G333</f>
        <v>2.8125000000000001E-2</v>
      </c>
      <c r="H333" s="214">
        <f>COMPOSICIÓN!H333</f>
        <v>0.05</v>
      </c>
      <c r="I333" s="215">
        <f>COMPOSICIÓN!I333</f>
        <v>26872.02</v>
      </c>
      <c r="J333" s="212" t="str">
        <f>IFERROR(VLOOKUP(A333,PARTIDAS!$A$2:$C$269,3,FALSE()),"")</f>
        <v>REVOQUES FINOS Y CIELORRASOS</v>
      </c>
      <c r="K333" s="212" t="str">
        <f>IFERROR(INDEX(PPTO_GENERADOR!$B$4:$B$220,MATCH(A333,PPTO_GENERADOR!$Q$4:$Q$220,0)),"")</f>
        <v/>
      </c>
      <c r="L333" s="216">
        <f>IF(PLAN_ETAPA!$C$4="(TODOS)",SUMIFS(PPTO_GENERADOR!$E$4:$E$220,PPTO_GENERADOR!$Q$4:$Q$220,A333),SUMIFS(PPTO_GENERADOR!$E$4:$E$220,PPTO_GENERADOR!$Q$4:$Q$220,A333,PPTO_GENERADOR!$B$4:$B$220,PLAN_ETAPA!$C$4))</f>
        <v>0</v>
      </c>
      <c r="M333" s="216">
        <f>IFERROR(VLOOKUP(A333,PARTIDAS!$A$2:$F$269,6,FALSE()),1)</f>
        <v>9.5</v>
      </c>
      <c r="N333" s="216">
        <f>IFERROR(VLOOKUP(A333,PARTIDAS!$A$2:$I$269,9,FALSE()),1)</f>
        <v>1</v>
      </c>
      <c r="O333" s="217">
        <f t="shared" si="10"/>
        <v>0</v>
      </c>
      <c r="P333" s="216">
        <f>IF(O333=0,0,IF(B333="MAT",G333*(1+H333)*L333*PLAN_ETAPA!$C$5,IF(B333="MO",IF(M333=0,0,G333*L333*PLAN_ETAPA!$C$5*N333/M333),IF(B333="EQ",IF(M333=0,0,G333*L333*PLAN_ETAPA!$C$5/M333),0))))</f>
        <v>0</v>
      </c>
      <c r="Q333" s="218">
        <f t="shared" si="11"/>
        <v>0</v>
      </c>
    </row>
    <row r="334" spans="1:17" x14ac:dyDescent="0.35">
      <c r="A334" s="212" t="str">
        <f>COMPOSICIÓN!A334</f>
        <v>DUR-062</v>
      </c>
      <c r="B334" s="212" t="str">
        <f>COMPOSICIÓN!B334</f>
        <v>MAT</v>
      </c>
      <c r="C334" s="212" t="str">
        <f>COMPOSICIÓN!C334</f>
        <v>OTR</v>
      </c>
      <c r="D334" s="212" t="str">
        <f>COMPOSICIÓN!D334</f>
        <v>OTR-007</v>
      </c>
      <c r="E334" s="212" t="str">
        <f>COMPOSICIÓN!E334</f>
        <v>Tornillo T1 - Aguja</v>
      </c>
      <c r="F334" s="212" t="str">
        <f>COMPOSICIÓN!F334</f>
        <v>u</v>
      </c>
      <c r="G334" s="213">
        <f>COMPOSICIÓN!G334</f>
        <v>16</v>
      </c>
      <c r="H334" s="214">
        <f>COMPOSICIÓN!H334</f>
        <v>0.05</v>
      </c>
      <c r="I334" s="215">
        <f>COMPOSICIÓN!I334</f>
        <v>32.707173553719002</v>
      </c>
      <c r="J334" s="212" t="str">
        <f>IFERROR(VLOOKUP(A334,PARTIDAS!$A$2:$C$269,3,FALSE()),"")</f>
        <v>REVOQUES FINOS Y CIELORRASOS</v>
      </c>
      <c r="K334" s="212" t="str">
        <f>IFERROR(INDEX(PPTO_GENERADOR!$B$4:$B$220,MATCH(A334,PPTO_GENERADOR!$Q$4:$Q$220,0)),"")</f>
        <v/>
      </c>
      <c r="L334" s="216">
        <f>IF(PLAN_ETAPA!$C$4="(TODOS)",SUMIFS(PPTO_GENERADOR!$E$4:$E$220,PPTO_GENERADOR!$Q$4:$Q$220,A334),SUMIFS(PPTO_GENERADOR!$E$4:$E$220,PPTO_GENERADOR!$Q$4:$Q$220,A334,PPTO_GENERADOR!$B$4:$B$220,PLAN_ETAPA!$C$4))</f>
        <v>0</v>
      </c>
      <c r="M334" s="216">
        <f>IFERROR(VLOOKUP(A334,PARTIDAS!$A$2:$F$269,6,FALSE()),1)</f>
        <v>9.5</v>
      </c>
      <c r="N334" s="216">
        <f>IFERROR(VLOOKUP(A334,PARTIDAS!$A$2:$I$269,9,FALSE()),1)</f>
        <v>1</v>
      </c>
      <c r="O334" s="217">
        <f t="shared" si="10"/>
        <v>0</v>
      </c>
      <c r="P334" s="216">
        <f>IF(O334=0,0,IF(B334="MAT",G334*(1+H334)*L334*PLAN_ETAPA!$C$5,IF(B334="MO",IF(M334=0,0,G334*L334*PLAN_ETAPA!$C$5*N334/M334),IF(B334="EQ",IF(M334=0,0,G334*L334*PLAN_ETAPA!$C$5/M334),0))))</f>
        <v>0</v>
      </c>
      <c r="Q334" s="218">
        <f t="shared" si="11"/>
        <v>0</v>
      </c>
    </row>
    <row r="335" spans="1:17" x14ac:dyDescent="0.35">
      <c r="A335" s="212" t="str">
        <f>COMPOSICIÓN!A335</f>
        <v>DUR-062</v>
      </c>
      <c r="B335" s="212" t="str">
        <f>COMPOSICIÓN!B335</f>
        <v>MAT</v>
      </c>
      <c r="C335" s="212" t="str">
        <f>COMPOSICIÓN!C335</f>
        <v>OTR</v>
      </c>
      <c r="D335" s="212" t="str">
        <f>COMPOSICIÓN!D335</f>
        <v>OTR-008</v>
      </c>
      <c r="E335" s="212" t="str">
        <f>COMPOSICIÓN!E335</f>
        <v>Tornillo T2 - Aguja</v>
      </c>
      <c r="F335" s="212" t="str">
        <f>COMPOSICIÓN!F335</f>
        <v>u</v>
      </c>
      <c r="G335" s="213">
        <f>COMPOSICIÓN!G335</f>
        <v>18</v>
      </c>
      <c r="H335" s="214">
        <f>COMPOSICIÓN!H335</f>
        <v>0.05</v>
      </c>
      <c r="I335" s="215">
        <f>COMPOSICIÓN!I335</f>
        <v>17.1963177226814</v>
      </c>
      <c r="J335" s="212" t="str">
        <f>IFERROR(VLOOKUP(A335,PARTIDAS!$A$2:$C$269,3,FALSE()),"")</f>
        <v>REVOQUES FINOS Y CIELORRASOS</v>
      </c>
      <c r="K335" s="212" t="str">
        <f>IFERROR(INDEX(PPTO_GENERADOR!$B$4:$B$220,MATCH(A335,PPTO_GENERADOR!$Q$4:$Q$220,0)),"")</f>
        <v/>
      </c>
      <c r="L335" s="216">
        <f>IF(PLAN_ETAPA!$C$4="(TODOS)",SUMIFS(PPTO_GENERADOR!$E$4:$E$220,PPTO_GENERADOR!$Q$4:$Q$220,A335),SUMIFS(PPTO_GENERADOR!$E$4:$E$220,PPTO_GENERADOR!$Q$4:$Q$220,A335,PPTO_GENERADOR!$B$4:$B$220,PLAN_ETAPA!$C$4))</f>
        <v>0</v>
      </c>
      <c r="M335" s="216">
        <f>IFERROR(VLOOKUP(A335,PARTIDAS!$A$2:$F$269,6,FALSE()),1)</f>
        <v>9.5</v>
      </c>
      <c r="N335" s="216">
        <f>IFERROR(VLOOKUP(A335,PARTIDAS!$A$2:$I$269,9,FALSE()),1)</f>
        <v>1</v>
      </c>
      <c r="O335" s="217">
        <f t="shared" si="10"/>
        <v>0</v>
      </c>
      <c r="P335" s="216">
        <f>IF(O335=0,0,IF(B335="MAT",G335*(1+H335)*L335*PLAN_ETAPA!$C$5,IF(B335="MO",IF(M335=0,0,G335*L335*PLAN_ETAPA!$C$5*N335/M335),IF(B335="EQ",IF(M335=0,0,G335*L335*PLAN_ETAPA!$C$5/M335),0))))</f>
        <v>0</v>
      </c>
      <c r="Q335" s="218">
        <f t="shared" si="11"/>
        <v>0</v>
      </c>
    </row>
    <row r="336" spans="1:17" x14ac:dyDescent="0.35">
      <c r="A336" s="212" t="str">
        <f>COMPOSICIÓN!A336</f>
        <v>DUR-062</v>
      </c>
      <c r="B336" s="212" t="str">
        <f>COMPOSICIÓN!B336</f>
        <v>MAT</v>
      </c>
      <c r="C336" s="212" t="str">
        <f>COMPOSICIÓN!C336</f>
        <v>OTR</v>
      </c>
      <c r="D336" s="212" t="str">
        <f>COMPOSICIÓN!D336</f>
        <v>OTR-010</v>
      </c>
      <c r="E336" s="212" t="str">
        <f>COMPOSICIÓN!E336</f>
        <v>Fijacion completa del 8</v>
      </c>
      <c r="F336" s="212" t="str">
        <f>COMPOSICIÓN!F336</f>
        <v>u</v>
      </c>
      <c r="G336" s="213">
        <f>COMPOSICIÓN!G336</f>
        <v>6</v>
      </c>
      <c r="H336" s="214">
        <f>COMPOSICIÓN!H336</f>
        <v>0.05</v>
      </c>
      <c r="I336" s="215">
        <f>COMPOSICIÓN!I336</f>
        <v>65.919008264462803</v>
      </c>
      <c r="J336" s="212" t="str">
        <f>IFERROR(VLOOKUP(A336,PARTIDAS!$A$2:$C$269,3,FALSE()),"")</f>
        <v>REVOQUES FINOS Y CIELORRASOS</v>
      </c>
      <c r="K336" s="212" t="str">
        <f>IFERROR(INDEX(PPTO_GENERADOR!$B$4:$B$220,MATCH(A336,PPTO_GENERADOR!$Q$4:$Q$220,0)),"")</f>
        <v/>
      </c>
      <c r="L336" s="216">
        <f>IF(PLAN_ETAPA!$C$4="(TODOS)",SUMIFS(PPTO_GENERADOR!$E$4:$E$220,PPTO_GENERADOR!$Q$4:$Q$220,A336),SUMIFS(PPTO_GENERADOR!$E$4:$E$220,PPTO_GENERADOR!$Q$4:$Q$220,A336,PPTO_GENERADOR!$B$4:$B$220,PLAN_ETAPA!$C$4))</f>
        <v>0</v>
      </c>
      <c r="M336" s="216">
        <f>IFERROR(VLOOKUP(A336,PARTIDAS!$A$2:$F$269,6,FALSE()),1)</f>
        <v>9.5</v>
      </c>
      <c r="N336" s="216">
        <f>IFERROR(VLOOKUP(A336,PARTIDAS!$A$2:$I$269,9,FALSE()),1)</f>
        <v>1</v>
      </c>
      <c r="O336" s="217">
        <f t="shared" si="10"/>
        <v>0</v>
      </c>
      <c r="P336" s="216">
        <f>IF(O336=0,0,IF(B336="MAT",G336*(1+H336)*L336*PLAN_ETAPA!$C$5,IF(B336="MO",IF(M336=0,0,G336*L336*PLAN_ETAPA!$C$5*N336/M336),IF(B336="EQ",IF(M336=0,0,G336*L336*PLAN_ETAPA!$C$5/M336),0))))</f>
        <v>0</v>
      </c>
      <c r="Q336" s="218">
        <f t="shared" si="11"/>
        <v>0</v>
      </c>
    </row>
    <row r="337" spans="1:17" x14ac:dyDescent="0.35">
      <c r="A337" s="212" t="str">
        <f>COMPOSICIÓN!A337</f>
        <v>DUR-062</v>
      </c>
      <c r="B337" s="212" t="str">
        <f>COMPOSICIÓN!B337</f>
        <v>MAT</v>
      </c>
      <c r="C337" s="212" t="str">
        <f>COMPOSICIÓN!C337</f>
        <v>OTR</v>
      </c>
      <c r="D337" s="212" t="str">
        <f>COMPOSICIÓN!D337</f>
        <v>OTR-011</v>
      </c>
      <c r="E337" s="212" t="str">
        <f>COMPOSICIÓN!E337</f>
        <v>Cinta Entramada - 90m</v>
      </c>
      <c r="F337" s="212" t="str">
        <f>COMPOSICIÓN!F337</f>
        <v>u</v>
      </c>
      <c r="G337" s="213">
        <f>COMPOSICIÓN!G337</f>
        <v>1.8333333333333299E-2</v>
      </c>
      <c r="H337" s="214">
        <f>COMPOSICIÓN!H337</f>
        <v>0.05</v>
      </c>
      <c r="I337" s="215">
        <f>COMPOSICIÓN!I337</f>
        <v>4042.71</v>
      </c>
      <c r="J337" s="212" t="str">
        <f>IFERROR(VLOOKUP(A337,PARTIDAS!$A$2:$C$269,3,FALSE()),"")</f>
        <v>REVOQUES FINOS Y CIELORRASOS</v>
      </c>
      <c r="K337" s="212" t="str">
        <f>IFERROR(INDEX(PPTO_GENERADOR!$B$4:$B$220,MATCH(A337,PPTO_GENERADOR!$Q$4:$Q$220,0)),"")</f>
        <v/>
      </c>
      <c r="L337" s="216">
        <f>IF(PLAN_ETAPA!$C$4="(TODOS)",SUMIFS(PPTO_GENERADOR!$E$4:$E$220,PPTO_GENERADOR!$Q$4:$Q$220,A337),SUMIFS(PPTO_GENERADOR!$E$4:$E$220,PPTO_GENERADOR!$Q$4:$Q$220,A337,PPTO_GENERADOR!$B$4:$B$220,PLAN_ETAPA!$C$4))</f>
        <v>0</v>
      </c>
      <c r="M337" s="216">
        <f>IFERROR(VLOOKUP(A337,PARTIDAS!$A$2:$F$269,6,FALSE()),1)</f>
        <v>9.5</v>
      </c>
      <c r="N337" s="216">
        <f>IFERROR(VLOOKUP(A337,PARTIDAS!$A$2:$I$269,9,FALSE()),1)</f>
        <v>1</v>
      </c>
      <c r="O337" s="217">
        <f t="shared" si="10"/>
        <v>0</v>
      </c>
      <c r="P337" s="216">
        <f>IF(O337=0,0,IF(B337="MAT",G337*(1+H337)*L337*PLAN_ETAPA!$C$5,IF(B337="MO",IF(M337=0,0,G337*L337*PLAN_ETAPA!$C$5*N337/M337),IF(B337="EQ",IF(M337=0,0,G337*L337*PLAN_ETAPA!$C$5/M337),0))))</f>
        <v>0</v>
      </c>
      <c r="Q337" s="218">
        <f t="shared" si="11"/>
        <v>0</v>
      </c>
    </row>
    <row r="338" spans="1:17" x14ac:dyDescent="0.35">
      <c r="A338" s="212" t="str">
        <f>COMPOSICIÓN!A338</f>
        <v>DUR-062</v>
      </c>
      <c r="B338" s="212" t="str">
        <f>COMPOSICIÓN!B338</f>
        <v>MAT</v>
      </c>
      <c r="C338" s="212" t="str">
        <f>COMPOSICIÓN!C338</f>
        <v>OTR</v>
      </c>
      <c r="D338" s="212" t="str">
        <f>COMPOSICIÓN!D338</f>
        <v>REV-008</v>
      </c>
      <c r="E338" s="212" t="str">
        <f>COMPOSICIÓN!E338</f>
        <v>Placa Roca de Yeso 1220 x 2440 - 12.5mm - RF</v>
      </c>
      <c r="F338" s="212" t="str">
        <f>COMPOSICIÓN!F338</f>
        <v>u</v>
      </c>
      <c r="G338" s="213">
        <f>COMPOSICIÓN!G338</f>
        <v>0.36</v>
      </c>
      <c r="H338" s="214">
        <f>COMPOSICIÓN!H338</f>
        <v>0.1</v>
      </c>
      <c r="I338" s="215">
        <f>COMPOSICIÓN!I338</f>
        <v>14217.87</v>
      </c>
      <c r="J338" s="212" t="str">
        <f>IFERROR(VLOOKUP(A338,PARTIDAS!$A$2:$C$269,3,FALSE()),"")</f>
        <v>REVOQUES FINOS Y CIELORRASOS</v>
      </c>
      <c r="K338" s="212" t="str">
        <f>IFERROR(INDEX(PPTO_GENERADOR!$B$4:$B$220,MATCH(A338,PPTO_GENERADOR!$Q$4:$Q$220,0)),"")</f>
        <v/>
      </c>
      <c r="L338" s="216">
        <f>IF(PLAN_ETAPA!$C$4="(TODOS)",SUMIFS(PPTO_GENERADOR!$E$4:$E$220,PPTO_GENERADOR!$Q$4:$Q$220,A338),SUMIFS(PPTO_GENERADOR!$E$4:$E$220,PPTO_GENERADOR!$Q$4:$Q$220,A338,PPTO_GENERADOR!$B$4:$B$220,PLAN_ETAPA!$C$4))</f>
        <v>0</v>
      </c>
      <c r="M338" s="216">
        <f>IFERROR(VLOOKUP(A338,PARTIDAS!$A$2:$F$269,6,FALSE()),1)</f>
        <v>9.5</v>
      </c>
      <c r="N338" s="216">
        <f>IFERROR(VLOOKUP(A338,PARTIDAS!$A$2:$I$269,9,FALSE()),1)</f>
        <v>1</v>
      </c>
      <c r="O338" s="217">
        <f t="shared" si="10"/>
        <v>0</v>
      </c>
      <c r="P338" s="216">
        <f>IF(O338=0,0,IF(B338="MAT",G338*(1+H338)*L338*PLAN_ETAPA!$C$5,IF(B338="MO",IF(M338=0,0,G338*L338*PLAN_ETAPA!$C$5*N338/M338),IF(B338="EQ",IF(M338=0,0,G338*L338*PLAN_ETAPA!$C$5/M338),0))))</f>
        <v>0</v>
      </c>
      <c r="Q338" s="218">
        <f t="shared" si="11"/>
        <v>0</v>
      </c>
    </row>
    <row r="339" spans="1:17" x14ac:dyDescent="0.35">
      <c r="A339" s="212" t="str">
        <f>COMPOSICIÓN!A339</f>
        <v>DUR-062</v>
      </c>
      <c r="B339" s="212" t="str">
        <f>COMPOSICIÓN!B339</f>
        <v>MO</v>
      </c>
      <c r="C339" s="212" t="str">
        <f>COMPOSICIÓN!C339</f>
        <v>ALB</v>
      </c>
      <c r="D339" s="212" t="str">
        <f>COMPOSICIÓN!D339</f>
        <v>MO-EMEDI</v>
      </c>
      <c r="E339" s="212" t="str">
        <f>COMPOSICIÓN!E339</f>
        <v>MEDIO OFICIAL</v>
      </c>
      <c r="F339" s="212" t="str">
        <f>COMPOSICIÓN!F339</f>
        <v>j</v>
      </c>
      <c r="G339" s="213">
        <f>COMPOSICIÓN!G339</f>
        <v>1</v>
      </c>
      <c r="H339" s="214">
        <f>COMPOSICIÓN!H339</f>
        <v>0</v>
      </c>
      <c r="I339" s="215">
        <f>COMPOSICIÓN!I339</f>
        <v>65493.071636572</v>
      </c>
      <c r="J339" s="212" t="str">
        <f>IFERROR(VLOOKUP(A339,PARTIDAS!$A$2:$C$269,3,FALSE()),"")</f>
        <v>REVOQUES FINOS Y CIELORRASOS</v>
      </c>
      <c r="K339" s="212" t="str">
        <f>IFERROR(INDEX(PPTO_GENERADOR!$B$4:$B$220,MATCH(A339,PPTO_GENERADOR!$Q$4:$Q$220,0)),"")</f>
        <v/>
      </c>
      <c r="L339" s="216">
        <f>IF(PLAN_ETAPA!$C$4="(TODOS)",SUMIFS(PPTO_GENERADOR!$E$4:$E$220,PPTO_GENERADOR!$Q$4:$Q$220,A339),SUMIFS(PPTO_GENERADOR!$E$4:$E$220,PPTO_GENERADOR!$Q$4:$Q$220,A339,PPTO_GENERADOR!$B$4:$B$220,PLAN_ETAPA!$C$4))</f>
        <v>0</v>
      </c>
      <c r="M339" s="216">
        <f>IFERROR(VLOOKUP(A339,PARTIDAS!$A$2:$F$269,6,FALSE()),1)</f>
        <v>9.5</v>
      </c>
      <c r="N339" s="216">
        <f>IFERROR(VLOOKUP(A339,PARTIDAS!$A$2:$I$269,9,FALSE()),1)</f>
        <v>1</v>
      </c>
      <c r="O339" s="217">
        <f t="shared" si="10"/>
        <v>0</v>
      </c>
      <c r="P339" s="216">
        <f>IF(O339=0,0,IF(B339="MAT",G339*(1+H339)*L339*PLAN_ETAPA!$C$5,IF(B339="MO",IF(M339=0,0,G339*L339*PLAN_ETAPA!$C$5*N339/M339),IF(B339="EQ",IF(M339=0,0,G339*L339*PLAN_ETAPA!$C$5/M339),0))))</f>
        <v>0</v>
      </c>
      <c r="Q339" s="218">
        <f t="shared" si="11"/>
        <v>0</v>
      </c>
    </row>
    <row r="340" spans="1:17" x14ac:dyDescent="0.35">
      <c r="A340" s="212" t="str">
        <f>COMPOSICIÓN!A340</f>
        <v>DUR-062</v>
      </c>
      <c r="B340" s="212" t="str">
        <f>COMPOSICIÓN!B340</f>
        <v>MO</v>
      </c>
      <c r="C340" s="212" t="str">
        <f>COMPOSICIÓN!C340</f>
        <v>ALB</v>
      </c>
      <c r="D340" s="212" t="str">
        <f>COMPOSICIÓN!D340</f>
        <v>MO-EESPE</v>
      </c>
      <c r="E340" s="212" t="str">
        <f>COMPOSICIÓN!E340</f>
        <v>ESPECIALIZADO</v>
      </c>
      <c r="F340" s="212" t="str">
        <f>COMPOSICIÓN!F340</f>
        <v>j</v>
      </c>
      <c r="G340" s="213">
        <f>COMPOSICIÓN!G340</f>
        <v>1</v>
      </c>
      <c r="H340" s="214">
        <f>COMPOSICIÓN!H340</f>
        <v>0</v>
      </c>
      <c r="I340" s="215">
        <f>COMPOSICIÓN!I340</f>
        <v>85927.097156571996</v>
      </c>
      <c r="J340" s="212" t="str">
        <f>IFERROR(VLOOKUP(A340,PARTIDAS!$A$2:$C$269,3,FALSE()),"")</f>
        <v>REVOQUES FINOS Y CIELORRASOS</v>
      </c>
      <c r="K340" s="212" t="str">
        <f>IFERROR(INDEX(PPTO_GENERADOR!$B$4:$B$220,MATCH(A340,PPTO_GENERADOR!$Q$4:$Q$220,0)),"")</f>
        <v/>
      </c>
      <c r="L340" s="216">
        <f>IF(PLAN_ETAPA!$C$4="(TODOS)",SUMIFS(PPTO_GENERADOR!$E$4:$E$220,PPTO_GENERADOR!$Q$4:$Q$220,A340),SUMIFS(PPTO_GENERADOR!$E$4:$E$220,PPTO_GENERADOR!$Q$4:$Q$220,A340,PPTO_GENERADOR!$B$4:$B$220,PLAN_ETAPA!$C$4))</f>
        <v>0</v>
      </c>
      <c r="M340" s="216">
        <f>IFERROR(VLOOKUP(A340,PARTIDAS!$A$2:$F$269,6,FALSE()),1)</f>
        <v>9.5</v>
      </c>
      <c r="N340" s="216">
        <f>IFERROR(VLOOKUP(A340,PARTIDAS!$A$2:$I$269,9,FALSE()),1)</f>
        <v>1</v>
      </c>
      <c r="O340" s="217">
        <f t="shared" si="10"/>
        <v>0</v>
      </c>
      <c r="P340" s="216">
        <f>IF(O340=0,0,IF(B340="MAT",G340*(1+H340)*L340*PLAN_ETAPA!$C$5,IF(B340="MO",IF(M340=0,0,G340*L340*PLAN_ETAPA!$C$5*N340/M340),IF(B340="EQ",IF(M340=0,0,G340*L340*PLAN_ETAPA!$C$5/M340),0))))</f>
        <v>0</v>
      </c>
      <c r="Q340" s="218">
        <f t="shared" si="11"/>
        <v>0</v>
      </c>
    </row>
    <row r="341" spans="1:17" x14ac:dyDescent="0.35">
      <c r="A341" s="212" t="str">
        <f>COMPOSICIÓN!A341</f>
        <v>DUR-063</v>
      </c>
      <c r="B341" s="212" t="str">
        <f>COMPOSICIÓN!B341</f>
        <v>EQ</v>
      </c>
      <c r="C341" s="212">
        <f>COMPOSICIÓN!C341</f>
        <v>0</v>
      </c>
      <c r="D341" s="212" t="str">
        <f>COMPOSICIÓN!D341</f>
        <v>EQ-ESCALE</v>
      </c>
      <c r="E341" s="212" t="str">
        <f>COMPOSICIÓN!E341</f>
        <v>ESCALERA GLOSS ALUMINIO ARTICULADA 4 X 4 ESCALONES HASTA 150KG</v>
      </c>
      <c r="F341" s="212">
        <f>COMPOSICIÓN!F341</f>
        <v>0</v>
      </c>
      <c r="G341" s="213">
        <f>COMPOSICIÓN!G341</f>
        <v>1</v>
      </c>
      <c r="H341" s="214">
        <f>COMPOSICIÓN!H341</f>
        <v>0</v>
      </c>
      <c r="I341" s="215">
        <f>COMPOSICIÓN!I341</f>
        <v>140.19809259430903</v>
      </c>
      <c r="J341" s="212" t="str">
        <f>IFERROR(VLOOKUP(A341,PARTIDAS!$A$2:$C$269,3,FALSE()),"")</f>
        <v>REVOQUES FINOS Y CIELORRASOS</v>
      </c>
      <c r="K341" s="212" t="str">
        <f>IFERROR(INDEX(PPTO_GENERADOR!$B$4:$B$220,MATCH(A341,PPTO_GENERADOR!$Q$4:$Q$220,0)),"")</f>
        <v/>
      </c>
      <c r="L341" s="216">
        <f>IF(PLAN_ETAPA!$C$4="(TODOS)",SUMIFS(PPTO_GENERADOR!$E$4:$E$220,PPTO_GENERADOR!$Q$4:$Q$220,A341),SUMIFS(PPTO_GENERADOR!$E$4:$E$220,PPTO_GENERADOR!$Q$4:$Q$220,A341,PPTO_GENERADOR!$B$4:$B$220,PLAN_ETAPA!$C$4))</f>
        <v>0</v>
      </c>
      <c r="M341" s="216">
        <f>IFERROR(VLOOKUP(A341,PARTIDAS!$A$2:$F$269,6,FALSE()),1)</f>
        <v>10</v>
      </c>
      <c r="N341" s="216">
        <f>IFERROR(VLOOKUP(A341,PARTIDAS!$A$2:$I$269,9,FALSE()),1)</f>
        <v>1</v>
      </c>
      <c r="O341" s="217">
        <f t="shared" si="10"/>
        <v>0</v>
      </c>
      <c r="P341" s="216">
        <f>IF(O341=0,0,IF(B341="MAT",G341*(1+H341)*L341*PLAN_ETAPA!$C$5,IF(B341="MO",IF(M341=0,0,G341*L341*PLAN_ETAPA!$C$5*N341/M341),IF(B341="EQ",IF(M341=0,0,G341*L341*PLAN_ETAPA!$C$5/M341),0))))</f>
        <v>0</v>
      </c>
      <c r="Q341" s="218">
        <f t="shared" si="11"/>
        <v>0</v>
      </c>
    </row>
    <row r="342" spans="1:17" x14ac:dyDescent="0.35">
      <c r="A342" s="212" t="str">
        <f>COMPOSICIÓN!A342</f>
        <v>DUR-063</v>
      </c>
      <c r="B342" s="212" t="str">
        <f>COMPOSICIÓN!B342</f>
        <v>EQ</v>
      </c>
      <c r="C342" s="212">
        <f>COMPOSICIÓN!C342</f>
        <v>0</v>
      </c>
      <c r="D342" s="212" t="str">
        <f>COMPOSICIÓN!D342</f>
        <v>EQ-PTO024</v>
      </c>
      <c r="E342" s="212" t="str">
        <f>COMPOSICIÓN!E342</f>
        <v>EQUIPO DE CONSTRUCCION EN SECO</v>
      </c>
      <c r="F342" s="212">
        <f>COMPOSICIÓN!F342</f>
        <v>0</v>
      </c>
      <c r="G342" s="213">
        <f>COMPOSICIÓN!G342</f>
        <v>1</v>
      </c>
      <c r="H342" s="214">
        <f>COMPOSICIÓN!H342</f>
        <v>0</v>
      </c>
      <c r="I342" s="215">
        <f>COMPOSICIÓN!I342</f>
        <v>2365.2381485799501</v>
      </c>
      <c r="J342" s="212" t="str">
        <f>IFERROR(VLOOKUP(A342,PARTIDAS!$A$2:$C$269,3,FALSE()),"")</f>
        <v>REVOQUES FINOS Y CIELORRASOS</v>
      </c>
      <c r="K342" s="212" t="str">
        <f>IFERROR(INDEX(PPTO_GENERADOR!$B$4:$B$220,MATCH(A342,PPTO_GENERADOR!$Q$4:$Q$220,0)),"")</f>
        <v/>
      </c>
      <c r="L342" s="216">
        <f>IF(PLAN_ETAPA!$C$4="(TODOS)",SUMIFS(PPTO_GENERADOR!$E$4:$E$220,PPTO_GENERADOR!$Q$4:$Q$220,A342),SUMIFS(PPTO_GENERADOR!$E$4:$E$220,PPTO_GENERADOR!$Q$4:$Q$220,A342,PPTO_GENERADOR!$B$4:$B$220,PLAN_ETAPA!$C$4))</f>
        <v>0</v>
      </c>
      <c r="M342" s="216">
        <f>IFERROR(VLOOKUP(A342,PARTIDAS!$A$2:$F$269,6,FALSE()),1)</f>
        <v>10</v>
      </c>
      <c r="N342" s="216">
        <f>IFERROR(VLOOKUP(A342,PARTIDAS!$A$2:$I$269,9,FALSE()),1)</f>
        <v>1</v>
      </c>
      <c r="O342" s="217">
        <f t="shared" si="10"/>
        <v>0</v>
      </c>
      <c r="P342" s="216">
        <f>IF(O342=0,0,IF(B342="MAT",G342*(1+H342)*L342*PLAN_ETAPA!$C$5,IF(B342="MO",IF(M342=0,0,G342*L342*PLAN_ETAPA!$C$5*N342/M342),IF(B342="EQ",IF(M342=0,0,G342*L342*PLAN_ETAPA!$C$5/M342),0))))</f>
        <v>0</v>
      </c>
      <c r="Q342" s="218">
        <f t="shared" si="11"/>
        <v>0</v>
      </c>
    </row>
    <row r="343" spans="1:17" x14ac:dyDescent="0.35">
      <c r="A343" s="212" t="str">
        <f>COMPOSICIÓN!A343</f>
        <v>DUR-063</v>
      </c>
      <c r="B343" s="212" t="str">
        <f>COMPOSICIÓN!B343</f>
        <v>MAT</v>
      </c>
      <c r="C343" s="212" t="str">
        <f>COMPOSICIÓN!C343</f>
        <v>OTR</v>
      </c>
      <c r="D343" s="212" t="str">
        <f>COMPOSICIÓN!D343</f>
        <v>ACE-014</v>
      </c>
      <c r="E343" s="212" t="str">
        <f>COMPOSICIÓN!E343</f>
        <v>Alambre galvanizado N°14 x kg</v>
      </c>
      <c r="F343" s="212" t="str">
        <f>COMPOSICIÓN!F343</f>
        <v>u</v>
      </c>
      <c r="G343" s="213">
        <f>COMPOSICIÓN!G343</f>
        <v>0.06</v>
      </c>
      <c r="H343" s="214">
        <f>COMPOSICIÓN!H343</f>
        <v>0.05</v>
      </c>
      <c r="I343" s="215">
        <f>COMPOSICIÓN!I343</f>
        <v>2474.34710743802</v>
      </c>
      <c r="J343" s="212" t="str">
        <f>IFERROR(VLOOKUP(A343,PARTIDAS!$A$2:$C$269,3,FALSE()),"")</f>
        <v>REVOQUES FINOS Y CIELORRASOS</v>
      </c>
      <c r="K343" s="212" t="str">
        <f>IFERROR(INDEX(PPTO_GENERADOR!$B$4:$B$220,MATCH(A343,PPTO_GENERADOR!$Q$4:$Q$220,0)),"")</f>
        <v/>
      </c>
      <c r="L343" s="216">
        <f>IF(PLAN_ETAPA!$C$4="(TODOS)",SUMIFS(PPTO_GENERADOR!$E$4:$E$220,PPTO_GENERADOR!$Q$4:$Q$220,A343),SUMIFS(PPTO_GENERADOR!$E$4:$E$220,PPTO_GENERADOR!$Q$4:$Q$220,A343,PPTO_GENERADOR!$B$4:$B$220,PLAN_ETAPA!$C$4))</f>
        <v>0</v>
      </c>
      <c r="M343" s="216">
        <f>IFERROR(VLOOKUP(A343,PARTIDAS!$A$2:$F$269,6,FALSE()),1)</f>
        <v>10</v>
      </c>
      <c r="N343" s="216">
        <f>IFERROR(VLOOKUP(A343,PARTIDAS!$A$2:$I$269,9,FALSE()),1)</f>
        <v>1</v>
      </c>
      <c r="O343" s="217">
        <f t="shared" si="10"/>
        <v>0</v>
      </c>
      <c r="P343" s="216">
        <f>IF(O343=0,0,IF(B343="MAT",G343*(1+H343)*L343*PLAN_ETAPA!$C$5,IF(B343="MO",IF(M343=0,0,G343*L343*PLAN_ETAPA!$C$5*N343/M343),IF(B343="EQ",IF(M343=0,0,G343*L343*PLAN_ETAPA!$C$5/M343),0))))</f>
        <v>0</v>
      </c>
      <c r="Q343" s="218">
        <f t="shared" si="11"/>
        <v>0</v>
      </c>
    </row>
    <row r="344" spans="1:17" x14ac:dyDescent="0.35">
      <c r="A344" s="212" t="str">
        <f>COMPOSICIÓN!A344</f>
        <v>DUR-063</v>
      </c>
      <c r="B344" s="212" t="str">
        <f>COMPOSICIÓN!B344</f>
        <v>MAT</v>
      </c>
      <c r="C344" s="212" t="str">
        <f>COMPOSICIÓN!C344</f>
        <v>OTR</v>
      </c>
      <c r="D344" s="212" t="str">
        <f>COMPOSICIÓN!D344</f>
        <v>DUR-007</v>
      </c>
      <c r="E344" s="212" t="str">
        <f>COMPOSICIÓN!E344</f>
        <v>Perfil Perimetral x 3.05</v>
      </c>
      <c r="F344" s="212" t="str">
        <f>COMPOSICIÓN!F344</f>
        <v>u</v>
      </c>
      <c r="G344" s="213">
        <f>COMPOSICIÓN!G344</f>
        <v>0.49</v>
      </c>
      <c r="H344" s="214">
        <f>COMPOSICIÓN!H344</f>
        <v>0.1</v>
      </c>
      <c r="I344" s="215">
        <f>COMPOSICIÓN!I344</f>
        <v>2470.5619834710801</v>
      </c>
      <c r="J344" s="212" t="str">
        <f>IFERROR(VLOOKUP(A344,PARTIDAS!$A$2:$C$269,3,FALSE()),"")</f>
        <v>REVOQUES FINOS Y CIELORRASOS</v>
      </c>
      <c r="K344" s="212" t="str">
        <f>IFERROR(INDEX(PPTO_GENERADOR!$B$4:$B$220,MATCH(A344,PPTO_GENERADOR!$Q$4:$Q$220,0)),"")</f>
        <v/>
      </c>
      <c r="L344" s="216">
        <f>IF(PLAN_ETAPA!$C$4="(TODOS)",SUMIFS(PPTO_GENERADOR!$E$4:$E$220,PPTO_GENERADOR!$Q$4:$Q$220,A344),SUMIFS(PPTO_GENERADOR!$E$4:$E$220,PPTO_GENERADOR!$Q$4:$Q$220,A344,PPTO_GENERADOR!$B$4:$B$220,PLAN_ETAPA!$C$4))</f>
        <v>0</v>
      </c>
      <c r="M344" s="216">
        <f>IFERROR(VLOOKUP(A344,PARTIDAS!$A$2:$F$269,6,FALSE()),1)</f>
        <v>10</v>
      </c>
      <c r="N344" s="216">
        <f>IFERROR(VLOOKUP(A344,PARTIDAS!$A$2:$I$269,9,FALSE()),1)</f>
        <v>1</v>
      </c>
      <c r="O344" s="217">
        <f t="shared" si="10"/>
        <v>0</v>
      </c>
      <c r="P344" s="216">
        <f>IF(O344=0,0,IF(B344="MAT",G344*(1+H344)*L344*PLAN_ETAPA!$C$5,IF(B344="MO",IF(M344=0,0,G344*L344*PLAN_ETAPA!$C$5*N344/M344),IF(B344="EQ",IF(M344=0,0,G344*L344*PLAN_ETAPA!$C$5/M344),0))))</f>
        <v>0</v>
      </c>
      <c r="Q344" s="218">
        <f t="shared" si="11"/>
        <v>0</v>
      </c>
    </row>
    <row r="345" spans="1:17" x14ac:dyDescent="0.35">
      <c r="A345" s="212" t="str">
        <f>COMPOSICIÓN!A345</f>
        <v>DUR-063</v>
      </c>
      <c r="B345" s="212" t="str">
        <f>COMPOSICIÓN!B345</f>
        <v>MAT</v>
      </c>
      <c r="C345" s="212" t="str">
        <f>COMPOSICIÓN!C345</f>
        <v>OTR</v>
      </c>
      <c r="D345" s="212" t="str">
        <f>COMPOSICIÓN!D345</f>
        <v>OTR-010</v>
      </c>
      <c r="E345" s="212" t="str">
        <f>COMPOSICIÓN!E345</f>
        <v>Fijacion completa del 8</v>
      </c>
      <c r="F345" s="212" t="str">
        <f>COMPOSICIÓN!F345</f>
        <v>u</v>
      </c>
      <c r="G345" s="213">
        <f>COMPOSICIÓN!G345</f>
        <v>6</v>
      </c>
      <c r="H345" s="214">
        <f>COMPOSICIÓN!H345</f>
        <v>0.05</v>
      </c>
      <c r="I345" s="215">
        <f>COMPOSICIÓN!I345</f>
        <v>65.919008264462803</v>
      </c>
      <c r="J345" s="212" t="str">
        <f>IFERROR(VLOOKUP(A345,PARTIDAS!$A$2:$C$269,3,FALSE()),"")</f>
        <v>REVOQUES FINOS Y CIELORRASOS</v>
      </c>
      <c r="K345" s="212" t="str">
        <f>IFERROR(INDEX(PPTO_GENERADOR!$B$4:$B$220,MATCH(A345,PPTO_GENERADOR!$Q$4:$Q$220,0)),"")</f>
        <v/>
      </c>
      <c r="L345" s="216">
        <f>IF(PLAN_ETAPA!$C$4="(TODOS)",SUMIFS(PPTO_GENERADOR!$E$4:$E$220,PPTO_GENERADOR!$Q$4:$Q$220,A345),SUMIFS(PPTO_GENERADOR!$E$4:$E$220,PPTO_GENERADOR!$Q$4:$Q$220,A345,PPTO_GENERADOR!$B$4:$B$220,PLAN_ETAPA!$C$4))</f>
        <v>0</v>
      </c>
      <c r="M345" s="216">
        <f>IFERROR(VLOOKUP(A345,PARTIDAS!$A$2:$F$269,6,FALSE()),1)</f>
        <v>10</v>
      </c>
      <c r="N345" s="216">
        <f>IFERROR(VLOOKUP(A345,PARTIDAS!$A$2:$I$269,9,FALSE()),1)</f>
        <v>1</v>
      </c>
      <c r="O345" s="217">
        <f t="shared" si="10"/>
        <v>0</v>
      </c>
      <c r="P345" s="216">
        <f>IF(O345=0,0,IF(B345="MAT",G345*(1+H345)*L345*PLAN_ETAPA!$C$5,IF(B345="MO",IF(M345=0,0,G345*L345*PLAN_ETAPA!$C$5*N345/M345),IF(B345="EQ",IF(M345=0,0,G345*L345*PLAN_ETAPA!$C$5/M345),0))))</f>
        <v>0</v>
      </c>
      <c r="Q345" s="218">
        <f t="shared" si="11"/>
        <v>0</v>
      </c>
    </row>
    <row r="346" spans="1:17" x14ac:dyDescent="0.35">
      <c r="A346" s="212" t="str">
        <f>COMPOSICIÓN!A346</f>
        <v>DUR-063</v>
      </c>
      <c r="B346" s="212" t="str">
        <f>COMPOSICIÓN!B346</f>
        <v>MAT</v>
      </c>
      <c r="C346" s="212" t="str">
        <f>COMPOSICIÓN!C346</f>
        <v>OTR</v>
      </c>
      <c r="D346" s="212" t="str">
        <f>COMPOSICIÓN!D346</f>
        <v>OTR-015</v>
      </c>
      <c r="E346" s="212" t="str">
        <f>COMPOSICIÓN!E346</f>
        <v>Larguero x 3.66</v>
      </c>
      <c r="F346" s="212" t="str">
        <f>COMPOSICIÓN!F346</f>
        <v>u</v>
      </c>
      <c r="G346" s="213">
        <f>COMPOSICIÓN!G346</f>
        <v>0.44</v>
      </c>
      <c r="H346" s="214">
        <f>COMPOSICIÓN!H346</f>
        <v>0.05</v>
      </c>
      <c r="I346" s="215">
        <f>COMPOSICIÓN!I346</f>
        <v>3894.6611570247901</v>
      </c>
      <c r="J346" s="212" t="str">
        <f>IFERROR(VLOOKUP(A346,PARTIDAS!$A$2:$C$269,3,FALSE()),"")</f>
        <v>REVOQUES FINOS Y CIELORRASOS</v>
      </c>
      <c r="K346" s="212" t="str">
        <f>IFERROR(INDEX(PPTO_GENERADOR!$B$4:$B$220,MATCH(A346,PPTO_GENERADOR!$Q$4:$Q$220,0)),"")</f>
        <v/>
      </c>
      <c r="L346" s="216">
        <f>IF(PLAN_ETAPA!$C$4="(TODOS)",SUMIFS(PPTO_GENERADOR!$E$4:$E$220,PPTO_GENERADOR!$Q$4:$Q$220,A346),SUMIFS(PPTO_GENERADOR!$E$4:$E$220,PPTO_GENERADOR!$Q$4:$Q$220,A346,PPTO_GENERADOR!$B$4:$B$220,PLAN_ETAPA!$C$4))</f>
        <v>0</v>
      </c>
      <c r="M346" s="216">
        <f>IFERROR(VLOOKUP(A346,PARTIDAS!$A$2:$F$269,6,FALSE()),1)</f>
        <v>10</v>
      </c>
      <c r="N346" s="216">
        <f>IFERROR(VLOOKUP(A346,PARTIDAS!$A$2:$I$269,9,FALSE()),1)</f>
        <v>1</v>
      </c>
      <c r="O346" s="217">
        <f t="shared" si="10"/>
        <v>0</v>
      </c>
      <c r="P346" s="216">
        <f>IF(O346=0,0,IF(B346="MAT",G346*(1+H346)*L346*PLAN_ETAPA!$C$5,IF(B346="MO",IF(M346=0,0,G346*L346*PLAN_ETAPA!$C$5*N346/M346),IF(B346="EQ",IF(M346=0,0,G346*L346*PLAN_ETAPA!$C$5/M346),0))))</f>
        <v>0</v>
      </c>
      <c r="Q346" s="218">
        <f t="shared" si="11"/>
        <v>0</v>
      </c>
    </row>
    <row r="347" spans="1:17" x14ac:dyDescent="0.35">
      <c r="A347" s="212" t="str">
        <f>COMPOSICIÓN!A347</f>
        <v>DUR-063</v>
      </c>
      <c r="B347" s="212" t="str">
        <f>COMPOSICIÓN!B347</f>
        <v>MAT</v>
      </c>
      <c r="C347" s="212" t="str">
        <f>COMPOSICIÓN!C347</f>
        <v>OTR</v>
      </c>
      <c r="D347" s="212" t="str">
        <f>COMPOSICIÓN!D347</f>
        <v>OTR-017</v>
      </c>
      <c r="E347" s="212" t="str">
        <f>COMPOSICIÓN!E347</f>
        <v>Travesaño x 0.60</v>
      </c>
      <c r="F347" s="212" t="str">
        <f>COMPOSICIÓN!F347</f>
        <v>u</v>
      </c>
      <c r="G347" s="213">
        <f>COMPOSICIÓN!G347</f>
        <v>2.67</v>
      </c>
      <c r="H347" s="214">
        <f>COMPOSICIÓN!H347</f>
        <v>0.05</v>
      </c>
      <c r="I347" s="215">
        <f>COMPOSICIÓN!I347</f>
        <v>647.24793388429805</v>
      </c>
      <c r="J347" s="212" t="str">
        <f>IFERROR(VLOOKUP(A347,PARTIDAS!$A$2:$C$269,3,FALSE()),"")</f>
        <v>REVOQUES FINOS Y CIELORRASOS</v>
      </c>
      <c r="K347" s="212" t="str">
        <f>IFERROR(INDEX(PPTO_GENERADOR!$B$4:$B$220,MATCH(A347,PPTO_GENERADOR!$Q$4:$Q$220,0)),"")</f>
        <v/>
      </c>
      <c r="L347" s="216">
        <f>IF(PLAN_ETAPA!$C$4="(TODOS)",SUMIFS(PPTO_GENERADOR!$E$4:$E$220,PPTO_GENERADOR!$Q$4:$Q$220,A347),SUMIFS(PPTO_GENERADOR!$E$4:$E$220,PPTO_GENERADOR!$Q$4:$Q$220,A347,PPTO_GENERADOR!$B$4:$B$220,PLAN_ETAPA!$C$4))</f>
        <v>0</v>
      </c>
      <c r="M347" s="216">
        <f>IFERROR(VLOOKUP(A347,PARTIDAS!$A$2:$F$269,6,FALSE()),1)</f>
        <v>10</v>
      </c>
      <c r="N347" s="216">
        <f>IFERROR(VLOOKUP(A347,PARTIDAS!$A$2:$I$269,9,FALSE()),1)</f>
        <v>1</v>
      </c>
      <c r="O347" s="217">
        <f t="shared" si="10"/>
        <v>0</v>
      </c>
      <c r="P347" s="216">
        <f>IF(O347=0,0,IF(B347="MAT",G347*(1+H347)*L347*PLAN_ETAPA!$C$5,IF(B347="MO",IF(M347=0,0,G347*L347*PLAN_ETAPA!$C$5*N347/M347),IF(B347="EQ",IF(M347=0,0,G347*L347*PLAN_ETAPA!$C$5/M347),0))))</f>
        <v>0</v>
      </c>
      <c r="Q347" s="218">
        <f t="shared" si="11"/>
        <v>0</v>
      </c>
    </row>
    <row r="348" spans="1:17" x14ac:dyDescent="0.35">
      <c r="A348" s="212" t="str">
        <f>COMPOSICIÓN!A348</f>
        <v>DUR-063</v>
      </c>
      <c r="B348" s="212" t="str">
        <f>COMPOSICIÓN!B348</f>
        <v>MO</v>
      </c>
      <c r="C348" s="212" t="str">
        <f>COMPOSICIÓN!C348</f>
        <v>ALB</v>
      </c>
      <c r="D348" s="212" t="str">
        <f>COMPOSICIÓN!D348</f>
        <v>MO-EMEDI</v>
      </c>
      <c r="E348" s="212" t="str">
        <f>COMPOSICIÓN!E348</f>
        <v>MEDIO OFICIAL</v>
      </c>
      <c r="F348" s="212" t="str">
        <f>COMPOSICIÓN!F348</f>
        <v>j</v>
      </c>
      <c r="G348" s="213">
        <f>COMPOSICIÓN!G348</f>
        <v>1</v>
      </c>
      <c r="H348" s="214">
        <f>COMPOSICIÓN!H348</f>
        <v>0</v>
      </c>
      <c r="I348" s="215">
        <f>COMPOSICIÓN!I348</f>
        <v>65493.071636572</v>
      </c>
      <c r="J348" s="212" t="str">
        <f>IFERROR(VLOOKUP(A348,PARTIDAS!$A$2:$C$269,3,FALSE()),"")</f>
        <v>REVOQUES FINOS Y CIELORRASOS</v>
      </c>
      <c r="K348" s="212" t="str">
        <f>IFERROR(INDEX(PPTO_GENERADOR!$B$4:$B$220,MATCH(A348,PPTO_GENERADOR!$Q$4:$Q$220,0)),"")</f>
        <v/>
      </c>
      <c r="L348" s="216">
        <f>IF(PLAN_ETAPA!$C$4="(TODOS)",SUMIFS(PPTO_GENERADOR!$E$4:$E$220,PPTO_GENERADOR!$Q$4:$Q$220,A348),SUMIFS(PPTO_GENERADOR!$E$4:$E$220,PPTO_GENERADOR!$Q$4:$Q$220,A348,PPTO_GENERADOR!$B$4:$B$220,PLAN_ETAPA!$C$4))</f>
        <v>0</v>
      </c>
      <c r="M348" s="216">
        <f>IFERROR(VLOOKUP(A348,PARTIDAS!$A$2:$F$269,6,FALSE()),1)</f>
        <v>10</v>
      </c>
      <c r="N348" s="216">
        <f>IFERROR(VLOOKUP(A348,PARTIDAS!$A$2:$I$269,9,FALSE()),1)</f>
        <v>1</v>
      </c>
      <c r="O348" s="217">
        <f t="shared" si="10"/>
        <v>0</v>
      </c>
      <c r="P348" s="216">
        <f>IF(O348=0,0,IF(B348="MAT",G348*(1+H348)*L348*PLAN_ETAPA!$C$5,IF(B348="MO",IF(M348=0,0,G348*L348*PLAN_ETAPA!$C$5*N348/M348),IF(B348="EQ",IF(M348=0,0,G348*L348*PLAN_ETAPA!$C$5/M348),0))))</f>
        <v>0</v>
      </c>
      <c r="Q348" s="218">
        <f t="shared" si="11"/>
        <v>0</v>
      </c>
    </row>
    <row r="349" spans="1:17" x14ac:dyDescent="0.35">
      <c r="A349" s="212" t="str">
        <f>COMPOSICIÓN!A349</f>
        <v>DUR-063</v>
      </c>
      <c r="B349" s="212" t="str">
        <f>COMPOSICIÓN!B349</f>
        <v>MO</v>
      </c>
      <c r="C349" s="212" t="str">
        <f>COMPOSICIÓN!C349</f>
        <v>ALB</v>
      </c>
      <c r="D349" s="212" t="str">
        <f>COMPOSICIÓN!D349</f>
        <v>MO-EESPE</v>
      </c>
      <c r="E349" s="212" t="str">
        <f>COMPOSICIÓN!E349</f>
        <v>ESPECIALIZADO</v>
      </c>
      <c r="F349" s="212" t="str">
        <f>COMPOSICIÓN!F349</f>
        <v>j</v>
      </c>
      <c r="G349" s="213">
        <f>COMPOSICIÓN!G349</f>
        <v>1</v>
      </c>
      <c r="H349" s="214">
        <f>COMPOSICIÓN!H349</f>
        <v>0</v>
      </c>
      <c r="I349" s="215">
        <f>COMPOSICIÓN!I349</f>
        <v>85927.097156571996</v>
      </c>
      <c r="J349" s="212" t="str">
        <f>IFERROR(VLOOKUP(A349,PARTIDAS!$A$2:$C$269,3,FALSE()),"")</f>
        <v>REVOQUES FINOS Y CIELORRASOS</v>
      </c>
      <c r="K349" s="212" t="str">
        <f>IFERROR(INDEX(PPTO_GENERADOR!$B$4:$B$220,MATCH(A349,PPTO_GENERADOR!$Q$4:$Q$220,0)),"")</f>
        <v/>
      </c>
      <c r="L349" s="216">
        <f>IF(PLAN_ETAPA!$C$4="(TODOS)",SUMIFS(PPTO_GENERADOR!$E$4:$E$220,PPTO_GENERADOR!$Q$4:$Q$220,A349),SUMIFS(PPTO_GENERADOR!$E$4:$E$220,PPTO_GENERADOR!$Q$4:$Q$220,A349,PPTO_GENERADOR!$B$4:$B$220,PLAN_ETAPA!$C$4))</f>
        <v>0</v>
      </c>
      <c r="M349" s="216">
        <f>IFERROR(VLOOKUP(A349,PARTIDAS!$A$2:$F$269,6,FALSE()),1)</f>
        <v>10</v>
      </c>
      <c r="N349" s="216">
        <f>IFERROR(VLOOKUP(A349,PARTIDAS!$A$2:$I$269,9,FALSE()),1)</f>
        <v>1</v>
      </c>
      <c r="O349" s="217">
        <f t="shared" si="10"/>
        <v>0</v>
      </c>
      <c r="P349" s="216">
        <f>IF(O349=0,0,IF(B349="MAT",G349*(1+H349)*L349*PLAN_ETAPA!$C$5,IF(B349="MO",IF(M349=0,0,G349*L349*PLAN_ETAPA!$C$5*N349/M349),IF(B349="EQ",IF(M349=0,0,G349*L349*PLAN_ETAPA!$C$5/M349),0))))</f>
        <v>0</v>
      </c>
      <c r="Q349" s="218">
        <f t="shared" si="11"/>
        <v>0</v>
      </c>
    </row>
    <row r="350" spans="1:17" x14ac:dyDescent="0.35">
      <c r="A350" s="212" t="str">
        <f>COMPOSICIÓN!A350</f>
        <v>DUR-064</v>
      </c>
      <c r="B350" s="212" t="str">
        <f>COMPOSICIÓN!B350</f>
        <v>EQ</v>
      </c>
      <c r="C350" s="212">
        <f>COMPOSICIÓN!C350</f>
        <v>0</v>
      </c>
      <c r="D350" s="212" t="str">
        <f>COMPOSICIÓN!D350</f>
        <v>EQ-PTO024</v>
      </c>
      <c r="E350" s="212" t="str">
        <f>COMPOSICIÓN!E350</f>
        <v>EQUIPO DE CONSTRUCCION EN SECO</v>
      </c>
      <c r="F350" s="212">
        <f>COMPOSICIÓN!F350</f>
        <v>0</v>
      </c>
      <c r="G350" s="213">
        <f>COMPOSICIÓN!G350</f>
        <v>1</v>
      </c>
      <c r="H350" s="214">
        <f>COMPOSICIÓN!H350</f>
        <v>0</v>
      </c>
      <c r="I350" s="215">
        <f>COMPOSICIÓN!I350</f>
        <v>2365.2381485799501</v>
      </c>
      <c r="J350" s="212" t="str">
        <f>IFERROR(VLOOKUP(A350,PARTIDAS!$A$2:$C$269,3,FALSE()),"")</f>
        <v>REVOQUES FINOS Y CIELORRASOS</v>
      </c>
      <c r="K350" s="212" t="str">
        <f>IFERROR(INDEX(PPTO_GENERADOR!$B$4:$B$220,MATCH(A350,PPTO_GENERADOR!$Q$4:$Q$220,0)),"")</f>
        <v/>
      </c>
      <c r="L350" s="216">
        <f>IF(PLAN_ETAPA!$C$4="(TODOS)",SUMIFS(PPTO_GENERADOR!$E$4:$E$220,PPTO_GENERADOR!$Q$4:$Q$220,A350),SUMIFS(PPTO_GENERADOR!$E$4:$E$220,PPTO_GENERADOR!$Q$4:$Q$220,A350,PPTO_GENERADOR!$B$4:$B$220,PLAN_ETAPA!$C$4))</f>
        <v>0</v>
      </c>
      <c r="M350" s="216">
        <f>IFERROR(VLOOKUP(A350,PARTIDAS!$A$2:$F$269,6,FALSE()),1)</f>
        <v>7</v>
      </c>
      <c r="N350" s="216">
        <f>IFERROR(VLOOKUP(A350,PARTIDAS!$A$2:$I$269,9,FALSE()),1)</f>
        <v>1</v>
      </c>
      <c r="O350" s="217">
        <f t="shared" si="10"/>
        <v>0</v>
      </c>
      <c r="P350" s="216">
        <f>IF(O350=0,0,IF(B350="MAT",G350*(1+H350)*L350*PLAN_ETAPA!$C$5,IF(B350="MO",IF(M350=0,0,G350*L350*PLAN_ETAPA!$C$5*N350/M350),IF(B350="EQ",IF(M350=0,0,G350*L350*PLAN_ETAPA!$C$5/M350),0))))</f>
        <v>0</v>
      </c>
      <c r="Q350" s="218">
        <f t="shared" si="11"/>
        <v>0</v>
      </c>
    </row>
    <row r="351" spans="1:17" x14ac:dyDescent="0.35">
      <c r="A351" s="212" t="str">
        <f>COMPOSICIÓN!A351</f>
        <v>DUR-064</v>
      </c>
      <c r="B351" s="212" t="str">
        <f>COMPOSICIÓN!B351</f>
        <v>EQ</v>
      </c>
      <c r="C351" s="212">
        <f>COMPOSICIÓN!C351</f>
        <v>0</v>
      </c>
      <c r="D351" s="212" t="str">
        <f>COMPOSICIÓN!D351</f>
        <v>EQ-ESCALE</v>
      </c>
      <c r="E351" s="212" t="str">
        <f>COMPOSICIÓN!E351</f>
        <v>ESCALERA GLOSS ALUMINIO ARTICULADA 4 X 4 ESCALONES HASTA 150KG</v>
      </c>
      <c r="F351" s="212">
        <f>COMPOSICIÓN!F351</f>
        <v>0</v>
      </c>
      <c r="G351" s="213">
        <f>COMPOSICIÓN!G351</f>
        <v>0.5</v>
      </c>
      <c r="H351" s="214">
        <f>COMPOSICIÓN!H351</f>
        <v>0</v>
      </c>
      <c r="I351" s="215">
        <f>COMPOSICIÓN!I351</f>
        <v>140.19809259430903</v>
      </c>
      <c r="J351" s="212" t="str">
        <f>IFERROR(VLOOKUP(A351,PARTIDAS!$A$2:$C$269,3,FALSE()),"")</f>
        <v>REVOQUES FINOS Y CIELORRASOS</v>
      </c>
      <c r="K351" s="212" t="str">
        <f>IFERROR(INDEX(PPTO_GENERADOR!$B$4:$B$220,MATCH(A351,PPTO_GENERADOR!$Q$4:$Q$220,0)),"")</f>
        <v/>
      </c>
      <c r="L351" s="216">
        <f>IF(PLAN_ETAPA!$C$4="(TODOS)",SUMIFS(PPTO_GENERADOR!$E$4:$E$220,PPTO_GENERADOR!$Q$4:$Q$220,A351),SUMIFS(PPTO_GENERADOR!$E$4:$E$220,PPTO_GENERADOR!$Q$4:$Q$220,A351,PPTO_GENERADOR!$B$4:$B$220,PLAN_ETAPA!$C$4))</f>
        <v>0</v>
      </c>
      <c r="M351" s="216">
        <f>IFERROR(VLOOKUP(A351,PARTIDAS!$A$2:$F$269,6,FALSE()),1)</f>
        <v>7</v>
      </c>
      <c r="N351" s="216">
        <f>IFERROR(VLOOKUP(A351,PARTIDAS!$A$2:$I$269,9,FALSE()),1)</f>
        <v>1</v>
      </c>
      <c r="O351" s="217">
        <f t="shared" si="10"/>
        <v>0</v>
      </c>
      <c r="P351" s="216">
        <f>IF(O351=0,0,IF(B351="MAT",G351*(1+H351)*L351*PLAN_ETAPA!$C$5,IF(B351="MO",IF(M351=0,0,G351*L351*PLAN_ETAPA!$C$5*N351/M351),IF(B351="EQ",IF(M351=0,0,G351*L351*PLAN_ETAPA!$C$5/M351),0))))</f>
        <v>0</v>
      </c>
      <c r="Q351" s="218">
        <f t="shared" si="11"/>
        <v>0</v>
      </c>
    </row>
    <row r="352" spans="1:17" x14ac:dyDescent="0.35">
      <c r="A352" s="212" t="str">
        <f>COMPOSICIÓN!A352</f>
        <v>DUR-064</v>
      </c>
      <c r="B352" s="212" t="str">
        <f>COMPOSICIÓN!B352</f>
        <v>MAT</v>
      </c>
      <c r="C352" s="212" t="str">
        <f>COMPOSICIÓN!C352</f>
        <v>OTR</v>
      </c>
      <c r="D352" s="212" t="str">
        <f>COMPOSICIÓN!D352</f>
        <v>DUR-001</v>
      </c>
      <c r="E352" s="212" t="str">
        <f>COMPOSICIÓN!E352</f>
        <v>Solera 70mm x 2.60m</v>
      </c>
      <c r="F352" s="212" t="str">
        <f>COMPOSICIÓN!F352</f>
        <v>u</v>
      </c>
      <c r="G352" s="213">
        <f>COMPOSICIÓN!G352</f>
        <v>0.46153846153846201</v>
      </c>
      <c r="H352" s="214">
        <f>COMPOSICIÓN!H352</f>
        <v>0.1</v>
      </c>
      <c r="I352" s="215">
        <f>COMPOSICIÓN!I352</f>
        <v>2932.93</v>
      </c>
      <c r="J352" s="212" t="str">
        <f>IFERROR(VLOOKUP(A352,PARTIDAS!$A$2:$C$269,3,FALSE()),"")</f>
        <v>REVOQUES FINOS Y CIELORRASOS</v>
      </c>
      <c r="K352" s="212" t="str">
        <f>IFERROR(INDEX(PPTO_GENERADOR!$B$4:$B$220,MATCH(A352,PPTO_GENERADOR!$Q$4:$Q$220,0)),"")</f>
        <v/>
      </c>
      <c r="L352" s="216">
        <f>IF(PLAN_ETAPA!$C$4="(TODOS)",SUMIFS(PPTO_GENERADOR!$E$4:$E$220,PPTO_GENERADOR!$Q$4:$Q$220,A352),SUMIFS(PPTO_GENERADOR!$E$4:$E$220,PPTO_GENERADOR!$Q$4:$Q$220,A352,PPTO_GENERADOR!$B$4:$B$220,PLAN_ETAPA!$C$4))</f>
        <v>0</v>
      </c>
      <c r="M352" s="216">
        <f>IFERROR(VLOOKUP(A352,PARTIDAS!$A$2:$F$269,6,FALSE()),1)</f>
        <v>7</v>
      </c>
      <c r="N352" s="216">
        <f>IFERROR(VLOOKUP(A352,PARTIDAS!$A$2:$I$269,9,FALSE()),1)</f>
        <v>1</v>
      </c>
      <c r="O352" s="217">
        <f t="shared" si="10"/>
        <v>0</v>
      </c>
      <c r="P352" s="216">
        <f>IF(O352=0,0,IF(B352="MAT",G352*(1+H352)*L352*PLAN_ETAPA!$C$5,IF(B352="MO",IF(M352=0,0,G352*L352*PLAN_ETAPA!$C$5*N352/M352),IF(B352="EQ",IF(M352=0,0,G352*L352*PLAN_ETAPA!$C$5/M352),0))))</f>
        <v>0</v>
      </c>
      <c r="Q352" s="218">
        <f t="shared" si="11"/>
        <v>0</v>
      </c>
    </row>
    <row r="353" spans="1:17" x14ac:dyDescent="0.35">
      <c r="A353" s="212" t="str">
        <f>COMPOSICIÓN!A353</f>
        <v>DUR-064</v>
      </c>
      <c r="B353" s="212" t="str">
        <f>COMPOSICIÓN!B353</f>
        <v>MAT</v>
      </c>
      <c r="C353" s="212" t="str">
        <f>COMPOSICIÓN!C353</f>
        <v>OTR</v>
      </c>
      <c r="D353" s="212" t="str">
        <f>COMPOSICIÓN!D353</f>
        <v>DUR-002</v>
      </c>
      <c r="E353" s="212" t="str">
        <f>COMPOSICIÓN!E353</f>
        <v>Montante 69mm x 2.60m</v>
      </c>
      <c r="F353" s="212" t="str">
        <f>COMPOSICIÓN!F353</f>
        <v>u</v>
      </c>
      <c r="G353" s="213">
        <f>COMPOSICIÓN!G353</f>
        <v>1.15384615384615</v>
      </c>
      <c r="H353" s="214">
        <f>COMPOSICIÓN!H353</f>
        <v>0.1</v>
      </c>
      <c r="I353" s="215">
        <f>COMPOSICIÓN!I353</f>
        <v>3295.47</v>
      </c>
      <c r="J353" s="212" t="str">
        <f>IFERROR(VLOOKUP(A353,PARTIDAS!$A$2:$C$269,3,FALSE()),"")</f>
        <v>REVOQUES FINOS Y CIELORRASOS</v>
      </c>
      <c r="K353" s="212" t="str">
        <f>IFERROR(INDEX(PPTO_GENERADOR!$B$4:$B$220,MATCH(A353,PPTO_GENERADOR!$Q$4:$Q$220,0)),"")</f>
        <v/>
      </c>
      <c r="L353" s="216">
        <f>IF(PLAN_ETAPA!$C$4="(TODOS)",SUMIFS(PPTO_GENERADOR!$E$4:$E$220,PPTO_GENERADOR!$Q$4:$Q$220,A353),SUMIFS(PPTO_GENERADOR!$E$4:$E$220,PPTO_GENERADOR!$Q$4:$Q$220,A353,PPTO_GENERADOR!$B$4:$B$220,PLAN_ETAPA!$C$4))</f>
        <v>0</v>
      </c>
      <c r="M353" s="216">
        <f>IFERROR(VLOOKUP(A353,PARTIDAS!$A$2:$F$269,6,FALSE()),1)</f>
        <v>7</v>
      </c>
      <c r="N353" s="216">
        <f>IFERROR(VLOOKUP(A353,PARTIDAS!$A$2:$I$269,9,FALSE()),1)</f>
        <v>1</v>
      </c>
      <c r="O353" s="217">
        <f t="shared" si="10"/>
        <v>0</v>
      </c>
      <c r="P353" s="216">
        <f>IF(O353=0,0,IF(B353="MAT",G353*(1+H353)*L353*PLAN_ETAPA!$C$5,IF(B353="MO",IF(M353=0,0,G353*L353*PLAN_ETAPA!$C$5*N353/M353),IF(B353="EQ",IF(M353=0,0,G353*L353*PLAN_ETAPA!$C$5/M353),0))))</f>
        <v>0</v>
      </c>
      <c r="Q353" s="218">
        <f t="shared" si="11"/>
        <v>0</v>
      </c>
    </row>
    <row r="354" spans="1:17" x14ac:dyDescent="0.35">
      <c r="A354" s="212" t="str">
        <f>COMPOSICIÓN!A354</f>
        <v>DUR-064</v>
      </c>
      <c r="B354" s="212" t="str">
        <f>COMPOSICIÓN!B354</f>
        <v>MAT</v>
      </c>
      <c r="C354" s="212" t="str">
        <f>COMPOSICIÓN!C354</f>
        <v>OTR</v>
      </c>
      <c r="D354" s="212" t="str">
        <f>COMPOSICIÓN!D354</f>
        <v>DUR-005</v>
      </c>
      <c r="E354" s="212" t="str">
        <f>COMPOSICIÓN!E354</f>
        <v>Masilla x 32kg</v>
      </c>
      <c r="F354" s="212" t="str">
        <f>COMPOSICIÓN!F354</f>
        <v>u</v>
      </c>
      <c r="G354" s="213">
        <f>COMPOSICIÓN!G354</f>
        <v>5.6300000000000003E-2</v>
      </c>
      <c r="H354" s="214">
        <f>COMPOSICIÓN!H354</f>
        <v>0.05</v>
      </c>
      <c r="I354" s="215">
        <f>COMPOSICIÓN!I354</f>
        <v>26872.02</v>
      </c>
      <c r="J354" s="212" t="str">
        <f>IFERROR(VLOOKUP(A354,PARTIDAS!$A$2:$C$269,3,FALSE()),"")</f>
        <v>REVOQUES FINOS Y CIELORRASOS</v>
      </c>
      <c r="K354" s="212" t="str">
        <f>IFERROR(INDEX(PPTO_GENERADOR!$B$4:$B$220,MATCH(A354,PPTO_GENERADOR!$Q$4:$Q$220,0)),"")</f>
        <v/>
      </c>
      <c r="L354" s="216">
        <f>IF(PLAN_ETAPA!$C$4="(TODOS)",SUMIFS(PPTO_GENERADOR!$E$4:$E$220,PPTO_GENERADOR!$Q$4:$Q$220,A354),SUMIFS(PPTO_GENERADOR!$E$4:$E$220,PPTO_GENERADOR!$Q$4:$Q$220,A354,PPTO_GENERADOR!$B$4:$B$220,PLAN_ETAPA!$C$4))</f>
        <v>0</v>
      </c>
      <c r="M354" s="216">
        <f>IFERROR(VLOOKUP(A354,PARTIDAS!$A$2:$F$269,6,FALSE()),1)</f>
        <v>7</v>
      </c>
      <c r="N354" s="216">
        <f>IFERROR(VLOOKUP(A354,PARTIDAS!$A$2:$I$269,9,FALSE()),1)</f>
        <v>1</v>
      </c>
      <c r="O354" s="217">
        <f t="shared" si="10"/>
        <v>0</v>
      </c>
      <c r="P354" s="216">
        <f>IF(O354=0,0,IF(B354="MAT",G354*(1+H354)*L354*PLAN_ETAPA!$C$5,IF(B354="MO",IF(M354=0,0,G354*L354*PLAN_ETAPA!$C$5*N354/M354),IF(B354="EQ",IF(M354=0,0,G354*L354*PLAN_ETAPA!$C$5/M354),0))))</f>
        <v>0</v>
      </c>
      <c r="Q354" s="218">
        <f t="shared" si="11"/>
        <v>0</v>
      </c>
    </row>
    <row r="355" spans="1:17" x14ac:dyDescent="0.35">
      <c r="A355" s="212" t="str">
        <f>COMPOSICIÓN!A355</f>
        <v>DUR-064</v>
      </c>
      <c r="B355" s="212" t="str">
        <f>COMPOSICIÓN!B355</f>
        <v>MAT</v>
      </c>
      <c r="C355" s="212" t="str">
        <f>COMPOSICIÓN!C355</f>
        <v>OTR</v>
      </c>
      <c r="D355" s="212" t="str">
        <f>COMPOSICIÓN!D355</f>
        <v>OTR-007</v>
      </c>
      <c r="E355" s="212" t="str">
        <f>COMPOSICIÓN!E355</f>
        <v>Tornillo T1 - Aguja</v>
      </c>
      <c r="F355" s="212" t="str">
        <f>COMPOSICIÓN!F355</f>
        <v>u</v>
      </c>
      <c r="G355" s="213">
        <f>COMPOSICIÓN!G355</f>
        <v>10</v>
      </c>
      <c r="H355" s="214">
        <f>COMPOSICIÓN!H355</f>
        <v>0.05</v>
      </c>
      <c r="I355" s="215">
        <f>COMPOSICIÓN!I355</f>
        <v>32.707173553719002</v>
      </c>
      <c r="J355" s="212" t="str">
        <f>IFERROR(VLOOKUP(A355,PARTIDAS!$A$2:$C$269,3,FALSE()),"")</f>
        <v>REVOQUES FINOS Y CIELORRASOS</v>
      </c>
      <c r="K355" s="212" t="str">
        <f>IFERROR(INDEX(PPTO_GENERADOR!$B$4:$B$220,MATCH(A355,PPTO_GENERADOR!$Q$4:$Q$220,0)),"")</f>
        <v/>
      </c>
      <c r="L355" s="216">
        <f>IF(PLAN_ETAPA!$C$4="(TODOS)",SUMIFS(PPTO_GENERADOR!$E$4:$E$220,PPTO_GENERADOR!$Q$4:$Q$220,A355),SUMIFS(PPTO_GENERADOR!$E$4:$E$220,PPTO_GENERADOR!$Q$4:$Q$220,A355,PPTO_GENERADOR!$B$4:$B$220,PLAN_ETAPA!$C$4))</f>
        <v>0</v>
      </c>
      <c r="M355" s="216">
        <f>IFERROR(VLOOKUP(A355,PARTIDAS!$A$2:$F$269,6,FALSE()),1)</f>
        <v>7</v>
      </c>
      <c r="N355" s="216">
        <f>IFERROR(VLOOKUP(A355,PARTIDAS!$A$2:$I$269,9,FALSE()),1)</f>
        <v>1</v>
      </c>
      <c r="O355" s="217">
        <f t="shared" si="10"/>
        <v>0</v>
      </c>
      <c r="P355" s="216">
        <f>IF(O355=0,0,IF(B355="MAT",G355*(1+H355)*L355*PLAN_ETAPA!$C$5,IF(B355="MO",IF(M355=0,0,G355*L355*PLAN_ETAPA!$C$5*N355/M355),IF(B355="EQ",IF(M355=0,0,G355*L355*PLAN_ETAPA!$C$5/M355),0))))</f>
        <v>0</v>
      </c>
      <c r="Q355" s="218">
        <f t="shared" si="11"/>
        <v>0</v>
      </c>
    </row>
    <row r="356" spans="1:17" x14ac:dyDescent="0.35">
      <c r="A356" s="212" t="str">
        <f>COMPOSICIÓN!A356</f>
        <v>DUR-064</v>
      </c>
      <c r="B356" s="212" t="str">
        <f>COMPOSICIÓN!B356</f>
        <v>MAT</v>
      </c>
      <c r="C356" s="212" t="str">
        <f>COMPOSICIÓN!C356</f>
        <v>OTR</v>
      </c>
      <c r="D356" s="212" t="str">
        <f>COMPOSICIÓN!D356</f>
        <v>OTR-008</v>
      </c>
      <c r="E356" s="212" t="str">
        <f>COMPOSICIÓN!E356</f>
        <v>Tornillo T2 - Aguja</v>
      </c>
      <c r="F356" s="212" t="str">
        <f>COMPOSICIÓN!F356</f>
        <v>u</v>
      </c>
      <c r="G356" s="213">
        <f>COMPOSICIÓN!G356</f>
        <v>30</v>
      </c>
      <c r="H356" s="214">
        <f>COMPOSICIÓN!H356</f>
        <v>0.05</v>
      </c>
      <c r="I356" s="215">
        <f>COMPOSICIÓN!I356</f>
        <v>17.1963177226814</v>
      </c>
      <c r="J356" s="212" t="str">
        <f>IFERROR(VLOOKUP(A356,PARTIDAS!$A$2:$C$269,3,FALSE()),"")</f>
        <v>REVOQUES FINOS Y CIELORRASOS</v>
      </c>
      <c r="K356" s="212" t="str">
        <f>IFERROR(INDEX(PPTO_GENERADOR!$B$4:$B$220,MATCH(A356,PPTO_GENERADOR!$Q$4:$Q$220,0)),"")</f>
        <v/>
      </c>
      <c r="L356" s="216">
        <f>IF(PLAN_ETAPA!$C$4="(TODOS)",SUMIFS(PPTO_GENERADOR!$E$4:$E$220,PPTO_GENERADOR!$Q$4:$Q$220,A356),SUMIFS(PPTO_GENERADOR!$E$4:$E$220,PPTO_GENERADOR!$Q$4:$Q$220,A356,PPTO_GENERADOR!$B$4:$B$220,PLAN_ETAPA!$C$4))</f>
        <v>0</v>
      </c>
      <c r="M356" s="216">
        <f>IFERROR(VLOOKUP(A356,PARTIDAS!$A$2:$F$269,6,FALSE()),1)</f>
        <v>7</v>
      </c>
      <c r="N356" s="216">
        <f>IFERROR(VLOOKUP(A356,PARTIDAS!$A$2:$I$269,9,FALSE()),1)</f>
        <v>1</v>
      </c>
      <c r="O356" s="217">
        <f t="shared" si="10"/>
        <v>0</v>
      </c>
      <c r="P356" s="216">
        <f>IF(O356=0,0,IF(B356="MAT",G356*(1+H356)*L356*PLAN_ETAPA!$C$5,IF(B356="MO",IF(M356=0,0,G356*L356*PLAN_ETAPA!$C$5*N356/M356),IF(B356="EQ",IF(M356=0,0,G356*L356*PLAN_ETAPA!$C$5/M356),0))))</f>
        <v>0</v>
      </c>
      <c r="Q356" s="218">
        <f t="shared" si="11"/>
        <v>0</v>
      </c>
    </row>
    <row r="357" spans="1:17" x14ac:dyDescent="0.35">
      <c r="A357" s="212" t="str">
        <f>COMPOSICIÓN!A357</f>
        <v>DUR-064</v>
      </c>
      <c r="B357" s="212" t="str">
        <f>COMPOSICIÓN!B357</f>
        <v>MAT</v>
      </c>
      <c r="C357" s="212" t="str">
        <f>COMPOSICIÓN!C357</f>
        <v>OTR</v>
      </c>
      <c r="D357" s="212" t="str">
        <f>COMPOSICIÓN!D357</f>
        <v>OTR-010</v>
      </c>
      <c r="E357" s="212" t="str">
        <f>COMPOSICIÓN!E357</f>
        <v>Fijacion completa del 8</v>
      </c>
      <c r="F357" s="212" t="str">
        <f>COMPOSICIÓN!F357</f>
        <v>u</v>
      </c>
      <c r="G357" s="213">
        <f>COMPOSICIÓN!G357</f>
        <v>3.5</v>
      </c>
      <c r="H357" s="214">
        <f>COMPOSICIÓN!H357</f>
        <v>0.05</v>
      </c>
      <c r="I357" s="215">
        <f>COMPOSICIÓN!I357</f>
        <v>65.919008264462803</v>
      </c>
      <c r="J357" s="212" t="str">
        <f>IFERROR(VLOOKUP(A357,PARTIDAS!$A$2:$C$269,3,FALSE()),"")</f>
        <v>REVOQUES FINOS Y CIELORRASOS</v>
      </c>
      <c r="K357" s="212" t="str">
        <f>IFERROR(INDEX(PPTO_GENERADOR!$B$4:$B$220,MATCH(A357,PPTO_GENERADOR!$Q$4:$Q$220,0)),"")</f>
        <v/>
      </c>
      <c r="L357" s="216">
        <f>IF(PLAN_ETAPA!$C$4="(TODOS)",SUMIFS(PPTO_GENERADOR!$E$4:$E$220,PPTO_GENERADOR!$Q$4:$Q$220,A357),SUMIFS(PPTO_GENERADOR!$E$4:$E$220,PPTO_GENERADOR!$Q$4:$Q$220,A357,PPTO_GENERADOR!$B$4:$B$220,PLAN_ETAPA!$C$4))</f>
        <v>0</v>
      </c>
      <c r="M357" s="216">
        <f>IFERROR(VLOOKUP(A357,PARTIDAS!$A$2:$F$269,6,FALSE()),1)</f>
        <v>7</v>
      </c>
      <c r="N357" s="216">
        <f>IFERROR(VLOOKUP(A357,PARTIDAS!$A$2:$I$269,9,FALSE()),1)</f>
        <v>1</v>
      </c>
      <c r="O357" s="217">
        <f t="shared" si="10"/>
        <v>0</v>
      </c>
      <c r="P357" s="216">
        <f>IF(O357=0,0,IF(B357="MAT",G357*(1+H357)*L357*PLAN_ETAPA!$C$5,IF(B357="MO",IF(M357=0,0,G357*L357*PLAN_ETAPA!$C$5*N357/M357),IF(B357="EQ",IF(M357=0,0,G357*L357*PLAN_ETAPA!$C$5/M357),0))))</f>
        <v>0</v>
      </c>
      <c r="Q357" s="218">
        <f t="shared" si="11"/>
        <v>0</v>
      </c>
    </row>
    <row r="358" spans="1:17" x14ac:dyDescent="0.35">
      <c r="A358" s="212" t="str">
        <f>COMPOSICIÓN!A358</f>
        <v>DUR-064</v>
      </c>
      <c r="B358" s="212" t="str">
        <f>COMPOSICIÓN!B358</f>
        <v>MAT</v>
      </c>
      <c r="C358" s="212" t="str">
        <f>COMPOSICIÓN!C358</f>
        <v>OTR</v>
      </c>
      <c r="D358" s="212" t="str">
        <f>COMPOSICIÓN!D358</f>
        <v>OTR-011</v>
      </c>
      <c r="E358" s="212" t="str">
        <f>COMPOSICIÓN!E358</f>
        <v>Cinta Entramada - 90m</v>
      </c>
      <c r="F358" s="212" t="str">
        <f>COMPOSICIÓN!F358</f>
        <v>u</v>
      </c>
      <c r="G358" s="213">
        <f>COMPOSICIÓN!G358</f>
        <v>0.04</v>
      </c>
      <c r="H358" s="214">
        <f>COMPOSICIÓN!H358</f>
        <v>0.05</v>
      </c>
      <c r="I358" s="215">
        <f>COMPOSICIÓN!I358</f>
        <v>4042.71</v>
      </c>
      <c r="J358" s="212" t="str">
        <f>IFERROR(VLOOKUP(A358,PARTIDAS!$A$2:$C$269,3,FALSE()),"")</f>
        <v>REVOQUES FINOS Y CIELORRASOS</v>
      </c>
      <c r="K358" s="212" t="str">
        <f>IFERROR(INDEX(PPTO_GENERADOR!$B$4:$B$220,MATCH(A358,PPTO_GENERADOR!$Q$4:$Q$220,0)),"")</f>
        <v/>
      </c>
      <c r="L358" s="216">
        <f>IF(PLAN_ETAPA!$C$4="(TODOS)",SUMIFS(PPTO_GENERADOR!$E$4:$E$220,PPTO_GENERADOR!$Q$4:$Q$220,A358),SUMIFS(PPTO_GENERADOR!$E$4:$E$220,PPTO_GENERADOR!$Q$4:$Q$220,A358,PPTO_GENERADOR!$B$4:$B$220,PLAN_ETAPA!$C$4))</f>
        <v>0</v>
      </c>
      <c r="M358" s="216">
        <f>IFERROR(VLOOKUP(A358,PARTIDAS!$A$2:$F$269,6,FALSE()),1)</f>
        <v>7</v>
      </c>
      <c r="N358" s="216">
        <f>IFERROR(VLOOKUP(A358,PARTIDAS!$A$2:$I$269,9,FALSE()),1)</f>
        <v>1</v>
      </c>
      <c r="O358" s="217">
        <f t="shared" si="10"/>
        <v>0</v>
      </c>
      <c r="P358" s="216">
        <f>IF(O358=0,0,IF(B358="MAT",G358*(1+H358)*L358*PLAN_ETAPA!$C$5,IF(B358="MO",IF(M358=0,0,G358*L358*PLAN_ETAPA!$C$5*N358/M358),IF(B358="EQ",IF(M358=0,0,G358*L358*PLAN_ETAPA!$C$5/M358),0))))</f>
        <v>0</v>
      </c>
      <c r="Q358" s="218">
        <f t="shared" si="11"/>
        <v>0</v>
      </c>
    </row>
    <row r="359" spans="1:17" x14ac:dyDescent="0.35">
      <c r="A359" s="212" t="str">
        <f>COMPOSICIÓN!A359</f>
        <v>DUR-064</v>
      </c>
      <c r="B359" s="212" t="str">
        <f>COMPOSICIÓN!B359</f>
        <v>MAT</v>
      </c>
      <c r="C359" s="212" t="str">
        <f>COMPOSICIÓN!C359</f>
        <v>OTR</v>
      </c>
      <c r="D359" s="212" t="str">
        <f>COMPOSICIÓN!D359</f>
        <v>REV-006</v>
      </c>
      <c r="E359" s="212" t="str">
        <f>COMPOSICIÓN!E359</f>
        <v>Placa Roca de Yeso 1220 x 2440 - 12.5mm - STD</v>
      </c>
      <c r="F359" s="212" t="str">
        <f>COMPOSICIÓN!F359</f>
        <v>u</v>
      </c>
      <c r="G359" s="213">
        <f>COMPOSICIÓN!G359</f>
        <v>0.71</v>
      </c>
      <c r="H359" s="214">
        <f>COMPOSICIÓN!H359</f>
        <v>0.1</v>
      </c>
      <c r="I359" s="215">
        <f>COMPOSICIÓN!I359</f>
        <v>10022.959999999999</v>
      </c>
      <c r="J359" s="212" t="str">
        <f>IFERROR(VLOOKUP(A359,PARTIDAS!$A$2:$C$269,3,FALSE()),"")</f>
        <v>REVOQUES FINOS Y CIELORRASOS</v>
      </c>
      <c r="K359" s="212" t="str">
        <f>IFERROR(INDEX(PPTO_GENERADOR!$B$4:$B$220,MATCH(A359,PPTO_GENERADOR!$Q$4:$Q$220,0)),"")</f>
        <v/>
      </c>
      <c r="L359" s="216">
        <f>IF(PLAN_ETAPA!$C$4="(TODOS)",SUMIFS(PPTO_GENERADOR!$E$4:$E$220,PPTO_GENERADOR!$Q$4:$Q$220,A359),SUMIFS(PPTO_GENERADOR!$E$4:$E$220,PPTO_GENERADOR!$Q$4:$Q$220,A359,PPTO_GENERADOR!$B$4:$B$220,PLAN_ETAPA!$C$4))</f>
        <v>0</v>
      </c>
      <c r="M359" s="216">
        <f>IFERROR(VLOOKUP(A359,PARTIDAS!$A$2:$F$269,6,FALSE()),1)</f>
        <v>7</v>
      </c>
      <c r="N359" s="216">
        <f>IFERROR(VLOOKUP(A359,PARTIDAS!$A$2:$I$269,9,FALSE()),1)</f>
        <v>1</v>
      </c>
      <c r="O359" s="217">
        <f t="shared" si="10"/>
        <v>0</v>
      </c>
      <c r="P359" s="216">
        <f>IF(O359=0,0,IF(B359="MAT",G359*(1+H359)*L359*PLAN_ETAPA!$C$5,IF(B359="MO",IF(M359=0,0,G359*L359*PLAN_ETAPA!$C$5*N359/M359),IF(B359="EQ",IF(M359=0,0,G359*L359*PLAN_ETAPA!$C$5/M359),0))))</f>
        <v>0</v>
      </c>
      <c r="Q359" s="218">
        <f t="shared" si="11"/>
        <v>0</v>
      </c>
    </row>
    <row r="360" spans="1:17" x14ac:dyDescent="0.35">
      <c r="A360" s="212" t="str">
        <f>COMPOSICIÓN!A360</f>
        <v>DUR-064</v>
      </c>
      <c r="B360" s="212" t="str">
        <f>COMPOSICIÓN!B360</f>
        <v>MO</v>
      </c>
      <c r="C360" s="212" t="str">
        <f>COMPOSICIÓN!C360</f>
        <v>ALB</v>
      </c>
      <c r="D360" s="212" t="str">
        <f>COMPOSICIÓN!D360</f>
        <v>MO-EMEDI</v>
      </c>
      <c r="E360" s="212" t="str">
        <f>COMPOSICIÓN!E360</f>
        <v>MEDIO OFICIAL</v>
      </c>
      <c r="F360" s="212" t="str">
        <f>COMPOSICIÓN!F360</f>
        <v>j</v>
      </c>
      <c r="G360" s="213">
        <f>COMPOSICIÓN!G360</f>
        <v>1</v>
      </c>
      <c r="H360" s="214">
        <f>COMPOSICIÓN!H360</f>
        <v>0</v>
      </c>
      <c r="I360" s="215">
        <f>COMPOSICIÓN!I360</f>
        <v>65493.071636572</v>
      </c>
      <c r="J360" s="212" t="str">
        <f>IFERROR(VLOOKUP(A360,PARTIDAS!$A$2:$C$269,3,FALSE()),"")</f>
        <v>REVOQUES FINOS Y CIELORRASOS</v>
      </c>
      <c r="K360" s="212" t="str">
        <f>IFERROR(INDEX(PPTO_GENERADOR!$B$4:$B$220,MATCH(A360,PPTO_GENERADOR!$Q$4:$Q$220,0)),"")</f>
        <v/>
      </c>
      <c r="L360" s="216">
        <f>IF(PLAN_ETAPA!$C$4="(TODOS)",SUMIFS(PPTO_GENERADOR!$E$4:$E$220,PPTO_GENERADOR!$Q$4:$Q$220,A360),SUMIFS(PPTO_GENERADOR!$E$4:$E$220,PPTO_GENERADOR!$Q$4:$Q$220,A360,PPTO_GENERADOR!$B$4:$B$220,PLAN_ETAPA!$C$4))</f>
        <v>0</v>
      </c>
      <c r="M360" s="216">
        <f>IFERROR(VLOOKUP(A360,PARTIDAS!$A$2:$F$269,6,FALSE()),1)</f>
        <v>7</v>
      </c>
      <c r="N360" s="216">
        <f>IFERROR(VLOOKUP(A360,PARTIDAS!$A$2:$I$269,9,FALSE()),1)</f>
        <v>1</v>
      </c>
      <c r="O360" s="217">
        <f t="shared" si="10"/>
        <v>0</v>
      </c>
      <c r="P360" s="216">
        <f>IF(O360=0,0,IF(B360="MAT",G360*(1+H360)*L360*PLAN_ETAPA!$C$5,IF(B360="MO",IF(M360=0,0,G360*L360*PLAN_ETAPA!$C$5*N360/M360),IF(B360="EQ",IF(M360=0,0,G360*L360*PLAN_ETAPA!$C$5/M360),0))))</f>
        <v>0</v>
      </c>
      <c r="Q360" s="218">
        <f t="shared" si="11"/>
        <v>0</v>
      </c>
    </row>
    <row r="361" spans="1:17" x14ac:dyDescent="0.35">
      <c r="A361" s="212" t="str">
        <f>COMPOSICIÓN!A361</f>
        <v>DUR-064</v>
      </c>
      <c r="B361" s="212" t="str">
        <f>COMPOSICIÓN!B361</f>
        <v>MO</v>
      </c>
      <c r="C361" s="212" t="str">
        <f>COMPOSICIÓN!C361</f>
        <v>ALB</v>
      </c>
      <c r="D361" s="212" t="str">
        <f>COMPOSICIÓN!D361</f>
        <v>MO-EESPE</v>
      </c>
      <c r="E361" s="212" t="str">
        <f>COMPOSICIÓN!E361</f>
        <v>ESPECIALIZADO</v>
      </c>
      <c r="F361" s="212" t="str">
        <f>COMPOSICIÓN!F361</f>
        <v>j</v>
      </c>
      <c r="G361" s="213">
        <f>COMPOSICIÓN!G361</f>
        <v>1</v>
      </c>
      <c r="H361" s="214">
        <f>COMPOSICIÓN!H361</f>
        <v>0</v>
      </c>
      <c r="I361" s="215">
        <f>COMPOSICIÓN!I361</f>
        <v>85927.097156571996</v>
      </c>
      <c r="J361" s="212" t="str">
        <f>IFERROR(VLOOKUP(A361,PARTIDAS!$A$2:$C$269,3,FALSE()),"")</f>
        <v>REVOQUES FINOS Y CIELORRASOS</v>
      </c>
      <c r="K361" s="212" t="str">
        <f>IFERROR(INDEX(PPTO_GENERADOR!$B$4:$B$220,MATCH(A361,PPTO_GENERADOR!$Q$4:$Q$220,0)),"")</f>
        <v/>
      </c>
      <c r="L361" s="216">
        <f>IF(PLAN_ETAPA!$C$4="(TODOS)",SUMIFS(PPTO_GENERADOR!$E$4:$E$220,PPTO_GENERADOR!$Q$4:$Q$220,A361),SUMIFS(PPTO_GENERADOR!$E$4:$E$220,PPTO_GENERADOR!$Q$4:$Q$220,A361,PPTO_GENERADOR!$B$4:$B$220,PLAN_ETAPA!$C$4))</f>
        <v>0</v>
      </c>
      <c r="M361" s="216">
        <f>IFERROR(VLOOKUP(A361,PARTIDAS!$A$2:$F$269,6,FALSE()),1)</f>
        <v>7</v>
      </c>
      <c r="N361" s="216">
        <f>IFERROR(VLOOKUP(A361,PARTIDAS!$A$2:$I$269,9,FALSE()),1)</f>
        <v>1</v>
      </c>
      <c r="O361" s="217">
        <f t="shared" si="10"/>
        <v>0</v>
      </c>
      <c r="P361" s="216">
        <f>IF(O361=0,0,IF(B361="MAT",G361*(1+H361)*L361*PLAN_ETAPA!$C$5,IF(B361="MO",IF(M361=0,0,G361*L361*PLAN_ETAPA!$C$5*N361/M361),IF(B361="EQ",IF(M361=0,0,G361*L361*PLAN_ETAPA!$C$5/M361),0))))</f>
        <v>0</v>
      </c>
      <c r="Q361" s="218">
        <f t="shared" si="11"/>
        <v>0</v>
      </c>
    </row>
    <row r="362" spans="1:17" x14ac:dyDescent="0.35">
      <c r="A362" s="212" t="str">
        <f>COMPOSICIÓN!A362</f>
        <v>DUR-065</v>
      </c>
      <c r="B362" s="212" t="str">
        <f>COMPOSICIÓN!B362</f>
        <v>EQ</v>
      </c>
      <c r="C362" s="212">
        <f>COMPOSICIÓN!C362</f>
        <v>0</v>
      </c>
      <c r="D362" s="212" t="str">
        <f>COMPOSICIÓN!D362</f>
        <v>EQ-PTO024</v>
      </c>
      <c r="E362" s="212" t="str">
        <f>COMPOSICIÓN!E362</f>
        <v>EQUIPO DE CONSTRUCCION EN SECO</v>
      </c>
      <c r="F362" s="212">
        <f>COMPOSICIÓN!F362</f>
        <v>0</v>
      </c>
      <c r="G362" s="213">
        <f>COMPOSICIÓN!G362</f>
        <v>1</v>
      </c>
      <c r="H362" s="214">
        <f>COMPOSICIÓN!H362</f>
        <v>0</v>
      </c>
      <c r="I362" s="215">
        <f>COMPOSICIÓN!I362</f>
        <v>2365.2381485799501</v>
      </c>
      <c r="J362" s="212" t="str">
        <f>IFERROR(VLOOKUP(A362,PARTIDAS!$A$2:$C$269,3,FALSE()),"")</f>
        <v>REVOQUES FINOS Y CIELORRASOS</v>
      </c>
      <c r="K362" s="212" t="str">
        <f>IFERROR(INDEX(PPTO_GENERADOR!$B$4:$B$220,MATCH(A362,PPTO_GENERADOR!$Q$4:$Q$220,0)),"")</f>
        <v/>
      </c>
      <c r="L362" s="216">
        <f>IF(PLAN_ETAPA!$C$4="(TODOS)",SUMIFS(PPTO_GENERADOR!$E$4:$E$220,PPTO_GENERADOR!$Q$4:$Q$220,A362),SUMIFS(PPTO_GENERADOR!$E$4:$E$220,PPTO_GENERADOR!$Q$4:$Q$220,A362,PPTO_GENERADOR!$B$4:$B$220,PLAN_ETAPA!$C$4))</f>
        <v>0</v>
      </c>
      <c r="M362" s="216">
        <f>IFERROR(VLOOKUP(A362,PARTIDAS!$A$2:$F$269,6,FALSE()),1)</f>
        <v>6</v>
      </c>
      <c r="N362" s="216">
        <f>IFERROR(VLOOKUP(A362,PARTIDAS!$A$2:$I$269,9,FALSE()),1)</f>
        <v>1</v>
      </c>
      <c r="O362" s="217">
        <f t="shared" si="10"/>
        <v>0</v>
      </c>
      <c r="P362" s="216">
        <f>IF(O362=0,0,IF(B362="MAT",G362*(1+H362)*L362*PLAN_ETAPA!$C$5,IF(B362="MO",IF(M362=0,0,G362*L362*PLAN_ETAPA!$C$5*N362/M362),IF(B362="EQ",IF(M362=0,0,G362*L362*PLAN_ETAPA!$C$5/M362),0))))</f>
        <v>0</v>
      </c>
      <c r="Q362" s="218">
        <f t="shared" si="11"/>
        <v>0</v>
      </c>
    </row>
    <row r="363" spans="1:17" x14ac:dyDescent="0.35">
      <c r="A363" s="212" t="str">
        <f>COMPOSICIÓN!A363</f>
        <v>DUR-065</v>
      </c>
      <c r="B363" s="212" t="str">
        <f>COMPOSICIÓN!B363</f>
        <v>EQ</v>
      </c>
      <c r="C363" s="212">
        <f>COMPOSICIÓN!C363</f>
        <v>0</v>
      </c>
      <c r="D363" s="212" t="str">
        <f>COMPOSICIÓN!D363</f>
        <v>EQ-ESCALE</v>
      </c>
      <c r="E363" s="212" t="str">
        <f>COMPOSICIÓN!E363</f>
        <v>ESCALERA GLOSS ALUMINIO ARTICULADA 4 X 4 ESCALONES HASTA 150KG</v>
      </c>
      <c r="F363" s="212">
        <f>COMPOSICIÓN!F363</f>
        <v>0</v>
      </c>
      <c r="G363" s="213">
        <f>COMPOSICIÓN!G363</f>
        <v>0.5</v>
      </c>
      <c r="H363" s="214">
        <f>COMPOSICIÓN!H363</f>
        <v>0</v>
      </c>
      <c r="I363" s="215">
        <f>COMPOSICIÓN!I363</f>
        <v>140.19809259430903</v>
      </c>
      <c r="J363" s="212" t="str">
        <f>IFERROR(VLOOKUP(A363,PARTIDAS!$A$2:$C$269,3,FALSE()),"")</f>
        <v>REVOQUES FINOS Y CIELORRASOS</v>
      </c>
      <c r="K363" s="212" t="str">
        <f>IFERROR(INDEX(PPTO_GENERADOR!$B$4:$B$220,MATCH(A363,PPTO_GENERADOR!$Q$4:$Q$220,0)),"")</f>
        <v/>
      </c>
      <c r="L363" s="216">
        <f>IF(PLAN_ETAPA!$C$4="(TODOS)",SUMIFS(PPTO_GENERADOR!$E$4:$E$220,PPTO_GENERADOR!$Q$4:$Q$220,A363),SUMIFS(PPTO_GENERADOR!$E$4:$E$220,PPTO_GENERADOR!$Q$4:$Q$220,A363,PPTO_GENERADOR!$B$4:$B$220,PLAN_ETAPA!$C$4))</f>
        <v>0</v>
      </c>
      <c r="M363" s="216">
        <f>IFERROR(VLOOKUP(A363,PARTIDAS!$A$2:$F$269,6,FALSE()),1)</f>
        <v>6</v>
      </c>
      <c r="N363" s="216">
        <f>IFERROR(VLOOKUP(A363,PARTIDAS!$A$2:$I$269,9,FALSE()),1)</f>
        <v>1</v>
      </c>
      <c r="O363" s="217">
        <f t="shared" si="10"/>
        <v>0</v>
      </c>
      <c r="P363" s="216">
        <f>IF(O363=0,0,IF(B363="MAT",G363*(1+H363)*L363*PLAN_ETAPA!$C$5,IF(B363="MO",IF(M363=0,0,G363*L363*PLAN_ETAPA!$C$5*N363/M363),IF(B363="EQ",IF(M363=0,0,G363*L363*PLAN_ETAPA!$C$5/M363),0))))</f>
        <v>0</v>
      </c>
      <c r="Q363" s="218">
        <f t="shared" si="11"/>
        <v>0</v>
      </c>
    </row>
    <row r="364" spans="1:17" x14ac:dyDescent="0.35">
      <c r="A364" s="212" t="str">
        <f>COMPOSICIÓN!A364</f>
        <v>DUR-065</v>
      </c>
      <c r="B364" s="212" t="str">
        <f>COMPOSICIÓN!B364</f>
        <v>MAT</v>
      </c>
      <c r="C364" s="212" t="str">
        <f>COMPOSICIÓN!C364</f>
        <v>OTR</v>
      </c>
      <c r="D364" s="212" t="str">
        <f>COMPOSICIÓN!D364</f>
        <v>DUR-001</v>
      </c>
      <c r="E364" s="212" t="str">
        <f>COMPOSICIÓN!E364</f>
        <v>Solera 70mm x 2.60m</v>
      </c>
      <c r="F364" s="212" t="str">
        <f>COMPOSICIÓN!F364</f>
        <v>u</v>
      </c>
      <c r="G364" s="213">
        <f>COMPOSICIÓN!G364</f>
        <v>0.46153846153846201</v>
      </c>
      <c r="H364" s="214">
        <f>COMPOSICIÓN!H364</f>
        <v>0.1</v>
      </c>
      <c r="I364" s="215">
        <f>COMPOSICIÓN!I364</f>
        <v>2932.93</v>
      </c>
      <c r="J364" s="212" t="str">
        <f>IFERROR(VLOOKUP(A364,PARTIDAS!$A$2:$C$269,3,FALSE()),"")</f>
        <v>REVOQUES FINOS Y CIELORRASOS</v>
      </c>
      <c r="K364" s="212" t="str">
        <f>IFERROR(INDEX(PPTO_GENERADOR!$B$4:$B$220,MATCH(A364,PPTO_GENERADOR!$Q$4:$Q$220,0)),"")</f>
        <v/>
      </c>
      <c r="L364" s="216">
        <f>IF(PLAN_ETAPA!$C$4="(TODOS)",SUMIFS(PPTO_GENERADOR!$E$4:$E$220,PPTO_GENERADOR!$Q$4:$Q$220,A364),SUMIFS(PPTO_GENERADOR!$E$4:$E$220,PPTO_GENERADOR!$Q$4:$Q$220,A364,PPTO_GENERADOR!$B$4:$B$220,PLAN_ETAPA!$C$4))</f>
        <v>0</v>
      </c>
      <c r="M364" s="216">
        <f>IFERROR(VLOOKUP(A364,PARTIDAS!$A$2:$F$269,6,FALSE()),1)</f>
        <v>6</v>
      </c>
      <c r="N364" s="216">
        <f>IFERROR(VLOOKUP(A364,PARTIDAS!$A$2:$I$269,9,FALSE()),1)</f>
        <v>1</v>
      </c>
      <c r="O364" s="217">
        <f t="shared" si="10"/>
        <v>0</v>
      </c>
      <c r="P364" s="216">
        <f>IF(O364=0,0,IF(B364="MAT",G364*(1+H364)*L364*PLAN_ETAPA!$C$5,IF(B364="MO",IF(M364=0,0,G364*L364*PLAN_ETAPA!$C$5*N364/M364),IF(B364="EQ",IF(M364=0,0,G364*L364*PLAN_ETAPA!$C$5/M364),0))))</f>
        <v>0</v>
      </c>
      <c r="Q364" s="218">
        <f t="shared" si="11"/>
        <v>0</v>
      </c>
    </row>
    <row r="365" spans="1:17" x14ac:dyDescent="0.35">
      <c r="A365" s="212" t="str">
        <f>COMPOSICIÓN!A365</f>
        <v>DUR-065</v>
      </c>
      <c r="B365" s="212" t="str">
        <f>COMPOSICIÓN!B365</f>
        <v>MAT</v>
      </c>
      <c r="C365" s="212" t="str">
        <f>COMPOSICIÓN!C365</f>
        <v>OTR</v>
      </c>
      <c r="D365" s="212" t="str">
        <f>COMPOSICIÓN!D365</f>
        <v>DUR-002</v>
      </c>
      <c r="E365" s="212" t="str">
        <f>COMPOSICIÓN!E365</f>
        <v>Montante 69mm x 2.60m</v>
      </c>
      <c r="F365" s="212" t="str">
        <f>COMPOSICIÓN!F365</f>
        <v>u</v>
      </c>
      <c r="G365" s="213">
        <f>COMPOSICIÓN!G365</f>
        <v>1.15384615384615</v>
      </c>
      <c r="H365" s="214">
        <f>COMPOSICIÓN!H365</f>
        <v>0.1</v>
      </c>
      <c r="I365" s="215">
        <f>COMPOSICIÓN!I365</f>
        <v>3295.47</v>
      </c>
      <c r="J365" s="212" t="str">
        <f>IFERROR(VLOOKUP(A365,PARTIDAS!$A$2:$C$269,3,FALSE()),"")</f>
        <v>REVOQUES FINOS Y CIELORRASOS</v>
      </c>
      <c r="K365" s="212" t="str">
        <f>IFERROR(INDEX(PPTO_GENERADOR!$B$4:$B$220,MATCH(A365,PPTO_GENERADOR!$Q$4:$Q$220,0)),"")</f>
        <v/>
      </c>
      <c r="L365" s="216">
        <f>IF(PLAN_ETAPA!$C$4="(TODOS)",SUMIFS(PPTO_GENERADOR!$E$4:$E$220,PPTO_GENERADOR!$Q$4:$Q$220,A365),SUMIFS(PPTO_GENERADOR!$E$4:$E$220,PPTO_GENERADOR!$Q$4:$Q$220,A365,PPTO_GENERADOR!$B$4:$B$220,PLAN_ETAPA!$C$4))</f>
        <v>0</v>
      </c>
      <c r="M365" s="216">
        <f>IFERROR(VLOOKUP(A365,PARTIDAS!$A$2:$F$269,6,FALSE()),1)</f>
        <v>6</v>
      </c>
      <c r="N365" s="216">
        <f>IFERROR(VLOOKUP(A365,PARTIDAS!$A$2:$I$269,9,FALSE()),1)</f>
        <v>1</v>
      </c>
      <c r="O365" s="217">
        <f t="shared" si="10"/>
        <v>0</v>
      </c>
      <c r="P365" s="216">
        <f>IF(O365=0,0,IF(B365="MAT",G365*(1+H365)*L365*PLAN_ETAPA!$C$5,IF(B365="MO",IF(M365=0,0,G365*L365*PLAN_ETAPA!$C$5*N365/M365),IF(B365="EQ",IF(M365=0,0,G365*L365*PLAN_ETAPA!$C$5/M365),0))))</f>
        <v>0</v>
      </c>
      <c r="Q365" s="218">
        <f t="shared" si="11"/>
        <v>0</v>
      </c>
    </row>
    <row r="366" spans="1:17" x14ac:dyDescent="0.35">
      <c r="A366" s="212" t="str">
        <f>COMPOSICIÓN!A366</f>
        <v>DUR-065</v>
      </c>
      <c r="B366" s="212" t="str">
        <f>COMPOSICIÓN!B366</f>
        <v>MAT</v>
      </c>
      <c r="C366" s="212" t="str">
        <f>COMPOSICIÓN!C366</f>
        <v>OTR</v>
      </c>
      <c r="D366" s="212" t="str">
        <f>COMPOSICIÓN!D366</f>
        <v>DUR-005</v>
      </c>
      <c r="E366" s="212" t="str">
        <f>COMPOSICIÓN!E366</f>
        <v>Masilla x 32kg</v>
      </c>
      <c r="F366" s="212" t="str">
        <f>COMPOSICIÓN!F366</f>
        <v>u</v>
      </c>
      <c r="G366" s="213">
        <f>COMPOSICIÓN!G366</f>
        <v>5.6300000000000003E-2</v>
      </c>
      <c r="H366" s="214">
        <f>COMPOSICIÓN!H366</f>
        <v>0.05</v>
      </c>
      <c r="I366" s="215">
        <f>COMPOSICIÓN!I366</f>
        <v>26872.02</v>
      </c>
      <c r="J366" s="212" t="str">
        <f>IFERROR(VLOOKUP(A366,PARTIDAS!$A$2:$C$269,3,FALSE()),"")</f>
        <v>REVOQUES FINOS Y CIELORRASOS</v>
      </c>
      <c r="K366" s="212" t="str">
        <f>IFERROR(INDEX(PPTO_GENERADOR!$B$4:$B$220,MATCH(A366,PPTO_GENERADOR!$Q$4:$Q$220,0)),"")</f>
        <v/>
      </c>
      <c r="L366" s="216">
        <f>IF(PLAN_ETAPA!$C$4="(TODOS)",SUMIFS(PPTO_GENERADOR!$E$4:$E$220,PPTO_GENERADOR!$Q$4:$Q$220,A366),SUMIFS(PPTO_GENERADOR!$E$4:$E$220,PPTO_GENERADOR!$Q$4:$Q$220,A366,PPTO_GENERADOR!$B$4:$B$220,PLAN_ETAPA!$C$4))</f>
        <v>0</v>
      </c>
      <c r="M366" s="216">
        <f>IFERROR(VLOOKUP(A366,PARTIDAS!$A$2:$F$269,6,FALSE()),1)</f>
        <v>6</v>
      </c>
      <c r="N366" s="216">
        <f>IFERROR(VLOOKUP(A366,PARTIDAS!$A$2:$I$269,9,FALSE()),1)</f>
        <v>1</v>
      </c>
      <c r="O366" s="217">
        <f t="shared" si="10"/>
        <v>0</v>
      </c>
      <c r="P366" s="216">
        <f>IF(O366=0,0,IF(B366="MAT",G366*(1+H366)*L366*PLAN_ETAPA!$C$5,IF(B366="MO",IF(M366=0,0,G366*L366*PLAN_ETAPA!$C$5*N366/M366),IF(B366="EQ",IF(M366=0,0,G366*L366*PLAN_ETAPA!$C$5/M366),0))))</f>
        <v>0</v>
      </c>
      <c r="Q366" s="218">
        <f t="shared" si="11"/>
        <v>0</v>
      </c>
    </row>
    <row r="367" spans="1:17" x14ac:dyDescent="0.35">
      <c r="A367" s="212" t="str">
        <f>COMPOSICIÓN!A367</f>
        <v>DUR-065</v>
      </c>
      <c r="B367" s="212" t="str">
        <f>COMPOSICIÓN!B367</f>
        <v>MAT</v>
      </c>
      <c r="C367" s="212" t="str">
        <f>COMPOSICIÓN!C367</f>
        <v>OTR</v>
      </c>
      <c r="D367" s="212" t="str">
        <f>COMPOSICIÓN!D367</f>
        <v>DUR-006</v>
      </c>
      <c r="E367" s="212" t="str">
        <f>COMPOSICIÓN!E367</f>
        <v>Lana De Vidrio 40mm X 21,6m2 Alta Densidad</v>
      </c>
      <c r="F367" s="212" t="str">
        <f>COMPOSICIÓN!F367</f>
        <v>u</v>
      </c>
      <c r="G367" s="213">
        <f>COMPOSICIÓN!G367</f>
        <v>4.6296296296296301E-2</v>
      </c>
      <c r="H367" s="214">
        <f>COMPOSICIÓN!H367</f>
        <v>0.1</v>
      </c>
      <c r="I367" s="215">
        <f>COMPOSICIÓN!I367</f>
        <v>97970.9</v>
      </c>
      <c r="J367" s="212" t="str">
        <f>IFERROR(VLOOKUP(A367,PARTIDAS!$A$2:$C$269,3,FALSE()),"")</f>
        <v>REVOQUES FINOS Y CIELORRASOS</v>
      </c>
      <c r="K367" s="212" t="str">
        <f>IFERROR(INDEX(PPTO_GENERADOR!$B$4:$B$220,MATCH(A367,PPTO_GENERADOR!$Q$4:$Q$220,0)),"")</f>
        <v/>
      </c>
      <c r="L367" s="216">
        <f>IF(PLAN_ETAPA!$C$4="(TODOS)",SUMIFS(PPTO_GENERADOR!$E$4:$E$220,PPTO_GENERADOR!$Q$4:$Q$220,A367),SUMIFS(PPTO_GENERADOR!$E$4:$E$220,PPTO_GENERADOR!$Q$4:$Q$220,A367,PPTO_GENERADOR!$B$4:$B$220,PLAN_ETAPA!$C$4))</f>
        <v>0</v>
      </c>
      <c r="M367" s="216">
        <f>IFERROR(VLOOKUP(A367,PARTIDAS!$A$2:$F$269,6,FALSE()),1)</f>
        <v>6</v>
      </c>
      <c r="N367" s="216">
        <f>IFERROR(VLOOKUP(A367,PARTIDAS!$A$2:$I$269,9,FALSE()),1)</f>
        <v>1</v>
      </c>
      <c r="O367" s="217">
        <f t="shared" si="10"/>
        <v>0</v>
      </c>
      <c r="P367" s="216">
        <f>IF(O367=0,0,IF(B367="MAT",G367*(1+H367)*L367*PLAN_ETAPA!$C$5,IF(B367="MO",IF(M367=0,0,G367*L367*PLAN_ETAPA!$C$5*N367/M367),IF(B367="EQ",IF(M367=0,0,G367*L367*PLAN_ETAPA!$C$5/M367),0))))</f>
        <v>0</v>
      </c>
      <c r="Q367" s="218">
        <f t="shared" si="11"/>
        <v>0</v>
      </c>
    </row>
    <row r="368" spans="1:17" x14ac:dyDescent="0.35">
      <c r="A368" s="212" t="str">
        <f>COMPOSICIÓN!A368</f>
        <v>DUR-065</v>
      </c>
      <c r="B368" s="212" t="str">
        <f>COMPOSICIÓN!B368</f>
        <v>MAT</v>
      </c>
      <c r="C368" s="212" t="str">
        <f>COMPOSICIÓN!C368</f>
        <v>OTR</v>
      </c>
      <c r="D368" s="212" t="str">
        <f>COMPOSICIÓN!D368</f>
        <v>OTR-007</v>
      </c>
      <c r="E368" s="212" t="str">
        <f>COMPOSICIÓN!E368</f>
        <v>Tornillo T1 - Aguja</v>
      </c>
      <c r="F368" s="212" t="str">
        <f>COMPOSICIÓN!F368</f>
        <v>u</v>
      </c>
      <c r="G368" s="213">
        <f>COMPOSICIÓN!G368</f>
        <v>10</v>
      </c>
      <c r="H368" s="214">
        <f>COMPOSICIÓN!H368</f>
        <v>0.05</v>
      </c>
      <c r="I368" s="215">
        <f>COMPOSICIÓN!I368</f>
        <v>32.707173553719002</v>
      </c>
      <c r="J368" s="212" t="str">
        <f>IFERROR(VLOOKUP(A368,PARTIDAS!$A$2:$C$269,3,FALSE()),"")</f>
        <v>REVOQUES FINOS Y CIELORRASOS</v>
      </c>
      <c r="K368" s="212" t="str">
        <f>IFERROR(INDEX(PPTO_GENERADOR!$B$4:$B$220,MATCH(A368,PPTO_GENERADOR!$Q$4:$Q$220,0)),"")</f>
        <v/>
      </c>
      <c r="L368" s="216">
        <f>IF(PLAN_ETAPA!$C$4="(TODOS)",SUMIFS(PPTO_GENERADOR!$E$4:$E$220,PPTO_GENERADOR!$Q$4:$Q$220,A368),SUMIFS(PPTO_GENERADOR!$E$4:$E$220,PPTO_GENERADOR!$Q$4:$Q$220,A368,PPTO_GENERADOR!$B$4:$B$220,PLAN_ETAPA!$C$4))</f>
        <v>0</v>
      </c>
      <c r="M368" s="216">
        <f>IFERROR(VLOOKUP(A368,PARTIDAS!$A$2:$F$269,6,FALSE()),1)</f>
        <v>6</v>
      </c>
      <c r="N368" s="216">
        <f>IFERROR(VLOOKUP(A368,PARTIDAS!$A$2:$I$269,9,FALSE()),1)</f>
        <v>1</v>
      </c>
      <c r="O368" s="217">
        <f t="shared" si="10"/>
        <v>0</v>
      </c>
      <c r="P368" s="216">
        <f>IF(O368=0,0,IF(B368="MAT",G368*(1+H368)*L368*PLAN_ETAPA!$C$5,IF(B368="MO",IF(M368=0,0,G368*L368*PLAN_ETAPA!$C$5*N368/M368),IF(B368="EQ",IF(M368=0,0,G368*L368*PLAN_ETAPA!$C$5/M368),0))))</f>
        <v>0</v>
      </c>
      <c r="Q368" s="218">
        <f t="shared" si="11"/>
        <v>0</v>
      </c>
    </row>
    <row r="369" spans="1:17" x14ac:dyDescent="0.35">
      <c r="A369" s="212" t="str">
        <f>COMPOSICIÓN!A369</f>
        <v>DUR-065</v>
      </c>
      <c r="B369" s="212" t="str">
        <f>COMPOSICIÓN!B369</f>
        <v>MAT</v>
      </c>
      <c r="C369" s="212" t="str">
        <f>COMPOSICIÓN!C369</f>
        <v>OTR</v>
      </c>
      <c r="D369" s="212" t="str">
        <f>COMPOSICIÓN!D369</f>
        <v>OTR-008</v>
      </c>
      <c r="E369" s="212" t="str">
        <f>COMPOSICIÓN!E369</f>
        <v>Tornillo T2 - Aguja</v>
      </c>
      <c r="F369" s="212" t="str">
        <f>COMPOSICIÓN!F369</f>
        <v>u</v>
      </c>
      <c r="G369" s="213">
        <f>COMPOSICIÓN!G369</f>
        <v>15</v>
      </c>
      <c r="H369" s="214">
        <f>COMPOSICIÓN!H369</f>
        <v>0.05</v>
      </c>
      <c r="I369" s="215">
        <f>COMPOSICIÓN!I369</f>
        <v>17.1963177226814</v>
      </c>
      <c r="J369" s="212" t="str">
        <f>IFERROR(VLOOKUP(A369,PARTIDAS!$A$2:$C$269,3,FALSE()),"")</f>
        <v>REVOQUES FINOS Y CIELORRASOS</v>
      </c>
      <c r="K369" s="212" t="str">
        <f>IFERROR(INDEX(PPTO_GENERADOR!$B$4:$B$220,MATCH(A369,PPTO_GENERADOR!$Q$4:$Q$220,0)),"")</f>
        <v/>
      </c>
      <c r="L369" s="216">
        <f>IF(PLAN_ETAPA!$C$4="(TODOS)",SUMIFS(PPTO_GENERADOR!$E$4:$E$220,PPTO_GENERADOR!$Q$4:$Q$220,A369),SUMIFS(PPTO_GENERADOR!$E$4:$E$220,PPTO_GENERADOR!$Q$4:$Q$220,A369,PPTO_GENERADOR!$B$4:$B$220,PLAN_ETAPA!$C$4))</f>
        <v>0</v>
      </c>
      <c r="M369" s="216">
        <f>IFERROR(VLOOKUP(A369,PARTIDAS!$A$2:$F$269,6,FALSE()),1)</f>
        <v>6</v>
      </c>
      <c r="N369" s="216">
        <f>IFERROR(VLOOKUP(A369,PARTIDAS!$A$2:$I$269,9,FALSE()),1)</f>
        <v>1</v>
      </c>
      <c r="O369" s="217">
        <f t="shared" si="10"/>
        <v>0</v>
      </c>
      <c r="P369" s="216">
        <f>IF(O369=0,0,IF(B369="MAT",G369*(1+H369)*L369*PLAN_ETAPA!$C$5,IF(B369="MO",IF(M369=0,0,G369*L369*PLAN_ETAPA!$C$5*N369/M369),IF(B369="EQ",IF(M369=0,0,G369*L369*PLAN_ETAPA!$C$5/M369),0))))</f>
        <v>0</v>
      </c>
      <c r="Q369" s="218">
        <f t="shared" si="11"/>
        <v>0</v>
      </c>
    </row>
    <row r="370" spans="1:17" x14ac:dyDescent="0.35">
      <c r="A370" s="212" t="str">
        <f>COMPOSICIÓN!A370</f>
        <v>DUR-065</v>
      </c>
      <c r="B370" s="212" t="str">
        <f>COMPOSICIÓN!B370</f>
        <v>MAT</v>
      </c>
      <c r="C370" s="212" t="str">
        <f>COMPOSICIÓN!C370</f>
        <v>OTR</v>
      </c>
      <c r="D370" s="212" t="str">
        <f>COMPOSICIÓN!D370</f>
        <v>OTR-009</v>
      </c>
      <c r="E370" s="212" t="str">
        <f>COMPOSICIÓN!E370</f>
        <v>Tornillo T3 - Aguja</v>
      </c>
      <c r="F370" s="212" t="str">
        <f>COMPOSICIÓN!F370</f>
        <v>u</v>
      </c>
      <c r="G370" s="213">
        <f>COMPOSICIÓN!G370</f>
        <v>30</v>
      </c>
      <c r="H370" s="214">
        <f>COMPOSICIÓN!H370</f>
        <v>0.05</v>
      </c>
      <c r="I370" s="215">
        <f>COMPOSICIÓN!I370</f>
        <v>41.375227272727301</v>
      </c>
      <c r="J370" s="212" t="str">
        <f>IFERROR(VLOOKUP(A370,PARTIDAS!$A$2:$C$269,3,FALSE()),"")</f>
        <v>REVOQUES FINOS Y CIELORRASOS</v>
      </c>
      <c r="K370" s="212" t="str">
        <f>IFERROR(INDEX(PPTO_GENERADOR!$B$4:$B$220,MATCH(A370,PPTO_GENERADOR!$Q$4:$Q$220,0)),"")</f>
        <v/>
      </c>
      <c r="L370" s="216">
        <f>IF(PLAN_ETAPA!$C$4="(TODOS)",SUMIFS(PPTO_GENERADOR!$E$4:$E$220,PPTO_GENERADOR!$Q$4:$Q$220,A370),SUMIFS(PPTO_GENERADOR!$E$4:$E$220,PPTO_GENERADOR!$Q$4:$Q$220,A370,PPTO_GENERADOR!$B$4:$B$220,PLAN_ETAPA!$C$4))</f>
        <v>0</v>
      </c>
      <c r="M370" s="216">
        <f>IFERROR(VLOOKUP(A370,PARTIDAS!$A$2:$F$269,6,FALSE()),1)</f>
        <v>6</v>
      </c>
      <c r="N370" s="216">
        <f>IFERROR(VLOOKUP(A370,PARTIDAS!$A$2:$I$269,9,FALSE()),1)</f>
        <v>1</v>
      </c>
      <c r="O370" s="217">
        <f t="shared" si="10"/>
        <v>0</v>
      </c>
      <c r="P370" s="216">
        <f>IF(O370=0,0,IF(B370="MAT",G370*(1+H370)*L370*PLAN_ETAPA!$C$5,IF(B370="MO",IF(M370=0,0,G370*L370*PLAN_ETAPA!$C$5*N370/M370),IF(B370="EQ",IF(M370=0,0,G370*L370*PLAN_ETAPA!$C$5/M370),0))))</f>
        <v>0</v>
      </c>
      <c r="Q370" s="218">
        <f t="shared" si="11"/>
        <v>0</v>
      </c>
    </row>
    <row r="371" spans="1:17" x14ac:dyDescent="0.35">
      <c r="A371" s="212" t="str">
        <f>COMPOSICIÓN!A371</f>
        <v>DUR-065</v>
      </c>
      <c r="B371" s="212" t="str">
        <f>COMPOSICIÓN!B371</f>
        <v>MAT</v>
      </c>
      <c r="C371" s="212" t="str">
        <f>COMPOSICIÓN!C371</f>
        <v>OTR</v>
      </c>
      <c r="D371" s="212" t="str">
        <f>COMPOSICIÓN!D371</f>
        <v>OTR-010</v>
      </c>
      <c r="E371" s="212" t="str">
        <f>COMPOSICIÓN!E371</f>
        <v>Fijacion completa del 8</v>
      </c>
      <c r="F371" s="212" t="str">
        <f>COMPOSICIÓN!F371</f>
        <v>u</v>
      </c>
      <c r="G371" s="213">
        <f>COMPOSICIÓN!G371</f>
        <v>3.5</v>
      </c>
      <c r="H371" s="214">
        <f>COMPOSICIÓN!H371</f>
        <v>0.05</v>
      </c>
      <c r="I371" s="215">
        <f>COMPOSICIÓN!I371</f>
        <v>65.919008264462803</v>
      </c>
      <c r="J371" s="212" t="str">
        <f>IFERROR(VLOOKUP(A371,PARTIDAS!$A$2:$C$269,3,FALSE()),"")</f>
        <v>REVOQUES FINOS Y CIELORRASOS</v>
      </c>
      <c r="K371" s="212" t="str">
        <f>IFERROR(INDEX(PPTO_GENERADOR!$B$4:$B$220,MATCH(A371,PPTO_GENERADOR!$Q$4:$Q$220,0)),"")</f>
        <v/>
      </c>
      <c r="L371" s="216">
        <f>IF(PLAN_ETAPA!$C$4="(TODOS)",SUMIFS(PPTO_GENERADOR!$E$4:$E$220,PPTO_GENERADOR!$Q$4:$Q$220,A371),SUMIFS(PPTO_GENERADOR!$E$4:$E$220,PPTO_GENERADOR!$Q$4:$Q$220,A371,PPTO_GENERADOR!$B$4:$B$220,PLAN_ETAPA!$C$4))</f>
        <v>0</v>
      </c>
      <c r="M371" s="216">
        <f>IFERROR(VLOOKUP(A371,PARTIDAS!$A$2:$F$269,6,FALSE()),1)</f>
        <v>6</v>
      </c>
      <c r="N371" s="216">
        <f>IFERROR(VLOOKUP(A371,PARTIDAS!$A$2:$I$269,9,FALSE()),1)</f>
        <v>1</v>
      </c>
      <c r="O371" s="217">
        <f t="shared" si="10"/>
        <v>0</v>
      </c>
      <c r="P371" s="216">
        <f>IF(O371=0,0,IF(B371="MAT",G371*(1+H371)*L371*PLAN_ETAPA!$C$5,IF(B371="MO",IF(M371=0,0,G371*L371*PLAN_ETAPA!$C$5*N371/M371),IF(B371="EQ",IF(M371=0,0,G371*L371*PLAN_ETAPA!$C$5/M371),0))))</f>
        <v>0</v>
      </c>
      <c r="Q371" s="218">
        <f t="shared" si="11"/>
        <v>0</v>
      </c>
    </row>
    <row r="372" spans="1:17" x14ac:dyDescent="0.35">
      <c r="A372" s="212" t="str">
        <f>COMPOSICIÓN!A372</f>
        <v>DUR-065</v>
      </c>
      <c r="B372" s="212" t="str">
        <f>COMPOSICIÓN!B372</f>
        <v>MAT</v>
      </c>
      <c r="C372" s="212" t="str">
        <f>COMPOSICIÓN!C372</f>
        <v>OTR</v>
      </c>
      <c r="D372" s="212" t="str">
        <f>COMPOSICIÓN!D372</f>
        <v>OTR-011</v>
      </c>
      <c r="E372" s="212" t="str">
        <f>COMPOSICIÓN!E372</f>
        <v>Cinta Entramada - 90m</v>
      </c>
      <c r="F372" s="212" t="str">
        <f>COMPOSICIÓN!F372</f>
        <v>u</v>
      </c>
      <c r="G372" s="213">
        <f>COMPOSICIÓN!G372</f>
        <v>0.04</v>
      </c>
      <c r="H372" s="214">
        <f>COMPOSICIÓN!H372</f>
        <v>0.05</v>
      </c>
      <c r="I372" s="215">
        <f>COMPOSICIÓN!I372</f>
        <v>4042.71</v>
      </c>
      <c r="J372" s="212" t="str">
        <f>IFERROR(VLOOKUP(A372,PARTIDAS!$A$2:$C$269,3,FALSE()),"")</f>
        <v>REVOQUES FINOS Y CIELORRASOS</v>
      </c>
      <c r="K372" s="212" t="str">
        <f>IFERROR(INDEX(PPTO_GENERADOR!$B$4:$B$220,MATCH(A372,PPTO_GENERADOR!$Q$4:$Q$220,0)),"")</f>
        <v/>
      </c>
      <c r="L372" s="216">
        <f>IF(PLAN_ETAPA!$C$4="(TODOS)",SUMIFS(PPTO_GENERADOR!$E$4:$E$220,PPTO_GENERADOR!$Q$4:$Q$220,A372),SUMIFS(PPTO_GENERADOR!$E$4:$E$220,PPTO_GENERADOR!$Q$4:$Q$220,A372,PPTO_GENERADOR!$B$4:$B$220,PLAN_ETAPA!$C$4))</f>
        <v>0</v>
      </c>
      <c r="M372" s="216">
        <f>IFERROR(VLOOKUP(A372,PARTIDAS!$A$2:$F$269,6,FALSE()),1)</f>
        <v>6</v>
      </c>
      <c r="N372" s="216">
        <f>IFERROR(VLOOKUP(A372,PARTIDAS!$A$2:$I$269,9,FALSE()),1)</f>
        <v>1</v>
      </c>
      <c r="O372" s="217">
        <f t="shared" si="10"/>
        <v>0</v>
      </c>
      <c r="P372" s="216">
        <f>IF(O372=0,0,IF(B372="MAT",G372*(1+H372)*L372*PLAN_ETAPA!$C$5,IF(B372="MO",IF(M372=0,0,G372*L372*PLAN_ETAPA!$C$5*N372/M372),IF(B372="EQ",IF(M372=0,0,G372*L372*PLAN_ETAPA!$C$5/M372),0))))</f>
        <v>0</v>
      </c>
      <c r="Q372" s="218">
        <f t="shared" si="11"/>
        <v>0</v>
      </c>
    </row>
    <row r="373" spans="1:17" x14ac:dyDescent="0.35">
      <c r="A373" s="212" t="str">
        <f>COMPOSICIÓN!A373</f>
        <v>DUR-065</v>
      </c>
      <c r="B373" s="212" t="str">
        <f>COMPOSICIÓN!B373</f>
        <v>MAT</v>
      </c>
      <c r="C373" s="212" t="str">
        <f>COMPOSICIÓN!C373</f>
        <v>OTR</v>
      </c>
      <c r="D373" s="212" t="str">
        <f>COMPOSICIÓN!D373</f>
        <v>REV-006</v>
      </c>
      <c r="E373" s="212" t="str">
        <f>COMPOSICIÓN!E373</f>
        <v>Placa Roca de Yeso 1220 x 2440 - 12.5mm - STD</v>
      </c>
      <c r="F373" s="212" t="str">
        <f>COMPOSICIÓN!F373</f>
        <v>u</v>
      </c>
      <c r="G373" s="213">
        <f>COMPOSICIÓN!G373</f>
        <v>1.42</v>
      </c>
      <c r="H373" s="214">
        <f>COMPOSICIÓN!H373</f>
        <v>0.1</v>
      </c>
      <c r="I373" s="215">
        <f>COMPOSICIÓN!I373</f>
        <v>10022.959999999999</v>
      </c>
      <c r="J373" s="212" t="str">
        <f>IFERROR(VLOOKUP(A373,PARTIDAS!$A$2:$C$269,3,FALSE()),"")</f>
        <v>REVOQUES FINOS Y CIELORRASOS</v>
      </c>
      <c r="K373" s="212" t="str">
        <f>IFERROR(INDEX(PPTO_GENERADOR!$B$4:$B$220,MATCH(A373,PPTO_GENERADOR!$Q$4:$Q$220,0)),"")</f>
        <v/>
      </c>
      <c r="L373" s="216">
        <f>IF(PLAN_ETAPA!$C$4="(TODOS)",SUMIFS(PPTO_GENERADOR!$E$4:$E$220,PPTO_GENERADOR!$Q$4:$Q$220,A373),SUMIFS(PPTO_GENERADOR!$E$4:$E$220,PPTO_GENERADOR!$Q$4:$Q$220,A373,PPTO_GENERADOR!$B$4:$B$220,PLAN_ETAPA!$C$4))</f>
        <v>0</v>
      </c>
      <c r="M373" s="216">
        <f>IFERROR(VLOOKUP(A373,PARTIDAS!$A$2:$F$269,6,FALSE()),1)</f>
        <v>6</v>
      </c>
      <c r="N373" s="216">
        <f>IFERROR(VLOOKUP(A373,PARTIDAS!$A$2:$I$269,9,FALSE()),1)</f>
        <v>1</v>
      </c>
      <c r="O373" s="217">
        <f t="shared" si="10"/>
        <v>0</v>
      </c>
      <c r="P373" s="216">
        <f>IF(O373=0,0,IF(B373="MAT",G373*(1+H373)*L373*PLAN_ETAPA!$C$5,IF(B373="MO",IF(M373=0,0,G373*L373*PLAN_ETAPA!$C$5*N373/M373),IF(B373="EQ",IF(M373=0,0,G373*L373*PLAN_ETAPA!$C$5/M373),0))))</f>
        <v>0</v>
      </c>
      <c r="Q373" s="218">
        <f t="shared" si="11"/>
        <v>0</v>
      </c>
    </row>
    <row r="374" spans="1:17" x14ac:dyDescent="0.35">
      <c r="A374" s="212" t="str">
        <f>COMPOSICIÓN!A374</f>
        <v>DUR-065</v>
      </c>
      <c r="B374" s="212" t="str">
        <f>COMPOSICIÓN!B374</f>
        <v>MO</v>
      </c>
      <c r="C374" s="212" t="str">
        <f>COMPOSICIÓN!C374</f>
        <v>ALB</v>
      </c>
      <c r="D374" s="212" t="str">
        <f>COMPOSICIÓN!D374</f>
        <v>MO-EMEDI</v>
      </c>
      <c r="E374" s="212" t="str">
        <f>COMPOSICIÓN!E374</f>
        <v>MEDIO OFICIAL</v>
      </c>
      <c r="F374" s="212" t="str">
        <f>COMPOSICIÓN!F374</f>
        <v>j</v>
      </c>
      <c r="G374" s="213">
        <f>COMPOSICIÓN!G374</f>
        <v>1</v>
      </c>
      <c r="H374" s="214">
        <f>COMPOSICIÓN!H374</f>
        <v>0</v>
      </c>
      <c r="I374" s="215">
        <f>COMPOSICIÓN!I374</f>
        <v>65493.071636572</v>
      </c>
      <c r="J374" s="212" t="str">
        <f>IFERROR(VLOOKUP(A374,PARTIDAS!$A$2:$C$269,3,FALSE()),"")</f>
        <v>REVOQUES FINOS Y CIELORRASOS</v>
      </c>
      <c r="K374" s="212" t="str">
        <f>IFERROR(INDEX(PPTO_GENERADOR!$B$4:$B$220,MATCH(A374,PPTO_GENERADOR!$Q$4:$Q$220,0)),"")</f>
        <v/>
      </c>
      <c r="L374" s="216">
        <f>IF(PLAN_ETAPA!$C$4="(TODOS)",SUMIFS(PPTO_GENERADOR!$E$4:$E$220,PPTO_GENERADOR!$Q$4:$Q$220,A374),SUMIFS(PPTO_GENERADOR!$E$4:$E$220,PPTO_GENERADOR!$Q$4:$Q$220,A374,PPTO_GENERADOR!$B$4:$B$220,PLAN_ETAPA!$C$4))</f>
        <v>0</v>
      </c>
      <c r="M374" s="216">
        <f>IFERROR(VLOOKUP(A374,PARTIDAS!$A$2:$F$269,6,FALSE()),1)</f>
        <v>6</v>
      </c>
      <c r="N374" s="216">
        <f>IFERROR(VLOOKUP(A374,PARTIDAS!$A$2:$I$269,9,FALSE()),1)</f>
        <v>1</v>
      </c>
      <c r="O374" s="217">
        <f t="shared" si="10"/>
        <v>0</v>
      </c>
      <c r="P374" s="216">
        <f>IF(O374=0,0,IF(B374="MAT",G374*(1+H374)*L374*PLAN_ETAPA!$C$5,IF(B374="MO",IF(M374=0,0,G374*L374*PLAN_ETAPA!$C$5*N374/M374),IF(B374="EQ",IF(M374=0,0,G374*L374*PLAN_ETAPA!$C$5/M374),0))))</f>
        <v>0</v>
      </c>
      <c r="Q374" s="218">
        <f t="shared" si="11"/>
        <v>0</v>
      </c>
    </row>
    <row r="375" spans="1:17" x14ac:dyDescent="0.35">
      <c r="A375" s="212" t="str">
        <f>COMPOSICIÓN!A375</f>
        <v>DUR-065</v>
      </c>
      <c r="B375" s="212" t="str">
        <f>COMPOSICIÓN!B375</f>
        <v>MO</v>
      </c>
      <c r="C375" s="212" t="str">
        <f>COMPOSICIÓN!C375</f>
        <v>ALB</v>
      </c>
      <c r="D375" s="212" t="str">
        <f>COMPOSICIÓN!D375</f>
        <v>MO-EESPE</v>
      </c>
      <c r="E375" s="212" t="str">
        <f>COMPOSICIÓN!E375</f>
        <v>ESPECIALIZADO</v>
      </c>
      <c r="F375" s="212" t="str">
        <f>COMPOSICIÓN!F375</f>
        <v>j</v>
      </c>
      <c r="G375" s="213">
        <f>COMPOSICIÓN!G375</f>
        <v>1</v>
      </c>
      <c r="H375" s="214">
        <f>COMPOSICIÓN!H375</f>
        <v>0</v>
      </c>
      <c r="I375" s="215">
        <f>COMPOSICIÓN!I375</f>
        <v>85927.097156571996</v>
      </c>
      <c r="J375" s="212" t="str">
        <f>IFERROR(VLOOKUP(A375,PARTIDAS!$A$2:$C$269,3,FALSE()),"")</f>
        <v>REVOQUES FINOS Y CIELORRASOS</v>
      </c>
      <c r="K375" s="212" t="str">
        <f>IFERROR(INDEX(PPTO_GENERADOR!$B$4:$B$220,MATCH(A375,PPTO_GENERADOR!$Q$4:$Q$220,0)),"")</f>
        <v/>
      </c>
      <c r="L375" s="216">
        <f>IF(PLAN_ETAPA!$C$4="(TODOS)",SUMIFS(PPTO_GENERADOR!$E$4:$E$220,PPTO_GENERADOR!$Q$4:$Q$220,A375),SUMIFS(PPTO_GENERADOR!$E$4:$E$220,PPTO_GENERADOR!$Q$4:$Q$220,A375,PPTO_GENERADOR!$B$4:$B$220,PLAN_ETAPA!$C$4))</f>
        <v>0</v>
      </c>
      <c r="M375" s="216">
        <f>IFERROR(VLOOKUP(A375,PARTIDAS!$A$2:$F$269,6,FALSE()),1)</f>
        <v>6</v>
      </c>
      <c r="N375" s="216">
        <f>IFERROR(VLOOKUP(A375,PARTIDAS!$A$2:$I$269,9,FALSE()),1)</f>
        <v>1</v>
      </c>
      <c r="O375" s="217">
        <f t="shared" si="10"/>
        <v>0</v>
      </c>
      <c r="P375" s="216">
        <f>IF(O375=0,0,IF(B375="MAT",G375*(1+H375)*L375*PLAN_ETAPA!$C$5,IF(B375="MO",IF(M375=0,0,G375*L375*PLAN_ETAPA!$C$5*N375/M375),IF(B375="EQ",IF(M375=0,0,G375*L375*PLAN_ETAPA!$C$5/M375),0))))</f>
        <v>0</v>
      </c>
      <c r="Q375" s="218">
        <f t="shared" si="11"/>
        <v>0</v>
      </c>
    </row>
    <row r="376" spans="1:17" x14ac:dyDescent="0.35">
      <c r="A376" s="212" t="str">
        <f>COMPOSICIÓN!A376</f>
        <v>DUR-066</v>
      </c>
      <c r="B376" s="212" t="str">
        <f>COMPOSICIÓN!B376</f>
        <v>EQ</v>
      </c>
      <c r="C376" s="212">
        <f>COMPOSICIÓN!C376</f>
        <v>0</v>
      </c>
      <c r="D376" s="212" t="str">
        <f>COMPOSICIÓN!D376</f>
        <v>EQ-PTO024</v>
      </c>
      <c r="E376" s="212" t="str">
        <f>COMPOSICIÓN!E376</f>
        <v>EQUIPO DE CONSTRUCCION EN SECO</v>
      </c>
      <c r="F376" s="212">
        <f>COMPOSICIÓN!F376</f>
        <v>0</v>
      </c>
      <c r="G376" s="213">
        <f>COMPOSICIÓN!G376</f>
        <v>1</v>
      </c>
      <c r="H376" s="214">
        <f>COMPOSICIÓN!H376</f>
        <v>0</v>
      </c>
      <c r="I376" s="215">
        <f>COMPOSICIÓN!I376</f>
        <v>2365.2381485799501</v>
      </c>
      <c r="J376" s="212" t="str">
        <f>IFERROR(VLOOKUP(A376,PARTIDAS!$A$2:$C$269,3,FALSE()),"")</f>
        <v>REVOQUES FINOS Y CIELORRASOS</v>
      </c>
      <c r="K376" s="212" t="str">
        <f>IFERROR(INDEX(PPTO_GENERADOR!$B$4:$B$220,MATCH(A376,PPTO_GENERADOR!$Q$4:$Q$220,0)),"")</f>
        <v/>
      </c>
      <c r="L376" s="216">
        <f>IF(PLAN_ETAPA!$C$4="(TODOS)",SUMIFS(PPTO_GENERADOR!$E$4:$E$220,PPTO_GENERADOR!$Q$4:$Q$220,A376),SUMIFS(PPTO_GENERADOR!$E$4:$E$220,PPTO_GENERADOR!$Q$4:$Q$220,A376,PPTO_GENERADOR!$B$4:$B$220,PLAN_ETAPA!$C$4))</f>
        <v>0</v>
      </c>
      <c r="M376" s="216">
        <f>IFERROR(VLOOKUP(A376,PARTIDAS!$A$2:$F$269,6,FALSE()),1)</f>
        <v>11</v>
      </c>
      <c r="N376" s="216">
        <f>IFERROR(VLOOKUP(A376,PARTIDAS!$A$2:$I$269,9,FALSE()),1)</f>
        <v>1</v>
      </c>
      <c r="O376" s="217">
        <f t="shared" si="10"/>
        <v>0</v>
      </c>
      <c r="P376" s="216">
        <f>IF(O376=0,0,IF(B376="MAT",G376*(1+H376)*L376*PLAN_ETAPA!$C$5,IF(B376="MO",IF(M376=0,0,G376*L376*PLAN_ETAPA!$C$5*N376/M376),IF(B376="EQ",IF(M376=0,0,G376*L376*PLAN_ETAPA!$C$5/M376),0))))</f>
        <v>0</v>
      </c>
      <c r="Q376" s="218">
        <f t="shared" si="11"/>
        <v>0</v>
      </c>
    </row>
    <row r="377" spans="1:17" x14ac:dyDescent="0.35">
      <c r="A377" s="212" t="str">
        <f>COMPOSICIÓN!A377</f>
        <v>DUR-066</v>
      </c>
      <c r="B377" s="212" t="str">
        <f>COMPOSICIÓN!B377</f>
        <v>EQ</v>
      </c>
      <c r="C377" s="212">
        <f>COMPOSICIÓN!C377</f>
        <v>0</v>
      </c>
      <c r="D377" s="212" t="str">
        <f>COMPOSICIÓN!D377</f>
        <v>EQ-ESCALE</v>
      </c>
      <c r="E377" s="212" t="str">
        <f>COMPOSICIÓN!E377</f>
        <v>ESCALERA GLOSS ALUMINIO ARTICULADA 4 X 4 ESCALONES HASTA 150KG</v>
      </c>
      <c r="F377" s="212">
        <f>COMPOSICIÓN!F377</f>
        <v>0</v>
      </c>
      <c r="G377" s="213">
        <f>COMPOSICIÓN!G377</f>
        <v>0.5</v>
      </c>
      <c r="H377" s="214">
        <f>COMPOSICIÓN!H377</f>
        <v>0</v>
      </c>
      <c r="I377" s="215">
        <f>COMPOSICIÓN!I377</f>
        <v>140.19809259430903</v>
      </c>
      <c r="J377" s="212" t="str">
        <f>IFERROR(VLOOKUP(A377,PARTIDAS!$A$2:$C$269,3,FALSE()),"")</f>
        <v>REVOQUES FINOS Y CIELORRASOS</v>
      </c>
      <c r="K377" s="212" t="str">
        <f>IFERROR(INDEX(PPTO_GENERADOR!$B$4:$B$220,MATCH(A377,PPTO_GENERADOR!$Q$4:$Q$220,0)),"")</f>
        <v/>
      </c>
      <c r="L377" s="216">
        <f>IF(PLAN_ETAPA!$C$4="(TODOS)",SUMIFS(PPTO_GENERADOR!$E$4:$E$220,PPTO_GENERADOR!$Q$4:$Q$220,A377),SUMIFS(PPTO_GENERADOR!$E$4:$E$220,PPTO_GENERADOR!$Q$4:$Q$220,A377,PPTO_GENERADOR!$B$4:$B$220,PLAN_ETAPA!$C$4))</f>
        <v>0</v>
      </c>
      <c r="M377" s="216">
        <f>IFERROR(VLOOKUP(A377,PARTIDAS!$A$2:$F$269,6,FALSE()),1)</f>
        <v>11</v>
      </c>
      <c r="N377" s="216">
        <f>IFERROR(VLOOKUP(A377,PARTIDAS!$A$2:$I$269,9,FALSE()),1)</f>
        <v>1</v>
      </c>
      <c r="O377" s="217">
        <f t="shared" si="10"/>
        <v>0</v>
      </c>
      <c r="P377" s="216">
        <f>IF(O377=0,0,IF(B377="MAT",G377*(1+H377)*L377*PLAN_ETAPA!$C$5,IF(B377="MO",IF(M377=0,0,G377*L377*PLAN_ETAPA!$C$5*N377/M377),IF(B377="EQ",IF(M377=0,0,G377*L377*PLAN_ETAPA!$C$5/M377),0))))</f>
        <v>0</v>
      </c>
      <c r="Q377" s="218">
        <f t="shared" si="11"/>
        <v>0</v>
      </c>
    </row>
    <row r="378" spans="1:17" x14ac:dyDescent="0.35">
      <c r="A378" s="212" t="str">
        <f>COMPOSICIÓN!A378</f>
        <v>DUR-066</v>
      </c>
      <c r="B378" s="212" t="str">
        <f>COMPOSICIÓN!B378</f>
        <v>MAT</v>
      </c>
      <c r="C378" s="212" t="str">
        <f>COMPOSICIÓN!C378</f>
        <v>OTR</v>
      </c>
      <c r="D378" s="212" t="str">
        <f>COMPOSICIÓN!D378</f>
        <v>DUR-001</v>
      </c>
      <c r="E378" s="212" t="str">
        <f>COMPOSICIÓN!E378</f>
        <v>Solera 70mm x 2.60m</v>
      </c>
      <c r="F378" s="212" t="str">
        <f>COMPOSICIÓN!F378</f>
        <v>u</v>
      </c>
      <c r="G378" s="213">
        <f>COMPOSICIÓN!G378</f>
        <v>0.46153846153846201</v>
      </c>
      <c r="H378" s="214">
        <f>COMPOSICIÓN!H378</f>
        <v>0.1</v>
      </c>
      <c r="I378" s="215">
        <f>COMPOSICIÓN!I378</f>
        <v>2932.93</v>
      </c>
      <c r="J378" s="212" t="str">
        <f>IFERROR(VLOOKUP(A378,PARTIDAS!$A$2:$C$269,3,FALSE()),"")</f>
        <v>REVOQUES FINOS Y CIELORRASOS</v>
      </c>
      <c r="K378" s="212" t="str">
        <f>IFERROR(INDEX(PPTO_GENERADOR!$B$4:$B$220,MATCH(A378,PPTO_GENERADOR!$Q$4:$Q$220,0)),"")</f>
        <v/>
      </c>
      <c r="L378" s="216">
        <f>IF(PLAN_ETAPA!$C$4="(TODOS)",SUMIFS(PPTO_GENERADOR!$E$4:$E$220,PPTO_GENERADOR!$Q$4:$Q$220,A378),SUMIFS(PPTO_GENERADOR!$E$4:$E$220,PPTO_GENERADOR!$Q$4:$Q$220,A378,PPTO_GENERADOR!$B$4:$B$220,PLAN_ETAPA!$C$4))</f>
        <v>0</v>
      </c>
      <c r="M378" s="216">
        <f>IFERROR(VLOOKUP(A378,PARTIDAS!$A$2:$F$269,6,FALSE()),1)</f>
        <v>11</v>
      </c>
      <c r="N378" s="216">
        <f>IFERROR(VLOOKUP(A378,PARTIDAS!$A$2:$I$269,9,FALSE()),1)</f>
        <v>1</v>
      </c>
      <c r="O378" s="217">
        <f t="shared" si="10"/>
        <v>0</v>
      </c>
      <c r="P378" s="216">
        <f>IF(O378=0,0,IF(B378="MAT",G378*(1+H378)*L378*PLAN_ETAPA!$C$5,IF(B378="MO",IF(M378=0,0,G378*L378*PLAN_ETAPA!$C$5*N378/M378),IF(B378="EQ",IF(M378=0,0,G378*L378*PLAN_ETAPA!$C$5/M378),0))))</f>
        <v>0</v>
      </c>
      <c r="Q378" s="218">
        <f t="shared" si="11"/>
        <v>0</v>
      </c>
    </row>
    <row r="379" spans="1:17" x14ac:dyDescent="0.35">
      <c r="A379" s="212" t="str">
        <f>COMPOSICIÓN!A379</f>
        <v>DUR-066</v>
      </c>
      <c r="B379" s="212" t="str">
        <f>COMPOSICIÓN!B379</f>
        <v>MAT</v>
      </c>
      <c r="C379" s="212" t="str">
        <f>COMPOSICIÓN!C379</f>
        <v>OTR</v>
      </c>
      <c r="D379" s="212" t="str">
        <f>COMPOSICIÓN!D379</f>
        <v>DUR-002</v>
      </c>
      <c r="E379" s="212" t="str">
        <f>COMPOSICIÓN!E379</f>
        <v>Montante 69mm x 2.60m</v>
      </c>
      <c r="F379" s="212" t="str">
        <f>COMPOSICIÓN!F379</f>
        <v>u</v>
      </c>
      <c r="G379" s="213">
        <f>COMPOSICIÓN!G379</f>
        <v>1.15384615384615</v>
      </c>
      <c r="H379" s="214">
        <f>COMPOSICIÓN!H379</f>
        <v>0.1</v>
      </c>
      <c r="I379" s="215">
        <f>COMPOSICIÓN!I379</f>
        <v>3295.47</v>
      </c>
      <c r="J379" s="212" t="str">
        <f>IFERROR(VLOOKUP(A379,PARTIDAS!$A$2:$C$269,3,FALSE()),"")</f>
        <v>REVOQUES FINOS Y CIELORRASOS</v>
      </c>
      <c r="K379" s="212" t="str">
        <f>IFERROR(INDEX(PPTO_GENERADOR!$B$4:$B$220,MATCH(A379,PPTO_GENERADOR!$Q$4:$Q$220,0)),"")</f>
        <v/>
      </c>
      <c r="L379" s="216">
        <f>IF(PLAN_ETAPA!$C$4="(TODOS)",SUMIFS(PPTO_GENERADOR!$E$4:$E$220,PPTO_GENERADOR!$Q$4:$Q$220,A379),SUMIFS(PPTO_GENERADOR!$E$4:$E$220,PPTO_GENERADOR!$Q$4:$Q$220,A379,PPTO_GENERADOR!$B$4:$B$220,PLAN_ETAPA!$C$4))</f>
        <v>0</v>
      </c>
      <c r="M379" s="216">
        <f>IFERROR(VLOOKUP(A379,PARTIDAS!$A$2:$F$269,6,FALSE()),1)</f>
        <v>11</v>
      </c>
      <c r="N379" s="216">
        <f>IFERROR(VLOOKUP(A379,PARTIDAS!$A$2:$I$269,9,FALSE()),1)</f>
        <v>1</v>
      </c>
      <c r="O379" s="217">
        <f t="shared" si="10"/>
        <v>0</v>
      </c>
      <c r="P379" s="216">
        <f>IF(O379=0,0,IF(B379="MAT",G379*(1+H379)*L379*PLAN_ETAPA!$C$5,IF(B379="MO",IF(M379=0,0,G379*L379*PLAN_ETAPA!$C$5*N379/M379),IF(B379="EQ",IF(M379=0,0,G379*L379*PLAN_ETAPA!$C$5/M379),0))))</f>
        <v>0</v>
      </c>
      <c r="Q379" s="218">
        <f t="shared" si="11"/>
        <v>0</v>
      </c>
    </row>
    <row r="380" spans="1:17" x14ac:dyDescent="0.35">
      <c r="A380" s="212" t="str">
        <f>COMPOSICIÓN!A380</f>
        <v>DUR-066</v>
      </c>
      <c r="B380" s="212" t="str">
        <f>COMPOSICIÓN!B380</f>
        <v>MAT</v>
      </c>
      <c r="C380" s="212" t="str">
        <f>COMPOSICIÓN!C380</f>
        <v>OTR</v>
      </c>
      <c r="D380" s="212" t="str">
        <f>COMPOSICIÓN!D380</f>
        <v>DUR-005</v>
      </c>
      <c r="E380" s="212" t="str">
        <f>COMPOSICIÓN!E380</f>
        <v>Masilla x 32kg</v>
      </c>
      <c r="F380" s="212" t="str">
        <f>COMPOSICIÓN!F380</f>
        <v>u</v>
      </c>
      <c r="G380" s="213">
        <f>COMPOSICIÓN!G380</f>
        <v>2.8125000000000001E-2</v>
      </c>
      <c r="H380" s="214">
        <f>COMPOSICIÓN!H380</f>
        <v>0.1</v>
      </c>
      <c r="I380" s="215">
        <f>COMPOSICIÓN!I380</f>
        <v>26872.02</v>
      </c>
      <c r="J380" s="212" t="str">
        <f>IFERROR(VLOOKUP(A380,PARTIDAS!$A$2:$C$269,3,FALSE()),"")</f>
        <v>REVOQUES FINOS Y CIELORRASOS</v>
      </c>
      <c r="K380" s="212" t="str">
        <f>IFERROR(INDEX(PPTO_GENERADOR!$B$4:$B$220,MATCH(A380,PPTO_GENERADOR!$Q$4:$Q$220,0)),"")</f>
        <v/>
      </c>
      <c r="L380" s="216">
        <f>IF(PLAN_ETAPA!$C$4="(TODOS)",SUMIFS(PPTO_GENERADOR!$E$4:$E$220,PPTO_GENERADOR!$Q$4:$Q$220,A380),SUMIFS(PPTO_GENERADOR!$E$4:$E$220,PPTO_GENERADOR!$Q$4:$Q$220,A380,PPTO_GENERADOR!$B$4:$B$220,PLAN_ETAPA!$C$4))</f>
        <v>0</v>
      </c>
      <c r="M380" s="216">
        <f>IFERROR(VLOOKUP(A380,PARTIDAS!$A$2:$F$269,6,FALSE()),1)</f>
        <v>11</v>
      </c>
      <c r="N380" s="216">
        <f>IFERROR(VLOOKUP(A380,PARTIDAS!$A$2:$I$269,9,FALSE()),1)</f>
        <v>1</v>
      </c>
      <c r="O380" s="217">
        <f t="shared" si="10"/>
        <v>0</v>
      </c>
      <c r="P380" s="216">
        <f>IF(O380=0,0,IF(B380="MAT",G380*(1+H380)*L380*PLAN_ETAPA!$C$5,IF(B380="MO",IF(M380=0,0,G380*L380*PLAN_ETAPA!$C$5*N380/M380),IF(B380="EQ",IF(M380=0,0,G380*L380*PLAN_ETAPA!$C$5/M380),0))))</f>
        <v>0</v>
      </c>
      <c r="Q380" s="218">
        <f t="shared" si="11"/>
        <v>0</v>
      </c>
    </row>
    <row r="381" spans="1:17" x14ac:dyDescent="0.35">
      <c r="A381" s="212" t="str">
        <f>COMPOSICIÓN!A381</f>
        <v>DUR-066</v>
      </c>
      <c r="B381" s="212" t="str">
        <f>COMPOSICIÓN!B381</f>
        <v>MAT</v>
      </c>
      <c r="C381" s="212" t="str">
        <f>COMPOSICIÓN!C381</f>
        <v>OTR</v>
      </c>
      <c r="D381" s="212" t="str">
        <f>COMPOSICIÓN!D381</f>
        <v>OTR-007</v>
      </c>
      <c r="E381" s="212" t="str">
        <f>COMPOSICIÓN!E381</f>
        <v>Tornillo T1 - Aguja</v>
      </c>
      <c r="F381" s="212" t="str">
        <f>COMPOSICIÓN!F381</f>
        <v>u</v>
      </c>
      <c r="G381" s="213">
        <f>COMPOSICIÓN!G381</f>
        <v>10</v>
      </c>
      <c r="H381" s="214">
        <f>COMPOSICIÓN!H381</f>
        <v>0.1</v>
      </c>
      <c r="I381" s="215">
        <f>COMPOSICIÓN!I381</f>
        <v>32.707173553719002</v>
      </c>
      <c r="J381" s="212" t="str">
        <f>IFERROR(VLOOKUP(A381,PARTIDAS!$A$2:$C$269,3,FALSE()),"")</f>
        <v>REVOQUES FINOS Y CIELORRASOS</v>
      </c>
      <c r="K381" s="212" t="str">
        <f>IFERROR(INDEX(PPTO_GENERADOR!$B$4:$B$220,MATCH(A381,PPTO_GENERADOR!$Q$4:$Q$220,0)),"")</f>
        <v/>
      </c>
      <c r="L381" s="216">
        <f>IF(PLAN_ETAPA!$C$4="(TODOS)",SUMIFS(PPTO_GENERADOR!$E$4:$E$220,PPTO_GENERADOR!$Q$4:$Q$220,A381),SUMIFS(PPTO_GENERADOR!$E$4:$E$220,PPTO_GENERADOR!$Q$4:$Q$220,A381,PPTO_GENERADOR!$B$4:$B$220,PLAN_ETAPA!$C$4))</f>
        <v>0</v>
      </c>
      <c r="M381" s="216">
        <f>IFERROR(VLOOKUP(A381,PARTIDAS!$A$2:$F$269,6,FALSE()),1)</f>
        <v>11</v>
      </c>
      <c r="N381" s="216">
        <f>IFERROR(VLOOKUP(A381,PARTIDAS!$A$2:$I$269,9,FALSE()),1)</f>
        <v>1</v>
      </c>
      <c r="O381" s="217">
        <f t="shared" si="10"/>
        <v>0</v>
      </c>
      <c r="P381" s="216">
        <f>IF(O381=0,0,IF(B381="MAT",G381*(1+H381)*L381*PLAN_ETAPA!$C$5,IF(B381="MO",IF(M381=0,0,G381*L381*PLAN_ETAPA!$C$5*N381/M381),IF(B381="EQ",IF(M381=0,0,G381*L381*PLAN_ETAPA!$C$5/M381),0))))</f>
        <v>0</v>
      </c>
      <c r="Q381" s="218">
        <f t="shared" si="11"/>
        <v>0</v>
      </c>
    </row>
    <row r="382" spans="1:17" x14ac:dyDescent="0.35">
      <c r="A382" s="212" t="str">
        <f>COMPOSICIÓN!A382</f>
        <v>DUR-066</v>
      </c>
      <c r="B382" s="212" t="str">
        <f>COMPOSICIÓN!B382</f>
        <v>MAT</v>
      </c>
      <c r="C382" s="212" t="str">
        <f>COMPOSICIÓN!C382</f>
        <v>OTR</v>
      </c>
      <c r="D382" s="212" t="str">
        <f>COMPOSICIÓN!D382</f>
        <v>OTR-008</v>
      </c>
      <c r="E382" s="212" t="str">
        <f>COMPOSICIÓN!E382</f>
        <v>Tornillo T2 - Aguja</v>
      </c>
      <c r="F382" s="212" t="str">
        <f>COMPOSICIÓN!F382</f>
        <v>u</v>
      </c>
      <c r="G382" s="213">
        <f>COMPOSICIÓN!G382</f>
        <v>15</v>
      </c>
      <c r="H382" s="214">
        <f>COMPOSICIÓN!H382</f>
        <v>0.1</v>
      </c>
      <c r="I382" s="215">
        <f>COMPOSICIÓN!I382</f>
        <v>17.1963177226814</v>
      </c>
      <c r="J382" s="212" t="str">
        <f>IFERROR(VLOOKUP(A382,PARTIDAS!$A$2:$C$269,3,FALSE()),"")</f>
        <v>REVOQUES FINOS Y CIELORRASOS</v>
      </c>
      <c r="K382" s="212" t="str">
        <f>IFERROR(INDEX(PPTO_GENERADOR!$B$4:$B$220,MATCH(A382,PPTO_GENERADOR!$Q$4:$Q$220,0)),"")</f>
        <v/>
      </c>
      <c r="L382" s="216">
        <f>IF(PLAN_ETAPA!$C$4="(TODOS)",SUMIFS(PPTO_GENERADOR!$E$4:$E$220,PPTO_GENERADOR!$Q$4:$Q$220,A382),SUMIFS(PPTO_GENERADOR!$E$4:$E$220,PPTO_GENERADOR!$Q$4:$Q$220,A382,PPTO_GENERADOR!$B$4:$B$220,PLAN_ETAPA!$C$4))</f>
        <v>0</v>
      </c>
      <c r="M382" s="216">
        <f>IFERROR(VLOOKUP(A382,PARTIDAS!$A$2:$F$269,6,FALSE()),1)</f>
        <v>11</v>
      </c>
      <c r="N382" s="216">
        <f>IFERROR(VLOOKUP(A382,PARTIDAS!$A$2:$I$269,9,FALSE()),1)</f>
        <v>1</v>
      </c>
      <c r="O382" s="217">
        <f t="shared" si="10"/>
        <v>0</v>
      </c>
      <c r="P382" s="216">
        <f>IF(O382=0,0,IF(B382="MAT",G382*(1+H382)*L382*PLAN_ETAPA!$C$5,IF(B382="MO",IF(M382=0,0,G382*L382*PLAN_ETAPA!$C$5*N382/M382),IF(B382="EQ",IF(M382=0,0,G382*L382*PLAN_ETAPA!$C$5/M382),0))))</f>
        <v>0</v>
      </c>
      <c r="Q382" s="218">
        <f t="shared" si="11"/>
        <v>0</v>
      </c>
    </row>
    <row r="383" spans="1:17" x14ac:dyDescent="0.35">
      <c r="A383" s="212" t="str">
        <f>COMPOSICIÓN!A383</f>
        <v>DUR-066</v>
      </c>
      <c r="B383" s="212" t="str">
        <f>COMPOSICIÓN!B383</f>
        <v>MAT</v>
      </c>
      <c r="C383" s="212" t="str">
        <f>COMPOSICIÓN!C383</f>
        <v>OTR</v>
      </c>
      <c r="D383" s="212" t="str">
        <f>COMPOSICIÓN!D383</f>
        <v>OTR-010</v>
      </c>
      <c r="E383" s="212" t="str">
        <f>COMPOSICIÓN!E383</f>
        <v>Fijacion completa del 8</v>
      </c>
      <c r="F383" s="212" t="str">
        <f>COMPOSICIÓN!F383</f>
        <v>u</v>
      </c>
      <c r="G383" s="213">
        <f>COMPOSICIÓN!G383</f>
        <v>3.5</v>
      </c>
      <c r="H383" s="214">
        <f>COMPOSICIÓN!H383</f>
        <v>0.1</v>
      </c>
      <c r="I383" s="215">
        <f>COMPOSICIÓN!I383</f>
        <v>65.919008264462803</v>
      </c>
      <c r="J383" s="212" t="str">
        <f>IFERROR(VLOOKUP(A383,PARTIDAS!$A$2:$C$269,3,FALSE()),"")</f>
        <v>REVOQUES FINOS Y CIELORRASOS</v>
      </c>
      <c r="K383" s="212" t="str">
        <f>IFERROR(INDEX(PPTO_GENERADOR!$B$4:$B$220,MATCH(A383,PPTO_GENERADOR!$Q$4:$Q$220,0)),"")</f>
        <v/>
      </c>
      <c r="L383" s="216">
        <f>IF(PLAN_ETAPA!$C$4="(TODOS)",SUMIFS(PPTO_GENERADOR!$E$4:$E$220,PPTO_GENERADOR!$Q$4:$Q$220,A383),SUMIFS(PPTO_GENERADOR!$E$4:$E$220,PPTO_GENERADOR!$Q$4:$Q$220,A383,PPTO_GENERADOR!$B$4:$B$220,PLAN_ETAPA!$C$4))</f>
        <v>0</v>
      </c>
      <c r="M383" s="216">
        <f>IFERROR(VLOOKUP(A383,PARTIDAS!$A$2:$F$269,6,FALSE()),1)</f>
        <v>11</v>
      </c>
      <c r="N383" s="216">
        <f>IFERROR(VLOOKUP(A383,PARTIDAS!$A$2:$I$269,9,FALSE()),1)</f>
        <v>1</v>
      </c>
      <c r="O383" s="217">
        <f t="shared" si="10"/>
        <v>0</v>
      </c>
      <c r="P383" s="216">
        <f>IF(O383=0,0,IF(B383="MAT",G383*(1+H383)*L383*PLAN_ETAPA!$C$5,IF(B383="MO",IF(M383=0,0,G383*L383*PLAN_ETAPA!$C$5*N383/M383),IF(B383="EQ",IF(M383=0,0,G383*L383*PLAN_ETAPA!$C$5/M383),0))))</f>
        <v>0</v>
      </c>
      <c r="Q383" s="218">
        <f t="shared" si="11"/>
        <v>0</v>
      </c>
    </row>
    <row r="384" spans="1:17" x14ac:dyDescent="0.35">
      <c r="A384" s="212" t="str">
        <f>COMPOSICIÓN!A384</f>
        <v>DUR-066</v>
      </c>
      <c r="B384" s="212" t="str">
        <f>COMPOSICIÓN!B384</f>
        <v>MAT</v>
      </c>
      <c r="C384" s="212" t="str">
        <f>COMPOSICIÓN!C384</f>
        <v>OTR</v>
      </c>
      <c r="D384" s="212" t="str">
        <f>COMPOSICIÓN!D384</f>
        <v>OTR-011</v>
      </c>
      <c r="E384" s="212" t="str">
        <f>COMPOSICIÓN!E384</f>
        <v>Cinta Entramada - 90m</v>
      </c>
      <c r="F384" s="212" t="str">
        <f>COMPOSICIÓN!F384</f>
        <v>u</v>
      </c>
      <c r="G384" s="213">
        <f>COMPOSICIÓN!G384</f>
        <v>0.02</v>
      </c>
      <c r="H384" s="214">
        <f>COMPOSICIÓN!H384</f>
        <v>0.1</v>
      </c>
      <c r="I384" s="215">
        <f>COMPOSICIÓN!I384</f>
        <v>4042.71</v>
      </c>
      <c r="J384" s="212" t="str">
        <f>IFERROR(VLOOKUP(A384,PARTIDAS!$A$2:$C$269,3,FALSE()),"")</f>
        <v>REVOQUES FINOS Y CIELORRASOS</v>
      </c>
      <c r="K384" s="212" t="str">
        <f>IFERROR(INDEX(PPTO_GENERADOR!$B$4:$B$220,MATCH(A384,PPTO_GENERADOR!$Q$4:$Q$220,0)),"")</f>
        <v/>
      </c>
      <c r="L384" s="216">
        <f>IF(PLAN_ETAPA!$C$4="(TODOS)",SUMIFS(PPTO_GENERADOR!$E$4:$E$220,PPTO_GENERADOR!$Q$4:$Q$220,A384),SUMIFS(PPTO_GENERADOR!$E$4:$E$220,PPTO_GENERADOR!$Q$4:$Q$220,A384,PPTO_GENERADOR!$B$4:$B$220,PLAN_ETAPA!$C$4))</f>
        <v>0</v>
      </c>
      <c r="M384" s="216">
        <f>IFERROR(VLOOKUP(A384,PARTIDAS!$A$2:$F$269,6,FALSE()),1)</f>
        <v>11</v>
      </c>
      <c r="N384" s="216">
        <f>IFERROR(VLOOKUP(A384,PARTIDAS!$A$2:$I$269,9,FALSE()),1)</f>
        <v>1</v>
      </c>
      <c r="O384" s="217">
        <f t="shared" si="10"/>
        <v>0</v>
      </c>
      <c r="P384" s="216">
        <f>IF(O384=0,0,IF(B384="MAT",G384*(1+H384)*L384*PLAN_ETAPA!$C$5,IF(B384="MO",IF(M384=0,0,G384*L384*PLAN_ETAPA!$C$5*N384/M384),IF(B384="EQ",IF(M384=0,0,G384*L384*PLAN_ETAPA!$C$5/M384),0))))</f>
        <v>0</v>
      </c>
      <c r="Q384" s="218">
        <f t="shared" si="11"/>
        <v>0</v>
      </c>
    </row>
    <row r="385" spans="1:17" x14ac:dyDescent="0.35">
      <c r="A385" s="212" t="str">
        <f>COMPOSICIÓN!A385</f>
        <v>DUR-066</v>
      </c>
      <c r="B385" s="212" t="str">
        <f>COMPOSICIÓN!B385</f>
        <v>MAT</v>
      </c>
      <c r="C385" s="212" t="str">
        <f>COMPOSICIÓN!C385</f>
        <v>OTR</v>
      </c>
      <c r="D385" s="212" t="str">
        <f>COMPOSICIÓN!D385</f>
        <v>REV-006</v>
      </c>
      <c r="E385" s="212" t="str">
        <f>COMPOSICIÓN!E385</f>
        <v>Placa Roca de Yeso 1220 x 2440 - 12.5mm - STD</v>
      </c>
      <c r="F385" s="212" t="str">
        <f>COMPOSICIÓN!F385</f>
        <v>u</v>
      </c>
      <c r="G385" s="213">
        <f>COMPOSICIÓN!G385</f>
        <v>0.36</v>
      </c>
      <c r="H385" s="214">
        <f>COMPOSICIÓN!H385</f>
        <v>0.1</v>
      </c>
      <c r="I385" s="215">
        <f>COMPOSICIÓN!I385</f>
        <v>10022.959999999999</v>
      </c>
      <c r="J385" s="212" t="str">
        <f>IFERROR(VLOOKUP(A385,PARTIDAS!$A$2:$C$269,3,FALSE()),"")</f>
        <v>REVOQUES FINOS Y CIELORRASOS</v>
      </c>
      <c r="K385" s="212" t="str">
        <f>IFERROR(INDEX(PPTO_GENERADOR!$B$4:$B$220,MATCH(A385,PPTO_GENERADOR!$Q$4:$Q$220,0)),"")</f>
        <v/>
      </c>
      <c r="L385" s="216">
        <f>IF(PLAN_ETAPA!$C$4="(TODOS)",SUMIFS(PPTO_GENERADOR!$E$4:$E$220,PPTO_GENERADOR!$Q$4:$Q$220,A385),SUMIFS(PPTO_GENERADOR!$E$4:$E$220,PPTO_GENERADOR!$Q$4:$Q$220,A385,PPTO_GENERADOR!$B$4:$B$220,PLAN_ETAPA!$C$4))</f>
        <v>0</v>
      </c>
      <c r="M385" s="216">
        <f>IFERROR(VLOOKUP(A385,PARTIDAS!$A$2:$F$269,6,FALSE()),1)</f>
        <v>11</v>
      </c>
      <c r="N385" s="216">
        <f>IFERROR(VLOOKUP(A385,PARTIDAS!$A$2:$I$269,9,FALSE()),1)</f>
        <v>1</v>
      </c>
      <c r="O385" s="217">
        <f t="shared" si="10"/>
        <v>0</v>
      </c>
      <c r="P385" s="216">
        <f>IF(O385=0,0,IF(B385="MAT",G385*(1+H385)*L385*PLAN_ETAPA!$C$5,IF(B385="MO",IF(M385=0,0,G385*L385*PLAN_ETAPA!$C$5*N385/M385),IF(B385="EQ",IF(M385=0,0,G385*L385*PLAN_ETAPA!$C$5/M385),0))))</f>
        <v>0</v>
      </c>
      <c r="Q385" s="218">
        <f t="shared" si="11"/>
        <v>0</v>
      </c>
    </row>
    <row r="386" spans="1:17" x14ac:dyDescent="0.35">
      <c r="A386" s="212" t="str">
        <f>COMPOSICIÓN!A386</f>
        <v>DUR-066</v>
      </c>
      <c r="B386" s="212" t="str">
        <f>COMPOSICIÓN!B386</f>
        <v>MO</v>
      </c>
      <c r="C386" s="212" t="str">
        <f>COMPOSICIÓN!C386</f>
        <v>ALB</v>
      </c>
      <c r="D386" s="212" t="str">
        <f>COMPOSICIÓN!D386</f>
        <v>MO-EMEDI</v>
      </c>
      <c r="E386" s="212" t="str">
        <f>COMPOSICIÓN!E386</f>
        <v>MEDIO OFICIAL</v>
      </c>
      <c r="F386" s="212" t="str">
        <f>COMPOSICIÓN!F386</f>
        <v>j</v>
      </c>
      <c r="G386" s="213">
        <f>COMPOSICIÓN!G386</f>
        <v>1</v>
      </c>
      <c r="H386" s="214">
        <f>COMPOSICIÓN!H386</f>
        <v>0</v>
      </c>
      <c r="I386" s="215">
        <f>COMPOSICIÓN!I386</f>
        <v>65493.071636572</v>
      </c>
      <c r="J386" s="212" t="str">
        <f>IFERROR(VLOOKUP(A386,PARTIDAS!$A$2:$C$269,3,FALSE()),"")</f>
        <v>REVOQUES FINOS Y CIELORRASOS</v>
      </c>
      <c r="K386" s="212" t="str">
        <f>IFERROR(INDEX(PPTO_GENERADOR!$B$4:$B$220,MATCH(A386,PPTO_GENERADOR!$Q$4:$Q$220,0)),"")</f>
        <v/>
      </c>
      <c r="L386" s="216">
        <f>IF(PLAN_ETAPA!$C$4="(TODOS)",SUMIFS(PPTO_GENERADOR!$E$4:$E$220,PPTO_GENERADOR!$Q$4:$Q$220,A386),SUMIFS(PPTO_GENERADOR!$E$4:$E$220,PPTO_GENERADOR!$Q$4:$Q$220,A386,PPTO_GENERADOR!$B$4:$B$220,PLAN_ETAPA!$C$4))</f>
        <v>0</v>
      </c>
      <c r="M386" s="216">
        <f>IFERROR(VLOOKUP(A386,PARTIDAS!$A$2:$F$269,6,FALSE()),1)</f>
        <v>11</v>
      </c>
      <c r="N386" s="216">
        <f>IFERROR(VLOOKUP(A386,PARTIDAS!$A$2:$I$269,9,FALSE()),1)</f>
        <v>1</v>
      </c>
      <c r="O386" s="217">
        <f t="shared" ref="O386:O449" si="12">IF(L386&gt;0,1,0)</f>
        <v>0</v>
      </c>
      <c r="P386" s="216">
        <f>IF(O386=0,0,IF(B386="MAT",G386*(1+H386)*L386*PLAN_ETAPA!$C$5,IF(B386="MO",IF(M386=0,0,G386*L386*PLAN_ETAPA!$C$5*N386/M386),IF(B386="EQ",IF(M386=0,0,G386*L386*PLAN_ETAPA!$C$5/M386),0))))</f>
        <v>0</v>
      </c>
      <c r="Q386" s="218">
        <f t="shared" ref="Q386:Q449" si="13">P386*I386</f>
        <v>0</v>
      </c>
    </row>
    <row r="387" spans="1:17" x14ac:dyDescent="0.35">
      <c r="A387" s="212" t="str">
        <f>COMPOSICIÓN!A387</f>
        <v>DUR-066</v>
      </c>
      <c r="B387" s="212" t="str">
        <f>COMPOSICIÓN!B387</f>
        <v>MO</v>
      </c>
      <c r="C387" s="212" t="str">
        <f>COMPOSICIÓN!C387</f>
        <v>ALB</v>
      </c>
      <c r="D387" s="212" t="str">
        <f>COMPOSICIÓN!D387</f>
        <v>MO-EESPE</v>
      </c>
      <c r="E387" s="212" t="str">
        <f>COMPOSICIÓN!E387</f>
        <v>ESPECIALIZADO</v>
      </c>
      <c r="F387" s="212" t="str">
        <f>COMPOSICIÓN!F387</f>
        <v>j</v>
      </c>
      <c r="G387" s="213">
        <f>COMPOSICIÓN!G387</f>
        <v>1</v>
      </c>
      <c r="H387" s="214">
        <f>COMPOSICIÓN!H387</f>
        <v>0</v>
      </c>
      <c r="I387" s="215">
        <f>COMPOSICIÓN!I387</f>
        <v>85927.097156571996</v>
      </c>
      <c r="J387" s="212" t="str">
        <f>IFERROR(VLOOKUP(A387,PARTIDAS!$A$2:$C$269,3,FALSE()),"")</f>
        <v>REVOQUES FINOS Y CIELORRASOS</v>
      </c>
      <c r="K387" s="212" t="str">
        <f>IFERROR(INDEX(PPTO_GENERADOR!$B$4:$B$220,MATCH(A387,PPTO_GENERADOR!$Q$4:$Q$220,0)),"")</f>
        <v/>
      </c>
      <c r="L387" s="216">
        <f>IF(PLAN_ETAPA!$C$4="(TODOS)",SUMIFS(PPTO_GENERADOR!$E$4:$E$220,PPTO_GENERADOR!$Q$4:$Q$220,A387),SUMIFS(PPTO_GENERADOR!$E$4:$E$220,PPTO_GENERADOR!$Q$4:$Q$220,A387,PPTO_GENERADOR!$B$4:$B$220,PLAN_ETAPA!$C$4))</f>
        <v>0</v>
      </c>
      <c r="M387" s="216">
        <f>IFERROR(VLOOKUP(A387,PARTIDAS!$A$2:$F$269,6,FALSE()),1)</f>
        <v>11</v>
      </c>
      <c r="N387" s="216">
        <f>IFERROR(VLOOKUP(A387,PARTIDAS!$A$2:$I$269,9,FALSE()),1)</f>
        <v>1</v>
      </c>
      <c r="O387" s="217">
        <f t="shared" si="12"/>
        <v>0</v>
      </c>
      <c r="P387" s="216">
        <f>IF(O387=0,0,IF(B387="MAT",G387*(1+H387)*L387*PLAN_ETAPA!$C$5,IF(B387="MO",IF(M387=0,0,G387*L387*PLAN_ETAPA!$C$5*N387/M387),IF(B387="EQ",IF(M387=0,0,G387*L387*PLAN_ETAPA!$C$5/M387),0))))</f>
        <v>0</v>
      </c>
      <c r="Q387" s="218">
        <f t="shared" si="13"/>
        <v>0</v>
      </c>
    </row>
    <row r="388" spans="1:17" x14ac:dyDescent="0.35">
      <c r="A388" s="212" t="str">
        <f>COMPOSICIÓN!A388</f>
        <v>DUR-091</v>
      </c>
      <c r="B388" s="212" t="str">
        <f>COMPOSICIÓN!B388</f>
        <v>MAT</v>
      </c>
      <c r="C388" s="212" t="str">
        <f>COMPOSICIÓN!C388</f>
        <v>OTR</v>
      </c>
      <c r="D388" s="212" t="str">
        <f>COMPOSICIÓN!D388</f>
        <v>ACE-010</v>
      </c>
      <c r="E388" s="212" t="str">
        <f>COMPOSICIÓN!E388</f>
        <v>Alambre de Fardo</v>
      </c>
      <c r="F388" s="212" t="str">
        <f>COMPOSICIÓN!F388</f>
        <v>kg</v>
      </c>
      <c r="G388" s="213">
        <f>COMPOSICIÓN!G388</f>
        <v>1.2500000000000001E-2</v>
      </c>
      <c r="H388" s="214">
        <f>COMPOSICIÓN!H388</f>
        <v>0.15</v>
      </c>
      <c r="I388" s="215">
        <f>COMPOSICIÓN!I388</f>
        <v>2302.02</v>
      </c>
      <c r="J388" s="212" t="str">
        <f>IFERROR(VLOOKUP(A388,PARTIDAS!$A$2:$C$269,3,FALSE()),"")</f>
        <v>REVOQUES FINOS Y CIELORRASOS</v>
      </c>
      <c r="K388" s="212" t="str">
        <f>IFERROR(INDEX(PPTO_GENERADOR!$B$4:$B$220,MATCH(A388,PPTO_GENERADOR!$Q$4:$Q$220,0)),"")</f>
        <v/>
      </c>
      <c r="L388" s="216">
        <f>IF(PLAN_ETAPA!$C$4="(TODOS)",SUMIFS(PPTO_GENERADOR!$E$4:$E$220,PPTO_GENERADOR!$Q$4:$Q$220,A388),SUMIFS(PPTO_GENERADOR!$E$4:$E$220,PPTO_GENERADOR!$Q$4:$Q$220,A388,PPTO_GENERADOR!$B$4:$B$220,PLAN_ETAPA!$C$4))</f>
        <v>0</v>
      </c>
      <c r="M388" s="216">
        <f>IFERROR(VLOOKUP(A388,PARTIDAS!$A$2:$F$269,6,FALSE()),1)</f>
        <v>26</v>
      </c>
      <c r="N388" s="216">
        <f>IFERROR(VLOOKUP(A388,PARTIDAS!$A$2:$I$269,9,FALSE()),1)</f>
        <v>1</v>
      </c>
      <c r="O388" s="217">
        <f t="shared" si="12"/>
        <v>0</v>
      </c>
      <c r="P388" s="216">
        <f>IF(O388=0,0,IF(B388="MAT",G388*(1+H388)*L388*PLAN_ETAPA!$C$5,IF(B388="MO",IF(M388=0,0,G388*L388*PLAN_ETAPA!$C$5*N388/M388),IF(B388="EQ",IF(M388=0,0,G388*L388*PLAN_ETAPA!$C$5/M388),0))))</f>
        <v>0</v>
      </c>
      <c r="Q388" s="218">
        <f t="shared" si="13"/>
        <v>0</v>
      </c>
    </row>
    <row r="389" spans="1:17" x14ac:dyDescent="0.35">
      <c r="A389" s="212" t="str">
        <f>COMPOSICIÓN!A389</f>
        <v>DUR-091</v>
      </c>
      <c r="B389" s="212" t="str">
        <f>COMPOSICIÓN!B389</f>
        <v>MAT</v>
      </c>
      <c r="C389" s="212" t="str">
        <f>COMPOSICIÓN!C389</f>
        <v>OTR</v>
      </c>
      <c r="D389" s="212" t="str">
        <f>COMPOSICIÓN!D389</f>
        <v>ACE-015</v>
      </c>
      <c r="E389" s="212" t="str">
        <f>COMPOSICIÓN!E389</f>
        <v>CLAVOS DE 21/2" X 12</v>
      </c>
      <c r="F389" s="212" t="str">
        <f>COMPOSICIÓN!F389</f>
        <v>KG</v>
      </c>
      <c r="G389" s="213">
        <f>COMPOSICIÓN!G389</f>
        <v>0.125</v>
      </c>
      <c r="H389" s="214">
        <f>COMPOSICIÓN!H389</f>
        <v>0.05</v>
      </c>
      <c r="I389" s="215">
        <f>COMPOSICIÓN!I389</f>
        <v>2130.1681250000001</v>
      </c>
      <c r="J389" s="212" t="str">
        <f>IFERROR(VLOOKUP(A389,PARTIDAS!$A$2:$C$269,3,FALSE()),"")</f>
        <v>REVOQUES FINOS Y CIELORRASOS</v>
      </c>
      <c r="K389" s="212" t="str">
        <f>IFERROR(INDEX(PPTO_GENERADOR!$B$4:$B$220,MATCH(A389,PPTO_GENERADOR!$Q$4:$Q$220,0)),"")</f>
        <v/>
      </c>
      <c r="L389" s="216">
        <f>IF(PLAN_ETAPA!$C$4="(TODOS)",SUMIFS(PPTO_GENERADOR!$E$4:$E$220,PPTO_GENERADOR!$Q$4:$Q$220,A389),SUMIFS(PPTO_GENERADOR!$E$4:$E$220,PPTO_GENERADOR!$Q$4:$Q$220,A389,PPTO_GENERADOR!$B$4:$B$220,PLAN_ETAPA!$C$4))</f>
        <v>0</v>
      </c>
      <c r="M389" s="216">
        <f>IFERROR(VLOOKUP(A389,PARTIDAS!$A$2:$F$269,6,FALSE()),1)</f>
        <v>26</v>
      </c>
      <c r="N389" s="216">
        <f>IFERROR(VLOOKUP(A389,PARTIDAS!$A$2:$I$269,9,FALSE()),1)</f>
        <v>1</v>
      </c>
      <c r="O389" s="217">
        <f t="shared" si="12"/>
        <v>0</v>
      </c>
      <c r="P389" s="216">
        <f>IF(O389=0,0,IF(B389="MAT",G389*(1+H389)*L389*PLAN_ETAPA!$C$5,IF(B389="MO",IF(M389=0,0,G389*L389*PLAN_ETAPA!$C$5*N389/M389),IF(B389="EQ",IF(M389=0,0,G389*L389*PLAN_ETAPA!$C$5/M389),0))))</f>
        <v>0</v>
      </c>
      <c r="Q389" s="218">
        <f t="shared" si="13"/>
        <v>0</v>
      </c>
    </row>
    <row r="390" spans="1:17" x14ac:dyDescent="0.35">
      <c r="A390" s="212" t="str">
        <f>COMPOSICIÓN!A390</f>
        <v>DUR-091</v>
      </c>
      <c r="B390" s="212" t="str">
        <f>COMPOSICIÓN!B390</f>
        <v>MAT</v>
      </c>
      <c r="C390" s="212" t="str">
        <f>COMPOSICIÓN!C390</f>
        <v>OTR</v>
      </c>
      <c r="D390" s="212" t="str">
        <f>COMPOSICIÓN!D390</f>
        <v>MAD-004</v>
      </c>
      <c r="E390" s="212" t="str">
        <f>COMPOSICIÓN!E390</f>
        <v>Estacas</v>
      </c>
      <c r="F390" s="212" t="str">
        <f>COMPOSICIÓN!F390</f>
        <v>u</v>
      </c>
      <c r="G390" s="213">
        <f>COMPOSICIÓN!G390</f>
        <v>1.25E-3</v>
      </c>
      <c r="H390" s="214">
        <f>COMPOSICIÓN!H390</f>
        <v>0</v>
      </c>
      <c r="I390" s="215">
        <f>COMPOSICIÓN!I390</f>
        <v>1180.82</v>
      </c>
      <c r="J390" s="212" t="str">
        <f>IFERROR(VLOOKUP(A390,PARTIDAS!$A$2:$C$269,3,FALSE()),"")</f>
        <v>REVOQUES FINOS Y CIELORRASOS</v>
      </c>
      <c r="K390" s="212" t="str">
        <f>IFERROR(INDEX(PPTO_GENERADOR!$B$4:$B$220,MATCH(A390,PPTO_GENERADOR!$Q$4:$Q$220,0)),"")</f>
        <v/>
      </c>
      <c r="L390" s="216">
        <f>IF(PLAN_ETAPA!$C$4="(TODOS)",SUMIFS(PPTO_GENERADOR!$E$4:$E$220,PPTO_GENERADOR!$Q$4:$Q$220,A390),SUMIFS(PPTO_GENERADOR!$E$4:$E$220,PPTO_GENERADOR!$Q$4:$Q$220,A390,PPTO_GENERADOR!$B$4:$B$220,PLAN_ETAPA!$C$4))</f>
        <v>0</v>
      </c>
      <c r="M390" s="216">
        <f>IFERROR(VLOOKUP(A390,PARTIDAS!$A$2:$F$269,6,FALSE()),1)</f>
        <v>26</v>
      </c>
      <c r="N390" s="216">
        <f>IFERROR(VLOOKUP(A390,PARTIDAS!$A$2:$I$269,9,FALSE()),1)</f>
        <v>1</v>
      </c>
      <c r="O390" s="217">
        <f t="shared" si="12"/>
        <v>0</v>
      </c>
      <c r="P390" s="216">
        <f>IF(O390=0,0,IF(B390="MAT",G390*(1+H390)*L390*PLAN_ETAPA!$C$5,IF(B390="MO",IF(M390=0,0,G390*L390*PLAN_ETAPA!$C$5*N390/M390),IF(B390="EQ",IF(M390=0,0,G390*L390*PLAN_ETAPA!$C$5/M390),0))))</f>
        <v>0</v>
      </c>
      <c r="Q390" s="218">
        <f t="shared" si="13"/>
        <v>0</v>
      </c>
    </row>
    <row r="391" spans="1:17" x14ac:dyDescent="0.35">
      <c r="A391" s="212" t="str">
        <f>COMPOSICIÓN!A391</f>
        <v>DUR-091</v>
      </c>
      <c r="B391" s="212" t="str">
        <f>COMPOSICIÓN!B391</f>
        <v>MAT</v>
      </c>
      <c r="C391" s="212" t="str">
        <f>COMPOSICIÓN!C391</f>
        <v>OTR</v>
      </c>
      <c r="D391" s="212" t="str">
        <f>COMPOSICIÓN!D391</f>
        <v>OTR-031</v>
      </c>
      <c r="E391" s="212" t="str">
        <f>COMPOSICIÓN!E391</f>
        <v>FENOLICO 18MM. COMUN 1.22 x 2.40</v>
      </c>
      <c r="F391" s="212" t="str">
        <f>COMPOSICIÓN!F391</f>
        <v>UD</v>
      </c>
      <c r="G391" s="213">
        <f>COMPOSICIÓN!G391</f>
        <v>0.5</v>
      </c>
      <c r="H391" s="214">
        <f>COMPOSICIÓN!H391</f>
        <v>0.05</v>
      </c>
      <c r="I391" s="215">
        <f>COMPOSICIÓN!I391</f>
        <v>26322.68</v>
      </c>
      <c r="J391" s="212" t="str">
        <f>IFERROR(VLOOKUP(A391,PARTIDAS!$A$2:$C$269,3,FALSE()),"")</f>
        <v>REVOQUES FINOS Y CIELORRASOS</v>
      </c>
      <c r="K391" s="212" t="str">
        <f>IFERROR(INDEX(PPTO_GENERADOR!$B$4:$B$220,MATCH(A391,PPTO_GENERADOR!$Q$4:$Q$220,0)),"")</f>
        <v/>
      </c>
      <c r="L391" s="216">
        <f>IF(PLAN_ETAPA!$C$4="(TODOS)",SUMIFS(PPTO_GENERADOR!$E$4:$E$220,PPTO_GENERADOR!$Q$4:$Q$220,A391),SUMIFS(PPTO_GENERADOR!$E$4:$E$220,PPTO_GENERADOR!$Q$4:$Q$220,A391,PPTO_GENERADOR!$B$4:$B$220,PLAN_ETAPA!$C$4))</f>
        <v>0</v>
      </c>
      <c r="M391" s="216">
        <f>IFERROR(VLOOKUP(A391,PARTIDAS!$A$2:$F$269,6,FALSE()),1)</f>
        <v>26</v>
      </c>
      <c r="N391" s="216">
        <f>IFERROR(VLOOKUP(A391,PARTIDAS!$A$2:$I$269,9,FALSE()),1)</f>
        <v>1</v>
      </c>
      <c r="O391" s="217">
        <f t="shared" si="12"/>
        <v>0</v>
      </c>
      <c r="P391" s="216">
        <f>IF(O391=0,0,IF(B391="MAT",G391*(1+H391)*L391*PLAN_ETAPA!$C$5,IF(B391="MO",IF(M391=0,0,G391*L391*PLAN_ETAPA!$C$5*N391/M391),IF(B391="EQ",IF(M391=0,0,G391*L391*PLAN_ETAPA!$C$5/M391),0))))</f>
        <v>0</v>
      </c>
      <c r="Q391" s="218">
        <f t="shared" si="13"/>
        <v>0</v>
      </c>
    </row>
    <row r="392" spans="1:17" x14ac:dyDescent="0.35">
      <c r="A392" s="212" t="str">
        <f>COMPOSICIÓN!A392</f>
        <v>DUR-091</v>
      </c>
      <c r="B392" s="212" t="str">
        <f>COMPOSICIÓN!B392</f>
        <v>MAT</v>
      </c>
      <c r="C392" s="212" t="str">
        <f>COMPOSICIÓN!C392</f>
        <v>OTR</v>
      </c>
      <c r="D392" s="212" t="str">
        <f>COMPOSICIÓN!D392</f>
        <v>OTR-033</v>
      </c>
      <c r="E392" s="212" t="str">
        <f>COMPOSICIÓN!E392</f>
        <v>tirante 3x3 para puntal 3.66</v>
      </c>
      <c r="F392" s="212" t="str">
        <f>COMPOSICIÓN!F392</f>
        <v>ml</v>
      </c>
      <c r="G392" s="213">
        <f>COMPOSICIÓN!G392</f>
        <v>0.01</v>
      </c>
      <c r="H392" s="214">
        <f>COMPOSICIÓN!H392</f>
        <v>0.02</v>
      </c>
      <c r="I392" s="215">
        <f>COMPOSICIÓN!I392</f>
        <v>1213.73</v>
      </c>
      <c r="J392" s="212" t="str">
        <f>IFERROR(VLOOKUP(A392,PARTIDAS!$A$2:$C$269,3,FALSE()),"")</f>
        <v>REVOQUES FINOS Y CIELORRASOS</v>
      </c>
      <c r="K392" s="212" t="str">
        <f>IFERROR(INDEX(PPTO_GENERADOR!$B$4:$B$220,MATCH(A392,PPTO_GENERADOR!$Q$4:$Q$220,0)),"")</f>
        <v/>
      </c>
      <c r="L392" s="216">
        <f>IF(PLAN_ETAPA!$C$4="(TODOS)",SUMIFS(PPTO_GENERADOR!$E$4:$E$220,PPTO_GENERADOR!$Q$4:$Q$220,A392),SUMIFS(PPTO_GENERADOR!$E$4:$E$220,PPTO_GENERADOR!$Q$4:$Q$220,A392,PPTO_GENERADOR!$B$4:$B$220,PLAN_ETAPA!$C$4))</f>
        <v>0</v>
      </c>
      <c r="M392" s="216">
        <f>IFERROR(VLOOKUP(A392,PARTIDAS!$A$2:$F$269,6,FALSE()),1)</f>
        <v>26</v>
      </c>
      <c r="N392" s="216">
        <f>IFERROR(VLOOKUP(A392,PARTIDAS!$A$2:$I$269,9,FALSE()),1)</f>
        <v>1</v>
      </c>
      <c r="O392" s="217">
        <f t="shared" si="12"/>
        <v>0</v>
      </c>
      <c r="P392" s="216">
        <f>IF(O392=0,0,IF(B392="MAT",G392*(1+H392)*L392*PLAN_ETAPA!$C$5,IF(B392="MO",IF(M392=0,0,G392*L392*PLAN_ETAPA!$C$5*N392/M392),IF(B392="EQ",IF(M392=0,0,G392*L392*PLAN_ETAPA!$C$5/M392),0))))</f>
        <v>0</v>
      </c>
      <c r="Q392" s="218">
        <f t="shared" si="13"/>
        <v>0</v>
      </c>
    </row>
    <row r="393" spans="1:17" x14ac:dyDescent="0.35">
      <c r="A393" s="212" t="str">
        <f>COMPOSICIÓN!A393</f>
        <v>DUR-091</v>
      </c>
      <c r="B393" s="212" t="str">
        <f>COMPOSICIÓN!B393</f>
        <v>MAT</v>
      </c>
      <c r="C393" s="212" t="str">
        <f>COMPOSICIÓN!C393</f>
        <v>OTR</v>
      </c>
      <c r="D393" s="212" t="str">
        <f>COMPOSICIÓN!D393</f>
        <v>OTR-034</v>
      </c>
      <c r="E393" s="212" t="str">
        <f>COMPOSICIÓN!E393</f>
        <v>tirante 3x6 3.66</v>
      </c>
      <c r="F393" s="212" t="str">
        <f>COMPOSICIÓN!F393</f>
        <v>un</v>
      </c>
      <c r="G393" s="213">
        <f>COMPOSICIÓN!G393</f>
        <v>2.4E-2</v>
      </c>
      <c r="H393" s="214">
        <f>COMPOSICIÓN!H393</f>
        <v>0.02</v>
      </c>
      <c r="I393" s="215">
        <f>COMPOSICIÓN!I393</f>
        <v>4442.2518</v>
      </c>
      <c r="J393" s="212" t="str">
        <f>IFERROR(VLOOKUP(A393,PARTIDAS!$A$2:$C$269,3,FALSE()),"")</f>
        <v>REVOQUES FINOS Y CIELORRASOS</v>
      </c>
      <c r="K393" s="212" t="str">
        <f>IFERROR(INDEX(PPTO_GENERADOR!$B$4:$B$220,MATCH(A393,PPTO_GENERADOR!$Q$4:$Q$220,0)),"")</f>
        <v/>
      </c>
      <c r="L393" s="216">
        <f>IF(PLAN_ETAPA!$C$4="(TODOS)",SUMIFS(PPTO_GENERADOR!$E$4:$E$220,PPTO_GENERADOR!$Q$4:$Q$220,A393),SUMIFS(PPTO_GENERADOR!$E$4:$E$220,PPTO_GENERADOR!$Q$4:$Q$220,A393,PPTO_GENERADOR!$B$4:$B$220,PLAN_ETAPA!$C$4))</f>
        <v>0</v>
      </c>
      <c r="M393" s="216">
        <f>IFERROR(VLOOKUP(A393,PARTIDAS!$A$2:$F$269,6,FALSE()),1)</f>
        <v>26</v>
      </c>
      <c r="N393" s="216">
        <f>IFERROR(VLOOKUP(A393,PARTIDAS!$A$2:$I$269,9,FALSE()),1)</f>
        <v>1</v>
      </c>
      <c r="O393" s="217">
        <f t="shared" si="12"/>
        <v>0</v>
      </c>
      <c r="P393" s="216">
        <f>IF(O393=0,0,IF(B393="MAT",G393*(1+H393)*L393*PLAN_ETAPA!$C$5,IF(B393="MO",IF(M393=0,0,G393*L393*PLAN_ETAPA!$C$5*N393/M393),IF(B393="EQ",IF(M393=0,0,G393*L393*PLAN_ETAPA!$C$5/M393),0))))</f>
        <v>0</v>
      </c>
      <c r="Q393" s="218">
        <f t="shared" si="13"/>
        <v>0</v>
      </c>
    </row>
    <row r="394" spans="1:17" x14ac:dyDescent="0.35">
      <c r="A394" s="212" t="str">
        <f>COMPOSICIÓN!A394</f>
        <v>DUR-091</v>
      </c>
      <c r="B394" s="212" t="str">
        <f>COMPOSICIÓN!B394</f>
        <v>MO</v>
      </c>
      <c r="C394" s="212" t="str">
        <f>COMPOSICIÓN!C394</f>
        <v>ALB</v>
      </c>
      <c r="D394" s="212" t="str">
        <f>COMPOSICIÓN!D394</f>
        <v>MO-EAYUD</v>
      </c>
      <c r="E394" s="212" t="str">
        <f>COMPOSICIÓN!E394</f>
        <v>AYUDANTE</v>
      </c>
      <c r="F394" s="212" t="str">
        <f>COMPOSICIÓN!F394</f>
        <v>j</v>
      </c>
      <c r="G394" s="213">
        <f>COMPOSICIÓN!G394</f>
        <v>1</v>
      </c>
      <c r="H394" s="214">
        <f>COMPOSICIÓN!H394</f>
        <v>0</v>
      </c>
      <c r="I394" s="215">
        <f>COMPOSICIÓN!I394</f>
        <v>60860.580776572002</v>
      </c>
      <c r="J394" s="212" t="str">
        <f>IFERROR(VLOOKUP(A394,PARTIDAS!$A$2:$C$269,3,FALSE()),"")</f>
        <v>REVOQUES FINOS Y CIELORRASOS</v>
      </c>
      <c r="K394" s="212" t="str">
        <f>IFERROR(INDEX(PPTO_GENERADOR!$B$4:$B$220,MATCH(A394,PPTO_GENERADOR!$Q$4:$Q$220,0)),"")</f>
        <v/>
      </c>
      <c r="L394" s="216">
        <f>IF(PLAN_ETAPA!$C$4="(TODOS)",SUMIFS(PPTO_GENERADOR!$E$4:$E$220,PPTO_GENERADOR!$Q$4:$Q$220,A394),SUMIFS(PPTO_GENERADOR!$E$4:$E$220,PPTO_GENERADOR!$Q$4:$Q$220,A394,PPTO_GENERADOR!$B$4:$B$220,PLAN_ETAPA!$C$4))</f>
        <v>0</v>
      </c>
      <c r="M394" s="216">
        <f>IFERROR(VLOOKUP(A394,PARTIDAS!$A$2:$F$269,6,FALSE()),1)</f>
        <v>26</v>
      </c>
      <c r="N394" s="216">
        <f>IFERROR(VLOOKUP(A394,PARTIDAS!$A$2:$I$269,9,FALSE()),1)</f>
        <v>1</v>
      </c>
      <c r="O394" s="217">
        <f t="shared" si="12"/>
        <v>0</v>
      </c>
      <c r="P394" s="216">
        <f>IF(O394=0,0,IF(B394="MAT",G394*(1+H394)*L394*PLAN_ETAPA!$C$5,IF(B394="MO",IF(M394=0,0,G394*L394*PLAN_ETAPA!$C$5*N394/M394),IF(B394="EQ",IF(M394=0,0,G394*L394*PLAN_ETAPA!$C$5/M394),0))))</f>
        <v>0</v>
      </c>
      <c r="Q394" s="218">
        <f t="shared" si="13"/>
        <v>0</v>
      </c>
    </row>
    <row r="395" spans="1:17" x14ac:dyDescent="0.35">
      <c r="A395" s="212" t="str">
        <f>COMPOSICIÓN!A395</f>
        <v>DUR-091</v>
      </c>
      <c r="B395" s="212" t="str">
        <f>COMPOSICIÓN!B395</f>
        <v>MO</v>
      </c>
      <c r="C395" s="212" t="str">
        <f>COMPOSICIÓN!C395</f>
        <v>ALB</v>
      </c>
      <c r="D395" s="212" t="str">
        <f>COMPOSICIÓN!D395</f>
        <v>MO-EMEDI</v>
      </c>
      <c r="E395" s="212" t="str">
        <f>COMPOSICIÓN!E395</f>
        <v>MEDIO OFICIAL</v>
      </c>
      <c r="F395" s="212" t="str">
        <f>COMPOSICIÓN!F395</f>
        <v>j</v>
      </c>
      <c r="G395" s="213">
        <f>COMPOSICIÓN!G395</f>
        <v>1</v>
      </c>
      <c r="H395" s="214">
        <f>COMPOSICIÓN!H395</f>
        <v>0</v>
      </c>
      <c r="I395" s="215">
        <f>COMPOSICIÓN!I395</f>
        <v>65493.071636572</v>
      </c>
      <c r="J395" s="212" t="str">
        <f>IFERROR(VLOOKUP(A395,PARTIDAS!$A$2:$C$269,3,FALSE()),"")</f>
        <v>REVOQUES FINOS Y CIELORRASOS</v>
      </c>
      <c r="K395" s="212" t="str">
        <f>IFERROR(INDEX(PPTO_GENERADOR!$B$4:$B$220,MATCH(A395,PPTO_GENERADOR!$Q$4:$Q$220,0)),"")</f>
        <v/>
      </c>
      <c r="L395" s="216">
        <f>IF(PLAN_ETAPA!$C$4="(TODOS)",SUMIFS(PPTO_GENERADOR!$E$4:$E$220,PPTO_GENERADOR!$Q$4:$Q$220,A395),SUMIFS(PPTO_GENERADOR!$E$4:$E$220,PPTO_GENERADOR!$Q$4:$Q$220,A395,PPTO_GENERADOR!$B$4:$B$220,PLAN_ETAPA!$C$4))</f>
        <v>0</v>
      </c>
      <c r="M395" s="216">
        <f>IFERROR(VLOOKUP(A395,PARTIDAS!$A$2:$F$269,6,FALSE()),1)</f>
        <v>26</v>
      </c>
      <c r="N395" s="216">
        <f>IFERROR(VLOOKUP(A395,PARTIDAS!$A$2:$I$269,9,FALSE()),1)</f>
        <v>1</v>
      </c>
      <c r="O395" s="217">
        <f t="shared" si="12"/>
        <v>0</v>
      </c>
      <c r="P395" s="216">
        <f>IF(O395=0,0,IF(B395="MAT",G395*(1+H395)*L395*PLAN_ETAPA!$C$5,IF(B395="MO",IF(M395=0,0,G395*L395*PLAN_ETAPA!$C$5*N395/M395),IF(B395="EQ",IF(M395=0,0,G395*L395*PLAN_ETAPA!$C$5/M395),0))))</f>
        <v>0</v>
      </c>
      <c r="Q395" s="218">
        <f t="shared" si="13"/>
        <v>0</v>
      </c>
    </row>
    <row r="396" spans="1:17" x14ac:dyDescent="0.35">
      <c r="A396" s="212" t="str">
        <f>COMPOSICIÓN!A396</f>
        <v>DUR-091</v>
      </c>
      <c r="B396" s="212" t="str">
        <f>COMPOSICIÓN!B396</f>
        <v>MO</v>
      </c>
      <c r="C396" s="212" t="str">
        <f>COMPOSICIÓN!C396</f>
        <v>ALB</v>
      </c>
      <c r="D396" s="212" t="str">
        <f>COMPOSICIÓN!D396</f>
        <v>MO-EESPE</v>
      </c>
      <c r="E396" s="212" t="str">
        <f>COMPOSICIÓN!E396</f>
        <v>ESPECIALIZADO</v>
      </c>
      <c r="F396" s="212" t="str">
        <f>COMPOSICIÓN!F396</f>
        <v>j</v>
      </c>
      <c r="G396" s="213">
        <f>COMPOSICIÓN!G396</f>
        <v>1</v>
      </c>
      <c r="H396" s="214">
        <f>COMPOSICIÓN!H396</f>
        <v>0</v>
      </c>
      <c r="I396" s="215">
        <f>COMPOSICIÓN!I396</f>
        <v>85927.097156571996</v>
      </c>
      <c r="J396" s="212" t="str">
        <f>IFERROR(VLOOKUP(A396,PARTIDAS!$A$2:$C$269,3,FALSE()),"")</f>
        <v>REVOQUES FINOS Y CIELORRASOS</v>
      </c>
      <c r="K396" s="212" t="str">
        <f>IFERROR(INDEX(PPTO_GENERADOR!$B$4:$B$220,MATCH(A396,PPTO_GENERADOR!$Q$4:$Q$220,0)),"")</f>
        <v/>
      </c>
      <c r="L396" s="216">
        <f>IF(PLAN_ETAPA!$C$4="(TODOS)",SUMIFS(PPTO_GENERADOR!$E$4:$E$220,PPTO_GENERADOR!$Q$4:$Q$220,A396),SUMIFS(PPTO_GENERADOR!$E$4:$E$220,PPTO_GENERADOR!$Q$4:$Q$220,A396,PPTO_GENERADOR!$B$4:$B$220,PLAN_ETAPA!$C$4))</f>
        <v>0</v>
      </c>
      <c r="M396" s="216">
        <f>IFERROR(VLOOKUP(A396,PARTIDAS!$A$2:$F$269,6,FALSE()),1)</f>
        <v>26</v>
      </c>
      <c r="N396" s="216">
        <f>IFERROR(VLOOKUP(A396,PARTIDAS!$A$2:$I$269,9,FALSE()),1)</f>
        <v>1</v>
      </c>
      <c r="O396" s="217">
        <f t="shared" si="12"/>
        <v>0</v>
      </c>
      <c r="P396" s="216">
        <f>IF(O396=0,0,IF(B396="MAT",G396*(1+H396)*L396*PLAN_ETAPA!$C$5,IF(B396="MO",IF(M396=0,0,G396*L396*PLAN_ETAPA!$C$5*N396/M396),IF(B396="EQ",IF(M396=0,0,G396*L396*PLAN_ETAPA!$C$5/M396),0))))</f>
        <v>0</v>
      </c>
      <c r="Q396" s="218">
        <f t="shared" si="13"/>
        <v>0</v>
      </c>
    </row>
    <row r="397" spans="1:17" x14ac:dyDescent="0.35">
      <c r="A397" s="212" t="str">
        <f>COMPOSICIÓN!A397</f>
        <v>DUR-116</v>
      </c>
      <c r="B397" s="212" t="str">
        <f>COMPOSICIÓN!B397</f>
        <v>EQ</v>
      </c>
      <c r="C397" s="212">
        <f>COMPOSICIÓN!C397</f>
        <v>0</v>
      </c>
      <c r="D397" s="212" t="str">
        <f>COMPOSICIÓN!D397</f>
        <v>EQ-PTO024</v>
      </c>
      <c r="E397" s="212" t="str">
        <f>COMPOSICIÓN!E397</f>
        <v>EQUIPO DE CONSTRUCCION EN SECO</v>
      </c>
      <c r="F397" s="212">
        <f>COMPOSICIÓN!F397</f>
        <v>0</v>
      </c>
      <c r="G397" s="213">
        <f>COMPOSICIÓN!G397</f>
        <v>1</v>
      </c>
      <c r="H397" s="214">
        <f>COMPOSICIÓN!H397</f>
        <v>0</v>
      </c>
      <c r="I397" s="215">
        <f>COMPOSICIÓN!I397</f>
        <v>2365.2381485799501</v>
      </c>
      <c r="J397" s="212" t="str">
        <f>IFERROR(VLOOKUP(A397,PARTIDAS!$A$2:$C$269,3,FALSE()),"")</f>
        <v>REVOQUES FINOS Y CIELORRASOS</v>
      </c>
      <c r="K397" s="212" t="str">
        <f>IFERROR(INDEX(PPTO_GENERADOR!$B$4:$B$220,MATCH(A397,PPTO_GENERADOR!$Q$4:$Q$220,0)),"")</f>
        <v/>
      </c>
      <c r="L397" s="216">
        <f>IF(PLAN_ETAPA!$C$4="(TODOS)",SUMIFS(PPTO_GENERADOR!$E$4:$E$220,PPTO_GENERADOR!$Q$4:$Q$220,A397),SUMIFS(PPTO_GENERADOR!$E$4:$E$220,PPTO_GENERADOR!$Q$4:$Q$220,A397,PPTO_GENERADOR!$B$4:$B$220,PLAN_ETAPA!$C$4))</f>
        <v>0</v>
      </c>
      <c r="M397" s="216">
        <f>IFERROR(VLOOKUP(A397,PARTIDAS!$A$2:$F$269,6,FALSE()),1)</f>
        <v>12</v>
      </c>
      <c r="N397" s="216">
        <f>IFERROR(VLOOKUP(A397,PARTIDAS!$A$2:$I$269,9,FALSE()),1)</f>
        <v>1</v>
      </c>
      <c r="O397" s="217">
        <f t="shared" si="12"/>
        <v>0</v>
      </c>
      <c r="P397" s="216">
        <f>IF(O397=0,0,IF(B397="MAT",G397*(1+H397)*L397*PLAN_ETAPA!$C$5,IF(B397="MO",IF(M397=0,0,G397*L397*PLAN_ETAPA!$C$5*N397/M397),IF(B397="EQ",IF(M397=0,0,G397*L397*PLAN_ETAPA!$C$5/M397),0))))</f>
        <v>0</v>
      </c>
      <c r="Q397" s="218">
        <f t="shared" si="13"/>
        <v>0</v>
      </c>
    </row>
    <row r="398" spans="1:17" x14ac:dyDescent="0.35">
      <c r="A398" s="212" t="str">
        <f>COMPOSICIÓN!A398</f>
        <v>DUR-116</v>
      </c>
      <c r="B398" s="212" t="str">
        <f>COMPOSICIÓN!B398</f>
        <v>EQ</v>
      </c>
      <c r="C398" s="212">
        <f>COMPOSICIÓN!C398</f>
        <v>0</v>
      </c>
      <c r="D398" s="212" t="str">
        <f>COMPOSICIÓN!D398</f>
        <v>EQ-ESCALE</v>
      </c>
      <c r="E398" s="212" t="str">
        <f>COMPOSICIÓN!E398</f>
        <v>ESCALERA GLOSS ALUMINIO ARTICULADA 4 X 4 ESCALONES HASTA 150KG</v>
      </c>
      <c r="F398" s="212">
        <f>COMPOSICIÓN!F398</f>
        <v>0</v>
      </c>
      <c r="G398" s="213">
        <f>COMPOSICIÓN!G398</f>
        <v>1</v>
      </c>
      <c r="H398" s="214">
        <f>COMPOSICIÓN!H398</f>
        <v>0</v>
      </c>
      <c r="I398" s="215">
        <f>COMPOSICIÓN!I398</f>
        <v>140.19809259430903</v>
      </c>
      <c r="J398" s="212" t="str">
        <f>IFERROR(VLOOKUP(A398,PARTIDAS!$A$2:$C$269,3,FALSE()),"")</f>
        <v>REVOQUES FINOS Y CIELORRASOS</v>
      </c>
      <c r="K398" s="212" t="str">
        <f>IFERROR(INDEX(PPTO_GENERADOR!$B$4:$B$220,MATCH(A398,PPTO_GENERADOR!$Q$4:$Q$220,0)),"")</f>
        <v/>
      </c>
      <c r="L398" s="216">
        <f>IF(PLAN_ETAPA!$C$4="(TODOS)",SUMIFS(PPTO_GENERADOR!$E$4:$E$220,PPTO_GENERADOR!$Q$4:$Q$220,A398),SUMIFS(PPTO_GENERADOR!$E$4:$E$220,PPTO_GENERADOR!$Q$4:$Q$220,A398,PPTO_GENERADOR!$B$4:$B$220,PLAN_ETAPA!$C$4))</f>
        <v>0</v>
      </c>
      <c r="M398" s="216">
        <f>IFERROR(VLOOKUP(A398,PARTIDAS!$A$2:$F$269,6,FALSE()),1)</f>
        <v>12</v>
      </c>
      <c r="N398" s="216">
        <f>IFERROR(VLOOKUP(A398,PARTIDAS!$A$2:$I$269,9,FALSE()),1)</f>
        <v>1</v>
      </c>
      <c r="O398" s="217">
        <f t="shared" si="12"/>
        <v>0</v>
      </c>
      <c r="P398" s="216">
        <f>IF(O398=0,0,IF(B398="MAT",G398*(1+H398)*L398*PLAN_ETAPA!$C$5,IF(B398="MO",IF(M398=0,0,G398*L398*PLAN_ETAPA!$C$5*N398/M398),IF(B398="EQ",IF(M398=0,0,G398*L398*PLAN_ETAPA!$C$5/M398),0))))</f>
        <v>0</v>
      </c>
      <c r="Q398" s="218">
        <f t="shared" si="13"/>
        <v>0</v>
      </c>
    </row>
    <row r="399" spans="1:17" x14ac:dyDescent="0.35">
      <c r="A399" s="212" t="str">
        <f>COMPOSICIÓN!A399</f>
        <v>DUR-116</v>
      </c>
      <c r="B399" s="212" t="str">
        <f>COMPOSICIÓN!B399</f>
        <v>MAT</v>
      </c>
      <c r="C399" s="212" t="str">
        <f>COMPOSICIÓN!C399</f>
        <v>OTR</v>
      </c>
      <c r="D399" s="212" t="str">
        <f>COMPOSICIÓN!D399</f>
        <v>ACE-014</v>
      </c>
      <c r="E399" s="212" t="str">
        <f>COMPOSICIÓN!E399</f>
        <v>Alambre galvanizado N°14 x kg</v>
      </c>
      <c r="F399" s="212" t="str">
        <f>COMPOSICIÓN!F399</f>
        <v>u</v>
      </c>
      <c r="G399" s="213">
        <f>COMPOSICIÓN!G399</f>
        <v>0.06</v>
      </c>
      <c r="H399" s="214">
        <f>COMPOSICIÓN!H399</f>
        <v>0.1</v>
      </c>
      <c r="I399" s="215">
        <f>COMPOSICIÓN!I399</f>
        <v>2474.34710743802</v>
      </c>
      <c r="J399" s="212" t="str">
        <f>IFERROR(VLOOKUP(A399,PARTIDAS!$A$2:$C$269,3,FALSE()),"")</f>
        <v>REVOQUES FINOS Y CIELORRASOS</v>
      </c>
      <c r="K399" s="212" t="str">
        <f>IFERROR(INDEX(PPTO_GENERADOR!$B$4:$B$220,MATCH(A399,PPTO_GENERADOR!$Q$4:$Q$220,0)),"")</f>
        <v/>
      </c>
      <c r="L399" s="216">
        <f>IF(PLAN_ETAPA!$C$4="(TODOS)",SUMIFS(PPTO_GENERADOR!$E$4:$E$220,PPTO_GENERADOR!$Q$4:$Q$220,A399),SUMIFS(PPTO_GENERADOR!$E$4:$E$220,PPTO_GENERADOR!$Q$4:$Q$220,A399,PPTO_GENERADOR!$B$4:$B$220,PLAN_ETAPA!$C$4))</f>
        <v>0</v>
      </c>
      <c r="M399" s="216">
        <f>IFERROR(VLOOKUP(A399,PARTIDAS!$A$2:$F$269,6,FALSE()),1)</f>
        <v>12</v>
      </c>
      <c r="N399" s="216">
        <f>IFERROR(VLOOKUP(A399,PARTIDAS!$A$2:$I$269,9,FALSE()),1)</f>
        <v>1</v>
      </c>
      <c r="O399" s="217">
        <f t="shared" si="12"/>
        <v>0</v>
      </c>
      <c r="P399" s="216">
        <f>IF(O399=0,0,IF(B399="MAT",G399*(1+H399)*L399*PLAN_ETAPA!$C$5,IF(B399="MO",IF(M399=0,0,G399*L399*PLAN_ETAPA!$C$5*N399/M399),IF(B399="EQ",IF(M399=0,0,G399*L399*PLAN_ETAPA!$C$5/M399),0))))</f>
        <v>0</v>
      </c>
      <c r="Q399" s="218">
        <f t="shared" si="13"/>
        <v>0</v>
      </c>
    </row>
    <row r="400" spans="1:17" x14ac:dyDescent="0.35">
      <c r="A400" s="212" t="str">
        <f>COMPOSICIÓN!A400</f>
        <v>DUR-116</v>
      </c>
      <c r="B400" s="212" t="str">
        <f>COMPOSICIÓN!B400</f>
        <v>MAT</v>
      </c>
      <c r="C400" s="212" t="str">
        <f>COMPOSICIÓN!C400</f>
        <v>OTR</v>
      </c>
      <c r="D400" s="212" t="str">
        <f>COMPOSICIÓN!D400</f>
        <v>DUR-007</v>
      </c>
      <c r="E400" s="212" t="str">
        <f>COMPOSICIÓN!E400</f>
        <v>Perfil Perimetral x 3.05</v>
      </c>
      <c r="F400" s="212" t="str">
        <f>COMPOSICIÓN!F400</f>
        <v>u</v>
      </c>
      <c r="G400" s="213">
        <f>COMPOSICIÓN!G400</f>
        <v>0.495</v>
      </c>
      <c r="H400" s="214">
        <f>COMPOSICIÓN!H400</f>
        <v>0.1</v>
      </c>
      <c r="I400" s="215">
        <f>COMPOSICIÓN!I400</f>
        <v>2470.5619834710801</v>
      </c>
      <c r="J400" s="212" t="str">
        <f>IFERROR(VLOOKUP(A400,PARTIDAS!$A$2:$C$269,3,FALSE()),"")</f>
        <v>REVOQUES FINOS Y CIELORRASOS</v>
      </c>
      <c r="K400" s="212" t="str">
        <f>IFERROR(INDEX(PPTO_GENERADOR!$B$4:$B$220,MATCH(A400,PPTO_GENERADOR!$Q$4:$Q$220,0)),"")</f>
        <v/>
      </c>
      <c r="L400" s="216">
        <f>IF(PLAN_ETAPA!$C$4="(TODOS)",SUMIFS(PPTO_GENERADOR!$E$4:$E$220,PPTO_GENERADOR!$Q$4:$Q$220,A400),SUMIFS(PPTO_GENERADOR!$E$4:$E$220,PPTO_GENERADOR!$Q$4:$Q$220,A400,PPTO_GENERADOR!$B$4:$B$220,PLAN_ETAPA!$C$4))</f>
        <v>0</v>
      </c>
      <c r="M400" s="216">
        <f>IFERROR(VLOOKUP(A400,PARTIDAS!$A$2:$F$269,6,FALSE()),1)</f>
        <v>12</v>
      </c>
      <c r="N400" s="216">
        <f>IFERROR(VLOOKUP(A400,PARTIDAS!$A$2:$I$269,9,FALSE()),1)</f>
        <v>1</v>
      </c>
      <c r="O400" s="217">
        <f t="shared" si="12"/>
        <v>0</v>
      </c>
      <c r="P400" s="216">
        <f>IF(O400=0,0,IF(B400="MAT",G400*(1+H400)*L400*PLAN_ETAPA!$C$5,IF(B400="MO",IF(M400=0,0,G400*L400*PLAN_ETAPA!$C$5*N400/M400),IF(B400="EQ",IF(M400=0,0,G400*L400*PLAN_ETAPA!$C$5/M400),0))))</f>
        <v>0</v>
      </c>
      <c r="Q400" s="218">
        <f t="shared" si="13"/>
        <v>0</v>
      </c>
    </row>
    <row r="401" spans="1:17" x14ac:dyDescent="0.35">
      <c r="A401" s="212" t="str">
        <f>COMPOSICIÓN!A401</f>
        <v>DUR-116</v>
      </c>
      <c r="B401" s="212" t="str">
        <f>COMPOSICIÓN!B401</f>
        <v>MAT</v>
      </c>
      <c r="C401" s="212" t="str">
        <f>COMPOSICIÓN!C401</f>
        <v>OTR</v>
      </c>
      <c r="D401" s="212" t="str">
        <f>COMPOSICIÓN!D401</f>
        <v>OTR-010</v>
      </c>
      <c r="E401" s="212" t="str">
        <f>COMPOSICIÓN!E401</f>
        <v>Fijacion completa del 8</v>
      </c>
      <c r="F401" s="212" t="str">
        <f>COMPOSICIÓN!F401</f>
        <v>u</v>
      </c>
      <c r="G401" s="213">
        <f>COMPOSICIÓN!G401</f>
        <v>6</v>
      </c>
      <c r="H401" s="214">
        <f>COMPOSICIÓN!H401</f>
        <v>0.1</v>
      </c>
      <c r="I401" s="215">
        <f>COMPOSICIÓN!I401</f>
        <v>65.919008264462803</v>
      </c>
      <c r="J401" s="212" t="str">
        <f>IFERROR(VLOOKUP(A401,PARTIDAS!$A$2:$C$269,3,FALSE()),"")</f>
        <v>REVOQUES FINOS Y CIELORRASOS</v>
      </c>
      <c r="K401" s="212" t="str">
        <f>IFERROR(INDEX(PPTO_GENERADOR!$B$4:$B$220,MATCH(A401,PPTO_GENERADOR!$Q$4:$Q$220,0)),"")</f>
        <v/>
      </c>
      <c r="L401" s="216">
        <f>IF(PLAN_ETAPA!$C$4="(TODOS)",SUMIFS(PPTO_GENERADOR!$E$4:$E$220,PPTO_GENERADOR!$Q$4:$Q$220,A401),SUMIFS(PPTO_GENERADOR!$E$4:$E$220,PPTO_GENERADOR!$Q$4:$Q$220,A401,PPTO_GENERADOR!$B$4:$B$220,PLAN_ETAPA!$C$4))</f>
        <v>0</v>
      </c>
      <c r="M401" s="216">
        <f>IFERROR(VLOOKUP(A401,PARTIDAS!$A$2:$F$269,6,FALSE()),1)</f>
        <v>12</v>
      </c>
      <c r="N401" s="216">
        <f>IFERROR(VLOOKUP(A401,PARTIDAS!$A$2:$I$269,9,FALSE()),1)</f>
        <v>1</v>
      </c>
      <c r="O401" s="217">
        <f t="shared" si="12"/>
        <v>0</v>
      </c>
      <c r="P401" s="216">
        <f>IF(O401=0,0,IF(B401="MAT",G401*(1+H401)*L401*PLAN_ETAPA!$C$5,IF(B401="MO",IF(M401=0,0,G401*L401*PLAN_ETAPA!$C$5*N401/M401),IF(B401="EQ",IF(M401=0,0,G401*L401*PLAN_ETAPA!$C$5/M401),0))))</f>
        <v>0</v>
      </c>
      <c r="Q401" s="218">
        <f t="shared" si="13"/>
        <v>0</v>
      </c>
    </row>
    <row r="402" spans="1:17" x14ac:dyDescent="0.35">
      <c r="A402" s="212" t="str">
        <f>COMPOSICIÓN!A402</f>
        <v>DUR-116</v>
      </c>
      <c r="B402" s="212" t="str">
        <f>COMPOSICIÓN!B402</f>
        <v>MAT</v>
      </c>
      <c r="C402" s="212" t="str">
        <f>COMPOSICIÓN!C402</f>
        <v>OTR</v>
      </c>
      <c r="D402" s="212" t="str">
        <f>COMPOSICIÓN!D402</f>
        <v>OTR-015</v>
      </c>
      <c r="E402" s="212" t="str">
        <f>COMPOSICIÓN!E402</f>
        <v>Larguero x 3.66</v>
      </c>
      <c r="F402" s="212" t="str">
        <f>COMPOSICIÓN!F402</f>
        <v>u</v>
      </c>
      <c r="G402" s="213">
        <f>COMPOSICIÓN!G402</f>
        <v>0.45</v>
      </c>
      <c r="H402" s="214">
        <f>COMPOSICIÓN!H402</f>
        <v>0.1</v>
      </c>
      <c r="I402" s="215">
        <f>COMPOSICIÓN!I402</f>
        <v>3894.6611570247901</v>
      </c>
      <c r="J402" s="212" t="str">
        <f>IFERROR(VLOOKUP(A402,PARTIDAS!$A$2:$C$269,3,FALSE()),"")</f>
        <v>REVOQUES FINOS Y CIELORRASOS</v>
      </c>
      <c r="K402" s="212" t="str">
        <f>IFERROR(INDEX(PPTO_GENERADOR!$B$4:$B$220,MATCH(A402,PPTO_GENERADOR!$Q$4:$Q$220,0)),"")</f>
        <v/>
      </c>
      <c r="L402" s="216">
        <f>IF(PLAN_ETAPA!$C$4="(TODOS)",SUMIFS(PPTO_GENERADOR!$E$4:$E$220,PPTO_GENERADOR!$Q$4:$Q$220,A402),SUMIFS(PPTO_GENERADOR!$E$4:$E$220,PPTO_GENERADOR!$Q$4:$Q$220,A402,PPTO_GENERADOR!$B$4:$B$220,PLAN_ETAPA!$C$4))</f>
        <v>0</v>
      </c>
      <c r="M402" s="216">
        <f>IFERROR(VLOOKUP(A402,PARTIDAS!$A$2:$F$269,6,FALSE()),1)</f>
        <v>12</v>
      </c>
      <c r="N402" s="216">
        <f>IFERROR(VLOOKUP(A402,PARTIDAS!$A$2:$I$269,9,FALSE()),1)</f>
        <v>1</v>
      </c>
      <c r="O402" s="217">
        <f t="shared" si="12"/>
        <v>0</v>
      </c>
      <c r="P402" s="216">
        <f>IF(O402=0,0,IF(B402="MAT",G402*(1+H402)*L402*PLAN_ETAPA!$C$5,IF(B402="MO",IF(M402=0,0,G402*L402*PLAN_ETAPA!$C$5*N402/M402),IF(B402="EQ",IF(M402=0,0,G402*L402*PLAN_ETAPA!$C$5/M402),0))))</f>
        <v>0</v>
      </c>
      <c r="Q402" s="218">
        <f t="shared" si="13"/>
        <v>0</v>
      </c>
    </row>
    <row r="403" spans="1:17" x14ac:dyDescent="0.35">
      <c r="A403" s="212" t="str">
        <f>COMPOSICIÓN!A403</f>
        <v>DUR-116</v>
      </c>
      <c r="B403" s="212" t="str">
        <f>COMPOSICIÓN!B403</f>
        <v>MAT</v>
      </c>
      <c r="C403" s="212" t="str">
        <f>COMPOSICIÓN!C403</f>
        <v>OTR</v>
      </c>
      <c r="D403" s="212" t="str">
        <f>COMPOSICIÓN!D403</f>
        <v>OTR-016</v>
      </c>
      <c r="E403" s="212" t="str">
        <f>COMPOSICIÓN!E403</f>
        <v>Travesaño x 1.22</v>
      </c>
      <c r="F403" s="212" t="str">
        <f>COMPOSICIÓN!F403</f>
        <v>u</v>
      </c>
      <c r="G403" s="213">
        <f>COMPOSICIÓN!G403</f>
        <v>2.62</v>
      </c>
      <c r="H403" s="214">
        <f>COMPOSICIÓN!H403</f>
        <v>0.1</v>
      </c>
      <c r="I403" s="215">
        <f>COMPOSICIÓN!I403</f>
        <v>1262.17355371901</v>
      </c>
      <c r="J403" s="212" t="str">
        <f>IFERROR(VLOOKUP(A403,PARTIDAS!$A$2:$C$269,3,FALSE()),"")</f>
        <v>REVOQUES FINOS Y CIELORRASOS</v>
      </c>
      <c r="K403" s="212" t="str">
        <f>IFERROR(INDEX(PPTO_GENERADOR!$B$4:$B$220,MATCH(A403,PPTO_GENERADOR!$Q$4:$Q$220,0)),"")</f>
        <v/>
      </c>
      <c r="L403" s="216">
        <f>IF(PLAN_ETAPA!$C$4="(TODOS)",SUMIFS(PPTO_GENERADOR!$E$4:$E$220,PPTO_GENERADOR!$Q$4:$Q$220,A403),SUMIFS(PPTO_GENERADOR!$E$4:$E$220,PPTO_GENERADOR!$Q$4:$Q$220,A403,PPTO_GENERADOR!$B$4:$B$220,PLAN_ETAPA!$C$4))</f>
        <v>0</v>
      </c>
      <c r="M403" s="216">
        <f>IFERROR(VLOOKUP(A403,PARTIDAS!$A$2:$F$269,6,FALSE()),1)</f>
        <v>12</v>
      </c>
      <c r="N403" s="216">
        <f>IFERROR(VLOOKUP(A403,PARTIDAS!$A$2:$I$269,9,FALSE()),1)</f>
        <v>1</v>
      </c>
      <c r="O403" s="217">
        <f t="shared" si="12"/>
        <v>0</v>
      </c>
      <c r="P403" s="216">
        <f>IF(O403=0,0,IF(B403="MAT",G403*(1+H403)*L403*PLAN_ETAPA!$C$5,IF(B403="MO",IF(M403=0,0,G403*L403*PLAN_ETAPA!$C$5*N403/M403),IF(B403="EQ",IF(M403=0,0,G403*L403*PLAN_ETAPA!$C$5/M403),0))))</f>
        <v>0</v>
      </c>
      <c r="Q403" s="218">
        <f t="shared" si="13"/>
        <v>0</v>
      </c>
    </row>
    <row r="404" spans="1:17" x14ac:dyDescent="0.35">
      <c r="A404" s="212" t="str">
        <f>COMPOSICIÓN!A404</f>
        <v>DUR-116</v>
      </c>
      <c r="B404" s="212" t="str">
        <f>COMPOSICIÓN!B404</f>
        <v>MAT</v>
      </c>
      <c r="C404" s="212" t="str">
        <f>COMPOSICIÓN!C404</f>
        <v>OTR</v>
      </c>
      <c r="D404" s="212" t="str">
        <f>COMPOSICIÓN!D404</f>
        <v>OTR-019</v>
      </c>
      <c r="E404" s="212" t="str">
        <f>COMPOSICIÓN!E404</f>
        <v>Placa Decovinyl Liso 120x60</v>
      </c>
      <c r="F404" s="212" t="str">
        <f>COMPOSICIÓN!F404</f>
        <v>u</v>
      </c>
      <c r="G404" s="213">
        <f>COMPOSICIÓN!G404</f>
        <v>1.3888888888888899</v>
      </c>
      <c r="H404" s="214">
        <f>COMPOSICIÓN!H404</f>
        <v>0.1</v>
      </c>
      <c r="I404" s="215">
        <f>COMPOSICIÓN!I404</f>
        <v>4751.7078772422501</v>
      </c>
      <c r="J404" s="212" t="str">
        <f>IFERROR(VLOOKUP(A404,PARTIDAS!$A$2:$C$269,3,FALSE()),"")</f>
        <v>REVOQUES FINOS Y CIELORRASOS</v>
      </c>
      <c r="K404" s="212" t="str">
        <f>IFERROR(INDEX(PPTO_GENERADOR!$B$4:$B$220,MATCH(A404,PPTO_GENERADOR!$Q$4:$Q$220,0)),"")</f>
        <v/>
      </c>
      <c r="L404" s="216">
        <f>IF(PLAN_ETAPA!$C$4="(TODOS)",SUMIFS(PPTO_GENERADOR!$E$4:$E$220,PPTO_GENERADOR!$Q$4:$Q$220,A404),SUMIFS(PPTO_GENERADOR!$E$4:$E$220,PPTO_GENERADOR!$Q$4:$Q$220,A404,PPTO_GENERADOR!$B$4:$B$220,PLAN_ETAPA!$C$4))</f>
        <v>0</v>
      </c>
      <c r="M404" s="216">
        <f>IFERROR(VLOOKUP(A404,PARTIDAS!$A$2:$F$269,6,FALSE()),1)</f>
        <v>12</v>
      </c>
      <c r="N404" s="216">
        <f>IFERROR(VLOOKUP(A404,PARTIDAS!$A$2:$I$269,9,FALSE()),1)</f>
        <v>1</v>
      </c>
      <c r="O404" s="217">
        <f t="shared" si="12"/>
        <v>0</v>
      </c>
      <c r="P404" s="216">
        <f>IF(O404=0,0,IF(B404="MAT",G404*(1+H404)*L404*PLAN_ETAPA!$C$5,IF(B404="MO",IF(M404=0,0,G404*L404*PLAN_ETAPA!$C$5*N404/M404),IF(B404="EQ",IF(M404=0,0,G404*L404*PLAN_ETAPA!$C$5/M404),0))))</f>
        <v>0</v>
      </c>
      <c r="Q404" s="218">
        <f t="shared" si="13"/>
        <v>0</v>
      </c>
    </row>
    <row r="405" spans="1:17" x14ac:dyDescent="0.35">
      <c r="A405" s="212" t="str">
        <f>COMPOSICIÓN!A405</f>
        <v>DUR-116</v>
      </c>
      <c r="B405" s="212" t="str">
        <f>COMPOSICIÓN!B405</f>
        <v>MO</v>
      </c>
      <c r="C405" s="212" t="str">
        <f>COMPOSICIÓN!C405</f>
        <v>ALB</v>
      </c>
      <c r="D405" s="212" t="str">
        <f>COMPOSICIÓN!D405</f>
        <v>MO-EMEDI</v>
      </c>
      <c r="E405" s="212" t="str">
        <f>COMPOSICIÓN!E405</f>
        <v>MEDIO OFICIAL</v>
      </c>
      <c r="F405" s="212" t="str">
        <f>COMPOSICIÓN!F405</f>
        <v>j</v>
      </c>
      <c r="G405" s="213">
        <f>COMPOSICIÓN!G405</f>
        <v>1</v>
      </c>
      <c r="H405" s="214">
        <f>COMPOSICIÓN!H405</f>
        <v>0</v>
      </c>
      <c r="I405" s="215">
        <f>COMPOSICIÓN!I405</f>
        <v>65493.071636572</v>
      </c>
      <c r="J405" s="212" t="str">
        <f>IFERROR(VLOOKUP(A405,PARTIDAS!$A$2:$C$269,3,FALSE()),"")</f>
        <v>REVOQUES FINOS Y CIELORRASOS</v>
      </c>
      <c r="K405" s="212" t="str">
        <f>IFERROR(INDEX(PPTO_GENERADOR!$B$4:$B$220,MATCH(A405,PPTO_GENERADOR!$Q$4:$Q$220,0)),"")</f>
        <v/>
      </c>
      <c r="L405" s="216">
        <f>IF(PLAN_ETAPA!$C$4="(TODOS)",SUMIFS(PPTO_GENERADOR!$E$4:$E$220,PPTO_GENERADOR!$Q$4:$Q$220,A405),SUMIFS(PPTO_GENERADOR!$E$4:$E$220,PPTO_GENERADOR!$Q$4:$Q$220,A405,PPTO_GENERADOR!$B$4:$B$220,PLAN_ETAPA!$C$4))</f>
        <v>0</v>
      </c>
      <c r="M405" s="216">
        <f>IFERROR(VLOOKUP(A405,PARTIDAS!$A$2:$F$269,6,FALSE()),1)</f>
        <v>12</v>
      </c>
      <c r="N405" s="216">
        <f>IFERROR(VLOOKUP(A405,PARTIDAS!$A$2:$I$269,9,FALSE()),1)</f>
        <v>1</v>
      </c>
      <c r="O405" s="217">
        <f t="shared" si="12"/>
        <v>0</v>
      </c>
      <c r="P405" s="216">
        <f>IF(O405=0,0,IF(B405="MAT",G405*(1+H405)*L405*PLAN_ETAPA!$C$5,IF(B405="MO",IF(M405=0,0,G405*L405*PLAN_ETAPA!$C$5*N405/M405),IF(B405="EQ",IF(M405=0,0,G405*L405*PLAN_ETAPA!$C$5/M405),0))))</f>
        <v>0</v>
      </c>
      <c r="Q405" s="218">
        <f t="shared" si="13"/>
        <v>0</v>
      </c>
    </row>
    <row r="406" spans="1:17" x14ac:dyDescent="0.35">
      <c r="A406" s="212" t="str">
        <f>COMPOSICIÓN!A406</f>
        <v>DUR-116</v>
      </c>
      <c r="B406" s="212" t="str">
        <f>COMPOSICIÓN!B406</f>
        <v>MO</v>
      </c>
      <c r="C406" s="212" t="str">
        <f>COMPOSICIÓN!C406</f>
        <v>ALB</v>
      </c>
      <c r="D406" s="212" t="str">
        <f>COMPOSICIÓN!D406</f>
        <v>MO-EESPE</v>
      </c>
      <c r="E406" s="212" t="str">
        <f>COMPOSICIÓN!E406</f>
        <v>ESPECIALIZADO</v>
      </c>
      <c r="F406" s="212" t="str">
        <f>COMPOSICIÓN!F406</f>
        <v>j</v>
      </c>
      <c r="G406" s="213">
        <f>COMPOSICIÓN!G406</f>
        <v>1</v>
      </c>
      <c r="H406" s="214">
        <f>COMPOSICIÓN!H406</f>
        <v>0</v>
      </c>
      <c r="I406" s="215">
        <f>COMPOSICIÓN!I406</f>
        <v>85927.097156571996</v>
      </c>
      <c r="J406" s="212" t="str">
        <f>IFERROR(VLOOKUP(A406,PARTIDAS!$A$2:$C$269,3,FALSE()),"")</f>
        <v>REVOQUES FINOS Y CIELORRASOS</v>
      </c>
      <c r="K406" s="212" t="str">
        <f>IFERROR(INDEX(PPTO_GENERADOR!$B$4:$B$220,MATCH(A406,PPTO_GENERADOR!$Q$4:$Q$220,0)),"")</f>
        <v/>
      </c>
      <c r="L406" s="216">
        <f>IF(PLAN_ETAPA!$C$4="(TODOS)",SUMIFS(PPTO_GENERADOR!$E$4:$E$220,PPTO_GENERADOR!$Q$4:$Q$220,A406),SUMIFS(PPTO_GENERADOR!$E$4:$E$220,PPTO_GENERADOR!$Q$4:$Q$220,A406,PPTO_GENERADOR!$B$4:$B$220,PLAN_ETAPA!$C$4))</f>
        <v>0</v>
      </c>
      <c r="M406" s="216">
        <f>IFERROR(VLOOKUP(A406,PARTIDAS!$A$2:$F$269,6,FALSE()),1)</f>
        <v>12</v>
      </c>
      <c r="N406" s="216">
        <f>IFERROR(VLOOKUP(A406,PARTIDAS!$A$2:$I$269,9,FALSE()),1)</f>
        <v>1</v>
      </c>
      <c r="O406" s="217">
        <f t="shared" si="12"/>
        <v>0</v>
      </c>
      <c r="P406" s="216">
        <f>IF(O406=0,0,IF(B406="MAT",G406*(1+H406)*L406*PLAN_ETAPA!$C$5,IF(B406="MO",IF(M406=0,0,G406*L406*PLAN_ETAPA!$C$5*N406/M406),IF(B406="EQ",IF(M406=0,0,G406*L406*PLAN_ETAPA!$C$5/M406),0))))</f>
        <v>0</v>
      </c>
      <c r="Q406" s="218">
        <f t="shared" si="13"/>
        <v>0</v>
      </c>
    </row>
    <row r="407" spans="1:17" x14ac:dyDescent="0.35">
      <c r="A407" s="212" t="str">
        <f>COMPOSICIÓN!A407</f>
        <v>ELE-120</v>
      </c>
      <c r="B407" s="212" t="str">
        <f>COMPOSICIÓN!B407</f>
        <v>EQ</v>
      </c>
      <c r="C407" s="212">
        <f>COMPOSICIÓN!C407</f>
        <v>0</v>
      </c>
      <c r="D407" s="212" t="str">
        <f>COMPOSICIÓN!D407</f>
        <v>EQ-ANDAM0</v>
      </c>
      <c r="E407" s="212" t="str">
        <f>COMPOSICIÓN!E407</f>
        <v>ANDAMIO TUBULAR DE UNO A TRES CUERPOS</v>
      </c>
      <c r="F407" s="212">
        <f>COMPOSICIÓN!F407</f>
        <v>0</v>
      </c>
      <c r="G407" s="213">
        <f>COMPOSICIÓN!G407</f>
        <v>0.5</v>
      </c>
      <c r="H407" s="214">
        <f>COMPOSICIÓN!H407</f>
        <v>0</v>
      </c>
      <c r="I407" s="215">
        <f>COMPOSICIÓN!I407</f>
        <v>571.1794909807611</v>
      </c>
      <c r="J407" s="212" t="str">
        <f>IFERROR(VLOOKUP(A407,PARTIDAS!$A$2:$C$269,3,FALSE()),"")</f>
        <v>MAMPOSTERÍA</v>
      </c>
      <c r="K407" s="212" t="str">
        <f>IFERROR(INDEX(PPTO_GENERADOR!$B$4:$B$220,MATCH(A407,PPTO_GENERADOR!$Q$4:$Q$220,0)),"")</f>
        <v/>
      </c>
      <c r="L407" s="216">
        <f>IF(PLAN_ETAPA!$C$4="(TODOS)",SUMIFS(PPTO_GENERADOR!$E$4:$E$220,PPTO_GENERADOR!$Q$4:$Q$220,A407),SUMIFS(PPTO_GENERADOR!$E$4:$E$220,PPTO_GENERADOR!$Q$4:$Q$220,A407,PPTO_GENERADOR!$B$4:$B$220,PLAN_ETAPA!$C$4))</f>
        <v>0</v>
      </c>
      <c r="M407" s="216">
        <f>IFERROR(VLOOKUP(A407,PARTIDAS!$A$2:$F$269,6,FALSE()),1)</f>
        <v>3.25</v>
      </c>
      <c r="N407" s="216">
        <f>IFERROR(VLOOKUP(A407,PARTIDAS!$A$2:$I$269,9,FALSE()),1)</f>
        <v>1</v>
      </c>
      <c r="O407" s="217">
        <f t="shared" si="12"/>
        <v>0</v>
      </c>
      <c r="P407" s="216">
        <f>IF(O407=0,0,IF(B407="MAT",G407*(1+H407)*L407*PLAN_ETAPA!$C$5,IF(B407="MO",IF(M407=0,0,G407*L407*PLAN_ETAPA!$C$5*N407/M407),IF(B407="EQ",IF(M407=0,0,G407*L407*PLAN_ETAPA!$C$5/M407),0))))</f>
        <v>0</v>
      </c>
      <c r="Q407" s="218">
        <f t="shared" si="13"/>
        <v>0</v>
      </c>
    </row>
    <row r="408" spans="1:17" x14ac:dyDescent="0.35">
      <c r="A408" s="212" t="str">
        <f>COMPOSICIÓN!A408</f>
        <v>ELE-120</v>
      </c>
      <c r="B408" s="212" t="str">
        <f>COMPOSICIÓN!B408</f>
        <v>EQ</v>
      </c>
      <c r="C408" s="212">
        <f>COMPOSICIÓN!C408</f>
        <v>0</v>
      </c>
      <c r="D408" s="212" t="str">
        <f>COMPOSICIÓN!D408</f>
        <v>EQ-EQUIP0</v>
      </c>
      <c r="E408" s="212" t="str">
        <f>COMPOSICIÓN!E408</f>
        <v>EQUIPO PARA INSTALACION ELECTRICA</v>
      </c>
      <c r="F408" s="212">
        <f>COMPOSICIÓN!F408</f>
        <v>0</v>
      </c>
      <c r="G408" s="213">
        <f>COMPOSICIÓN!G408</f>
        <v>1</v>
      </c>
      <c r="H408" s="214">
        <f>COMPOSICIÓN!H408</f>
        <v>0</v>
      </c>
      <c r="I408" s="215">
        <f>COMPOSICIÓN!I408</f>
        <v>5063.0947914732405</v>
      </c>
      <c r="J408" s="212" t="str">
        <f>IFERROR(VLOOKUP(A408,PARTIDAS!$A$2:$C$269,3,FALSE()),"")</f>
        <v>MAMPOSTERÍA</v>
      </c>
      <c r="K408" s="212" t="str">
        <f>IFERROR(INDEX(PPTO_GENERADOR!$B$4:$B$220,MATCH(A408,PPTO_GENERADOR!$Q$4:$Q$220,0)),"")</f>
        <v/>
      </c>
      <c r="L408" s="216">
        <f>IF(PLAN_ETAPA!$C$4="(TODOS)",SUMIFS(PPTO_GENERADOR!$E$4:$E$220,PPTO_GENERADOR!$Q$4:$Q$220,A408),SUMIFS(PPTO_GENERADOR!$E$4:$E$220,PPTO_GENERADOR!$Q$4:$Q$220,A408,PPTO_GENERADOR!$B$4:$B$220,PLAN_ETAPA!$C$4))</f>
        <v>0</v>
      </c>
      <c r="M408" s="216">
        <f>IFERROR(VLOOKUP(A408,PARTIDAS!$A$2:$F$269,6,FALSE()),1)</f>
        <v>3.25</v>
      </c>
      <c r="N408" s="216">
        <f>IFERROR(VLOOKUP(A408,PARTIDAS!$A$2:$I$269,9,FALSE()),1)</f>
        <v>1</v>
      </c>
      <c r="O408" s="217">
        <f t="shared" si="12"/>
        <v>0</v>
      </c>
      <c r="P408" s="216">
        <f>IF(O408=0,0,IF(B408="MAT",G408*(1+H408)*L408*PLAN_ETAPA!$C$5,IF(B408="MO",IF(M408=0,0,G408*L408*PLAN_ETAPA!$C$5*N408/M408),IF(B408="EQ",IF(M408=0,0,G408*L408*PLAN_ETAPA!$C$5/M408),0))))</f>
        <v>0</v>
      </c>
      <c r="Q408" s="218">
        <f t="shared" si="13"/>
        <v>0</v>
      </c>
    </row>
    <row r="409" spans="1:17" x14ac:dyDescent="0.35">
      <c r="A409" s="212" t="str">
        <f>COMPOSICIÓN!A409</f>
        <v>ELE-120</v>
      </c>
      <c r="B409" s="212" t="str">
        <f>COMPOSICIÓN!B409</f>
        <v>EQ</v>
      </c>
      <c r="C409" s="212">
        <f>COMPOSICIÓN!C409</f>
        <v>0</v>
      </c>
      <c r="D409" s="212" t="str">
        <f>COMPOSICIÓN!D409</f>
        <v>EQ-ESCALE</v>
      </c>
      <c r="E409" s="212" t="str">
        <f>COMPOSICIÓN!E409</f>
        <v>ESCALERA GLOSS ALUMINIO ARTICULADA 4 X 4 ESCALONES HASTA 150KG</v>
      </c>
      <c r="F409" s="212">
        <f>COMPOSICIÓN!F409</f>
        <v>0</v>
      </c>
      <c r="G409" s="213">
        <f>COMPOSICIÓN!G409</f>
        <v>0.5</v>
      </c>
      <c r="H409" s="214">
        <f>COMPOSICIÓN!H409</f>
        <v>0</v>
      </c>
      <c r="I409" s="215">
        <f>COMPOSICIÓN!I409</f>
        <v>140.19809259430903</v>
      </c>
      <c r="J409" s="212" t="str">
        <f>IFERROR(VLOOKUP(A409,PARTIDAS!$A$2:$C$269,3,FALSE()),"")</f>
        <v>MAMPOSTERÍA</v>
      </c>
      <c r="K409" s="212" t="str">
        <f>IFERROR(INDEX(PPTO_GENERADOR!$B$4:$B$220,MATCH(A409,PPTO_GENERADOR!$Q$4:$Q$220,0)),"")</f>
        <v/>
      </c>
      <c r="L409" s="216">
        <f>IF(PLAN_ETAPA!$C$4="(TODOS)",SUMIFS(PPTO_GENERADOR!$E$4:$E$220,PPTO_GENERADOR!$Q$4:$Q$220,A409),SUMIFS(PPTO_GENERADOR!$E$4:$E$220,PPTO_GENERADOR!$Q$4:$Q$220,A409,PPTO_GENERADOR!$B$4:$B$220,PLAN_ETAPA!$C$4))</f>
        <v>0</v>
      </c>
      <c r="M409" s="216">
        <f>IFERROR(VLOOKUP(A409,PARTIDAS!$A$2:$F$269,6,FALSE()),1)</f>
        <v>3.25</v>
      </c>
      <c r="N409" s="216">
        <f>IFERROR(VLOOKUP(A409,PARTIDAS!$A$2:$I$269,9,FALSE()),1)</f>
        <v>1</v>
      </c>
      <c r="O409" s="217">
        <f t="shared" si="12"/>
        <v>0</v>
      </c>
      <c r="P409" s="216">
        <f>IF(O409=0,0,IF(B409="MAT",G409*(1+H409)*L409*PLAN_ETAPA!$C$5,IF(B409="MO",IF(M409=0,0,G409*L409*PLAN_ETAPA!$C$5*N409/M409),IF(B409="EQ",IF(M409=0,0,G409*L409*PLAN_ETAPA!$C$5/M409),0))))</f>
        <v>0</v>
      </c>
      <c r="Q409" s="218">
        <f t="shared" si="13"/>
        <v>0</v>
      </c>
    </row>
    <row r="410" spans="1:17" x14ac:dyDescent="0.35">
      <c r="A410" s="212" t="str">
        <f>COMPOSICIÓN!A410</f>
        <v>ELE-120</v>
      </c>
      <c r="B410" s="212" t="str">
        <f>COMPOSICIÓN!B410</f>
        <v>MAT</v>
      </c>
      <c r="C410" s="212" t="str">
        <f>COMPOSICIÓN!C410</f>
        <v>OTR</v>
      </c>
      <c r="D410" s="212" t="str">
        <f>COMPOSICIÓN!D410</f>
        <v>ACE-018</v>
      </c>
      <c r="E410" s="212" t="str">
        <f>COMPOSICIÓN!E410</f>
        <v>Conector hierro 7/8"</v>
      </c>
      <c r="F410" s="212" t="str">
        <f>COMPOSICIÓN!F410</f>
        <v>u</v>
      </c>
      <c r="G410" s="213">
        <f>COMPOSICIÓN!G410</f>
        <v>3</v>
      </c>
      <c r="H410" s="214">
        <f>COMPOSICIÓN!H410</f>
        <v>0.1</v>
      </c>
      <c r="I410" s="215">
        <f>COMPOSICIÓN!I410</f>
        <v>282.29000000000002</v>
      </c>
      <c r="J410" s="212" t="str">
        <f>IFERROR(VLOOKUP(A410,PARTIDAS!$A$2:$C$269,3,FALSE()),"")</f>
        <v>MAMPOSTERÍA</v>
      </c>
      <c r="K410" s="212" t="str">
        <f>IFERROR(INDEX(PPTO_GENERADOR!$B$4:$B$220,MATCH(A410,PPTO_GENERADOR!$Q$4:$Q$220,0)),"")</f>
        <v/>
      </c>
      <c r="L410" s="216">
        <f>IF(PLAN_ETAPA!$C$4="(TODOS)",SUMIFS(PPTO_GENERADOR!$E$4:$E$220,PPTO_GENERADOR!$Q$4:$Q$220,A410),SUMIFS(PPTO_GENERADOR!$E$4:$E$220,PPTO_GENERADOR!$Q$4:$Q$220,A410,PPTO_GENERADOR!$B$4:$B$220,PLAN_ETAPA!$C$4))</f>
        <v>0</v>
      </c>
      <c r="M410" s="216">
        <f>IFERROR(VLOOKUP(A410,PARTIDAS!$A$2:$F$269,6,FALSE()),1)</f>
        <v>3.25</v>
      </c>
      <c r="N410" s="216">
        <f>IFERROR(VLOOKUP(A410,PARTIDAS!$A$2:$I$269,9,FALSE()),1)</f>
        <v>1</v>
      </c>
      <c r="O410" s="217">
        <f t="shared" si="12"/>
        <v>0</v>
      </c>
      <c r="P410" s="216">
        <f>IF(O410=0,0,IF(B410="MAT",G410*(1+H410)*L410*PLAN_ETAPA!$C$5,IF(B410="MO",IF(M410=0,0,G410*L410*PLAN_ETAPA!$C$5*N410/M410),IF(B410="EQ",IF(M410=0,0,G410*L410*PLAN_ETAPA!$C$5/M410),0))))</f>
        <v>0</v>
      </c>
      <c r="Q410" s="218">
        <f t="shared" si="13"/>
        <v>0</v>
      </c>
    </row>
    <row r="411" spans="1:17" x14ac:dyDescent="0.35">
      <c r="A411" s="212" t="str">
        <f>COMPOSICIÓN!A411</f>
        <v>ELE-120</v>
      </c>
      <c r="B411" s="212" t="str">
        <f>COMPOSICIÓN!B411</f>
        <v>MAT</v>
      </c>
      <c r="C411" s="212" t="str">
        <f>COMPOSICIÓN!C411</f>
        <v>OTR</v>
      </c>
      <c r="D411" s="212" t="str">
        <f>COMPOSICIÓN!D411</f>
        <v>ELE-003</v>
      </c>
      <c r="E411" s="212" t="str">
        <f>COMPOSICIÓN!E411</f>
        <v>Caño rigido 7/8"</v>
      </c>
      <c r="F411" s="212" t="str">
        <f>COMPOSICIÓN!F411</f>
        <v>ml</v>
      </c>
      <c r="G411" s="213">
        <f>COMPOSICIÓN!G411</f>
        <v>5</v>
      </c>
      <c r="H411" s="214">
        <f>COMPOSICIÓN!H411</f>
        <v>0.1</v>
      </c>
      <c r="I411" s="215">
        <f>COMPOSICIÓN!I411</f>
        <v>635.55999999999995</v>
      </c>
      <c r="J411" s="212" t="str">
        <f>IFERROR(VLOOKUP(A411,PARTIDAS!$A$2:$C$269,3,FALSE()),"")</f>
        <v>MAMPOSTERÍA</v>
      </c>
      <c r="K411" s="212" t="str">
        <f>IFERROR(INDEX(PPTO_GENERADOR!$B$4:$B$220,MATCH(A411,PPTO_GENERADOR!$Q$4:$Q$220,0)),"")</f>
        <v/>
      </c>
      <c r="L411" s="216">
        <f>IF(PLAN_ETAPA!$C$4="(TODOS)",SUMIFS(PPTO_GENERADOR!$E$4:$E$220,PPTO_GENERADOR!$Q$4:$Q$220,A411),SUMIFS(PPTO_GENERADOR!$E$4:$E$220,PPTO_GENERADOR!$Q$4:$Q$220,A411,PPTO_GENERADOR!$B$4:$B$220,PLAN_ETAPA!$C$4))</f>
        <v>0</v>
      </c>
      <c r="M411" s="216">
        <f>IFERROR(VLOOKUP(A411,PARTIDAS!$A$2:$F$269,6,FALSE()),1)</f>
        <v>3.25</v>
      </c>
      <c r="N411" s="216">
        <f>IFERROR(VLOOKUP(A411,PARTIDAS!$A$2:$I$269,9,FALSE()),1)</f>
        <v>1</v>
      </c>
      <c r="O411" s="217">
        <f t="shared" si="12"/>
        <v>0</v>
      </c>
      <c r="P411" s="216">
        <f>IF(O411=0,0,IF(B411="MAT",G411*(1+H411)*L411*PLAN_ETAPA!$C$5,IF(B411="MO",IF(M411=0,0,G411*L411*PLAN_ETAPA!$C$5*N411/M411),IF(B411="EQ",IF(M411=0,0,G411*L411*PLAN_ETAPA!$C$5/M411),0))))</f>
        <v>0</v>
      </c>
      <c r="Q411" s="218">
        <f t="shared" si="13"/>
        <v>0</v>
      </c>
    </row>
    <row r="412" spans="1:17" x14ac:dyDescent="0.35">
      <c r="A412" s="212" t="str">
        <f>COMPOSICIÓN!A412</f>
        <v>ELE-120</v>
      </c>
      <c r="B412" s="212" t="str">
        <f>COMPOSICIÓN!B412</f>
        <v>MAT</v>
      </c>
      <c r="C412" s="212" t="str">
        <f>COMPOSICIÓN!C412</f>
        <v>OTR</v>
      </c>
      <c r="D412" s="212" t="str">
        <f>COMPOSICIÓN!D412</f>
        <v>ELE-006</v>
      </c>
      <c r="E412" s="212" t="str">
        <f>COMPOSICIÓN!E412</f>
        <v>Cupla PVC 7/8"</v>
      </c>
      <c r="F412" s="212" t="str">
        <f>COMPOSICIÓN!F412</f>
        <v>u</v>
      </c>
      <c r="G412" s="213">
        <f>COMPOSICIÓN!G412</f>
        <v>2</v>
      </c>
      <c r="H412" s="214">
        <f>COMPOSICIÓN!H412</f>
        <v>0.1</v>
      </c>
      <c r="I412" s="215">
        <f>COMPOSICIÓN!I412</f>
        <v>184.87</v>
      </c>
      <c r="J412" s="212" t="str">
        <f>IFERROR(VLOOKUP(A412,PARTIDAS!$A$2:$C$269,3,FALSE()),"")</f>
        <v>MAMPOSTERÍA</v>
      </c>
      <c r="K412" s="212" t="str">
        <f>IFERROR(INDEX(PPTO_GENERADOR!$B$4:$B$220,MATCH(A412,PPTO_GENERADOR!$Q$4:$Q$220,0)),"")</f>
        <v/>
      </c>
      <c r="L412" s="216">
        <f>IF(PLAN_ETAPA!$C$4="(TODOS)",SUMIFS(PPTO_GENERADOR!$E$4:$E$220,PPTO_GENERADOR!$Q$4:$Q$220,A412),SUMIFS(PPTO_GENERADOR!$E$4:$E$220,PPTO_GENERADOR!$Q$4:$Q$220,A412,PPTO_GENERADOR!$B$4:$B$220,PLAN_ETAPA!$C$4))</f>
        <v>0</v>
      </c>
      <c r="M412" s="216">
        <f>IFERROR(VLOOKUP(A412,PARTIDAS!$A$2:$F$269,6,FALSE()),1)</f>
        <v>3.25</v>
      </c>
      <c r="N412" s="216">
        <f>IFERROR(VLOOKUP(A412,PARTIDAS!$A$2:$I$269,9,FALSE()),1)</f>
        <v>1</v>
      </c>
      <c r="O412" s="217">
        <f t="shared" si="12"/>
        <v>0</v>
      </c>
      <c r="P412" s="216">
        <f>IF(O412=0,0,IF(B412="MAT",G412*(1+H412)*L412*PLAN_ETAPA!$C$5,IF(B412="MO",IF(M412=0,0,G412*L412*PLAN_ETAPA!$C$5*N412/M412),IF(B412="EQ",IF(M412=0,0,G412*L412*PLAN_ETAPA!$C$5/M412),0))))</f>
        <v>0</v>
      </c>
      <c r="Q412" s="218">
        <f t="shared" si="13"/>
        <v>0</v>
      </c>
    </row>
    <row r="413" spans="1:17" x14ac:dyDescent="0.35">
      <c r="A413" s="212" t="str">
        <f>COMPOSICIÓN!A413</f>
        <v>ELE-120</v>
      </c>
      <c r="B413" s="212" t="str">
        <f>COMPOSICIÓN!B413</f>
        <v>MAT</v>
      </c>
      <c r="C413" s="212" t="str">
        <f>COMPOSICIÓN!C413</f>
        <v>OTR</v>
      </c>
      <c r="D413" s="212" t="str">
        <f>COMPOSICIÓN!D413</f>
        <v>ELE-008</v>
      </c>
      <c r="E413" s="212" t="str">
        <f>COMPOSICIÓN!E413</f>
        <v>Cable unipolar 1 x 1,50</v>
      </c>
      <c r="F413" s="212" t="str">
        <f>COMPOSICIÓN!F413</f>
        <v>ml</v>
      </c>
      <c r="G413" s="213">
        <f>COMPOSICIÓN!G413</f>
        <v>7.5</v>
      </c>
      <c r="H413" s="214">
        <f>COMPOSICIÓN!H413</f>
        <v>0.1</v>
      </c>
      <c r="I413" s="215">
        <f>COMPOSICIÓN!I413</f>
        <v>316.44450000000001</v>
      </c>
      <c r="J413" s="212" t="str">
        <f>IFERROR(VLOOKUP(A413,PARTIDAS!$A$2:$C$269,3,FALSE()),"")</f>
        <v>MAMPOSTERÍA</v>
      </c>
      <c r="K413" s="212" t="str">
        <f>IFERROR(INDEX(PPTO_GENERADOR!$B$4:$B$220,MATCH(A413,PPTO_GENERADOR!$Q$4:$Q$220,0)),"")</f>
        <v/>
      </c>
      <c r="L413" s="216">
        <f>IF(PLAN_ETAPA!$C$4="(TODOS)",SUMIFS(PPTO_GENERADOR!$E$4:$E$220,PPTO_GENERADOR!$Q$4:$Q$220,A413),SUMIFS(PPTO_GENERADOR!$E$4:$E$220,PPTO_GENERADOR!$Q$4:$Q$220,A413,PPTO_GENERADOR!$B$4:$B$220,PLAN_ETAPA!$C$4))</f>
        <v>0</v>
      </c>
      <c r="M413" s="216">
        <f>IFERROR(VLOOKUP(A413,PARTIDAS!$A$2:$F$269,6,FALSE()),1)</f>
        <v>3.25</v>
      </c>
      <c r="N413" s="216">
        <f>IFERROR(VLOOKUP(A413,PARTIDAS!$A$2:$I$269,9,FALSE()),1)</f>
        <v>1</v>
      </c>
      <c r="O413" s="217">
        <f t="shared" si="12"/>
        <v>0</v>
      </c>
      <c r="P413" s="216">
        <f>IF(O413=0,0,IF(B413="MAT",G413*(1+H413)*L413*PLAN_ETAPA!$C$5,IF(B413="MO",IF(M413=0,0,G413*L413*PLAN_ETAPA!$C$5*N413/M413),IF(B413="EQ",IF(M413=0,0,G413*L413*PLAN_ETAPA!$C$5/M413),0))))</f>
        <v>0</v>
      </c>
      <c r="Q413" s="218">
        <f t="shared" si="13"/>
        <v>0</v>
      </c>
    </row>
    <row r="414" spans="1:17" x14ac:dyDescent="0.35">
      <c r="A414" s="212" t="str">
        <f>COMPOSICIÓN!A414</f>
        <v>ELE-120</v>
      </c>
      <c r="B414" s="212" t="str">
        <f>COMPOSICIÓN!B414</f>
        <v>MAT</v>
      </c>
      <c r="C414" s="212" t="str">
        <f>COMPOSICIÓN!C414</f>
        <v>OTR</v>
      </c>
      <c r="D414" s="212" t="str">
        <f>COMPOSICIÓN!D414</f>
        <v>ELE-009</v>
      </c>
      <c r="E414" s="212" t="str">
        <f>COMPOSICIÓN!E414</f>
        <v>Cable unipolar 1 x 2,50 VA</v>
      </c>
      <c r="F414" s="212" t="str">
        <f>COMPOSICIÓN!F414</f>
        <v>ml</v>
      </c>
      <c r="G414" s="213">
        <f>COMPOSICIÓN!G414</f>
        <v>5</v>
      </c>
      <c r="H414" s="214">
        <f>COMPOSICIÓN!H414</f>
        <v>0.1</v>
      </c>
      <c r="I414" s="215">
        <f>COMPOSICIÓN!I414</f>
        <v>509.31490000000002</v>
      </c>
      <c r="J414" s="212" t="str">
        <f>IFERROR(VLOOKUP(A414,PARTIDAS!$A$2:$C$269,3,FALSE()),"")</f>
        <v>MAMPOSTERÍA</v>
      </c>
      <c r="K414" s="212" t="str">
        <f>IFERROR(INDEX(PPTO_GENERADOR!$B$4:$B$220,MATCH(A414,PPTO_GENERADOR!$Q$4:$Q$220,0)),"")</f>
        <v/>
      </c>
      <c r="L414" s="216">
        <f>IF(PLAN_ETAPA!$C$4="(TODOS)",SUMIFS(PPTO_GENERADOR!$E$4:$E$220,PPTO_GENERADOR!$Q$4:$Q$220,A414),SUMIFS(PPTO_GENERADOR!$E$4:$E$220,PPTO_GENERADOR!$Q$4:$Q$220,A414,PPTO_GENERADOR!$B$4:$B$220,PLAN_ETAPA!$C$4))</f>
        <v>0</v>
      </c>
      <c r="M414" s="216">
        <f>IFERROR(VLOOKUP(A414,PARTIDAS!$A$2:$F$269,6,FALSE()),1)</f>
        <v>3.25</v>
      </c>
      <c r="N414" s="216">
        <f>IFERROR(VLOOKUP(A414,PARTIDAS!$A$2:$I$269,9,FALSE()),1)</f>
        <v>1</v>
      </c>
      <c r="O414" s="217">
        <f t="shared" si="12"/>
        <v>0</v>
      </c>
      <c r="P414" s="216">
        <f>IF(O414=0,0,IF(B414="MAT",G414*(1+H414)*L414*PLAN_ETAPA!$C$5,IF(B414="MO",IF(M414=0,0,G414*L414*PLAN_ETAPA!$C$5*N414/M414),IF(B414="EQ",IF(M414=0,0,G414*L414*PLAN_ETAPA!$C$5/M414),0))))</f>
        <v>0</v>
      </c>
      <c r="Q414" s="218">
        <f t="shared" si="13"/>
        <v>0</v>
      </c>
    </row>
    <row r="415" spans="1:17" x14ac:dyDescent="0.35">
      <c r="A415" s="212" t="str">
        <f>COMPOSICIÓN!A415</f>
        <v>ELE-120</v>
      </c>
      <c r="B415" s="212" t="str">
        <f>COMPOSICIÓN!B415</f>
        <v>MAT</v>
      </c>
      <c r="C415" s="212" t="str">
        <f>COMPOSICIÓN!C415</f>
        <v>OTR</v>
      </c>
      <c r="D415" s="212" t="str">
        <f>COMPOSICIÓN!D415</f>
        <v>ELE-010</v>
      </c>
      <c r="E415" s="212" t="str">
        <f>COMPOSICIÓN!E415</f>
        <v>Cable unipolar 1 x 2,50 Rojo/Marron/Negro</v>
      </c>
      <c r="F415" s="212" t="str">
        <f>COMPOSICIÓN!F415</f>
        <v>ml</v>
      </c>
      <c r="G415" s="213">
        <f>COMPOSICIÓN!G415</f>
        <v>7.5</v>
      </c>
      <c r="H415" s="214">
        <f>COMPOSICIÓN!H415</f>
        <v>0.1</v>
      </c>
      <c r="I415" s="215">
        <f>COMPOSICIÓN!I415</f>
        <v>509.31490000000002</v>
      </c>
      <c r="J415" s="212" t="str">
        <f>IFERROR(VLOOKUP(A415,PARTIDAS!$A$2:$C$269,3,FALSE()),"")</f>
        <v>MAMPOSTERÍA</v>
      </c>
      <c r="K415" s="212" t="str">
        <f>IFERROR(INDEX(PPTO_GENERADOR!$B$4:$B$220,MATCH(A415,PPTO_GENERADOR!$Q$4:$Q$220,0)),"")</f>
        <v/>
      </c>
      <c r="L415" s="216">
        <f>IF(PLAN_ETAPA!$C$4="(TODOS)",SUMIFS(PPTO_GENERADOR!$E$4:$E$220,PPTO_GENERADOR!$Q$4:$Q$220,A415),SUMIFS(PPTO_GENERADOR!$E$4:$E$220,PPTO_GENERADOR!$Q$4:$Q$220,A415,PPTO_GENERADOR!$B$4:$B$220,PLAN_ETAPA!$C$4))</f>
        <v>0</v>
      </c>
      <c r="M415" s="216">
        <f>IFERROR(VLOOKUP(A415,PARTIDAS!$A$2:$F$269,6,FALSE()),1)</f>
        <v>3.25</v>
      </c>
      <c r="N415" s="216">
        <f>IFERROR(VLOOKUP(A415,PARTIDAS!$A$2:$I$269,9,FALSE()),1)</f>
        <v>1</v>
      </c>
      <c r="O415" s="217">
        <f t="shared" si="12"/>
        <v>0</v>
      </c>
      <c r="P415" s="216">
        <f>IF(O415=0,0,IF(B415="MAT",G415*(1+H415)*L415*PLAN_ETAPA!$C$5,IF(B415="MO",IF(M415=0,0,G415*L415*PLAN_ETAPA!$C$5*N415/M415),IF(B415="EQ",IF(M415=0,0,G415*L415*PLAN_ETAPA!$C$5/M415),0))))</f>
        <v>0</v>
      </c>
      <c r="Q415" s="218">
        <f t="shared" si="13"/>
        <v>0</v>
      </c>
    </row>
    <row r="416" spans="1:17" x14ac:dyDescent="0.35">
      <c r="A416" s="212" t="str">
        <f>COMPOSICIÓN!A416</f>
        <v>ELE-120</v>
      </c>
      <c r="B416" s="212" t="str">
        <f>COMPOSICIÓN!B416</f>
        <v>MAT</v>
      </c>
      <c r="C416" s="212" t="str">
        <f>COMPOSICIÓN!C416</f>
        <v>OTR</v>
      </c>
      <c r="D416" s="212" t="str">
        <f>COMPOSICIÓN!D416</f>
        <v>ELE-012</v>
      </c>
      <c r="E416" s="212" t="str">
        <f>COMPOSICIÓN!E416</f>
        <v>Caja octogonal chica</v>
      </c>
      <c r="F416" s="212" t="str">
        <f>COMPOSICIÓN!F416</f>
        <v>u</v>
      </c>
      <c r="G416" s="213">
        <f>COMPOSICIÓN!G416</f>
        <v>1</v>
      </c>
      <c r="H416" s="214">
        <f>COMPOSICIÓN!H416</f>
        <v>0.05</v>
      </c>
      <c r="I416" s="215">
        <f>COMPOSICIÓN!I416</f>
        <v>202.42</v>
      </c>
      <c r="J416" s="212" t="str">
        <f>IFERROR(VLOOKUP(A416,PARTIDAS!$A$2:$C$269,3,FALSE()),"")</f>
        <v>MAMPOSTERÍA</v>
      </c>
      <c r="K416" s="212" t="str">
        <f>IFERROR(INDEX(PPTO_GENERADOR!$B$4:$B$220,MATCH(A416,PPTO_GENERADOR!$Q$4:$Q$220,0)),"")</f>
        <v/>
      </c>
      <c r="L416" s="216">
        <f>IF(PLAN_ETAPA!$C$4="(TODOS)",SUMIFS(PPTO_GENERADOR!$E$4:$E$220,PPTO_GENERADOR!$Q$4:$Q$220,A416),SUMIFS(PPTO_GENERADOR!$E$4:$E$220,PPTO_GENERADOR!$Q$4:$Q$220,A416,PPTO_GENERADOR!$B$4:$B$220,PLAN_ETAPA!$C$4))</f>
        <v>0</v>
      </c>
      <c r="M416" s="216">
        <f>IFERROR(VLOOKUP(A416,PARTIDAS!$A$2:$F$269,6,FALSE()),1)</f>
        <v>3.25</v>
      </c>
      <c r="N416" s="216">
        <f>IFERROR(VLOOKUP(A416,PARTIDAS!$A$2:$I$269,9,FALSE()),1)</f>
        <v>1</v>
      </c>
      <c r="O416" s="217">
        <f t="shared" si="12"/>
        <v>0</v>
      </c>
      <c r="P416" s="216">
        <f>IF(O416=0,0,IF(B416="MAT",G416*(1+H416)*L416*PLAN_ETAPA!$C$5,IF(B416="MO",IF(M416=0,0,G416*L416*PLAN_ETAPA!$C$5*N416/M416),IF(B416="EQ",IF(M416=0,0,G416*L416*PLAN_ETAPA!$C$5/M416),0))))</f>
        <v>0</v>
      </c>
      <c r="Q416" s="218">
        <f t="shared" si="13"/>
        <v>0</v>
      </c>
    </row>
    <row r="417" spans="1:17" x14ac:dyDescent="0.35">
      <c r="A417" s="212" t="str">
        <f>COMPOSICIÓN!A417</f>
        <v>ELE-120</v>
      </c>
      <c r="B417" s="212" t="str">
        <f>COMPOSICIÓN!B417</f>
        <v>MAT</v>
      </c>
      <c r="C417" s="212" t="str">
        <f>COMPOSICIÓN!C417</f>
        <v>OTR</v>
      </c>
      <c r="D417" s="212" t="str">
        <f>COMPOSICIÓN!D417</f>
        <v>ELE-014</v>
      </c>
      <c r="E417" s="212" t="str">
        <f>COMPOSICIÓN!E417</f>
        <v>Caja rectangular chica</v>
      </c>
      <c r="F417" s="212" t="str">
        <f>COMPOSICIÓN!F417</f>
        <v>u</v>
      </c>
      <c r="G417" s="213">
        <f>COMPOSICIÓN!G417</f>
        <v>0.5</v>
      </c>
      <c r="H417" s="214">
        <f>COMPOSICIÓN!H417</f>
        <v>0.05</v>
      </c>
      <c r="I417" s="215">
        <f>COMPOSICIÓN!I417</f>
        <v>202.42</v>
      </c>
      <c r="J417" s="212" t="str">
        <f>IFERROR(VLOOKUP(A417,PARTIDAS!$A$2:$C$269,3,FALSE()),"")</f>
        <v>MAMPOSTERÍA</v>
      </c>
      <c r="K417" s="212" t="str">
        <f>IFERROR(INDEX(PPTO_GENERADOR!$B$4:$B$220,MATCH(A417,PPTO_GENERADOR!$Q$4:$Q$220,0)),"")</f>
        <v/>
      </c>
      <c r="L417" s="216">
        <f>IF(PLAN_ETAPA!$C$4="(TODOS)",SUMIFS(PPTO_GENERADOR!$E$4:$E$220,PPTO_GENERADOR!$Q$4:$Q$220,A417),SUMIFS(PPTO_GENERADOR!$E$4:$E$220,PPTO_GENERADOR!$Q$4:$Q$220,A417,PPTO_GENERADOR!$B$4:$B$220,PLAN_ETAPA!$C$4))</f>
        <v>0</v>
      </c>
      <c r="M417" s="216">
        <f>IFERROR(VLOOKUP(A417,PARTIDAS!$A$2:$F$269,6,FALSE()),1)</f>
        <v>3.25</v>
      </c>
      <c r="N417" s="216">
        <f>IFERROR(VLOOKUP(A417,PARTIDAS!$A$2:$I$269,9,FALSE()),1)</f>
        <v>1</v>
      </c>
      <c r="O417" s="217">
        <f t="shared" si="12"/>
        <v>0</v>
      </c>
      <c r="P417" s="216">
        <f>IF(O417=0,0,IF(B417="MAT",G417*(1+H417)*L417*PLAN_ETAPA!$C$5,IF(B417="MO",IF(M417=0,0,G417*L417*PLAN_ETAPA!$C$5*N417/M417),IF(B417="EQ",IF(M417=0,0,G417*L417*PLAN_ETAPA!$C$5/M417),0))))</f>
        <v>0</v>
      </c>
      <c r="Q417" s="218">
        <f t="shared" si="13"/>
        <v>0</v>
      </c>
    </row>
    <row r="418" spans="1:17" x14ac:dyDescent="0.35">
      <c r="A418" s="212" t="str">
        <f>COMPOSICIÓN!A418</f>
        <v>ELE-120</v>
      </c>
      <c r="B418" s="212" t="str">
        <f>COMPOSICIÓN!B418</f>
        <v>MAT</v>
      </c>
      <c r="C418" s="212" t="str">
        <f>COMPOSICIÓN!C418</f>
        <v>OTR</v>
      </c>
      <c r="D418" s="212" t="str">
        <f>COMPOSICIÓN!D418</f>
        <v>MAT-CONS</v>
      </c>
      <c r="E418" s="212" t="str">
        <f>COMPOSICIÓN!E418</f>
        <v>Consumibles</v>
      </c>
      <c r="F418" s="212" t="str">
        <f>COMPOSICIÓN!F418</f>
        <v>gl</v>
      </c>
      <c r="G418" s="213">
        <f>COMPOSICIÓN!G418</f>
        <v>3100.945995</v>
      </c>
      <c r="H418" s="214">
        <f>COMPOSICIÓN!H418</f>
        <v>0</v>
      </c>
      <c r="I418" s="215">
        <f>COMPOSICIÓN!I418</f>
        <v>1</v>
      </c>
      <c r="J418" s="212" t="str">
        <f>IFERROR(VLOOKUP(A418,PARTIDAS!$A$2:$C$269,3,FALSE()),"")</f>
        <v>MAMPOSTERÍA</v>
      </c>
      <c r="K418" s="212" t="str">
        <f>IFERROR(INDEX(PPTO_GENERADOR!$B$4:$B$220,MATCH(A418,PPTO_GENERADOR!$Q$4:$Q$220,0)),"")</f>
        <v/>
      </c>
      <c r="L418" s="216">
        <f>IF(PLAN_ETAPA!$C$4="(TODOS)",SUMIFS(PPTO_GENERADOR!$E$4:$E$220,PPTO_GENERADOR!$Q$4:$Q$220,A418),SUMIFS(PPTO_GENERADOR!$E$4:$E$220,PPTO_GENERADOR!$Q$4:$Q$220,A418,PPTO_GENERADOR!$B$4:$B$220,PLAN_ETAPA!$C$4))</f>
        <v>0</v>
      </c>
      <c r="M418" s="216">
        <f>IFERROR(VLOOKUP(A418,PARTIDAS!$A$2:$F$269,6,FALSE()),1)</f>
        <v>3.25</v>
      </c>
      <c r="N418" s="216">
        <f>IFERROR(VLOOKUP(A418,PARTIDAS!$A$2:$I$269,9,FALSE()),1)</f>
        <v>1</v>
      </c>
      <c r="O418" s="217">
        <f t="shared" si="12"/>
        <v>0</v>
      </c>
      <c r="P418" s="216">
        <f>IF(O418=0,0,IF(B418="MAT",G418*(1+H418)*L418*PLAN_ETAPA!$C$5,IF(B418="MO",IF(M418=0,0,G418*L418*PLAN_ETAPA!$C$5*N418/M418),IF(B418="EQ",IF(M418=0,0,G418*L418*PLAN_ETAPA!$C$5/M418),0))))</f>
        <v>0</v>
      </c>
      <c r="Q418" s="218">
        <f t="shared" si="13"/>
        <v>0</v>
      </c>
    </row>
    <row r="419" spans="1:17" x14ac:dyDescent="0.35">
      <c r="A419" s="212" t="str">
        <f>COMPOSICIÓN!A419</f>
        <v>ELE-120</v>
      </c>
      <c r="B419" s="212" t="str">
        <f>COMPOSICIÓN!B419</f>
        <v>MO</v>
      </c>
      <c r="C419" s="212" t="str">
        <f>COMPOSICIÓN!C419</f>
        <v>ALB</v>
      </c>
      <c r="D419" s="212" t="str">
        <f>COMPOSICIÓN!D419</f>
        <v>MO-EAYUD</v>
      </c>
      <c r="E419" s="212" t="str">
        <f>COMPOSICIÓN!E419</f>
        <v>AYUDANTE</v>
      </c>
      <c r="F419" s="212" t="str">
        <f>COMPOSICIÓN!F419</f>
        <v>j</v>
      </c>
      <c r="G419" s="213">
        <f>COMPOSICIÓN!G419</f>
        <v>1</v>
      </c>
      <c r="H419" s="214">
        <f>COMPOSICIÓN!H419</f>
        <v>0</v>
      </c>
      <c r="I419" s="215">
        <f>COMPOSICIÓN!I419</f>
        <v>60860.580776572002</v>
      </c>
      <c r="J419" s="212" t="str">
        <f>IFERROR(VLOOKUP(A419,PARTIDAS!$A$2:$C$269,3,FALSE()),"")</f>
        <v>MAMPOSTERÍA</v>
      </c>
      <c r="K419" s="212" t="str">
        <f>IFERROR(INDEX(PPTO_GENERADOR!$B$4:$B$220,MATCH(A419,PPTO_GENERADOR!$Q$4:$Q$220,0)),"")</f>
        <v/>
      </c>
      <c r="L419" s="216">
        <f>IF(PLAN_ETAPA!$C$4="(TODOS)",SUMIFS(PPTO_GENERADOR!$E$4:$E$220,PPTO_GENERADOR!$Q$4:$Q$220,A419),SUMIFS(PPTO_GENERADOR!$E$4:$E$220,PPTO_GENERADOR!$Q$4:$Q$220,A419,PPTO_GENERADOR!$B$4:$B$220,PLAN_ETAPA!$C$4))</f>
        <v>0</v>
      </c>
      <c r="M419" s="216">
        <f>IFERROR(VLOOKUP(A419,PARTIDAS!$A$2:$F$269,6,FALSE()),1)</f>
        <v>3.25</v>
      </c>
      <c r="N419" s="216">
        <f>IFERROR(VLOOKUP(A419,PARTIDAS!$A$2:$I$269,9,FALSE()),1)</f>
        <v>1</v>
      </c>
      <c r="O419" s="217">
        <f t="shared" si="12"/>
        <v>0</v>
      </c>
      <c r="P419" s="216">
        <f>IF(O419=0,0,IF(B419="MAT",G419*(1+H419)*L419*PLAN_ETAPA!$C$5,IF(B419="MO",IF(M419=0,0,G419*L419*PLAN_ETAPA!$C$5*N419/M419),IF(B419="EQ",IF(M419=0,0,G419*L419*PLAN_ETAPA!$C$5/M419),0))))</f>
        <v>0</v>
      </c>
      <c r="Q419" s="218">
        <f t="shared" si="13"/>
        <v>0</v>
      </c>
    </row>
    <row r="420" spans="1:17" x14ac:dyDescent="0.35">
      <c r="A420" s="212" t="str">
        <f>COMPOSICIÓN!A420</f>
        <v>ELE-120</v>
      </c>
      <c r="B420" s="212" t="str">
        <f>COMPOSICIÓN!B420</f>
        <v>MO</v>
      </c>
      <c r="C420" s="212" t="str">
        <f>COMPOSICIÓN!C420</f>
        <v>ALB</v>
      </c>
      <c r="D420" s="212" t="str">
        <f>COMPOSICIÓN!D420</f>
        <v>MO-EESPE</v>
      </c>
      <c r="E420" s="212" t="str">
        <f>COMPOSICIÓN!E420</f>
        <v>ESPECIALIZADO</v>
      </c>
      <c r="F420" s="212" t="str">
        <f>COMPOSICIÓN!F420</f>
        <v>j</v>
      </c>
      <c r="G420" s="213">
        <f>COMPOSICIÓN!G420</f>
        <v>1</v>
      </c>
      <c r="H420" s="214">
        <f>COMPOSICIÓN!H420</f>
        <v>0</v>
      </c>
      <c r="I420" s="215">
        <f>COMPOSICIÓN!I420</f>
        <v>85927.097156571996</v>
      </c>
      <c r="J420" s="212" t="str">
        <f>IFERROR(VLOOKUP(A420,PARTIDAS!$A$2:$C$269,3,FALSE()),"")</f>
        <v>MAMPOSTERÍA</v>
      </c>
      <c r="K420" s="212" t="str">
        <f>IFERROR(INDEX(PPTO_GENERADOR!$B$4:$B$220,MATCH(A420,PPTO_GENERADOR!$Q$4:$Q$220,0)),"")</f>
        <v/>
      </c>
      <c r="L420" s="216">
        <f>IF(PLAN_ETAPA!$C$4="(TODOS)",SUMIFS(PPTO_GENERADOR!$E$4:$E$220,PPTO_GENERADOR!$Q$4:$Q$220,A420),SUMIFS(PPTO_GENERADOR!$E$4:$E$220,PPTO_GENERADOR!$Q$4:$Q$220,A420,PPTO_GENERADOR!$B$4:$B$220,PLAN_ETAPA!$C$4))</f>
        <v>0</v>
      </c>
      <c r="M420" s="216">
        <f>IFERROR(VLOOKUP(A420,PARTIDAS!$A$2:$F$269,6,FALSE()),1)</f>
        <v>3.25</v>
      </c>
      <c r="N420" s="216">
        <f>IFERROR(VLOOKUP(A420,PARTIDAS!$A$2:$I$269,9,FALSE()),1)</f>
        <v>1</v>
      </c>
      <c r="O420" s="217">
        <f t="shared" si="12"/>
        <v>0</v>
      </c>
      <c r="P420" s="216">
        <f>IF(O420=0,0,IF(B420="MAT",G420*(1+H420)*L420*PLAN_ETAPA!$C$5,IF(B420="MO",IF(M420=0,0,G420*L420*PLAN_ETAPA!$C$5*N420/M420),IF(B420="EQ",IF(M420=0,0,G420*L420*PLAN_ETAPA!$C$5/M420),0))))</f>
        <v>0</v>
      </c>
      <c r="Q420" s="218">
        <f t="shared" si="13"/>
        <v>0</v>
      </c>
    </row>
    <row r="421" spans="1:17" x14ac:dyDescent="0.35">
      <c r="A421" s="212" t="str">
        <f>COMPOSICIÓN!A421</f>
        <v>ELE-121</v>
      </c>
      <c r="B421" s="212" t="str">
        <f>COMPOSICIÓN!B421</f>
        <v>EQ</v>
      </c>
      <c r="C421" s="212">
        <f>COMPOSICIÓN!C421</f>
        <v>0</v>
      </c>
      <c r="D421" s="212" t="str">
        <f>COMPOSICIÓN!D421</f>
        <v>EQ-ANDAM0</v>
      </c>
      <c r="E421" s="212" t="str">
        <f>COMPOSICIÓN!E421</f>
        <v>ANDAMIO TUBULAR DE UNO A TRES CUERPOS</v>
      </c>
      <c r="F421" s="212">
        <f>COMPOSICIÓN!F421</f>
        <v>0</v>
      </c>
      <c r="G421" s="213">
        <f>COMPOSICIÓN!G421</f>
        <v>0.5</v>
      </c>
      <c r="H421" s="214">
        <f>COMPOSICIÓN!H421</f>
        <v>0</v>
      </c>
      <c r="I421" s="215">
        <f>COMPOSICIÓN!I421</f>
        <v>571.1794909807611</v>
      </c>
      <c r="J421" s="212" t="str">
        <f>IFERROR(VLOOKUP(A421,PARTIDAS!$A$2:$C$269,3,FALSE()),"")</f>
        <v>MAMPOSTERÍA</v>
      </c>
      <c r="K421" s="212" t="str">
        <f>IFERROR(INDEX(PPTO_GENERADOR!$B$4:$B$220,MATCH(A421,PPTO_GENERADOR!$Q$4:$Q$220,0)),"")</f>
        <v/>
      </c>
      <c r="L421" s="216">
        <f>IF(PLAN_ETAPA!$C$4="(TODOS)",SUMIFS(PPTO_GENERADOR!$E$4:$E$220,PPTO_GENERADOR!$Q$4:$Q$220,A421),SUMIFS(PPTO_GENERADOR!$E$4:$E$220,PPTO_GENERADOR!$Q$4:$Q$220,A421,PPTO_GENERADOR!$B$4:$B$220,PLAN_ETAPA!$C$4))</f>
        <v>0</v>
      </c>
      <c r="M421" s="216">
        <f>IFERROR(VLOOKUP(A421,PARTIDAS!$A$2:$F$269,6,FALSE()),1)</f>
        <v>3.25</v>
      </c>
      <c r="N421" s="216">
        <f>IFERROR(VLOOKUP(A421,PARTIDAS!$A$2:$I$269,9,FALSE()),1)</f>
        <v>1</v>
      </c>
      <c r="O421" s="217">
        <f t="shared" si="12"/>
        <v>0</v>
      </c>
      <c r="P421" s="216">
        <f>IF(O421=0,0,IF(B421="MAT",G421*(1+H421)*L421*PLAN_ETAPA!$C$5,IF(B421="MO",IF(M421=0,0,G421*L421*PLAN_ETAPA!$C$5*N421/M421),IF(B421="EQ",IF(M421=0,0,G421*L421*PLAN_ETAPA!$C$5/M421),0))))</f>
        <v>0</v>
      </c>
      <c r="Q421" s="218">
        <f t="shared" si="13"/>
        <v>0</v>
      </c>
    </row>
    <row r="422" spans="1:17" x14ac:dyDescent="0.35">
      <c r="A422" s="212" t="str">
        <f>COMPOSICIÓN!A422</f>
        <v>ELE-121</v>
      </c>
      <c r="B422" s="212" t="str">
        <f>COMPOSICIÓN!B422</f>
        <v>EQ</v>
      </c>
      <c r="C422" s="212">
        <f>COMPOSICIÓN!C422</f>
        <v>0</v>
      </c>
      <c r="D422" s="212" t="str">
        <f>COMPOSICIÓN!D422</f>
        <v>EQ-EQUIP0</v>
      </c>
      <c r="E422" s="212" t="str">
        <f>COMPOSICIÓN!E422</f>
        <v>EQUIPO PARA INSTALACION ELECTRICA</v>
      </c>
      <c r="F422" s="212">
        <f>COMPOSICIÓN!F422</f>
        <v>0</v>
      </c>
      <c r="G422" s="213">
        <f>COMPOSICIÓN!G422</f>
        <v>1</v>
      </c>
      <c r="H422" s="214">
        <f>COMPOSICIÓN!H422</f>
        <v>0</v>
      </c>
      <c r="I422" s="215">
        <f>COMPOSICIÓN!I422</f>
        <v>5063.0947914732405</v>
      </c>
      <c r="J422" s="212" t="str">
        <f>IFERROR(VLOOKUP(A422,PARTIDAS!$A$2:$C$269,3,FALSE()),"")</f>
        <v>MAMPOSTERÍA</v>
      </c>
      <c r="K422" s="212" t="str">
        <f>IFERROR(INDEX(PPTO_GENERADOR!$B$4:$B$220,MATCH(A422,PPTO_GENERADOR!$Q$4:$Q$220,0)),"")</f>
        <v/>
      </c>
      <c r="L422" s="216">
        <f>IF(PLAN_ETAPA!$C$4="(TODOS)",SUMIFS(PPTO_GENERADOR!$E$4:$E$220,PPTO_GENERADOR!$Q$4:$Q$220,A422),SUMIFS(PPTO_GENERADOR!$E$4:$E$220,PPTO_GENERADOR!$Q$4:$Q$220,A422,PPTO_GENERADOR!$B$4:$B$220,PLAN_ETAPA!$C$4))</f>
        <v>0</v>
      </c>
      <c r="M422" s="216">
        <f>IFERROR(VLOOKUP(A422,PARTIDAS!$A$2:$F$269,6,FALSE()),1)</f>
        <v>3.25</v>
      </c>
      <c r="N422" s="216">
        <f>IFERROR(VLOOKUP(A422,PARTIDAS!$A$2:$I$269,9,FALSE()),1)</f>
        <v>1</v>
      </c>
      <c r="O422" s="217">
        <f t="shared" si="12"/>
        <v>0</v>
      </c>
      <c r="P422" s="216">
        <f>IF(O422=0,0,IF(B422="MAT",G422*(1+H422)*L422*PLAN_ETAPA!$C$5,IF(B422="MO",IF(M422=0,0,G422*L422*PLAN_ETAPA!$C$5*N422/M422),IF(B422="EQ",IF(M422=0,0,G422*L422*PLAN_ETAPA!$C$5/M422),0))))</f>
        <v>0</v>
      </c>
      <c r="Q422" s="218">
        <f t="shared" si="13"/>
        <v>0</v>
      </c>
    </row>
    <row r="423" spans="1:17" x14ac:dyDescent="0.35">
      <c r="A423" s="212" t="str">
        <f>COMPOSICIÓN!A423</f>
        <v>ELE-121</v>
      </c>
      <c r="B423" s="212" t="str">
        <f>COMPOSICIÓN!B423</f>
        <v>EQ</v>
      </c>
      <c r="C423" s="212">
        <f>COMPOSICIÓN!C423</f>
        <v>0</v>
      </c>
      <c r="D423" s="212" t="str">
        <f>COMPOSICIÓN!D423</f>
        <v>EQ-ESCALE</v>
      </c>
      <c r="E423" s="212" t="str">
        <f>COMPOSICIÓN!E423</f>
        <v>ESCALERA GLOSS ALUMINIO ARTICULADA 4 X 4 ESCALONES HASTA 150KG</v>
      </c>
      <c r="F423" s="212">
        <f>COMPOSICIÓN!F423</f>
        <v>0</v>
      </c>
      <c r="G423" s="213">
        <f>COMPOSICIÓN!G423</f>
        <v>0.5</v>
      </c>
      <c r="H423" s="214">
        <f>COMPOSICIÓN!H423</f>
        <v>0</v>
      </c>
      <c r="I423" s="215">
        <f>COMPOSICIÓN!I423</f>
        <v>140.19809259430903</v>
      </c>
      <c r="J423" s="212" t="str">
        <f>IFERROR(VLOOKUP(A423,PARTIDAS!$A$2:$C$269,3,FALSE()),"")</f>
        <v>MAMPOSTERÍA</v>
      </c>
      <c r="K423" s="212" t="str">
        <f>IFERROR(INDEX(PPTO_GENERADOR!$B$4:$B$220,MATCH(A423,PPTO_GENERADOR!$Q$4:$Q$220,0)),"")</f>
        <v/>
      </c>
      <c r="L423" s="216">
        <f>IF(PLAN_ETAPA!$C$4="(TODOS)",SUMIFS(PPTO_GENERADOR!$E$4:$E$220,PPTO_GENERADOR!$Q$4:$Q$220,A423),SUMIFS(PPTO_GENERADOR!$E$4:$E$220,PPTO_GENERADOR!$Q$4:$Q$220,A423,PPTO_GENERADOR!$B$4:$B$220,PLAN_ETAPA!$C$4))</f>
        <v>0</v>
      </c>
      <c r="M423" s="216">
        <f>IFERROR(VLOOKUP(A423,PARTIDAS!$A$2:$F$269,6,FALSE()),1)</f>
        <v>3.25</v>
      </c>
      <c r="N423" s="216">
        <f>IFERROR(VLOOKUP(A423,PARTIDAS!$A$2:$I$269,9,FALSE()),1)</f>
        <v>1</v>
      </c>
      <c r="O423" s="217">
        <f t="shared" si="12"/>
        <v>0</v>
      </c>
      <c r="P423" s="216">
        <f>IF(O423=0,0,IF(B423="MAT",G423*(1+H423)*L423*PLAN_ETAPA!$C$5,IF(B423="MO",IF(M423=0,0,G423*L423*PLAN_ETAPA!$C$5*N423/M423),IF(B423="EQ",IF(M423=0,0,G423*L423*PLAN_ETAPA!$C$5/M423),0))))</f>
        <v>0</v>
      </c>
      <c r="Q423" s="218">
        <f t="shared" si="13"/>
        <v>0</v>
      </c>
    </row>
    <row r="424" spans="1:17" x14ac:dyDescent="0.35">
      <c r="A424" s="212" t="str">
        <f>COMPOSICIÓN!A424</f>
        <v>ELE-121</v>
      </c>
      <c r="B424" s="212" t="str">
        <f>COMPOSICIÓN!B424</f>
        <v>MAT</v>
      </c>
      <c r="C424" s="212" t="str">
        <f>COMPOSICIÓN!C424</f>
        <v>OTR</v>
      </c>
      <c r="D424" s="212" t="str">
        <f>COMPOSICIÓN!D424</f>
        <v>ACE-017</v>
      </c>
      <c r="E424" s="212" t="str">
        <f>COMPOSICIÓN!E424</f>
        <v>Conector hierro 3/4"</v>
      </c>
      <c r="F424" s="212" t="str">
        <f>COMPOSICIÓN!F424</f>
        <v>u</v>
      </c>
      <c r="G424" s="213">
        <f>COMPOSICIÓN!G424</f>
        <v>4</v>
      </c>
      <c r="H424" s="214">
        <f>COMPOSICIÓN!H424</f>
        <v>0.1</v>
      </c>
      <c r="I424" s="215">
        <f>COMPOSICIÓN!I424</f>
        <v>225.83199999999999</v>
      </c>
      <c r="J424" s="212" t="str">
        <f>IFERROR(VLOOKUP(A424,PARTIDAS!$A$2:$C$269,3,FALSE()),"")</f>
        <v>MAMPOSTERÍA</v>
      </c>
      <c r="K424" s="212" t="str">
        <f>IFERROR(INDEX(PPTO_GENERADOR!$B$4:$B$220,MATCH(A424,PPTO_GENERADOR!$Q$4:$Q$220,0)),"")</f>
        <v/>
      </c>
      <c r="L424" s="216">
        <f>IF(PLAN_ETAPA!$C$4="(TODOS)",SUMIFS(PPTO_GENERADOR!$E$4:$E$220,PPTO_GENERADOR!$Q$4:$Q$220,A424),SUMIFS(PPTO_GENERADOR!$E$4:$E$220,PPTO_GENERADOR!$Q$4:$Q$220,A424,PPTO_GENERADOR!$B$4:$B$220,PLAN_ETAPA!$C$4))</f>
        <v>0</v>
      </c>
      <c r="M424" s="216">
        <f>IFERROR(VLOOKUP(A424,PARTIDAS!$A$2:$F$269,6,FALSE()),1)</f>
        <v>3.25</v>
      </c>
      <c r="N424" s="216">
        <f>IFERROR(VLOOKUP(A424,PARTIDAS!$A$2:$I$269,9,FALSE()),1)</f>
        <v>1</v>
      </c>
      <c r="O424" s="217">
        <f t="shared" si="12"/>
        <v>0</v>
      </c>
      <c r="P424" s="216">
        <f>IF(O424=0,0,IF(B424="MAT",G424*(1+H424)*L424*PLAN_ETAPA!$C$5,IF(B424="MO",IF(M424=0,0,G424*L424*PLAN_ETAPA!$C$5*N424/M424),IF(B424="EQ",IF(M424=0,0,G424*L424*PLAN_ETAPA!$C$5/M424),0))))</f>
        <v>0</v>
      </c>
      <c r="Q424" s="218">
        <f t="shared" si="13"/>
        <v>0</v>
      </c>
    </row>
    <row r="425" spans="1:17" x14ac:dyDescent="0.35">
      <c r="A425" s="212" t="str">
        <f>COMPOSICIÓN!A425</f>
        <v>ELE-121</v>
      </c>
      <c r="B425" s="212" t="str">
        <f>COMPOSICIÓN!B425</f>
        <v>MAT</v>
      </c>
      <c r="C425" s="212" t="str">
        <f>COMPOSICIÓN!C425</f>
        <v>OTR</v>
      </c>
      <c r="D425" s="212" t="str">
        <f>COMPOSICIÓN!D425</f>
        <v>ELE-004</v>
      </c>
      <c r="E425" s="212" t="str">
        <f>COMPOSICIÓN!E425</f>
        <v>Caño rigido 3/4"</v>
      </c>
      <c r="F425" s="212" t="str">
        <f>COMPOSICIÓN!F425</f>
        <v>ml</v>
      </c>
      <c r="G425" s="213">
        <f>COMPOSICIÓN!G425</f>
        <v>5</v>
      </c>
      <c r="H425" s="214">
        <f>COMPOSICIÓN!H425</f>
        <v>0.05</v>
      </c>
      <c r="I425" s="215">
        <f>COMPOSICIÓN!I425</f>
        <v>472.18</v>
      </c>
      <c r="J425" s="212" t="str">
        <f>IFERROR(VLOOKUP(A425,PARTIDAS!$A$2:$C$269,3,FALSE()),"")</f>
        <v>MAMPOSTERÍA</v>
      </c>
      <c r="K425" s="212" t="str">
        <f>IFERROR(INDEX(PPTO_GENERADOR!$B$4:$B$220,MATCH(A425,PPTO_GENERADOR!$Q$4:$Q$220,0)),"")</f>
        <v/>
      </c>
      <c r="L425" s="216">
        <f>IF(PLAN_ETAPA!$C$4="(TODOS)",SUMIFS(PPTO_GENERADOR!$E$4:$E$220,PPTO_GENERADOR!$Q$4:$Q$220,A425),SUMIFS(PPTO_GENERADOR!$E$4:$E$220,PPTO_GENERADOR!$Q$4:$Q$220,A425,PPTO_GENERADOR!$B$4:$B$220,PLAN_ETAPA!$C$4))</f>
        <v>0</v>
      </c>
      <c r="M425" s="216">
        <f>IFERROR(VLOOKUP(A425,PARTIDAS!$A$2:$F$269,6,FALSE()),1)</f>
        <v>3.25</v>
      </c>
      <c r="N425" s="216">
        <f>IFERROR(VLOOKUP(A425,PARTIDAS!$A$2:$I$269,9,FALSE()),1)</f>
        <v>1</v>
      </c>
      <c r="O425" s="217">
        <f t="shared" si="12"/>
        <v>0</v>
      </c>
      <c r="P425" s="216">
        <f>IF(O425=0,0,IF(B425="MAT",G425*(1+H425)*L425*PLAN_ETAPA!$C$5,IF(B425="MO",IF(M425=0,0,G425*L425*PLAN_ETAPA!$C$5*N425/M425),IF(B425="EQ",IF(M425=0,0,G425*L425*PLAN_ETAPA!$C$5/M425),0))))</f>
        <v>0</v>
      </c>
      <c r="Q425" s="218">
        <f t="shared" si="13"/>
        <v>0</v>
      </c>
    </row>
    <row r="426" spans="1:17" x14ac:dyDescent="0.35">
      <c r="A426" s="212" t="str">
        <f>COMPOSICIÓN!A426</f>
        <v>ELE-121</v>
      </c>
      <c r="B426" s="212" t="str">
        <f>COMPOSICIÓN!B426</f>
        <v>MAT</v>
      </c>
      <c r="C426" s="212" t="str">
        <f>COMPOSICIÓN!C426</f>
        <v>OTR</v>
      </c>
      <c r="D426" s="212" t="str">
        <f>COMPOSICIÓN!D426</f>
        <v>ELE-005</v>
      </c>
      <c r="E426" s="212" t="str">
        <f>COMPOSICIÓN!E426</f>
        <v>Cupla PVC 3/4"</v>
      </c>
      <c r="F426" s="212" t="str">
        <f>COMPOSICIÓN!F426</f>
        <v>u</v>
      </c>
      <c r="G426" s="213">
        <f>COMPOSICIÓN!G426</f>
        <v>1.2</v>
      </c>
      <c r="H426" s="214">
        <f>COMPOSICIÓN!H426</f>
        <v>0.1</v>
      </c>
      <c r="I426" s="215">
        <f>COMPOSICIÓN!I426</f>
        <v>110.922</v>
      </c>
      <c r="J426" s="212" t="str">
        <f>IFERROR(VLOOKUP(A426,PARTIDAS!$A$2:$C$269,3,FALSE()),"")</f>
        <v>MAMPOSTERÍA</v>
      </c>
      <c r="K426" s="212" t="str">
        <f>IFERROR(INDEX(PPTO_GENERADOR!$B$4:$B$220,MATCH(A426,PPTO_GENERADOR!$Q$4:$Q$220,0)),"")</f>
        <v/>
      </c>
      <c r="L426" s="216">
        <f>IF(PLAN_ETAPA!$C$4="(TODOS)",SUMIFS(PPTO_GENERADOR!$E$4:$E$220,PPTO_GENERADOR!$Q$4:$Q$220,A426),SUMIFS(PPTO_GENERADOR!$E$4:$E$220,PPTO_GENERADOR!$Q$4:$Q$220,A426,PPTO_GENERADOR!$B$4:$B$220,PLAN_ETAPA!$C$4))</f>
        <v>0</v>
      </c>
      <c r="M426" s="216">
        <f>IFERROR(VLOOKUP(A426,PARTIDAS!$A$2:$F$269,6,FALSE()),1)</f>
        <v>3.25</v>
      </c>
      <c r="N426" s="216">
        <f>IFERROR(VLOOKUP(A426,PARTIDAS!$A$2:$I$269,9,FALSE()),1)</f>
        <v>1</v>
      </c>
      <c r="O426" s="217">
        <f t="shared" si="12"/>
        <v>0</v>
      </c>
      <c r="P426" s="216">
        <f>IF(O426=0,0,IF(B426="MAT",G426*(1+H426)*L426*PLAN_ETAPA!$C$5,IF(B426="MO",IF(M426=0,0,G426*L426*PLAN_ETAPA!$C$5*N426/M426),IF(B426="EQ",IF(M426=0,0,G426*L426*PLAN_ETAPA!$C$5/M426),0))))</f>
        <v>0</v>
      </c>
      <c r="Q426" s="218">
        <f t="shared" si="13"/>
        <v>0</v>
      </c>
    </row>
    <row r="427" spans="1:17" x14ac:dyDescent="0.35">
      <c r="A427" s="212" t="str">
        <f>COMPOSICIÓN!A427</f>
        <v>ELE-121</v>
      </c>
      <c r="B427" s="212" t="str">
        <f>COMPOSICIÓN!B427</f>
        <v>MAT</v>
      </c>
      <c r="C427" s="212" t="str">
        <f>COMPOSICIÓN!C427</f>
        <v>OTR</v>
      </c>
      <c r="D427" s="212" t="str">
        <f>COMPOSICIÓN!D427</f>
        <v>ELE-009</v>
      </c>
      <c r="E427" s="212" t="str">
        <f>COMPOSICIÓN!E427</f>
        <v>Cable unipolar 1 x 2,50 VA</v>
      </c>
      <c r="F427" s="212" t="str">
        <f>COMPOSICIÓN!F427</f>
        <v>ml</v>
      </c>
      <c r="G427" s="213">
        <f>COMPOSICIÓN!G427</f>
        <v>5</v>
      </c>
      <c r="H427" s="214">
        <f>COMPOSICIÓN!H427</f>
        <v>0.1</v>
      </c>
      <c r="I427" s="215">
        <f>COMPOSICIÓN!I427</f>
        <v>509.31490000000002</v>
      </c>
      <c r="J427" s="212" t="str">
        <f>IFERROR(VLOOKUP(A427,PARTIDAS!$A$2:$C$269,3,FALSE()),"")</f>
        <v>MAMPOSTERÍA</v>
      </c>
      <c r="K427" s="212" t="str">
        <f>IFERROR(INDEX(PPTO_GENERADOR!$B$4:$B$220,MATCH(A427,PPTO_GENERADOR!$Q$4:$Q$220,0)),"")</f>
        <v/>
      </c>
      <c r="L427" s="216">
        <f>IF(PLAN_ETAPA!$C$4="(TODOS)",SUMIFS(PPTO_GENERADOR!$E$4:$E$220,PPTO_GENERADOR!$Q$4:$Q$220,A427),SUMIFS(PPTO_GENERADOR!$E$4:$E$220,PPTO_GENERADOR!$Q$4:$Q$220,A427,PPTO_GENERADOR!$B$4:$B$220,PLAN_ETAPA!$C$4))</f>
        <v>0</v>
      </c>
      <c r="M427" s="216">
        <f>IFERROR(VLOOKUP(A427,PARTIDAS!$A$2:$F$269,6,FALSE()),1)</f>
        <v>3.25</v>
      </c>
      <c r="N427" s="216">
        <f>IFERROR(VLOOKUP(A427,PARTIDAS!$A$2:$I$269,9,FALSE()),1)</f>
        <v>1</v>
      </c>
      <c r="O427" s="217">
        <f t="shared" si="12"/>
        <v>0</v>
      </c>
      <c r="P427" s="216">
        <f>IF(O427=0,0,IF(B427="MAT",G427*(1+H427)*L427*PLAN_ETAPA!$C$5,IF(B427="MO",IF(M427=0,0,G427*L427*PLAN_ETAPA!$C$5*N427/M427),IF(B427="EQ",IF(M427=0,0,G427*L427*PLAN_ETAPA!$C$5/M427),0))))</f>
        <v>0</v>
      </c>
      <c r="Q427" s="218">
        <f t="shared" si="13"/>
        <v>0</v>
      </c>
    </row>
    <row r="428" spans="1:17" x14ac:dyDescent="0.35">
      <c r="A428" s="212" t="str">
        <f>COMPOSICIÓN!A428</f>
        <v>ELE-121</v>
      </c>
      <c r="B428" s="212" t="str">
        <f>COMPOSICIÓN!B428</f>
        <v>MAT</v>
      </c>
      <c r="C428" s="212" t="str">
        <f>COMPOSICIÓN!C428</f>
        <v>OTR</v>
      </c>
      <c r="D428" s="212" t="str">
        <f>COMPOSICIÓN!D428</f>
        <v>ELE-010</v>
      </c>
      <c r="E428" s="212" t="str">
        <f>COMPOSICIÓN!E428</f>
        <v>Cable unipolar 1 x 2,50 Rojo/Marron/Negro</v>
      </c>
      <c r="F428" s="212" t="str">
        <f>COMPOSICIÓN!F428</f>
        <v>ml</v>
      </c>
      <c r="G428" s="213">
        <f>COMPOSICIÓN!G428</f>
        <v>10</v>
      </c>
      <c r="H428" s="214">
        <f>COMPOSICIÓN!H428</f>
        <v>0.1</v>
      </c>
      <c r="I428" s="215">
        <f>COMPOSICIÓN!I428</f>
        <v>509.31490000000002</v>
      </c>
      <c r="J428" s="212" t="str">
        <f>IFERROR(VLOOKUP(A428,PARTIDAS!$A$2:$C$269,3,FALSE()),"")</f>
        <v>MAMPOSTERÍA</v>
      </c>
      <c r="K428" s="212" t="str">
        <f>IFERROR(INDEX(PPTO_GENERADOR!$B$4:$B$220,MATCH(A428,PPTO_GENERADOR!$Q$4:$Q$220,0)),"")</f>
        <v/>
      </c>
      <c r="L428" s="216">
        <f>IF(PLAN_ETAPA!$C$4="(TODOS)",SUMIFS(PPTO_GENERADOR!$E$4:$E$220,PPTO_GENERADOR!$Q$4:$Q$220,A428),SUMIFS(PPTO_GENERADOR!$E$4:$E$220,PPTO_GENERADOR!$Q$4:$Q$220,A428,PPTO_GENERADOR!$B$4:$B$220,PLAN_ETAPA!$C$4))</f>
        <v>0</v>
      </c>
      <c r="M428" s="216">
        <f>IFERROR(VLOOKUP(A428,PARTIDAS!$A$2:$F$269,6,FALSE()),1)</f>
        <v>3.25</v>
      </c>
      <c r="N428" s="216">
        <f>IFERROR(VLOOKUP(A428,PARTIDAS!$A$2:$I$269,9,FALSE()),1)</f>
        <v>1</v>
      </c>
      <c r="O428" s="217">
        <f t="shared" si="12"/>
        <v>0</v>
      </c>
      <c r="P428" s="216">
        <f>IF(O428=0,0,IF(B428="MAT",G428*(1+H428)*L428*PLAN_ETAPA!$C$5,IF(B428="MO",IF(M428=0,0,G428*L428*PLAN_ETAPA!$C$5*N428/M428),IF(B428="EQ",IF(M428=0,0,G428*L428*PLAN_ETAPA!$C$5/M428),0))))</f>
        <v>0</v>
      </c>
      <c r="Q428" s="218">
        <f t="shared" si="13"/>
        <v>0</v>
      </c>
    </row>
    <row r="429" spans="1:17" x14ac:dyDescent="0.35">
      <c r="A429" s="212" t="str">
        <f>COMPOSICIÓN!A429</f>
        <v>ELE-121</v>
      </c>
      <c r="B429" s="212" t="str">
        <f>COMPOSICIÓN!B429</f>
        <v>MAT</v>
      </c>
      <c r="C429" s="212" t="str">
        <f>COMPOSICIÓN!C429</f>
        <v>OTR</v>
      </c>
      <c r="D429" s="212" t="str">
        <f>COMPOSICIÓN!D429</f>
        <v>ELE-014</v>
      </c>
      <c r="E429" s="212" t="str">
        <f>COMPOSICIÓN!E429</f>
        <v>Caja rectangular chica</v>
      </c>
      <c r="F429" s="212" t="str">
        <f>COMPOSICIÓN!F429</f>
        <v>u</v>
      </c>
      <c r="G429" s="213">
        <f>COMPOSICIÓN!G429</f>
        <v>1</v>
      </c>
      <c r="H429" s="214">
        <f>COMPOSICIÓN!H429</f>
        <v>0.05</v>
      </c>
      <c r="I429" s="215">
        <f>COMPOSICIÓN!I429</f>
        <v>202.42</v>
      </c>
      <c r="J429" s="212" t="str">
        <f>IFERROR(VLOOKUP(A429,PARTIDAS!$A$2:$C$269,3,FALSE()),"")</f>
        <v>MAMPOSTERÍA</v>
      </c>
      <c r="K429" s="212" t="str">
        <f>IFERROR(INDEX(PPTO_GENERADOR!$B$4:$B$220,MATCH(A429,PPTO_GENERADOR!$Q$4:$Q$220,0)),"")</f>
        <v/>
      </c>
      <c r="L429" s="216">
        <f>IF(PLAN_ETAPA!$C$4="(TODOS)",SUMIFS(PPTO_GENERADOR!$E$4:$E$220,PPTO_GENERADOR!$Q$4:$Q$220,A429),SUMIFS(PPTO_GENERADOR!$E$4:$E$220,PPTO_GENERADOR!$Q$4:$Q$220,A429,PPTO_GENERADOR!$B$4:$B$220,PLAN_ETAPA!$C$4))</f>
        <v>0</v>
      </c>
      <c r="M429" s="216">
        <f>IFERROR(VLOOKUP(A429,PARTIDAS!$A$2:$F$269,6,FALSE()),1)</f>
        <v>3.25</v>
      </c>
      <c r="N429" s="216">
        <f>IFERROR(VLOOKUP(A429,PARTIDAS!$A$2:$I$269,9,FALSE()),1)</f>
        <v>1</v>
      </c>
      <c r="O429" s="217">
        <f t="shared" si="12"/>
        <v>0</v>
      </c>
      <c r="P429" s="216">
        <f>IF(O429=0,0,IF(B429="MAT",G429*(1+H429)*L429*PLAN_ETAPA!$C$5,IF(B429="MO",IF(M429=0,0,G429*L429*PLAN_ETAPA!$C$5*N429/M429),IF(B429="EQ",IF(M429=0,0,G429*L429*PLAN_ETAPA!$C$5/M429),0))))</f>
        <v>0</v>
      </c>
      <c r="Q429" s="218">
        <f t="shared" si="13"/>
        <v>0</v>
      </c>
    </row>
    <row r="430" spans="1:17" x14ac:dyDescent="0.35">
      <c r="A430" s="212" t="str">
        <f>COMPOSICIÓN!A430</f>
        <v>ELE-121</v>
      </c>
      <c r="B430" s="212" t="str">
        <f>COMPOSICIÓN!B430</f>
        <v>MAT</v>
      </c>
      <c r="C430" s="212" t="str">
        <f>COMPOSICIÓN!C430</f>
        <v>OTR</v>
      </c>
      <c r="D430" s="212" t="str">
        <f>COMPOSICIÓN!D430</f>
        <v>MAT-CONS</v>
      </c>
      <c r="E430" s="212" t="str">
        <f>COMPOSICIÓN!E430</f>
        <v>Consumibles</v>
      </c>
      <c r="F430" s="212" t="str">
        <f>COMPOSICIÓN!F430</f>
        <v>gl</v>
      </c>
      <c r="G430" s="213">
        <f>COMPOSICIÓN!G430</f>
        <v>2569.4045348999998</v>
      </c>
      <c r="H430" s="214">
        <f>COMPOSICIÓN!H430</f>
        <v>0</v>
      </c>
      <c r="I430" s="215">
        <f>COMPOSICIÓN!I430</f>
        <v>1</v>
      </c>
      <c r="J430" s="212" t="str">
        <f>IFERROR(VLOOKUP(A430,PARTIDAS!$A$2:$C$269,3,FALSE()),"")</f>
        <v>MAMPOSTERÍA</v>
      </c>
      <c r="K430" s="212" t="str">
        <f>IFERROR(INDEX(PPTO_GENERADOR!$B$4:$B$220,MATCH(A430,PPTO_GENERADOR!$Q$4:$Q$220,0)),"")</f>
        <v/>
      </c>
      <c r="L430" s="216">
        <f>IF(PLAN_ETAPA!$C$4="(TODOS)",SUMIFS(PPTO_GENERADOR!$E$4:$E$220,PPTO_GENERADOR!$Q$4:$Q$220,A430),SUMIFS(PPTO_GENERADOR!$E$4:$E$220,PPTO_GENERADOR!$Q$4:$Q$220,A430,PPTO_GENERADOR!$B$4:$B$220,PLAN_ETAPA!$C$4))</f>
        <v>0</v>
      </c>
      <c r="M430" s="216">
        <f>IFERROR(VLOOKUP(A430,PARTIDAS!$A$2:$F$269,6,FALSE()),1)</f>
        <v>3.25</v>
      </c>
      <c r="N430" s="216">
        <f>IFERROR(VLOOKUP(A430,PARTIDAS!$A$2:$I$269,9,FALSE()),1)</f>
        <v>1</v>
      </c>
      <c r="O430" s="217">
        <f t="shared" si="12"/>
        <v>0</v>
      </c>
      <c r="P430" s="216">
        <f>IF(O430=0,0,IF(B430="MAT",G430*(1+H430)*L430*PLAN_ETAPA!$C$5,IF(B430="MO",IF(M430=0,0,G430*L430*PLAN_ETAPA!$C$5*N430/M430),IF(B430="EQ",IF(M430=0,0,G430*L430*PLAN_ETAPA!$C$5/M430),0))))</f>
        <v>0</v>
      </c>
      <c r="Q430" s="218">
        <f t="shared" si="13"/>
        <v>0</v>
      </c>
    </row>
    <row r="431" spans="1:17" x14ac:dyDescent="0.35">
      <c r="A431" s="212" t="str">
        <f>COMPOSICIÓN!A431</f>
        <v>ELE-121</v>
      </c>
      <c r="B431" s="212" t="str">
        <f>COMPOSICIÓN!B431</f>
        <v>MO</v>
      </c>
      <c r="C431" s="212" t="str">
        <f>COMPOSICIÓN!C431</f>
        <v>ALB</v>
      </c>
      <c r="D431" s="212" t="str">
        <f>COMPOSICIÓN!D431</f>
        <v>MO-EAYUD</v>
      </c>
      <c r="E431" s="212" t="str">
        <f>COMPOSICIÓN!E431</f>
        <v>AYUDANTE</v>
      </c>
      <c r="F431" s="212" t="str">
        <f>COMPOSICIÓN!F431</f>
        <v>j</v>
      </c>
      <c r="G431" s="213">
        <f>COMPOSICIÓN!G431</f>
        <v>1</v>
      </c>
      <c r="H431" s="214">
        <f>COMPOSICIÓN!H431</f>
        <v>0</v>
      </c>
      <c r="I431" s="215">
        <f>COMPOSICIÓN!I431</f>
        <v>60860.580776572002</v>
      </c>
      <c r="J431" s="212" t="str">
        <f>IFERROR(VLOOKUP(A431,PARTIDAS!$A$2:$C$269,3,FALSE()),"")</f>
        <v>MAMPOSTERÍA</v>
      </c>
      <c r="K431" s="212" t="str">
        <f>IFERROR(INDEX(PPTO_GENERADOR!$B$4:$B$220,MATCH(A431,PPTO_GENERADOR!$Q$4:$Q$220,0)),"")</f>
        <v/>
      </c>
      <c r="L431" s="216">
        <f>IF(PLAN_ETAPA!$C$4="(TODOS)",SUMIFS(PPTO_GENERADOR!$E$4:$E$220,PPTO_GENERADOR!$Q$4:$Q$220,A431),SUMIFS(PPTO_GENERADOR!$E$4:$E$220,PPTO_GENERADOR!$Q$4:$Q$220,A431,PPTO_GENERADOR!$B$4:$B$220,PLAN_ETAPA!$C$4))</f>
        <v>0</v>
      </c>
      <c r="M431" s="216">
        <f>IFERROR(VLOOKUP(A431,PARTIDAS!$A$2:$F$269,6,FALSE()),1)</f>
        <v>3.25</v>
      </c>
      <c r="N431" s="216">
        <f>IFERROR(VLOOKUP(A431,PARTIDAS!$A$2:$I$269,9,FALSE()),1)</f>
        <v>1</v>
      </c>
      <c r="O431" s="217">
        <f t="shared" si="12"/>
        <v>0</v>
      </c>
      <c r="P431" s="216">
        <f>IF(O431=0,0,IF(B431="MAT",G431*(1+H431)*L431*PLAN_ETAPA!$C$5,IF(B431="MO",IF(M431=0,0,G431*L431*PLAN_ETAPA!$C$5*N431/M431),IF(B431="EQ",IF(M431=0,0,G431*L431*PLAN_ETAPA!$C$5/M431),0))))</f>
        <v>0</v>
      </c>
      <c r="Q431" s="218">
        <f t="shared" si="13"/>
        <v>0</v>
      </c>
    </row>
    <row r="432" spans="1:17" x14ac:dyDescent="0.35">
      <c r="A432" s="212" t="str">
        <f>COMPOSICIÓN!A432</f>
        <v>ELE-121</v>
      </c>
      <c r="B432" s="212" t="str">
        <f>COMPOSICIÓN!B432</f>
        <v>MO</v>
      </c>
      <c r="C432" s="212" t="str">
        <f>COMPOSICIÓN!C432</f>
        <v>ALB</v>
      </c>
      <c r="D432" s="212" t="str">
        <f>COMPOSICIÓN!D432</f>
        <v>MO-EESPE</v>
      </c>
      <c r="E432" s="212" t="str">
        <f>COMPOSICIÓN!E432</f>
        <v>ESPECIALIZADO</v>
      </c>
      <c r="F432" s="212" t="str">
        <f>COMPOSICIÓN!F432</f>
        <v>j</v>
      </c>
      <c r="G432" s="213">
        <f>COMPOSICIÓN!G432</f>
        <v>1</v>
      </c>
      <c r="H432" s="214">
        <f>COMPOSICIÓN!H432</f>
        <v>0</v>
      </c>
      <c r="I432" s="215">
        <f>COMPOSICIÓN!I432</f>
        <v>85927.097156571996</v>
      </c>
      <c r="J432" s="212" t="str">
        <f>IFERROR(VLOOKUP(A432,PARTIDAS!$A$2:$C$269,3,FALSE()),"")</f>
        <v>MAMPOSTERÍA</v>
      </c>
      <c r="K432" s="212" t="str">
        <f>IFERROR(INDEX(PPTO_GENERADOR!$B$4:$B$220,MATCH(A432,PPTO_GENERADOR!$Q$4:$Q$220,0)),"")</f>
        <v/>
      </c>
      <c r="L432" s="216">
        <f>IF(PLAN_ETAPA!$C$4="(TODOS)",SUMIFS(PPTO_GENERADOR!$E$4:$E$220,PPTO_GENERADOR!$Q$4:$Q$220,A432),SUMIFS(PPTO_GENERADOR!$E$4:$E$220,PPTO_GENERADOR!$Q$4:$Q$220,A432,PPTO_GENERADOR!$B$4:$B$220,PLAN_ETAPA!$C$4))</f>
        <v>0</v>
      </c>
      <c r="M432" s="216">
        <f>IFERROR(VLOOKUP(A432,PARTIDAS!$A$2:$F$269,6,FALSE()),1)</f>
        <v>3.25</v>
      </c>
      <c r="N432" s="216">
        <f>IFERROR(VLOOKUP(A432,PARTIDAS!$A$2:$I$269,9,FALSE()),1)</f>
        <v>1</v>
      </c>
      <c r="O432" s="217">
        <f t="shared" si="12"/>
        <v>0</v>
      </c>
      <c r="P432" s="216">
        <f>IF(O432=0,0,IF(B432="MAT",G432*(1+H432)*L432*PLAN_ETAPA!$C$5,IF(B432="MO",IF(M432=0,0,G432*L432*PLAN_ETAPA!$C$5*N432/M432),IF(B432="EQ",IF(M432=0,0,G432*L432*PLAN_ETAPA!$C$5/M432),0))))</f>
        <v>0</v>
      </c>
      <c r="Q432" s="218">
        <f t="shared" si="13"/>
        <v>0</v>
      </c>
    </row>
    <row r="433" spans="1:17" x14ac:dyDescent="0.35">
      <c r="A433" s="212" t="str">
        <f>COMPOSICIÓN!A433</f>
        <v>ELE-122</v>
      </c>
      <c r="B433" s="212" t="str">
        <f>COMPOSICIÓN!B433</f>
        <v>MAT</v>
      </c>
      <c r="C433" s="212" t="str">
        <f>COMPOSICIÓN!C433</f>
        <v>OTR</v>
      </c>
      <c r="D433" s="212" t="str">
        <f>COMPOSICIÓN!D433</f>
        <v>ELE-015</v>
      </c>
      <c r="E433" s="212" t="str">
        <f>COMPOSICIÓN!E433</f>
        <v>SMARTTRAY CUPLA UNION  JBCC-M6-100</v>
      </c>
      <c r="F433" s="212" t="str">
        <f>COMPOSICIÓN!F433</f>
        <v>u</v>
      </c>
      <c r="G433" s="213">
        <f>COMPOSICIÓN!G433</f>
        <v>1.4999999999999999E-2</v>
      </c>
      <c r="H433" s="214">
        <f>COMPOSICIÓN!H433</f>
        <v>1E-3</v>
      </c>
      <c r="I433" s="215">
        <f>COMPOSICIÓN!I433</f>
        <v>13078.33</v>
      </c>
      <c r="J433" s="212" t="str">
        <f>IFERROR(VLOOKUP(A433,PARTIDAS!$A$2:$C$269,3,FALSE()),"")</f>
        <v>MAMPOSTERÍA</v>
      </c>
      <c r="K433" s="212" t="str">
        <f>IFERROR(INDEX(PPTO_GENERADOR!$B$4:$B$220,MATCH(A433,PPTO_GENERADOR!$Q$4:$Q$220,0)),"")</f>
        <v/>
      </c>
      <c r="L433" s="216">
        <f>IF(PLAN_ETAPA!$C$4="(TODOS)",SUMIFS(PPTO_GENERADOR!$E$4:$E$220,PPTO_GENERADOR!$Q$4:$Q$220,A433),SUMIFS(PPTO_GENERADOR!$E$4:$E$220,PPTO_GENERADOR!$Q$4:$Q$220,A433,PPTO_GENERADOR!$B$4:$B$220,PLAN_ETAPA!$C$4))</f>
        <v>0</v>
      </c>
      <c r="M433" s="216">
        <f>IFERROR(VLOOKUP(A433,PARTIDAS!$A$2:$F$269,6,FALSE()),1)</f>
        <v>12</v>
      </c>
      <c r="N433" s="216">
        <f>IFERROR(VLOOKUP(A433,PARTIDAS!$A$2:$I$269,9,FALSE()),1)</f>
        <v>1</v>
      </c>
      <c r="O433" s="217">
        <f t="shared" si="12"/>
        <v>0</v>
      </c>
      <c r="P433" s="216">
        <f>IF(O433=0,0,IF(B433="MAT",G433*(1+H433)*L433*PLAN_ETAPA!$C$5,IF(B433="MO",IF(M433=0,0,G433*L433*PLAN_ETAPA!$C$5*N433/M433),IF(B433="EQ",IF(M433=0,0,G433*L433*PLAN_ETAPA!$C$5/M433),0))))</f>
        <v>0</v>
      </c>
      <c r="Q433" s="218">
        <f t="shared" si="13"/>
        <v>0</v>
      </c>
    </row>
    <row r="434" spans="1:17" x14ac:dyDescent="0.35">
      <c r="A434" s="212" t="str">
        <f>COMPOSICIÓN!A434</f>
        <v>ELE-122</v>
      </c>
      <c r="B434" s="212" t="str">
        <f>COMPOSICIÓN!B434</f>
        <v>MAT</v>
      </c>
      <c r="C434" s="212" t="str">
        <f>COMPOSICIÓN!C434</f>
        <v>OTR</v>
      </c>
      <c r="D434" s="212" t="str">
        <f>COMPOSICIÓN!D434</f>
        <v>ELE-016</v>
      </c>
      <c r="E434" s="212" t="str">
        <f>COMPOSICIÓN!E434</f>
        <v>GRAMPA FIJACIÓN CABLE</v>
      </c>
      <c r="F434" s="212" t="str">
        <f>COMPOSICIÓN!F434</f>
        <v>u</v>
      </c>
      <c r="G434" s="213">
        <f>COMPOSICIÓN!G434</f>
        <v>0.35</v>
      </c>
      <c r="H434" s="214">
        <f>COMPOSICIÓN!H434</f>
        <v>1E-3</v>
      </c>
      <c r="I434" s="215">
        <f>COMPOSICIÓN!I434</f>
        <v>1980.42</v>
      </c>
      <c r="J434" s="212" t="str">
        <f>IFERROR(VLOOKUP(A434,PARTIDAS!$A$2:$C$269,3,FALSE()),"")</f>
        <v>MAMPOSTERÍA</v>
      </c>
      <c r="K434" s="212" t="str">
        <f>IFERROR(INDEX(PPTO_GENERADOR!$B$4:$B$220,MATCH(A434,PPTO_GENERADOR!$Q$4:$Q$220,0)),"")</f>
        <v/>
      </c>
      <c r="L434" s="216">
        <f>IF(PLAN_ETAPA!$C$4="(TODOS)",SUMIFS(PPTO_GENERADOR!$E$4:$E$220,PPTO_GENERADOR!$Q$4:$Q$220,A434),SUMIFS(PPTO_GENERADOR!$E$4:$E$220,PPTO_GENERADOR!$Q$4:$Q$220,A434,PPTO_GENERADOR!$B$4:$B$220,PLAN_ETAPA!$C$4))</f>
        <v>0</v>
      </c>
      <c r="M434" s="216">
        <f>IFERROR(VLOOKUP(A434,PARTIDAS!$A$2:$F$269,6,FALSE()),1)</f>
        <v>12</v>
      </c>
      <c r="N434" s="216">
        <f>IFERROR(VLOOKUP(A434,PARTIDAS!$A$2:$I$269,9,FALSE()),1)</f>
        <v>1</v>
      </c>
      <c r="O434" s="217">
        <f t="shared" si="12"/>
        <v>0</v>
      </c>
      <c r="P434" s="216">
        <f>IF(O434=0,0,IF(B434="MAT",G434*(1+H434)*L434*PLAN_ETAPA!$C$5,IF(B434="MO",IF(M434=0,0,G434*L434*PLAN_ETAPA!$C$5*N434/M434),IF(B434="EQ",IF(M434=0,0,G434*L434*PLAN_ETAPA!$C$5/M434),0))))</f>
        <v>0</v>
      </c>
      <c r="Q434" s="218">
        <f t="shared" si="13"/>
        <v>0</v>
      </c>
    </row>
    <row r="435" spans="1:17" x14ac:dyDescent="0.35">
      <c r="A435" s="212" t="str">
        <f>COMPOSICIÓN!A435</f>
        <v>ELE-122</v>
      </c>
      <c r="B435" s="212" t="str">
        <f>COMPOSICIÓN!B435</f>
        <v>MAT</v>
      </c>
      <c r="C435" s="212" t="str">
        <f>COMPOSICIÓN!C435</f>
        <v>OTR</v>
      </c>
      <c r="D435" s="212" t="str">
        <f>COMPOSICIÓN!D435</f>
        <v>OTR-038</v>
      </c>
      <c r="E435" s="212" t="str">
        <f>COMPOSICIÓN!E435</f>
        <v>SMARTTRAY TRX3M BJA PERF 200-22</v>
      </c>
      <c r="F435" s="212" t="str">
        <f>COMPOSICIÓN!F435</f>
        <v>u</v>
      </c>
      <c r="G435" s="213">
        <f>COMPOSICIÓN!G435</f>
        <v>0.35</v>
      </c>
      <c r="H435" s="214">
        <f>COMPOSICIÓN!H435</f>
        <v>5.0000000000000001E-4</v>
      </c>
      <c r="I435" s="215">
        <f>COMPOSICIÓN!I435</f>
        <v>23404.92</v>
      </c>
      <c r="J435" s="212" t="str">
        <f>IFERROR(VLOOKUP(A435,PARTIDAS!$A$2:$C$269,3,FALSE()),"")</f>
        <v>MAMPOSTERÍA</v>
      </c>
      <c r="K435" s="212" t="str">
        <f>IFERROR(INDEX(PPTO_GENERADOR!$B$4:$B$220,MATCH(A435,PPTO_GENERADOR!$Q$4:$Q$220,0)),"")</f>
        <v/>
      </c>
      <c r="L435" s="216">
        <f>IF(PLAN_ETAPA!$C$4="(TODOS)",SUMIFS(PPTO_GENERADOR!$E$4:$E$220,PPTO_GENERADOR!$Q$4:$Q$220,A435),SUMIFS(PPTO_GENERADOR!$E$4:$E$220,PPTO_GENERADOR!$Q$4:$Q$220,A435,PPTO_GENERADOR!$B$4:$B$220,PLAN_ETAPA!$C$4))</f>
        <v>0</v>
      </c>
      <c r="M435" s="216">
        <f>IFERROR(VLOOKUP(A435,PARTIDAS!$A$2:$F$269,6,FALSE()),1)</f>
        <v>12</v>
      </c>
      <c r="N435" s="216">
        <f>IFERROR(VLOOKUP(A435,PARTIDAS!$A$2:$I$269,9,FALSE()),1)</f>
        <v>1</v>
      </c>
      <c r="O435" s="217">
        <f t="shared" si="12"/>
        <v>0</v>
      </c>
      <c r="P435" s="216">
        <f>IF(O435=0,0,IF(B435="MAT",G435*(1+H435)*L435*PLAN_ETAPA!$C$5,IF(B435="MO",IF(M435=0,0,G435*L435*PLAN_ETAPA!$C$5*N435/M435),IF(B435="EQ",IF(M435=0,0,G435*L435*PLAN_ETAPA!$C$5/M435),0))))</f>
        <v>0</v>
      </c>
      <c r="Q435" s="218">
        <f t="shared" si="13"/>
        <v>0</v>
      </c>
    </row>
    <row r="436" spans="1:17" x14ac:dyDescent="0.35">
      <c r="A436" s="212" t="str">
        <f>COMPOSICIÓN!A436</f>
        <v>ELE-122</v>
      </c>
      <c r="B436" s="212" t="str">
        <f>COMPOSICIÓN!B436</f>
        <v>MAT</v>
      </c>
      <c r="C436" s="212" t="str">
        <f>COMPOSICIÓN!C436</f>
        <v>OTR</v>
      </c>
      <c r="D436" s="212" t="str">
        <f>COMPOSICIÓN!D436</f>
        <v>OTR-039</v>
      </c>
      <c r="E436" s="212" t="str">
        <f>COMPOSICIÓN!E436</f>
        <v>SMARTTRAY TAPA CIEGA P/BJA 200-22</v>
      </c>
      <c r="F436" s="212" t="str">
        <f>COMPOSICIÓN!F436</f>
        <v>u</v>
      </c>
      <c r="G436" s="213">
        <f>COMPOSICIÓN!G436</f>
        <v>0.35</v>
      </c>
      <c r="H436" s="214">
        <f>COMPOSICIÓN!H436</f>
        <v>1E-3</v>
      </c>
      <c r="I436" s="215">
        <f>COMPOSICIÓN!I436</f>
        <v>15710.58</v>
      </c>
      <c r="J436" s="212" t="str">
        <f>IFERROR(VLOOKUP(A436,PARTIDAS!$A$2:$C$269,3,FALSE()),"")</f>
        <v>MAMPOSTERÍA</v>
      </c>
      <c r="K436" s="212" t="str">
        <f>IFERROR(INDEX(PPTO_GENERADOR!$B$4:$B$220,MATCH(A436,PPTO_GENERADOR!$Q$4:$Q$220,0)),"")</f>
        <v/>
      </c>
      <c r="L436" s="216">
        <f>IF(PLAN_ETAPA!$C$4="(TODOS)",SUMIFS(PPTO_GENERADOR!$E$4:$E$220,PPTO_GENERADOR!$Q$4:$Q$220,A436),SUMIFS(PPTO_GENERADOR!$E$4:$E$220,PPTO_GENERADOR!$Q$4:$Q$220,A436,PPTO_GENERADOR!$B$4:$B$220,PLAN_ETAPA!$C$4))</f>
        <v>0</v>
      </c>
      <c r="M436" s="216">
        <f>IFERROR(VLOOKUP(A436,PARTIDAS!$A$2:$F$269,6,FALSE()),1)</f>
        <v>12</v>
      </c>
      <c r="N436" s="216">
        <f>IFERROR(VLOOKUP(A436,PARTIDAS!$A$2:$I$269,9,FALSE()),1)</f>
        <v>1</v>
      </c>
      <c r="O436" s="217">
        <f t="shared" si="12"/>
        <v>0</v>
      </c>
      <c r="P436" s="216">
        <f>IF(O436=0,0,IF(B436="MAT",G436*(1+H436)*L436*PLAN_ETAPA!$C$5,IF(B436="MO",IF(M436=0,0,G436*L436*PLAN_ETAPA!$C$5*N436/M436),IF(B436="EQ",IF(M436=0,0,G436*L436*PLAN_ETAPA!$C$5/M436),0))))</f>
        <v>0</v>
      </c>
      <c r="Q436" s="218">
        <f t="shared" si="13"/>
        <v>0</v>
      </c>
    </row>
    <row r="437" spans="1:17" x14ac:dyDescent="0.35">
      <c r="A437" s="212" t="str">
        <f>COMPOSICIÓN!A437</f>
        <v>ELE-122</v>
      </c>
      <c r="B437" s="212" t="str">
        <f>COMPOSICIÓN!B437</f>
        <v>MAT</v>
      </c>
      <c r="C437" s="212" t="str">
        <f>COMPOSICIÓN!C437</f>
        <v>OTR</v>
      </c>
      <c r="D437" s="212" t="str">
        <f>COMPOSICIÓN!D437</f>
        <v>OTR-040</v>
      </c>
      <c r="E437" s="212" t="str">
        <f>COMPOSICIÓN!E437</f>
        <v>ACOMETIDA PARA TABLERO</v>
      </c>
      <c r="F437" s="212" t="str">
        <f>COMPOSICIÓN!F437</f>
        <v>u</v>
      </c>
      <c r="G437" s="213">
        <f>COMPOSICIÓN!G437</f>
        <v>0.03</v>
      </c>
      <c r="H437" s="214">
        <f>COMPOSICIÓN!H437</f>
        <v>1E-3</v>
      </c>
      <c r="I437" s="215">
        <f>COMPOSICIÓN!I437</f>
        <v>6314.13</v>
      </c>
      <c r="J437" s="212" t="str">
        <f>IFERROR(VLOOKUP(A437,PARTIDAS!$A$2:$C$269,3,FALSE()),"")</f>
        <v>MAMPOSTERÍA</v>
      </c>
      <c r="K437" s="212" t="str">
        <f>IFERROR(INDEX(PPTO_GENERADOR!$B$4:$B$220,MATCH(A437,PPTO_GENERADOR!$Q$4:$Q$220,0)),"")</f>
        <v/>
      </c>
      <c r="L437" s="216">
        <f>IF(PLAN_ETAPA!$C$4="(TODOS)",SUMIFS(PPTO_GENERADOR!$E$4:$E$220,PPTO_GENERADOR!$Q$4:$Q$220,A437),SUMIFS(PPTO_GENERADOR!$E$4:$E$220,PPTO_GENERADOR!$Q$4:$Q$220,A437,PPTO_GENERADOR!$B$4:$B$220,PLAN_ETAPA!$C$4))</f>
        <v>0</v>
      </c>
      <c r="M437" s="216">
        <f>IFERROR(VLOOKUP(A437,PARTIDAS!$A$2:$F$269,6,FALSE()),1)</f>
        <v>12</v>
      </c>
      <c r="N437" s="216">
        <f>IFERROR(VLOOKUP(A437,PARTIDAS!$A$2:$I$269,9,FALSE()),1)</f>
        <v>1</v>
      </c>
      <c r="O437" s="217">
        <f t="shared" si="12"/>
        <v>0</v>
      </c>
      <c r="P437" s="216">
        <f>IF(O437=0,0,IF(B437="MAT",G437*(1+H437)*L437*PLAN_ETAPA!$C$5,IF(B437="MO",IF(M437=0,0,G437*L437*PLAN_ETAPA!$C$5*N437/M437),IF(B437="EQ",IF(M437=0,0,G437*L437*PLAN_ETAPA!$C$5/M437),0))))</f>
        <v>0</v>
      </c>
      <c r="Q437" s="218">
        <f t="shared" si="13"/>
        <v>0</v>
      </c>
    </row>
    <row r="438" spans="1:17" x14ac:dyDescent="0.35">
      <c r="A438" s="212" t="str">
        <f>COMPOSICIÓN!A438</f>
        <v>ELE-122</v>
      </c>
      <c r="B438" s="212" t="str">
        <f>COMPOSICIÓN!B438</f>
        <v>MAT</v>
      </c>
      <c r="C438" s="212" t="str">
        <f>COMPOSICIÓN!C438</f>
        <v>OTR</v>
      </c>
      <c r="D438" s="212" t="str">
        <f>COMPOSICIÓN!D438</f>
        <v>OTR-041</v>
      </c>
      <c r="E438" s="212" t="str">
        <f>COMPOSICIÓN!E438</f>
        <v>EMBUDO</v>
      </c>
      <c r="F438" s="212" t="str">
        <f>COMPOSICIÓN!F438</f>
        <v>u</v>
      </c>
      <c r="G438" s="213">
        <f>COMPOSICIÓN!G438</f>
        <v>0.03</v>
      </c>
      <c r="H438" s="214">
        <f>COMPOSICIÓN!H438</f>
        <v>1E-3</v>
      </c>
      <c r="I438" s="215">
        <f>COMPOSICIÓN!I438</f>
        <v>6314.13</v>
      </c>
      <c r="J438" s="212" t="str">
        <f>IFERROR(VLOOKUP(A438,PARTIDAS!$A$2:$C$269,3,FALSE()),"")</f>
        <v>MAMPOSTERÍA</v>
      </c>
      <c r="K438" s="212" t="str">
        <f>IFERROR(INDEX(PPTO_GENERADOR!$B$4:$B$220,MATCH(A438,PPTO_GENERADOR!$Q$4:$Q$220,0)),"")</f>
        <v/>
      </c>
      <c r="L438" s="216">
        <f>IF(PLAN_ETAPA!$C$4="(TODOS)",SUMIFS(PPTO_GENERADOR!$E$4:$E$220,PPTO_GENERADOR!$Q$4:$Q$220,A438),SUMIFS(PPTO_GENERADOR!$E$4:$E$220,PPTO_GENERADOR!$Q$4:$Q$220,A438,PPTO_GENERADOR!$B$4:$B$220,PLAN_ETAPA!$C$4))</f>
        <v>0</v>
      </c>
      <c r="M438" s="216">
        <f>IFERROR(VLOOKUP(A438,PARTIDAS!$A$2:$F$269,6,FALSE()),1)</f>
        <v>12</v>
      </c>
      <c r="N438" s="216">
        <f>IFERROR(VLOOKUP(A438,PARTIDAS!$A$2:$I$269,9,FALSE()),1)</f>
        <v>1</v>
      </c>
      <c r="O438" s="217">
        <f t="shared" si="12"/>
        <v>0</v>
      </c>
      <c r="P438" s="216">
        <f>IF(O438=0,0,IF(B438="MAT",G438*(1+H438)*L438*PLAN_ETAPA!$C$5,IF(B438="MO",IF(M438=0,0,G438*L438*PLAN_ETAPA!$C$5*N438/M438),IF(B438="EQ",IF(M438=0,0,G438*L438*PLAN_ETAPA!$C$5/M438),0))))</f>
        <v>0</v>
      </c>
      <c r="Q438" s="218">
        <f t="shared" si="13"/>
        <v>0</v>
      </c>
    </row>
    <row r="439" spans="1:17" x14ac:dyDescent="0.35">
      <c r="A439" s="212" t="str">
        <f>COMPOSICIÓN!A439</f>
        <v>ELE-122</v>
      </c>
      <c r="B439" s="212" t="str">
        <f>COMPOSICIÓN!B439</f>
        <v>MAT</v>
      </c>
      <c r="C439" s="212" t="str">
        <f>COMPOSICIÓN!C439</f>
        <v>OTR</v>
      </c>
      <c r="D439" s="212" t="str">
        <f>COMPOSICIÓN!D439</f>
        <v>OTR-042</v>
      </c>
      <c r="E439" s="212" t="str">
        <f>COMPOSICIÓN!E439</f>
        <v>GRAMPA FIJACIÓN 200-22</v>
      </c>
      <c r="F439" s="212" t="str">
        <f>COMPOSICIÓN!F439</f>
        <v>u</v>
      </c>
      <c r="G439" s="213">
        <f>COMPOSICIÓN!G439</f>
        <v>0.56999999999999995</v>
      </c>
      <c r="H439" s="214">
        <f>COMPOSICIÓN!H439</f>
        <v>1E-3</v>
      </c>
      <c r="I439" s="215">
        <f>COMPOSICIÓN!I439</f>
        <v>1844.8</v>
      </c>
      <c r="J439" s="212" t="str">
        <f>IFERROR(VLOOKUP(A439,PARTIDAS!$A$2:$C$269,3,FALSE()),"")</f>
        <v>MAMPOSTERÍA</v>
      </c>
      <c r="K439" s="212" t="str">
        <f>IFERROR(INDEX(PPTO_GENERADOR!$B$4:$B$220,MATCH(A439,PPTO_GENERADOR!$Q$4:$Q$220,0)),"")</f>
        <v/>
      </c>
      <c r="L439" s="216">
        <f>IF(PLAN_ETAPA!$C$4="(TODOS)",SUMIFS(PPTO_GENERADOR!$E$4:$E$220,PPTO_GENERADOR!$Q$4:$Q$220,A439),SUMIFS(PPTO_GENERADOR!$E$4:$E$220,PPTO_GENERADOR!$Q$4:$Q$220,A439,PPTO_GENERADOR!$B$4:$B$220,PLAN_ETAPA!$C$4))</f>
        <v>0</v>
      </c>
      <c r="M439" s="216">
        <f>IFERROR(VLOOKUP(A439,PARTIDAS!$A$2:$F$269,6,FALSE()),1)</f>
        <v>12</v>
      </c>
      <c r="N439" s="216">
        <f>IFERROR(VLOOKUP(A439,PARTIDAS!$A$2:$I$269,9,FALSE()),1)</f>
        <v>1</v>
      </c>
      <c r="O439" s="217">
        <f t="shared" si="12"/>
        <v>0</v>
      </c>
      <c r="P439" s="216">
        <f>IF(O439=0,0,IF(B439="MAT",G439*(1+H439)*L439*PLAN_ETAPA!$C$5,IF(B439="MO",IF(M439=0,0,G439*L439*PLAN_ETAPA!$C$5*N439/M439),IF(B439="EQ",IF(M439=0,0,G439*L439*PLAN_ETAPA!$C$5/M439),0))))</f>
        <v>0</v>
      </c>
      <c r="Q439" s="218">
        <f t="shared" si="13"/>
        <v>0</v>
      </c>
    </row>
    <row r="440" spans="1:17" x14ac:dyDescent="0.35">
      <c r="A440" s="212" t="str">
        <f>COMPOSICIÓN!A440</f>
        <v>ELE-122</v>
      </c>
      <c r="B440" s="212" t="str">
        <f>COMPOSICIÓN!B440</f>
        <v>MAT</v>
      </c>
      <c r="C440" s="212" t="str">
        <f>COMPOSICIÓN!C440</f>
        <v>OTR</v>
      </c>
      <c r="D440" s="212" t="str">
        <f>COMPOSICIÓN!D440</f>
        <v>OTR-044</v>
      </c>
      <c r="E440" s="212" t="str">
        <f>COMPOSICIÓN!E440</f>
        <v>VARILLA ROSCADA 1/4</v>
      </c>
      <c r="F440" s="212" t="str">
        <f>COMPOSICIÓN!F440</f>
        <v>u</v>
      </c>
      <c r="G440" s="213">
        <f>COMPOSICIÓN!G440</f>
        <v>0.3</v>
      </c>
      <c r="H440" s="214">
        <f>COMPOSICIÓN!H440</f>
        <v>1E-3</v>
      </c>
      <c r="I440" s="215">
        <f>COMPOSICIÓN!I440</f>
        <v>1747.6</v>
      </c>
      <c r="J440" s="212" t="str">
        <f>IFERROR(VLOOKUP(A440,PARTIDAS!$A$2:$C$269,3,FALSE()),"")</f>
        <v>MAMPOSTERÍA</v>
      </c>
      <c r="K440" s="212" t="str">
        <f>IFERROR(INDEX(PPTO_GENERADOR!$B$4:$B$220,MATCH(A440,PPTO_GENERADOR!$Q$4:$Q$220,0)),"")</f>
        <v/>
      </c>
      <c r="L440" s="216">
        <f>IF(PLAN_ETAPA!$C$4="(TODOS)",SUMIFS(PPTO_GENERADOR!$E$4:$E$220,PPTO_GENERADOR!$Q$4:$Q$220,A440),SUMIFS(PPTO_GENERADOR!$E$4:$E$220,PPTO_GENERADOR!$Q$4:$Q$220,A440,PPTO_GENERADOR!$B$4:$B$220,PLAN_ETAPA!$C$4))</f>
        <v>0</v>
      </c>
      <c r="M440" s="216">
        <f>IFERROR(VLOOKUP(A440,PARTIDAS!$A$2:$F$269,6,FALSE()),1)</f>
        <v>12</v>
      </c>
      <c r="N440" s="216">
        <f>IFERROR(VLOOKUP(A440,PARTIDAS!$A$2:$I$269,9,FALSE()),1)</f>
        <v>1</v>
      </c>
      <c r="O440" s="217">
        <f t="shared" si="12"/>
        <v>0</v>
      </c>
      <c r="P440" s="216">
        <f>IF(O440=0,0,IF(B440="MAT",G440*(1+H440)*L440*PLAN_ETAPA!$C$5,IF(B440="MO",IF(M440=0,0,G440*L440*PLAN_ETAPA!$C$5*N440/M440),IF(B440="EQ",IF(M440=0,0,G440*L440*PLAN_ETAPA!$C$5/M440),0))))</f>
        <v>0</v>
      </c>
      <c r="Q440" s="218">
        <f t="shared" si="13"/>
        <v>0</v>
      </c>
    </row>
    <row r="441" spans="1:17" x14ac:dyDescent="0.35">
      <c r="A441" s="212" t="str">
        <f>COMPOSICIÓN!A441</f>
        <v>ELE-122</v>
      </c>
      <c r="B441" s="212" t="str">
        <f>COMPOSICIÓN!B441</f>
        <v>MAT</v>
      </c>
      <c r="C441" s="212" t="str">
        <f>COMPOSICIÓN!C441</f>
        <v>OTR</v>
      </c>
      <c r="D441" s="212" t="str">
        <f>COMPOSICIÓN!D441</f>
        <v>OTR-045</v>
      </c>
      <c r="E441" s="212" t="str">
        <f>COMPOSICIÓN!E441</f>
        <v>TUERCA Y ARANDELA 1/4</v>
      </c>
      <c r="F441" s="212" t="str">
        <f>COMPOSICIÓN!F441</f>
        <v>u</v>
      </c>
      <c r="G441" s="213">
        <f>COMPOSICIÓN!G441</f>
        <v>1.2</v>
      </c>
      <c r="H441" s="214">
        <f>COMPOSICIÓN!H441</f>
        <v>5.0000000000000001E-4</v>
      </c>
      <c r="I441" s="215">
        <f>COMPOSICIÓN!I441</f>
        <v>90.02</v>
      </c>
      <c r="J441" s="212" t="str">
        <f>IFERROR(VLOOKUP(A441,PARTIDAS!$A$2:$C$269,3,FALSE()),"")</f>
        <v>MAMPOSTERÍA</v>
      </c>
      <c r="K441" s="212" t="str">
        <f>IFERROR(INDEX(PPTO_GENERADOR!$B$4:$B$220,MATCH(A441,PPTO_GENERADOR!$Q$4:$Q$220,0)),"")</f>
        <v/>
      </c>
      <c r="L441" s="216">
        <f>IF(PLAN_ETAPA!$C$4="(TODOS)",SUMIFS(PPTO_GENERADOR!$E$4:$E$220,PPTO_GENERADOR!$Q$4:$Q$220,A441),SUMIFS(PPTO_GENERADOR!$E$4:$E$220,PPTO_GENERADOR!$Q$4:$Q$220,A441,PPTO_GENERADOR!$B$4:$B$220,PLAN_ETAPA!$C$4))</f>
        <v>0</v>
      </c>
      <c r="M441" s="216">
        <f>IFERROR(VLOOKUP(A441,PARTIDAS!$A$2:$F$269,6,FALSE()),1)</f>
        <v>12</v>
      </c>
      <c r="N441" s="216">
        <f>IFERROR(VLOOKUP(A441,PARTIDAS!$A$2:$I$269,9,FALSE()),1)</f>
        <v>1</v>
      </c>
      <c r="O441" s="217">
        <f t="shared" si="12"/>
        <v>0</v>
      </c>
      <c r="P441" s="216">
        <f>IF(O441=0,0,IF(B441="MAT",G441*(1+H441)*L441*PLAN_ETAPA!$C$5,IF(B441="MO",IF(M441=0,0,G441*L441*PLAN_ETAPA!$C$5*N441/M441),IF(B441="EQ",IF(M441=0,0,G441*L441*PLAN_ETAPA!$C$5/M441),0))))</f>
        <v>0</v>
      </c>
      <c r="Q441" s="218">
        <f t="shared" si="13"/>
        <v>0</v>
      </c>
    </row>
    <row r="442" spans="1:17" x14ac:dyDescent="0.35">
      <c r="A442" s="212" t="str">
        <f>COMPOSICIÓN!A442</f>
        <v>ELE-122</v>
      </c>
      <c r="B442" s="212" t="str">
        <f>COMPOSICIÓN!B442</f>
        <v>MO</v>
      </c>
      <c r="C442" s="212" t="str">
        <f>COMPOSICIÓN!C442</f>
        <v>ALB</v>
      </c>
      <c r="D442" s="212" t="str">
        <f>COMPOSICIÓN!D442</f>
        <v>MO-EAYUD</v>
      </c>
      <c r="E442" s="212" t="str">
        <f>COMPOSICIÓN!E442</f>
        <v>AYUDANTE</v>
      </c>
      <c r="F442" s="212" t="str">
        <f>COMPOSICIÓN!F442</f>
        <v>j</v>
      </c>
      <c r="G442" s="213">
        <f>COMPOSICIÓN!G442</f>
        <v>0.75</v>
      </c>
      <c r="H442" s="214">
        <f>COMPOSICIÓN!H442</f>
        <v>0</v>
      </c>
      <c r="I442" s="215">
        <f>COMPOSICIÓN!I442</f>
        <v>60860.580776572002</v>
      </c>
      <c r="J442" s="212" t="str">
        <f>IFERROR(VLOOKUP(A442,PARTIDAS!$A$2:$C$269,3,FALSE()),"")</f>
        <v>MAMPOSTERÍA</v>
      </c>
      <c r="K442" s="212" t="str">
        <f>IFERROR(INDEX(PPTO_GENERADOR!$B$4:$B$220,MATCH(A442,PPTO_GENERADOR!$Q$4:$Q$220,0)),"")</f>
        <v/>
      </c>
      <c r="L442" s="216">
        <f>IF(PLAN_ETAPA!$C$4="(TODOS)",SUMIFS(PPTO_GENERADOR!$E$4:$E$220,PPTO_GENERADOR!$Q$4:$Q$220,A442),SUMIFS(PPTO_GENERADOR!$E$4:$E$220,PPTO_GENERADOR!$Q$4:$Q$220,A442,PPTO_GENERADOR!$B$4:$B$220,PLAN_ETAPA!$C$4))</f>
        <v>0</v>
      </c>
      <c r="M442" s="216">
        <f>IFERROR(VLOOKUP(A442,PARTIDAS!$A$2:$F$269,6,FALSE()),1)</f>
        <v>12</v>
      </c>
      <c r="N442" s="216">
        <f>IFERROR(VLOOKUP(A442,PARTIDAS!$A$2:$I$269,9,FALSE()),1)</f>
        <v>1</v>
      </c>
      <c r="O442" s="217">
        <f t="shared" si="12"/>
        <v>0</v>
      </c>
      <c r="P442" s="216">
        <f>IF(O442=0,0,IF(B442="MAT",G442*(1+H442)*L442*PLAN_ETAPA!$C$5,IF(B442="MO",IF(M442=0,0,G442*L442*PLAN_ETAPA!$C$5*N442/M442),IF(B442="EQ",IF(M442=0,0,G442*L442*PLAN_ETAPA!$C$5/M442),0))))</f>
        <v>0</v>
      </c>
      <c r="Q442" s="218">
        <f t="shared" si="13"/>
        <v>0</v>
      </c>
    </row>
    <row r="443" spans="1:17" x14ac:dyDescent="0.35">
      <c r="A443" s="212" t="str">
        <f>COMPOSICIÓN!A443</f>
        <v>ELE-122</v>
      </c>
      <c r="B443" s="212" t="str">
        <f>COMPOSICIÓN!B443</f>
        <v>MO</v>
      </c>
      <c r="C443" s="212" t="str">
        <f>COMPOSICIÓN!C443</f>
        <v>ALB</v>
      </c>
      <c r="D443" s="212" t="str">
        <f>COMPOSICIÓN!D443</f>
        <v>MO-EESPE</v>
      </c>
      <c r="E443" s="212" t="str">
        <f>COMPOSICIÓN!E443</f>
        <v>ESPECIALIZADO</v>
      </c>
      <c r="F443" s="212" t="str">
        <f>COMPOSICIÓN!F443</f>
        <v>j</v>
      </c>
      <c r="G443" s="213">
        <f>COMPOSICIÓN!G443</f>
        <v>1</v>
      </c>
      <c r="H443" s="214">
        <f>COMPOSICIÓN!H443</f>
        <v>0</v>
      </c>
      <c r="I443" s="215">
        <f>COMPOSICIÓN!I443</f>
        <v>85927.097156571996</v>
      </c>
      <c r="J443" s="212" t="str">
        <f>IFERROR(VLOOKUP(A443,PARTIDAS!$A$2:$C$269,3,FALSE()),"")</f>
        <v>MAMPOSTERÍA</v>
      </c>
      <c r="K443" s="212" t="str">
        <f>IFERROR(INDEX(PPTO_GENERADOR!$B$4:$B$220,MATCH(A443,PPTO_GENERADOR!$Q$4:$Q$220,0)),"")</f>
        <v/>
      </c>
      <c r="L443" s="216">
        <f>IF(PLAN_ETAPA!$C$4="(TODOS)",SUMIFS(PPTO_GENERADOR!$E$4:$E$220,PPTO_GENERADOR!$Q$4:$Q$220,A443),SUMIFS(PPTO_GENERADOR!$E$4:$E$220,PPTO_GENERADOR!$Q$4:$Q$220,A443,PPTO_GENERADOR!$B$4:$B$220,PLAN_ETAPA!$C$4))</f>
        <v>0</v>
      </c>
      <c r="M443" s="216">
        <f>IFERROR(VLOOKUP(A443,PARTIDAS!$A$2:$F$269,6,FALSE()),1)</f>
        <v>12</v>
      </c>
      <c r="N443" s="216">
        <f>IFERROR(VLOOKUP(A443,PARTIDAS!$A$2:$I$269,9,FALSE()),1)</f>
        <v>1</v>
      </c>
      <c r="O443" s="217">
        <f t="shared" si="12"/>
        <v>0</v>
      </c>
      <c r="P443" s="216">
        <f>IF(O443=0,0,IF(B443="MAT",G443*(1+H443)*L443*PLAN_ETAPA!$C$5,IF(B443="MO",IF(M443=0,0,G443*L443*PLAN_ETAPA!$C$5*N443/M443),IF(B443="EQ",IF(M443=0,0,G443*L443*PLAN_ETAPA!$C$5/M443),0))))</f>
        <v>0</v>
      </c>
      <c r="Q443" s="218">
        <f t="shared" si="13"/>
        <v>0</v>
      </c>
    </row>
    <row r="444" spans="1:17" x14ac:dyDescent="0.35">
      <c r="A444" s="212" t="str">
        <f>COMPOSICIÓN!A444</f>
        <v>ELE-147</v>
      </c>
      <c r="B444" s="212" t="str">
        <f>COMPOSICIÓN!B444</f>
        <v>EQ</v>
      </c>
      <c r="C444" s="212">
        <f>COMPOSICIÓN!C444</f>
        <v>0</v>
      </c>
      <c r="D444" s="212" t="str">
        <f>COMPOSICIÓN!D444</f>
        <v>EQ-ANDAM0</v>
      </c>
      <c r="E444" s="212" t="str">
        <f>COMPOSICIÓN!E444</f>
        <v>ANDAMIO TUBULAR DE UNO A TRES CUERPOS</v>
      </c>
      <c r="F444" s="212">
        <f>COMPOSICIÓN!F444</f>
        <v>0</v>
      </c>
      <c r="G444" s="213">
        <f>COMPOSICIÓN!G444</f>
        <v>0.5</v>
      </c>
      <c r="H444" s="214">
        <f>COMPOSICIÓN!H444</f>
        <v>0</v>
      </c>
      <c r="I444" s="215">
        <f>COMPOSICIÓN!I444</f>
        <v>571.1794909807611</v>
      </c>
      <c r="J444" s="212" t="str">
        <f>IFERROR(VLOOKUP(A444,PARTIDAS!$A$2:$C$269,3,FALSE()),"")</f>
        <v>MAMPOSTERÍA</v>
      </c>
      <c r="K444" s="212" t="str">
        <f>IFERROR(INDEX(PPTO_GENERADOR!$B$4:$B$220,MATCH(A444,PPTO_GENERADOR!$Q$4:$Q$220,0)),"")</f>
        <v/>
      </c>
      <c r="L444" s="216">
        <f>IF(PLAN_ETAPA!$C$4="(TODOS)",SUMIFS(PPTO_GENERADOR!$E$4:$E$220,PPTO_GENERADOR!$Q$4:$Q$220,A444),SUMIFS(PPTO_GENERADOR!$E$4:$E$220,PPTO_GENERADOR!$Q$4:$Q$220,A444,PPTO_GENERADOR!$B$4:$B$220,PLAN_ETAPA!$C$4))</f>
        <v>0</v>
      </c>
      <c r="M444" s="216">
        <f>IFERROR(VLOOKUP(A444,PARTIDAS!$A$2:$F$269,6,FALSE()),1)</f>
        <v>3.25</v>
      </c>
      <c r="N444" s="216">
        <f>IFERROR(VLOOKUP(A444,PARTIDAS!$A$2:$I$269,9,FALSE()),1)</f>
        <v>1</v>
      </c>
      <c r="O444" s="217">
        <f t="shared" si="12"/>
        <v>0</v>
      </c>
      <c r="P444" s="216">
        <f>IF(O444=0,0,IF(B444="MAT",G444*(1+H444)*L444*PLAN_ETAPA!$C$5,IF(B444="MO",IF(M444=0,0,G444*L444*PLAN_ETAPA!$C$5*N444/M444),IF(B444="EQ",IF(M444=0,0,G444*L444*PLAN_ETAPA!$C$5/M444),0))))</f>
        <v>0</v>
      </c>
      <c r="Q444" s="218">
        <f t="shared" si="13"/>
        <v>0</v>
      </c>
    </row>
    <row r="445" spans="1:17" x14ac:dyDescent="0.35">
      <c r="A445" s="212" t="str">
        <f>COMPOSICIÓN!A445</f>
        <v>ELE-147</v>
      </c>
      <c r="B445" s="212" t="str">
        <f>COMPOSICIÓN!B445</f>
        <v>EQ</v>
      </c>
      <c r="C445" s="212">
        <f>COMPOSICIÓN!C445</f>
        <v>0</v>
      </c>
      <c r="D445" s="212" t="str">
        <f>COMPOSICIÓN!D445</f>
        <v>EQ-EQUIP0</v>
      </c>
      <c r="E445" s="212" t="str">
        <f>COMPOSICIÓN!E445</f>
        <v>EQUIPO PARA INSTALACION ELECTRICA</v>
      </c>
      <c r="F445" s="212">
        <f>COMPOSICIÓN!F445</f>
        <v>0</v>
      </c>
      <c r="G445" s="213">
        <f>COMPOSICIÓN!G445</f>
        <v>1</v>
      </c>
      <c r="H445" s="214">
        <f>COMPOSICIÓN!H445</f>
        <v>0</v>
      </c>
      <c r="I445" s="215">
        <f>COMPOSICIÓN!I445</f>
        <v>5063.0947914732405</v>
      </c>
      <c r="J445" s="212" t="str">
        <f>IFERROR(VLOOKUP(A445,PARTIDAS!$A$2:$C$269,3,FALSE()),"")</f>
        <v>MAMPOSTERÍA</v>
      </c>
      <c r="K445" s="212" t="str">
        <f>IFERROR(INDEX(PPTO_GENERADOR!$B$4:$B$220,MATCH(A445,PPTO_GENERADOR!$Q$4:$Q$220,0)),"")</f>
        <v/>
      </c>
      <c r="L445" s="216">
        <f>IF(PLAN_ETAPA!$C$4="(TODOS)",SUMIFS(PPTO_GENERADOR!$E$4:$E$220,PPTO_GENERADOR!$Q$4:$Q$220,A445),SUMIFS(PPTO_GENERADOR!$E$4:$E$220,PPTO_GENERADOR!$Q$4:$Q$220,A445,PPTO_GENERADOR!$B$4:$B$220,PLAN_ETAPA!$C$4))</f>
        <v>0</v>
      </c>
      <c r="M445" s="216">
        <f>IFERROR(VLOOKUP(A445,PARTIDAS!$A$2:$F$269,6,FALSE()),1)</f>
        <v>3.25</v>
      </c>
      <c r="N445" s="216">
        <f>IFERROR(VLOOKUP(A445,PARTIDAS!$A$2:$I$269,9,FALSE()),1)</f>
        <v>1</v>
      </c>
      <c r="O445" s="217">
        <f t="shared" si="12"/>
        <v>0</v>
      </c>
      <c r="P445" s="216">
        <f>IF(O445=0,0,IF(B445="MAT",G445*(1+H445)*L445*PLAN_ETAPA!$C$5,IF(B445="MO",IF(M445=0,0,G445*L445*PLAN_ETAPA!$C$5*N445/M445),IF(B445="EQ",IF(M445=0,0,G445*L445*PLAN_ETAPA!$C$5/M445),0))))</f>
        <v>0</v>
      </c>
      <c r="Q445" s="218">
        <f t="shared" si="13"/>
        <v>0</v>
      </c>
    </row>
    <row r="446" spans="1:17" x14ac:dyDescent="0.35">
      <c r="A446" s="212" t="str">
        <f>COMPOSICIÓN!A446</f>
        <v>ELE-147</v>
      </c>
      <c r="B446" s="212" t="str">
        <f>COMPOSICIÓN!B446</f>
        <v>EQ</v>
      </c>
      <c r="C446" s="212">
        <f>COMPOSICIÓN!C446</f>
        <v>0</v>
      </c>
      <c r="D446" s="212" t="str">
        <f>COMPOSICIÓN!D446</f>
        <v>EQ-ESCALE</v>
      </c>
      <c r="E446" s="212" t="str">
        <f>COMPOSICIÓN!E446</f>
        <v>ESCALERA GLOSS ALUMINIO ARTICULADA 4 X 4 ESCALONES HASTA 150KG</v>
      </c>
      <c r="F446" s="212">
        <f>COMPOSICIÓN!F446</f>
        <v>0</v>
      </c>
      <c r="G446" s="213">
        <f>COMPOSICIÓN!G446</f>
        <v>0.5</v>
      </c>
      <c r="H446" s="214">
        <f>COMPOSICIÓN!H446</f>
        <v>0</v>
      </c>
      <c r="I446" s="215">
        <f>COMPOSICIÓN!I446</f>
        <v>140.19809259430903</v>
      </c>
      <c r="J446" s="212" t="str">
        <f>IFERROR(VLOOKUP(A446,PARTIDAS!$A$2:$C$269,3,FALSE()),"")</f>
        <v>MAMPOSTERÍA</v>
      </c>
      <c r="K446" s="212" t="str">
        <f>IFERROR(INDEX(PPTO_GENERADOR!$B$4:$B$220,MATCH(A446,PPTO_GENERADOR!$Q$4:$Q$220,0)),"")</f>
        <v/>
      </c>
      <c r="L446" s="216">
        <f>IF(PLAN_ETAPA!$C$4="(TODOS)",SUMIFS(PPTO_GENERADOR!$E$4:$E$220,PPTO_GENERADOR!$Q$4:$Q$220,A446),SUMIFS(PPTO_GENERADOR!$E$4:$E$220,PPTO_GENERADOR!$Q$4:$Q$220,A446,PPTO_GENERADOR!$B$4:$B$220,PLAN_ETAPA!$C$4))</f>
        <v>0</v>
      </c>
      <c r="M446" s="216">
        <f>IFERROR(VLOOKUP(A446,PARTIDAS!$A$2:$F$269,6,FALSE()),1)</f>
        <v>3.25</v>
      </c>
      <c r="N446" s="216">
        <f>IFERROR(VLOOKUP(A446,PARTIDAS!$A$2:$I$269,9,FALSE()),1)</f>
        <v>1</v>
      </c>
      <c r="O446" s="217">
        <f t="shared" si="12"/>
        <v>0</v>
      </c>
      <c r="P446" s="216">
        <f>IF(O446=0,0,IF(B446="MAT",G446*(1+H446)*L446*PLAN_ETAPA!$C$5,IF(B446="MO",IF(M446=0,0,G446*L446*PLAN_ETAPA!$C$5*N446/M446),IF(B446="EQ",IF(M446=0,0,G446*L446*PLAN_ETAPA!$C$5/M446),0))))</f>
        <v>0</v>
      </c>
      <c r="Q446" s="218">
        <f t="shared" si="13"/>
        <v>0</v>
      </c>
    </row>
    <row r="447" spans="1:17" x14ac:dyDescent="0.35">
      <c r="A447" s="212" t="str">
        <f>COMPOSICIÓN!A447</f>
        <v>ELE-147</v>
      </c>
      <c r="B447" s="212" t="str">
        <f>COMPOSICIÓN!B447</f>
        <v>MAT</v>
      </c>
      <c r="C447" s="212" t="str">
        <f>COMPOSICIÓN!C447</f>
        <v>OTR</v>
      </c>
      <c r="D447" s="212" t="str">
        <f>COMPOSICIÓN!D447</f>
        <v>ACE-018</v>
      </c>
      <c r="E447" s="212" t="str">
        <f>COMPOSICIÓN!E447</f>
        <v>Conector hierro 7/8"</v>
      </c>
      <c r="F447" s="212" t="str">
        <f>COMPOSICIÓN!F447</f>
        <v>u</v>
      </c>
      <c r="G447" s="213">
        <f>COMPOSICIÓN!G447</f>
        <v>3</v>
      </c>
      <c r="H447" s="214">
        <f>COMPOSICIÓN!H447</f>
        <v>0.1</v>
      </c>
      <c r="I447" s="215">
        <f>COMPOSICIÓN!I447</f>
        <v>282.29000000000002</v>
      </c>
      <c r="J447" s="212" t="str">
        <f>IFERROR(VLOOKUP(A447,PARTIDAS!$A$2:$C$269,3,FALSE()),"")</f>
        <v>MAMPOSTERÍA</v>
      </c>
      <c r="K447" s="212" t="str">
        <f>IFERROR(INDEX(PPTO_GENERADOR!$B$4:$B$220,MATCH(A447,PPTO_GENERADOR!$Q$4:$Q$220,0)),"")</f>
        <v/>
      </c>
      <c r="L447" s="216">
        <f>IF(PLAN_ETAPA!$C$4="(TODOS)",SUMIFS(PPTO_GENERADOR!$E$4:$E$220,PPTO_GENERADOR!$Q$4:$Q$220,A447),SUMIFS(PPTO_GENERADOR!$E$4:$E$220,PPTO_GENERADOR!$Q$4:$Q$220,A447,PPTO_GENERADOR!$B$4:$B$220,PLAN_ETAPA!$C$4))</f>
        <v>0</v>
      </c>
      <c r="M447" s="216">
        <f>IFERROR(VLOOKUP(A447,PARTIDAS!$A$2:$F$269,6,FALSE()),1)</f>
        <v>3.25</v>
      </c>
      <c r="N447" s="216">
        <f>IFERROR(VLOOKUP(A447,PARTIDAS!$A$2:$I$269,9,FALSE()),1)</f>
        <v>1</v>
      </c>
      <c r="O447" s="217">
        <f t="shared" si="12"/>
        <v>0</v>
      </c>
      <c r="P447" s="216">
        <f>IF(O447=0,0,IF(B447="MAT",G447*(1+H447)*L447*PLAN_ETAPA!$C$5,IF(B447="MO",IF(M447=0,0,G447*L447*PLAN_ETAPA!$C$5*N447/M447),IF(B447="EQ",IF(M447=0,0,G447*L447*PLAN_ETAPA!$C$5/M447),0))))</f>
        <v>0</v>
      </c>
      <c r="Q447" s="218">
        <f t="shared" si="13"/>
        <v>0</v>
      </c>
    </row>
    <row r="448" spans="1:17" x14ac:dyDescent="0.35">
      <c r="A448" s="212" t="str">
        <f>COMPOSICIÓN!A448</f>
        <v>ELE-147</v>
      </c>
      <c r="B448" s="212" t="str">
        <f>COMPOSICIÓN!B448</f>
        <v>MAT</v>
      </c>
      <c r="C448" s="212" t="str">
        <f>COMPOSICIÓN!C448</f>
        <v>OTR</v>
      </c>
      <c r="D448" s="212" t="str">
        <f>COMPOSICIÓN!D448</f>
        <v>ELE-003</v>
      </c>
      <c r="E448" s="212" t="str">
        <f>COMPOSICIÓN!E448</f>
        <v>Caño rigido 7/8"</v>
      </c>
      <c r="F448" s="212" t="str">
        <f>COMPOSICIÓN!F448</f>
        <v>ml</v>
      </c>
      <c r="G448" s="213">
        <f>COMPOSICIÓN!G448</f>
        <v>5</v>
      </c>
      <c r="H448" s="214">
        <f>COMPOSICIÓN!H448</f>
        <v>0.1</v>
      </c>
      <c r="I448" s="215">
        <f>COMPOSICIÓN!I448</f>
        <v>635.55999999999995</v>
      </c>
      <c r="J448" s="212" t="str">
        <f>IFERROR(VLOOKUP(A448,PARTIDAS!$A$2:$C$269,3,FALSE()),"")</f>
        <v>MAMPOSTERÍA</v>
      </c>
      <c r="K448" s="212" t="str">
        <f>IFERROR(INDEX(PPTO_GENERADOR!$B$4:$B$220,MATCH(A448,PPTO_GENERADOR!$Q$4:$Q$220,0)),"")</f>
        <v/>
      </c>
      <c r="L448" s="216">
        <f>IF(PLAN_ETAPA!$C$4="(TODOS)",SUMIFS(PPTO_GENERADOR!$E$4:$E$220,PPTO_GENERADOR!$Q$4:$Q$220,A448),SUMIFS(PPTO_GENERADOR!$E$4:$E$220,PPTO_GENERADOR!$Q$4:$Q$220,A448,PPTO_GENERADOR!$B$4:$B$220,PLAN_ETAPA!$C$4))</f>
        <v>0</v>
      </c>
      <c r="M448" s="216">
        <f>IFERROR(VLOOKUP(A448,PARTIDAS!$A$2:$F$269,6,FALSE()),1)</f>
        <v>3.25</v>
      </c>
      <c r="N448" s="216">
        <f>IFERROR(VLOOKUP(A448,PARTIDAS!$A$2:$I$269,9,FALSE()),1)</f>
        <v>1</v>
      </c>
      <c r="O448" s="217">
        <f t="shared" si="12"/>
        <v>0</v>
      </c>
      <c r="P448" s="216">
        <f>IF(O448=0,0,IF(B448="MAT",G448*(1+H448)*L448*PLAN_ETAPA!$C$5,IF(B448="MO",IF(M448=0,0,G448*L448*PLAN_ETAPA!$C$5*N448/M448),IF(B448="EQ",IF(M448=0,0,G448*L448*PLAN_ETAPA!$C$5/M448),0))))</f>
        <v>0</v>
      </c>
      <c r="Q448" s="218">
        <f t="shared" si="13"/>
        <v>0</v>
      </c>
    </row>
    <row r="449" spans="1:17" x14ac:dyDescent="0.35">
      <c r="A449" s="212" t="str">
        <f>COMPOSICIÓN!A449</f>
        <v>ELE-147</v>
      </c>
      <c r="B449" s="212" t="str">
        <f>COMPOSICIÓN!B449</f>
        <v>MAT</v>
      </c>
      <c r="C449" s="212" t="str">
        <f>COMPOSICIÓN!C449</f>
        <v>OTR</v>
      </c>
      <c r="D449" s="212" t="str">
        <f>COMPOSICIÓN!D449</f>
        <v>ELE-006</v>
      </c>
      <c r="E449" s="212" t="str">
        <f>COMPOSICIÓN!E449</f>
        <v>Cupla PVC 7/8"</v>
      </c>
      <c r="F449" s="212" t="str">
        <f>COMPOSICIÓN!F449</f>
        <v>u</v>
      </c>
      <c r="G449" s="213">
        <f>COMPOSICIÓN!G449</f>
        <v>2</v>
      </c>
      <c r="H449" s="214">
        <f>COMPOSICIÓN!H449</f>
        <v>0.1</v>
      </c>
      <c r="I449" s="215">
        <f>COMPOSICIÓN!I449</f>
        <v>184.87</v>
      </c>
      <c r="J449" s="212" t="str">
        <f>IFERROR(VLOOKUP(A449,PARTIDAS!$A$2:$C$269,3,FALSE()),"")</f>
        <v>MAMPOSTERÍA</v>
      </c>
      <c r="K449" s="212" t="str">
        <f>IFERROR(INDEX(PPTO_GENERADOR!$B$4:$B$220,MATCH(A449,PPTO_GENERADOR!$Q$4:$Q$220,0)),"")</f>
        <v/>
      </c>
      <c r="L449" s="216">
        <f>IF(PLAN_ETAPA!$C$4="(TODOS)",SUMIFS(PPTO_GENERADOR!$E$4:$E$220,PPTO_GENERADOR!$Q$4:$Q$220,A449),SUMIFS(PPTO_GENERADOR!$E$4:$E$220,PPTO_GENERADOR!$Q$4:$Q$220,A449,PPTO_GENERADOR!$B$4:$B$220,PLAN_ETAPA!$C$4))</f>
        <v>0</v>
      </c>
      <c r="M449" s="216">
        <f>IFERROR(VLOOKUP(A449,PARTIDAS!$A$2:$F$269,6,FALSE()),1)</f>
        <v>3.25</v>
      </c>
      <c r="N449" s="216">
        <f>IFERROR(VLOOKUP(A449,PARTIDAS!$A$2:$I$269,9,FALSE()),1)</f>
        <v>1</v>
      </c>
      <c r="O449" s="217">
        <f t="shared" si="12"/>
        <v>0</v>
      </c>
      <c r="P449" s="216">
        <f>IF(O449=0,0,IF(B449="MAT",G449*(1+H449)*L449*PLAN_ETAPA!$C$5,IF(B449="MO",IF(M449=0,0,G449*L449*PLAN_ETAPA!$C$5*N449/M449),IF(B449="EQ",IF(M449=0,0,G449*L449*PLAN_ETAPA!$C$5/M449),0))))</f>
        <v>0</v>
      </c>
      <c r="Q449" s="218">
        <f t="shared" si="13"/>
        <v>0</v>
      </c>
    </row>
    <row r="450" spans="1:17" x14ac:dyDescent="0.35">
      <c r="A450" s="212" t="str">
        <f>COMPOSICIÓN!A450</f>
        <v>ELE-147</v>
      </c>
      <c r="B450" s="212" t="str">
        <f>COMPOSICIÓN!B450</f>
        <v>MAT</v>
      </c>
      <c r="C450" s="212" t="str">
        <f>COMPOSICIÓN!C450</f>
        <v>OTR</v>
      </c>
      <c r="D450" s="212" t="str">
        <f>COMPOSICIÓN!D450</f>
        <v>ELE-008</v>
      </c>
      <c r="E450" s="212" t="str">
        <f>COMPOSICIÓN!E450</f>
        <v>Cable unipolar 1 x 1,50</v>
      </c>
      <c r="F450" s="212" t="str">
        <f>COMPOSICIÓN!F450</f>
        <v>ml</v>
      </c>
      <c r="G450" s="213">
        <f>COMPOSICIÓN!G450</f>
        <v>7.5</v>
      </c>
      <c r="H450" s="214">
        <f>COMPOSICIÓN!H450</f>
        <v>0.1</v>
      </c>
      <c r="I450" s="215">
        <f>COMPOSICIÓN!I450</f>
        <v>316.44450000000001</v>
      </c>
      <c r="J450" s="212" t="str">
        <f>IFERROR(VLOOKUP(A450,PARTIDAS!$A$2:$C$269,3,FALSE()),"")</f>
        <v>MAMPOSTERÍA</v>
      </c>
      <c r="K450" s="212" t="str">
        <f>IFERROR(INDEX(PPTO_GENERADOR!$B$4:$B$220,MATCH(A450,PPTO_GENERADOR!$Q$4:$Q$220,0)),"")</f>
        <v/>
      </c>
      <c r="L450" s="216">
        <f>IF(PLAN_ETAPA!$C$4="(TODOS)",SUMIFS(PPTO_GENERADOR!$E$4:$E$220,PPTO_GENERADOR!$Q$4:$Q$220,A450),SUMIFS(PPTO_GENERADOR!$E$4:$E$220,PPTO_GENERADOR!$Q$4:$Q$220,A450,PPTO_GENERADOR!$B$4:$B$220,PLAN_ETAPA!$C$4))</f>
        <v>0</v>
      </c>
      <c r="M450" s="216">
        <f>IFERROR(VLOOKUP(A450,PARTIDAS!$A$2:$F$269,6,FALSE()),1)</f>
        <v>3.25</v>
      </c>
      <c r="N450" s="216">
        <f>IFERROR(VLOOKUP(A450,PARTIDAS!$A$2:$I$269,9,FALSE()),1)</f>
        <v>1</v>
      </c>
      <c r="O450" s="217">
        <f t="shared" ref="O450:O513" si="14">IF(L450&gt;0,1,0)</f>
        <v>0</v>
      </c>
      <c r="P450" s="216">
        <f>IF(O450=0,0,IF(B450="MAT",G450*(1+H450)*L450*PLAN_ETAPA!$C$5,IF(B450="MO",IF(M450=0,0,G450*L450*PLAN_ETAPA!$C$5*N450/M450),IF(B450="EQ",IF(M450=0,0,G450*L450*PLAN_ETAPA!$C$5/M450),0))))</f>
        <v>0</v>
      </c>
      <c r="Q450" s="218">
        <f t="shared" ref="Q450:Q513" si="15">P450*I450</f>
        <v>0</v>
      </c>
    </row>
    <row r="451" spans="1:17" x14ac:dyDescent="0.35">
      <c r="A451" s="212" t="str">
        <f>COMPOSICIÓN!A451</f>
        <v>ELE-147</v>
      </c>
      <c r="B451" s="212" t="str">
        <f>COMPOSICIÓN!B451</f>
        <v>MAT</v>
      </c>
      <c r="C451" s="212" t="str">
        <f>COMPOSICIÓN!C451</f>
        <v>OTR</v>
      </c>
      <c r="D451" s="212" t="str">
        <f>COMPOSICIÓN!D451</f>
        <v>ELE-009</v>
      </c>
      <c r="E451" s="212" t="str">
        <f>COMPOSICIÓN!E451</f>
        <v>Cable unipolar 1 x 2,50 VA</v>
      </c>
      <c r="F451" s="212" t="str">
        <f>COMPOSICIÓN!F451</f>
        <v>ml</v>
      </c>
      <c r="G451" s="213">
        <f>COMPOSICIÓN!G451</f>
        <v>5</v>
      </c>
      <c r="H451" s="214">
        <f>COMPOSICIÓN!H451</f>
        <v>0.1</v>
      </c>
      <c r="I451" s="215">
        <f>COMPOSICIÓN!I451</f>
        <v>509.31490000000002</v>
      </c>
      <c r="J451" s="212" t="str">
        <f>IFERROR(VLOOKUP(A451,PARTIDAS!$A$2:$C$269,3,FALSE()),"")</f>
        <v>MAMPOSTERÍA</v>
      </c>
      <c r="K451" s="212" t="str">
        <f>IFERROR(INDEX(PPTO_GENERADOR!$B$4:$B$220,MATCH(A451,PPTO_GENERADOR!$Q$4:$Q$220,0)),"")</f>
        <v/>
      </c>
      <c r="L451" s="216">
        <f>IF(PLAN_ETAPA!$C$4="(TODOS)",SUMIFS(PPTO_GENERADOR!$E$4:$E$220,PPTO_GENERADOR!$Q$4:$Q$220,A451),SUMIFS(PPTO_GENERADOR!$E$4:$E$220,PPTO_GENERADOR!$Q$4:$Q$220,A451,PPTO_GENERADOR!$B$4:$B$220,PLAN_ETAPA!$C$4))</f>
        <v>0</v>
      </c>
      <c r="M451" s="216">
        <f>IFERROR(VLOOKUP(A451,PARTIDAS!$A$2:$F$269,6,FALSE()),1)</f>
        <v>3.25</v>
      </c>
      <c r="N451" s="216">
        <f>IFERROR(VLOOKUP(A451,PARTIDAS!$A$2:$I$269,9,FALSE()),1)</f>
        <v>1</v>
      </c>
      <c r="O451" s="217">
        <f t="shared" si="14"/>
        <v>0</v>
      </c>
      <c r="P451" s="216">
        <f>IF(O451=0,0,IF(B451="MAT",G451*(1+H451)*L451*PLAN_ETAPA!$C$5,IF(B451="MO",IF(M451=0,0,G451*L451*PLAN_ETAPA!$C$5*N451/M451),IF(B451="EQ",IF(M451=0,0,G451*L451*PLAN_ETAPA!$C$5/M451),0))))</f>
        <v>0</v>
      </c>
      <c r="Q451" s="218">
        <f t="shared" si="15"/>
        <v>0</v>
      </c>
    </row>
    <row r="452" spans="1:17" x14ac:dyDescent="0.35">
      <c r="A452" s="212" t="str">
        <f>COMPOSICIÓN!A452</f>
        <v>ELE-147</v>
      </c>
      <c r="B452" s="212" t="str">
        <f>COMPOSICIÓN!B452</f>
        <v>MAT</v>
      </c>
      <c r="C452" s="212" t="str">
        <f>COMPOSICIÓN!C452</f>
        <v>OTR</v>
      </c>
      <c r="D452" s="212" t="str">
        <f>COMPOSICIÓN!D452</f>
        <v>ELE-010</v>
      </c>
      <c r="E452" s="212" t="str">
        <f>COMPOSICIÓN!E452</f>
        <v>Cable unipolar 1 x 2,50 Rojo/Marron/Negro</v>
      </c>
      <c r="F452" s="212" t="str">
        <f>COMPOSICIÓN!F452</f>
        <v>ml</v>
      </c>
      <c r="G452" s="213">
        <f>COMPOSICIÓN!G452</f>
        <v>7.5</v>
      </c>
      <c r="H452" s="214">
        <f>COMPOSICIÓN!H452</f>
        <v>0.1</v>
      </c>
      <c r="I452" s="215">
        <f>COMPOSICIÓN!I452</f>
        <v>509.31490000000002</v>
      </c>
      <c r="J452" s="212" t="str">
        <f>IFERROR(VLOOKUP(A452,PARTIDAS!$A$2:$C$269,3,FALSE()),"")</f>
        <v>MAMPOSTERÍA</v>
      </c>
      <c r="K452" s="212" t="str">
        <f>IFERROR(INDEX(PPTO_GENERADOR!$B$4:$B$220,MATCH(A452,PPTO_GENERADOR!$Q$4:$Q$220,0)),"")</f>
        <v/>
      </c>
      <c r="L452" s="216">
        <f>IF(PLAN_ETAPA!$C$4="(TODOS)",SUMIFS(PPTO_GENERADOR!$E$4:$E$220,PPTO_GENERADOR!$Q$4:$Q$220,A452),SUMIFS(PPTO_GENERADOR!$E$4:$E$220,PPTO_GENERADOR!$Q$4:$Q$220,A452,PPTO_GENERADOR!$B$4:$B$220,PLAN_ETAPA!$C$4))</f>
        <v>0</v>
      </c>
      <c r="M452" s="216">
        <f>IFERROR(VLOOKUP(A452,PARTIDAS!$A$2:$F$269,6,FALSE()),1)</f>
        <v>3.25</v>
      </c>
      <c r="N452" s="216">
        <f>IFERROR(VLOOKUP(A452,PARTIDAS!$A$2:$I$269,9,FALSE()),1)</f>
        <v>1</v>
      </c>
      <c r="O452" s="217">
        <f t="shared" si="14"/>
        <v>0</v>
      </c>
      <c r="P452" s="216">
        <f>IF(O452=0,0,IF(B452="MAT",G452*(1+H452)*L452*PLAN_ETAPA!$C$5,IF(B452="MO",IF(M452=0,0,G452*L452*PLAN_ETAPA!$C$5*N452/M452),IF(B452="EQ",IF(M452=0,0,G452*L452*PLAN_ETAPA!$C$5/M452),0))))</f>
        <v>0</v>
      </c>
      <c r="Q452" s="218">
        <f t="shared" si="15"/>
        <v>0</v>
      </c>
    </row>
    <row r="453" spans="1:17" x14ac:dyDescent="0.35">
      <c r="A453" s="212" t="str">
        <f>COMPOSICIÓN!A453</f>
        <v>ELE-147</v>
      </c>
      <c r="B453" s="212" t="str">
        <f>COMPOSICIÓN!B453</f>
        <v>MAT</v>
      </c>
      <c r="C453" s="212" t="str">
        <f>COMPOSICIÓN!C453</f>
        <v>OTR</v>
      </c>
      <c r="D453" s="212" t="str">
        <f>COMPOSICIÓN!D453</f>
        <v>ELE-013</v>
      </c>
      <c r="E453" s="212" t="str">
        <f>COMPOSICIÓN!E453</f>
        <v>Caja octogonal profunda</v>
      </c>
      <c r="F453" s="212" t="str">
        <f>COMPOSICIÓN!F453</f>
        <v>u</v>
      </c>
      <c r="G453" s="213">
        <f>COMPOSICIÓN!G453</f>
        <v>1</v>
      </c>
      <c r="H453" s="214">
        <f>COMPOSICIÓN!H453</f>
        <v>0.05</v>
      </c>
      <c r="I453" s="215">
        <f>COMPOSICIÓN!I453</f>
        <v>2148.7603305785101</v>
      </c>
      <c r="J453" s="212" t="str">
        <f>IFERROR(VLOOKUP(A453,PARTIDAS!$A$2:$C$269,3,FALSE()),"")</f>
        <v>MAMPOSTERÍA</v>
      </c>
      <c r="K453" s="212" t="str">
        <f>IFERROR(INDEX(PPTO_GENERADOR!$B$4:$B$220,MATCH(A453,PPTO_GENERADOR!$Q$4:$Q$220,0)),"")</f>
        <v/>
      </c>
      <c r="L453" s="216">
        <f>IF(PLAN_ETAPA!$C$4="(TODOS)",SUMIFS(PPTO_GENERADOR!$E$4:$E$220,PPTO_GENERADOR!$Q$4:$Q$220,A453),SUMIFS(PPTO_GENERADOR!$E$4:$E$220,PPTO_GENERADOR!$Q$4:$Q$220,A453,PPTO_GENERADOR!$B$4:$B$220,PLAN_ETAPA!$C$4))</f>
        <v>0</v>
      </c>
      <c r="M453" s="216">
        <f>IFERROR(VLOOKUP(A453,PARTIDAS!$A$2:$F$269,6,FALSE()),1)</f>
        <v>3.25</v>
      </c>
      <c r="N453" s="216">
        <f>IFERROR(VLOOKUP(A453,PARTIDAS!$A$2:$I$269,9,FALSE()),1)</f>
        <v>1</v>
      </c>
      <c r="O453" s="217">
        <f t="shared" si="14"/>
        <v>0</v>
      </c>
      <c r="P453" s="216">
        <f>IF(O453=0,0,IF(B453="MAT",G453*(1+H453)*L453*PLAN_ETAPA!$C$5,IF(B453="MO",IF(M453=0,0,G453*L453*PLAN_ETAPA!$C$5*N453/M453),IF(B453="EQ",IF(M453=0,0,G453*L453*PLAN_ETAPA!$C$5/M453),0))))</f>
        <v>0</v>
      </c>
      <c r="Q453" s="218">
        <f t="shared" si="15"/>
        <v>0</v>
      </c>
    </row>
    <row r="454" spans="1:17" x14ac:dyDescent="0.35">
      <c r="A454" s="212" t="str">
        <f>COMPOSICIÓN!A454</f>
        <v>ELE-147</v>
      </c>
      <c r="B454" s="212" t="str">
        <f>COMPOSICIÓN!B454</f>
        <v>MAT</v>
      </c>
      <c r="C454" s="212" t="str">
        <f>COMPOSICIÓN!C454</f>
        <v>OTR</v>
      </c>
      <c r="D454" s="212" t="str">
        <f>COMPOSICIÓN!D454</f>
        <v>ELE-014</v>
      </c>
      <c r="E454" s="212" t="str">
        <f>COMPOSICIÓN!E454</f>
        <v>Caja rectangular chica</v>
      </c>
      <c r="F454" s="212" t="str">
        <f>COMPOSICIÓN!F454</f>
        <v>u</v>
      </c>
      <c r="G454" s="213">
        <f>COMPOSICIÓN!G454</f>
        <v>0.5</v>
      </c>
      <c r="H454" s="214">
        <f>COMPOSICIÓN!H454</f>
        <v>0.05</v>
      </c>
      <c r="I454" s="215">
        <f>COMPOSICIÓN!I454</f>
        <v>202.42</v>
      </c>
      <c r="J454" s="212" t="str">
        <f>IFERROR(VLOOKUP(A454,PARTIDAS!$A$2:$C$269,3,FALSE()),"")</f>
        <v>MAMPOSTERÍA</v>
      </c>
      <c r="K454" s="212" t="str">
        <f>IFERROR(INDEX(PPTO_GENERADOR!$B$4:$B$220,MATCH(A454,PPTO_GENERADOR!$Q$4:$Q$220,0)),"")</f>
        <v/>
      </c>
      <c r="L454" s="216">
        <f>IF(PLAN_ETAPA!$C$4="(TODOS)",SUMIFS(PPTO_GENERADOR!$E$4:$E$220,PPTO_GENERADOR!$Q$4:$Q$220,A454),SUMIFS(PPTO_GENERADOR!$E$4:$E$220,PPTO_GENERADOR!$Q$4:$Q$220,A454,PPTO_GENERADOR!$B$4:$B$220,PLAN_ETAPA!$C$4))</f>
        <v>0</v>
      </c>
      <c r="M454" s="216">
        <f>IFERROR(VLOOKUP(A454,PARTIDAS!$A$2:$F$269,6,FALSE()),1)</f>
        <v>3.25</v>
      </c>
      <c r="N454" s="216">
        <f>IFERROR(VLOOKUP(A454,PARTIDAS!$A$2:$I$269,9,FALSE()),1)</f>
        <v>1</v>
      </c>
      <c r="O454" s="217">
        <f t="shared" si="14"/>
        <v>0</v>
      </c>
      <c r="P454" s="216">
        <f>IF(O454=0,0,IF(B454="MAT",G454*(1+H454)*L454*PLAN_ETAPA!$C$5,IF(B454="MO",IF(M454=0,0,G454*L454*PLAN_ETAPA!$C$5*N454/M454),IF(B454="EQ",IF(M454=0,0,G454*L454*PLAN_ETAPA!$C$5/M454),0))))</f>
        <v>0</v>
      </c>
      <c r="Q454" s="218">
        <f t="shared" si="15"/>
        <v>0</v>
      </c>
    </row>
    <row r="455" spans="1:17" x14ac:dyDescent="0.35">
      <c r="A455" s="212" t="str">
        <f>COMPOSICIÓN!A455</f>
        <v>ELE-147</v>
      </c>
      <c r="B455" s="212" t="str">
        <f>COMPOSICIÓN!B455</f>
        <v>MAT</v>
      </c>
      <c r="C455" s="212" t="str">
        <f>COMPOSICIÓN!C455</f>
        <v>OTR</v>
      </c>
      <c r="D455" s="212" t="str">
        <f>COMPOSICIÓN!D455</f>
        <v>MAT-CONS</v>
      </c>
      <c r="E455" s="212" t="str">
        <f>COMPOSICIÓN!E455</f>
        <v>Consumibles</v>
      </c>
      <c r="F455" s="212" t="str">
        <f>COMPOSICIÓN!F455</f>
        <v>gl</v>
      </c>
      <c r="G455" s="213">
        <f>COMPOSICIÓN!G455</f>
        <v>3530.1140378925602</v>
      </c>
      <c r="H455" s="214">
        <f>COMPOSICIÓN!H455</f>
        <v>0</v>
      </c>
      <c r="I455" s="215">
        <f>COMPOSICIÓN!I455</f>
        <v>1</v>
      </c>
      <c r="J455" s="212" t="str">
        <f>IFERROR(VLOOKUP(A455,PARTIDAS!$A$2:$C$269,3,FALSE()),"")</f>
        <v>MAMPOSTERÍA</v>
      </c>
      <c r="K455" s="212" t="str">
        <f>IFERROR(INDEX(PPTO_GENERADOR!$B$4:$B$220,MATCH(A455,PPTO_GENERADOR!$Q$4:$Q$220,0)),"")</f>
        <v/>
      </c>
      <c r="L455" s="216">
        <f>IF(PLAN_ETAPA!$C$4="(TODOS)",SUMIFS(PPTO_GENERADOR!$E$4:$E$220,PPTO_GENERADOR!$Q$4:$Q$220,A455),SUMIFS(PPTO_GENERADOR!$E$4:$E$220,PPTO_GENERADOR!$Q$4:$Q$220,A455,PPTO_GENERADOR!$B$4:$B$220,PLAN_ETAPA!$C$4))</f>
        <v>0</v>
      </c>
      <c r="M455" s="216">
        <f>IFERROR(VLOOKUP(A455,PARTIDAS!$A$2:$F$269,6,FALSE()),1)</f>
        <v>3.25</v>
      </c>
      <c r="N455" s="216">
        <f>IFERROR(VLOOKUP(A455,PARTIDAS!$A$2:$I$269,9,FALSE()),1)</f>
        <v>1</v>
      </c>
      <c r="O455" s="217">
        <f t="shared" si="14"/>
        <v>0</v>
      </c>
      <c r="P455" s="216">
        <f>IF(O455=0,0,IF(B455="MAT",G455*(1+H455)*L455*PLAN_ETAPA!$C$5,IF(B455="MO",IF(M455=0,0,G455*L455*PLAN_ETAPA!$C$5*N455/M455),IF(B455="EQ",IF(M455=0,0,G455*L455*PLAN_ETAPA!$C$5/M455),0))))</f>
        <v>0</v>
      </c>
      <c r="Q455" s="218">
        <f t="shared" si="15"/>
        <v>0</v>
      </c>
    </row>
    <row r="456" spans="1:17" x14ac:dyDescent="0.35">
      <c r="A456" s="212" t="str">
        <f>COMPOSICIÓN!A456</f>
        <v>ELE-147</v>
      </c>
      <c r="B456" s="212" t="str">
        <f>COMPOSICIÓN!B456</f>
        <v>MO</v>
      </c>
      <c r="C456" s="212" t="str">
        <f>COMPOSICIÓN!C456</f>
        <v>ALB</v>
      </c>
      <c r="D456" s="212" t="str">
        <f>COMPOSICIÓN!D456</f>
        <v>MO-EAYUD</v>
      </c>
      <c r="E456" s="212" t="str">
        <f>COMPOSICIÓN!E456</f>
        <v>AYUDANTE</v>
      </c>
      <c r="F456" s="212" t="str">
        <f>COMPOSICIÓN!F456</f>
        <v>j</v>
      </c>
      <c r="G456" s="213">
        <f>COMPOSICIÓN!G456</f>
        <v>1</v>
      </c>
      <c r="H456" s="214">
        <f>COMPOSICIÓN!H456</f>
        <v>0</v>
      </c>
      <c r="I456" s="215">
        <f>COMPOSICIÓN!I456</f>
        <v>60860.580776572002</v>
      </c>
      <c r="J456" s="212" t="str">
        <f>IFERROR(VLOOKUP(A456,PARTIDAS!$A$2:$C$269,3,FALSE()),"")</f>
        <v>MAMPOSTERÍA</v>
      </c>
      <c r="K456" s="212" t="str">
        <f>IFERROR(INDEX(PPTO_GENERADOR!$B$4:$B$220,MATCH(A456,PPTO_GENERADOR!$Q$4:$Q$220,0)),"")</f>
        <v/>
      </c>
      <c r="L456" s="216">
        <f>IF(PLAN_ETAPA!$C$4="(TODOS)",SUMIFS(PPTO_GENERADOR!$E$4:$E$220,PPTO_GENERADOR!$Q$4:$Q$220,A456),SUMIFS(PPTO_GENERADOR!$E$4:$E$220,PPTO_GENERADOR!$Q$4:$Q$220,A456,PPTO_GENERADOR!$B$4:$B$220,PLAN_ETAPA!$C$4))</f>
        <v>0</v>
      </c>
      <c r="M456" s="216">
        <f>IFERROR(VLOOKUP(A456,PARTIDAS!$A$2:$F$269,6,FALSE()),1)</f>
        <v>3.25</v>
      </c>
      <c r="N456" s="216">
        <f>IFERROR(VLOOKUP(A456,PARTIDAS!$A$2:$I$269,9,FALSE()),1)</f>
        <v>1</v>
      </c>
      <c r="O456" s="217">
        <f t="shared" si="14"/>
        <v>0</v>
      </c>
      <c r="P456" s="216">
        <f>IF(O456=0,0,IF(B456="MAT",G456*(1+H456)*L456*PLAN_ETAPA!$C$5,IF(B456="MO",IF(M456=0,0,G456*L456*PLAN_ETAPA!$C$5*N456/M456),IF(B456="EQ",IF(M456=0,0,G456*L456*PLAN_ETAPA!$C$5/M456),0))))</f>
        <v>0</v>
      </c>
      <c r="Q456" s="218">
        <f t="shared" si="15"/>
        <v>0</v>
      </c>
    </row>
    <row r="457" spans="1:17" x14ac:dyDescent="0.35">
      <c r="A457" s="212" t="str">
        <f>COMPOSICIÓN!A457</f>
        <v>ELE-147</v>
      </c>
      <c r="B457" s="212" t="str">
        <f>COMPOSICIÓN!B457</f>
        <v>MO</v>
      </c>
      <c r="C457" s="212" t="str">
        <f>COMPOSICIÓN!C457</f>
        <v>ALB</v>
      </c>
      <c r="D457" s="212" t="str">
        <f>COMPOSICIÓN!D457</f>
        <v>MO-EESPE</v>
      </c>
      <c r="E457" s="212" t="str">
        <f>COMPOSICIÓN!E457</f>
        <v>ESPECIALIZADO</v>
      </c>
      <c r="F457" s="212" t="str">
        <f>COMPOSICIÓN!F457</f>
        <v>j</v>
      </c>
      <c r="G457" s="213">
        <f>COMPOSICIÓN!G457</f>
        <v>1</v>
      </c>
      <c r="H457" s="214">
        <f>COMPOSICIÓN!H457</f>
        <v>0</v>
      </c>
      <c r="I457" s="215">
        <f>COMPOSICIÓN!I457</f>
        <v>85927.097156571996</v>
      </c>
      <c r="J457" s="212" t="str">
        <f>IFERROR(VLOOKUP(A457,PARTIDAS!$A$2:$C$269,3,FALSE()),"")</f>
        <v>MAMPOSTERÍA</v>
      </c>
      <c r="K457" s="212" t="str">
        <f>IFERROR(INDEX(PPTO_GENERADOR!$B$4:$B$220,MATCH(A457,PPTO_GENERADOR!$Q$4:$Q$220,0)),"")</f>
        <v/>
      </c>
      <c r="L457" s="216">
        <f>IF(PLAN_ETAPA!$C$4="(TODOS)",SUMIFS(PPTO_GENERADOR!$E$4:$E$220,PPTO_GENERADOR!$Q$4:$Q$220,A457),SUMIFS(PPTO_GENERADOR!$E$4:$E$220,PPTO_GENERADOR!$Q$4:$Q$220,A457,PPTO_GENERADOR!$B$4:$B$220,PLAN_ETAPA!$C$4))</f>
        <v>0</v>
      </c>
      <c r="M457" s="216">
        <f>IFERROR(VLOOKUP(A457,PARTIDAS!$A$2:$F$269,6,FALSE()),1)</f>
        <v>3.25</v>
      </c>
      <c r="N457" s="216">
        <f>IFERROR(VLOOKUP(A457,PARTIDAS!$A$2:$I$269,9,FALSE()),1)</f>
        <v>1</v>
      </c>
      <c r="O457" s="217">
        <f t="shared" si="14"/>
        <v>0</v>
      </c>
      <c r="P457" s="216">
        <f>IF(O457=0,0,IF(B457="MAT",G457*(1+H457)*L457*PLAN_ETAPA!$C$5,IF(B457="MO",IF(M457=0,0,G457*L457*PLAN_ETAPA!$C$5*N457/M457),IF(B457="EQ",IF(M457=0,0,G457*L457*PLAN_ETAPA!$C$5/M457),0))))</f>
        <v>0</v>
      </c>
      <c r="Q457" s="218">
        <f t="shared" si="15"/>
        <v>0</v>
      </c>
    </row>
    <row r="458" spans="1:17" x14ac:dyDescent="0.35">
      <c r="A458" s="212" t="str">
        <f>COMPOSICIÓN!A458</f>
        <v>ELE-148</v>
      </c>
      <c r="B458" s="212" t="str">
        <f>COMPOSICIÓN!B458</f>
        <v>EQ</v>
      </c>
      <c r="C458" s="212">
        <f>COMPOSICIÓN!C458</f>
        <v>0</v>
      </c>
      <c r="D458" s="212" t="str">
        <f>COMPOSICIÓN!D458</f>
        <v>EQ-ANDAM0</v>
      </c>
      <c r="E458" s="212" t="str">
        <f>COMPOSICIÓN!E458</f>
        <v>ANDAMIO TUBULAR DE UNO A TRES CUERPOS</v>
      </c>
      <c r="F458" s="212">
        <f>COMPOSICIÓN!F458</f>
        <v>0</v>
      </c>
      <c r="G458" s="213">
        <f>COMPOSICIÓN!G458</f>
        <v>0.5</v>
      </c>
      <c r="H458" s="214">
        <f>COMPOSICIÓN!H458</f>
        <v>0</v>
      </c>
      <c r="I458" s="215">
        <f>COMPOSICIÓN!I458</f>
        <v>571.1794909807611</v>
      </c>
      <c r="J458" s="212" t="str">
        <f>IFERROR(VLOOKUP(A458,PARTIDAS!$A$2:$C$269,3,FALSE()),"")</f>
        <v>MAMPOSTERÍA</v>
      </c>
      <c r="K458" s="212" t="str">
        <f>IFERROR(INDEX(PPTO_GENERADOR!$B$4:$B$220,MATCH(A458,PPTO_GENERADOR!$Q$4:$Q$220,0)),"")</f>
        <v/>
      </c>
      <c r="L458" s="216">
        <f>IF(PLAN_ETAPA!$C$4="(TODOS)",SUMIFS(PPTO_GENERADOR!$E$4:$E$220,PPTO_GENERADOR!$Q$4:$Q$220,A458),SUMIFS(PPTO_GENERADOR!$E$4:$E$220,PPTO_GENERADOR!$Q$4:$Q$220,A458,PPTO_GENERADOR!$B$4:$B$220,PLAN_ETAPA!$C$4))</f>
        <v>0</v>
      </c>
      <c r="M458" s="216">
        <f>IFERROR(VLOOKUP(A458,PARTIDAS!$A$2:$F$269,6,FALSE()),1)</f>
        <v>3.25</v>
      </c>
      <c r="N458" s="216">
        <f>IFERROR(VLOOKUP(A458,PARTIDAS!$A$2:$I$269,9,FALSE()),1)</f>
        <v>1</v>
      </c>
      <c r="O458" s="217">
        <f t="shared" si="14"/>
        <v>0</v>
      </c>
      <c r="P458" s="216">
        <f>IF(O458=0,0,IF(B458="MAT",G458*(1+H458)*L458*PLAN_ETAPA!$C$5,IF(B458="MO",IF(M458=0,0,G458*L458*PLAN_ETAPA!$C$5*N458/M458),IF(B458="EQ",IF(M458=0,0,G458*L458*PLAN_ETAPA!$C$5/M458),0))))</f>
        <v>0</v>
      </c>
      <c r="Q458" s="218">
        <f t="shared" si="15"/>
        <v>0</v>
      </c>
    </row>
    <row r="459" spans="1:17" x14ac:dyDescent="0.35">
      <c r="A459" s="212" t="str">
        <f>COMPOSICIÓN!A459</f>
        <v>ELE-148</v>
      </c>
      <c r="B459" s="212" t="str">
        <f>COMPOSICIÓN!B459</f>
        <v>EQ</v>
      </c>
      <c r="C459" s="212">
        <f>COMPOSICIÓN!C459</f>
        <v>0</v>
      </c>
      <c r="D459" s="212" t="str">
        <f>COMPOSICIÓN!D459</f>
        <v>EQ-EQUIP0</v>
      </c>
      <c r="E459" s="212" t="str">
        <f>COMPOSICIÓN!E459</f>
        <v>EQUIPO PARA INSTALACION ELECTRICA</v>
      </c>
      <c r="F459" s="212">
        <f>COMPOSICIÓN!F459</f>
        <v>0</v>
      </c>
      <c r="G459" s="213">
        <f>COMPOSICIÓN!G459</f>
        <v>1</v>
      </c>
      <c r="H459" s="214">
        <f>COMPOSICIÓN!H459</f>
        <v>0</v>
      </c>
      <c r="I459" s="215">
        <f>COMPOSICIÓN!I459</f>
        <v>5063.0947914732405</v>
      </c>
      <c r="J459" s="212" t="str">
        <f>IFERROR(VLOOKUP(A459,PARTIDAS!$A$2:$C$269,3,FALSE()),"")</f>
        <v>MAMPOSTERÍA</v>
      </c>
      <c r="K459" s="212" t="str">
        <f>IFERROR(INDEX(PPTO_GENERADOR!$B$4:$B$220,MATCH(A459,PPTO_GENERADOR!$Q$4:$Q$220,0)),"")</f>
        <v/>
      </c>
      <c r="L459" s="216">
        <f>IF(PLAN_ETAPA!$C$4="(TODOS)",SUMIFS(PPTO_GENERADOR!$E$4:$E$220,PPTO_GENERADOR!$Q$4:$Q$220,A459),SUMIFS(PPTO_GENERADOR!$E$4:$E$220,PPTO_GENERADOR!$Q$4:$Q$220,A459,PPTO_GENERADOR!$B$4:$B$220,PLAN_ETAPA!$C$4))</f>
        <v>0</v>
      </c>
      <c r="M459" s="216">
        <f>IFERROR(VLOOKUP(A459,PARTIDAS!$A$2:$F$269,6,FALSE()),1)</f>
        <v>3.25</v>
      </c>
      <c r="N459" s="216">
        <f>IFERROR(VLOOKUP(A459,PARTIDAS!$A$2:$I$269,9,FALSE()),1)</f>
        <v>1</v>
      </c>
      <c r="O459" s="217">
        <f t="shared" si="14"/>
        <v>0</v>
      </c>
      <c r="P459" s="216">
        <f>IF(O459=0,0,IF(B459="MAT",G459*(1+H459)*L459*PLAN_ETAPA!$C$5,IF(B459="MO",IF(M459=0,0,G459*L459*PLAN_ETAPA!$C$5*N459/M459),IF(B459="EQ",IF(M459=0,0,G459*L459*PLAN_ETAPA!$C$5/M459),0))))</f>
        <v>0</v>
      </c>
      <c r="Q459" s="218">
        <f t="shared" si="15"/>
        <v>0</v>
      </c>
    </row>
    <row r="460" spans="1:17" x14ac:dyDescent="0.35">
      <c r="A460" s="212" t="str">
        <f>COMPOSICIÓN!A460</f>
        <v>ELE-148</v>
      </c>
      <c r="B460" s="212" t="str">
        <f>COMPOSICIÓN!B460</f>
        <v>EQ</v>
      </c>
      <c r="C460" s="212">
        <f>COMPOSICIÓN!C460</f>
        <v>0</v>
      </c>
      <c r="D460" s="212" t="str">
        <f>COMPOSICIÓN!D460</f>
        <v>EQ-ESCALE</v>
      </c>
      <c r="E460" s="212" t="str">
        <f>COMPOSICIÓN!E460</f>
        <v>ESCALERA GLOSS ALUMINIO ARTICULADA 4 X 4 ESCALONES HASTA 150KG</v>
      </c>
      <c r="F460" s="212">
        <f>COMPOSICIÓN!F460</f>
        <v>0</v>
      </c>
      <c r="G460" s="213">
        <f>COMPOSICIÓN!G460</f>
        <v>0.5</v>
      </c>
      <c r="H460" s="214">
        <f>COMPOSICIÓN!H460</f>
        <v>0</v>
      </c>
      <c r="I460" s="215">
        <f>COMPOSICIÓN!I460</f>
        <v>140.19809259430903</v>
      </c>
      <c r="J460" s="212" t="str">
        <f>IFERROR(VLOOKUP(A460,PARTIDAS!$A$2:$C$269,3,FALSE()),"")</f>
        <v>MAMPOSTERÍA</v>
      </c>
      <c r="K460" s="212" t="str">
        <f>IFERROR(INDEX(PPTO_GENERADOR!$B$4:$B$220,MATCH(A460,PPTO_GENERADOR!$Q$4:$Q$220,0)),"")</f>
        <v/>
      </c>
      <c r="L460" s="216">
        <f>IF(PLAN_ETAPA!$C$4="(TODOS)",SUMIFS(PPTO_GENERADOR!$E$4:$E$220,PPTO_GENERADOR!$Q$4:$Q$220,A460),SUMIFS(PPTO_GENERADOR!$E$4:$E$220,PPTO_GENERADOR!$Q$4:$Q$220,A460,PPTO_GENERADOR!$B$4:$B$220,PLAN_ETAPA!$C$4))</f>
        <v>0</v>
      </c>
      <c r="M460" s="216">
        <f>IFERROR(VLOOKUP(A460,PARTIDAS!$A$2:$F$269,6,FALSE()),1)</f>
        <v>3.25</v>
      </c>
      <c r="N460" s="216">
        <f>IFERROR(VLOOKUP(A460,PARTIDAS!$A$2:$I$269,9,FALSE()),1)</f>
        <v>1</v>
      </c>
      <c r="O460" s="217">
        <f t="shared" si="14"/>
        <v>0</v>
      </c>
      <c r="P460" s="216">
        <f>IF(O460=0,0,IF(B460="MAT",G460*(1+H460)*L460*PLAN_ETAPA!$C$5,IF(B460="MO",IF(M460=0,0,G460*L460*PLAN_ETAPA!$C$5*N460/M460),IF(B460="EQ",IF(M460=0,0,G460*L460*PLAN_ETAPA!$C$5/M460),0))))</f>
        <v>0</v>
      </c>
      <c r="Q460" s="218">
        <f t="shared" si="15"/>
        <v>0</v>
      </c>
    </row>
    <row r="461" spans="1:17" x14ac:dyDescent="0.35">
      <c r="A461" s="212" t="str">
        <f>COMPOSICIÓN!A461</f>
        <v>ELE-148</v>
      </c>
      <c r="B461" s="212" t="str">
        <f>COMPOSICIÓN!B461</f>
        <v>MAT</v>
      </c>
      <c r="C461" s="212" t="str">
        <f>COMPOSICIÓN!C461</f>
        <v>OTR</v>
      </c>
      <c r="D461" s="212" t="str">
        <f>COMPOSICIÓN!D461</f>
        <v>ACE-019</v>
      </c>
      <c r="E461" s="212" t="str">
        <f>COMPOSICIÓN!E461</f>
        <v>Conector hierro 1"</v>
      </c>
      <c r="F461" s="212" t="str">
        <f>COMPOSICIÓN!F461</f>
        <v>u</v>
      </c>
      <c r="G461" s="213">
        <f>COMPOSICIÓN!G461</f>
        <v>3</v>
      </c>
      <c r="H461" s="214">
        <f>COMPOSICIÓN!H461</f>
        <v>0.1</v>
      </c>
      <c r="I461" s="215">
        <f>COMPOSICIÓN!I461</f>
        <v>351.14</v>
      </c>
      <c r="J461" s="212" t="str">
        <f>IFERROR(VLOOKUP(A461,PARTIDAS!$A$2:$C$269,3,FALSE()),"")</f>
        <v>MAMPOSTERÍA</v>
      </c>
      <c r="K461" s="212" t="str">
        <f>IFERROR(INDEX(PPTO_GENERADOR!$B$4:$B$220,MATCH(A461,PPTO_GENERADOR!$Q$4:$Q$220,0)),"")</f>
        <v/>
      </c>
      <c r="L461" s="216">
        <f>IF(PLAN_ETAPA!$C$4="(TODOS)",SUMIFS(PPTO_GENERADOR!$E$4:$E$220,PPTO_GENERADOR!$Q$4:$Q$220,A461),SUMIFS(PPTO_GENERADOR!$E$4:$E$220,PPTO_GENERADOR!$Q$4:$Q$220,A461,PPTO_GENERADOR!$B$4:$B$220,PLAN_ETAPA!$C$4))</f>
        <v>0</v>
      </c>
      <c r="M461" s="216">
        <f>IFERROR(VLOOKUP(A461,PARTIDAS!$A$2:$F$269,6,FALSE()),1)</f>
        <v>3.25</v>
      </c>
      <c r="N461" s="216">
        <f>IFERROR(VLOOKUP(A461,PARTIDAS!$A$2:$I$269,9,FALSE()),1)</f>
        <v>1</v>
      </c>
      <c r="O461" s="217">
        <f t="shared" si="14"/>
        <v>0</v>
      </c>
      <c r="P461" s="216">
        <f>IF(O461=0,0,IF(B461="MAT",G461*(1+H461)*L461*PLAN_ETAPA!$C$5,IF(B461="MO",IF(M461=0,0,G461*L461*PLAN_ETAPA!$C$5*N461/M461),IF(B461="EQ",IF(M461=0,0,G461*L461*PLAN_ETAPA!$C$5/M461),0))))</f>
        <v>0</v>
      </c>
      <c r="Q461" s="218">
        <f t="shared" si="15"/>
        <v>0</v>
      </c>
    </row>
    <row r="462" spans="1:17" x14ac:dyDescent="0.35">
      <c r="A462" s="212" t="str">
        <f>COMPOSICIÓN!A462</f>
        <v>ELE-148</v>
      </c>
      <c r="B462" s="212" t="str">
        <f>COMPOSICIÓN!B462</f>
        <v>MAT</v>
      </c>
      <c r="C462" s="212" t="str">
        <f>COMPOSICIÓN!C462</f>
        <v>OTR</v>
      </c>
      <c r="D462" s="212" t="str">
        <f>COMPOSICIÓN!D462</f>
        <v>ELE-002</v>
      </c>
      <c r="E462" s="212" t="str">
        <f>COMPOSICIÓN!E462</f>
        <v>Caño rigido 1"</v>
      </c>
      <c r="F462" s="212" t="str">
        <f>COMPOSICIÓN!F462</f>
        <v>ml</v>
      </c>
      <c r="G462" s="213">
        <f>COMPOSICIÓN!G462</f>
        <v>7.5</v>
      </c>
      <c r="H462" s="214">
        <f>COMPOSICIÓN!H462</f>
        <v>0.1</v>
      </c>
      <c r="I462" s="215">
        <f>COMPOSICIÓN!I462</f>
        <v>666.92666666666696</v>
      </c>
      <c r="J462" s="212" t="str">
        <f>IFERROR(VLOOKUP(A462,PARTIDAS!$A$2:$C$269,3,FALSE()),"")</f>
        <v>MAMPOSTERÍA</v>
      </c>
      <c r="K462" s="212" t="str">
        <f>IFERROR(INDEX(PPTO_GENERADOR!$B$4:$B$220,MATCH(A462,PPTO_GENERADOR!$Q$4:$Q$220,0)),"")</f>
        <v/>
      </c>
      <c r="L462" s="216">
        <f>IF(PLAN_ETAPA!$C$4="(TODOS)",SUMIFS(PPTO_GENERADOR!$E$4:$E$220,PPTO_GENERADOR!$Q$4:$Q$220,A462),SUMIFS(PPTO_GENERADOR!$E$4:$E$220,PPTO_GENERADOR!$Q$4:$Q$220,A462,PPTO_GENERADOR!$B$4:$B$220,PLAN_ETAPA!$C$4))</f>
        <v>0</v>
      </c>
      <c r="M462" s="216">
        <f>IFERROR(VLOOKUP(A462,PARTIDAS!$A$2:$F$269,6,FALSE()),1)</f>
        <v>3.25</v>
      </c>
      <c r="N462" s="216">
        <f>IFERROR(VLOOKUP(A462,PARTIDAS!$A$2:$I$269,9,FALSE()),1)</f>
        <v>1</v>
      </c>
      <c r="O462" s="217">
        <f t="shared" si="14"/>
        <v>0</v>
      </c>
      <c r="P462" s="216">
        <f>IF(O462=0,0,IF(B462="MAT",G462*(1+H462)*L462*PLAN_ETAPA!$C$5,IF(B462="MO",IF(M462=0,0,G462*L462*PLAN_ETAPA!$C$5*N462/M462),IF(B462="EQ",IF(M462=0,0,G462*L462*PLAN_ETAPA!$C$5/M462),0))))</f>
        <v>0</v>
      </c>
      <c r="Q462" s="218">
        <f t="shared" si="15"/>
        <v>0</v>
      </c>
    </row>
    <row r="463" spans="1:17" x14ac:dyDescent="0.35">
      <c r="A463" s="212" t="str">
        <f>COMPOSICIÓN!A463</f>
        <v>ELE-148</v>
      </c>
      <c r="B463" s="212" t="str">
        <f>COMPOSICIÓN!B463</f>
        <v>MAT</v>
      </c>
      <c r="C463" s="212" t="str">
        <f>COMPOSICIÓN!C463</f>
        <v>OTR</v>
      </c>
      <c r="D463" s="212" t="str">
        <f>COMPOSICIÓN!D463</f>
        <v>ELE-007</v>
      </c>
      <c r="E463" s="212" t="str">
        <f>COMPOSICIÓN!E463</f>
        <v>Cupla PVC 1"</v>
      </c>
      <c r="F463" s="212" t="str">
        <f>COMPOSICIÓN!F463</f>
        <v>u</v>
      </c>
      <c r="G463" s="213">
        <f>COMPOSICIÓN!G463</f>
        <v>3</v>
      </c>
      <c r="H463" s="214">
        <f>COMPOSICIÓN!H463</f>
        <v>0.1</v>
      </c>
      <c r="I463" s="215">
        <f>COMPOSICIÓN!I463</f>
        <v>280.10000000000002</v>
      </c>
      <c r="J463" s="212" t="str">
        <f>IFERROR(VLOOKUP(A463,PARTIDAS!$A$2:$C$269,3,FALSE()),"")</f>
        <v>MAMPOSTERÍA</v>
      </c>
      <c r="K463" s="212" t="str">
        <f>IFERROR(INDEX(PPTO_GENERADOR!$B$4:$B$220,MATCH(A463,PPTO_GENERADOR!$Q$4:$Q$220,0)),"")</f>
        <v/>
      </c>
      <c r="L463" s="216">
        <f>IF(PLAN_ETAPA!$C$4="(TODOS)",SUMIFS(PPTO_GENERADOR!$E$4:$E$220,PPTO_GENERADOR!$Q$4:$Q$220,A463),SUMIFS(PPTO_GENERADOR!$E$4:$E$220,PPTO_GENERADOR!$Q$4:$Q$220,A463,PPTO_GENERADOR!$B$4:$B$220,PLAN_ETAPA!$C$4))</f>
        <v>0</v>
      </c>
      <c r="M463" s="216">
        <f>IFERROR(VLOOKUP(A463,PARTIDAS!$A$2:$F$269,6,FALSE()),1)</f>
        <v>3.25</v>
      </c>
      <c r="N463" s="216">
        <f>IFERROR(VLOOKUP(A463,PARTIDAS!$A$2:$I$269,9,FALSE()),1)</f>
        <v>1</v>
      </c>
      <c r="O463" s="217">
        <f t="shared" si="14"/>
        <v>0</v>
      </c>
      <c r="P463" s="216">
        <f>IF(O463=0,0,IF(B463="MAT",G463*(1+H463)*L463*PLAN_ETAPA!$C$5,IF(B463="MO",IF(M463=0,0,G463*L463*PLAN_ETAPA!$C$5*N463/M463),IF(B463="EQ",IF(M463=0,0,G463*L463*PLAN_ETAPA!$C$5/M463),0))))</f>
        <v>0</v>
      </c>
      <c r="Q463" s="218">
        <f t="shared" si="15"/>
        <v>0</v>
      </c>
    </row>
    <row r="464" spans="1:17" x14ac:dyDescent="0.35">
      <c r="A464" s="212" t="str">
        <f>COMPOSICIÓN!A464</f>
        <v>ELE-148</v>
      </c>
      <c r="B464" s="212" t="str">
        <f>COMPOSICIÓN!B464</f>
        <v>MAT</v>
      </c>
      <c r="C464" s="212" t="str">
        <f>COMPOSICIÓN!C464</f>
        <v>OTR</v>
      </c>
      <c r="D464" s="212" t="str">
        <f>COMPOSICIÓN!D464</f>
        <v>ELE-011</v>
      </c>
      <c r="E464" s="212" t="str">
        <f>COMPOSICIÓN!E464</f>
        <v>Cable unipolar 1 x 4,00</v>
      </c>
      <c r="F464" s="212" t="str">
        <f>COMPOSICIÓN!F464</f>
        <v>ml</v>
      </c>
      <c r="G464" s="213">
        <f>COMPOSICIÓN!G464</f>
        <v>22.5</v>
      </c>
      <c r="H464" s="214">
        <f>COMPOSICIÓN!H464</f>
        <v>0.1</v>
      </c>
      <c r="I464" s="215">
        <f>COMPOSICIÓN!I464</f>
        <v>834.6</v>
      </c>
      <c r="J464" s="212" t="str">
        <f>IFERROR(VLOOKUP(A464,PARTIDAS!$A$2:$C$269,3,FALSE()),"")</f>
        <v>MAMPOSTERÍA</v>
      </c>
      <c r="K464" s="212" t="str">
        <f>IFERROR(INDEX(PPTO_GENERADOR!$B$4:$B$220,MATCH(A464,PPTO_GENERADOR!$Q$4:$Q$220,0)),"")</f>
        <v/>
      </c>
      <c r="L464" s="216">
        <f>IF(PLAN_ETAPA!$C$4="(TODOS)",SUMIFS(PPTO_GENERADOR!$E$4:$E$220,PPTO_GENERADOR!$Q$4:$Q$220,A464),SUMIFS(PPTO_GENERADOR!$E$4:$E$220,PPTO_GENERADOR!$Q$4:$Q$220,A464,PPTO_GENERADOR!$B$4:$B$220,PLAN_ETAPA!$C$4))</f>
        <v>0</v>
      </c>
      <c r="M464" s="216">
        <f>IFERROR(VLOOKUP(A464,PARTIDAS!$A$2:$F$269,6,FALSE()),1)</f>
        <v>3.25</v>
      </c>
      <c r="N464" s="216">
        <f>IFERROR(VLOOKUP(A464,PARTIDAS!$A$2:$I$269,9,FALSE()),1)</f>
        <v>1</v>
      </c>
      <c r="O464" s="217">
        <f t="shared" si="14"/>
        <v>0</v>
      </c>
      <c r="P464" s="216">
        <f>IF(O464=0,0,IF(B464="MAT",G464*(1+H464)*L464*PLAN_ETAPA!$C$5,IF(B464="MO",IF(M464=0,0,G464*L464*PLAN_ETAPA!$C$5*N464/M464),IF(B464="EQ",IF(M464=0,0,G464*L464*PLAN_ETAPA!$C$5/M464),0))))</f>
        <v>0</v>
      </c>
      <c r="Q464" s="218">
        <f t="shared" si="15"/>
        <v>0</v>
      </c>
    </row>
    <row r="465" spans="1:17" x14ac:dyDescent="0.35">
      <c r="A465" s="212" t="str">
        <f>COMPOSICIÓN!A465</f>
        <v>ELE-148</v>
      </c>
      <c r="B465" s="212" t="str">
        <f>COMPOSICIÓN!B465</f>
        <v>MAT</v>
      </c>
      <c r="C465" s="212" t="str">
        <f>COMPOSICIÓN!C465</f>
        <v>OTR</v>
      </c>
      <c r="D465" s="212" t="str">
        <f>COMPOSICIÓN!D465</f>
        <v>ELE-014</v>
      </c>
      <c r="E465" s="212" t="str">
        <f>COMPOSICIÓN!E465</f>
        <v>Caja rectangular chica</v>
      </c>
      <c r="F465" s="212" t="str">
        <f>COMPOSICIÓN!F465</f>
        <v>u</v>
      </c>
      <c r="G465" s="213">
        <f>COMPOSICIÓN!G465</f>
        <v>1</v>
      </c>
      <c r="H465" s="214">
        <f>COMPOSICIÓN!H465</f>
        <v>0.05</v>
      </c>
      <c r="I465" s="215">
        <f>COMPOSICIÓN!I465</f>
        <v>202.42</v>
      </c>
      <c r="J465" s="212" t="str">
        <f>IFERROR(VLOOKUP(A465,PARTIDAS!$A$2:$C$269,3,FALSE()),"")</f>
        <v>MAMPOSTERÍA</v>
      </c>
      <c r="K465" s="212" t="str">
        <f>IFERROR(INDEX(PPTO_GENERADOR!$B$4:$B$220,MATCH(A465,PPTO_GENERADOR!$Q$4:$Q$220,0)),"")</f>
        <v/>
      </c>
      <c r="L465" s="216">
        <f>IF(PLAN_ETAPA!$C$4="(TODOS)",SUMIFS(PPTO_GENERADOR!$E$4:$E$220,PPTO_GENERADOR!$Q$4:$Q$220,A465),SUMIFS(PPTO_GENERADOR!$E$4:$E$220,PPTO_GENERADOR!$Q$4:$Q$220,A465,PPTO_GENERADOR!$B$4:$B$220,PLAN_ETAPA!$C$4))</f>
        <v>0</v>
      </c>
      <c r="M465" s="216">
        <f>IFERROR(VLOOKUP(A465,PARTIDAS!$A$2:$F$269,6,FALSE()),1)</f>
        <v>3.25</v>
      </c>
      <c r="N465" s="216">
        <f>IFERROR(VLOOKUP(A465,PARTIDAS!$A$2:$I$269,9,FALSE()),1)</f>
        <v>1</v>
      </c>
      <c r="O465" s="217">
        <f t="shared" si="14"/>
        <v>0</v>
      </c>
      <c r="P465" s="216">
        <f>IF(O465=0,0,IF(B465="MAT",G465*(1+H465)*L465*PLAN_ETAPA!$C$5,IF(B465="MO",IF(M465=0,0,G465*L465*PLAN_ETAPA!$C$5*N465/M465),IF(B465="EQ",IF(M465=0,0,G465*L465*PLAN_ETAPA!$C$5/M465),0))))</f>
        <v>0</v>
      </c>
      <c r="Q465" s="218">
        <f t="shared" si="15"/>
        <v>0</v>
      </c>
    </row>
    <row r="466" spans="1:17" x14ac:dyDescent="0.35">
      <c r="A466" s="212" t="str">
        <f>COMPOSICIÓN!A466</f>
        <v>ELE-148</v>
      </c>
      <c r="B466" s="212" t="str">
        <f>COMPOSICIÓN!B466</f>
        <v>MAT</v>
      </c>
      <c r="C466" s="212" t="str">
        <f>COMPOSICIÓN!C466</f>
        <v>OTR</v>
      </c>
      <c r="D466" s="212" t="str">
        <f>COMPOSICIÓN!D466</f>
        <v>MAT-CONS</v>
      </c>
      <c r="E466" s="212" t="str">
        <f>COMPOSICIÓN!E466</f>
        <v>Consumibles</v>
      </c>
      <c r="F466" s="212" t="str">
        <f>COMPOSICIÓN!F466</f>
        <v>gl</v>
      </c>
      <c r="G466" s="213">
        <f>COMPOSICIÓN!G466</f>
        <v>5975.3668799999996</v>
      </c>
      <c r="H466" s="214">
        <f>COMPOSICIÓN!H466</f>
        <v>0</v>
      </c>
      <c r="I466" s="215">
        <f>COMPOSICIÓN!I466</f>
        <v>1</v>
      </c>
      <c r="J466" s="212" t="str">
        <f>IFERROR(VLOOKUP(A466,PARTIDAS!$A$2:$C$269,3,FALSE()),"")</f>
        <v>MAMPOSTERÍA</v>
      </c>
      <c r="K466" s="212" t="str">
        <f>IFERROR(INDEX(PPTO_GENERADOR!$B$4:$B$220,MATCH(A466,PPTO_GENERADOR!$Q$4:$Q$220,0)),"")</f>
        <v/>
      </c>
      <c r="L466" s="216">
        <f>IF(PLAN_ETAPA!$C$4="(TODOS)",SUMIFS(PPTO_GENERADOR!$E$4:$E$220,PPTO_GENERADOR!$Q$4:$Q$220,A466),SUMIFS(PPTO_GENERADOR!$E$4:$E$220,PPTO_GENERADOR!$Q$4:$Q$220,A466,PPTO_GENERADOR!$B$4:$B$220,PLAN_ETAPA!$C$4))</f>
        <v>0</v>
      </c>
      <c r="M466" s="216">
        <f>IFERROR(VLOOKUP(A466,PARTIDAS!$A$2:$F$269,6,FALSE()),1)</f>
        <v>3.25</v>
      </c>
      <c r="N466" s="216">
        <f>IFERROR(VLOOKUP(A466,PARTIDAS!$A$2:$I$269,9,FALSE()),1)</f>
        <v>1</v>
      </c>
      <c r="O466" s="217">
        <f t="shared" si="14"/>
        <v>0</v>
      </c>
      <c r="P466" s="216">
        <f>IF(O466=0,0,IF(B466="MAT",G466*(1+H466)*L466*PLAN_ETAPA!$C$5,IF(B466="MO",IF(M466=0,0,G466*L466*PLAN_ETAPA!$C$5*N466/M466),IF(B466="EQ",IF(M466=0,0,G466*L466*PLAN_ETAPA!$C$5/M466),0))))</f>
        <v>0</v>
      </c>
      <c r="Q466" s="218">
        <f t="shared" si="15"/>
        <v>0</v>
      </c>
    </row>
    <row r="467" spans="1:17" x14ac:dyDescent="0.35">
      <c r="A467" s="212" t="str">
        <f>COMPOSICIÓN!A467</f>
        <v>ELE-148</v>
      </c>
      <c r="B467" s="212" t="str">
        <f>COMPOSICIÓN!B467</f>
        <v>MO</v>
      </c>
      <c r="C467" s="212" t="str">
        <f>COMPOSICIÓN!C467</f>
        <v>ALB</v>
      </c>
      <c r="D467" s="212" t="str">
        <f>COMPOSICIÓN!D467</f>
        <v>MO-EAYUD</v>
      </c>
      <c r="E467" s="212" t="str">
        <f>COMPOSICIÓN!E467</f>
        <v>AYUDANTE</v>
      </c>
      <c r="F467" s="212" t="str">
        <f>COMPOSICIÓN!F467</f>
        <v>j</v>
      </c>
      <c r="G467" s="213">
        <f>COMPOSICIÓN!G467</f>
        <v>1</v>
      </c>
      <c r="H467" s="214">
        <f>COMPOSICIÓN!H467</f>
        <v>0</v>
      </c>
      <c r="I467" s="215">
        <f>COMPOSICIÓN!I467</f>
        <v>60860.580776572002</v>
      </c>
      <c r="J467" s="212" t="str">
        <f>IFERROR(VLOOKUP(A467,PARTIDAS!$A$2:$C$269,3,FALSE()),"")</f>
        <v>MAMPOSTERÍA</v>
      </c>
      <c r="K467" s="212" t="str">
        <f>IFERROR(INDEX(PPTO_GENERADOR!$B$4:$B$220,MATCH(A467,PPTO_GENERADOR!$Q$4:$Q$220,0)),"")</f>
        <v/>
      </c>
      <c r="L467" s="216">
        <f>IF(PLAN_ETAPA!$C$4="(TODOS)",SUMIFS(PPTO_GENERADOR!$E$4:$E$220,PPTO_GENERADOR!$Q$4:$Q$220,A467),SUMIFS(PPTO_GENERADOR!$E$4:$E$220,PPTO_GENERADOR!$Q$4:$Q$220,A467,PPTO_GENERADOR!$B$4:$B$220,PLAN_ETAPA!$C$4))</f>
        <v>0</v>
      </c>
      <c r="M467" s="216">
        <f>IFERROR(VLOOKUP(A467,PARTIDAS!$A$2:$F$269,6,FALSE()),1)</f>
        <v>3.25</v>
      </c>
      <c r="N467" s="216">
        <f>IFERROR(VLOOKUP(A467,PARTIDAS!$A$2:$I$269,9,FALSE()),1)</f>
        <v>1</v>
      </c>
      <c r="O467" s="217">
        <f t="shared" si="14"/>
        <v>0</v>
      </c>
      <c r="P467" s="216">
        <f>IF(O467=0,0,IF(B467="MAT",G467*(1+H467)*L467*PLAN_ETAPA!$C$5,IF(B467="MO",IF(M467=0,0,G467*L467*PLAN_ETAPA!$C$5*N467/M467),IF(B467="EQ",IF(M467=0,0,G467*L467*PLAN_ETAPA!$C$5/M467),0))))</f>
        <v>0</v>
      </c>
      <c r="Q467" s="218">
        <f t="shared" si="15"/>
        <v>0</v>
      </c>
    </row>
    <row r="468" spans="1:17" x14ac:dyDescent="0.35">
      <c r="A468" s="212" t="str">
        <f>COMPOSICIÓN!A468</f>
        <v>ELE-148</v>
      </c>
      <c r="B468" s="212" t="str">
        <f>COMPOSICIÓN!B468</f>
        <v>MO</v>
      </c>
      <c r="C468" s="212" t="str">
        <f>COMPOSICIÓN!C468</f>
        <v>ALB</v>
      </c>
      <c r="D468" s="212" t="str">
        <f>COMPOSICIÓN!D468</f>
        <v>MO-EESPE</v>
      </c>
      <c r="E468" s="212" t="str">
        <f>COMPOSICIÓN!E468</f>
        <v>ESPECIALIZADO</v>
      </c>
      <c r="F468" s="212" t="str">
        <f>COMPOSICIÓN!F468</f>
        <v>j</v>
      </c>
      <c r="G468" s="213">
        <f>COMPOSICIÓN!G468</f>
        <v>1</v>
      </c>
      <c r="H468" s="214">
        <f>COMPOSICIÓN!H468</f>
        <v>0</v>
      </c>
      <c r="I468" s="215">
        <f>COMPOSICIÓN!I468</f>
        <v>85927.097156571996</v>
      </c>
      <c r="J468" s="212" t="str">
        <f>IFERROR(VLOOKUP(A468,PARTIDAS!$A$2:$C$269,3,FALSE()),"")</f>
        <v>MAMPOSTERÍA</v>
      </c>
      <c r="K468" s="212" t="str">
        <f>IFERROR(INDEX(PPTO_GENERADOR!$B$4:$B$220,MATCH(A468,PPTO_GENERADOR!$Q$4:$Q$220,0)),"")</f>
        <v/>
      </c>
      <c r="L468" s="216">
        <f>IF(PLAN_ETAPA!$C$4="(TODOS)",SUMIFS(PPTO_GENERADOR!$E$4:$E$220,PPTO_GENERADOR!$Q$4:$Q$220,A468),SUMIFS(PPTO_GENERADOR!$E$4:$E$220,PPTO_GENERADOR!$Q$4:$Q$220,A468,PPTO_GENERADOR!$B$4:$B$220,PLAN_ETAPA!$C$4))</f>
        <v>0</v>
      </c>
      <c r="M468" s="216">
        <f>IFERROR(VLOOKUP(A468,PARTIDAS!$A$2:$F$269,6,FALSE()),1)</f>
        <v>3.25</v>
      </c>
      <c r="N468" s="216">
        <f>IFERROR(VLOOKUP(A468,PARTIDAS!$A$2:$I$269,9,FALSE()),1)</f>
        <v>1</v>
      </c>
      <c r="O468" s="217">
        <f t="shared" si="14"/>
        <v>0</v>
      </c>
      <c r="P468" s="216">
        <f>IF(O468=0,0,IF(B468="MAT",G468*(1+H468)*L468*PLAN_ETAPA!$C$5,IF(B468="MO",IF(M468=0,0,G468*L468*PLAN_ETAPA!$C$5*N468/M468),IF(B468="EQ",IF(M468=0,0,G468*L468*PLAN_ETAPA!$C$5/M468),0))))</f>
        <v>0</v>
      </c>
      <c r="Q468" s="218">
        <f t="shared" si="15"/>
        <v>0</v>
      </c>
    </row>
    <row r="469" spans="1:17" x14ac:dyDescent="0.35">
      <c r="A469" s="212" t="str">
        <f>COMPOSICIÓN!A469</f>
        <v>ELE-149</v>
      </c>
      <c r="B469" s="212" t="str">
        <f>COMPOSICIÓN!B469</f>
        <v>EQ</v>
      </c>
      <c r="C469" s="212">
        <f>COMPOSICIÓN!C469</f>
        <v>0</v>
      </c>
      <c r="D469" s="212" t="str">
        <f>COMPOSICIÓN!D469</f>
        <v>EQ-ANDAM0</v>
      </c>
      <c r="E469" s="212" t="str">
        <f>COMPOSICIÓN!E469</f>
        <v>ANDAMIO TUBULAR DE UNO A TRES CUERPOS</v>
      </c>
      <c r="F469" s="212">
        <f>COMPOSICIÓN!F469</f>
        <v>0</v>
      </c>
      <c r="G469" s="213">
        <f>COMPOSICIÓN!G469</f>
        <v>0.5</v>
      </c>
      <c r="H469" s="214">
        <f>COMPOSICIÓN!H469</f>
        <v>0</v>
      </c>
      <c r="I469" s="215">
        <f>COMPOSICIÓN!I469</f>
        <v>571.1794909807611</v>
      </c>
      <c r="J469" s="212" t="str">
        <f>IFERROR(VLOOKUP(A469,PARTIDAS!$A$2:$C$269,3,FALSE()),"")</f>
        <v>MAMPOSTERÍA</v>
      </c>
      <c r="K469" s="212" t="str">
        <f>IFERROR(INDEX(PPTO_GENERADOR!$B$4:$B$220,MATCH(A469,PPTO_GENERADOR!$Q$4:$Q$220,0)),"")</f>
        <v/>
      </c>
      <c r="L469" s="216">
        <f>IF(PLAN_ETAPA!$C$4="(TODOS)",SUMIFS(PPTO_GENERADOR!$E$4:$E$220,PPTO_GENERADOR!$Q$4:$Q$220,A469),SUMIFS(PPTO_GENERADOR!$E$4:$E$220,PPTO_GENERADOR!$Q$4:$Q$220,A469,PPTO_GENERADOR!$B$4:$B$220,PLAN_ETAPA!$C$4))</f>
        <v>0</v>
      </c>
      <c r="M469" s="216">
        <f>IFERROR(VLOOKUP(A469,PARTIDAS!$A$2:$F$269,6,FALSE()),1)</f>
        <v>3.25</v>
      </c>
      <c r="N469" s="216">
        <f>IFERROR(VLOOKUP(A469,PARTIDAS!$A$2:$I$269,9,FALSE()),1)</f>
        <v>1</v>
      </c>
      <c r="O469" s="217">
        <f t="shared" si="14"/>
        <v>0</v>
      </c>
      <c r="P469" s="216">
        <f>IF(O469=0,0,IF(B469="MAT",G469*(1+H469)*L469*PLAN_ETAPA!$C$5,IF(B469="MO",IF(M469=0,0,G469*L469*PLAN_ETAPA!$C$5*N469/M469),IF(B469="EQ",IF(M469=0,0,G469*L469*PLAN_ETAPA!$C$5/M469),0))))</f>
        <v>0</v>
      </c>
      <c r="Q469" s="218">
        <f t="shared" si="15"/>
        <v>0</v>
      </c>
    </row>
    <row r="470" spans="1:17" x14ac:dyDescent="0.35">
      <c r="A470" s="212" t="str">
        <f>COMPOSICIÓN!A470</f>
        <v>ELE-149</v>
      </c>
      <c r="B470" s="212" t="str">
        <f>COMPOSICIÓN!B470</f>
        <v>EQ</v>
      </c>
      <c r="C470" s="212">
        <f>COMPOSICIÓN!C470</f>
        <v>0</v>
      </c>
      <c r="D470" s="212" t="str">
        <f>COMPOSICIÓN!D470</f>
        <v>EQ-EQUIP0</v>
      </c>
      <c r="E470" s="212" t="str">
        <f>COMPOSICIÓN!E470</f>
        <v>EQUIPO PARA INSTALACION ELECTRICA</v>
      </c>
      <c r="F470" s="212">
        <f>COMPOSICIÓN!F470</f>
        <v>0</v>
      </c>
      <c r="G470" s="213">
        <f>COMPOSICIÓN!G470</f>
        <v>1</v>
      </c>
      <c r="H470" s="214">
        <f>COMPOSICIÓN!H470</f>
        <v>0</v>
      </c>
      <c r="I470" s="215">
        <f>COMPOSICIÓN!I470</f>
        <v>5063.0947914732405</v>
      </c>
      <c r="J470" s="212" t="str">
        <f>IFERROR(VLOOKUP(A470,PARTIDAS!$A$2:$C$269,3,FALSE()),"")</f>
        <v>MAMPOSTERÍA</v>
      </c>
      <c r="K470" s="212" t="str">
        <f>IFERROR(INDEX(PPTO_GENERADOR!$B$4:$B$220,MATCH(A470,PPTO_GENERADOR!$Q$4:$Q$220,0)),"")</f>
        <v/>
      </c>
      <c r="L470" s="216">
        <f>IF(PLAN_ETAPA!$C$4="(TODOS)",SUMIFS(PPTO_GENERADOR!$E$4:$E$220,PPTO_GENERADOR!$Q$4:$Q$220,A470),SUMIFS(PPTO_GENERADOR!$E$4:$E$220,PPTO_GENERADOR!$Q$4:$Q$220,A470,PPTO_GENERADOR!$B$4:$B$220,PLAN_ETAPA!$C$4))</f>
        <v>0</v>
      </c>
      <c r="M470" s="216">
        <f>IFERROR(VLOOKUP(A470,PARTIDAS!$A$2:$F$269,6,FALSE()),1)</f>
        <v>3.25</v>
      </c>
      <c r="N470" s="216">
        <f>IFERROR(VLOOKUP(A470,PARTIDAS!$A$2:$I$269,9,FALSE()),1)</f>
        <v>1</v>
      </c>
      <c r="O470" s="217">
        <f t="shared" si="14"/>
        <v>0</v>
      </c>
      <c r="P470" s="216">
        <f>IF(O470=0,0,IF(B470="MAT",G470*(1+H470)*L470*PLAN_ETAPA!$C$5,IF(B470="MO",IF(M470=0,0,G470*L470*PLAN_ETAPA!$C$5*N470/M470),IF(B470="EQ",IF(M470=0,0,G470*L470*PLAN_ETAPA!$C$5/M470),0))))</f>
        <v>0</v>
      </c>
      <c r="Q470" s="218">
        <f t="shared" si="15"/>
        <v>0</v>
      </c>
    </row>
    <row r="471" spans="1:17" x14ac:dyDescent="0.35">
      <c r="A471" s="212" t="str">
        <f>COMPOSICIÓN!A471</f>
        <v>ELE-149</v>
      </c>
      <c r="B471" s="212" t="str">
        <f>COMPOSICIÓN!B471</f>
        <v>EQ</v>
      </c>
      <c r="C471" s="212">
        <f>COMPOSICIÓN!C471</f>
        <v>0</v>
      </c>
      <c r="D471" s="212" t="str">
        <f>COMPOSICIÓN!D471</f>
        <v>EQ-ESCALE</v>
      </c>
      <c r="E471" s="212" t="str">
        <f>COMPOSICIÓN!E471</f>
        <v>ESCALERA GLOSS ALUMINIO ARTICULADA 4 X 4 ESCALONES HASTA 150KG</v>
      </c>
      <c r="F471" s="212">
        <f>COMPOSICIÓN!F471</f>
        <v>0</v>
      </c>
      <c r="G471" s="213">
        <f>COMPOSICIÓN!G471</f>
        <v>0.5</v>
      </c>
      <c r="H471" s="214">
        <f>COMPOSICIÓN!H471</f>
        <v>0</v>
      </c>
      <c r="I471" s="215">
        <f>COMPOSICIÓN!I471</f>
        <v>140.19809259430903</v>
      </c>
      <c r="J471" s="212" t="str">
        <f>IFERROR(VLOOKUP(A471,PARTIDAS!$A$2:$C$269,3,FALSE()),"")</f>
        <v>MAMPOSTERÍA</v>
      </c>
      <c r="K471" s="212" t="str">
        <f>IFERROR(INDEX(PPTO_GENERADOR!$B$4:$B$220,MATCH(A471,PPTO_GENERADOR!$Q$4:$Q$220,0)),"")</f>
        <v/>
      </c>
      <c r="L471" s="216">
        <f>IF(PLAN_ETAPA!$C$4="(TODOS)",SUMIFS(PPTO_GENERADOR!$E$4:$E$220,PPTO_GENERADOR!$Q$4:$Q$220,A471),SUMIFS(PPTO_GENERADOR!$E$4:$E$220,PPTO_GENERADOR!$Q$4:$Q$220,A471,PPTO_GENERADOR!$B$4:$B$220,PLAN_ETAPA!$C$4))</f>
        <v>0</v>
      </c>
      <c r="M471" s="216">
        <f>IFERROR(VLOOKUP(A471,PARTIDAS!$A$2:$F$269,6,FALSE()),1)</f>
        <v>3.25</v>
      </c>
      <c r="N471" s="216">
        <f>IFERROR(VLOOKUP(A471,PARTIDAS!$A$2:$I$269,9,FALSE()),1)</f>
        <v>1</v>
      </c>
      <c r="O471" s="217">
        <f t="shared" si="14"/>
        <v>0</v>
      </c>
      <c r="P471" s="216">
        <f>IF(O471=0,0,IF(B471="MAT",G471*(1+H471)*L471*PLAN_ETAPA!$C$5,IF(B471="MO",IF(M471=0,0,G471*L471*PLAN_ETAPA!$C$5*N471/M471),IF(B471="EQ",IF(M471=0,0,G471*L471*PLAN_ETAPA!$C$5/M471),0))))</f>
        <v>0</v>
      </c>
      <c r="Q471" s="218">
        <f t="shared" si="15"/>
        <v>0</v>
      </c>
    </row>
    <row r="472" spans="1:17" x14ac:dyDescent="0.35">
      <c r="A472" s="212" t="str">
        <f>COMPOSICIÓN!A472</f>
        <v>ELE-149</v>
      </c>
      <c r="B472" s="212" t="str">
        <f>COMPOSICIÓN!B472</f>
        <v>MAT</v>
      </c>
      <c r="C472" s="212" t="str">
        <f>COMPOSICIÓN!C472</f>
        <v>OTR</v>
      </c>
      <c r="D472" s="212" t="str">
        <f>COMPOSICIÓN!D472</f>
        <v>ACE-019</v>
      </c>
      <c r="E472" s="212" t="str">
        <f>COMPOSICIÓN!E472</f>
        <v>Conector hierro 1"</v>
      </c>
      <c r="F472" s="212" t="str">
        <f>COMPOSICIÓN!F472</f>
        <v>u</v>
      </c>
      <c r="G472" s="213">
        <f>COMPOSICIÓN!G472</f>
        <v>4</v>
      </c>
      <c r="H472" s="214">
        <f>COMPOSICIÓN!H472</f>
        <v>0.1</v>
      </c>
      <c r="I472" s="215">
        <f>COMPOSICIÓN!I472</f>
        <v>351.14</v>
      </c>
      <c r="J472" s="212" t="str">
        <f>IFERROR(VLOOKUP(A472,PARTIDAS!$A$2:$C$269,3,FALSE()),"")</f>
        <v>MAMPOSTERÍA</v>
      </c>
      <c r="K472" s="212" t="str">
        <f>IFERROR(INDEX(PPTO_GENERADOR!$B$4:$B$220,MATCH(A472,PPTO_GENERADOR!$Q$4:$Q$220,0)),"")</f>
        <v/>
      </c>
      <c r="L472" s="216">
        <f>IF(PLAN_ETAPA!$C$4="(TODOS)",SUMIFS(PPTO_GENERADOR!$E$4:$E$220,PPTO_GENERADOR!$Q$4:$Q$220,A472),SUMIFS(PPTO_GENERADOR!$E$4:$E$220,PPTO_GENERADOR!$Q$4:$Q$220,A472,PPTO_GENERADOR!$B$4:$B$220,PLAN_ETAPA!$C$4))</f>
        <v>0</v>
      </c>
      <c r="M472" s="216">
        <f>IFERROR(VLOOKUP(A472,PARTIDAS!$A$2:$F$269,6,FALSE()),1)</f>
        <v>3.25</v>
      </c>
      <c r="N472" s="216">
        <f>IFERROR(VLOOKUP(A472,PARTIDAS!$A$2:$I$269,9,FALSE()),1)</f>
        <v>1</v>
      </c>
      <c r="O472" s="217">
        <f t="shared" si="14"/>
        <v>0</v>
      </c>
      <c r="P472" s="216">
        <f>IF(O472=0,0,IF(B472="MAT",G472*(1+H472)*L472*PLAN_ETAPA!$C$5,IF(B472="MO",IF(M472=0,0,G472*L472*PLAN_ETAPA!$C$5*N472/M472),IF(B472="EQ",IF(M472=0,0,G472*L472*PLAN_ETAPA!$C$5/M472),0))))</f>
        <v>0</v>
      </c>
      <c r="Q472" s="218">
        <f t="shared" si="15"/>
        <v>0</v>
      </c>
    </row>
    <row r="473" spans="1:17" x14ac:dyDescent="0.35">
      <c r="A473" s="212" t="str">
        <f>COMPOSICIÓN!A473</f>
        <v>ELE-149</v>
      </c>
      <c r="B473" s="212" t="str">
        <f>COMPOSICIÓN!B473</f>
        <v>MAT</v>
      </c>
      <c r="C473" s="212" t="str">
        <f>COMPOSICIÓN!C473</f>
        <v>OTR</v>
      </c>
      <c r="D473" s="212" t="str">
        <f>COMPOSICIÓN!D473</f>
        <v>ELE-002</v>
      </c>
      <c r="E473" s="212" t="str">
        <f>COMPOSICIÓN!E473</f>
        <v>Caño rigido 1"</v>
      </c>
      <c r="F473" s="212" t="str">
        <f>COMPOSICIÓN!F473</f>
        <v>ml</v>
      </c>
      <c r="G473" s="213">
        <f>COMPOSICIÓN!G473</f>
        <v>7.5</v>
      </c>
      <c r="H473" s="214">
        <f>COMPOSICIÓN!H473</f>
        <v>0.05</v>
      </c>
      <c r="I473" s="215">
        <f>COMPOSICIÓN!I473</f>
        <v>666.92666666666696</v>
      </c>
      <c r="J473" s="212" t="str">
        <f>IFERROR(VLOOKUP(A473,PARTIDAS!$A$2:$C$269,3,FALSE()),"")</f>
        <v>MAMPOSTERÍA</v>
      </c>
      <c r="K473" s="212" t="str">
        <f>IFERROR(INDEX(PPTO_GENERADOR!$B$4:$B$220,MATCH(A473,PPTO_GENERADOR!$Q$4:$Q$220,0)),"")</f>
        <v/>
      </c>
      <c r="L473" s="216">
        <f>IF(PLAN_ETAPA!$C$4="(TODOS)",SUMIFS(PPTO_GENERADOR!$E$4:$E$220,PPTO_GENERADOR!$Q$4:$Q$220,A473),SUMIFS(PPTO_GENERADOR!$E$4:$E$220,PPTO_GENERADOR!$Q$4:$Q$220,A473,PPTO_GENERADOR!$B$4:$B$220,PLAN_ETAPA!$C$4))</f>
        <v>0</v>
      </c>
      <c r="M473" s="216">
        <f>IFERROR(VLOOKUP(A473,PARTIDAS!$A$2:$F$269,6,FALSE()),1)</f>
        <v>3.25</v>
      </c>
      <c r="N473" s="216">
        <f>IFERROR(VLOOKUP(A473,PARTIDAS!$A$2:$I$269,9,FALSE()),1)</f>
        <v>1</v>
      </c>
      <c r="O473" s="217">
        <f t="shared" si="14"/>
        <v>0</v>
      </c>
      <c r="P473" s="216">
        <f>IF(O473=0,0,IF(B473="MAT",G473*(1+H473)*L473*PLAN_ETAPA!$C$5,IF(B473="MO",IF(M473=0,0,G473*L473*PLAN_ETAPA!$C$5*N473/M473),IF(B473="EQ",IF(M473=0,0,G473*L473*PLAN_ETAPA!$C$5/M473),0))))</f>
        <v>0</v>
      </c>
      <c r="Q473" s="218">
        <f t="shared" si="15"/>
        <v>0</v>
      </c>
    </row>
    <row r="474" spans="1:17" x14ac:dyDescent="0.35">
      <c r="A474" s="212" t="str">
        <f>COMPOSICIÓN!A474</f>
        <v>ELE-149</v>
      </c>
      <c r="B474" s="212" t="str">
        <f>COMPOSICIÓN!B474</f>
        <v>MAT</v>
      </c>
      <c r="C474" s="212" t="str">
        <f>COMPOSICIÓN!C474</f>
        <v>OTR</v>
      </c>
      <c r="D474" s="212" t="str">
        <f>COMPOSICIÓN!D474</f>
        <v>ELE-007</v>
      </c>
      <c r="E474" s="212" t="str">
        <f>COMPOSICIÓN!E474</f>
        <v>Cupla PVC 1"</v>
      </c>
      <c r="F474" s="212" t="str">
        <f>COMPOSICIÓN!F474</f>
        <v>u</v>
      </c>
      <c r="G474" s="213">
        <f>COMPOSICIÓN!G474</f>
        <v>1.2</v>
      </c>
      <c r="H474" s="214">
        <f>COMPOSICIÓN!H474</f>
        <v>0.1</v>
      </c>
      <c r="I474" s="215">
        <f>COMPOSICIÓN!I474</f>
        <v>280.10000000000002</v>
      </c>
      <c r="J474" s="212" t="str">
        <f>IFERROR(VLOOKUP(A474,PARTIDAS!$A$2:$C$269,3,FALSE()),"")</f>
        <v>MAMPOSTERÍA</v>
      </c>
      <c r="K474" s="212" t="str">
        <f>IFERROR(INDEX(PPTO_GENERADOR!$B$4:$B$220,MATCH(A474,PPTO_GENERADOR!$Q$4:$Q$220,0)),"")</f>
        <v/>
      </c>
      <c r="L474" s="216">
        <f>IF(PLAN_ETAPA!$C$4="(TODOS)",SUMIFS(PPTO_GENERADOR!$E$4:$E$220,PPTO_GENERADOR!$Q$4:$Q$220,A474),SUMIFS(PPTO_GENERADOR!$E$4:$E$220,PPTO_GENERADOR!$Q$4:$Q$220,A474,PPTO_GENERADOR!$B$4:$B$220,PLAN_ETAPA!$C$4))</f>
        <v>0</v>
      </c>
      <c r="M474" s="216">
        <f>IFERROR(VLOOKUP(A474,PARTIDAS!$A$2:$F$269,6,FALSE()),1)</f>
        <v>3.25</v>
      </c>
      <c r="N474" s="216">
        <f>IFERROR(VLOOKUP(A474,PARTIDAS!$A$2:$I$269,9,FALSE()),1)</f>
        <v>1</v>
      </c>
      <c r="O474" s="217">
        <f t="shared" si="14"/>
        <v>0</v>
      </c>
      <c r="P474" s="216">
        <f>IF(O474=0,0,IF(B474="MAT",G474*(1+H474)*L474*PLAN_ETAPA!$C$5,IF(B474="MO",IF(M474=0,0,G474*L474*PLAN_ETAPA!$C$5*N474/M474),IF(B474="EQ",IF(M474=0,0,G474*L474*PLAN_ETAPA!$C$5/M474),0))))</f>
        <v>0</v>
      </c>
      <c r="Q474" s="218">
        <f t="shared" si="15"/>
        <v>0</v>
      </c>
    </row>
    <row r="475" spans="1:17" x14ac:dyDescent="0.35">
      <c r="A475" s="212" t="str">
        <f>COMPOSICIÓN!A475</f>
        <v>ELE-149</v>
      </c>
      <c r="B475" s="212" t="str">
        <f>COMPOSICIÓN!B475</f>
        <v>MAT</v>
      </c>
      <c r="C475" s="212" t="str">
        <f>COMPOSICIÓN!C475</f>
        <v>OTR</v>
      </c>
      <c r="D475" s="212" t="str">
        <f>COMPOSICIÓN!D475</f>
        <v>ELE-008</v>
      </c>
      <c r="E475" s="212" t="str">
        <f>COMPOSICIÓN!E475</f>
        <v>Cable unipolar 1 x 1,50</v>
      </c>
      <c r="F475" s="212" t="str">
        <f>COMPOSICIÓN!F475</f>
        <v>ml</v>
      </c>
      <c r="G475" s="213">
        <f>COMPOSICIÓN!G475</f>
        <v>7.5</v>
      </c>
      <c r="H475" s="214">
        <f>COMPOSICIÓN!H475</f>
        <v>0.1</v>
      </c>
      <c r="I475" s="215">
        <f>COMPOSICIÓN!I475</f>
        <v>316.44450000000001</v>
      </c>
      <c r="J475" s="212" t="str">
        <f>IFERROR(VLOOKUP(A475,PARTIDAS!$A$2:$C$269,3,FALSE()),"")</f>
        <v>MAMPOSTERÍA</v>
      </c>
      <c r="K475" s="212" t="str">
        <f>IFERROR(INDEX(PPTO_GENERADOR!$B$4:$B$220,MATCH(A475,PPTO_GENERADOR!$Q$4:$Q$220,0)),"")</f>
        <v/>
      </c>
      <c r="L475" s="216">
        <f>IF(PLAN_ETAPA!$C$4="(TODOS)",SUMIFS(PPTO_GENERADOR!$E$4:$E$220,PPTO_GENERADOR!$Q$4:$Q$220,A475),SUMIFS(PPTO_GENERADOR!$E$4:$E$220,PPTO_GENERADOR!$Q$4:$Q$220,A475,PPTO_GENERADOR!$B$4:$B$220,PLAN_ETAPA!$C$4))</f>
        <v>0</v>
      </c>
      <c r="M475" s="216">
        <f>IFERROR(VLOOKUP(A475,PARTIDAS!$A$2:$F$269,6,FALSE()),1)</f>
        <v>3.25</v>
      </c>
      <c r="N475" s="216">
        <f>IFERROR(VLOOKUP(A475,PARTIDAS!$A$2:$I$269,9,FALSE()),1)</f>
        <v>1</v>
      </c>
      <c r="O475" s="217">
        <f t="shared" si="14"/>
        <v>0</v>
      </c>
      <c r="P475" s="216">
        <f>IF(O475=0,0,IF(B475="MAT",G475*(1+H475)*L475*PLAN_ETAPA!$C$5,IF(B475="MO",IF(M475=0,0,G475*L475*PLAN_ETAPA!$C$5*N475/M475),IF(B475="EQ",IF(M475=0,0,G475*L475*PLAN_ETAPA!$C$5/M475),0))))</f>
        <v>0</v>
      </c>
      <c r="Q475" s="218">
        <f t="shared" si="15"/>
        <v>0</v>
      </c>
    </row>
    <row r="476" spans="1:17" x14ac:dyDescent="0.35">
      <c r="A476" s="212" t="str">
        <f>COMPOSICIÓN!A476</f>
        <v>ELE-149</v>
      </c>
      <c r="B476" s="212" t="str">
        <f>COMPOSICIÓN!B476</f>
        <v>MAT</v>
      </c>
      <c r="C476" s="212" t="str">
        <f>COMPOSICIÓN!C476</f>
        <v>OTR</v>
      </c>
      <c r="D476" s="212" t="str">
        <f>COMPOSICIÓN!D476</f>
        <v>ELE-014</v>
      </c>
      <c r="E476" s="212" t="str">
        <f>COMPOSICIÓN!E476</f>
        <v>Caja rectangular chica</v>
      </c>
      <c r="F476" s="212" t="str">
        <f>COMPOSICIÓN!F476</f>
        <v>u</v>
      </c>
      <c r="G476" s="213">
        <f>COMPOSICIÓN!G476</f>
        <v>1</v>
      </c>
      <c r="H476" s="214">
        <f>COMPOSICIÓN!H476</f>
        <v>0.05</v>
      </c>
      <c r="I476" s="215">
        <f>COMPOSICIÓN!I476</f>
        <v>202.42</v>
      </c>
      <c r="J476" s="212" t="str">
        <f>IFERROR(VLOOKUP(A476,PARTIDAS!$A$2:$C$269,3,FALSE()),"")</f>
        <v>MAMPOSTERÍA</v>
      </c>
      <c r="K476" s="212" t="str">
        <f>IFERROR(INDEX(PPTO_GENERADOR!$B$4:$B$220,MATCH(A476,PPTO_GENERADOR!$Q$4:$Q$220,0)),"")</f>
        <v/>
      </c>
      <c r="L476" s="216">
        <f>IF(PLAN_ETAPA!$C$4="(TODOS)",SUMIFS(PPTO_GENERADOR!$E$4:$E$220,PPTO_GENERADOR!$Q$4:$Q$220,A476),SUMIFS(PPTO_GENERADOR!$E$4:$E$220,PPTO_GENERADOR!$Q$4:$Q$220,A476,PPTO_GENERADOR!$B$4:$B$220,PLAN_ETAPA!$C$4))</f>
        <v>0</v>
      </c>
      <c r="M476" s="216">
        <f>IFERROR(VLOOKUP(A476,PARTIDAS!$A$2:$F$269,6,FALSE()),1)</f>
        <v>3.25</v>
      </c>
      <c r="N476" s="216">
        <f>IFERROR(VLOOKUP(A476,PARTIDAS!$A$2:$I$269,9,FALSE()),1)</f>
        <v>1</v>
      </c>
      <c r="O476" s="217">
        <f t="shared" si="14"/>
        <v>0</v>
      </c>
      <c r="P476" s="216">
        <f>IF(O476=0,0,IF(B476="MAT",G476*(1+H476)*L476*PLAN_ETAPA!$C$5,IF(B476="MO",IF(M476=0,0,G476*L476*PLAN_ETAPA!$C$5*N476/M476),IF(B476="EQ",IF(M476=0,0,G476*L476*PLAN_ETAPA!$C$5/M476),0))))</f>
        <v>0</v>
      </c>
      <c r="Q476" s="218">
        <f t="shared" si="15"/>
        <v>0</v>
      </c>
    </row>
    <row r="477" spans="1:17" x14ac:dyDescent="0.35">
      <c r="A477" s="212" t="str">
        <f>COMPOSICIÓN!A477</f>
        <v>ELE-149</v>
      </c>
      <c r="B477" s="212" t="str">
        <f>COMPOSICIÓN!B477</f>
        <v>MAT</v>
      </c>
      <c r="C477" s="212" t="str">
        <f>COMPOSICIÓN!C477</f>
        <v>OTR</v>
      </c>
      <c r="D477" s="212" t="str">
        <f>COMPOSICIÓN!D477</f>
        <v>MAT-CONS</v>
      </c>
      <c r="E477" s="212" t="str">
        <f>COMPOSICIÓN!E477</f>
        <v>Consumibles</v>
      </c>
      <c r="F477" s="212" t="str">
        <f>COMPOSICIÓN!F477</f>
        <v>gl</v>
      </c>
      <c r="G477" s="213">
        <f>COMPOSICIÓN!G477</f>
        <v>2097.90076125</v>
      </c>
      <c r="H477" s="214">
        <f>COMPOSICIÓN!H477</f>
        <v>0</v>
      </c>
      <c r="I477" s="215">
        <f>COMPOSICIÓN!I477</f>
        <v>1</v>
      </c>
      <c r="J477" s="212" t="str">
        <f>IFERROR(VLOOKUP(A477,PARTIDAS!$A$2:$C$269,3,FALSE()),"")</f>
        <v>MAMPOSTERÍA</v>
      </c>
      <c r="K477" s="212" t="str">
        <f>IFERROR(INDEX(PPTO_GENERADOR!$B$4:$B$220,MATCH(A477,PPTO_GENERADOR!$Q$4:$Q$220,0)),"")</f>
        <v/>
      </c>
      <c r="L477" s="216">
        <f>IF(PLAN_ETAPA!$C$4="(TODOS)",SUMIFS(PPTO_GENERADOR!$E$4:$E$220,PPTO_GENERADOR!$Q$4:$Q$220,A477),SUMIFS(PPTO_GENERADOR!$E$4:$E$220,PPTO_GENERADOR!$Q$4:$Q$220,A477,PPTO_GENERADOR!$B$4:$B$220,PLAN_ETAPA!$C$4))</f>
        <v>0</v>
      </c>
      <c r="M477" s="216">
        <f>IFERROR(VLOOKUP(A477,PARTIDAS!$A$2:$F$269,6,FALSE()),1)</f>
        <v>3.25</v>
      </c>
      <c r="N477" s="216">
        <f>IFERROR(VLOOKUP(A477,PARTIDAS!$A$2:$I$269,9,FALSE()),1)</f>
        <v>1</v>
      </c>
      <c r="O477" s="217">
        <f t="shared" si="14"/>
        <v>0</v>
      </c>
      <c r="P477" s="216">
        <f>IF(O477=0,0,IF(B477="MAT",G477*(1+H477)*L477*PLAN_ETAPA!$C$5,IF(B477="MO",IF(M477=0,0,G477*L477*PLAN_ETAPA!$C$5*N477/M477),IF(B477="EQ",IF(M477=0,0,G477*L477*PLAN_ETAPA!$C$5/M477),0))))</f>
        <v>0</v>
      </c>
      <c r="Q477" s="218">
        <f t="shared" si="15"/>
        <v>0</v>
      </c>
    </row>
    <row r="478" spans="1:17" x14ac:dyDescent="0.35">
      <c r="A478" s="212" t="str">
        <f>COMPOSICIÓN!A478</f>
        <v>ELE-149</v>
      </c>
      <c r="B478" s="212" t="str">
        <f>COMPOSICIÓN!B478</f>
        <v>MO</v>
      </c>
      <c r="C478" s="212" t="str">
        <f>COMPOSICIÓN!C478</f>
        <v>ALB</v>
      </c>
      <c r="D478" s="212" t="str">
        <f>COMPOSICIÓN!D478</f>
        <v>MO-EAYUD</v>
      </c>
      <c r="E478" s="212" t="str">
        <f>COMPOSICIÓN!E478</f>
        <v>AYUDANTE</v>
      </c>
      <c r="F478" s="212" t="str">
        <f>COMPOSICIÓN!F478</f>
        <v>j</v>
      </c>
      <c r="G478" s="213">
        <f>COMPOSICIÓN!G478</f>
        <v>1</v>
      </c>
      <c r="H478" s="214">
        <f>COMPOSICIÓN!H478</f>
        <v>0</v>
      </c>
      <c r="I478" s="215">
        <f>COMPOSICIÓN!I478</f>
        <v>60860.580776572002</v>
      </c>
      <c r="J478" s="212" t="str">
        <f>IFERROR(VLOOKUP(A478,PARTIDAS!$A$2:$C$269,3,FALSE()),"")</f>
        <v>MAMPOSTERÍA</v>
      </c>
      <c r="K478" s="212" t="str">
        <f>IFERROR(INDEX(PPTO_GENERADOR!$B$4:$B$220,MATCH(A478,PPTO_GENERADOR!$Q$4:$Q$220,0)),"")</f>
        <v/>
      </c>
      <c r="L478" s="216">
        <f>IF(PLAN_ETAPA!$C$4="(TODOS)",SUMIFS(PPTO_GENERADOR!$E$4:$E$220,PPTO_GENERADOR!$Q$4:$Q$220,A478),SUMIFS(PPTO_GENERADOR!$E$4:$E$220,PPTO_GENERADOR!$Q$4:$Q$220,A478,PPTO_GENERADOR!$B$4:$B$220,PLAN_ETAPA!$C$4))</f>
        <v>0</v>
      </c>
      <c r="M478" s="216">
        <f>IFERROR(VLOOKUP(A478,PARTIDAS!$A$2:$F$269,6,FALSE()),1)</f>
        <v>3.25</v>
      </c>
      <c r="N478" s="216">
        <f>IFERROR(VLOOKUP(A478,PARTIDAS!$A$2:$I$269,9,FALSE()),1)</f>
        <v>1</v>
      </c>
      <c r="O478" s="217">
        <f t="shared" si="14"/>
        <v>0</v>
      </c>
      <c r="P478" s="216">
        <f>IF(O478=0,0,IF(B478="MAT",G478*(1+H478)*L478*PLAN_ETAPA!$C$5,IF(B478="MO",IF(M478=0,0,G478*L478*PLAN_ETAPA!$C$5*N478/M478),IF(B478="EQ",IF(M478=0,0,G478*L478*PLAN_ETAPA!$C$5/M478),0))))</f>
        <v>0</v>
      </c>
      <c r="Q478" s="218">
        <f t="shared" si="15"/>
        <v>0</v>
      </c>
    </row>
    <row r="479" spans="1:17" x14ac:dyDescent="0.35">
      <c r="A479" s="212" t="str">
        <f>COMPOSICIÓN!A479</f>
        <v>ELE-149</v>
      </c>
      <c r="B479" s="212" t="str">
        <f>COMPOSICIÓN!B479</f>
        <v>MO</v>
      </c>
      <c r="C479" s="212" t="str">
        <f>COMPOSICIÓN!C479</f>
        <v>ALB</v>
      </c>
      <c r="D479" s="212" t="str">
        <f>COMPOSICIÓN!D479</f>
        <v>MO-EESPE</v>
      </c>
      <c r="E479" s="212" t="str">
        <f>COMPOSICIÓN!E479</f>
        <v>ESPECIALIZADO</v>
      </c>
      <c r="F479" s="212" t="str">
        <f>COMPOSICIÓN!F479</f>
        <v>j</v>
      </c>
      <c r="G479" s="213">
        <f>COMPOSICIÓN!G479</f>
        <v>1</v>
      </c>
      <c r="H479" s="214">
        <f>COMPOSICIÓN!H479</f>
        <v>0</v>
      </c>
      <c r="I479" s="215">
        <f>COMPOSICIÓN!I479</f>
        <v>85927.097156571996</v>
      </c>
      <c r="J479" s="212" t="str">
        <f>IFERROR(VLOOKUP(A479,PARTIDAS!$A$2:$C$269,3,FALSE()),"")</f>
        <v>MAMPOSTERÍA</v>
      </c>
      <c r="K479" s="212" t="str">
        <f>IFERROR(INDEX(PPTO_GENERADOR!$B$4:$B$220,MATCH(A479,PPTO_GENERADOR!$Q$4:$Q$220,0)),"")</f>
        <v/>
      </c>
      <c r="L479" s="216">
        <f>IF(PLAN_ETAPA!$C$4="(TODOS)",SUMIFS(PPTO_GENERADOR!$E$4:$E$220,PPTO_GENERADOR!$Q$4:$Q$220,A479),SUMIFS(PPTO_GENERADOR!$E$4:$E$220,PPTO_GENERADOR!$Q$4:$Q$220,A479,PPTO_GENERADOR!$B$4:$B$220,PLAN_ETAPA!$C$4))</f>
        <v>0</v>
      </c>
      <c r="M479" s="216">
        <f>IFERROR(VLOOKUP(A479,PARTIDAS!$A$2:$F$269,6,FALSE()),1)</f>
        <v>3.25</v>
      </c>
      <c r="N479" s="216">
        <f>IFERROR(VLOOKUP(A479,PARTIDAS!$A$2:$I$269,9,FALSE()),1)</f>
        <v>1</v>
      </c>
      <c r="O479" s="217">
        <f t="shared" si="14"/>
        <v>0</v>
      </c>
      <c r="P479" s="216">
        <f>IF(O479=0,0,IF(B479="MAT",G479*(1+H479)*L479*PLAN_ETAPA!$C$5,IF(B479="MO",IF(M479=0,0,G479*L479*PLAN_ETAPA!$C$5*N479/M479),IF(B479="EQ",IF(M479=0,0,G479*L479*PLAN_ETAPA!$C$5/M479),0))))</f>
        <v>0</v>
      </c>
      <c r="Q479" s="218">
        <f t="shared" si="15"/>
        <v>0</v>
      </c>
    </row>
    <row r="480" spans="1:17" x14ac:dyDescent="0.35">
      <c r="A480" s="212" t="str">
        <f>COMPOSICIÓN!A480</f>
        <v>HOR-087</v>
      </c>
      <c r="B480" s="212" t="str">
        <f>COMPOSICIÓN!B480</f>
        <v>MAT</v>
      </c>
      <c r="C480" s="212" t="str">
        <f>COMPOSICIÓN!C480</f>
        <v>OTR</v>
      </c>
      <c r="D480" s="212" t="str">
        <f>COMPOSICIÓN!D480</f>
        <v>ACE-010</v>
      </c>
      <c r="E480" s="212" t="str">
        <f>COMPOSICIÓN!E480</f>
        <v>Alambre de Fardo</v>
      </c>
      <c r="F480" s="212" t="str">
        <f>COMPOSICIÓN!F480</f>
        <v>kg</v>
      </c>
      <c r="G480" s="213">
        <f>COMPOSICIÓN!G480</f>
        <v>1.2500000000000001E-2</v>
      </c>
      <c r="H480" s="214">
        <f>COMPOSICIÓN!H480</f>
        <v>0.15</v>
      </c>
      <c r="I480" s="215">
        <f>COMPOSICIÓN!I480</f>
        <v>2302.02</v>
      </c>
      <c r="J480" s="212" t="str">
        <f>IFERROR(VLOOKUP(A480,PARTIDAS!$A$2:$C$269,3,FALSE()),"")</f>
        <v>ESTRUCTURA DE HORMIGÓN ARMADO</v>
      </c>
      <c r="K480" s="212" t="str">
        <f>IFERROR(INDEX(PPTO_GENERADOR!$B$4:$B$220,MATCH(A480,PPTO_GENERADOR!$Q$4:$Q$220,0)),"")</f>
        <v/>
      </c>
      <c r="L480" s="216">
        <f>IF(PLAN_ETAPA!$C$4="(TODOS)",SUMIFS(PPTO_GENERADOR!$E$4:$E$220,PPTO_GENERADOR!$Q$4:$Q$220,A480),SUMIFS(PPTO_GENERADOR!$E$4:$E$220,PPTO_GENERADOR!$Q$4:$Q$220,A480,PPTO_GENERADOR!$B$4:$B$220,PLAN_ETAPA!$C$4))</f>
        <v>0</v>
      </c>
      <c r="M480" s="216">
        <f>IFERROR(VLOOKUP(A480,PARTIDAS!$A$2:$F$269,6,FALSE()),1)</f>
        <v>24</v>
      </c>
      <c r="N480" s="216">
        <f>IFERROR(VLOOKUP(A480,PARTIDAS!$A$2:$I$269,9,FALSE()),1)</f>
        <v>1</v>
      </c>
      <c r="O480" s="217">
        <f t="shared" si="14"/>
        <v>0</v>
      </c>
      <c r="P480" s="216">
        <f>IF(O480=0,0,IF(B480="MAT",G480*(1+H480)*L480*PLAN_ETAPA!$C$5,IF(B480="MO",IF(M480=0,0,G480*L480*PLAN_ETAPA!$C$5*N480/M480),IF(B480="EQ",IF(M480=0,0,G480*L480*PLAN_ETAPA!$C$5/M480),0))))</f>
        <v>0</v>
      </c>
      <c r="Q480" s="218">
        <f t="shared" si="15"/>
        <v>0</v>
      </c>
    </row>
    <row r="481" spans="1:17" x14ac:dyDescent="0.35">
      <c r="A481" s="212" t="str">
        <f>COMPOSICIÓN!A481</f>
        <v>HOR-087</v>
      </c>
      <c r="B481" s="212" t="str">
        <f>COMPOSICIÓN!B481</f>
        <v>MAT</v>
      </c>
      <c r="C481" s="212" t="str">
        <f>COMPOSICIÓN!C481</f>
        <v>OTR</v>
      </c>
      <c r="D481" s="212" t="str">
        <f>COMPOSICIÓN!D481</f>
        <v>ACE-015</v>
      </c>
      <c r="E481" s="212" t="str">
        <f>COMPOSICIÓN!E481</f>
        <v>CLAVOS DE 21/2" X 12</v>
      </c>
      <c r="F481" s="212" t="str">
        <f>COMPOSICIÓN!F481</f>
        <v>KG</v>
      </c>
      <c r="G481" s="213">
        <f>COMPOSICIÓN!G481</f>
        <v>0.125</v>
      </c>
      <c r="H481" s="214">
        <f>COMPOSICIÓN!H481</f>
        <v>0.05</v>
      </c>
      <c r="I481" s="215">
        <f>COMPOSICIÓN!I481</f>
        <v>2130.1681250000001</v>
      </c>
      <c r="J481" s="212" t="str">
        <f>IFERROR(VLOOKUP(A481,PARTIDAS!$A$2:$C$269,3,FALSE()),"")</f>
        <v>ESTRUCTURA DE HORMIGÓN ARMADO</v>
      </c>
      <c r="K481" s="212" t="str">
        <f>IFERROR(INDEX(PPTO_GENERADOR!$B$4:$B$220,MATCH(A481,PPTO_GENERADOR!$Q$4:$Q$220,0)),"")</f>
        <v/>
      </c>
      <c r="L481" s="216">
        <f>IF(PLAN_ETAPA!$C$4="(TODOS)",SUMIFS(PPTO_GENERADOR!$E$4:$E$220,PPTO_GENERADOR!$Q$4:$Q$220,A481),SUMIFS(PPTO_GENERADOR!$E$4:$E$220,PPTO_GENERADOR!$Q$4:$Q$220,A481,PPTO_GENERADOR!$B$4:$B$220,PLAN_ETAPA!$C$4))</f>
        <v>0</v>
      </c>
      <c r="M481" s="216">
        <f>IFERROR(VLOOKUP(A481,PARTIDAS!$A$2:$F$269,6,FALSE()),1)</f>
        <v>24</v>
      </c>
      <c r="N481" s="216">
        <f>IFERROR(VLOOKUP(A481,PARTIDAS!$A$2:$I$269,9,FALSE()),1)</f>
        <v>1</v>
      </c>
      <c r="O481" s="217">
        <f t="shared" si="14"/>
        <v>0</v>
      </c>
      <c r="P481" s="216">
        <f>IF(O481=0,0,IF(B481="MAT",G481*(1+H481)*L481*PLAN_ETAPA!$C$5,IF(B481="MO",IF(M481=0,0,G481*L481*PLAN_ETAPA!$C$5*N481/M481),IF(B481="EQ",IF(M481=0,0,G481*L481*PLAN_ETAPA!$C$5/M481),0))))</f>
        <v>0</v>
      </c>
      <c r="Q481" s="218">
        <f t="shared" si="15"/>
        <v>0</v>
      </c>
    </row>
    <row r="482" spans="1:17" x14ac:dyDescent="0.35">
      <c r="A482" s="212" t="str">
        <f>COMPOSICIÓN!A482</f>
        <v>HOR-087</v>
      </c>
      <c r="B482" s="212" t="str">
        <f>COMPOSICIÓN!B482</f>
        <v>MAT</v>
      </c>
      <c r="C482" s="212" t="str">
        <f>COMPOSICIÓN!C482</f>
        <v>OTR</v>
      </c>
      <c r="D482" s="212" t="str">
        <f>COMPOSICIÓN!D482</f>
        <v>MAD-002</v>
      </c>
      <c r="E482" s="212" t="str">
        <f>COMPOSICIÓN!E482</f>
        <v>Madera tabla corriente</v>
      </c>
      <c r="F482" s="212" t="str">
        <f>COMPOSICIÓN!F482</f>
        <v>ml</v>
      </c>
      <c r="G482" s="213">
        <f>COMPOSICIÓN!G482</f>
        <v>0.02</v>
      </c>
      <c r="H482" s="214">
        <f>COMPOSICIÓN!H482</f>
        <v>0.02</v>
      </c>
      <c r="I482" s="215">
        <f>COMPOSICIÓN!I482</f>
        <v>2755.25</v>
      </c>
      <c r="J482" s="212" t="str">
        <f>IFERROR(VLOOKUP(A482,PARTIDAS!$A$2:$C$269,3,FALSE()),"")</f>
        <v>ESTRUCTURA DE HORMIGÓN ARMADO</v>
      </c>
      <c r="K482" s="212" t="str">
        <f>IFERROR(INDEX(PPTO_GENERADOR!$B$4:$B$220,MATCH(A482,PPTO_GENERADOR!$Q$4:$Q$220,0)),"")</f>
        <v/>
      </c>
      <c r="L482" s="216">
        <f>IF(PLAN_ETAPA!$C$4="(TODOS)",SUMIFS(PPTO_GENERADOR!$E$4:$E$220,PPTO_GENERADOR!$Q$4:$Q$220,A482),SUMIFS(PPTO_GENERADOR!$E$4:$E$220,PPTO_GENERADOR!$Q$4:$Q$220,A482,PPTO_GENERADOR!$B$4:$B$220,PLAN_ETAPA!$C$4))</f>
        <v>0</v>
      </c>
      <c r="M482" s="216">
        <f>IFERROR(VLOOKUP(A482,PARTIDAS!$A$2:$F$269,6,FALSE()),1)</f>
        <v>24</v>
      </c>
      <c r="N482" s="216">
        <f>IFERROR(VLOOKUP(A482,PARTIDAS!$A$2:$I$269,9,FALSE()),1)</f>
        <v>1</v>
      </c>
      <c r="O482" s="217">
        <f t="shared" si="14"/>
        <v>0</v>
      </c>
      <c r="P482" s="216">
        <f>IF(O482=0,0,IF(B482="MAT",G482*(1+H482)*L482*PLAN_ETAPA!$C$5,IF(B482="MO",IF(M482=0,0,G482*L482*PLAN_ETAPA!$C$5*N482/M482),IF(B482="EQ",IF(M482=0,0,G482*L482*PLAN_ETAPA!$C$5/M482),0))))</f>
        <v>0</v>
      </c>
      <c r="Q482" s="218">
        <f t="shared" si="15"/>
        <v>0</v>
      </c>
    </row>
    <row r="483" spans="1:17" x14ac:dyDescent="0.35">
      <c r="A483" s="212" t="str">
        <f>COMPOSICIÓN!A483</f>
        <v>HOR-087</v>
      </c>
      <c r="B483" s="212" t="str">
        <f>COMPOSICIÓN!B483</f>
        <v>MAT</v>
      </c>
      <c r="C483" s="212" t="str">
        <f>COMPOSICIÓN!C483</f>
        <v>OTR</v>
      </c>
      <c r="D483" s="212" t="str">
        <f>COMPOSICIÓN!D483</f>
        <v>MAD-001</v>
      </c>
      <c r="E483" s="212" t="str">
        <f>COMPOSICIÓN!E483</f>
        <v>Madera tirante 5x5cm p/ traviesas</v>
      </c>
      <c r="F483" s="212" t="str">
        <f>COMPOSICIÓN!F483</f>
        <v>ml</v>
      </c>
      <c r="G483" s="213">
        <f>COMPOSICIÓN!G483</f>
        <v>2.3E-3</v>
      </c>
      <c r="H483" s="214">
        <f>COMPOSICIÓN!H483</f>
        <v>0.02</v>
      </c>
      <c r="I483" s="215">
        <f>COMPOSICIÓN!I483</f>
        <v>1968.04</v>
      </c>
      <c r="J483" s="212" t="str">
        <f>IFERROR(VLOOKUP(A483,PARTIDAS!$A$2:$C$269,3,FALSE()),"")</f>
        <v>ESTRUCTURA DE HORMIGÓN ARMADO</v>
      </c>
      <c r="K483" s="212" t="str">
        <f>IFERROR(INDEX(PPTO_GENERADOR!$B$4:$B$220,MATCH(A483,PPTO_GENERADOR!$Q$4:$Q$220,0)),"")</f>
        <v/>
      </c>
      <c r="L483" s="216">
        <f>IF(PLAN_ETAPA!$C$4="(TODOS)",SUMIFS(PPTO_GENERADOR!$E$4:$E$220,PPTO_GENERADOR!$Q$4:$Q$220,A483),SUMIFS(PPTO_GENERADOR!$E$4:$E$220,PPTO_GENERADOR!$Q$4:$Q$220,A483,PPTO_GENERADOR!$B$4:$B$220,PLAN_ETAPA!$C$4))</f>
        <v>0</v>
      </c>
      <c r="M483" s="216">
        <f>IFERROR(VLOOKUP(A483,PARTIDAS!$A$2:$F$269,6,FALSE()),1)</f>
        <v>24</v>
      </c>
      <c r="N483" s="216">
        <f>IFERROR(VLOOKUP(A483,PARTIDAS!$A$2:$I$269,9,FALSE()),1)</f>
        <v>1</v>
      </c>
      <c r="O483" s="217">
        <f t="shared" si="14"/>
        <v>0</v>
      </c>
      <c r="P483" s="216">
        <f>IF(O483=0,0,IF(B483="MAT",G483*(1+H483)*L483*PLAN_ETAPA!$C$5,IF(B483="MO",IF(M483=0,0,G483*L483*PLAN_ETAPA!$C$5*N483/M483),IF(B483="EQ",IF(M483=0,0,G483*L483*PLAN_ETAPA!$C$5/M483),0))))</f>
        <v>0</v>
      </c>
      <c r="Q483" s="218">
        <f t="shared" si="15"/>
        <v>0</v>
      </c>
    </row>
    <row r="484" spans="1:17" x14ac:dyDescent="0.35">
      <c r="A484" s="212" t="str">
        <f>COMPOSICIÓN!A484</f>
        <v>HOR-087</v>
      </c>
      <c r="B484" s="212" t="str">
        <f>COMPOSICIÓN!B484</f>
        <v>MO</v>
      </c>
      <c r="C484" s="212" t="str">
        <f>COMPOSICIÓN!C484</f>
        <v>ALB</v>
      </c>
      <c r="D484" s="212" t="str">
        <f>COMPOSICIÓN!D484</f>
        <v>MO-EMEDI</v>
      </c>
      <c r="E484" s="212" t="str">
        <f>COMPOSICIÓN!E484</f>
        <v>MEDIO OFICIAL</v>
      </c>
      <c r="F484" s="212" t="str">
        <f>COMPOSICIÓN!F484</f>
        <v>j</v>
      </c>
      <c r="G484" s="213">
        <f>COMPOSICIÓN!G484</f>
        <v>1</v>
      </c>
      <c r="H484" s="214">
        <f>COMPOSICIÓN!H484</f>
        <v>0</v>
      </c>
      <c r="I484" s="215">
        <f>COMPOSICIÓN!I484</f>
        <v>65493.071636572</v>
      </c>
      <c r="J484" s="212" t="str">
        <f>IFERROR(VLOOKUP(A484,PARTIDAS!$A$2:$C$269,3,FALSE()),"")</f>
        <v>ESTRUCTURA DE HORMIGÓN ARMADO</v>
      </c>
      <c r="K484" s="212" t="str">
        <f>IFERROR(INDEX(PPTO_GENERADOR!$B$4:$B$220,MATCH(A484,PPTO_GENERADOR!$Q$4:$Q$220,0)),"")</f>
        <v/>
      </c>
      <c r="L484" s="216">
        <f>IF(PLAN_ETAPA!$C$4="(TODOS)",SUMIFS(PPTO_GENERADOR!$E$4:$E$220,PPTO_GENERADOR!$Q$4:$Q$220,A484),SUMIFS(PPTO_GENERADOR!$E$4:$E$220,PPTO_GENERADOR!$Q$4:$Q$220,A484,PPTO_GENERADOR!$B$4:$B$220,PLAN_ETAPA!$C$4))</f>
        <v>0</v>
      </c>
      <c r="M484" s="216">
        <f>IFERROR(VLOOKUP(A484,PARTIDAS!$A$2:$F$269,6,FALSE()),1)</f>
        <v>24</v>
      </c>
      <c r="N484" s="216">
        <f>IFERROR(VLOOKUP(A484,PARTIDAS!$A$2:$I$269,9,FALSE()),1)</f>
        <v>1</v>
      </c>
      <c r="O484" s="217">
        <f t="shared" si="14"/>
        <v>0</v>
      </c>
      <c r="P484" s="216">
        <f>IF(O484=0,0,IF(B484="MAT",G484*(1+H484)*L484*PLAN_ETAPA!$C$5,IF(B484="MO",IF(M484=0,0,G484*L484*PLAN_ETAPA!$C$5*N484/M484),IF(B484="EQ",IF(M484=0,0,G484*L484*PLAN_ETAPA!$C$5/M484),0))))</f>
        <v>0</v>
      </c>
      <c r="Q484" s="218">
        <f t="shared" si="15"/>
        <v>0</v>
      </c>
    </row>
    <row r="485" spans="1:17" x14ac:dyDescent="0.35">
      <c r="A485" s="212" t="str">
        <f>COMPOSICIÓN!A485</f>
        <v>HOR-087</v>
      </c>
      <c r="B485" s="212" t="str">
        <f>COMPOSICIÓN!B485</f>
        <v>MO</v>
      </c>
      <c r="C485" s="212" t="str">
        <f>COMPOSICIÓN!C485</f>
        <v>ALB</v>
      </c>
      <c r="D485" s="212" t="str">
        <f>COMPOSICIÓN!D485</f>
        <v>MO-EESPE</v>
      </c>
      <c r="E485" s="212" t="str">
        <f>COMPOSICIÓN!E485</f>
        <v>ESPECIALIZADO</v>
      </c>
      <c r="F485" s="212" t="str">
        <f>COMPOSICIÓN!F485</f>
        <v>j</v>
      </c>
      <c r="G485" s="213">
        <f>COMPOSICIÓN!G485</f>
        <v>1</v>
      </c>
      <c r="H485" s="214">
        <f>COMPOSICIÓN!H485</f>
        <v>0</v>
      </c>
      <c r="I485" s="215">
        <f>COMPOSICIÓN!I485</f>
        <v>85927.097156571996</v>
      </c>
      <c r="J485" s="212" t="str">
        <f>IFERROR(VLOOKUP(A485,PARTIDAS!$A$2:$C$269,3,FALSE()),"")</f>
        <v>ESTRUCTURA DE HORMIGÓN ARMADO</v>
      </c>
      <c r="K485" s="212" t="str">
        <f>IFERROR(INDEX(PPTO_GENERADOR!$B$4:$B$220,MATCH(A485,PPTO_GENERADOR!$Q$4:$Q$220,0)),"")</f>
        <v/>
      </c>
      <c r="L485" s="216">
        <f>IF(PLAN_ETAPA!$C$4="(TODOS)",SUMIFS(PPTO_GENERADOR!$E$4:$E$220,PPTO_GENERADOR!$Q$4:$Q$220,A485),SUMIFS(PPTO_GENERADOR!$E$4:$E$220,PPTO_GENERADOR!$Q$4:$Q$220,A485,PPTO_GENERADOR!$B$4:$B$220,PLAN_ETAPA!$C$4))</f>
        <v>0</v>
      </c>
      <c r="M485" s="216">
        <f>IFERROR(VLOOKUP(A485,PARTIDAS!$A$2:$F$269,6,FALSE()),1)</f>
        <v>24</v>
      </c>
      <c r="N485" s="216">
        <f>IFERROR(VLOOKUP(A485,PARTIDAS!$A$2:$I$269,9,FALSE()),1)</f>
        <v>1</v>
      </c>
      <c r="O485" s="217">
        <f t="shared" si="14"/>
        <v>0</v>
      </c>
      <c r="P485" s="216">
        <f>IF(O485=0,0,IF(B485="MAT",G485*(1+H485)*L485*PLAN_ETAPA!$C$5,IF(B485="MO",IF(M485=0,0,G485*L485*PLAN_ETAPA!$C$5*N485/M485),IF(B485="EQ",IF(M485=0,0,G485*L485*PLAN_ETAPA!$C$5/M485),0))))</f>
        <v>0</v>
      </c>
      <c r="Q485" s="218">
        <f t="shared" si="15"/>
        <v>0</v>
      </c>
    </row>
    <row r="486" spans="1:17" x14ac:dyDescent="0.35">
      <c r="A486" s="212" t="str">
        <f>COMPOSICIÓN!A486</f>
        <v>HOR-088</v>
      </c>
      <c r="B486" s="212" t="str">
        <f>COMPOSICIÓN!B486</f>
        <v>MAT</v>
      </c>
      <c r="C486" s="212" t="str">
        <f>COMPOSICIÓN!C486</f>
        <v>OTR</v>
      </c>
      <c r="D486" s="212" t="str">
        <f>COMPOSICIÓN!D486</f>
        <v>ACE-010</v>
      </c>
      <c r="E486" s="212" t="str">
        <f>COMPOSICIÓN!E486</f>
        <v>Alambre de Fardo</v>
      </c>
      <c r="F486" s="212" t="str">
        <f>COMPOSICIÓN!F486</f>
        <v>kg</v>
      </c>
      <c r="G486" s="213">
        <f>COMPOSICIÓN!G486</f>
        <v>1.2500000000000001E-2</v>
      </c>
      <c r="H486" s="214">
        <f>COMPOSICIÓN!H486</f>
        <v>0.15</v>
      </c>
      <c r="I486" s="215">
        <f>COMPOSICIÓN!I486</f>
        <v>2302.02</v>
      </c>
      <c r="J486" s="212" t="str">
        <f>IFERROR(VLOOKUP(A486,PARTIDAS!$A$2:$C$269,3,FALSE()),"")</f>
        <v>ESTRUCTURA DE HORMIGÓN ARMADO</v>
      </c>
      <c r="K486" s="212" t="str">
        <f>IFERROR(INDEX(PPTO_GENERADOR!$B$4:$B$220,MATCH(A486,PPTO_GENERADOR!$Q$4:$Q$220,0)),"")</f>
        <v/>
      </c>
      <c r="L486" s="216">
        <f>IF(PLAN_ETAPA!$C$4="(TODOS)",SUMIFS(PPTO_GENERADOR!$E$4:$E$220,PPTO_GENERADOR!$Q$4:$Q$220,A486),SUMIFS(PPTO_GENERADOR!$E$4:$E$220,PPTO_GENERADOR!$Q$4:$Q$220,A486,PPTO_GENERADOR!$B$4:$B$220,PLAN_ETAPA!$C$4))</f>
        <v>0</v>
      </c>
      <c r="M486" s="216">
        <f>IFERROR(VLOOKUP(A486,PARTIDAS!$A$2:$F$269,6,FALSE()),1)</f>
        <v>28</v>
      </c>
      <c r="N486" s="216">
        <f>IFERROR(VLOOKUP(A486,PARTIDAS!$A$2:$I$269,9,FALSE()),1)</f>
        <v>1</v>
      </c>
      <c r="O486" s="217">
        <f t="shared" si="14"/>
        <v>0</v>
      </c>
      <c r="P486" s="216">
        <f>IF(O486=0,0,IF(B486="MAT",G486*(1+H486)*L486*PLAN_ETAPA!$C$5,IF(B486="MO",IF(M486=0,0,G486*L486*PLAN_ETAPA!$C$5*N486/M486),IF(B486="EQ",IF(M486=0,0,G486*L486*PLAN_ETAPA!$C$5/M486),0))))</f>
        <v>0</v>
      </c>
      <c r="Q486" s="218">
        <f t="shared" si="15"/>
        <v>0</v>
      </c>
    </row>
    <row r="487" spans="1:17" x14ac:dyDescent="0.35">
      <c r="A487" s="212" t="str">
        <f>COMPOSICIÓN!A487</f>
        <v>HOR-088</v>
      </c>
      <c r="B487" s="212" t="str">
        <f>COMPOSICIÓN!B487</f>
        <v>MAT</v>
      </c>
      <c r="C487" s="212" t="str">
        <f>COMPOSICIÓN!C487</f>
        <v>OTR</v>
      </c>
      <c r="D487" s="212" t="str">
        <f>COMPOSICIÓN!D487</f>
        <v>ACE-015</v>
      </c>
      <c r="E487" s="212" t="str">
        <f>COMPOSICIÓN!E487</f>
        <v>CLAVOS DE 21/2" X 12</v>
      </c>
      <c r="F487" s="212" t="str">
        <f>COMPOSICIÓN!F487</f>
        <v>KG</v>
      </c>
      <c r="G487" s="213">
        <f>COMPOSICIÓN!G487</f>
        <v>0.125</v>
      </c>
      <c r="H487" s="214">
        <f>COMPOSICIÓN!H487</f>
        <v>0.05</v>
      </c>
      <c r="I487" s="215">
        <f>COMPOSICIÓN!I487</f>
        <v>2130.1681250000001</v>
      </c>
      <c r="J487" s="212" t="str">
        <f>IFERROR(VLOOKUP(A487,PARTIDAS!$A$2:$C$269,3,FALSE()),"")</f>
        <v>ESTRUCTURA DE HORMIGÓN ARMADO</v>
      </c>
      <c r="K487" s="212" t="str">
        <f>IFERROR(INDEX(PPTO_GENERADOR!$B$4:$B$220,MATCH(A487,PPTO_GENERADOR!$Q$4:$Q$220,0)),"")</f>
        <v/>
      </c>
      <c r="L487" s="216">
        <f>IF(PLAN_ETAPA!$C$4="(TODOS)",SUMIFS(PPTO_GENERADOR!$E$4:$E$220,PPTO_GENERADOR!$Q$4:$Q$220,A487),SUMIFS(PPTO_GENERADOR!$E$4:$E$220,PPTO_GENERADOR!$Q$4:$Q$220,A487,PPTO_GENERADOR!$B$4:$B$220,PLAN_ETAPA!$C$4))</f>
        <v>0</v>
      </c>
      <c r="M487" s="216">
        <f>IFERROR(VLOOKUP(A487,PARTIDAS!$A$2:$F$269,6,FALSE()),1)</f>
        <v>28</v>
      </c>
      <c r="N487" s="216">
        <f>IFERROR(VLOOKUP(A487,PARTIDAS!$A$2:$I$269,9,FALSE()),1)</f>
        <v>1</v>
      </c>
      <c r="O487" s="217">
        <f t="shared" si="14"/>
        <v>0</v>
      </c>
      <c r="P487" s="216">
        <f>IF(O487=0,0,IF(B487="MAT",G487*(1+H487)*L487*PLAN_ETAPA!$C$5,IF(B487="MO",IF(M487=0,0,G487*L487*PLAN_ETAPA!$C$5*N487/M487),IF(B487="EQ",IF(M487=0,0,G487*L487*PLAN_ETAPA!$C$5/M487),0))))</f>
        <v>0</v>
      </c>
      <c r="Q487" s="218">
        <f t="shared" si="15"/>
        <v>0</v>
      </c>
    </row>
    <row r="488" spans="1:17" x14ac:dyDescent="0.35">
      <c r="A488" s="212" t="str">
        <f>COMPOSICIÓN!A488</f>
        <v>HOR-088</v>
      </c>
      <c r="B488" s="212" t="str">
        <f>COMPOSICIÓN!B488</f>
        <v>MAT</v>
      </c>
      <c r="C488" s="212" t="str">
        <f>COMPOSICIÓN!C488</f>
        <v>OTR</v>
      </c>
      <c r="D488" s="212" t="str">
        <f>COMPOSICIÓN!D488</f>
        <v>MAD-004</v>
      </c>
      <c r="E488" s="212" t="str">
        <f>COMPOSICIÓN!E488</f>
        <v>Estacas</v>
      </c>
      <c r="F488" s="212" t="str">
        <f>COMPOSICIÓN!F488</f>
        <v>u</v>
      </c>
      <c r="G488" s="213">
        <f>COMPOSICIÓN!G488</f>
        <v>1.25E-3</v>
      </c>
      <c r="H488" s="214">
        <f>COMPOSICIÓN!H488</f>
        <v>0</v>
      </c>
      <c r="I488" s="215">
        <f>COMPOSICIÓN!I488</f>
        <v>1180.82</v>
      </c>
      <c r="J488" s="212" t="str">
        <f>IFERROR(VLOOKUP(A488,PARTIDAS!$A$2:$C$269,3,FALSE()),"")</f>
        <v>ESTRUCTURA DE HORMIGÓN ARMADO</v>
      </c>
      <c r="K488" s="212" t="str">
        <f>IFERROR(INDEX(PPTO_GENERADOR!$B$4:$B$220,MATCH(A488,PPTO_GENERADOR!$Q$4:$Q$220,0)),"")</f>
        <v/>
      </c>
      <c r="L488" s="216">
        <f>IF(PLAN_ETAPA!$C$4="(TODOS)",SUMIFS(PPTO_GENERADOR!$E$4:$E$220,PPTO_GENERADOR!$Q$4:$Q$220,A488),SUMIFS(PPTO_GENERADOR!$E$4:$E$220,PPTO_GENERADOR!$Q$4:$Q$220,A488,PPTO_GENERADOR!$B$4:$B$220,PLAN_ETAPA!$C$4))</f>
        <v>0</v>
      </c>
      <c r="M488" s="216">
        <f>IFERROR(VLOOKUP(A488,PARTIDAS!$A$2:$F$269,6,FALSE()),1)</f>
        <v>28</v>
      </c>
      <c r="N488" s="216">
        <f>IFERROR(VLOOKUP(A488,PARTIDAS!$A$2:$I$269,9,FALSE()),1)</f>
        <v>1</v>
      </c>
      <c r="O488" s="217">
        <f t="shared" si="14"/>
        <v>0</v>
      </c>
      <c r="P488" s="216">
        <f>IF(O488=0,0,IF(B488="MAT",G488*(1+H488)*L488*PLAN_ETAPA!$C$5,IF(B488="MO",IF(M488=0,0,G488*L488*PLAN_ETAPA!$C$5*N488/M488),IF(B488="EQ",IF(M488=0,0,G488*L488*PLAN_ETAPA!$C$5/M488),0))))</f>
        <v>0</v>
      </c>
      <c r="Q488" s="218">
        <f t="shared" si="15"/>
        <v>0</v>
      </c>
    </row>
    <row r="489" spans="1:17" x14ac:dyDescent="0.35">
      <c r="A489" s="212" t="str">
        <f>COMPOSICIÓN!A489</f>
        <v>HOR-088</v>
      </c>
      <c r="B489" s="212" t="str">
        <f>COMPOSICIÓN!B489</f>
        <v>MAT</v>
      </c>
      <c r="C489" s="212" t="str">
        <f>COMPOSICIÓN!C489</f>
        <v>OTR</v>
      </c>
      <c r="D489" s="212" t="str">
        <f>COMPOSICIÓN!D489</f>
        <v>OTR-031</v>
      </c>
      <c r="E489" s="212" t="str">
        <f>COMPOSICIÓN!E489</f>
        <v>FENOLICO 18MM. COMUN 1.22 x 2.40</v>
      </c>
      <c r="F489" s="212" t="str">
        <f>COMPOSICIÓN!F489</f>
        <v>UD</v>
      </c>
      <c r="G489" s="213">
        <f>COMPOSICIÓN!G489</f>
        <v>0.33</v>
      </c>
      <c r="H489" s="214">
        <f>COMPOSICIÓN!H489</f>
        <v>0.05</v>
      </c>
      <c r="I489" s="215">
        <f>COMPOSICIÓN!I489</f>
        <v>26322.68</v>
      </c>
      <c r="J489" s="212" t="str">
        <f>IFERROR(VLOOKUP(A489,PARTIDAS!$A$2:$C$269,3,FALSE()),"")</f>
        <v>ESTRUCTURA DE HORMIGÓN ARMADO</v>
      </c>
      <c r="K489" s="212" t="str">
        <f>IFERROR(INDEX(PPTO_GENERADOR!$B$4:$B$220,MATCH(A489,PPTO_GENERADOR!$Q$4:$Q$220,0)),"")</f>
        <v/>
      </c>
      <c r="L489" s="216">
        <f>IF(PLAN_ETAPA!$C$4="(TODOS)",SUMIFS(PPTO_GENERADOR!$E$4:$E$220,PPTO_GENERADOR!$Q$4:$Q$220,A489),SUMIFS(PPTO_GENERADOR!$E$4:$E$220,PPTO_GENERADOR!$Q$4:$Q$220,A489,PPTO_GENERADOR!$B$4:$B$220,PLAN_ETAPA!$C$4))</f>
        <v>0</v>
      </c>
      <c r="M489" s="216">
        <f>IFERROR(VLOOKUP(A489,PARTIDAS!$A$2:$F$269,6,FALSE()),1)</f>
        <v>28</v>
      </c>
      <c r="N489" s="216">
        <f>IFERROR(VLOOKUP(A489,PARTIDAS!$A$2:$I$269,9,FALSE()),1)</f>
        <v>1</v>
      </c>
      <c r="O489" s="217">
        <f t="shared" si="14"/>
        <v>0</v>
      </c>
      <c r="P489" s="216">
        <f>IF(O489=0,0,IF(B489="MAT",G489*(1+H489)*L489*PLAN_ETAPA!$C$5,IF(B489="MO",IF(M489=0,0,G489*L489*PLAN_ETAPA!$C$5*N489/M489),IF(B489="EQ",IF(M489=0,0,G489*L489*PLAN_ETAPA!$C$5/M489),0))))</f>
        <v>0</v>
      </c>
      <c r="Q489" s="218">
        <f t="shared" si="15"/>
        <v>0</v>
      </c>
    </row>
    <row r="490" spans="1:17" x14ac:dyDescent="0.35">
      <c r="A490" s="212" t="str">
        <f>COMPOSICIÓN!A490</f>
        <v>HOR-088</v>
      </c>
      <c r="B490" s="212" t="str">
        <f>COMPOSICIÓN!B490</f>
        <v>MAT</v>
      </c>
      <c r="C490" s="212" t="str">
        <f>COMPOSICIÓN!C490</f>
        <v>OTR</v>
      </c>
      <c r="D490" s="212" t="str">
        <f>COMPOSICIÓN!D490</f>
        <v>OTR-033</v>
      </c>
      <c r="E490" s="212" t="str">
        <f>COMPOSICIÓN!E490</f>
        <v>tirante 3x3 para puntal 3.66</v>
      </c>
      <c r="F490" s="212" t="str">
        <f>COMPOSICIÓN!F490</f>
        <v>ml</v>
      </c>
      <c r="G490" s="213">
        <f>COMPOSICIÓN!G490</f>
        <v>0.01</v>
      </c>
      <c r="H490" s="214">
        <f>COMPOSICIÓN!H490</f>
        <v>0.02</v>
      </c>
      <c r="I490" s="215">
        <f>COMPOSICIÓN!I490</f>
        <v>1213.73</v>
      </c>
      <c r="J490" s="212" t="str">
        <f>IFERROR(VLOOKUP(A490,PARTIDAS!$A$2:$C$269,3,FALSE()),"")</f>
        <v>ESTRUCTURA DE HORMIGÓN ARMADO</v>
      </c>
      <c r="K490" s="212" t="str">
        <f>IFERROR(INDEX(PPTO_GENERADOR!$B$4:$B$220,MATCH(A490,PPTO_GENERADOR!$Q$4:$Q$220,0)),"")</f>
        <v/>
      </c>
      <c r="L490" s="216">
        <f>IF(PLAN_ETAPA!$C$4="(TODOS)",SUMIFS(PPTO_GENERADOR!$E$4:$E$220,PPTO_GENERADOR!$Q$4:$Q$220,A490),SUMIFS(PPTO_GENERADOR!$E$4:$E$220,PPTO_GENERADOR!$Q$4:$Q$220,A490,PPTO_GENERADOR!$B$4:$B$220,PLAN_ETAPA!$C$4))</f>
        <v>0</v>
      </c>
      <c r="M490" s="216">
        <f>IFERROR(VLOOKUP(A490,PARTIDAS!$A$2:$F$269,6,FALSE()),1)</f>
        <v>28</v>
      </c>
      <c r="N490" s="216">
        <f>IFERROR(VLOOKUP(A490,PARTIDAS!$A$2:$I$269,9,FALSE()),1)</f>
        <v>1</v>
      </c>
      <c r="O490" s="217">
        <f t="shared" si="14"/>
        <v>0</v>
      </c>
      <c r="P490" s="216">
        <f>IF(O490=0,0,IF(B490="MAT",G490*(1+H490)*L490*PLAN_ETAPA!$C$5,IF(B490="MO",IF(M490=0,0,G490*L490*PLAN_ETAPA!$C$5*N490/M490),IF(B490="EQ",IF(M490=0,0,G490*L490*PLAN_ETAPA!$C$5/M490),0))))</f>
        <v>0</v>
      </c>
      <c r="Q490" s="218">
        <f t="shared" si="15"/>
        <v>0</v>
      </c>
    </row>
    <row r="491" spans="1:17" x14ac:dyDescent="0.35">
      <c r="A491" s="212" t="str">
        <f>COMPOSICIÓN!A491</f>
        <v>HOR-088</v>
      </c>
      <c r="B491" s="212" t="str">
        <f>COMPOSICIÓN!B491</f>
        <v>MAT</v>
      </c>
      <c r="C491" s="212" t="str">
        <f>COMPOSICIÓN!C491</f>
        <v>OTR</v>
      </c>
      <c r="D491" s="212" t="str">
        <f>COMPOSICIÓN!D491</f>
        <v>OTR-034</v>
      </c>
      <c r="E491" s="212" t="str">
        <f>COMPOSICIÓN!E491</f>
        <v>tirante 3x6 3.66</v>
      </c>
      <c r="F491" s="212" t="str">
        <f>COMPOSICIÓN!F491</f>
        <v>un</v>
      </c>
      <c r="G491" s="213">
        <f>COMPOSICIÓN!G491</f>
        <v>1.2E-2</v>
      </c>
      <c r="H491" s="214">
        <f>COMPOSICIÓN!H491</f>
        <v>0.02</v>
      </c>
      <c r="I491" s="215">
        <f>COMPOSICIÓN!I491</f>
        <v>4442.2518</v>
      </c>
      <c r="J491" s="212" t="str">
        <f>IFERROR(VLOOKUP(A491,PARTIDAS!$A$2:$C$269,3,FALSE()),"")</f>
        <v>ESTRUCTURA DE HORMIGÓN ARMADO</v>
      </c>
      <c r="K491" s="212" t="str">
        <f>IFERROR(INDEX(PPTO_GENERADOR!$B$4:$B$220,MATCH(A491,PPTO_GENERADOR!$Q$4:$Q$220,0)),"")</f>
        <v/>
      </c>
      <c r="L491" s="216">
        <f>IF(PLAN_ETAPA!$C$4="(TODOS)",SUMIFS(PPTO_GENERADOR!$E$4:$E$220,PPTO_GENERADOR!$Q$4:$Q$220,A491),SUMIFS(PPTO_GENERADOR!$E$4:$E$220,PPTO_GENERADOR!$Q$4:$Q$220,A491,PPTO_GENERADOR!$B$4:$B$220,PLAN_ETAPA!$C$4))</f>
        <v>0</v>
      </c>
      <c r="M491" s="216">
        <f>IFERROR(VLOOKUP(A491,PARTIDAS!$A$2:$F$269,6,FALSE()),1)</f>
        <v>28</v>
      </c>
      <c r="N491" s="216">
        <f>IFERROR(VLOOKUP(A491,PARTIDAS!$A$2:$I$269,9,FALSE()),1)</f>
        <v>1</v>
      </c>
      <c r="O491" s="217">
        <f t="shared" si="14"/>
        <v>0</v>
      </c>
      <c r="P491" s="216">
        <f>IF(O491=0,0,IF(B491="MAT",G491*(1+H491)*L491*PLAN_ETAPA!$C$5,IF(B491="MO",IF(M491=0,0,G491*L491*PLAN_ETAPA!$C$5*N491/M491),IF(B491="EQ",IF(M491=0,0,G491*L491*PLAN_ETAPA!$C$5/M491),0))))</f>
        <v>0</v>
      </c>
      <c r="Q491" s="218">
        <f t="shared" si="15"/>
        <v>0</v>
      </c>
    </row>
    <row r="492" spans="1:17" x14ac:dyDescent="0.35">
      <c r="A492" s="212" t="str">
        <f>COMPOSICIÓN!A492</f>
        <v>HOR-088</v>
      </c>
      <c r="B492" s="212" t="str">
        <f>COMPOSICIÓN!B492</f>
        <v>MO</v>
      </c>
      <c r="C492" s="212" t="str">
        <f>COMPOSICIÓN!C492</f>
        <v>ALB</v>
      </c>
      <c r="D492" s="212" t="str">
        <f>COMPOSICIÓN!D492</f>
        <v>MO-EAYUD</v>
      </c>
      <c r="E492" s="212" t="str">
        <f>COMPOSICIÓN!E492</f>
        <v>AYUDANTE</v>
      </c>
      <c r="F492" s="212" t="str">
        <f>COMPOSICIÓN!F492</f>
        <v>j</v>
      </c>
      <c r="G492" s="213">
        <f>COMPOSICIÓN!G492</f>
        <v>1</v>
      </c>
      <c r="H492" s="214">
        <f>COMPOSICIÓN!H492</f>
        <v>0</v>
      </c>
      <c r="I492" s="215">
        <f>COMPOSICIÓN!I492</f>
        <v>60860.580776572002</v>
      </c>
      <c r="J492" s="212" t="str">
        <f>IFERROR(VLOOKUP(A492,PARTIDAS!$A$2:$C$269,3,FALSE()),"")</f>
        <v>ESTRUCTURA DE HORMIGÓN ARMADO</v>
      </c>
      <c r="K492" s="212" t="str">
        <f>IFERROR(INDEX(PPTO_GENERADOR!$B$4:$B$220,MATCH(A492,PPTO_GENERADOR!$Q$4:$Q$220,0)),"")</f>
        <v/>
      </c>
      <c r="L492" s="216">
        <f>IF(PLAN_ETAPA!$C$4="(TODOS)",SUMIFS(PPTO_GENERADOR!$E$4:$E$220,PPTO_GENERADOR!$Q$4:$Q$220,A492),SUMIFS(PPTO_GENERADOR!$E$4:$E$220,PPTO_GENERADOR!$Q$4:$Q$220,A492,PPTO_GENERADOR!$B$4:$B$220,PLAN_ETAPA!$C$4))</f>
        <v>0</v>
      </c>
      <c r="M492" s="216">
        <f>IFERROR(VLOOKUP(A492,PARTIDAS!$A$2:$F$269,6,FALSE()),1)</f>
        <v>28</v>
      </c>
      <c r="N492" s="216">
        <f>IFERROR(VLOOKUP(A492,PARTIDAS!$A$2:$I$269,9,FALSE()),1)</f>
        <v>1</v>
      </c>
      <c r="O492" s="217">
        <f t="shared" si="14"/>
        <v>0</v>
      </c>
      <c r="P492" s="216">
        <f>IF(O492=0,0,IF(B492="MAT",G492*(1+H492)*L492*PLAN_ETAPA!$C$5,IF(B492="MO",IF(M492=0,0,G492*L492*PLAN_ETAPA!$C$5*N492/M492),IF(B492="EQ",IF(M492=0,0,G492*L492*PLAN_ETAPA!$C$5/M492),0))))</f>
        <v>0</v>
      </c>
      <c r="Q492" s="218">
        <f t="shared" si="15"/>
        <v>0</v>
      </c>
    </row>
    <row r="493" spans="1:17" x14ac:dyDescent="0.35">
      <c r="A493" s="212" t="str">
        <f>COMPOSICIÓN!A493</f>
        <v>HOR-088</v>
      </c>
      <c r="B493" s="212" t="str">
        <f>COMPOSICIÓN!B493</f>
        <v>MO</v>
      </c>
      <c r="C493" s="212" t="str">
        <f>COMPOSICIÓN!C493</f>
        <v>ALB</v>
      </c>
      <c r="D493" s="212" t="str">
        <f>COMPOSICIÓN!D493</f>
        <v>MO-EMEDI</v>
      </c>
      <c r="E493" s="212" t="str">
        <f>COMPOSICIÓN!E493</f>
        <v>MEDIO OFICIAL</v>
      </c>
      <c r="F493" s="212" t="str">
        <f>COMPOSICIÓN!F493</f>
        <v>j</v>
      </c>
      <c r="G493" s="213">
        <f>COMPOSICIÓN!G493</f>
        <v>1</v>
      </c>
      <c r="H493" s="214">
        <f>COMPOSICIÓN!H493</f>
        <v>0</v>
      </c>
      <c r="I493" s="215">
        <f>COMPOSICIÓN!I493</f>
        <v>65493.071636572</v>
      </c>
      <c r="J493" s="212" t="str">
        <f>IFERROR(VLOOKUP(A493,PARTIDAS!$A$2:$C$269,3,FALSE()),"")</f>
        <v>ESTRUCTURA DE HORMIGÓN ARMADO</v>
      </c>
      <c r="K493" s="212" t="str">
        <f>IFERROR(INDEX(PPTO_GENERADOR!$B$4:$B$220,MATCH(A493,PPTO_GENERADOR!$Q$4:$Q$220,0)),"")</f>
        <v/>
      </c>
      <c r="L493" s="216">
        <f>IF(PLAN_ETAPA!$C$4="(TODOS)",SUMIFS(PPTO_GENERADOR!$E$4:$E$220,PPTO_GENERADOR!$Q$4:$Q$220,A493),SUMIFS(PPTO_GENERADOR!$E$4:$E$220,PPTO_GENERADOR!$Q$4:$Q$220,A493,PPTO_GENERADOR!$B$4:$B$220,PLAN_ETAPA!$C$4))</f>
        <v>0</v>
      </c>
      <c r="M493" s="216">
        <f>IFERROR(VLOOKUP(A493,PARTIDAS!$A$2:$F$269,6,FALSE()),1)</f>
        <v>28</v>
      </c>
      <c r="N493" s="216">
        <f>IFERROR(VLOOKUP(A493,PARTIDAS!$A$2:$I$269,9,FALSE()),1)</f>
        <v>1</v>
      </c>
      <c r="O493" s="217">
        <f t="shared" si="14"/>
        <v>0</v>
      </c>
      <c r="P493" s="216">
        <f>IF(O493=0,0,IF(B493="MAT",G493*(1+H493)*L493*PLAN_ETAPA!$C$5,IF(B493="MO",IF(M493=0,0,G493*L493*PLAN_ETAPA!$C$5*N493/M493),IF(B493="EQ",IF(M493=0,0,G493*L493*PLAN_ETAPA!$C$5/M493),0))))</f>
        <v>0</v>
      </c>
      <c r="Q493" s="218">
        <f t="shared" si="15"/>
        <v>0</v>
      </c>
    </row>
    <row r="494" spans="1:17" x14ac:dyDescent="0.35">
      <c r="A494" s="212" t="str">
        <f>COMPOSICIÓN!A494</f>
        <v>HOR-088</v>
      </c>
      <c r="B494" s="212" t="str">
        <f>COMPOSICIÓN!B494</f>
        <v>MO</v>
      </c>
      <c r="C494" s="212" t="str">
        <f>COMPOSICIÓN!C494</f>
        <v>ALB</v>
      </c>
      <c r="D494" s="212" t="str">
        <f>COMPOSICIÓN!D494</f>
        <v>MO-EESPE</v>
      </c>
      <c r="E494" s="212" t="str">
        <f>COMPOSICIÓN!E494</f>
        <v>ESPECIALIZADO</v>
      </c>
      <c r="F494" s="212" t="str">
        <f>COMPOSICIÓN!F494</f>
        <v>j</v>
      </c>
      <c r="G494" s="213">
        <f>COMPOSICIÓN!G494</f>
        <v>1</v>
      </c>
      <c r="H494" s="214">
        <f>COMPOSICIÓN!H494</f>
        <v>0</v>
      </c>
      <c r="I494" s="215">
        <f>COMPOSICIÓN!I494</f>
        <v>85927.097156571996</v>
      </c>
      <c r="J494" s="212" t="str">
        <f>IFERROR(VLOOKUP(A494,PARTIDAS!$A$2:$C$269,3,FALSE()),"")</f>
        <v>ESTRUCTURA DE HORMIGÓN ARMADO</v>
      </c>
      <c r="K494" s="212" t="str">
        <f>IFERROR(INDEX(PPTO_GENERADOR!$B$4:$B$220,MATCH(A494,PPTO_GENERADOR!$Q$4:$Q$220,0)),"")</f>
        <v/>
      </c>
      <c r="L494" s="216">
        <f>IF(PLAN_ETAPA!$C$4="(TODOS)",SUMIFS(PPTO_GENERADOR!$E$4:$E$220,PPTO_GENERADOR!$Q$4:$Q$220,A494),SUMIFS(PPTO_GENERADOR!$E$4:$E$220,PPTO_GENERADOR!$Q$4:$Q$220,A494,PPTO_GENERADOR!$B$4:$B$220,PLAN_ETAPA!$C$4))</f>
        <v>0</v>
      </c>
      <c r="M494" s="216">
        <f>IFERROR(VLOOKUP(A494,PARTIDAS!$A$2:$F$269,6,FALSE()),1)</f>
        <v>28</v>
      </c>
      <c r="N494" s="216">
        <f>IFERROR(VLOOKUP(A494,PARTIDAS!$A$2:$I$269,9,FALSE()),1)</f>
        <v>1</v>
      </c>
      <c r="O494" s="217">
        <f t="shared" si="14"/>
        <v>0</v>
      </c>
      <c r="P494" s="216">
        <f>IF(O494=0,0,IF(B494="MAT",G494*(1+H494)*L494*PLAN_ETAPA!$C$5,IF(B494="MO",IF(M494=0,0,G494*L494*PLAN_ETAPA!$C$5*N494/M494),IF(B494="EQ",IF(M494=0,0,G494*L494*PLAN_ETAPA!$C$5/M494),0))))</f>
        <v>0</v>
      </c>
      <c r="Q494" s="218">
        <f t="shared" si="15"/>
        <v>0</v>
      </c>
    </row>
    <row r="495" spans="1:17" x14ac:dyDescent="0.35">
      <c r="A495" s="212" t="str">
        <f>COMPOSICIÓN!A495</f>
        <v>HOR-089</v>
      </c>
      <c r="B495" s="212" t="str">
        <f>COMPOSICIÓN!B495</f>
        <v>MAT</v>
      </c>
      <c r="C495" s="212" t="str">
        <f>COMPOSICIÓN!C495</f>
        <v>OTR</v>
      </c>
      <c r="D495" s="212" t="str">
        <f>COMPOSICIÓN!D495</f>
        <v>ACE-010</v>
      </c>
      <c r="E495" s="212" t="str">
        <f>COMPOSICIÓN!E495</f>
        <v>Alambre de Fardo</v>
      </c>
      <c r="F495" s="212" t="str">
        <f>COMPOSICIÓN!F495</f>
        <v>kg</v>
      </c>
      <c r="G495" s="213">
        <f>COMPOSICIÓN!G495</f>
        <v>1.2500000000000001E-2</v>
      </c>
      <c r="H495" s="214">
        <f>COMPOSICIÓN!H495</f>
        <v>0.15</v>
      </c>
      <c r="I495" s="215">
        <f>COMPOSICIÓN!I495</f>
        <v>2302.02</v>
      </c>
      <c r="J495" s="212" t="str">
        <f>IFERROR(VLOOKUP(A495,PARTIDAS!$A$2:$C$269,3,FALSE()),"")</f>
        <v>ESTRUCTURA DE HORMIGÓN ARMADO</v>
      </c>
      <c r="K495" s="212" t="str">
        <f>IFERROR(INDEX(PPTO_GENERADOR!$B$4:$B$220,MATCH(A495,PPTO_GENERADOR!$Q$4:$Q$220,0)),"")</f>
        <v/>
      </c>
      <c r="L495" s="216">
        <f>IF(PLAN_ETAPA!$C$4="(TODOS)",SUMIFS(PPTO_GENERADOR!$E$4:$E$220,PPTO_GENERADOR!$Q$4:$Q$220,A495),SUMIFS(PPTO_GENERADOR!$E$4:$E$220,PPTO_GENERADOR!$Q$4:$Q$220,A495,PPTO_GENERADOR!$B$4:$B$220,PLAN_ETAPA!$C$4))</f>
        <v>0</v>
      </c>
      <c r="M495" s="216">
        <f>IFERROR(VLOOKUP(A495,PARTIDAS!$A$2:$F$269,6,FALSE()),1)</f>
        <v>25</v>
      </c>
      <c r="N495" s="216">
        <f>IFERROR(VLOOKUP(A495,PARTIDAS!$A$2:$I$269,9,FALSE()),1)</f>
        <v>1</v>
      </c>
      <c r="O495" s="217">
        <f t="shared" si="14"/>
        <v>0</v>
      </c>
      <c r="P495" s="216">
        <f>IF(O495=0,0,IF(B495="MAT",G495*(1+H495)*L495*PLAN_ETAPA!$C$5,IF(B495="MO",IF(M495=0,0,G495*L495*PLAN_ETAPA!$C$5*N495/M495),IF(B495="EQ",IF(M495=0,0,G495*L495*PLAN_ETAPA!$C$5/M495),0))))</f>
        <v>0</v>
      </c>
      <c r="Q495" s="218">
        <f t="shared" si="15"/>
        <v>0</v>
      </c>
    </row>
    <row r="496" spans="1:17" x14ac:dyDescent="0.35">
      <c r="A496" s="212" t="str">
        <f>COMPOSICIÓN!A496</f>
        <v>HOR-089</v>
      </c>
      <c r="B496" s="212" t="str">
        <f>COMPOSICIÓN!B496</f>
        <v>MAT</v>
      </c>
      <c r="C496" s="212" t="str">
        <f>COMPOSICIÓN!C496</f>
        <v>OTR</v>
      </c>
      <c r="D496" s="212" t="str">
        <f>COMPOSICIÓN!D496</f>
        <v>ACE-015</v>
      </c>
      <c r="E496" s="212" t="str">
        <f>COMPOSICIÓN!E496</f>
        <v>CLAVOS DE 21/2" X 12</v>
      </c>
      <c r="F496" s="212" t="str">
        <f>COMPOSICIÓN!F496</f>
        <v>KG</v>
      </c>
      <c r="G496" s="213">
        <f>COMPOSICIÓN!G496</f>
        <v>0.125</v>
      </c>
      <c r="H496" s="214">
        <f>COMPOSICIÓN!H496</f>
        <v>0.05</v>
      </c>
      <c r="I496" s="215">
        <f>COMPOSICIÓN!I496</f>
        <v>2130.1681250000001</v>
      </c>
      <c r="J496" s="212" t="str">
        <f>IFERROR(VLOOKUP(A496,PARTIDAS!$A$2:$C$269,3,FALSE()),"")</f>
        <v>ESTRUCTURA DE HORMIGÓN ARMADO</v>
      </c>
      <c r="K496" s="212" t="str">
        <f>IFERROR(INDEX(PPTO_GENERADOR!$B$4:$B$220,MATCH(A496,PPTO_GENERADOR!$Q$4:$Q$220,0)),"")</f>
        <v/>
      </c>
      <c r="L496" s="216">
        <f>IF(PLAN_ETAPA!$C$4="(TODOS)",SUMIFS(PPTO_GENERADOR!$E$4:$E$220,PPTO_GENERADOR!$Q$4:$Q$220,A496),SUMIFS(PPTO_GENERADOR!$E$4:$E$220,PPTO_GENERADOR!$Q$4:$Q$220,A496,PPTO_GENERADOR!$B$4:$B$220,PLAN_ETAPA!$C$4))</f>
        <v>0</v>
      </c>
      <c r="M496" s="216">
        <f>IFERROR(VLOOKUP(A496,PARTIDAS!$A$2:$F$269,6,FALSE()),1)</f>
        <v>25</v>
      </c>
      <c r="N496" s="216">
        <f>IFERROR(VLOOKUP(A496,PARTIDAS!$A$2:$I$269,9,FALSE()),1)</f>
        <v>1</v>
      </c>
      <c r="O496" s="217">
        <f t="shared" si="14"/>
        <v>0</v>
      </c>
      <c r="P496" s="216">
        <f>IF(O496=0,0,IF(B496="MAT",G496*(1+H496)*L496*PLAN_ETAPA!$C$5,IF(B496="MO",IF(M496=0,0,G496*L496*PLAN_ETAPA!$C$5*N496/M496),IF(B496="EQ",IF(M496=0,0,G496*L496*PLAN_ETAPA!$C$5/M496),0))))</f>
        <v>0</v>
      </c>
      <c r="Q496" s="218">
        <f t="shared" si="15"/>
        <v>0</v>
      </c>
    </row>
    <row r="497" spans="1:17" x14ac:dyDescent="0.35">
      <c r="A497" s="212" t="str">
        <f>COMPOSICIÓN!A497</f>
        <v>HOR-089</v>
      </c>
      <c r="B497" s="212" t="str">
        <f>COMPOSICIÓN!B497</f>
        <v>MAT</v>
      </c>
      <c r="C497" s="212" t="str">
        <f>COMPOSICIÓN!C497</f>
        <v>OTR</v>
      </c>
      <c r="D497" s="212" t="str">
        <f>COMPOSICIÓN!D497</f>
        <v>MAD-004</v>
      </c>
      <c r="E497" s="212" t="str">
        <f>COMPOSICIÓN!E497</f>
        <v>Estacas</v>
      </c>
      <c r="F497" s="212" t="str">
        <f>COMPOSICIÓN!F497</f>
        <v>u</v>
      </c>
      <c r="G497" s="213">
        <f>COMPOSICIÓN!G497</f>
        <v>1.25E-3</v>
      </c>
      <c r="H497" s="214">
        <f>COMPOSICIÓN!H497</f>
        <v>0</v>
      </c>
      <c r="I497" s="215">
        <f>COMPOSICIÓN!I497</f>
        <v>1180.82</v>
      </c>
      <c r="J497" s="212" t="str">
        <f>IFERROR(VLOOKUP(A497,PARTIDAS!$A$2:$C$269,3,FALSE()),"")</f>
        <v>ESTRUCTURA DE HORMIGÓN ARMADO</v>
      </c>
      <c r="K497" s="212" t="str">
        <f>IFERROR(INDEX(PPTO_GENERADOR!$B$4:$B$220,MATCH(A497,PPTO_GENERADOR!$Q$4:$Q$220,0)),"")</f>
        <v/>
      </c>
      <c r="L497" s="216">
        <f>IF(PLAN_ETAPA!$C$4="(TODOS)",SUMIFS(PPTO_GENERADOR!$E$4:$E$220,PPTO_GENERADOR!$Q$4:$Q$220,A497),SUMIFS(PPTO_GENERADOR!$E$4:$E$220,PPTO_GENERADOR!$Q$4:$Q$220,A497,PPTO_GENERADOR!$B$4:$B$220,PLAN_ETAPA!$C$4))</f>
        <v>0</v>
      </c>
      <c r="M497" s="216">
        <f>IFERROR(VLOOKUP(A497,PARTIDAS!$A$2:$F$269,6,FALSE()),1)</f>
        <v>25</v>
      </c>
      <c r="N497" s="216">
        <f>IFERROR(VLOOKUP(A497,PARTIDAS!$A$2:$I$269,9,FALSE()),1)</f>
        <v>1</v>
      </c>
      <c r="O497" s="217">
        <f t="shared" si="14"/>
        <v>0</v>
      </c>
      <c r="P497" s="216">
        <f>IF(O497=0,0,IF(B497="MAT",G497*(1+H497)*L497*PLAN_ETAPA!$C$5,IF(B497="MO",IF(M497=0,0,G497*L497*PLAN_ETAPA!$C$5*N497/M497),IF(B497="EQ",IF(M497=0,0,G497*L497*PLAN_ETAPA!$C$5/M497),0))))</f>
        <v>0</v>
      </c>
      <c r="Q497" s="218">
        <f t="shared" si="15"/>
        <v>0</v>
      </c>
    </row>
    <row r="498" spans="1:17" x14ac:dyDescent="0.35">
      <c r="A498" s="212" t="str">
        <f>COMPOSICIÓN!A498</f>
        <v>HOR-089</v>
      </c>
      <c r="B498" s="212" t="str">
        <f>COMPOSICIÓN!B498</f>
        <v>MAT</v>
      </c>
      <c r="C498" s="212" t="str">
        <f>COMPOSICIÓN!C498</f>
        <v>OTR</v>
      </c>
      <c r="D498" s="212" t="str">
        <f>COMPOSICIÓN!D498</f>
        <v>OTR-031</v>
      </c>
      <c r="E498" s="212" t="str">
        <f>COMPOSICIÓN!E498</f>
        <v>FENOLICO 18MM. COMUN 1.22 x 2.40</v>
      </c>
      <c r="F498" s="212" t="str">
        <f>COMPOSICIÓN!F498</f>
        <v>UD</v>
      </c>
      <c r="G498" s="213">
        <f>COMPOSICIÓN!G498</f>
        <v>0.33</v>
      </c>
      <c r="H498" s="214">
        <f>COMPOSICIÓN!H498</f>
        <v>0.05</v>
      </c>
      <c r="I498" s="215">
        <f>COMPOSICIÓN!I498</f>
        <v>26322.68</v>
      </c>
      <c r="J498" s="212" t="str">
        <f>IFERROR(VLOOKUP(A498,PARTIDAS!$A$2:$C$269,3,FALSE()),"")</f>
        <v>ESTRUCTURA DE HORMIGÓN ARMADO</v>
      </c>
      <c r="K498" s="212" t="str">
        <f>IFERROR(INDEX(PPTO_GENERADOR!$B$4:$B$220,MATCH(A498,PPTO_GENERADOR!$Q$4:$Q$220,0)),"")</f>
        <v/>
      </c>
      <c r="L498" s="216">
        <f>IF(PLAN_ETAPA!$C$4="(TODOS)",SUMIFS(PPTO_GENERADOR!$E$4:$E$220,PPTO_GENERADOR!$Q$4:$Q$220,A498),SUMIFS(PPTO_GENERADOR!$E$4:$E$220,PPTO_GENERADOR!$Q$4:$Q$220,A498,PPTO_GENERADOR!$B$4:$B$220,PLAN_ETAPA!$C$4))</f>
        <v>0</v>
      </c>
      <c r="M498" s="216">
        <f>IFERROR(VLOOKUP(A498,PARTIDAS!$A$2:$F$269,6,FALSE()),1)</f>
        <v>25</v>
      </c>
      <c r="N498" s="216">
        <f>IFERROR(VLOOKUP(A498,PARTIDAS!$A$2:$I$269,9,FALSE()),1)</f>
        <v>1</v>
      </c>
      <c r="O498" s="217">
        <f t="shared" si="14"/>
        <v>0</v>
      </c>
      <c r="P498" s="216">
        <f>IF(O498=0,0,IF(B498="MAT",G498*(1+H498)*L498*PLAN_ETAPA!$C$5,IF(B498="MO",IF(M498=0,0,G498*L498*PLAN_ETAPA!$C$5*N498/M498),IF(B498="EQ",IF(M498=0,0,G498*L498*PLAN_ETAPA!$C$5/M498),0))))</f>
        <v>0</v>
      </c>
      <c r="Q498" s="218">
        <f t="shared" si="15"/>
        <v>0</v>
      </c>
    </row>
    <row r="499" spans="1:17" x14ac:dyDescent="0.35">
      <c r="A499" s="212" t="str">
        <f>COMPOSICIÓN!A499</f>
        <v>HOR-089</v>
      </c>
      <c r="B499" s="212" t="str">
        <f>COMPOSICIÓN!B499</f>
        <v>MAT</v>
      </c>
      <c r="C499" s="212" t="str">
        <f>COMPOSICIÓN!C499</f>
        <v>OTR</v>
      </c>
      <c r="D499" s="212" t="str">
        <f>COMPOSICIÓN!D499</f>
        <v>OTR-033</v>
      </c>
      <c r="E499" s="212" t="str">
        <f>COMPOSICIÓN!E499</f>
        <v>tirante 3x3 para puntal 3.66</v>
      </c>
      <c r="F499" s="212" t="str">
        <f>COMPOSICIÓN!F499</f>
        <v>ml</v>
      </c>
      <c r="G499" s="213">
        <f>COMPOSICIÓN!G499</f>
        <v>0.01</v>
      </c>
      <c r="H499" s="214">
        <f>COMPOSICIÓN!H499</f>
        <v>0.02</v>
      </c>
      <c r="I499" s="215">
        <f>COMPOSICIÓN!I499</f>
        <v>1213.73</v>
      </c>
      <c r="J499" s="212" t="str">
        <f>IFERROR(VLOOKUP(A499,PARTIDAS!$A$2:$C$269,3,FALSE()),"")</f>
        <v>ESTRUCTURA DE HORMIGÓN ARMADO</v>
      </c>
      <c r="K499" s="212" t="str">
        <f>IFERROR(INDEX(PPTO_GENERADOR!$B$4:$B$220,MATCH(A499,PPTO_GENERADOR!$Q$4:$Q$220,0)),"")</f>
        <v/>
      </c>
      <c r="L499" s="216">
        <f>IF(PLAN_ETAPA!$C$4="(TODOS)",SUMIFS(PPTO_GENERADOR!$E$4:$E$220,PPTO_GENERADOR!$Q$4:$Q$220,A499),SUMIFS(PPTO_GENERADOR!$E$4:$E$220,PPTO_GENERADOR!$Q$4:$Q$220,A499,PPTO_GENERADOR!$B$4:$B$220,PLAN_ETAPA!$C$4))</f>
        <v>0</v>
      </c>
      <c r="M499" s="216">
        <f>IFERROR(VLOOKUP(A499,PARTIDAS!$A$2:$F$269,6,FALSE()),1)</f>
        <v>25</v>
      </c>
      <c r="N499" s="216">
        <f>IFERROR(VLOOKUP(A499,PARTIDAS!$A$2:$I$269,9,FALSE()),1)</f>
        <v>1</v>
      </c>
      <c r="O499" s="217">
        <f t="shared" si="14"/>
        <v>0</v>
      </c>
      <c r="P499" s="216">
        <f>IF(O499=0,0,IF(B499="MAT",G499*(1+H499)*L499*PLAN_ETAPA!$C$5,IF(B499="MO",IF(M499=0,0,G499*L499*PLAN_ETAPA!$C$5*N499/M499),IF(B499="EQ",IF(M499=0,0,G499*L499*PLAN_ETAPA!$C$5/M499),0))))</f>
        <v>0</v>
      </c>
      <c r="Q499" s="218">
        <f t="shared" si="15"/>
        <v>0</v>
      </c>
    </row>
    <row r="500" spans="1:17" x14ac:dyDescent="0.35">
      <c r="A500" s="212" t="str">
        <f>COMPOSICIÓN!A500</f>
        <v>HOR-089</v>
      </c>
      <c r="B500" s="212" t="str">
        <f>COMPOSICIÓN!B500</f>
        <v>MAT</v>
      </c>
      <c r="C500" s="212" t="str">
        <f>COMPOSICIÓN!C500</f>
        <v>OTR</v>
      </c>
      <c r="D500" s="212" t="str">
        <f>COMPOSICIÓN!D500</f>
        <v>OTR-034</v>
      </c>
      <c r="E500" s="212" t="str">
        <f>COMPOSICIÓN!E500</f>
        <v>tirante 3x6 3.66</v>
      </c>
      <c r="F500" s="212" t="str">
        <f>COMPOSICIÓN!F500</f>
        <v>un</v>
      </c>
      <c r="G500" s="213">
        <f>COMPOSICIÓN!G500</f>
        <v>1.2E-2</v>
      </c>
      <c r="H500" s="214">
        <f>COMPOSICIÓN!H500</f>
        <v>0.02</v>
      </c>
      <c r="I500" s="215">
        <f>COMPOSICIÓN!I500</f>
        <v>4442.2518</v>
      </c>
      <c r="J500" s="212" t="str">
        <f>IFERROR(VLOOKUP(A500,PARTIDAS!$A$2:$C$269,3,FALSE()),"")</f>
        <v>ESTRUCTURA DE HORMIGÓN ARMADO</v>
      </c>
      <c r="K500" s="212" t="str">
        <f>IFERROR(INDEX(PPTO_GENERADOR!$B$4:$B$220,MATCH(A500,PPTO_GENERADOR!$Q$4:$Q$220,0)),"")</f>
        <v/>
      </c>
      <c r="L500" s="216">
        <f>IF(PLAN_ETAPA!$C$4="(TODOS)",SUMIFS(PPTO_GENERADOR!$E$4:$E$220,PPTO_GENERADOR!$Q$4:$Q$220,A500),SUMIFS(PPTO_GENERADOR!$E$4:$E$220,PPTO_GENERADOR!$Q$4:$Q$220,A500,PPTO_GENERADOR!$B$4:$B$220,PLAN_ETAPA!$C$4))</f>
        <v>0</v>
      </c>
      <c r="M500" s="216">
        <f>IFERROR(VLOOKUP(A500,PARTIDAS!$A$2:$F$269,6,FALSE()),1)</f>
        <v>25</v>
      </c>
      <c r="N500" s="216">
        <f>IFERROR(VLOOKUP(A500,PARTIDAS!$A$2:$I$269,9,FALSE()),1)</f>
        <v>1</v>
      </c>
      <c r="O500" s="217">
        <f t="shared" si="14"/>
        <v>0</v>
      </c>
      <c r="P500" s="216">
        <f>IF(O500=0,0,IF(B500="MAT",G500*(1+H500)*L500*PLAN_ETAPA!$C$5,IF(B500="MO",IF(M500=0,0,G500*L500*PLAN_ETAPA!$C$5*N500/M500),IF(B500="EQ",IF(M500=0,0,G500*L500*PLAN_ETAPA!$C$5/M500),0))))</f>
        <v>0</v>
      </c>
      <c r="Q500" s="218">
        <f t="shared" si="15"/>
        <v>0</v>
      </c>
    </row>
    <row r="501" spans="1:17" x14ac:dyDescent="0.35">
      <c r="A501" s="212" t="str">
        <f>COMPOSICIÓN!A501</f>
        <v>HOR-089</v>
      </c>
      <c r="B501" s="212" t="str">
        <f>COMPOSICIÓN!B501</f>
        <v>MO</v>
      </c>
      <c r="C501" s="212" t="str">
        <f>COMPOSICIÓN!C501</f>
        <v>ALB</v>
      </c>
      <c r="D501" s="212" t="str">
        <f>COMPOSICIÓN!D501</f>
        <v>MO-EAYUD</v>
      </c>
      <c r="E501" s="212" t="str">
        <f>COMPOSICIÓN!E501</f>
        <v>AYUDANTE</v>
      </c>
      <c r="F501" s="212" t="str">
        <f>COMPOSICIÓN!F501</f>
        <v>j</v>
      </c>
      <c r="G501" s="213">
        <f>COMPOSICIÓN!G501</f>
        <v>1</v>
      </c>
      <c r="H501" s="214">
        <f>COMPOSICIÓN!H501</f>
        <v>0</v>
      </c>
      <c r="I501" s="215">
        <f>COMPOSICIÓN!I501</f>
        <v>60860.580776572002</v>
      </c>
      <c r="J501" s="212" t="str">
        <f>IFERROR(VLOOKUP(A501,PARTIDAS!$A$2:$C$269,3,FALSE()),"")</f>
        <v>ESTRUCTURA DE HORMIGÓN ARMADO</v>
      </c>
      <c r="K501" s="212" t="str">
        <f>IFERROR(INDEX(PPTO_GENERADOR!$B$4:$B$220,MATCH(A501,PPTO_GENERADOR!$Q$4:$Q$220,0)),"")</f>
        <v/>
      </c>
      <c r="L501" s="216">
        <f>IF(PLAN_ETAPA!$C$4="(TODOS)",SUMIFS(PPTO_GENERADOR!$E$4:$E$220,PPTO_GENERADOR!$Q$4:$Q$220,A501),SUMIFS(PPTO_GENERADOR!$E$4:$E$220,PPTO_GENERADOR!$Q$4:$Q$220,A501,PPTO_GENERADOR!$B$4:$B$220,PLAN_ETAPA!$C$4))</f>
        <v>0</v>
      </c>
      <c r="M501" s="216">
        <f>IFERROR(VLOOKUP(A501,PARTIDAS!$A$2:$F$269,6,FALSE()),1)</f>
        <v>25</v>
      </c>
      <c r="N501" s="216">
        <f>IFERROR(VLOOKUP(A501,PARTIDAS!$A$2:$I$269,9,FALSE()),1)</f>
        <v>1</v>
      </c>
      <c r="O501" s="217">
        <f t="shared" si="14"/>
        <v>0</v>
      </c>
      <c r="P501" s="216">
        <f>IF(O501=0,0,IF(B501="MAT",G501*(1+H501)*L501*PLAN_ETAPA!$C$5,IF(B501="MO",IF(M501=0,0,G501*L501*PLAN_ETAPA!$C$5*N501/M501),IF(B501="EQ",IF(M501=0,0,G501*L501*PLAN_ETAPA!$C$5/M501),0))))</f>
        <v>0</v>
      </c>
      <c r="Q501" s="218">
        <f t="shared" si="15"/>
        <v>0</v>
      </c>
    </row>
    <row r="502" spans="1:17" x14ac:dyDescent="0.35">
      <c r="A502" s="212" t="str">
        <f>COMPOSICIÓN!A502</f>
        <v>HOR-089</v>
      </c>
      <c r="B502" s="212" t="str">
        <f>COMPOSICIÓN!B502</f>
        <v>MO</v>
      </c>
      <c r="C502" s="212" t="str">
        <f>COMPOSICIÓN!C502</f>
        <v>ALB</v>
      </c>
      <c r="D502" s="212" t="str">
        <f>COMPOSICIÓN!D502</f>
        <v>MO-EMEDI</v>
      </c>
      <c r="E502" s="212" t="str">
        <f>COMPOSICIÓN!E502</f>
        <v>MEDIO OFICIAL</v>
      </c>
      <c r="F502" s="212" t="str">
        <f>COMPOSICIÓN!F502</f>
        <v>j</v>
      </c>
      <c r="G502" s="213">
        <f>COMPOSICIÓN!G502</f>
        <v>1</v>
      </c>
      <c r="H502" s="214">
        <f>COMPOSICIÓN!H502</f>
        <v>0</v>
      </c>
      <c r="I502" s="215">
        <f>COMPOSICIÓN!I502</f>
        <v>65493.071636572</v>
      </c>
      <c r="J502" s="212" t="str">
        <f>IFERROR(VLOOKUP(A502,PARTIDAS!$A$2:$C$269,3,FALSE()),"")</f>
        <v>ESTRUCTURA DE HORMIGÓN ARMADO</v>
      </c>
      <c r="K502" s="212" t="str">
        <f>IFERROR(INDEX(PPTO_GENERADOR!$B$4:$B$220,MATCH(A502,PPTO_GENERADOR!$Q$4:$Q$220,0)),"")</f>
        <v/>
      </c>
      <c r="L502" s="216">
        <f>IF(PLAN_ETAPA!$C$4="(TODOS)",SUMIFS(PPTO_GENERADOR!$E$4:$E$220,PPTO_GENERADOR!$Q$4:$Q$220,A502),SUMIFS(PPTO_GENERADOR!$E$4:$E$220,PPTO_GENERADOR!$Q$4:$Q$220,A502,PPTO_GENERADOR!$B$4:$B$220,PLAN_ETAPA!$C$4))</f>
        <v>0</v>
      </c>
      <c r="M502" s="216">
        <f>IFERROR(VLOOKUP(A502,PARTIDAS!$A$2:$F$269,6,FALSE()),1)</f>
        <v>25</v>
      </c>
      <c r="N502" s="216">
        <f>IFERROR(VLOOKUP(A502,PARTIDAS!$A$2:$I$269,9,FALSE()),1)</f>
        <v>1</v>
      </c>
      <c r="O502" s="217">
        <f t="shared" si="14"/>
        <v>0</v>
      </c>
      <c r="P502" s="216">
        <f>IF(O502=0,0,IF(B502="MAT",G502*(1+H502)*L502*PLAN_ETAPA!$C$5,IF(B502="MO",IF(M502=0,0,G502*L502*PLAN_ETAPA!$C$5*N502/M502),IF(B502="EQ",IF(M502=0,0,G502*L502*PLAN_ETAPA!$C$5/M502),0))))</f>
        <v>0</v>
      </c>
      <c r="Q502" s="218">
        <f t="shared" si="15"/>
        <v>0</v>
      </c>
    </row>
    <row r="503" spans="1:17" x14ac:dyDescent="0.35">
      <c r="A503" s="212" t="str">
        <f>COMPOSICIÓN!A503</f>
        <v>HOR-089</v>
      </c>
      <c r="B503" s="212" t="str">
        <f>COMPOSICIÓN!B503</f>
        <v>MO</v>
      </c>
      <c r="C503" s="212" t="str">
        <f>COMPOSICIÓN!C503</f>
        <v>ALB</v>
      </c>
      <c r="D503" s="212" t="str">
        <f>COMPOSICIÓN!D503</f>
        <v>MO-EESPE</v>
      </c>
      <c r="E503" s="212" t="str">
        <f>COMPOSICIÓN!E503</f>
        <v>ESPECIALIZADO</v>
      </c>
      <c r="F503" s="212" t="str">
        <f>COMPOSICIÓN!F503</f>
        <v>j</v>
      </c>
      <c r="G503" s="213">
        <f>COMPOSICIÓN!G503</f>
        <v>1</v>
      </c>
      <c r="H503" s="214">
        <f>COMPOSICIÓN!H503</f>
        <v>0</v>
      </c>
      <c r="I503" s="215">
        <f>COMPOSICIÓN!I503</f>
        <v>85927.097156571996</v>
      </c>
      <c r="J503" s="212" t="str">
        <f>IFERROR(VLOOKUP(A503,PARTIDAS!$A$2:$C$269,3,FALSE()),"")</f>
        <v>ESTRUCTURA DE HORMIGÓN ARMADO</v>
      </c>
      <c r="K503" s="212" t="str">
        <f>IFERROR(INDEX(PPTO_GENERADOR!$B$4:$B$220,MATCH(A503,PPTO_GENERADOR!$Q$4:$Q$220,0)),"")</f>
        <v/>
      </c>
      <c r="L503" s="216">
        <f>IF(PLAN_ETAPA!$C$4="(TODOS)",SUMIFS(PPTO_GENERADOR!$E$4:$E$220,PPTO_GENERADOR!$Q$4:$Q$220,A503),SUMIFS(PPTO_GENERADOR!$E$4:$E$220,PPTO_GENERADOR!$Q$4:$Q$220,A503,PPTO_GENERADOR!$B$4:$B$220,PLAN_ETAPA!$C$4))</f>
        <v>0</v>
      </c>
      <c r="M503" s="216">
        <f>IFERROR(VLOOKUP(A503,PARTIDAS!$A$2:$F$269,6,FALSE()),1)</f>
        <v>25</v>
      </c>
      <c r="N503" s="216">
        <f>IFERROR(VLOOKUP(A503,PARTIDAS!$A$2:$I$269,9,FALSE()),1)</f>
        <v>1</v>
      </c>
      <c r="O503" s="217">
        <f t="shared" si="14"/>
        <v>0</v>
      </c>
      <c r="P503" s="216">
        <f>IF(O503=0,0,IF(B503="MAT",G503*(1+H503)*L503*PLAN_ETAPA!$C$5,IF(B503="MO",IF(M503=0,0,G503*L503*PLAN_ETAPA!$C$5*N503/M503),IF(B503="EQ",IF(M503=0,0,G503*L503*PLAN_ETAPA!$C$5/M503),0))))</f>
        <v>0</v>
      </c>
      <c r="Q503" s="218">
        <f t="shared" si="15"/>
        <v>0</v>
      </c>
    </row>
    <row r="504" spans="1:17" x14ac:dyDescent="0.35">
      <c r="A504" s="212" t="str">
        <f>COMPOSICIÓN!A504</f>
        <v>HOR-090</v>
      </c>
      <c r="B504" s="212" t="str">
        <f>COMPOSICIÓN!B504</f>
        <v>MAT</v>
      </c>
      <c r="C504" s="212" t="str">
        <f>COMPOSICIÓN!C504</f>
        <v>OTR</v>
      </c>
      <c r="D504" s="212" t="str">
        <f>COMPOSICIÓN!D504</f>
        <v>ACE-010</v>
      </c>
      <c r="E504" s="212" t="str">
        <f>COMPOSICIÓN!E504</f>
        <v>Alambre de Fardo</v>
      </c>
      <c r="F504" s="212" t="str">
        <f>COMPOSICIÓN!F504</f>
        <v>kg</v>
      </c>
      <c r="G504" s="213">
        <f>COMPOSICIÓN!G504</f>
        <v>1.2500000000000001E-2</v>
      </c>
      <c r="H504" s="214">
        <f>COMPOSICIÓN!H504</f>
        <v>0.15</v>
      </c>
      <c r="I504" s="215">
        <f>COMPOSICIÓN!I504</f>
        <v>2302.02</v>
      </c>
      <c r="J504" s="212" t="str">
        <f>IFERROR(VLOOKUP(A504,PARTIDAS!$A$2:$C$269,3,FALSE()),"")</f>
        <v>ESTRUCTURA DE HORMIGÓN ARMADO</v>
      </c>
      <c r="K504" s="212" t="str">
        <f>IFERROR(INDEX(PPTO_GENERADOR!$B$4:$B$220,MATCH(A504,PPTO_GENERADOR!$Q$4:$Q$220,0)),"")</f>
        <v/>
      </c>
      <c r="L504" s="216">
        <f>IF(PLAN_ETAPA!$C$4="(TODOS)",SUMIFS(PPTO_GENERADOR!$E$4:$E$220,PPTO_GENERADOR!$Q$4:$Q$220,A504),SUMIFS(PPTO_GENERADOR!$E$4:$E$220,PPTO_GENERADOR!$Q$4:$Q$220,A504,PPTO_GENERADOR!$B$4:$B$220,PLAN_ETAPA!$C$4))</f>
        <v>0</v>
      </c>
      <c r="M504" s="216">
        <f>IFERROR(VLOOKUP(A504,PARTIDAS!$A$2:$F$269,6,FALSE()),1)</f>
        <v>28</v>
      </c>
      <c r="N504" s="216">
        <f>IFERROR(VLOOKUP(A504,PARTIDAS!$A$2:$I$269,9,FALSE()),1)</f>
        <v>1</v>
      </c>
      <c r="O504" s="217">
        <f t="shared" si="14"/>
        <v>0</v>
      </c>
      <c r="P504" s="216">
        <f>IF(O504=0,0,IF(B504="MAT",G504*(1+H504)*L504*PLAN_ETAPA!$C$5,IF(B504="MO",IF(M504=0,0,G504*L504*PLAN_ETAPA!$C$5*N504/M504),IF(B504="EQ",IF(M504=0,0,G504*L504*PLAN_ETAPA!$C$5/M504),0))))</f>
        <v>0</v>
      </c>
      <c r="Q504" s="218">
        <f t="shared" si="15"/>
        <v>0</v>
      </c>
    </row>
    <row r="505" spans="1:17" x14ac:dyDescent="0.35">
      <c r="A505" s="212" t="str">
        <f>COMPOSICIÓN!A505</f>
        <v>HOR-090</v>
      </c>
      <c r="B505" s="212" t="str">
        <f>COMPOSICIÓN!B505</f>
        <v>MAT</v>
      </c>
      <c r="C505" s="212" t="str">
        <f>COMPOSICIÓN!C505</f>
        <v>OTR</v>
      </c>
      <c r="D505" s="212" t="str">
        <f>COMPOSICIÓN!D505</f>
        <v>ACE-015</v>
      </c>
      <c r="E505" s="212" t="str">
        <f>COMPOSICIÓN!E505</f>
        <v>CLAVOS DE 21/2" X 12</v>
      </c>
      <c r="F505" s="212" t="str">
        <f>COMPOSICIÓN!F505</f>
        <v>KG</v>
      </c>
      <c r="G505" s="213">
        <f>COMPOSICIÓN!G505</f>
        <v>0.125</v>
      </c>
      <c r="H505" s="214">
        <f>COMPOSICIÓN!H505</f>
        <v>0.05</v>
      </c>
      <c r="I505" s="215">
        <f>COMPOSICIÓN!I505</f>
        <v>2130.1681250000001</v>
      </c>
      <c r="J505" s="212" t="str">
        <f>IFERROR(VLOOKUP(A505,PARTIDAS!$A$2:$C$269,3,FALSE()),"")</f>
        <v>ESTRUCTURA DE HORMIGÓN ARMADO</v>
      </c>
      <c r="K505" s="212" t="str">
        <f>IFERROR(INDEX(PPTO_GENERADOR!$B$4:$B$220,MATCH(A505,PPTO_GENERADOR!$Q$4:$Q$220,0)),"")</f>
        <v/>
      </c>
      <c r="L505" s="216">
        <f>IF(PLAN_ETAPA!$C$4="(TODOS)",SUMIFS(PPTO_GENERADOR!$E$4:$E$220,PPTO_GENERADOR!$Q$4:$Q$220,A505),SUMIFS(PPTO_GENERADOR!$E$4:$E$220,PPTO_GENERADOR!$Q$4:$Q$220,A505,PPTO_GENERADOR!$B$4:$B$220,PLAN_ETAPA!$C$4))</f>
        <v>0</v>
      </c>
      <c r="M505" s="216">
        <f>IFERROR(VLOOKUP(A505,PARTIDAS!$A$2:$F$269,6,FALSE()),1)</f>
        <v>28</v>
      </c>
      <c r="N505" s="216">
        <f>IFERROR(VLOOKUP(A505,PARTIDAS!$A$2:$I$269,9,FALSE()),1)</f>
        <v>1</v>
      </c>
      <c r="O505" s="217">
        <f t="shared" si="14"/>
        <v>0</v>
      </c>
      <c r="P505" s="216">
        <f>IF(O505=0,0,IF(B505="MAT",G505*(1+H505)*L505*PLAN_ETAPA!$C$5,IF(B505="MO",IF(M505=0,0,G505*L505*PLAN_ETAPA!$C$5*N505/M505),IF(B505="EQ",IF(M505=0,0,G505*L505*PLAN_ETAPA!$C$5/M505),0))))</f>
        <v>0</v>
      </c>
      <c r="Q505" s="218">
        <f t="shared" si="15"/>
        <v>0</v>
      </c>
    </row>
    <row r="506" spans="1:17" x14ac:dyDescent="0.35">
      <c r="A506" s="212" t="str">
        <f>COMPOSICIÓN!A506</f>
        <v>HOR-090</v>
      </c>
      <c r="B506" s="212" t="str">
        <f>COMPOSICIÓN!B506</f>
        <v>MAT</v>
      </c>
      <c r="C506" s="212" t="str">
        <f>COMPOSICIÓN!C506</f>
        <v>OTR</v>
      </c>
      <c r="D506" s="212" t="str">
        <f>COMPOSICIÓN!D506</f>
        <v>MAD-004</v>
      </c>
      <c r="E506" s="212" t="str">
        <f>COMPOSICIÓN!E506</f>
        <v>Estacas</v>
      </c>
      <c r="F506" s="212" t="str">
        <f>COMPOSICIÓN!F506</f>
        <v>u</v>
      </c>
      <c r="G506" s="213">
        <f>COMPOSICIÓN!G506</f>
        <v>1.25E-3</v>
      </c>
      <c r="H506" s="214">
        <f>COMPOSICIÓN!H506</f>
        <v>0</v>
      </c>
      <c r="I506" s="215">
        <f>COMPOSICIÓN!I506</f>
        <v>1180.82</v>
      </c>
      <c r="J506" s="212" t="str">
        <f>IFERROR(VLOOKUP(A506,PARTIDAS!$A$2:$C$269,3,FALSE()),"")</f>
        <v>ESTRUCTURA DE HORMIGÓN ARMADO</v>
      </c>
      <c r="K506" s="212" t="str">
        <f>IFERROR(INDEX(PPTO_GENERADOR!$B$4:$B$220,MATCH(A506,PPTO_GENERADOR!$Q$4:$Q$220,0)),"")</f>
        <v/>
      </c>
      <c r="L506" s="216">
        <f>IF(PLAN_ETAPA!$C$4="(TODOS)",SUMIFS(PPTO_GENERADOR!$E$4:$E$220,PPTO_GENERADOR!$Q$4:$Q$220,A506),SUMIFS(PPTO_GENERADOR!$E$4:$E$220,PPTO_GENERADOR!$Q$4:$Q$220,A506,PPTO_GENERADOR!$B$4:$B$220,PLAN_ETAPA!$C$4))</f>
        <v>0</v>
      </c>
      <c r="M506" s="216">
        <f>IFERROR(VLOOKUP(A506,PARTIDAS!$A$2:$F$269,6,FALSE()),1)</f>
        <v>28</v>
      </c>
      <c r="N506" s="216">
        <f>IFERROR(VLOOKUP(A506,PARTIDAS!$A$2:$I$269,9,FALSE()),1)</f>
        <v>1</v>
      </c>
      <c r="O506" s="217">
        <f t="shared" si="14"/>
        <v>0</v>
      </c>
      <c r="P506" s="216">
        <f>IF(O506=0,0,IF(B506="MAT",G506*(1+H506)*L506*PLAN_ETAPA!$C$5,IF(B506="MO",IF(M506=0,0,G506*L506*PLAN_ETAPA!$C$5*N506/M506),IF(B506="EQ",IF(M506=0,0,G506*L506*PLAN_ETAPA!$C$5/M506),0))))</f>
        <v>0</v>
      </c>
      <c r="Q506" s="218">
        <f t="shared" si="15"/>
        <v>0</v>
      </c>
    </row>
    <row r="507" spans="1:17" x14ac:dyDescent="0.35">
      <c r="A507" s="212" t="str">
        <f>COMPOSICIÓN!A507</f>
        <v>HOR-090</v>
      </c>
      <c r="B507" s="212" t="str">
        <f>COMPOSICIÓN!B507</f>
        <v>MAT</v>
      </c>
      <c r="C507" s="212" t="str">
        <f>COMPOSICIÓN!C507</f>
        <v>OTR</v>
      </c>
      <c r="D507" s="212" t="str">
        <f>COMPOSICIÓN!D507</f>
        <v>OTR-032</v>
      </c>
      <c r="E507" s="212" t="str">
        <f>COMPOSICIÓN!E507</f>
        <v>FENOLICO 18MM. LAMINADO MELAMINICO</v>
      </c>
      <c r="F507" s="212" t="str">
        <f>COMPOSICIÓN!F507</f>
        <v>M2</v>
      </c>
      <c r="G507" s="213">
        <f>COMPOSICIÓN!G507</f>
        <v>0.5</v>
      </c>
      <c r="H507" s="214">
        <f>COMPOSICIÓN!H507</f>
        <v>0.02</v>
      </c>
      <c r="I507" s="215">
        <f>COMPOSICIÓN!I507</f>
        <v>51752.74</v>
      </c>
      <c r="J507" s="212" t="str">
        <f>IFERROR(VLOOKUP(A507,PARTIDAS!$A$2:$C$269,3,FALSE()),"")</f>
        <v>ESTRUCTURA DE HORMIGÓN ARMADO</v>
      </c>
      <c r="K507" s="212" t="str">
        <f>IFERROR(INDEX(PPTO_GENERADOR!$B$4:$B$220,MATCH(A507,PPTO_GENERADOR!$Q$4:$Q$220,0)),"")</f>
        <v/>
      </c>
      <c r="L507" s="216">
        <f>IF(PLAN_ETAPA!$C$4="(TODOS)",SUMIFS(PPTO_GENERADOR!$E$4:$E$220,PPTO_GENERADOR!$Q$4:$Q$220,A507),SUMIFS(PPTO_GENERADOR!$E$4:$E$220,PPTO_GENERADOR!$Q$4:$Q$220,A507,PPTO_GENERADOR!$B$4:$B$220,PLAN_ETAPA!$C$4))</f>
        <v>0</v>
      </c>
      <c r="M507" s="216">
        <f>IFERROR(VLOOKUP(A507,PARTIDAS!$A$2:$F$269,6,FALSE()),1)</f>
        <v>28</v>
      </c>
      <c r="N507" s="216">
        <f>IFERROR(VLOOKUP(A507,PARTIDAS!$A$2:$I$269,9,FALSE()),1)</f>
        <v>1</v>
      </c>
      <c r="O507" s="217">
        <f t="shared" si="14"/>
        <v>0</v>
      </c>
      <c r="P507" s="216">
        <f>IF(O507=0,0,IF(B507="MAT",G507*(1+H507)*L507*PLAN_ETAPA!$C$5,IF(B507="MO",IF(M507=0,0,G507*L507*PLAN_ETAPA!$C$5*N507/M507),IF(B507="EQ",IF(M507=0,0,G507*L507*PLAN_ETAPA!$C$5/M507),0))))</f>
        <v>0</v>
      </c>
      <c r="Q507" s="218">
        <f t="shared" si="15"/>
        <v>0</v>
      </c>
    </row>
    <row r="508" spans="1:17" x14ac:dyDescent="0.35">
      <c r="A508" s="212" t="str">
        <f>COMPOSICIÓN!A508</f>
        <v>HOR-090</v>
      </c>
      <c r="B508" s="212" t="str">
        <f>COMPOSICIÓN!B508</f>
        <v>MAT</v>
      </c>
      <c r="C508" s="212" t="str">
        <f>COMPOSICIÓN!C508</f>
        <v>OTR</v>
      </c>
      <c r="D508" s="212" t="str">
        <f>COMPOSICIÓN!D508</f>
        <v>OTR-033</v>
      </c>
      <c r="E508" s="212" t="str">
        <f>COMPOSICIÓN!E508</f>
        <v>tirante 3x3 para puntal 3.66</v>
      </c>
      <c r="F508" s="212" t="str">
        <f>COMPOSICIÓN!F508</f>
        <v>ml</v>
      </c>
      <c r="G508" s="213">
        <f>COMPOSICIÓN!G508</f>
        <v>0.01</v>
      </c>
      <c r="H508" s="214">
        <f>COMPOSICIÓN!H508</f>
        <v>0.02</v>
      </c>
      <c r="I508" s="215">
        <f>COMPOSICIÓN!I508</f>
        <v>1213.73</v>
      </c>
      <c r="J508" s="212" t="str">
        <f>IFERROR(VLOOKUP(A508,PARTIDAS!$A$2:$C$269,3,FALSE()),"")</f>
        <v>ESTRUCTURA DE HORMIGÓN ARMADO</v>
      </c>
      <c r="K508" s="212" t="str">
        <f>IFERROR(INDEX(PPTO_GENERADOR!$B$4:$B$220,MATCH(A508,PPTO_GENERADOR!$Q$4:$Q$220,0)),"")</f>
        <v/>
      </c>
      <c r="L508" s="216">
        <f>IF(PLAN_ETAPA!$C$4="(TODOS)",SUMIFS(PPTO_GENERADOR!$E$4:$E$220,PPTO_GENERADOR!$Q$4:$Q$220,A508),SUMIFS(PPTO_GENERADOR!$E$4:$E$220,PPTO_GENERADOR!$Q$4:$Q$220,A508,PPTO_GENERADOR!$B$4:$B$220,PLAN_ETAPA!$C$4))</f>
        <v>0</v>
      </c>
      <c r="M508" s="216">
        <f>IFERROR(VLOOKUP(A508,PARTIDAS!$A$2:$F$269,6,FALSE()),1)</f>
        <v>28</v>
      </c>
      <c r="N508" s="216">
        <f>IFERROR(VLOOKUP(A508,PARTIDAS!$A$2:$I$269,9,FALSE()),1)</f>
        <v>1</v>
      </c>
      <c r="O508" s="217">
        <f t="shared" si="14"/>
        <v>0</v>
      </c>
      <c r="P508" s="216">
        <f>IF(O508=0,0,IF(B508="MAT",G508*(1+H508)*L508*PLAN_ETAPA!$C$5,IF(B508="MO",IF(M508=0,0,G508*L508*PLAN_ETAPA!$C$5*N508/M508),IF(B508="EQ",IF(M508=0,0,G508*L508*PLAN_ETAPA!$C$5/M508),0))))</f>
        <v>0</v>
      </c>
      <c r="Q508" s="218">
        <f t="shared" si="15"/>
        <v>0</v>
      </c>
    </row>
    <row r="509" spans="1:17" x14ac:dyDescent="0.35">
      <c r="A509" s="212" t="str">
        <f>COMPOSICIÓN!A509</f>
        <v>HOR-090</v>
      </c>
      <c r="B509" s="212" t="str">
        <f>COMPOSICIÓN!B509</f>
        <v>MAT</v>
      </c>
      <c r="C509" s="212" t="str">
        <f>COMPOSICIÓN!C509</f>
        <v>OTR</v>
      </c>
      <c r="D509" s="212" t="str">
        <f>COMPOSICIÓN!D509</f>
        <v>OTR-034</v>
      </c>
      <c r="E509" s="212" t="str">
        <f>COMPOSICIÓN!E509</f>
        <v>tirante 3x6 3.66</v>
      </c>
      <c r="F509" s="212" t="str">
        <f>COMPOSICIÓN!F509</f>
        <v>un</v>
      </c>
      <c r="G509" s="213">
        <f>COMPOSICIÓN!G509</f>
        <v>1.2E-2</v>
      </c>
      <c r="H509" s="214">
        <f>COMPOSICIÓN!H509</f>
        <v>0.05</v>
      </c>
      <c r="I509" s="215">
        <f>COMPOSICIÓN!I509</f>
        <v>4442.2518</v>
      </c>
      <c r="J509" s="212" t="str">
        <f>IFERROR(VLOOKUP(A509,PARTIDAS!$A$2:$C$269,3,FALSE()),"")</f>
        <v>ESTRUCTURA DE HORMIGÓN ARMADO</v>
      </c>
      <c r="K509" s="212" t="str">
        <f>IFERROR(INDEX(PPTO_GENERADOR!$B$4:$B$220,MATCH(A509,PPTO_GENERADOR!$Q$4:$Q$220,0)),"")</f>
        <v/>
      </c>
      <c r="L509" s="216">
        <f>IF(PLAN_ETAPA!$C$4="(TODOS)",SUMIFS(PPTO_GENERADOR!$E$4:$E$220,PPTO_GENERADOR!$Q$4:$Q$220,A509),SUMIFS(PPTO_GENERADOR!$E$4:$E$220,PPTO_GENERADOR!$Q$4:$Q$220,A509,PPTO_GENERADOR!$B$4:$B$220,PLAN_ETAPA!$C$4))</f>
        <v>0</v>
      </c>
      <c r="M509" s="216">
        <f>IFERROR(VLOOKUP(A509,PARTIDAS!$A$2:$F$269,6,FALSE()),1)</f>
        <v>28</v>
      </c>
      <c r="N509" s="216">
        <f>IFERROR(VLOOKUP(A509,PARTIDAS!$A$2:$I$269,9,FALSE()),1)</f>
        <v>1</v>
      </c>
      <c r="O509" s="217">
        <f t="shared" si="14"/>
        <v>0</v>
      </c>
      <c r="P509" s="216">
        <f>IF(O509=0,0,IF(B509="MAT",G509*(1+H509)*L509*PLAN_ETAPA!$C$5,IF(B509="MO",IF(M509=0,0,G509*L509*PLAN_ETAPA!$C$5*N509/M509),IF(B509="EQ",IF(M509=0,0,G509*L509*PLAN_ETAPA!$C$5/M509),0))))</f>
        <v>0</v>
      </c>
      <c r="Q509" s="218">
        <f t="shared" si="15"/>
        <v>0</v>
      </c>
    </row>
    <row r="510" spans="1:17" x14ac:dyDescent="0.35">
      <c r="A510" s="212" t="str">
        <f>COMPOSICIÓN!A510</f>
        <v>HOR-090</v>
      </c>
      <c r="B510" s="212" t="str">
        <f>COMPOSICIÓN!B510</f>
        <v>MO</v>
      </c>
      <c r="C510" s="212" t="str">
        <f>COMPOSICIÓN!C510</f>
        <v>ALB</v>
      </c>
      <c r="D510" s="212" t="str">
        <f>COMPOSICIÓN!D510</f>
        <v>MO-EAYUD</v>
      </c>
      <c r="E510" s="212" t="str">
        <f>COMPOSICIÓN!E510</f>
        <v>AYUDANTE</v>
      </c>
      <c r="F510" s="212" t="str">
        <f>COMPOSICIÓN!F510</f>
        <v>j</v>
      </c>
      <c r="G510" s="213">
        <f>COMPOSICIÓN!G510</f>
        <v>1</v>
      </c>
      <c r="H510" s="214">
        <f>COMPOSICIÓN!H510</f>
        <v>0</v>
      </c>
      <c r="I510" s="215">
        <f>COMPOSICIÓN!I510</f>
        <v>60860.580776572002</v>
      </c>
      <c r="J510" s="212" t="str">
        <f>IFERROR(VLOOKUP(A510,PARTIDAS!$A$2:$C$269,3,FALSE()),"")</f>
        <v>ESTRUCTURA DE HORMIGÓN ARMADO</v>
      </c>
      <c r="K510" s="212" t="str">
        <f>IFERROR(INDEX(PPTO_GENERADOR!$B$4:$B$220,MATCH(A510,PPTO_GENERADOR!$Q$4:$Q$220,0)),"")</f>
        <v/>
      </c>
      <c r="L510" s="216">
        <f>IF(PLAN_ETAPA!$C$4="(TODOS)",SUMIFS(PPTO_GENERADOR!$E$4:$E$220,PPTO_GENERADOR!$Q$4:$Q$220,A510),SUMIFS(PPTO_GENERADOR!$E$4:$E$220,PPTO_GENERADOR!$Q$4:$Q$220,A510,PPTO_GENERADOR!$B$4:$B$220,PLAN_ETAPA!$C$4))</f>
        <v>0</v>
      </c>
      <c r="M510" s="216">
        <f>IFERROR(VLOOKUP(A510,PARTIDAS!$A$2:$F$269,6,FALSE()),1)</f>
        <v>28</v>
      </c>
      <c r="N510" s="216">
        <f>IFERROR(VLOOKUP(A510,PARTIDAS!$A$2:$I$269,9,FALSE()),1)</f>
        <v>1</v>
      </c>
      <c r="O510" s="217">
        <f t="shared" si="14"/>
        <v>0</v>
      </c>
      <c r="P510" s="216">
        <f>IF(O510=0,0,IF(B510="MAT",G510*(1+H510)*L510*PLAN_ETAPA!$C$5,IF(B510="MO",IF(M510=0,0,G510*L510*PLAN_ETAPA!$C$5*N510/M510),IF(B510="EQ",IF(M510=0,0,G510*L510*PLAN_ETAPA!$C$5/M510),0))))</f>
        <v>0</v>
      </c>
      <c r="Q510" s="218">
        <f t="shared" si="15"/>
        <v>0</v>
      </c>
    </row>
    <row r="511" spans="1:17" x14ac:dyDescent="0.35">
      <c r="A511" s="212" t="str">
        <f>COMPOSICIÓN!A511</f>
        <v>HOR-090</v>
      </c>
      <c r="B511" s="212" t="str">
        <f>COMPOSICIÓN!B511</f>
        <v>MO</v>
      </c>
      <c r="C511" s="212" t="str">
        <f>COMPOSICIÓN!C511</f>
        <v>ALB</v>
      </c>
      <c r="D511" s="212" t="str">
        <f>COMPOSICIÓN!D511</f>
        <v>MO-EMEDI</v>
      </c>
      <c r="E511" s="212" t="str">
        <f>COMPOSICIÓN!E511</f>
        <v>MEDIO OFICIAL</v>
      </c>
      <c r="F511" s="212" t="str">
        <f>COMPOSICIÓN!F511</f>
        <v>j</v>
      </c>
      <c r="G511" s="213">
        <f>COMPOSICIÓN!G511</f>
        <v>1</v>
      </c>
      <c r="H511" s="214">
        <f>COMPOSICIÓN!H511</f>
        <v>0</v>
      </c>
      <c r="I511" s="215">
        <f>COMPOSICIÓN!I511</f>
        <v>65493.071636572</v>
      </c>
      <c r="J511" s="212" t="str">
        <f>IFERROR(VLOOKUP(A511,PARTIDAS!$A$2:$C$269,3,FALSE()),"")</f>
        <v>ESTRUCTURA DE HORMIGÓN ARMADO</v>
      </c>
      <c r="K511" s="212" t="str">
        <f>IFERROR(INDEX(PPTO_GENERADOR!$B$4:$B$220,MATCH(A511,PPTO_GENERADOR!$Q$4:$Q$220,0)),"")</f>
        <v/>
      </c>
      <c r="L511" s="216">
        <f>IF(PLAN_ETAPA!$C$4="(TODOS)",SUMIFS(PPTO_GENERADOR!$E$4:$E$220,PPTO_GENERADOR!$Q$4:$Q$220,A511),SUMIFS(PPTO_GENERADOR!$E$4:$E$220,PPTO_GENERADOR!$Q$4:$Q$220,A511,PPTO_GENERADOR!$B$4:$B$220,PLAN_ETAPA!$C$4))</f>
        <v>0</v>
      </c>
      <c r="M511" s="216">
        <f>IFERROR(VLOOKUP(A511,PARTIDAS!$A$2:$F$269,6,FALSE()),1)</f>
        <v>28</v>
      </c>
      <c r="N511" s="216">
        <f>IFERROR(VLOOKUP(A511,PARTIDAS!$A$2:$I$269,9,FALSE()),1)</f>
        <v>1</v>
      </c>
      <c r="O511" s="217">
        <f t="shared" si="14"/>
        <v>0</v>
      </c>
      <c r="P511" s="216">
        <f>IF(O511=0,0,IF(B511="MAT",G511*(1+H511)*L511*PLAN_ETAPA!$C$5,IF(B511="MO",IF(M511=0,0,G511*L511*PLAN_ETAPA!$C$5*N511/M511),IF(B511="EQ",IF(M511=0,0,G511*L511*PLAN_ETAPA!$C$5/M511),0))))</f>
        <v>0</v>
      </c>
      <c r="Q511" s="218">
        <f t="shared" si="15"/>
        <v>0</v>
      </c>
    </row>
    <row r="512" spans="1:17" x14ac:dyDescent="0.35">
      <c r="A512" s="212" t="str">
        <f>COMPOSICIÓN!A512</f>
        <v>HOR-090</v>
      </c>
      <c r="B512" s="212" t="str">
        <f>COMPOSICIÓN!B512</f>
        <v>MO</v>
      </c>
      <c r="C512" s="212" t="str">
        <f>COMPOSICIÓN!C512</f>
        <v>ALB</v>
      </c>
      <c r="D512" s="212" t="str">
        <f>COMPOSICIÓN!D512</f>
        <v>MO-EESPE</v>
      </c>
      <c r="E512" s="212" t="str">
        <f>COMPOSICIÓN!E512</f>
        <v>ESPECIALIZADO</v>
      </c>
      <c r="F512" s="212" t="str">
        <f>COMPOSICIÓN!F512</f>
        <v>j</v>
      </c>
      <c r="G512" s="213">
        <f>COMPOSICIÓN!G512</f>
        <v>1</v>
      </c>
      <c r="H512" s="214">
        <f>COMPOSICIÓN!H512</f>
        <v>0</v>
      </c>
      <c r="I512" s="215">
        <f>COMPOSICIÓN!I512</f>
        <v>85927.097156571996</v>
      </c>
      <c r="J512" s="212" t="str">
        <f>IFERROR(VLOOKUP(A512,PARTIDAS!$A$2:$C$269,3,FALSE()),"")</f>
        <v>ESTRUCTURA DE HORMIGÓN ARMADO</v>
      </c>
      <c r="K512" s="212" t="str">
        <f>IFERROR(INDEX(PPTO_GENERADOR!$B$4:$B$220,MATCH(A512,PPTO_GENERADOR!$Q$4:$Q$220,0)),"")</f>
        <v/>
      </c>
      <c r="L512" s="216">
        <f>IF(PLAN_ETAPA!$C$4="(TODOS)",SUMIFS(PPTO_GENERADOR!$E$4:$E$220,PPTO_GENERADOR!$Q$4:$Q$220,A512),SUMIFS(PPTO_GENERADOR!$E$4:$E$220,PPTO_GENERADOR!$Q$4:$Q$220,A512,PPTO_GENERADOR!$B$4:$B$220,PLAN_ETAPA!$C$4))</f>
        <v>0</v>
      </c>
      <c r="M512" s="216">
        <f>IFERROR(VLOOKUP(A512,PARTIDAS!$A$2:$F$269,6,FALSE()),1)</f>
        <v>28</v>
      </c>
      <c r="N512" s="216">
        <f>IFERROR(VLOOKUP(A512,PARTIDAS!$A$2:$I$269,9,FALSE()),1)</f>
        <v>1</v>
      </c>
      <c r="O512" s="217">
        <f t="shared" si="14"/>
        <v>0</v>
      </c>
      <c r="P512" s="216">
        <f>IF(O512=0,0,IF(B512="MAT",G512*(1+H512)*L512*PLAN_ETAPA!$C$5,IF(B512="MO",IF(M512=0,0,G512*L512*PLAN_ETAPA!$C$5*N512/M512),IF(B512="EQ",IF(M512=0,0,G512*L512*PLAN_ETAPA!$C$5/M512),0))))</f>
        <v>0</v>
      </c>
      <c r="Q512" s="218">
        <f t="shared" si="15"/>
        <v>0</v>
      </c>
    </row>
    <row r="513" spans="1:17" x14ac:dyDescent="0.35">
      <c r="A513" s="212" t="str">
        <f>COMPOSICIÓN!A513</f>
        <v>HOR-106</v>
      </c>
      <c r="B513" s="212" t="str">
        <f>COMPOSICIÓN!B513</f>
        <v>MO</v>
      </c>
      <c r="C513" s="212" t="str">
        <f>COMPOSICIÓN!C513</f>
        <v>ALB</v>
      </c>
      <c r="D513" s="212" t="str">
        <f>COMPOSICIÓN!D513</f>
        <v>MO-EAYUD</v>
      </c>
      <c r="E513" s="212" t="str">
        <f>COMPOSICIÓN!E513</f>
        <v>AYUDANTE</v>
      </c>
      <c r="F513" s="212" t="str">
        <f>COMPOSICIÓN!F513</f>
        <v>j</v>
      </c>
      <c r="G513" s="213">
        <f>COMPOSICIÓN!G513</f>
        <v>1</v>
      </c>
      <c r="H513" s="214">
        <f>COMPOSICIÓN!H513</f>
        <v>0</v>
      </c>
      <c r="I513" s="215">
        <f>COMPOSICIÓN!I513</f>
        <v>60860.580776572002</v>
      </c>
      <c r="J513" s="212" t="str">
        <f>IFERROR(VLOOKUP(A513,PARTIDAS!$A$2:$C$269,3,FALSE()),"")</f>
        <v>ESTRUCTURA DE HORMIGÓN ARMADO</v>
      </c>
      <c r="K513" s="212" t="str">
        <f>IFERROR(INDEX(PPTO_GENERADOR!$B$4:$B$220,MATCH(A513,PPTO_GENERADOR!$Q$4:$Q$220,0)),"")</f>
        <v/>
      </c>
      <c r="L513" s="216">
        <f>IF(PLAN_ETAPA!$C$4="(TODOS)",SUMIFS(PPTO_GENERADOR!$E$4:$E$220,PPTO_GENERADOR!$Q$4:$Q$220,A513),SUMIFS(PPTO_GENERADOR!$E$4:$E$220,PPTO_GENERADOR!$Q$4:$Q$220,A513,PPTO_GENERADOR!$B$4:$B$220,PLAN_ETAPA!$C$4))</f>
        <v>0</v>
      </c>
      <c r="M513" s="216">
        <f>IFERROR(VLOOKUP(A513,PARTIDAS!$A$2:$F$269,6,FALSE()),1)</f>
        <v>3.8</v>
      </c>
      <c r="N513" s="216">
        <f>IFERROR(VLOOKUP(A513,PARTIDAS!$A$2:$I$269,9,FALSE()),1)</f>
        <v>1</v>
      </c>
      <c r="O513" s="217">
        <f t="shared" si="14"/>
        <v>0</v>
      </c>
      <c r="P513" s="216">
        <f>IF(O513=0,0,IF(B513="MAT",G513*(1+H513)*L513*PLAN_ETAPA!$C$5,IF(B513="MO",IF(M513=0,0,G513*L513*PLAN_ETAPA!$C$5*N513/M513),IF(B513="EQ",IF(M513=0,0,G513*L513*PLAN_ETAPA!$C$5/M513),0))))</f>
        <v>0</v>
      </c>
      <c r="Q513" s="218">
        <f t="shared" si="15"/>
        <v>0</v>
      </c>
    </row>
    <row r="514" spans="1:17" x14ac:dyDescent="0.35">
      <c r="A514" s="212" t="str">
        <f>COMPOSICIÓN!A514</f>
        <v>HOR-106</v>
      </c>
      <c r="B514" s="212" t="str">
        <f>COMPOSICIÓN!B514</f>
        <v>MO</v>
      </c>
      <c r="C514" s="212" t="str">
        <f>COMPOSICIÓN!C514</f>
        <v>ALB</v>
      </c>
      <c r="D514" s="212" t="str">
        <f>COMPOSICIÓN!D514</f>
        <v>MO-EESPE</v>
      </c>
      <c r="E514" s="212" t="str">
        <f>COMPOSICIÓN!E514</f>
        <v>ESPECIALIZADO</v>
      </c>
      <c r="F514" s="212" t="str">
        <f>COMPOSICIÓN!F514</f>
        <v>j</v>
      </c>
      <c r="G514" s="213">
        <f>COMPOSICIÓN!G514</f>
        <v>1</v>
      </c>
      <c r="H514" s="214">
        <f>COMPOSICIÓN!H514</f>
        <v>0</v>
      </c>
      <c r="I514" s="215">
        <f>COMPOSICIÓN!I514</f>
        <v>85927.097156571996</v>
      </c>
      <c r="J514" s="212" t="str">
        <f>IFERROR(VLOOKUP(A514,PARTIDAS!$A$2:$C$269,3,FALSE()),"")</f>
        <v>ESTRUCTURA DE HORMIGÓN ARMADO</v>
      </c>
      <c r="K514" s="212" t="str">
        <f>IFERROR(INDEX(PPTO_GENERADOR!$B$4:$B$220,MATCH(A514,PPTO_GENERADOR!$Q$4:$Q$220,0)),"")</f>
        <v/>
      </c>
      <c r="L514" s="216">
        <f>IF(PLAN_ETAPA!$C$4="(TODOS)",SUMIFS(PPTO_GENERADOR!$E$4:$E$220,PPTO_GENERADOR!$Q$4:$Q$220,A514),SUMIFS(PPTO_GENERADOR!$E$4:$E$220,PPTO_GENERADOR!$Q$4:$Q$220,A514,PPTO_GENERADOR!$B$4:$B$220,PLAN_ETAPA!$C$4))</f>
        <v>0</v>
      </c>
      <c r="M514" s="216">
        <f>IFERROR(VLOOKUP(A514,PARTIDAS!$A$2:$F$269,6,FALSE()),1)</f>
        <v>3.8</v>
      </c>
      <c r="N514" s="216">
        <f>IFERROR(VLOOKUP(A514,PARTIDAS!$A$2:$I$269,9,FALSE()),1)</f>
        <v>1</v>
      </c>
      <c r="O514" s="217">
        <f t="shared" ref="O514:O577" si="16">IF(L514&gt;0,1,0)</f>
        <v>0</v>
      </c>
      <c r="P514" s="216">
        <f>IF(O514=0,0,IF(B514="MAT",G514*(1+H514)*L514*PLAN_ETAPA!$C$5,IF(B514="MO",IF(M514=0,0,G514*L514*PLAN_ETAPA!$C$5*N514/M514),IF(B514="EQ",IF(M514=0,0,G514*L514*PLAN_ETAPA!$C$5/M514),0))))</f>
        <v>0</v>
      </c>
      <c r="Q514" s="218">
        <f t="shared" ref="Q514:Q577" si="17">P514*I514</f>
        <v>0</v>
      </c>
    </row>
    <row r="515" spans="1:17" x14ac:dyDescent="0.35">
      <c r="A515" s="212" t="str">
        <f>COMPOSICIÓN!A515</f>
        <v>HOR-110</v>
      </c>
      <c r="B515" s="212" t="str">
        <f>COMPOSICIÓN!B515</f>
        <v>MO</v>
      </c>
      <c r="C515" s="212" t="str">
        <f>COMPOSICIÓN!C515</f>
        <v>ALB</v>
      </c>
      <c r="D515" s="212" t="str">
        <f>COMPOSICIÓN!D515</f>
        <v>MO-EAYUD</v>
      </c>
      <c r="E515" s="212" t="str">
        <f>COMPOSICIÓN!E515</f>
        <v>AYUDANTE</v>
      </c>
      <c r="F515" s="212" t="str">
        <f>COMPOSICIÓN!F515</f>
        <v>j</v>
      </c>
      <c r="G515" s="213">
        <f>COMPOSICIÓN!G515</f>
        <v>7</v>
      </c>
      <c r="H515" s="214">
        <f>COMPOSICIÓN!H515</f>
        <v>0</v>
      </c>
      <c r="I515" s="215">
        <f>COMPOSICIÓN!I515</f>
        <v>60860.580776572002</v>
      </c>
      <c r="J515" s="212" t="str">
        <f>IFERROR(VLOOKUP(A515,PARTIDAS!$A$2:$C$269,3,FALSE()),"")</f>
        <v>ESTRUCTURA DE HORMIGÓN ARMADO</v>
      </c>
      <c r="K515" s="212" t="str">
        <f>IFERROR(INDEX(PPTO_GENERADOR!$B$4:$B$220,MATCH(A515,PPTO_GENERADOR!$Q$4:$Q$220,0)),"")</f>
        <v/>
      </c>
      <c r="L515" s="216">
        <f>IF(PLAN_ETAPA!$C$4="(TODOS)",SUMIFS(PPTO_GENERADOR!$E$4:$E$220,PPTO_GENERADOR!$Q$4:$Q$220,A515),SUMIFS(PPTO_GENERADOR!$E$4:$E$220,PPTO_GENERADOR!$Q$4:$Q$220,A515,PPTO_GENERADOR!$B$4:$B$220,PLAN_ETAPA!$C$4))</f>
        <v>0</v>
      </c>
      <c r="M515" s="216">
        <f>IFERROR(VLOOKUP(A515,PARTIDAS!$A$2:$F$269,6,FALSE()),1)</f>
        <v>36</v>
      </c>
      <c r="N515" s="216">
        <f>IFERROR(VLOOKUP(A515,PARTIDAS!$A$2:$I$269,9,FALSE()),1)</f>
        <v>1</v>
      </c>
      <c r="O515" s="217">
        <f t="shared" si="16"/>
        <v>0</v>
      </c>
      <c r="P515" s="216">
        <f>IF(O515=0,0,IF(B515="MAT",G515*(1+H515)*L515*PLAN_ETAPA!$C$5,IF(B515="MO",IF(M515=0,0,G515*L515*PLAN_ETAPA!$C$5*N515/M515),IF(B515="EQ",IF(M515=0,0,G515*L515*PLAN_ETAPA!$C$5/M515),0))))</f>
        <v>0</v>
      </c>
      <c r="Q515" s="218">
        <f t="shared" si="17"/>
        <v>0</v>
      </c>
    </row>
    <row r="516" spans="1:17" x14ac:dyDescent="0.35">
      <c r="A516" s="212" t="str">
        <f>COMPOSICIÓN!A516</f>
        <v>HOR-110</v>
      </c>
      <c r="B516" s="212" t="str">
        <f>COMPOSICIÓN!B516</f>
        <v>MO</v>
      </c>
      <c r="C516" s="212" t="str">
        <f>COMPOSICIÓN!C516</f>
        <v>ALB</v>
      </c>
      <c r="D516" s="212" t="str">
        <f>COMPOSICIÓN!D516</f>
        <v>MO-EESPE</v>
      </c>
      <c r="E516" s="212" t="str">
        <f>COMPOSICIÓN!E516</f>
        <v>ESPECIALIZADO</v>
      </c>
      <c r="F516" s="212" t="str">
        <f>COMPOSICIÓN!F516</f>
        <v>j</v>
      </c>
      <c r="G516" s="213">
        <f>COMPOSICIÓN!G516</f>
        <v>1</v>
      </c>
      <c r="H516" s="214">
        <f>COMPOSICIÓN!H516</f>
        <v>0</v>
      </c>
      <c r="I516" s="215">
        <f>COMPOSICIÓN!I516</f>
        <v>85927.097156571996</v>
      </c>
      <c r="J516" s="212" t="str">
        <f>IFERROR(VLOOKUP(A516,PARTIDAS!$A$2:$C$269,3,FALSE()),"")</f>
        <v>ESTRUCTURA DE HORMIGÓN ARMADO</v>
      </c>
      <c r="K516" s="212" t="str">
        <f>IFERROR(INDEX(PPTO_GENERADOR!$B$4:$B$220,MATCH(A516,PPTO_GENERADOR!$Q$4:$Q$220,0)),"")</f>
        <v/>
      </c>
      <c r="L516" s="216">
        <f>IF(PLAN_ETAPA!$C$4="(TODOS)",SUMIFS(PPTO_GENERADOR!$E$4:$E$220,PPTO_GENERADOR!$Q$4:$Q$220,A516),SUMIFS(PPTO_GENERADOR!$E$4:$E$220,PPTO_GENERADOR!$Q$4:$Q$220,A516,PPTO_GENERADOR!$B$4:$B$220,PLAN_ETAPA!$C$4))</f>
        <v>0</v>
      </c>
      <c r="M516" s="216">
        <f>IFERROR(VLOOKUP(A516,PARTIDAS!$A$2:$F$269,6,FALSE()),1)</f>
        <v>36</v>
      </c>
      <c r="N516" s="216">
        <f>IFERROR(VLOOKUP(A516,PARTIDAS!$A$2:$I$269,9,FALSE()),1)</f>
        <v>1</v>
      </c>
      <c r="O516" s="217">
        <f t="shared" si="16"/>
        <v>0</v>
      </c>
      <c r="P516" s="216">
        <f>IF(O516=0,0,IF(B516="MAT",G516*(1+H516)*L516*PLAN_ETAPA!$C$5,IF(B516="MO",IF(M516=0,0,G516*L516*PLAN_ETAPA!$C$5*N516/M516),IF(B516="EQ",IF(M516=0,0,G516*L516*PLAN_ETAPA!$C$5/M516),0))))</f>
        <v>0</v>
      </c>
      <c r="Q516" s="218">
        <f t="shared" si="17"/>
        <v>0</v>
      </c>
    </row>
    <row r="517" spans="1:17" x14ac:dyDescent="0.35">
      <c r="A517" s="212" t="str">
        <f>COMPOSICIÓN!A517</f>
        <v>HOR-123</v>
      </c>
      <c r="B517" s="212" t="str">
        <f>COMPOSICIÓN!B517</f>
        <v>MAT</v>
      </c>
      <c r="C517" s="212" t="str">
        <f>COMPOSICIÓN!C517</f>
        <v>OTR</v>
      </c>
      <c r="D517" s="212" t="str">
        <f>COMPOSICIÓN!D517</f>
        <v>MAD-003</v>
      </c>
      <c r="E517" s="212" t="str">
        <f>COMPOSICIÓN!E517</f>
        <v>Barrotes</v>
      </c>
      <c r="F517" s="212" t="str">
        <f>COMPOSICIÓN!F517</f>
        <v>ml</v>
      </c>
      <c r="G517" s="213">
        <f>COMPOSICIÓN!G517</f>
        <v>32</v>
      </c>
      <c r="H517" s="214">
        <f>COMPOSICIÓN!H517</f>
        <v>1E-3</v>
      </c>
      <c r="I517" s="215">
        <f>COMPOSICIÓN!I517</f>
        <v>3148.86</v>
      </c>
      <c r="J517" s="212" t="str">
        <f>IFERROR(VLOOKUP(A517,PARTIDAS!$A$2:$C$269,3,FALSE()),"")</f>
        <v>ESTRUCTURA DE HORMIGÓN ARMADO</v>
      </c>
      <c r="K517" s="212" t="str">
        <f>IFERROR(INDEX(PPTO_GENERADOR!$B$4:$B$220,MATCH(A517,PPTO_GENERADOR!$Q$4:$Q$220,0)),"")</f>
        <v/>
      </c>
      <c r="L517" s="216">
        <f>IF(PLAN_ETAPA!$C$4="(TODOS)",SUMIFS(PPTO_GENERADOR!$E$4:$E$220,PPTO_GENERADOR!$Q$4:$Q$220,A517),SUMIFS(PPTO_GENERADOR!$E$4:$E$220,PPTO_GENERADOR!$Q$4:$Q$220,A517,PPTO_GENERADOR!$B$4:$B$220,PLAN_ETAPA!$C$4))</f>
        <v>0</v>
      </c>
      <c r="M517" s="216">
        <f>IFERROR(VLOOKUP(A517,PARTIDAS!$A$2:$F$269,6,FALSE()),1)</f>
        <v>12</v>
      </c>
      <c r="N517" s="216">
        <f>IFERROR(VLOOKUP(A517,PARTIDAS!$A$2:$I$269,9,FALSE()),1)</f>
        <v>1</v>
      </c>
      <c r="O517" s="217">
        <f t="shared" si="16"/>
        <v>0</v>
      </c>
      <c r="P517" s="216">
        <f>IF(O517=0,0,IF(B517="MAT",G517*(1+H517)*L517*PLAN_ETAPA!$C$5,IF(B517="MO",IF(M517=0,0,G517*L517*PLAN_ETAPA!$C$5*N517/M517),IF(B517="EQ",IF(M517=0,0,G517*L517*PLAN_ETAPA!$C$5/M517),0))))</f>
        <v>0</v>
      </c>
      <c r="Q517" s="218">
        <f t="shared" si="17"/>
        <v>0</v>
      </c>
    </row>
    <row r="518" spans="1:17" x14ac:dyDescent="0.35">
      <c r="A518" s="212" t="str">
        <f>COMPOSICIÓN!A518</f>
        <v>HOR-123</v>
      </c>
      <c r="B518" s="212" t="str">
        <f>COMPOSICIÓN!B518</f>
        <v>MAT</v>
      </c>
      <c r="C518" s="212" t="str">
        <f>COMPOSICIÓN!C518</f>
        <v>OTR</v>
      </c>
      <c r="D518" s="212" t="str">
        <f>COMPOSICIÓN!D518</f>
        <v>MAD-004</v>
      </c>
      <c r="E518" s="212" t="str">
        <f>COMPOSICIÓN!E518</f>
        <v>Estacas</v>
      </c>
      <c r="F518" s="212" t="str">
        <f>COMPOSICIÓN!F518</f>
        <v>u</v>
      </c>
      <c r="G518" s="213">
        <f>COMPOSICIÓN!G518</f>
        <v>16</v>
      </c>
      <c r="H518" s="214">
        <f>COMPOSICIÓN!H518</f>
        <v>1E-3</v>
      </c>
      <c r="I518" s="215">
        <f>COMPOSICIÓN!I518</f>
        <v>1180.82</v>
      </c>
      <c r="J518" s="212" t="str">
        <f>IFERROR(VLOOKUP(A518,PARTIDAS!$A$2:$C$269,3,FALSE()),"")</f>
        <v>ESTRUCTURA DE HORMIGÓN ARMADO</v>
      </c>
      <c r="K518" s="212" t="str">
        <f>IFERROR(INDEX(PPTO_GENERADOR!$B$4:$B$220,MATCH(A518,PPTO_GENERADOR!$Q$4:$Q$220,0)),"")</f>
        <v/>
      </c>
      <c r="L518" s="216">
        <f>IF(PLAN_ETAPA!$C$4="(TODOS)",SUMIFS(PPTO_GENERADOR!$E$4:$E$220,PPTO_GENERADOR!$Q$4:$Q$220,A518),SUMIFS(PPTO_GENERADOR!$E$4:$E$220,PPTO_GENERADOR!$Q$4:$Q$220,A518,PPTO_GENERADOR!$B$4:$B$220,PLAN_ETAPA!$C$4))</f>
        <v>0</v>
      </c>
      <c r="M518" s="216">
        <f>IFERROR(VLOOKUP(A518,PARTIDAS!$A$2:$F$269,6,FALSE()),1)</f>
        <v>12</v>
      </c>
      <c r="N518" s="216">
        <f>IFERROR(VLOOKUP(A518,PARTIDAS!$A$2:$I$269,9,FALSE()),1)</f>
        <v>1</v>
      </c>
      <c r="O518" s="217">
        <f t="shared" si="16"/>
        <v>0</v>
      </c>
      <c r="P518" s="216">
        <f>IF(O518=0,0,IF(B518="MAT",G518*(1+H518)*L518*PLAN_ETAPA!$C$5,IF(B518="MO",IF(M518=0,0,G518*L518*PLAN_ETAPA!$C$5*N518/M518),IF(B518="EQ",IF(M518=0,0,G518*L518*PLAN_ETAPA!$C$5/M518),0))))</f>
        <v>0</v>
      </c>
      <c r="Q518" s="218">
        <f t="shared" si="17"/>
        <v>0</v>
      </c>
    </row>
    <row r="519" spans="1:17" x14ac:dyDescent="0.35">
      <c r="A519" s="212" t="str">
        <f>COMPOSICIÓN!A519</f>
        <v>HOR-123</v>
      </c>
      <c r="B519" s="212" t="str">
        <f>COMPOSICIÓN!B519</f>
        <v>MAT</v>
      </c>
      <c r="C519" s="212" t="str">
        <f>COMPOSICIÓN!C519</f>
        <v>OTR</v>
      </c>
      <c r="D519" s="212" t="str">
        <f>COMPOSICIÓN!D519</f>
        <v>MAD-005</v>
      </c>
      <c r="E519" s="212" t="str">
        <f>COMPOSICIÓN!E519</f>
        <v>Fenólico común e: 18 mm</v>
      </c>
      <c r="F519" s="212" t="str">
        <f>COMPOSICIÓN!F519</f>
        <v>m2</v>
      </c>
      <c r="G519" s="213">
        <f>COMPOSICIÓN!G519</f>
        <v>6</v>
      </c>
      <c r="H519" s="214">
        <f>COMPOSICIÓN!H519</f>
        <v>1E-3</v>
      </c>
      <c r="I519" s="215">
        <f>COMPOSICIÓN!I519</f>
        <v>19680.39</v>
      </c>
      <c r="J519" s="212" t="str">
        <f>IFERROR(VLOOKUP(A519,PARTIDAS!$A$2:$C$269,3,FALSE()),"")</f>
        <v>ESTRUCTURA DE HORMIGÓN ARMADO</v>
      </c>
      <c r="K519" s="212" t="str">
        <f>IFERROR(INDEX(PPTO_GENERADOR!$B$4:$B$220,MATCH(A519,PPTO_GENERADOR!$Q$4:$Q$220,0)),"")</f>
        <v/>
      </c>
      <c r="L519" s="216">
        <f>IF(PLAN_ETAPA!$C$4="(TODOS)",SUMIFS(PPTO_GENERADOR!$E$4:$E$220,PPTO_GENERADOR!$Q$4:$Q$220,A519),SUMIFS(PPTO_GENERADOR!$E$4:$E$220,PPTO_GENERADOR!$Q$4:$Q$220,A519,PPTO_GENERADOR!$B$4:$B$220,PLAN_ETAPA!$C$4))</f>
        <v>0</v>
      </c>
      <c r="M519" s="216">
        <f>IFERROR(VLOOKUP(A519,PARTIDAS!$A$2:$F$269,6,FALSE()),1)</f>
        <v>12</v>
      </c>
      <c r="N519" s="216">
        <f>IFERROR(VLOOKUP(A519,PARTIDAS!$A$2:$I$269,9,FALSE()),1)</f>
        <v>1</v>
      </c>
      <c r="O519" s="217">
        <f t="shared" si="16"/>
        <v>0</v>
      </c>
      <c r="P519" s="216">
        <f>IF(O519=0,0,IF(B519="MAT",G519*(1+H519)*L519*PLAN_ETAPA!$C$5,IF(B519="MO",IF(M519=0,0,G519*L519*PLAN_ETAPA!$C$5*N519/M519),IF(B519="EQ",IF(M519=0,0,G519*L519*PLAN_ETAPA!$C$5/M519),0))))</f>
        <v>0</v>
      </c>
      <c r="Q519" s="218">
        <f t="shared" si="17"/>
        <v>0</v>
      </c>
    </row>
    <row r="520" spans="1:17" x14ac:dyDescent="0.35">
      <c r="A520" s="212" t="str">
        <f>COMPOSICIÓN!A520</f>
        <v>HOR-123</v>
      </c>
      <c r="B520" s="212" t="str">
        <f>COMPOSICIÓN!B520</f>
        <v>MAT</v>
      </c>
      <c r="C520" s="212" t="str">
        <f>COMPOSICIÓN!C520</f>
        <v>OTR</v>
      </c>
      <c r="D520" s="212" t="str">
        <f>COMPOSICIÓN!D520</f>
        <v>MAD-007</v>
      </c>
      <c r="E520" s="212" t="str">
        <f>COMPOSICIÓN!E520</f>
        <v>Pie derecho saligna bruto</v>
      </c>
      <c r="F520" s="212" t="str">
        <f>COMPOSICIÓN!F520</f>
        <v>ml</v>
      </c>
      <c r="G520" s="213">
        <f>COMPOSICIÓN!G520</f>
        <v>16</v>
      </c>
      <c r="H520" s="214">
        <f>COMPOSICIÓN!H520</f>
        <v>1E-3</v>
      </c>
      <c r="I520" s="215">
        <f>COMPOSICIÓN!I520</f>
        <v>3936.08</v>
      </c>
      <c r="J520" s="212" t="str">
        <f>IFERROR(VLOOKUP(A520,PARTIDAS!$A$2:$C$269,3,FALSE()),"")</f>
        <v>ESTRUCTURA DE HORMIGÓN ARMADO</v>
      </c>
      <c r="K520" s="212" t="str">
        <f>IFERROR(INDEX(PPTO_GENERADOR!$B$4:$B$220,MATCH(A520,PPTO_GENERADOR!$Q$4:$Q$220,0)),"")</f>
        <v/>
      </c>
      <c r="L520" s="216">
        <f>IF(PLAN_ETAPA!$C$4="(TODOS)",SUMIFS(PPTO_GENERADOR!$E$4:$E$220,PPTO_GENERADOR!$Q$4:$Q$220,A520),SUMIFS(PPTO_GENERADOR!$E$4:$E$220,PPTO_GENERADOR!$Q$4:$Q$220,A520,PPTO_GENERADOR!$B$4:$B$220,PLAN_ETAPA!$C$4))</f>
        <v>0</v>
      </c>
      <c r="M520" s="216">
        <f>IFERROR(VLOOKUP(A520,PARTIDAS!$A$2:$F$269,6,FALSE()),1)</f>
        <v>12</v>
      </c>
      <c r="N520" s="216">
        <f>IFERROR(VLOOKUP(A520,PARTIDAS!$A$2:$I$269,9,FALSE()),1)</f>
        <v>1</v>
      </c>
      <c r="O520" s="217">
        <f t="shared" si="16"/>
        <v>0</v>
      </c>
      <c r="P520" s="216">
        <f>IF(O520=0,0,IF(B520="MAT",G520*(1+H520)*L520*PLAN_ETAPA!$C$5,IF(B520="MO",IF(M520=0,0,G520*L520*PLAN_ETAPA!$C$5*N520/M520),IF(B520="EQ",IF(M520=0,0,G520*L520*PLAN_ETAPA!$C$5/M520),0))))</f>
        <v>0</v>
      </c>
      <c r="Q520" s="218">
        <f t="shared" si="17"/>
        <v>0</v>
      </c>
    </row>
    <row r="521" spans="1:17" x14ac:dyDescent="0.35">
      <c r="A521" s="212" t="str">
        <f>COMPOSICIÓN!A521</f>
        <v>HOR-123</v>
      </c>
      <c r="B521" s="212" t="str">
        <f>COMPOSICIÓN!B521</f>
        <v>MAT</v>
      </c>
      <c r="C521" s="212" t="str">
        <f>COMPOSICIÓN!C521</f>
        <v>OTR</v>
      </c>
      <c r="D521" s="212" t="str">
        <f>COMPOSICIÓN!D521</f>
        <v>OTR-035</v>
      </c>
      <c r="E521" s="212" t="str">
        <f>COMPOSICIÓN!E521</f>
        <v>Hormigon Elaborado H30</v>
      </c>
      <c r="F521" s="212" t="str">
        <f>COMPOSICIÓN!F521</f>
        <v>m3</v>
      </c>
      <c r="G521" s="213">
        <f>COMPOSICIÓN!G521</f>
        <v>1</v>
      </c>
      <c r="H521" s="214">
        <f>COMPOSICIÓN!H521</f>
        <v>1E-3</v>
      </c>
      <c r="I521" s="215">
        <f>COMPOSICIÓN!I521</f>
        <v>137000</v>
      </c>
      <c r="J521" s="212" t="str">
        <f>IFERROR(VLOOKUP(A521,PARTIDAS!$A$2:$C$269,3,FALSE()),"")</f>
        <v>ESTRUCTURA DE HORMIGÓN ARMADO</v>
      </c>
      <c r="K521" s="212" t="str">
        <f>IFERROR(INDEX(PPTO_GENERADOR!$B$4:$B$220,MATCH(A521,PPTO_GENERADOR!$Q$4:$Q$220,0)),"")</f>
        <v/>
      </c>
      <c r="L521" s="216">
        <f>IF(PLAN_ETAPA!$C$4="(TODOS)",SUMIFS(PPTO_GENERADOR!$E$4:$E$220,PPTO_GENERADOR!$Q$4:$Q$220,A521),SUMIFS(PPTO_GENERADOR!$E$4:$E$220,PPTO_GENERADOR!$Q$4:$Q$220,A521,PPTO_GENERADOR!$B$4:$B$220,PLAN_ETAPA!$C$4))</f>
        <v>0</v>
      </c>
      <c r="M521" s="216">
        <f>IFERROR(VLOOKUP(A521,PARTIDAS!$A$2:$F$269,6,FALSE()),1)</f>
        <v>12</v>
      </c>
      <c r="N521" s="216">
        <f>IFERROR(VLOOKUP(A521,PARTIDAS!$A$2:$I$269,9,FALSE()),1)</f>
        <v>1</v>
      </c>
      <c r="O521" s="217">
        <f t="shared" si="16"/>
        <v>0</v>
      </c>
      <c r="P521" s="216">
        <f>IF(O521=0,0,IF(B521="MAT",G521*(1+H521)*L521*PLAN_ETAPA!$C$5,IF(B521="MO",IF(M521=0,0,G521*L521*PLAN_ETAPA!$C$5*N521/M521),IF(B521="EQ",IF(M521=0,0,G521*L521*PLAN_ETAPA!$C$5/M521),0))))</f>
        <v>0</v>
      </c>
      <c r="Q521" s="218">
        <f t="shared" si="17"/>
        <v>0</v>
      </c>
    </row>
    <row r="522" spans="1:17" x14ac:dyDescent="0.35">
      <c r="A522" s="212" t="str">
        <f>COMPOSICIÓN!A522</f>
        <v>HOR-123</v>
      </c>
      <c r="B522" s="212" t="str">
        <f>COMPOSICIÓN!B522</f>
        <v>MO</v>
      </c>
      <c r="C522" s="212" t="str">
        <f>COMPOSICIÓN!C522</f>
        <v>ALB</v>
      </c>
      <c r="D522" s="212" t="str">
        <f>COMPOSICIÓN!D522</f>
        <v>MO-EAYUD</v>
      </c>
      <c r="E522" s="212" t="str">
        <f>COMPOSICIÓN!E522</f>
        <v>AYUDANTE</v>
      </c>
      <c r="F522" s="212" t="str">
        <f>COMPOSICIÓN!F522</f>
        <v>j</v>
      </c>
      <c r="G522" s="213">
        <f>COMPOSICIÓN!G522</f>
        <v>0.75</v>
      </c>
      <c r="H522" s="214">
        <f>COMPOSICIÓN!H522</f>
        <v>0</v>
      </c>
      <c r="I522" s="215">
        <f>COMPOSICIÓN!I522</f>
        <v>60860.580776572002</v>
      </c>
      <c r="J522" s="212" t="str">
        <f>IFERROR(VLOOKUP(A522,PARTIDAS!$A$2:$C$269,3,FALSE()),"")</f>
        <v>ESTRUCTURA DE HORMIGÓN ARMADO</v>
      </c>
      <c r="K522" s="212" t="str">
        <f>IFERROR(INDEX(PPTO_GENERADOR!$B$4:$B$220,MATCH(A522,PPTO_GENERADOR!$Q$4:$Q$220,0)),"")</f>
        <v/>
      </c>
      <c r="L522" s="216">
        <f>IF(PLAN_ETAPA!$C$4="(TODOS)",SUMIFS(PPTO_GENERADOR!$E$4:$E$220,PPTO_GENERADOR!$Q$4:$Q$220,A522),SUMIFS(PPTO_GENERADOR!$E$4:$E$220,PPTO_GENERADOR!$Q$4:$Q$220,A522,PPTO_GENERADOR!$B$4:$B$220,PLAN_ETAPA!$C$4))</f>
        <v>0</v>
      </c>
      <c r="M522" s="216">
        <f>IFERROR(VLOOKUP(A522,PARTIDAS!$A$2:$F$269,6,FALSE()),1)</f>
        <v>12</v>
      </c>
      <c r="N522" s="216">
        <f>IFERROR(VLOOKUP(A522,PARTIDAS!$A$2:$I$269,9,FALSE()),1)</f>
        <v>1</v>
      </c>
      <c r="O522" s="217">
        <f t="shared" si="16"/>
        <v>0</v>
      </c>
      <c r="P522" s="216">
        <f>IF(O522=0,0,IF(B522="MAT",G522*(1+H522)*L522*PLAN_ETAPA!$C$5,IF(B522="MO",IF(M522=0,0,G522*L522*PLAN_ETAPA!$C$5*N522/M522),IF(B522="EQ",IF(M522=0,0,G522*L522*PLAN_ETAPA!$C$5/M522),0))))</f>
        <v>0</v>
      </c>
      <c r="Q522" s="218">
        <f t="shared" si="17"/>
        <v>0</v>
      </c>
    </row>
    <row r="523" spans="1:17" x14ac:dyDescent="0.35">
      <c r="A523" s="212" t="str">
        <f>COMPOSICIÓN!A523</f>
        <v>HOR-123</v>
      </c>
      <c r="B523" s="212" t="str">
        <f>COMPOSICIÓN!B523</f>
        <v>MO</v>
      </c>
      <c r="C523" s="212" t="str">
        <f>COMPOSICIÓN!C523</f>
        <v>ALB</v>
      </c>
      <c r="D523" s="212" t="str">
        <f>COMPOSICIÓN!D523</f>
        <v>MO-EESPE</v>
      </c>
      <c r="E523" s="212" t="str">
        <f>COMPOSICIÓN!E523</f>
        <v>ESPECIALIZADO</v>
      </c>
      <c r="F523" s="212" t="str">
        <f>COMPOSICIÓN!F523</f>
        <v>j</v>
      </c>
      <c r="G523" s="213">
        <f>COMPOSICIÓN!G523</f>
        <v>1</v>
      </c>
      <c r="H523" s="214">
        <f>COMPOSICIÓN!H523</f>
        <v>0</v>
      </c>
      <c r="I523" s="215">
        <f>COMPOSICIÓN!I523</f>
        <v>85927.097156571996</v>
      </c>
      <c r="J523" s="212" t="str">
        <f>IFERROR(VLOOKUP(A523,PARTIDAS!$A$2:$C$269,3,FALSE()),"")</f>
        <v>ESTRUCTURA DE HORMIGÓN ARMADO</v>
      </c>
      <c r="K523" s="212" t="str">
        <f>IFERROR(INDEX(PPTO_GENERADOR!$B$4:$B$220,MATCH(A523,PPTO_GENERADOR!$Q$4:$Q$220,0)),"")</f>
        <v/>
      </c>
      <c r="L523" s="216">
        <f>IF(PLAN_ETAPA!$C$4="(TODOS)",SUMIFS(PPTO_GENERADOR!$E$4:$E$220,PPTO_GENERADOR!$Q$4:$Q$220,A523),SUMIFS(PPTO_GENERADOR!$E$4:$E$220,PPTO_GENERADOR!$Q$4:$Q$220,A523,PPTO_GENERADOR!$B$4:$B$220,PLAN_ETAPA!$C$4))</f>
        <v>0</v>
      </c>
      <c r="M523" s="216">
        <f>IFERROR(VLOOKUP(A523,PARTIDAS!$A$2:$F$269,6,FALSE()),1)</f>
        <v>12</v>
      </c>
      <c r="N523" s="216">
        <f>IFERROR(VLOOKUP(A523,PARTIDAS!$A$2:$I$269,9,FALSE()),1)</f>
        <v>1</v>
      </c>
      <c r="O523" s="217">
        <f t="shared" si="16"/>
        <v>0</v>
      </c>
      <c r="P523" s="216">
        <f>IF(O523=0,0,IF(B523="MAT",G523*(1+H523)*L523*PLAN_ETAPA!$C$5,IF(B523="MO",IF(M523=0,0,G523*L523*PLAN_ETAPA!$C$5*N523/M523),IF(B523="EQ",IF(M523=0,0,G523*L523*PLAN_ETAPA!$C$5/M523),0))))</f>
        <v>0</v>
      </c>
      <c r="Q523" s="218">
        <f t="shared" si="17"/>
        <v>0</v>
      </c>
    </row>
    <row r="524" spans="1:17" x14ac:dyDescent="0.35">
      <c r="A524" s="212" t="str">
        <f>COMPOSICIÓN!A524</f>
        <v>HOR-124</v>
      </c>
      <c r="B524" s="212" t="str">
        <f>COMPOSICIÓN!B524</f>
        <v>MAT</v>
      </c>
      <c r="C524" s="212" t="str">
        <f>COMPOSICIÓN!C524</f>
        <v>OTR</v>
      </c>
      <c r="D524" s="212" t="str">
        <f>COMPOSICIÓN!D524</f>
        <v>MAD-003</v>
      </c>
      <c r="E524" s="212" t="str">
        <f>COMPOSICIÓN!E524</f>
        <v>Barrotes</v>
      </c>
      <c r="F524" s="212" t="str">
        <f>COMPOSICIÓN!F524</f>
        <v>ml</v>
      </c>
      <c r="G524" s="213">
        <f>COMPOSICIÓN!G524</f>
        <v>32</v>
      </c>
      <c r="H524" s="214">
        <f>COMPOSICIÓN!H524</f>
        <v>1E-3</v>
      </c>
      <c r="I524" s="215">
        <f>COMPOSICIÓN!I524</f>
        <v>3148.86</v>
      </c>
      <c r="J524" s="212" t="str">
        <f>IFERROR(VLOOKUP(A524,PARTIDAS!$A$2:$C$269,3,FALSE()),"")</f>
        <v>ESTRUCTURA DE HORMIGÓN ARMADO</v>
      </c>
      <c r="K524" s="212" t="str">
        <f>IFERROR(INDEX(PPTO_GENERADOR!$B$4:$B$220,MATCH(A524,PPTO_GENERADOR!$Q$4:$Q$220,0)),"")</f>
        <v/>
      </c>
      <c r="L524" s="216">
        <f>IF(PLAN_ETAPA!$C$4="(TODOS)",SUMIFS(PPTO_GENERADOR!$E$4:$E$220,PPTO_GENERADOR!$Q$4:$Q$220,A524),SUMIFS(PPTO_GENERADOR!$E$4:$E$220,PPTO_GENERADOR!$Q$4:$Q$220,A524,PPTO_GENERADOR!$B$4:$B$220,PLAN_ETAPA!$C$4))</f>
        <v>0</v>
      </c>
      <c r="M524" s="216">
        <f>IFERROR(VLOOKUP(A524,PARTIDAS!$A$2:$F$269,6,FALSE()),1)</f>
        <v>12</v>
      </c>
      <c r="N524" s="216">
        <f>IFERROR(VLOOKUP(A524,PARTIDAS!$A$2:$I$269,9,FALSE()),1)</f>
        <v>1</v>
      </c>
      <c r="O524" s="217">
        <f t="shared" si="16"/>
        <v>0</v>
      </c>
      <c r="P524" s="216">
        <f>IF(O524=0,0,IF(B524="MAT",G524*(1+H524)*L524*PLAN_ETAPA!$C$5,IF(B524="MO",IF(M524=0,0,G524*L524*PLAN_ETAPA!$C$5*N524/M524),IF(B524="EQ",IF(M524=0,0,G524*L524*PLAN_ETAPA!$C$5/M524),0))))</f>
        <v>0</v>
      </c>
      <c r="Q524" s="218">
        <f t="shared" si="17"/>
        <v>0</v>
      </c>
    </row>
    <row r="525" spans="1:17" x14ac:dyDescent="0.35">
      <c r="A525" s="212" t="str">
        <f>COMPOSICIÓN!A525</f>
        <v>HOR-124</v>
      </c>
      <c r="B525" s="212" t="str">
        <f>COMPOSICIÓN!B525</f>
        <v>MAT</v>
      </c>
      <c r="C525" s="212" t="str">
        <f>COMPOSICIÓN!C525</f>
        <v>OTR</v>
      </c>
      <c r="D525" s="212" t="str">
        <f>COMPOSICIÓN!D525</f>
        <v>MAD-004</v>
      </c>
      <c r="E525" s="212" t="str">
        <f>COMPOSICIÓN!E525</f>
        <v>Estacas</v>
      </c>
      <c r="F525" s="212" t="str">
        <f>COMPOSICIÓN!F525</f>
        <v>u</v>
      </c>
      <c r="G525" s="213">
        <f>COMPOSICIÓN!G525</f>
        <v>16</v>
      </c>
      <c r="H525" s="214">
        <f>COMPOSICIÓN!H525</f>
        <v>1E-3</v>
      </c>
      <c r="I525" s="215">
        <f>COMPOSICIÓN!I525</f>
        <v>1180.82</v>
      </c>
      <c r="J525" s="212" t="str">
        <f>IFERROR(VLOOKUP(A525,PARTIDAS!$A$2:$C$269,3,FALSE()),"")</f>
        <v>ESTRUCTURA DE HORMIGÓN ARMADO</v>
      </c>
      <c r="K525" s="212" t="str">
        <f>IFERROR(INDEX(PPTO_GENERADOR!$B$4:$B$220,MATCH(A525,PPTO_GENERADOR!$Q$4:$Q$220,0)),"")</f>
        <v/>
      </c>
      <c r="L525" s="216">
        <f>IF(PLAN_ETAPA!$C$4="(TODOS)",SUMIFS(PPTO_GENERADOR!$E$4:$E$220,PPTO_GENERADOR!$Q$4:$Q$220,A525),SUMIFS(PPTO_GENERADOR!$E$4:$E$220,PPTO_GENERADOR!$Q$4:$Q$220,A525,PPTO_GENERADOR!$B$4:$B$220,PLAN_ETAPA!$C$4))</f>
        <v>0</v>
      </c>
      <c r="M525" s="216">
        <f>IFERROR(VLOOKUP(A525,PARTIDAS!$A$2:$F$269,6,FALSE()),1)</f>
        <v>12</v>
      </c>
      <c r="N525" s="216">
        <f>IFERROR(VLOOKUP(A525,PARTIDAS!$A$2:$I$269,9,FALSE()),1)</f>
        <v>1</v>
      </c>
      <c r="O525" s="217">
        <f t="shared" si="16"/>
        <v>0</v>
      </c>
      <c r="P525" s="216">
        <f>IF(O525=0,0,IF(B525="MAT",G525*(1+H525)*L525*PLAN_ETAPA!$C$5,IF(B525="MO",IF(M525=0,0,G525*L525*PLAN_ETAPA!$C$5*N525/M525),IF(B525="EQ",IF(M525=0,0,G525*L525*PLAN_ETAPA!$C$5/M525),0))))</f>
        <v>0</v>
      </c>
      <c r="Q525" s="218">
        <f t="shared" si="17"/>
        <v>0</v>
      </c>
    </row>
    <row r="526" spans="1:17" x14ac:dyDescent="0.35">
      <c r="A526" s="212" t="str">
        <f>COMPOSICIÓN!A526</f>
        <v>HOR-124</v>
      </c>
      <c r="B526" s="212" t="str">
        <f>COMPOSICIÓN!B526</f>
        <v>MAT</v>
      </c>
      <c r="C526" s="212" t="str">
        <f>COMPOSICIÓN!C526</f>
        <v>OTR</v>
      </c>
      <c r="D526" s="212" t="str">
        <f>COMPOSICIÓN!D526</f>
        <v>MAD-006</v>
      </c>
      <c r="E526" s="212" t="str">
        <f>COMPOSICIÓN!E526</f>
        <v>Fenólico visto e: 18 mm</v>
      </c>
      <c r="F526" s="212" t="str">
        <f>COMPOSICIÓN!F526</f>
        <v>m2</v>
      </c>
      <c r="G526" s="213">
        <f>COMPOSICIÓN!G526</f>
        <v>6</v>
      </c>
      <c r="H526" s="214">
        <f>COMPOSICIÓN!H526</f>
        <v>1E-3</v>
      </c>
      <c r="I526" s="215">
        <f>COMPOSICIÓN!I526</f>
        <v>27552.55</v>
      </c>
      <c r="J526" s="212" t="str">
        <f>IFERROR(VLOOKUP(A526,PARTIDAS!$A$2:$C$269,3,FALSE()),"")</f>
        <v>ESTRUCTURA DE HORMIGÓN ARMADO</v>
      </c>
      <c r="K526" s="212" t="str">
        <f>IFERROR(INDEX(PPTO_GENERADOR!$B$4:$B$220,MATCH(A526,PPTO_GENERADOR!$Q$4:$Q$220,0)),"")</f>
        <v/>
      </c>
      <c r="L526" s="216">
        <f>IF(PLAN_ETAPA!$C$4="(TODOS)",SUMIFS(PPTO_GENERADOR!$E$4:$E$220,PPTO_GENERADOR!$Q$4:$Q$220,A526),SUMIFS(PPTO_GENERADOR!$E$4:$E$220,PPTO_GENERADOR!$Q$4:$Q$220,A526,PPTO_GENERADOR!$B$4:$B$220,PLAN_ETAPA!$C$4))</f>
        <v>0</v>
      </c>
      <c r="M526" s="216">
        <f>IFERROR(VLOOKUP(A526,PARTIDAS!$A$2:$F$269,6,FALSE()),1)</f>
        <v>12</v>
      </c>
      <c r="N526" s="216">
        <f>IFERROR(VLOOKUP(A526,PARTIDAS!$A$2:$I$269,9,FALSE()),1)</f>
        <v>1</v>
      </c>
      <c r="O526" s="217">
        <f t="shared" si="16"/>
        <v>0</v>
      </c>
      <c r="P526" s="216">
        <f>IF(O526=0,0,IF(B526="MAT",G526*(1+H526)*L526*PLAN_ETAPA!$C$5,IF(B526="MO",IF(M526=0,0,G526*L526*PLAN_ETAPA!$C$5*N526/M526),IF(B526="EQ",IF(M526=0,0,G526*L526*PLAN_ETAPA!$C$5/M526),0))))</f>
        <v>0</v>
      </c>
      <c r="Q526" s="218">
        <f t="shared" si="17"/>
        <v>0</v>
      </c>
    </row>
    <row r="527" spans="1:17" x14ac:dyDescent="0.35">
      <c r="A527" s="212" t="str">
        <f>COMPOSICIÓN!A527</f>
        <v>HOR-124</v>
      </c>
      <c r="B527" s="212" t="str">
        <f>COMPOSICIÓN!B527</f>
        <v>MAT</v>
      </c>
      <c r="C527" s="212" t="str">
        <f>COMPOSICIÓN!C527</f>
        <v>OTR</v>
      </c>
      <c r="D527" s="212" t="str">
        <f>COMPOSICIÓN!D527</f>
        <v>MAD-007</v>
      </c>
      <c r="E527" s="212" t="str">
        <f>COMPOSICIÓN!E527</f>
        <v>Pie derecho saligna bruto</v>
      </c>
      <c r="F527" s="212" t="str">
        <f>COMPOSICIÓN!F527</f>
        <v>ml</v>
      </c>
      <c r="G527" s="213">
        <f>COMPOSICIÓN!G527</f>
        <v>16</v>
      </c>
      <c r="H527" s="214">
        <f>COMPOSICIÓN!H527</f>
        <v>1E-3</v>
      </c>
      <c r="I527" s="215">
        <f>COMPOSICIÓN!I527</f>
        <v>3936.08</v>
      </c>
      <c r="J527" s="212" t="str">
        <f>IFERROR(VLOOKUP(A527,PARTIDAS!$A$2:$C$269,3,FALSE()),"")</f>
        <v>ESTRUCTURA DE HORMIGÓN ARMADO</v>
      </c>
      <c r="K527" s="212" t="str">
        <f>IFERROR(INDEX(PPTO_GENERADOR!$B$4:$B$220,MATCH(A527,PPTO_GENERADOR!$Q$4:$Q$220,0)),"")</f>
        <v/>
      </c>
      <c r="L527" s="216">
        <f>IF(PLAN_ETAPA!$C$4="(TODOS)",SUMIFS(PPTO_GENERADOR!$E$4:$E$220,PPTO_GENERADOR!$Q$4:$Q$220,A527),SUMIFS(PPTO_GENERADOR!$E$4:$E$220,PPTO_GENERADOR!$Q$4:$Q$220,A527,PPTO_GENERADOR!$B$4:$B$220,PLAN_ETAPA!$C$4))</f>
        <v>0</v>
      </c>
      <c r="M527" s="216">
        <f>IFERROR(VLOOKUP(A527,PARTIDAS!$A$2:$F$269,6,FALSE()),1)</f>
        <v>12</v>
      </c>
      <c r="N527" s="216">
        <f>IFERROR(VLOOKUP(A527,PARTIDAS!$A$2:$I$269,9,FALSE()),1)</f>
        <v>1</v>
      </c>
      <c r="O527" s="217">
        <f t="shared" si="16"/>
        <v>0</v>
      </c>
      <c r="P527" s="216">
        <f>IF(O527=0,0,IF(B527="MAT",G527*(1+H527)*L527*PLAN_ETAPA!$C$5,IF(B527="MO",IF(M527=0,0,G527*L527*PLAN_ETAPA!$C$5*N527/M527),IF(B527="EQ",IF(M527=0,0,G527*L527*PLAN_ETAPA!$C$5/M527),0))))</f>
        <v>0</v>
      </c>
      <c r="Q527" s="218">
        <f t="shared" si="17"/>
        <v>0</v>
      </c>
    </row>
    <row r="528" spans="1:17" x14ac:dyDescent="0.35">
      <c r="A528" s="212" t="str">
        <f>COMPOSICIÓN!A528</f>
        <v>HOR-124</v>
      </c>
      <c r="B528" s="212" t="str">
        <f>COMPOSICIÓN!B528</f>
        <v>MAT</v>
      </c>
      <c r="C528" s="212" t="str">
        <f>COMPOSICIÓN!C528</f>
        <v>OTR</v>
      </c>
      <c r="D528" s="212" t="str">
        <f>COMPOSICIÓN!D528</f>
        <v>OTR-035</v>
      </c>
      <c r="E528" s="212" t="str">
        <f>COMPOSICIÓN!E528</f>
        <v>Hormigon Elaborado H30</v>
      </c>
      <c r="F528" s="212" t="str">
        <f>COMPOSICIÓN!F528</f>
        <v>m3</v>
      </c>
      <c r="G528" s="213">
        <f>COMPOSICIÓN!G528</f>
        <v>1</v>
      </c>
      <c r="H528" s="214">
        <f>COMPOSICIÓN!H528</f>
        <v>0.05</v>
      </c>
      <c r="I528" s="215">
        <f>COMPOSICIÓN!I528</f>
        <v>137000</v>
      </c>
      <c r="J528" s="212" t="str">
        <f>IFERROR(VLOOKUP(A528,PARTIDAS!$A$2:$C$269,3,FALSE()),"")</f>
        <v>ESTRUCTURA DE HORMIGÓN ARMADO</v>
      </c>
      <c r="K528" s="212" t="str">
        <f>IFERROR(INDEX(PPTO_GENERADOR!$B$4:$B$220,MATCH(A528,PPTO_GENERADOR!$Q$4:$Q$220,0)),"")</f>
        <v/>
      </c>
      <c r="L528" s="216">
        <f>IF(PLAN_ETAPA!$C$4="(TODOS)",SUMIFS(PPTO_GENERADOR!$E$4:$E$220,PPTO_GENERADOR!$Q$4:$Q$220,A528),SUMIFS(PPTO_GENERADOR!$E$4:$E$220,PPTO_GENERADOR!$Q$4:$Q$220,A528,PPTO_GENERADOR!$B$4:$B$220,PLAN_ETAPA!$C$4))</f>
        <v>0</v>
      </c>
      <c r="M528" s="216">
        <f>IFERROR(VLOOKUP(A528,PARTIDAS!$A$2:$F$269,6,FALSE()),1)</f>
        <v>12</v>
      </c>
      <c r="N528" s="216">
        <f>IFERROR(VLOOKUP(A528,PARTIDAS!$A$2:$I$269,9,FALSE()),1)</f>
        <v>1</v>
      </c>
      <c r="O528" s="217">
        <f t="shared" si="16"/>
        <v>0</v>
      </c>
      <c r="P528" s="216">
        <f>IF(O528=0,0,IF(B528="MAT",G528*(1+H528)*L528*PLAN_ETAPA!$C$5,IF(B528="MO",IF(M528=0,0,G528*L528*PLAN_ETAPA!$C$5*N528/M528),IF(B528="EQ",IF(M528=0,0,G528*L528*PLAN_ETAPA!$C$5/M528),0))))</f>
        <v>0</v>
      </c>
      <c r="Q528" s="218">
        <f t="shared" si="17"/>
        <v>0</v>
      </c>
    </row>
    <row r="529" spans="1:17" x14ac:dyDescent="0.35">
      <c r="A529" s="212" t="str">
        <f>COMPOSICIÓN!A529</f>
        <v>HOR-124</v>
      </c>
      <c r="B529" s="212" t="str">
        <f>COMPOSICIÓN!B529</f>
        <v>MAT</v>
      </c>
      <c r="C529" s="212" t="str">
        <f>COMPOSICIÓN!C529</f>
        <v>OTR</v>
      </c>
      <c r="D529" s="212" t="str">
        <f>COMPOSICIÓN!D529</f>
        <v>OTR-037</v>
      </c>
      <c r="E529" s="212" t="str">
        <f>COMPOSICIÓN!E529</f>
        <v>Bombeo</v>
      </c>
      <c r="F529" s="212" t="str">
        <f>COMPOSICIÓN!F529</f>
        <v>m3</v>
      </c>
      <c r="G529" s="213">
        <f>COMPOSICIÓN!G529</f>
        <v>1</v>
      </c>
      <c r="H529" s="214">
        <f>COMPOSICIÓN!H529</f>
        <v>0.05</v>
      </c>
      <c r="I529" s="215">
        <f>COMPOSICIÓN!I529</f>
        <v>5330</v>
      </c>
      <c r="J529" s="212" t="str">
        <f>IFERROR(VLOOKUP(A529,PARTIDAS!$A$2:$C$269,3,FALSE()),"")</f>
        <v>ESTRUCTURA DE HORMIGÓN ARMADO</v>
      </c>
      <c r="K529" s="212" t="str">
        <f>IFERROR(INDEX(PPTO_GENERADOR!$B$4:$B$220,MATCH(A529,PPTO_GENERADOR!$Q$4:$Q$220,0)),"")</f>
        <v/>
      </c>
      <c r="L529" s="216">
        <f>IF(PLAN_ETAPA!$C$4="(TODOS)",SUMIFS(PPTO_GENERADOR!$E$4:$E$220,PPTO_GENERADOR!$Q$4:$Q$220,A529),SUMIFS(PPTO_GENERADOR!$E$4:$E$220,PPTO_GENERADOR!$Q$4:$Q$220,A529,PPTO_GENERADOR!$B$4:$B$220,PLAN_ETAPA!$C$4))</f>
        <v>0</v>
      </c>
      <c r="M529" s="216">
        <f>IFERROR(VLOOKUP(A529,PARTIDAS!$A$2:$F$269,6,FALSE()),1)</f>
        <v>12</v>
      </c>
      <c r="N529" s="216">
        <f>IFERROR(VLOOKUP(A529,PARTIDAS!$A$2:$I$269,9,FALSE()),1)</f>
        <v>1</v>
      </c>
      <c r="O529" s="217">
        <f t="shared" si="16"/>
        <v>0</v>
      </c>
      <c r="P529" s="216">
        <f>IF(O529=0,0,IF(B529="MAT",G529*(1+H529)*L529*PLAN_ETAPA!$C$5,IF(B529="MO",IF(M529=0,0,G529*L529*PLAN_ETAPA!$C$5*N529/M529),IF(B529="EQ",IF(M529=0,0,G529*L529*PLAN_ETAPA!$C$5/M529),0))))</f>
        <v>0</v>
      </c>
      <c r="Q529" s="218">
        <f t="shared" si="17"/>
        <v>0</v>
      </c>
    </row>
    <row r="530" spans="1:17" x14ac:dyDescent="0.35">
      <c r="A530" s="212" t="str">
        <f>COMPOSICIÓN!A530</f>
        <v>HOR-124</v>
      </c>
      <c r="B530" s="212" t="str">
        <f>COMPOSICIÓN!B530</f>
        <v>MO</v>
      </c>
      <c r="C530" s="212" t="str">
        <f>COMPOSICIÓN!C530</f>
        <v>ALB</v>
      </c>
      <c r="D530" s="212" t="str">
        <f>COMPOSICIÓN!D530</f>
        <v>MO-EAYUD</v>
      </c>
      <c r="E530" s="212" t="str">
        <f>COMPOSICIÓN!E530</f>
        <v>AYUDANTE</v>
      </c>
      <c r="F530" s="212" t="str">
        <f>COMPOSICIÓN!F530</f>
        <v>j</v>
      </c>
      <c r="G530" s="213">
        <f>COMPOSICIÓN!G530</f>
        <v>0.75</v>
      </c>
      <c r="H530" s="214">
        <f>COMPOSICIÓN!H530</f>
        <v>0</v>
      </c>
      <c r="I530" s="215">
        <f>COMPOSICIÓN!I530</f>
        <v>60860.580776572002</v>
      </c>
      <c r="J530" s="212" t="str">
        <f>IFERROR(VLOOKUP(A530,PARTIDAS!$A$2:$C$269,3,FALSE()),"")</f>
        <v>ESTRUCTURA DE HORMIGÓN ARMADO</v>
      </c>
      <c r="K530" s="212" t="str">
        <f>IFERROR(INDEX(PPTO_GENERADOR!$B$4:$B$220,MATCH(A530,PPTO_GENERADOR!$Q$4:$Q$220,0)),"")</f>
        <v/>
      </c>
      <c r="L530" s="216">
        <f>IF(PLAN_ETAPA!$C$4="(TODOS)",SUMIFS(PPTO_GENERADOR!$E$4:$E$220,PPTO_GENERADOR!$Q$4:$Q$220,A530),SUMIFS(PPTO_GENERADOR!$E$4:$E$220,PPTO_GENERADOR!$Q$4:$Q$220,A530,PPTO_GENERADOR!$B$4:$B$220,PLAN_ETAPA!$C$4))</f>
        <v>0</v>
      </c>
      <c r="M530" s="216">
        <f>IFERROR(VLOOKUP(A530,PARTIDAS!$A$2:$F$269,6,FALSE()),1)</f>
        <v>12</v>
      </c>
      <c r="N530" s="216">
        <f>IFERROR(VLOOKUP(A530,PARTIDAS!$A$2:$I$269,9,FALSE()),1)</f>
        <v>1</v>
      </c>
      <c r="O530" s="217">
        <f t="shared" si="16"/>
        <v>0</v>
      </c>
      <c r="P530" s="216">
        <f>IF(O530=0,0,IF(B530="MAT",G530*(1+H530)*L530*PLAN_ETAPA!$C$5,IF(B530="MO",IF(M530=0,0,G530*L530*PLAN_ETAPA!$C$5*N530/M530),IF(B530="EQ",IF(M530=0,0,G530*L530*PLAN_ETAPA!$C$5/M530),0))))</f>
        <v>0</v>
      </c>
      <c r="Q530" s="218">
        <f t="shared" si="17"/>
        <v>0</v>
      </c>
    </row>
    <row r="531" spans="1:17" x14ac:dyDescent="0.35">
      <c r="A531" s="212" t="str">
        <f>COMPOSICIÓN!A531</f>
        <v>HOR-124</v>
      </c>
      <c r="B531" s="212" t="str">
        <f>COMPOSICIÓN!B531</f>
        <v>MO</v>
      </c>
      <c r="C531" s="212" t="str">
        <f>COMPOSICIÓN!C531</f>
        <v>ALB</v>
      </c>
      <c r="D531" s="212" t="str">
        <f>COMPOSICIÓN!D531</f>
        <v>MO-EESPE</v>
      </c>
      <c r="E531" s="212" t="str">
        <f>COMPOSICIÓN!E531</f>
        <v>ESPECIALIZADO</v>
      </c>
      <c r="F531" s="212" t="str">
        <f>COMPOSICIÓN!F531</f>
        <v>j</v>
      </c>
      <c r="G531" s="213">
        <f>COMPOSICIÓN!G531</f>
        <v>1</v>
      </c>
      <c r="H531" s="214">
        <f>COMPOSICIÓN!H531</f>
        <v>0</v>
      </c>
      <c r="I531" s="215">
        <f>COMPOSICIÓN!I531</f>
        <v>85927.097156571996</v>
      </c>
      <c r="J531" s="212" t="str">
        <f>IFERROR(VLOOKUP(A531,PARTIDAS!$A$2:$C$269,3,FALSE()),"")</f>
        <v>ESTRUCTURA DE HORMIGÓN ARMADO</v>
      </c>
      <c r="K531" s="212" t="str">
        <f>IFERROR(INDEX(PPTO_GENERADOR!$B$4:$B$220,MATCH(A531,PPTO_GENERADOR!$Q$4:$Q$220,0)),"")</f>
        <v/>
      </c>
      <c r="L531" s="216">
        <f>IF(PLAN_ETAPA!$C$4="(TODOS)",SUMIFS(PPTO_GENERADOR!$E$4:$E$220,PPTO_GENERADOR!$Q$4:$Q$220,A531),SUMIFS(PPTO_GENERADOR!$E$4:$E$220,PPTO_GENERADOR!$Q$4:$Q$220,A531,PPTO_GENERADOR!$B$4:$B$220,PLAN_ETAPA!$C$4))</f>
        <v>0</v>
      </c>
      <c r="M531" s="216">
        <f>IFERROR(VLOOKUP(A531,PARTIDAS!$A$2:$F$269,6,FALSE()),1)</f>
        <v>12</v>
      </c>
      <c r="N531" s="216">
        <f>IFERROR(VLOOKUP(A531,PARTIDAS!$A$2:$I$269,9,FALSE()),1)</f>
        <v>1</v>
      </c>
      <c r="O531" s="217">
        <f t="shared" si="16"/>
        <v>0</v>
      </c>
      <c r="P531" s="216">
        <f>IF(O531=0,0,IF(B531="MAT",G531*(1+H531)*L531*PLAN_ETAPA!$C$5,IF(B531="MO",IF(M531=0,0,G531*L531*PLAN_ETAPA!$C$5*N531/M531),IF(B531="EQ",IF(M531=0,0,G531*L531*PLAN_ETAPA!$C$5/M531),0))))</f>
        <v>0</v>
      </c>
      <c r="Q531" s="218">
        <f t="shared" si="17"/>
        <v>0</v>
      </c>
    </row>
    <row r="532" spans="1:17" x14ac:dyDescent="0.35">
      <c r="A532" s="212" t="str">
        <f>COMPOSICIÓN!A532</f>
        <v>OBR-138</v>
      </c>
      <c r="B532" s="212" t="str">
        <f>COMPOSICIÓN!B532</f>
        <v>EQ</v>
      </c>
      <c r="C532" s="212">
        <f>COMPOSICIÓN!C532</f>
        <v>0</v>
      </c>
      <c r="D532" s="212" t="str">
        <f>COMPOSICIÓN!D532</f>
        <v>EQ-EQUIPI</v>
      </c>
      <c r="E532" s="212" t="str">
        <f>COMPOSICIÓN!E532</f>
        <v>EQUIPO PARA PINTAR</v>
      </c>
      <c r="F532" s="212">
        <f>COMPOSICIÓN!F532</f>
        <v>0</v>
      </c>
      <c r="G532" s="213">
        <f>COMPOSICIÓN!G532</f>
        <v>1</v>
      </c>
      <c r="H532" s="214">
        <f>COMPOSICIÓN!H532</f>
        <v>0</v>
      </c>
      <c r="I532" s="215">
        <f>COMPOSICIÓN!I532</f>
        <v>1723.6259595547085</v>
      </c>
      <c r="J532" s="212" t="str">
        <f>IFERROR(VLOOKUP(A532,PARTIDAS!$A$2:$C$269,3,FALSE()),"")</f>
        <v>MAMPOSTERÍA</v>
      </c>
      <c r="K532" s="212" t="str">
        <f>IFERROR(INDEX(PPTO_GENERADOR!$B$4:$B$220,MATCH(A532,PPTO_GENERADOR!$Q$4:$Q$220,0)),"")</f>
        <v/>
      </c>
      <c r="L532" s="216">
        <f>IF(PLAN_ETAPA!$C$4="(TODOS)",SUMIFS(PPTO_GENERADOR!$E$4:$E$220,PPTO_GENERADOR!$Q$4:$Q$220,A532),SUMIFS(PPTO_GENERADOR!$E$4:$E$220,PPTO_GENERADOR!$Q$4:$Q$220,A532,PPTO_GENERADOR!$B$4:$B$220,PLAN_ETAPA!$C$4))</f>
        <v>0</v>
      </c>
      <c r="M532" s="216">
        <f>IFERROR(VLOOKUP(A532,PARTIDAS!$A$2:$F$269,6,FALSE()),1)</f>
        <v>20</v>
      </c>
      <c r="N532" s="216">
        <f>IFERROR(VLOOKUP(A532,PARTIDAS!$A$2:$I$269,9,FALSE()),1)</f>
        <v>1</v>
      </c>
      <c r="O532" s="217">
        <f t="shared" si="16"/>
        <v>0</v>
      </c>
      <c r="P532" s="216">
        <f>IF(O532=0,0,IF(B532="MAT",G532*(1+H532)*L532*PLAN_ETAPA!$C$5,IF(B532="MO",IF(M532=0,0,G532*L532*PLAN_ETAPA!$C$5*N532/M532),IF(B532="EQ",IF(M532=0,0,G532*L532*PLAN_ETAPA!$C$5/M532),0))))</f>
        <v>0</v>
      </c>
      <c r="Q532" s="218">
        <f t="shared" si="17"/>
        <v>0</v>
      </c>
    </row>
    <row r="533" spans="1:17" x14ac:dyDescent="0.35">
      <c r="A533" s="212" t="str">
        <f>COMPOSICIÓN!A533</f>
        <v>OBR-138</v>
      </c>
      <c r="B533" s="212" t="str">
        <f>COMPOSICIÓN!B533</f>
        <v>EQ</v>
      </c>
      <c r="C533" s="212">
        <f>COMPOSICIÓN!C533</f>
        <v>0</v>
      </c>
      <c r="D533" s="212" t="str">
        <f>COMPOSICIÓN!D533</f>
        <v>EQ-PTO026</v>
      </c>
      <c r="E533" s="212" t="str">
        <f>COMPOSICIÓN!E533</f>
        <v>ESCALERA MADERA PINTOR 8 ESCALONES</v>
      </c>
      <c r="F533" s="212">
        <f>COMPOSICIÓN!F533</f>
        <v>0</v>
      </c>
      <c r="G533" s="213">
        <f>COMPOSICIÓN!G533</f>
        <v>1</v>
      </c>
      <c r="H533" s="214">
        <f>COMPOSICIÓN!H533</f>
        <v>0</v>
      </c>
      <c r="I533" s="215">
        <f>COMPOSICIÓN!I533</f>
        <v>200.25307946474501</v>
      </c>
      <c r="J533" s="212" t="str">
        <f>IFERROR(VLOOKUP(A533,PARTIDAS!$A$2:$C$269,3,FALSE()),"")</f>
        <v>MAMPOSTERÍA</v>
      </c>
      <c r="K533" s="212" t="str">
        <f>IFERROR(INDEX(PPTO_GENERADOR!$B$4:$B$220,MATCH(A533,PPTO_GENERADOR!$Q$4:$Q$220,0)),"")</f>
        <v/>
      </c>
      <c r="L533" s="216">
        <f>IF(PLAN_ETAPA!$C$4="(TODOS)",SUMIFS(PPTO_GENERADOR!$E$4:$E$220,PPTO_GENERADOR!$Q$4:$Q$220,A533),SUMIFS(PPTO_GENERADOR!$E$4:$E$220,PPTO_GENERADOR!$Q$4:$Q$220,A533,PPTO_GENERADOR!$B$4:$B$220,PLAN_ETAPA!$C$4))</f>
        <v>0</v>
      </c>
      <c r="M533" s="216">
        <f>IFERROR(VLOOKUP(A533,PARTIDAS!$A$2:$F$269,6,FALSE()),1)</f>
        <v>20</v>
      </c>
      <c r="N533" s="216">
        <f>IFERROR(VLOOKUP(A533,PARTIDAS!$A$2:$I$269,9,FALSE()),1)</f>
        <v>1</v>
      </c>
      <c r="O533" s="217">
        <f t="shared" si="16"/>
        <v>0</v>
      </c>
      <c r="P533" s="216">
        <f>IF(O533=0,0,IF(B533="MAT",G533*(1+H533)*L533*PLAN_ETAPA!$C$5,IF(B533="MO",IF(M533=0,0,G533*L533*PLAN_ETAPA!$C$5*N533/M533),IF(B533="EQ",IF(M533=0,0,G533*L533*PLAN_ETAPA!$C$5/M533),0))))</f>
        <v>0</v>
      </c>
      <c r="Q533" s="218">
        <f t="shared" si="17"/>
        <v>0</v>
      </c>
    </row>
    <row r="534" spans="1:17" x14ac:dyDescent="0.35">
      <c r="A534" s="212" t="str">
        <f>COMPOSICIÓN!A534</f>
        <v>OBR-138</v>
      </c>
      <c r="B534" s="212" t="str">
        <f>COMPOSICIÓN!B534</f>
        <v>MAT</v>
      </c>
      <c r="C534" s="212" t="str">
        <f>COMPOSICIÓN!C534</f>
        <v>OTR</v>
      </c>
      <c r="D534" s="212" t="str">
        <f>COMPOSICIÓN!D534</f>
        <v>OTR-021</v>
      </c>
      <c r="E534" s="212" t="str">
        <f>COMPOSICIÓN!E534</f>
        <v>Fijador al agua x 20 lts</v>
      </c>
      <c r="F534" s="212" t="str">
        <f>COMPOSICIÓN!F534</f>
        <v>b</v>
      </c>
      <c r="G534" s="213">
        <f>COMPOSICIÓN!G534</f>
        <v>4.0000000000000001E-3</v>
      </c>
      <c r="H534" s="214">
        <f>COMPOSICIÓN!H534</f>
        <v>0.05</v>
      </c>
      <c r="I534" s="215">
        <f>COMPOSICIÓN!I534</f>
        <v>30467.49</v>
      </c>
      <c r="J534" s="212" t="str">
        <f>IFERROR(VLOOKUP(A534,PARTIDAS!$A$2:$C$269,3,FALSE()),"")</f>
        <v>MAMPOSTERÍA</v>
      </c>
      <c r="K534" s="212" t="str">
        <f>IFERROR(INDEX(PPTO_GENERADOR!$B$4:$B$220,MATCH(A534,PPTO_GENERADOR!$Q$4:$Q$220,0)),"")</f>
        <v/>
      </c>
      <c r="L534" s="216">
        <f>IF(PLAN_ETAPA!$C$4="(TODOS)",SUMIFS(PPTO_GENERADOR!$E$4:$E$220,PPTO_GENERADOR!$Q$4:$Q$220,A534),SUMIFS(PPTO_GENERADOR!$E$4:$E$220,PPTO_GENERADOR!$Q$4:$Q$220,A534,PPTO_GENERADOR!$B$4:$B$220,PLAN_ETAPA!$C$4))</f>
        <v>0</v>
      </c>
      <c r="M534" s="216">
        <f>IFERROR(VLOOKUP(A534,PARTIDAS!$A$2:$F$269,6,FALSE()),1)</f>
        <v>20</v>
      </c>
      <c r="N534" s="216">
        <f>IFERROR(VLOOKUP(A534,PARTIDAS!$A$2:$I$269,9,FALSE()),1)</f>
        <v>1</v>
      </c>
      <c r="O534" s="217">
        <f t="shared" si="16"/>
        <v>0</v>
      </c>
      <c r="P534" s="216">
        <f>IF(O534=0,0,IF(B534="MAT",G534*(1+H534)*L534*PLAN_ETAPA!$C$5,IF(B534="MO",IF(M534=0,0,G534*L534*PLAN_ETAPA!$C$5*N534/M534),IF(B534="EQ",IF(M534=0,0,G534*L534*PLAN_ETAPA!$C$5/M534),0))))</f>
        <v>0</v>
      </c>
      <c r="Q534" s="218">
        <f t="shared" si="17"/>
        <v>0</v>
      </c>
    </row>
    <row r="535" spans="1:17" x14ac:dyDescent="0.35">
      <c r="A535" s="212" t="str">
        <f>COMPOSICIÓN!A535</f>
        <v>OBR-138</v>
      </c>
      <c r="B535" s="212" t="str">
        <f>COMPOSICIÓN!B535</f>
        <v>MAT</v>
      </c>
      <c r="C535" s="212" t="str">
        <f>COMPOSICIÓN!C535</f>
        <v>OTR</v>
      </c>
      <c r="D535" s="212" t="str">
        <f>COMPOSICIÓN!D535</f>
        <v>OTR-023</v>
      </c>
      <c r="E535" s="212" t="str">
        <f>COMPOSICIÓN!E535</f>
        <v>Lija 180 al agua x 10u</v>
      </c>
      <c r="F535" s="212" t="str">
        <f>COMPOSICIÓN!F535</f>
        <v>u</v>
      </c>
      <c r="G535" s="213">
        <f>COMPOSICIÓN!G535</f>
        <v>1.4999999999999999E-2</v>
      </c>
      <c r="H535" s="214">
        <f>COMPOSICIÓN!H535</f>
        <v>0.05</v>
      </c>
      <c r="I535" s="215">
        <f>COMPOSICIÓN!I535</f>
        <v>5661.4</v>
      </c>
      <c r="J535" s="212" t="str">
        <f>IFERROR(VLOOKUP(A535,PARTIDAS!$A$2:$C$269,3,FALSE()),"")</f>
        <v>MAMPOSTERÍA</v>
      </c>
      <c r="K535" s="212" t="str">
        <f>IFERROR(INDEX(PPTO_GENERADOR!$B$4:$B$220,MATCH(A535,PPTO_GENERADOR!$Q$4:$Q$220,0)),"")</f>
        <v/>
      </c>
      <c r="L535" s="216">
        <f>IF(PLAN_ETAPA!$C$4="(TODOS)",SUMIFS(PPTO_GENERADOR!$E$4:$E$220,PPTO_GENERADOR!$Q$4:$Q$220,A535),SUMIFS(PPTO_GENERADOR!$E$4:$E$220,PPTO_GENERADOR!$Q$4:$Q$220,A535,PPTO_GENERADOR!$B$4:$B$220,PLAN_ETAPA!$C$4))</f>
        <v>0</v>
      </c>
      <c r="M535" s="216">
        <f>IFERROR(VLOOKUP(A535,PARTIDAS!$A$2:$F$269,6,FALSE()),1)</f>
        <v>20</v>
      </c>
      <c r="N535" s="216">
        <f>IFERROR(VLOOKUP(A535,PARTIDAS!$A$2:$I$269,9,FALSE()),1)</f>
        <v>1</v>
      </c>
      <c r="O535" s="217">
        <f t="shared" si="16"/>
        <v>0</v>
      </c>
      <c r="P535" s="216">
        <f>IF(O535=0,0,IF(B535="MAT",G535*(1+H535)*L535*PLAN_ETAPA!$C$5,IF(B535="MO",IF(M535=0,0,G535*L535*PLAN_ETAPA!$C$5*N535/M535),IF(B535="EQ",IF(M535=0,0,G535*L535*PLAN_ETAPA!$C$5/M535),0))))</f>
        <v>0</v>
      </c>
      <c r="Q535" s="218">
        <f t="shared" si="17"/>
        <v>0</v>
      </c>
    </row>
    <row r="536" spans="1:17" x14ac:dyDescent="0.35">
      <c r="A536" s="212" t="str">
        <f>COMPOSICIÓN!A536</f>
        <v>OBR-138</v>
      </c>
      <c r="B536" s="212" t="str">
        <f>COMPOSICIÓN!B536</f>
        <v>MAT</v>
      </c>
      <c r="C536" s="212" t="str">
        <f>COMPOSICIÓN!C536</f>
        <v>OTR</v>
      </c>
      <c r="D536" s="212" t="str">
        <f>COMPOSICIÓN!D536</f>
        <v>OTR-024</v>
      </c>
      <c r="E536" s="212" t="str">
        <f>COMPOSICIÓN!E536</f>
        <v>Cinta de Papel 36 mm x 40m</v>
      </c>
      <c r="F536" s="212" t="str">
        <f>COMPOSICIÓN!F536</f>
        <v>u</v>
      </c>
      <c r="G536" s="213">
        <f>COMPOSICIÓN!G536</f>
        <v>0.05</v>
      </c>
      <c r="H536" s="214">
        <f>COMPOSICIÓN!H536</f>
        <v>0.1</v>
      </c>
      <c r="I536" s="215">
        <f>COMPOSICIÓN!I536</f>
        <v>3293.01</v>
      </c>
      <c r="J536" s="212" t="str">
        <f>IFERROR(VLOOKUP(A536,PARTIDAS!$A$2:$C$269,3,FALSE()),"")</f>
        <v>MAMPOSTERÍA</v>
      </c>
      <c r="K536" s="212" t="str">
        <f>IFERROR(INDEX(PPTO_GENERADOR!$B$4:$B$220,MATCH(A536,PPTO_GENERADOR!$Q$4:$Q$220,0)),"")</f>
        <v/>
      </c>
      <c r="L536" s="216">
        <f>IF(PLAN_ETAPA!$C$4="(TODOS)",SUMIFS(PPTO_GENERADOR!$E$4:$E$220,PPTO_GENERADOR!$Q$4:$Q$220,A536),SUMIFS(PPTO_GENERADOR!$E$4:$E$220,PPTO_GENERADOR!$Q$4:$Q$220,A536,PPTO_GENERADOR!$B$4:$B$220,PLAN_ETAPA!$C$4))</f>
        <v>0</v>
      </c>
      <c r="M536" s="216">
        <f>IFERROR(VLOOKUP(A536,PARTIDAS!$A$2:$F$269,6,FALSE()),1)</f>
        <v>20</v>
      </c>
      <c r="N536" s="216">
        <f>IFERROR(VLOOKUP(A536,PARTIDAS!$A$2:$I$269,9,FALSE()),1)</f>
        <v>1</v>
      </c>
      <c r="O536" s="217">
        <f t="shared" si="16"/>
        <v>0</v>
      </c>
      <c r="P536" s="216">
        <f>IF(O536=0,0,IF(B536="MAT",G536*(1+H536)*L536*PLAN_ETAPA!$C$5,IF(B536="MO",IF(M536=0,0,G536*L536*PLAN_ETAPA!$C$5*N536/M536),IF(B536="EQ",IF(M536=0,0,G536*L536*PLAN_ETAPA!$C$5/M536),0))))</f>
        <v>0</v>
      </c>
      <c r="Q536" s="218">
        <f t="shared" si="17"/>
        <v>0</v>
      </c>
    </row>
    <row r="537" spans="1:17" x14ac:dyDescent="0.35">
      <c r="A537" s="212" t="str">
        <f>COMPOSICIÓN!A537</f>
        <v>OBR-138</v>
      </c>
      <c r="B537" s="212" t="str">
        <f>COMPOSICIÓN!B537</f>
        <v>MAT</v>
      </c>
      <c r="C537" s="212" t="str">
        <f>COMPOSICIÓN!C537</f>
        <v>OTR</v>
      </c>
      <c r="D537" s="212" t="str">
        <f>COMPOSICIÓN!D537</f>
        <v>OTR-025</v>
      </c>
      <c r="E537" s="212" t="str">
        <f>COMPOSICIÓN!E537</f>
        <v>Trapo</v>
      </c>
      <c r="F537" s="212" t="str">
        <f>COMPOSICIÓN!F537</f>
        <v>u</v>
      </c>
      <c r="G537" s="213">
        <f>COMPOSICIÓN!G537</f>
        <v>0.03</v>
      </c>
      <c r="H537" s="214">
        <f>COMPOSICIÓN!H537</f>
        <v>0.05</v>
      </c>
      <c r="I537" s="215">
        <f>COMPOSICIÓN!I537</f>
        <v>735.06</v>
      </c>
      <c r="J537" s="212" t="str">
        <f>IFERROR(VLOOKUP(A537,PARTIDAS!$A$2:$C$269,3,FALSE()),"")</f>
        <v>MAMPOSTERÍA</v>
      </c>
      <c r="K537" s="212" t="str">
        <f>IFERROR(INDEX(PPTO_GENERADOR!$B$4:$B$220,MATCH(A537,PPTO_GENERADOR!$Q$4:$Q$220,0)),"")</f>
        <v/>
      </c>
      <c r="L537" s="216">
        <f>IF(PLAN_ETAPA!$C$4="(TODOS)",SUMIFS(PPTO_GENERADOR!$E$4:$E$220,PPTO_GENERADOR!$Q$4:$Q$220,A537),SUMIFS(PPTO_GENERADOR!$E$4:$E$220,PPTO_GENERADOR!$Q$4:$Q$220,A537,PPTO_GENERADOR!$B$4:$B$220,PLAN_ETAPA!$C$4))</f>
        <v>0</v>
      </c>
      <c r="M537" s="216">
        <f>IFERROR(VLOOKUP(A537,PARTIDAS!$A$2:$F$269,6,FALSE()),1)</f>
        <v>20</v>
      </c>
      <c r="N537" s="216">
        <f>IFERROR(VLOOKUP(A537,PARTIDAS!$A$2:$I$269,9,FALSE()),1)</f>
        <v>1</v>
      </c>
      <c r="O537" s="217">
        <f t="shared" si="16"/>
        <v>0</v>
      </c>
      <c r="P537" s="216">
        <f>IF(O537=0,0,IF(B537="MAT",G537*(1+H537)*L537*PLAN_ETAPA!$C$5,IF(B537="MO",IF(M537=0,0,G537*L537*PLAN_ETAPA!$C$5*N537/M537),IF(B537="EQ",IF(M537=0,0,G537*L537*PLAN_ETAPA!$C$5/M537),0))))</f>
        <v>0</v>
      </c>
      <c r="Q537" s="218">
        <f t="shared" si="17"/>
        <v>0</v>
      </c>
    </row>
    <row r="538" spans="1:17" x14ac:dyDescent="0.35">
      <c r="A538" s="212" t="str">
        <f>COMPOSICIÓN!A538</f>
        <v>OBR-138</v>
      </c>
      <c r="B538" s="212" t="str">
        <f>COMPOSICIÓN!B538</f>
        <v>MAT</v>
      </c>
      <c r="C538" s="212" t="str">
        <f>COMPOSICIÓN!C538</f>
        <v>OTR</v>
      </c>
      <c r="D538" s="212" t="str">
        <f>COMPOSICIÓN!D538</f>
        <v>OTR-026</v>
      </c>
      <c r="E538" s="212" t="str">
        <f>COMPOSICIÓN!E538</f>
        <v>Rodillo de lana pelo corto antigota N°22 - El Galgo</v>
      </c>
      <c r="F538" s="212" t="str">
        <f>COMPOSICIÓN!F538</f>
        <v>u</v>
      </c>
      <c r="G538" s="213">
        <f>COMPOSICIÓN!G538</f>
        <v>5.0000000000000001E-3</v>
      </c>
      <c r="H538" s="214">
        <f>COMPOSICIÓN!H538</f>
        <v>0.05</v>
      </c>
      <c r="I538" s="215">
        <f>COMPOSICIÓN!I538</f>
        <v>6678.36</v>
      </c>
      <c r="J538" s="212" t="str">
        <f>IFERROR(VLOOKUP(A538,PARTIDAS!$A$2:$C$269,3,FALSE()),"")</f>
        <v>MAMPOSTERÍA</v>
      </c>
      <c r="K538" s="212" t="str">
        <f>IFERROR(INDEX(PPTO_GENERADOR!$B$4:$B$220,MATCH(A538,PPTO_GENERADOR!$Q$4:$Q$220,0)),"")</f>
        <v/>
      </c>
      <c r="L538" s="216">
        <f>IF(PLAN_ETAPA!$C$4="(TODOS)",SUMIFS(PPTO_GENERADOR!$E$4:$E$220,PPTO_GENERADOR!$Q$4:$Q$220,A538),SUMIFS(PPTO_GENERADOR!$E$4:$E$220,PPTO_GENERADOR!$Q$4:$Q$220,A538,PPTO_GENERADOR!$B$4:$B$220,PLAN_ETAPA!$C$4))</f>
        <v>0</v>
      </c>
      <c r="M538" s="216">
        <f>IFERROR(VLOOKUP(A538,PARTIDAS!$A$2:$F$269,6,FALSE()),1)</f>
        <v>20</v>
      </c>
      <c r="N538" s="216">
        <f>IFERROR(VLOOKUP(A538,PARTIDAS!$A$2:$I$269,9,FALSE()),1)</f>
        <v>1</v>
      </c>
      <c r="O538" s="217">
        <f t="shared" si="16"/>
        <v>0</v>
      </c>
      <c r="P538" s="216">
        <f>IF(O538=0,0,IF(B538="MAT",G538*(1+H538)*L538*PLAN_ETAPA!$C$5,IF(B538="MO",IF(M538=0,0,G538*L538*PLAN_ETAPA!$C$5*N538/M538),IF(B538="EQ",IF(M538=0,0,G538*L538*PLAN_ETAPA!$C$5/M538),0))))</f>
        <v>0</v>
      </c>
      <c r="Q538" s="218">
        <f t="shared" si="17"/>
        <v>0</v>
      </c>
    </row>
    <row r="539" spans="1:17" x14ac:dyDescent="0.35">
      <c r="A539" s="212" t="str">
        <f>COMPOSICIÓN!A539</f>
        <v>OBR-138</v>
      </c>
      <c r="B539" s="212" t="str">
        <f>COMPOSICIÓN!B539</f>
        <v>MAT</v>
      </c>
      <c r="C539" s="212" t="str">
        <f>COMPOSICIÓN!C539</f>
        <v>OTR</v>
      </c>
      <c r="D539" s="212" t="str">
        <f>COMPOSICIÓN!D539</f>
        <v>OTR-028</v>
      </c>
      <c r="E539" s="212" t="str">
        <f>COMPOSICIÓN!E539</f>
        <v>Pincel N° 20 - El Galgo</v>
      </c>
      <c r="F539" s="212" t="str">
        <f>COMPOSICIÓN!F539</f>
        <v>u</v>
      </c>
      <c r="G539" s="213">
        <f>COMPOSICIÓN!G539</f>
        <v>5.0000000000000001E-3</v>
      </c>
      <c r="H539" s="214">
        <f>COMPOSICIÓN!H539</f>
        <v>0.05</v>
      </c>
      <c r="I539" s="215">
        <f>COMPOSICIÓN!I539</f>
        <v>5282.24</v>
      </c>
      <c r="J539" s="212" t="str">
        <f>IFERROR(VLOOKUP(A539,PARTIDAS!$A$2:$C$269,3,FALSE()),"")</f>
        <v>MAMPOSTERÍA</v>
      </c>
      <c r="K539" s="212" t="str">
        <f>IFERROR(INDEX(PPTO_GENERADOR!$B$4:$B$220,MATCH(A539,PPTO_GENERADOR!$Q$4:$Q$220,0)),"")</f>
        <v/>
      </c>
      <c r="L539" s="216">
        <f>IF(PLAN_ETAPA!$C$4="(TODOS)",SUMIFS(PPTO_GENERADOR!$E$4:$E$220,PPTO_GENERADOR!$Q$4:$Q$220,A539),SUMIFS(PPTO_GENERADOR!$E$4:$E$220,PPTO_GENERADOR!$Q$4:$Q$220,A539,PPTO_GENERADOR!$B$4:$B$220,PLAN_ETAPA!$C$4))</f>
        <v>0</v>
      </c>
      <c r="M539" s="216">
        <f>IFERROR(VLOOKUP(A539,PARTIDAS!$A$2:$F$269,6,FALSE()),1)</f>
        <v>20</v>
      </c>
      <c r="N539" s="216">
        <f>IFERROR(VLOOKUP(A539,PARTIDAS!$A$2:$I$269,9,FALSE()),1)</f>
        <v>1</v>
      </c>
      <c r="O539" s="217">
        <f t="shared" si="16"/>
        <v>0</v>
      </c>
      <c r="P539" s="216">
        <f>IF(O539=0,0,IF(B539="MAT",G539*(1+H539)*L539*PLAN_ETAPA!$C$5,IF(B539="MO",IF(M539=0,0,G539*L539*PLAN_ETAPA!$C$5*N539/M539),IF(B539="EQ",IF(M539=0,0,G539*L539*PLAN_ETAPA!$C$5/M539),0))))</f>
        <v>0</v>
      </c>
      <c r="Q539" s="218">
        <f t="shared" si="17"/>
        <v>0</v>
      </c>
    </row>
    <row r="540" spans="1:17" x14ac:dyDescent="0.35">
      <c r="A540" s="212" t="str">
        <f>COMPOSICIÓN!A540</f>
        <v>OBR-138</v>
      </c>
      <c r="B540" s="212" t="str">
        <f>COMPOSICIÓN!B540</f>
        <v>MAT</v>
      </c>
      <c r="C540" s="212" t="str">
        <f>COMPOSICIÓN!C540</f>
        <v>OTR</v>
      </c>
      <c r="D540" s="212" t="str">
        <f>COMPOSICIÓN!D540</f>
        <v>OTR-029</v>
      </c>
      <c r="E540" s="212" t="str">
        <f>COMPOSICIÓN!E540</f>
        <v>Rollo de cartón corrugado 0,90 x 25 mts</v>
      </c>
      <c r="F540" s="212" t="str">
        <f>COMPOSICIÓN!F540</f>
        <v>u</v>
      </c>
      <c r="G540" s="213">
        <f>COMPOSICIÓN!G540</f>
        <v>0.01</v>
      </c>
      <c r="H540" s="214">
        <f>COMPOSICIÓN!H540</f>
        <v>0.05</v>
      </c>
      <c r="I540" s="215">
        <f>COMPOSICIÓN!I540</f>
        <v>7427.6</v>
      </c>
      <c r="J540" s="212" t="str">
        <f>IFERROR(VLOOKUP(A540,PARTIDAS!$A$2:$C$269,3,FALSE()),"")</f>
        <v>MAMPOSTERÍA</v>
      </c>
      <c r="K540" s="212" t="str">
        <f>IFERROR(INDEX(PPTO_GENERADOR!$B$4:$B$220,MATCH(A540,PPTO_GENERADOR!$Q$4:$Q$220,0)),"")</f>
        <v/>
      </c>
      <c r="L540" s="216">
        <f>IF(PLAN_ETAPA!$C$4="(TODOS)",SUMIFS(PPTO_GENERADOR!$E$4:$E$220,PPTO_GENERADOR!$Q$4:$Q$220,A540),SUMIFS(PPTO_GENERADOR!$E$4:$E$220,PPTO_GENERADOR!$Q$4:$Q$220,A540,PPTO_GENERADOR!$B$4:$B$220,PLAN_ETAPA!$C$4))</f>
        <v>0</v>
      </c>
      <c r="M540" s="216">
        <f>IFERROR(VLOOKUP(A540,PARTIDAS!$A$2:$F$269,6,FALSE()),1)</f>
        <v>20</v>
      </c>
      <c r="N540" s="216">
        <f>IFERROR(VLOOKUP(A540,PARTIDAS!$A$2:$I$269,9,FALSE()),1)</f>
        <v>1</v>
      </c>
      <c r="O540" s="217">
        <f t="shared" si="16"/>
        <v>0</v>
      </c>
      <c r="P540" s="216">
        <f>IF(O540=0,0,IF(B540="MAT",G540*(1+H540)*L540*PLAN_ETAPA!$C$5,IF(B540="MO",IF(M540=0,0,G540*L540*PLAN_ETAPA!$C$5*N540/M540),IF(B540="EQ",IF(M540=0,0,G540*L540*PLAN_ETAPA!$C$5/M540),0))))</f>
        <v>0</v>
      </c>
      <c r="Q540" s="218">
        <f t="shared" si="17"/>
        <v>0</v>
      </c>
    </row>
    <row r="541" spans="1:17" x14ac:dyDescent="0.35">
      <c r="A541" s="212" t="str">
        <f>COMPOSICIÓN!A541</f>
        <v>OBR-138</v>
      </c>
      <c r="B541" s="212" t="str">
        <f>COMPOSICIÓN!B541</f>
        <v>MAT</v>
      </c>
      <c r="C541" s="212" t="str">
        <f>COMPOSICIÓN!C541</f>
        <v>OTR</v>
      </c>
      <c r="D541" s="212" t="str">
        <f>COMPOSICIÓN!D541</f>
        <v>PIN-001</v>
      </c>
      <c r="E541" s="212" t="str">
        <f>COMPOSICIÓN!E541</f>
        <v>Latex Loxon Interior Sherwin Williams Mate Bco x 20lts</v>
      </c>
      <c r="F541" s="212" t="str">
        <f>COMPOSICIÓN!F541</f>
        <v>B</v>
      </c>
      <c r="G541" s="213">
        <f>COMPOSICIÓN!G541</f>
        <v>1.2500000000000001E-2</v>
      </c>
      <c r="H541" s="214">
        <f>COMPOSICIÓN!H541</f>
        <v>0.1</v>
      </c>
      <c r="I541" s="215">
        <f>COMPOSICIÓN!I541</f>
        <v>120622.23</v>
      </c>
      <c r="J541" s="212" t="str">
        <f>IFERROR(VLOOKUP(A541,PARTIDAS!$A$2:$C$269,3,FALSE()),"")</f>
        <v>MAMPOSTERÍA</v>
      </c>
      <c r="K541" s="212" t="str">
        <f>IFERROR(INDEX(PPTO_GENERADOR!$B$4:$B$220,MATCH(A541,PPTO_GENERADOR!$Q$4:$Q$220,0)),"")</f>
        <v/>
      </c>
      <c r="L541" s="216">
        <f>IF(PLAN_ETAPA!$C$4="(TODOS)",SUMIFS(PPTO_GENERADOR!$E$4:$E$220,PPTO_GENERADOR!$Q$4:$Q$220,A541),SUMIFS(PPTO_GENERADOR!$E$4:$E$220,PPTO_GENERADOR!$Q$4:$Q$220,A541,PPTO_GENERADOR!$B$4:$B$220,PLAN_ETAPA!$C$4))</f>
        <v>0</v>
      </c>
      <c r="M541" s="216">
        <f>IFERROR(VLOOKUP(A541,PARTIDAS!$A$2:$F$269,6,FALSE()),1)</f>
        <v>20</v>
      </c>
      <c r="N541" s="216">
        <f>IFERROR(VLOOKUP(A541,PARTIDAS!$A$2:$I$269,9,FALSE()),1)</f>
        <v>1</v>
      </c>
      <c r="O541" s="217">
        <f t="shared" si="16"/>
        <v>0</v>
      </c>
      <c r="P541" s="216">
        <f>IF(O541=0,0,IF(B541="MAT",G541*(1+H541)*L541*PLAN_ETAPA!$C$5,IF(B541="MO",IF(M541=0,0,G541*L541*PLAN_ETAPA!$C$5*N541/M541),IF(B541="EQ",IF(M541=0,0,G541*L541*PLAN_ETAPA!$C$5/M541),0))))</f>
        <v>0</v>
      </c>
      <c r="Q541" s="218">
        <f t="shared" si="17"/>
        <v>0</v>
      </c>
    </row>
    <row r="542" spans="1:17" x14ac:dyDescent="0.35">
      <c r="A542" s="212" t="str">
        <f>COMPOSICIÓN!A542</f>
        <v>OBR-138</v>
      </c>
      <c r="B542" s="212" t="str">
        <f>COMPOSICIÓN!B542</f>
        <v>MAT</v>
      </c>
      <c r="C542" s="212" t="str">
        <f>COMPOSICIÓN!C542</f>
        <v>OTR</v>
      </c>
      <c r="D542" s="212" t="str">
        <f>COMPOSICIÓN!D542</f>
        <v>PIN-007</v>
      </c>
      <c r="E542" s="212" t="str">
        <f>COMPOSICIÓN!E542</f>
        <v>Enduido Interior x 20lts</v>
      </c>
      <c r="F542" s="212" t="str">
        <f>COMPOSICIÓN!F542</f>
        <v>B</v>
      </c>
      <c r="G542" s="213">
        <f>COMPOSICIÓN!G542</f>
        <v>2E-3</v>
      </c>
      <c r="H542" s="214">
        <f>COMPOSICIÓN!H542</f>
        <v>0.1</v>
      </c>
      <c r="I542" s="215">
        <f>COMPOSICIÓN!I542</f>
        <v>18735.77</v>
      </c>
      <c r="J542" s="212" t="str">
        <f>IFERROR(VLOOKUP(A542,PARTIDAS!$A$2:$C$269,3,FALSE()),"")</f>
        <v>MAMPOSTERÍA</v>
      </c>
      <c r="K542" s="212" t="str">
        <f>IFERROR(INDEX(PPTO_GENERADOR!$B$4:$B$220,MATCH(A542,PPTO_GENERADOR!$Q$4:$Q$220,0)),"")</f>
        <v/>
      </c>
      <c r="L542" s="216">
        <f>IF(PLAN_ETAPA!$C$4="(TODOS)",SUMIFS(PPTO_GENERADOR!$E$4:$E$220,PPTO_GENERADOR!$Q$4:$Q$220,A542),SUMIFS(PPTO_GENERADOR!$E$4:$E$220,PPTO_GENERADOR!$Q$4:$Q$220,A542,PPTO_GENERADOR!$B$4:$B$220,PLAN_ETAPA!$C$4))</f>
        <v>0</v>
      </c>
      <c r="M542" s="216">
        <f>IFERROR(VLOOKUP(A542,PARTIDAS!$A$2:$F$269,6,FALSE()),1)</f>
        <v>20</v>
      </c>
      <c r="N542" s="216">
        <f>IFERROR(VLOOKUP(A542,PARTIDAS!$A$2:$I$269,9,FALSE()),1)</f>
        <v>1</v>
      </c>
      <c r="O542" s="217">
        <f t="shared" si="16"/>
        <v>0</v>
      </c>
      <c r="P542" s="216">
        <f>IF(O542=0,0,IF(B542="MAT",G542*(1+H542)*L542*PLAN_ETAPA!$C$5,IF(B542="MO",IF(M542=0,0,G542*L542*PLAN_ETAPA!$C$5*N542/M542),IF(B542="EQ",IF(M542=0,0,G542*L542*PLAN_ETAPA!$C$5/M542),0))))</f>
        <v>0</v>
      </c>
      <c r="Q542" s="218">
        <f t="shared" si="17"/>
        <v>0</v>
      </c>
    </row>
    <row r="543" spans="1:17" x14ac:dyDescent="0.35">
      <c r="A543" s="212" t="str">
        <f>COMPOSICIÓN!A543</f>
        <v>OBR-138</v>
      </c>
      <c r="B543" s="212" t="str">
        <f>COMPOSICIÓN!B543</f>
        <v>MAT</v>
      </c>
      <c r="C543" s="212" t="str">
        <f>COMPOSICIÓN!C543</f>
        <v>OTR</v>
      </c>
      <c r="D543" s="212" t="str">
        <f>COMPOSICIÓN!D543</f>
        <v>REV-001</v>
      </c>
      <c r="E543" s="212" t="str">
        <f>COMPOSICIÓN!E543</f>
        <v>Yeso Tuyango x 30kg</v>
      </c>
      <c r="F543" s="212" t="str">
        <f>COMPOSICIÓN!F543</f>
        <v>b</v>
      </c>
      <c r="G543" s="213">
        <f>COMPOSICIÓN!G543</f>
        <v>1E-3</v>
      </c>
      <c r="H543" s="214">
        <f>COMPOSICIÓN!H543</f>
        <v>0.05</v>
      </c>
      <c r="I543" s="215">
        <f>COMPOSICIÓN!I543</f>
        <v>9639</v>
      </c>
      <c r="J543" s="212" t="str">
        <f>IFERROR(VLOOKUP(A543,PARTIDAS!$A$2:$C$269,3,FALSE()),"")</f>
        <v>MAMPOSTERÍA</v>
      </c>
      <c r="K543" s="212" t="str">
        <f>IFERROR(INDEX(PPTO_GENERADOR!$B$4:$B$220,MATCH(A543,PPTO_GENERADOR!$Q$4:$Q$220,0)),"")</f>
        <v/>
      </c>
      <c r="L543" s="216">
        <f>IF(PLAN_ETAPA!$C$4="(TODOS)",SUMIFS(PPTO_GENERADOR!$E$4:$E$220,PPTO_GENERADOR!$Q$4:$Q$220,A543),SUMIFS(PPTO_GENERADOR!$E$4:$E$220,PPTO_GENERADOR!$Q$4:$Q$220,A543,PPTO_GENERADOR!$B$4:$B$220,PLAN_ETAPA!$C$4))</f>
        <v>0</v>
      </c>
      <c r="M543" s="216">
        <f>IFERROR(VLOOKUP(A543,PARTIDAS!$A$2:$F$269,6,FALSE()),1)</f>
        <v>20</v>
      </c>
      <c r="N543" s="216">
        <f>IFERROR(VLOOKUP(A543,PARTIDAS!$A$2:$I$269,9,FALSE()),1)</f>
        <v>1</v>
      </c>
      <c r="O543" s="217">
        <f t="shared" si="16"/>
        <v>0</v>
      </c>
      <c r="P543" s="216">
        <f>IF(O543=0,0,IF(B543="MAT",G543*(1+H543)*L543*PLAN_ETAPA!$C$5,IF(B543="MO",IF(M543=0,0,G543*L543*PLAN_ETAPA!$C$5*N543/M543),IF(B543="EQ",IF(M543=0,0,G543*L543*PLAN_ETAPA!$C$5/M543),0))))</f>
        <v>0</v>
      </c>
      <c r="Q543" s="218">
        <f t="shared" si="17"/>
        <v>0</v>
      </c>
    </row>
    <row r="544" spans="1:17" x14ac:dyDescent="0.35">
      <c r="A544" s="212" t="str">
        <f>COMPOSICIÓN!A544</f>
        <v>OBR-138</v>
      </c>
      <c r="B544" s="212" t="str">
        <f>COMPOSICIÓN!B544</f>
        <v>MO</v>
      </c>
      <c r="C544" s="212" t="str">
        <f>COMPOSICIÓN!C544</f>
        <v>ALB</v>
      </c>
      <c r="D544" s="212" t="str">
        <f>COMPOSICIÓN!D544</f>
        <v>MO-EESPE</v>
      </c>
      <c r="E544" s="212" t="str">
        <f>COMPOSICIÓN!E544</f>
        <v>ESPECIALIZADO</v>
      </c>
      <c r="F544" s="212" t="str">
        <f>COMPOSICIÓN!F544</f>
        <v>j</v>
      </c>
      <c r="G544" s="213">
        <f>COMPOSICIÓN!G544</f>
        <v>1</v>
      </c>
      <c r="H544" s="214">
        <f>COMPOSICIÓN!H544</f>
        <v>0</v>
      </c>
      <c r="I544" s="215">
        <f>COMPOSICIÓN!I544</f>
        <v>85927.097156571996</v>
      </c>
      <c r="J544" s="212" t="str">
        <f>IFERROR(VLOOKUP(A544,PARTIDAS!$A$2:$C$269,3,FALSE()),"")</f>
        <v>MAMPOSTERÍA</v>
      </c>
      <c r="K544" s="212" t="str">
        <f>IFERROR(INDEX(PPTO_GENERADOR!$B$4:$B$220,MATCH(A544,PPTO_GENERADOR!$Q$4:$Q$220,0)),"")</f>
        <v/>
      </c>
      <c r="L544" s="216">
        <f>IF(PLAN_ETAPA!$C$4="(TODOS)",SUMIFS(PPTO_GENERADOR!$E$4:$E$220,PPTO_GENERADOR!$Q$4:$Q$220,A544),SUMIFS(PPTO_GENERADOR!$E$4:$E$220,PPTO_GENERADOR!$Q$4:$Q$220,A544,PPTO_GENERADOR!$B$4:$B$220,PLAN_ETAPA!$C$4))</f>
        <v>0</v>
      </c>
      <c r="M544" s="216">
        <f>IFERROR(VLOOKUP(A544,PARTIDAS!$A$2:$F$269,6,FALSE()),1)</f>
        <v>20</v>
      </c>
      <c r="N544" s="216">
        <f>IFERROR(VLOOKUP(A544,PARTIDAS!$A$2:$I$269,9,FALSE()),1)</f>
        <v>1</v>
      </c>
      <c r="O544" s="217">
        <f t="shared" si="16"/>
        <v>0</v>
      </c>
      <c r="P544" s="216">
        <f>IF(O544=0,0,IF(B544="MAT",G544*(1+H544)*L544*PLAN_ETAPA!$C$5,IF(B544="MO",IF(M544=0,0,G544*L544*PLAN_ETAPA!$C$5*N544/M544),IF(B544="EQ",IF(M544=0,0,G544*L544*PLAN_ETAPA!$C$5/M544),0))))</f>
        <v>0</v>
      </c>
      <c r="Q544" s="218">
        <f t="shared" si="17"/>
        <v>0</v>
      </c>
    </row>
    <row r="545" spans="1:17" x14ac:dyDescent="0.35">
      <c r="A545" s="212" t="str">
        <f>COMPOSICIÓN!A545</f>
        <v>PIN-051</v>
      </c>
      <c r="B545" s="212" t="str">
        <f>COMPOSICIÓN!B545</f>
        <v>EQ</v>
      </c>
      <c r="C545" s="212">
        <f>COMPOSICIÓN!C545</f>
        <v>0</v>
      </c>
      <c r="D545" s="212" t="str">
        <f>COMPOSICIÓN!D545</f>
        <v>EQ-EQUIPI</v>
      </c>
      <c r="E545" s="212" t="str">
        <f>COMPOSICIÓN!E545</f>
        <v>EQUIPO PARA PINTAR</v>
      </c>
      <c r="F545" s="212">
        <f>COMPOSICIÓN!F545</f>
        <v>0</v>
      </c>
      <c r="G545" s="213">
        <f>COMPOSICIÓN!G545</f>
        <v>2</v>
      </c>
      <c r="H545" s="214">
        <f>COMPOSICIÓN!H545</f>
        <v>0</v>
      </c>
      <c r="I545" s="215">
        <f>COMPOSICIÓN!I545</f>
        <v>1723.6259595547085</v>
      </c>
      <c r="J545" s="212" t="str">
        <f>IFERROR(VLOOKUP(A545,PARTIDAS!$A$2:$C$269,3,FALSE()),"")</f>
        <v>PINTURA</v>
      </c>
      <c r="K545" s="212" t="str">
        <f>IFERROR(INDEX(PPTO_GENERADOR!$B$4:$B$220,MATCH(A545,PPTO_GENERADOR!$Q$4:$Q$220,0)),"")</f>
        <v/>
      </c>
      <c r="L545" s="216">
        <f>IF(PLAN_ETAPA!$C$4="(TODOS)",SUMIFS(PPTO_GENERADOR!$E$4:$E$220,PPTO_GENERADOR!$Q$4:$Q$220,A545),SUMIFS(PPTO_GENERADOR!$E$4:$E$220,PPTO_GENERADOR!$Q$4:$Q$220,A545,PPTO_GENERADOR!$B$4:$B$220,PLAN_ETAPA!$C$4))</f>
        <v>0</v>
      </c>
      <c r="M545" s="216">
        <f>IFERROR(VLOOKUP(A545,PARTIDAS!$A$2:$F$269,6,FALSE()),1)</f>
        <v>22</v>
      </c>
      <c r="N545" s="216">
        <f>IFERROR(VLOOKUP(A545,PARTIDAS!$A$2:$I$269,9,FALSE()),1)</f>
        <v>1</v>
      </c>
      <c r="O545" s="217">
        <f t="shared" si="16"/>
        <v>0</v>
      </c>
      <c r="P545" s="216">
        <f>IF(O545=0,0,IF(B545="MAT",G545*(1+H545)*L545*PLAN_ETAPA!$C$5,IF(B545="MO",IF(M545=0,0,G545*L545*PLAN_ETAPA!$C$5*N545/M545),IF(B545="EQ",IF(M545=0,0,G545*L545*PLAN_ETAPA!$C$5/M545),0))))</f>
        <v>0</v>
      </c>
      <c r="Q545" s="218">
        <f t="shared" si="17"/>
        <v>0</v>
      </c>
    </row>
    <row r="546" spans="1:17" x14ac:dyDescent="0.35">
      <c r="A546" s="212" t="str">
        <f>COMPOSICIÓN!A546</f>
        <v>PIN-051</v>
      </c>
      <c r="B546" s="212" t="str">
        <f>COMPOSICIÓN!B546</f>
        <v>EQ</v>
      </c>
      <c r="C546" s="212">
        <f>COMPOSICIÓN!C546</f>
        <v>0</v>
      </c>
      <c r="D546" s="212" t="str">
        <f>COMPOSICIÓN!D546</f>
        <v>EQ-PTO026</v>
      </c>
      <c r="E546" s="212" t="str">
        <f>COMPOSICIÓN!E546</f>
        <v>ESCALERA MADERA PINTOR 8 ESCALONES</v>
      </c>
      <c r="F546" s="212">
        <f>COMPOSICIÓN!F546</f>
        <v>0</v>
      </c>
      <c r="G546" s="213">
        <f>COMPOSICIÓN!G546</f>
        <v>2</v>
      </c>
      <c r="H546" s="214">
        <f>COMPOSICIÓN!H546</f>
        <v>0</v>
      </c>
      <c r="I546" s="215">
        <f>COMPOSICIÓN!I546</f>
        <v>200.25307946474501</v>
      </c>
      <c r="J546" s="212" t="str">
        <f>IFERROR(VLOOKUP(A546,PARTIDAS!$A$2:$C$269,3,FALSE()),"")</f>
        <v>PINTURA</v>
      </c>
      <c r="K546" s="212" t="str">
        <f>IFERROR(INDEX(PPTO_GENERADOR!$B$4:$B$220,MATCH(A546,PPTO_GENERADOR!$Q$4:$Q$220,0)),"")</f>
        <v/>
      </c>
      <c r="L546" s="216">
        <f>IF(PLAN_ETAPA!$C$4="(TODOS)",SUMIFS(PPTO_GENERADOR!$E$4:$E$220,PPTO_GENERADOR!$Q$4:$Q$220,A546),SUMIFS(PPTO_GENERADOR!$E$4:$E$220,PPTO_GENERADOR!$Q$4:$Q$220,A546,PPTO_GENERADOR!$B$4:$B$220,PLAN_ETAPA!$C$4))</f>
        <v>0</v>
      </c>
      <c r="M546" s="216">
        <f>IFERROR(VLOOKUP(A546,PARTIDAS!$A$2:$F$269,6,FALSE()),1)</f>
        <v>22</v>
      </c>
      <c r="N546" s="216">
        <f>IFERROR(VLOOKUP(A546,PARTIDAS!$A$2:$I$269,9,FALSE()),1)</f>
        <v>1</v>
      </c>
      <c r="O546" s="217">
        <f t="shared" si="16"/>
        <v>0</v>
      </c>
      <c r="P546" s="216">
        <f>IF(O546=0,0,IF(B546="MAT",G546*(1+H546)*L546*PLAN_ETAPA!$C$5,IF(B546="MO",IF(M546=0,0,G546*L546*PLAN_ETAPA!$C$5*N546/M546),IF(B546="EQ",IF(M546=0,0,G546*L546*PLAN_ETAPA!$C$5/M546),0))))</f>
        <v>0</v>
      </c>
      <c r="Q546" s="218">
        <f t="shared" si="17"/>
        <v>0</v>
      </c>
    </row>
    <row r="547" spans="1:17" x14ac:dyDescent="0.35">
      <c r="A547" s="212" t="str">
        <f>COMPOSICIÓN!A547</f>
        <v>PIN-051</v>
      </c>
      <c r="B547" s="212" t="str">
        <f>COMPOSICIÓN!B547</f>
        <v>MAT</v>
      </c>
      <c r="C547" s="212" t="str">
        <f>COMPOSICIÓN!C547</f>
        <v>OTR</v>
      </c>
      <c r="D547" s="212" t="str">
        <f>COMPOSICIÓN!D547</f>
        <v>OTR-021</v>
      </c>
      <c r="E547" s="212" t="str">
        <f>COMPOSICIÓN!E547</f>
        <v>Fijador al agua x 20 lts</v>
      </c>
      <c r="F547" s="212" t="str">
        <f>COMPOSICIÓN!F547</f>
        <v>b</v>
      </c>
      <c r="G547" s="213">
        <f>COMPOSICIÓN!G547</f>
        <v>4.0000000000000001E-3</v>
      </c>
      <c r="H547" s="214">
        <f>COMPOSICIÓN!H547</f>
        <v>0.05</v>
      </c>
      <c r="I547" s="215">
        <f>COMPOSICIÓN!I547</f>
        <v>30467.49</v>
      </c>
      <c r="J547" s="212" t="str">
        <f>IFERROR(VLOOKUP(A547,PARTIDAS!$A$2:$C$269,3,FALSE()),"")</f>
        <v>PINTURA</v>
      </c>
      <c r="K547" s="212" t="str">
        <f>IFERROR(INDEX(PPTO_GENERADOR!$B$4:$B$220,MATCH(A547,PPTO_GENERADOR!$Q$4:$Q$220,0)),"")</f>
        <v/>
      </c>
      <c r="L547" s="216">
        <f>IF(PLAN_ETAPA!$C$4="(TODOS)",SUMIFS(PPTO_GENERADOR!$E$4:$E$220,PPTO_GENERADOR!$Q$4:$Q$220,A547),SUMIFS(PPTO_GENERADOR!$E$4:$E$220,PPTO_GENERADOR!$Q$4:$Q$220,A547,PPTO_GENERADOR!$B$4:$B$220,PLAN_ETAPA!$C$4))</f>
        <v>0</v>
      </c>
      <c r="M547" s="216">
        <f>IFERROR(VLOOKUP(A547,PARTIDAS!$A$2:$F$269,6,FALSE()),1)</f>
        <v>22</v>
      </c>
      <c r="N547" s="216">
        <f>IFERROR(VLOOKUP(A547,PARTIDAS!$A$2:$I$269,9,FALSE()),1)</f>
        <v>1</v>
      </c>
      <c r="O547" s="217">
        <f t="shared" si="16"/>
        <v>0</v>
      </c>
      <c r="P547" s="216">
        <f>IF(O547=0,0,IF(B547="MAT",G547*(1+H547)*L547*PLAN_ETAPA!$C$5,IF(B547="MO",IF(M547=0,0,G547*L547*PLAN_ETAPA!$C$5*N547/M547),IF(B547="EQ",IF(M547=0,0,G547*L547*PLAN_ETAPA!$C$5/M547),0))))</f>
        <v>0</v>
      </c>
      <c r="Q547" s="218">
        <f t="shared" si="17"/>
        <v>0</v>
      </c>
    </row>
    <row r="548" spans="1:17" x14ac:dyDescent="0.35">
      <c r="A548" s="212" t="str">
        <f>COMPOSICIÓN!A548</f>
        <v>PIN-051</v>
      </c>
      <c r="B548" s="212" t="str">
        <f>COMPOSICIÓN!B548</f>
        <v>MAT</v>
      </c>
      <c r="C548" s="212" t="str">
        <f>COMPOSICIÓN!C548</f>
        <v>OTR</v>
      </c>
      <c r="D548" s="212" t="str">
        <f>COMPOSICIÓN!D548</f>
        <v>OTR-023</v>
      </c>
      <c r="E548" s="212" t="str">
        <f>COMPOSICIÓN!E548</f>
        <v>Lija 180 al agua x 10u</v>
      </c>
      <c r="F548" s="212" t="str">
        <f>COMPOSICIÓN!F548</f>
        <v>u</v>
      </c>
      <c r="G548" s="213">
        <f>COMPOSICIÓN!G548</f>
        <v>2.5000000000000001E-2</v>
      </c>
      <c r="H548" s="214">
        <f>COMPOSICIÓN!H548</f>
        <v>0.05</v>
      </c>
      <c r="I548" s="215">
        <f>COMPOSICIÓN!I548</f>
        <v>5661.4</v>
      </c>
      <c r="J548" s="212" t="str">
        <f>IFERROR(VLOOKUP(A548,PARTIDAS!$A$2:$C$269,3,FALSE()),"")</f>
        <v>PINTURA</v>
      </c>
      <c r="K548" s="212" t="str">
        <f>IFERROR(INDEX(PPTO_GENERADOR!$B$4:$B$220,MATCH(A548,PPTO_GENERADOR!$Q$4:$Q$220,0)),"")</f>
        <v/>
      </c>
      <c r="L548" s="216">
        <f>IF(PLAN_ETAPA!$C$4="(TODOS)",SUMIFS(PPTO_GENERADOR!$E$4:$E$220,PPTO_GENERADOR!$Q$4:$Q$220,A548),SUMIFS(PPTO_GENERADOR!$E$4:$E$220,PPTO_GENERADOR!$Q$4:$Q$220,A548,PPTO_GENERADOR!$B$4:$B$220,PLAN_ETAPA!$C$4))</f>
        <v>0</v>
      </c>
      <c r="M548" s="216">
        <f>IFERROR(VLOOKUP(A548,PARTIDAS!$A$2:$F$269,6,FALSE()),1)</f>
        <v>22</v>
      </c>
      <c r="N548" s="216">
        <f>IFERROR(VLOOKUP(A548,PARTIDAS!$A$2:$I$269,9,FALSE()),1)</f>
        <v>1</v>
      </c>
      <c r="O548" s="217">
        <f t="shared" si="16"/>
        <v>0</v>
      </c>
      <c r="P548" s="216">
        <f>IF(O548=0,0,IF(B548="MAT",G548*(1+H548)*L548*PLAN_ETAPA!$C$5,IF(B548="MO",IF(M548=0,0,G548*L548*PLAN_ETAPA!$C$5*N548/M548),IF(B548="EQ",IF(M548=0,0,G548*L548*PLAN_ETAPA!$C$5/M548),0))))</f>
        <v>0</v>
      </c>
      <c r="Q548" s="218">
        <f t="shared" si="17"/>
        <v>0</v>
      </c>
    </row>
    <row r="549" spans="1:17" x14ac:dyDescent="0.35">
      <c r="A549" s="212" t="str">
        <f>COMPOSICIÓN!A549</f>
        <v>PIN-051</v>
      </c>
      <c r="B549" s="212" t="str">
        <f>COMPOSICIÓN!B549</f>
        <v>MAT</v>
      </c>
      <c r="C549" s="212" t="str">
        <f>COMPOSICIÓN!C549</f>
        <v>OTR</v>
      </c>
      <c r="D549" s="212" t="str">
        <f>COMPOSICIÓN!D549</f>
        <v>OTR-024</v>
      </c>
      <c r="E549" s="212" t="str">
        <f>COMPOSICIÓN!E549</f>
        <v>Cinta de Papel 36 mm x 40m</v>
      </c>
      <c r="F549" s="212" t="str">
        <f>COMPOSICIÓN!F549</f>
        <v>u</v>
      </c>
      <c r="G549" s="213">
        <f>COMPOSICIÓN!G549</f>
        <v>0.05</v>
      </c>
      <c r="H549" s="214">
        <f>COMPOSICIÓN!H549</f>
        <v>0.1</v>
      </c>
      <c r="I549" s="215">
        <f>COMPOSICIÓN!I549</f>
        <v>3293.01</v>
      </c>
      <c r="J549" s="212" t="str">
        <f>IFERROR(VLOOKUP(A549,PARTIDAS!$A$2:$C$269,3,FALSE()),"")</f>
        <v>PINTURA</v>
      </c>
      <c r="K549" s="212" t="str">
        <f>IFERROR(INDEX(PPTO_GENERADOR!$B$4:$B$220,MATCH(A549,PPTO_GENERADOR!$Q$4:$Q$220,0)),"")</f>
        <v/>
      </c>
      <c r="L549" s="216">
        <f>IF(PLAN_ETAPA!$C$4="(TODOS)",SUMIFS(PPTO_GENERADOR!$E$4:$E$220,PPTO_GENERADOR!$Q$4:$Q$220,A549),SUMIFS(PPTO_GENERADOR!$E$4:$E$220,PPTO_GENERADOR!$Q$4:$Q$220,A549,PPTO_GENERADOR!$B$4:$B$220,PLAN_ETAPA!$C$4))</f>
        <v>0</v>
      </c>
      <c r="M549" s="216">
        <f>IFERROR(VLOOKUP(A549,PARTIDAS!$A$2:$F$269,6,FALSE()),1)</f>
        <v>22</v>
      </c>
      <c r="N549" s="216">
        <f>IFERROR(VLOOKUP(A549,PARTIDAS!$A$2:$I$269,9,FALSE()),1)</f>
        <v>1</v>
      </c>
      <c r="O549" s="217">
        <f t="shared" si="16"/>
        <v>0</v>
      </c>
      <c r="P549" s="216">
        <f>IF(O549=0,0,IF(B549="MAT",G549*(1+H549)*L549*PLAN_ETAPA!$C$5,IF(B549="MO",IF(M549=0,0,G549*L549*PLAN_ETAPA!$C$5*N549/M549),IF(B549="EQ",IF(M549=0,0,G549*L549*PLAN_ETAPA!$C$5/M549),0))))</f>
        <v>0</v>
      </c>
      <c r="Q549" s="218">
        <f t="shared" si="17"/>
        <v>0</v>
      </c>
    </row>
    <row r="550" spans="1:17" x14ac:dyDescent="0.35">
      <c r="A550" s="212" t="str">
        <f>COMPOSICIÓN!A550</f>
        <v>PIN-051</v>
      </c>
      <c r="B550" s="212" t="str">
        <f>COMPOSICIÓN!B550</f>
        <v>MAT</v>
      </c>
      <c r="C550" s="212" t="str">
        <f>COMPOSICIÓN!C550</f>
        <v>OTR</v>
      </c>
      <c r="D550" s="212" t="str">
        <f>COMPOSICIÓN!D550</f>
        <v>OTR-025</v>
      </c>
      <c r="E550" s="212" t="str">
        <f>COMPOSICIÓN!E550</f>
        <v>Trapo</v>
      </c>
      <c r="F550" s="212" t="str">
        <f>COMPOSICIÓN!F550</f>
        <v>u</v>
      </c>
      <c r="G550" s="213">
        <f>COMPOSICIÓN!G550</f>
        <v>0.03</v>
      </c>
      <c r="H550" s="214">
        <f>COMPOSICIÓN!H550</f>
        <v>0.05</v>
      </c>
      <c r="I550" s="215">
        <f>COMPOSICIÓN!I550</f>
        <v>735.06</v>
      </c>
      <c r="J550" s="212" t="str">
        <f>IFERROR(VLOOKUP(A550,PARTIDAS!$A$2:$C$269,3,FALSE()),"")</f>
        <v>PINTURA</v>
      </c>
      <c r="K550" s="212" t="str">
        <f>IFERROR(INDEX(PPTO_GENERADOR!$B$4:$B$220,MATCH(A550,PPTO_GENERADOR!$Q$4:$Q$220,0)),"")</f>
        <v/>
      </c>
      <c r="L550" s="216">
        <f>IF(PLAN_ETAPA!$C$4="(TODOS)",SUMIFS(PPTO_GENERADOR!$E$4:$E$220,PPTO_GENERADOR!$Q$4:$Q$220,A550),SUMIFS(PPTO_GENERADOR!$E$4:$E$220,PPTO_GENERADOR!$Q$4:$Q$220,A550,PPTO_GENERADOR!$B$4:$B$220,PLAN_ETAPA!$C$4))</f>
        <v>0</v>
      </c>
      <c r="M550" s="216">
        <f>IFERROR(VLOOKUP(A550,PARTIDAS!$A$2:$F$269,6,FALSE()),1)</f>
        <v>22</v>
      </c>
      <c r="N550" s="216">
        <f>IFERROR(VLOOKUP(A550,PARTIDAS!$A$2:$I$269,9,FALSE()),1)</f>
        <v>1</v>
      </c>
      <c r="O550" s="217">
        <f t="shared" si="16"/>
        <v>0</v>
      </c>
      <c r="P550" s="216">
        <f>IF(O550=0,0,IF(B550="MAT",G550*(1+H550)*L550*PLAN_ETAPA!$C$5,IF(B550="MO",IF(M550=0,0,G550*L550*PLAN_ETAPA!$C$5*N550/M550),IF(B550="EQ",IF(M550=0,0,G550*L550*PLAN_ETAPA!$C$5/M550),0))))</f>
        <v>0</v>
      </c>
      <c r="Q550" s="218">
        <f t="shared" si="17"/>
        <v>0</v>
      </c>
    </row>
    <row r="551" spans="1:17" x14ac:dyDescent="0.35">
      <c r="A551" s="212" t="str">
        <f>COMPOSICIÓN!A551</f>
        <v>PIN-051</v>
      </c>
      <c r="B551" s="212" t="str">
        <f>COMPOSICIÓN!B551</f>
        <v>MAT</v>
      </c>
      <c r="C551" s="212" t="str">
        <f>COMPOSICIÓN!C551</f>
        <v>OTR</v>
      </c>
      <c r="D551" s="212" t="str">
        <f>COMPOSICIÓN!D551</f>
        <v>OTR-026</v>
      </c>
      <c r="E551" s="212" t="str">
        <f>COMPOSICIÓN!E551</f>
        <v>Rodillo de lana pelo corto antigota N°22 - El Galgo</v>
      </c>
      <c r="F551" s="212" t="str">
        <f>COMPOSICIÓN!F551</f>
        <v>u</v>
      </c>
      <c r="G551" s="213">
        <f>COMPOSICIÓN!G551</f>
        <v>5.0000000000000001E-3</v>
      </c>
      <c r="H551" s="214">
        <f>COMPOSICIÓN!H551</f>
        <v>0.05</v>
      </c>
      <c r="I551" s="215">
        <f>COMPOSICIÓN!I551</f>
        <v>6678.36</v>
      </c>
      <c r="J551" s="212" t="str">
        <f>IFERROR(VLOOKUP(A551,PARTIDAS!$A$2:$C$269,3,FALSE()),"")</f>
        <v>PINTURA</v>
      </c>
      <c r="K551" s="212" t="str">
        <f>IFERROR(INDEX(PPTO_GENERADOR!$B$4:$B$220,MATCH(A551,PPTO_GENERADOR!$Q$4:$Q$220,0)),"")</f>
        <v/>
      </c>
      <c r="L551" s="216">
        <f>IF(PLAN_ETAPA!$C$4="(TODOS)",SUMIFS(PPTO_GENERADOR!$E$4:$E$220,PPTO_GENERADOR!$Q$4:$Q$220,A551),SUMIFS(PPTO_GENERADOR!$E$4:$E$220,PPTO_GENERADOR!$Q$4:$Q$220,A551,PPTO_GENERADOR!$B$4:$B$220,PLAN_ETAPA!$C$4))</f>
        <v>0</v>
      </c>
      <c r="M551" s="216">
        <f>IFERROR(VLOOKUP(A551,PARTIDAS!$A$2:$F$269,6,FALSE()),1)</f>
        <v>22</v>
      </c>
      <c r="N551" s="216">
        <f>IFERROR(VLOOKUP(A551,PARTIDAS!$A$2:$I$269,9,FALSE()),1)</f>
        <v>1</v>
      </c>
      <c r="O551" s="217">
        <f t="shared" si="16"/>
        <v>0</v>
      </c>
      <c r="P551" s="216">
        <f>IF(O551=0,0,IF(B551="MAT",G551*(1+H551)*L551*PLAN_ETAPA!$C$5,IF(B551="MO",IF(M551=0,0,G551*L551*PLAN_ETAPA!$C$5*N551/M551),IF(B551="EQ",IF(M551=0,0,G551*L551*PLAN_ETAPA!$C$5/M551),0))))</f>
        <v>0</v>
      </c>
      <c r="Q551" s="218">
        <f t="shared" si="17"/>
        <v>0</v>
      </c>
    </row>
    <row r="552" spans="1:17" x14ac:dyDescent="0.35">
      <c r="A552" s="212" t="str">
        <f>COMPOSICIÓN!A552</f>
        <v>PIN-051</v>
      </c>
      <c r="B552" s="212" t="str">
        <f>COMPOSICIÓN!B552</f>
        <v>MAT</v>
      </c>
      <c r="C552" s="212" t="str">
        <f>COMPOSICIÓN!C552</f>
        <v>OTR</v>
      </c>
      <c r="D552" s="212" t="str">
        <f>COMPOSICIÓN!D552</f>
        <v>OTR-028</v>
      </c>
      <c r="E552" s="212" t="str">
        <f>COMPOSICIÓN!E552</f>
        <v>Pincel N° 20 - El Galgo</v>
      </c>
      <c r="F552" s="212" t="str">
        <f>COMPOSICIÓN!F552</f>
        <v>u</v>
      </c>
      <c r="G552" s="213">
        <f>COMPOSICIÓN!G552</f>
        <v>5.0000000000000001E-3</v>
      </c>
      <c r="H552" s="214">
        <f>COMPOSICIÓN!H552</f>
        <v>0.05</v>
      </c>
      <c r="I552" s="215">
        <f>COMPOSICIÓN!I552</f>
        <v>5282.24</v>
      </c>
      <c r="J552" s="212" t="str">
        <f>IFERROR(VLOOKUP(A552,PARTIDAS!$A$2:$C$269,3,FALSE()),"")</f>
        <v>PINTURA</v>
      </c>
      <c r="K552" s="212" t="str">
        <f>IFERROR(INDEX(PPTO_GENERADOR!$B$4:$B$220,MATCH(A552,PPTO_GENERADOR!$Q$4:$Q$220,0)),"")</f>
        <v/>
      </c>
      <c r="L552" s="216">
        <f>IF(PLAN_ETAPA!$C$4="(TODOS)",SUMIFS(PPTO_GENERADOR!$E$4:$E$220,PPTO_GENERADOR!$Q$4:$Q$220,A552),SUMIFS(PPTO_GENERADOR!$E$4:$E$220,PPTO_GENERADOR!$Q$4:$Q$220,A552,PPTO_GENERADOR!$B$4:$B$220,PLAN_ETAPA!$C$4))</f>
        <v>0</v>
      </c>
      <c r="M552" s="216">
        <f>IFERROR(VLOOKUP(A552,PARTIDAS!$A$2:$F$269,6,FALSE()),1)</f>
        <v>22</v>
      </c>
      <c r="N552" s="216">
        <f>IFERROR(VLOOKUP(A552,PARTIDAS!$A$2:$I$269,9,FALSE()),1)</f>
        <v>1</v>
      </c>
      <c r="O552" s="217">
        <f t="shared" si="16"/>
        <v>0</v>
      </c>
      <c r="P552" s="216">
        <f>IF(O552=0,0,IF(B552="MAT",G552*(1+H552)*L552*PLAN_ETAPA!$C$5,IF(B552="MO",IF(M552=0,0,G552*L552*PLAN_ETAPA!$C$5*N552/M552),IF(B552="EQ",IF(M552=0,0,G552*L552*PLAN_ETAPA!$C$5/M552),0))))</f>
        <v>0</v>
      </c>
      <c r="Q552" s="218">
        <f t="shared" si="17"/>
        <v>0</v>
      </c>
    </row>
    <row r="553" spans="1:17" x14ac:dyDescent="0.35">
      <c r="A553" s="212" t="str">
        <f>COMPOSICIÓN!A553</f>
        <v>PIN-051</v>
      </c>
      <c r="B553" s="212" t="str">
        <f>COMPOSICIÓN!B553</f>
        <v>MAT</v>
      </c>
      <c r="C553" s="212" t="str">
        <f>COMPOSICIÓN!C553</f>
        <v>OTR</v>
      </c>
      <c r="D553" s="212" t="str">
        <f>COMPOSICIÓN!D553</f>
        <v>OTR-029</v>
      </c>
      <c r="E553" s="212" t="str">
        <f>COMPOSICIÓN!E553</f>
        <v>Rollo de cartón corrugado 0,90 x 25 mts</v>
      </c>
      <c r="F553" s="212" t="str">
        <f>COMPOSICIÓN!F553</f>
        <v>u</v>
      </c>
      <c r="G553" s="213">
        <f>COMPOSICIÓN!G553</f>
        <v>0.01</v>
      </c>
      <c r="H553" s="214">
        <f>COMPOSICIÓN!H553</f>
        <v>0.05</v>
      </c>
      <c r="I553" s="215">
        <f>COMPOSICIÓN!I553</f>
        <v>7427.6</v>
      </c>
      <c r="J553" s="212" t="str">
        <f>IFERROR(VLOOKUP(A553,PARTIDAS!$A$2:$C$269,3,FALSE()),"")</f>
        <v>PINTURA</v>
      </c>
      <c r="K553" s="212" t="str">
        <f>IFERROR(INDEX(PPTO_GENERADOR!$B$4:$B$220,MATCH(A553,PPTO_GENERADOR!$Q$4:$Q$220,0)),"")</f>
        <v/>
      </c>
      <c r="L553" s="216">
        <f>IF(PLAN_ETAPA!$C$4="(TODOS)",SUMIFS(PPTO_GENERADOR!$E$4:$E$220,PPTO_GENERADOR!$Q$4:$Q$220,A553),SUMIFS(PPTO_GENERADOR!$E$4:$E$220,PPTO_GENERADOR!$Q$4:$Q$220,A553,PPTO_GENERADOR!$B$4:$B$220,PLAN_ETAPA!$C$4))</f>
        <v>0</v>
      </c>
      <c r="M553" s="216">
        <f>IFERROR(VLOOKUP(A553,PARTIDAS!$A$2:$F$269,6,FALSE()),1)</f>
        <v>22</v>
      </c>
      <c r="N553" s="216">
        <f>IFERROR(VLOOKUP(A553,PARTIDAS!$A$2:$I$269,9,FALSE()),1)</f>
        <v>1</v>
      </c>
      <c r="O553" s="217">
        <f t="shared" si="16"/>
        <v>0</v>
      </c>
      <c r="P553" s="216">
        <f>IF(O553=0,0,IF(B553="MAT",G553*(1+H553)*L553*PLAN_ETAPA!$C$5,IF(B553="MO",IF(M553=0,0,G553*L553*PLAN_ETAPA!$C$5*N553/M553),IF(B553="EQ",IF(M553=0,0,G553*L553*PLAN_ETAPA!$C$5/M553),0))))</f>
        <v>0</v>
      </c>
      <c r="Q553" s="218">
        <f t="shared" si="17"/>
        <v>0</v>
      </c>
    </row>
    <row r="554" spans="1:17" x14ac:dyDescent="0.35">
      <c r="A554" s="212" t="str">
        <f>COMPOSICIÓN!A554</f>
        <v>PIN-051</v>
      </c>
      <c r="B554" s="212" t="str">
        <f>COMPOSICIÓN!B554</f>
        <v>MAT</v>
      </c>
      <c r="C554" s="212" t="str">
        <f>COMPOSICIÓN!C554</f>
        <v>OTR</v>
      </c>
      <c r="D554" s="212" t="str">
        <f>COMPOSICIÓN!D554</f>
        <v>PIN-001</v>
      </c>
      <c r="E554" s="212" t="str">
        <f>COMPOSICIÓN!E554</f>
        <v>Latex Loxon Interior Sherwin Williams Mate Bco x 20lts</v>
      </c>
      <c r="F554" s="212" t="str">
        <f>COMPOSICIÓN!F554</f>
        <v>B</v>
      </c>
      <c r="G554" s="213">
        <f>COMPOSICIÓN!G554</f>
        <v>1.2500000000000001E-2</v>
      </c>
      <c r="H554" s="214">
        <f>COMPOSICIÓN!H554</f>
        <v>0.1</v>
      </c>
      <c r="I554" s="215">
        <f>COMPOSICIÓN!I554</f>
        <v>120622.23</v>
      </c>
      <c r="J554" s="212" t="str">
        <f>IFERROR(VLOOKUP(A554,PARTIDAS!$A$2:$C$269,3,FALSE()),"")</f>
        <v>PINTURA</v>
      </c>
      <c r="K554" s="212" t="str">
        <f>IFERROR(INDEX(PPTO_GENERADOR!$B$4:$B$220,MATCH(A554,PPTO_GENERADOR!$Q$4:$Q$220,0)),"")</f>
        <v/>
      </c>
      <c r="L554" s="216">
        <f>IF(PLAN_ETAPA!$C$4="(TODOS)",SUMIFS(PPTO_GENERADOR!$E$4:$E$220,PPTO_GENERADOR!$Q$4:$Q$220,A554),SUMIFS(PPTO_GENERADOR!$E$4:$E$220,PPTO_GENERADOR!$Q$4:$Q$220,A554,PPTO_GENERADOR!$B$4:$B$220,PLAN_ETAPA!$C$4))</f>
        <v>0</v>
      </c>
      <c r="M554" s="216">
        <f>IFERROR(VLOOKUP(A554,PARTIDAS!$A$2:$F$269,6,FALSE()),1)</f>
        <v>22</v>
      </c>
      <c r="N554" s="216">
        <f>IFERROR(VLOOKUP(A554,PARTIDAS!$A$2:$I$269,9,FALSE()),1)</f>
        <v>1</v>
      </c>
      <c r="O554" s="217">
        <f t="shared" si="16"/>
        <v>0</v>
      </c>
      <c r="P554" s="216">
        <f>IF(O554=0,0,IF(B554="MAT",G554*(1+H554)*L554*PLAN_ETAPA!$C$5,IF(B554="MO",IF(M554=0,0,G554*L554*PLAN_ETAPA!$C$5*N554/M554),IF(B554="EQ",IF(M554=0,0,G554*L554*PLAN_ETAPA!$C$5/M554),0))))</f>
        <v>0</v>
      </c>
      <c r="Q554" s="218">
        <f t="shared" si="17"/>
        <v>0</v>
      </c>
    </row>
    <row r="555" spans="1:17" x14ac:dyDescent="0.35">
      <c r="A555" s="212" t="str">
        <f>COMPOSICIÓN!A555</f>
        <v>PIN-051</v>
      </c>
      <c r="B555" s="212" t="str">
        <f>COMPOSICIÓN!B555</f>
        <v>MAT</v>
      </c>
      <c r="C555" s="212" t="str">
        <f>COMPOSICIÓN!C555</f>
        <v>OTR</v>
      </c>
      <c r="D555" s="212" t="str">
        <f>COMPOSICIÓN!D555</f>
        <v>PIN-007</v>
      </c>
      <c r="E555" s="212" t="str">
        <f>COMPOSICIÓN!E555</f>
        <v>Enduido Interior x 20lts</v>
      </c>
      <c r="F555" s="212" t="str">
        <f>COMPOSICIÓN!F555</f>
        <v>B</v>
      </c>
      <c r="G555" s="213">
        <f>COMPOSICIÓN!G555</f>
        <v>0.03</v>
      </c>
      <c r="H555" s="214">
        <f>COMPOSICIÓN!H555</f>
        <v>0.1</v>
      </c>
      <c r="I555" s="215">
        <f>COMPOSICIÓN!I555</f>
        <v>18735.77</v>
      </c>
      <c r="J555" s="212" t="str">
        <f>IFERROR(VLOOKUP(A555,PARTIDAS!$A$2:$C$269,3,FALSE()),"")</f>
        <v>PINTURA</v>
      </c>
      <c r="K555" s="212" t="str">
        <f>IFERROR(INDEX(PPTO_GENERADOR!$B$4:$B$220,MATCH(A555,PPTO_GENERADOR!$Q$4:$Q$220,0)),"")</f>
        <v/>
      </c>
      <c r="L555" s="216">
        <f>IF(PLAN_ETAPA!$C$4="(TODOS)",SUMIFS(PPTO_GENERADOR!$E$4:$E$220,PPTO_GENERADOR!$Q$4:$Q$220,A555),SUMIFS(PPTO_GENERADOR!$E$4:$E$220,PPTO_GENERADOR!$Q$4:$Q$220,A555,PPTO_GENERADOR!$B$4:$B$220,PLAN_ETAPA!$C$4))</f>
        <v>0</v>
      </c>
      <c r="M555" s="216">
        <f>IFERROR(VLOOKUP(A555,PARTIDAS!$A$2:$F$269,6,FALSE()),1)</f>
        <v>22</v>
      </c>
      <c r="N555" s="216">
        <f>IFERROR(VLOOKUP(A555,PARTIDAS!$A$2:$I$269,9,FALSE()),1)</f>
        <v>1</v>
      </c>
      <c r="O555" s="217">
        <f t="shared" si="16"/>
        <v>0</v>
      </c>
      <c r="P555" s="216">
        <f>IF(O555=0,0,IF(B555="MAT",G555*(1+H555)*L555*PLAN_ETAPA!$C$5,IF(B555="MO",IF(M555=0,0,G555*L555*PLAN_ETAPA!$C$5*N555/M555),IF(B555="EQ",IF(M555=0,0,G555*L555*PLAN_ETAPA!$C$5/M555),0))))</f>
        <v>0</v>
      </c>
      <c r="Q555" s="218">
        <f t="shared" si="17"/>
        <v>0</v>
      </c>
    </row>
    <row r="556" spans="1:17" x14ac:dyDescent="0.35">
      <c r="A556" s="212" t="str">
        <f>COMPOSICIÓN!A556</f>
        <v>PIN-051</v>
      </c>
      <c r="B556" s="212" t="str">
        <f>COMPOSICIÓN!B556</f>
        <v>MAT</v>
      </c>
      <c r="C556" s="212" t="str">
        <f>COMPOSICIÓN!C556</f>
        <v>OTR</v>
      </c>
      <c r="D556" s="212" t="str">
        <f>COMPOSICIÓN!D556</f>
        <v>REV-001</v>
      </c>
      <c r="E556" s="212" t="str">
        <f>COMPOSICIÓN!E556</f>
        <v>Yeso Tuyango x 30kg</v>
      </c>
      <c r="F556" s="212" t="str">
        <f>COMPOSICIÓN!F556</f>
        <v>b</v>
      </c>
      <c r="G556" s="213">
        <f>COMPOSICIÓN!G556</f>
        <v>2.5000000000000001E-3</v>
      </c>
      <c r="H556" s="214">
        <f>COMPOSICIÓN!H556</f>
        <v>0.05</v>
      </c>
      <c r="I556" s="215">
        <f>COMPOSICIÓN!I556</f>
        <v>9639</v>
      </c>
      <c r="J556" s="212" t="str">
        <f>IFERROR(VLOOKUP(A556,PARTIDAS!$A$2:$C$269,3,FALSE()),"")</f>
        <v>PINTURA</v>
      </c>
      <c r="K556" s="212" t="str">
        <f>IFERROR(INDEX(PPTO_GENERADOR!$B$4:$B$220,MATCH(A556,PPTO_GENERADOR!$Q$4:$Q$220,0)),"")</f>
        <v/>
      </c>
      <c r="L556" s="216">
        <f>IF(PLAN_ETAPA!$C$4="(TODOS)",SUMIFS(PPTO_GENERADOR!$E$4:$E$220,PPTO_GENERADOR!$Q$4:$Q$220,A556),SUMIFS(PPTO_GENERADOR!$E$4:$E$220,PPTO_GENERADOR!$Q$4:$Q$220,A556,PPTO_GENERADOR!$B$4:$B$220,PLAN_ETAPA!$C$4))</f>
        <v>0</v>
      </c>
      <c r="M556" s="216">
        <f>IFERROR(VLOOKUP(A556,PARTIDAS!$A$2:$F$269,6,FALSE()),1)</f>
        <v>22</v>
      </c>
      <c r="N556" s="216">
        <f>IFERROR(VLOOKUP(A556,PARTIDAS!$A$2:$I$269,9,FALSE()),1)</f>
        <v>1</v>
      </c>
      <c r="O556" s="217">
        <f t="shared" si="16"/>
        <v>0</v>
      </c>
      <c r="P556" s="216">
        <f>IF(O556=0,0,IF(B556="MAT",G556*(1+H556)*L556*PLAN_ETAPA!$C$5,IF(B556="MO",IF(M556=0,0,G556*L556*PLAN_ETAPA!$C$5*N556/M556),IF(B556="EQ",IF(M556=0,0,G556*L556*PLAN_ETAPA!$C$5/M556),0))))</f>
        <v>0</v>
      </c>
      <c r="Q556" s="218">
        <f t="shared" si="17"/>
        <v>0</v>
      </c>
    </row>
    <row r="557" spans="1:17" x14ac:dyDescent="0.35">
      <c r="A557" s="212" t="str">
        <f>COMPOSICIÓN!A557</f>
        <v>PIN-051</v>
      </c>
      <c r="B557" s="212" t="str">
        <f>COMPOSICIÓN!B557</f>
        <v>MO</v>
      </c>
      <c r="C557" s="212" t="str">
        <f>COMPOSICIÓN!C557</f>
        <v>ALB</v>
      </c>
      <c r="D557" s="212" t="str">
        <f>COMPOSICIÓN!D557</f>
        <v>MO-EMEDI</v>
      </c>
      <c r="E557" s="212" t="str">
        <f>COMPOSICIÓN!E557</f>
        <v>MEDIO OFICIAL</v>
      </c>
      <c r="F557" s="212" t="str">
        <f>COMPOSICIÓN!F557</f>
        <v>j</v>
      </c>
      <c r="G557" s="213">
        <f>COMPOSICIÓN!G557</f>
        <v>1.25</v>
      </c>
      <c r="H557" s="214">
        <f>COMPOSICIÓN!H557</f>
        <v>0</v>
      </c>
      <c r="I557" s="215">
        <f>COMPOSICIÓN!I557</f>
        <v>65493.071636572</v>
      </c>
      <c r="J557" s="212" t="str">
        <f>IFERROR(VLOOKUP(A557,PARTIDAS!$A$2:$C$269,3,FALSE()),"")</f>
        <v>PINTURA</v>
      </c>
      <c r="K557" s="212" t="str">
        <f>IFERROR(INDEX(PPTO_GENERADOR!$B$4:$B$220,MATCH(A557,PPTO_GENERADOR!$Q$4:$Q$220,0)),"")</f>
        <v/>
      </c>
      <c r="L557" s="216">
        <f>IF(PLAN_ETAPA!$C$4="(TODOS)",SUMIFS(PPTO_GENERADOR!$E$4:$E$220,PPTO_GENERADOR!$Q$4:$Q$220,A557),SUMIFS(PPTO_GENERADOR!$E$4:$E$220,PPTO_GENERADOR!$Q$4:$Q$220,A557,PPTO_GENERADOR!$B$4:$B$220,PLAN_ETAPA!$C$4))</f>
        <v>0</v>
      </c>
      <c r="M557" s="216">
        <f>IFERROR(VLOOKUP(A557,PARTIDAS!$A$2:$F$269,6,FALSE()),1)</f>
        <v>22</v>
      </c>
      <c r="N557" s="216">
        <f>IFERROR(VLOOKUP(A557,PARTIDAS!$A$2:$I$269,9,FALSE()),1)</f>
        <v>1</v>
      </c>
      <c r="O557" s="217">
        <f t="shared" si="16"/>
        <v>0</v>
      </c>
      <c r="P557" s="216">
        <f>IF(O557=0,0,IF(B557="MAT",G557*(1+H557)*L557*PLAN_ETAPA!$C$5,IF(B557="MO",IF(M557=0,0,G557*L557*PLAN_ETAPA!$C$5*N557/M557),IF(B557="EQ",IF(M557=0,0,G557*L557*PLAN_ETAPA!$C$5/M557),0))))</f>
        <v>0</v>
      </c>
      <c r="Q557" s="218">
        <f t="shared" si="17"/>
        <v>0</v>
      </c>
    </row>
    <row r="558" spans="1:17" x14ac:dyDescent="0.35">
      <c r="A558" s="212" t="str">
        <f>COMPOSICIÓN!A558</f>
        <v>PIN-051</v>
      </c>
      <c r="B558" s="212" t="str">
        <f>COMPOSICIÓN!B558</f>
        <v>MO</v>
      </c>
      <c r="C558" s="212" t="str">
        <f>COMPOSICIÓN!C558</f>
        <v>ALB</v>
      </c>
      <c r="D558" s="212" t="str">
        <f>COMPOSICIÓN!D558</f>
        <v>MO-EESPE</v>
      </c>
      <c r="E558" s="212" t="str">
        <f>COMPOSICIÓN!E558</f>
        <v>ESPECIALIZADO</v>
      </c>
      <c r="F558" s="212" t="str">
        <f>COMPOSICIÓN!F558</f>
        <v>j</v>
      </c>
      <c r="G558" s="213">
        <f>COMPOSICIÓN!G558</f>
        <v>1</v>
      </c>
      <c r="H558" s="214">
        <f>COMPOSICIÓN!H558</f>
        <v>0</v>
      </c>
      <c r="I558" s="215">
        <f>COMPOSICIÓN!I558</f>
        <v>85927.097156571996</v>
      </c>
      <c r="J558" s="212" t="str">
        <f>IFERROR(VLOOKUP(A558,PARTIDAS!$A$2:$C$269,3,FALSE()),"")</f>
        <v>PINTURA</v>
      </c>
      <c r="K558" s="212" t="str">
        <f>IFERROR(INDEX(PPTO_GENERADOR!$B$4:$B$220,MATCH(A558,PPTO_GENERADOR!$Q$4:$Q$220,0)),"")</f>
        <v/>
      </c>
      <c r="L558" s="216">
        <f>IF(PLAN_ETAPA!$C$4="(TODOS)",SUMIFS(PPTO_GENERADOR!$E$4:$E$220,PPTO_GENERADOR!$Q$4:$Q$220,A558),SUMIFS(PPTO_GENERADOR!$E$4:$E$220,PPTO_GENERADOR!$Q$4:$Q$220,A558,PPTO_GENERADOR!$B$4:$B$220,PLAN_ETAPA!$C$4))</f>
        <v>0</v>
      </c>
      <c r="M558" s="216">
        <f>IFERROR(VLOOKUP(A558,PARTIDAS!$A$2:$F$269,6,FALSE()),1)</f>
        <v>22</v>
      </c>
      <c r="N558" s="216">
        <f>IFERROR(VLOOKUP(A558,PARTIDAS!$A$2:$I$269,9,FALSE()),1)</f>
        <v>1</v>
      </c>
      <c r="O558" s="217">
        <f t="shared" si="16"/>
        <v>0</v>
      </c>
      <c r="P558" s="216">
        <f>IF(O558=0,0,IF(B558="MAT",G558*(1+H558)*L558*PLAN_ETAPA!$C$5,IF(B558="MO",IF(M558=0,0,G558*L558*PLAN_ETAPA!$C$5*N558/M558),IF(B558="EQ",IF(M558=0,0,G558*L558*PLAN_ETAPA!$C$5/M558),0))))</f>
        <v>0</v>
      </c>
      <c r="Q558" s="218">
        <f t="shared" si="17"/>
        <v>0</v>
      </c>
    </row>
    <row r="559" spans="1:17" x14ac:dyDescent="0.35">
      <c r="A559" s="212" t="str">
        <f>COMPOSICIÓN!A559</f>
        <v>PIN-052</v>
      </c>
      <c r="B559" s="212" t="str">
        <f>COMPOSICIÓN!B559</f>
        <v>EQ</v>
      </c>
      <c r="C559" s="212">
        <f>COMPOSICIÓN!C559</f>
        <v>0</v>
      </c>
      <c r="D559" s="212" t="str">
        <f>COMPOSICIÓN!D559</f>
        <v>EQ-ANDAM0</v>
      </c>
      <c r="E559" s="212" t="str">
        <f>COMPOSICIÓN!E559</f>
        <v>ANDAMIO TUBULAR DE UNO A TRES CUERPOS</v>
      </c>
      <c r="F559" s="212">
        <f>COMPOSICIÓN!F559</f>
        <v>0</v>
      </c>
      <c r="G559" s="213">
        <f>COMPOSICIÓN!G559</f>
        <v>1</v>
      </c>
      <c r="H559" s="214">
        <f>COMPOSICIÓN!H559</f>
        <v>0</v>
      </c>
      <c r="I559" s="215">
        <f>COMPOSICIÓN!I559</f>
        <v>571.1794909807611</v>
      </c>
      <c r="J559" s="212" t="str">
        <f>IFERROR(VLOOKUP(A559,PARTIDAS!$A$2:$C$269,3,FALSE()),"")</f>
        <v>PINTURA</v>
      </c>
      <c r="K559" s="212" t="str">
        <f>IFERROR(INDEX(PPTO_GENERADOR!$B$4:$B$220,MATCH(A559,PPTO_GENERADOR!$Q$4:$Q$220,0)),"")</f>
        <v/>
      </c>
      <c r="L559" s="216">
        <f>IF(PLAN_ETAPA!$C$4="(TODOS)",SUMIFS(PPTO_GENERADOR!$E$4:$E$220,PPTO_GENERADOR!$Q$4:$Q$220,A559),SUMIFS(PPTO_GENERADOR!$E$4:$E$220,PPTO_GENERADOR!$Q$4:$Q$220,A559,PPTO_GENERADOR!$B$4:$B$220,PLAN_ETAPA!$C$4))</f>
        <v>0</v>
      </c>
      <c r="M559" s="216">
        <f>IFERROR(VLOOKUP(A559,PARTIDAS!$A$2:$F$269,6,FALSE()),1)</f>
        <v>17.5</v>
      </c>
      <c r="N559" s="216">
        <f>IFERROR(VLOOKUP(A559,PARTIDAS!$A$2:$I$269,9,FALSE()),1)</f>
        <v>1</v>
      </c>
      <c r="O559" s="217">
        <f t="shared" si="16"/>
        <v>0</v>
      </c>
      <c r="P559" s="216">
        <f>IF(O559=0,0,IF(B559="MAT",G559*(1+H559)*L559*PLAN_ETAPA!$C$5,IF(B559="MO",IF(M559=0,0,G559*L559*PLAN_ETAPA!$C$5*N559/M559),IF(B559="EQ",IF(M559=0,0,G559*L559*PLAN_ETAPA!$C$5/M559),0))))</f>
        <v>0</v>
      </c>
      <c r="Q559" s="218">
        <f t="shared" si="17"/>
        <v>0</v>
      </c>
    </row>
    <row r="560" spans="1:17" x14ac:dyDescent="0.35">
      <c r="A560" s="212" t="str">
        <f>COMPOSICIÓN!A560</f>
        <v>PIN-052</v>
      </c>
      <c r="B560" s="212" t="str">
        <f>COMPOSICIÓN!B560</f>
        <v>EQ</v>
      </c>
      <c r="C560" s="212">
        <f>COMPOSICIÓN!C560</f>
        <v>0</v>
      </c>
      <c r="D560" s="212" t="str">
        <f>COMPOSICIÓN!D560</f>
        <v>EQ-EQUIPI</v>
      </c>
      <c r="E560" s="212" t="str">
        <f>COMPOSICIÓN!E560</f>
        <v>EQUIPO PARA PINTAR</v>
      </c>
      <c r="F560" s="212">
        <f>COMPOSICIÓN!F560</f>
        <v>0</v>
      </c>
      <c r="G560" s="213">
        <f>COMPOSICIÓN!G560</f>
        <v>2</v>
      </c>
      <c r="H560" s="214">
        <f>COMPOSICIÓN!H560</f>
        <v>0</v>
      </c>
      <c r="I560" s="215">
        <f>COMPOSICIÓN!I560</f>
        <v>1723.6259595547085</v>
      </c>
      <c r="J560" s="212" t="str">
        <f>IFERROR(VLOOKUP(A560,PARTIDAS!$A$2:$C$269,3,FALSE()),"")</f>
        <v>PINTURA</v>
      </c>
      <c r="K560" s="212" t="str">
        <f>IFERROR(INDEX(PPTO_GENERADOR!$B$4:$B$220,MATCH(A560,PPTO_GENERADOR!$Q$4:$Q$220,0)),"")</f>
        <v/>
      </c>
      <c r="L560" s="216">
        <f>IF(PLAN_ETAPA!$C$4="(TODOS)",SUMIFS(PPTO_GENERADOR!$E$4:$E$220,PPTO_GENERADOR!$Q$4:$Q$220,A560),SUMIFS(PPTO_GENERADOR!$E$4:$E$220,PPTO_GENERADOR!$Q$4:$Q$220,A560,PPTO_GENERADOR!$B$4:$B$220,PLAN_ETAPA!$C$4))</f>
        <v>0</v>
      </c>
      <c r="M560" s="216">
        <f>IFERROR(VLOOKUP(A560,PARTIDAS!$A$2:$F$269,6,FALSE()),1)</f>
        <v>17.5</v>
      </c>
      <c r="N560" s="216">
        <f>IFERROR(VLOOKUP(A560,PARTIDAS!$A$2:$I$269,9,FALSE()),1)</f>
        <v>1</v>
      </c>
      <c r="O560" s="217">
        <f t="shared" si="16"/>
        <v>0</v>
      </c>
      <c r="P560" s="216">
        <f>IF(O560=0,0,IF(B560="MAT",G560*(1+H560)*L560*PLAN_ETAPA!$C$5,IF(B560="MO",IF(M560=0,0,G560*L560*PLAN_ETAPA!$C$5*N560/M560),IF(B560="EQ",IF(M560=0,0,G560*L560*PLAN_ETAPA!$C$5/M560),0))))</f>
        <v>0</v>
      </c>
      <c r="Q560" s="218">
        <f t="shared" si="17"/>
        <v>0</v>
      </c>
    </row>
    <row r="561" spans="1:17" x14ac:dyDescent="0.35">
      <c r="A561" s="212" t="str">
        <f>COMPOSICIÓN!A561</f>
        <v>PIN-052</v>
      </c>
      <c r="B561" s="212" t="str">
        <f>COMPOSICIÓN!B561</f>
        <v>EQ</v>
      </c>
      <c r="C561" s="212">
        <f>COMPOSICIÓN!C561</f>
        <v>0</v>
      </c>
      <c r="D561" s="212" t="str">
        <f>COMPOSICIÓN!D561</f>
        <v>EQ-PTO026</v>
      </c>
      <c r="E561" s="212" t="str">
        <f>COMPOSICIÓN!E561</f>
        <v>ESCALERA MADERA PINTOR 8 ESCALONES</v>
      </c>
      <c r="F561" s="212">
        <f>COMPOSICIÓN!F561</f>
        <v>0</v>
      </c>
      <c r="G561" s="213">
        <f>COMPOSICIÓN!G561</f>
        <v>1</v>
      </c>
      <c r="H561" s="214">
        <f>COMPOSICIÓN!H561</f>
        <v>0</v>
      </c>
      <c r="I561" s="215">
        <f>COMPOSICIÓN!I561</f>
        <v>200.25307946474501</v>
      </c>
      <c r="J561" s="212" t="str">
        <f>IFERROR(VLOOKUP(A561,PARTIDAS!$A$2:$C$269,3,FALSE()),"")</f>
        <v>PINTURA</v>
      </c>
      <c r="K561" s="212" t="str">
        <f>IFERROR(INDEX(PPTO_GENERADOR!$B$4:$B$220,MATCH(A561,PPTO_GENERADOR!$Q$4:$Q$220,0)),"")</f>
        <v/>
      </c>
      <c r="L561" s="216">
        <f>IF(PLAN_ETAPA!$C$4="(TODOS)",SUMIFS(PPTO_GENERADOR!$E$4:$E$220,PPTO_GENERADOR!$Q$4:$Q$220,A561),SUMIFS(PPTO_GENERADOR!$E$4:$E$220,PPTO_GENERADOR!$Q$4:$Q$220,A561,PPTO_GENERADOR!$B$4:$B$220,PLAN_ETAPA!$C$4))</f>
        <v>0</v>
      </c>
      <c r="M561" s="216">
        <f>IFERROR(VLOOKUP(A561,PARTIDAS!$A$2:$F$269,6,FALSE()),1)</f>
        <v>17.5</v>
      </c>
      <c r="N561" s="216">
        <f>IFERROR(VLOOKUP(A561,PARTIDAS!$A$2:$I$269,9,FALSE()),1)</f>
        <v>1</v>
      </c>
      <c r="O561" s="217">
        <f t="shared" si="16"/>
        <v>0</v>
      </c>
      <c r="P561" s="216">
        <f>IF(O561=0,0,IF(B561="MAT",G561*(1+H561)*L561*PLAN_ETAPA!$C$5,IF(B561="MO",IF(M561=0,0,G561*L561*PLAN_ETAPA!$C$5*N561/M561),IF(B561="EQ",IF(M561=0,0,G561*L561*PLAN_ETAPA!$C$5/M561),0))))</f>
        <v>0</v>
      </c>
      <c r="Q561" s="218">
        <f t="shared" si="17"/>
        <v>0</v>
      </c>
    </row>
    <row r="562" spans="1:17" x14ac:dyDescent="0.35">
      <c r="A562" s="212" t="str">
        <f>COMPOSICIÓN!A562</f>
        <v>PIN-052</v>
      </c>
      <c r="B562" s="212" t="str">
        <f>COMPOSICIÓN!B562</f>
        <v>MAT</v>
      </c>
      <c r="C562" s="212" t="str">
        <f>COMPOSICIÓN!C562</f>
        <v>OTR</v>
      </c>
      <c r="D562" s="212" t="str">
        <f>COMPOSICIÓN!D562</f>
        <v>OTR-021</v>
      </c>
      <c r="E562" s="212" t="str">
        <f>COMPOSICIÓN!E562</f>
        <v>Fijador al agua x 20 lts</v>
      </c>
      <c r="F562" s="212" t="str">
        <f>COMPOSICIÓN!F562</f>
        <v>b</v>
      </c>
      <c r="G562" s="213">
        <f>COMPOSICIÓN!G562</f>
        <v>4.0000000000000001E-3</v>
      </c>
      <c r="H562" s="214">
        <f>COMPOSICIÓN!H562</f>
        <v>0.05</v>
      </c>
      <c r="I562" s="215">
        <f>COMPOSICIÓN!I562</f>
        <v>30467.49</v>
      </c>
      <c r="J562" s="212" t="str">
        <f>IFERROR(VLOOKUP(A562,PARTIDAS!$A$2:$C$269,3,FALSE()),"")</f>
        <v>PINTURA</v>
      </c>
      <c r="K562" s="212" t="str">
        <f>IFERROR(INDEX(PPTO_GENERADOR!$B$4:$B$220,MATCH(A562,PPTO_GENERADOR!$Q$4:$Q$220,0)),"")</f>
        <v/>
      </c>
      <c r="L562" s="216">
        <f>IF(PLAN_ETAPA!$C$4="(TODOS)",SUMIFS(PPTO_GENERADOR!$E$4:$E$220,PPTO_GENERADOR!$Q$4:$Q$220,A562),SUMIFS(PPTO_GENERADOR!$E$4:$E$220,PPTO_GENERADOR!$Q$4:$Q$220,A562,PPTO_GENERADOR!$B$4:$B$220,PLAN_ETAPA!$C$4))</f>
        <v>0</v>
      </c>
      <c r="M562" s="216">
        <f>IFERROR(VLOOKUP(A562,PARTIDAS!$A$2:$F$269,6,FALSE()),1)</f>
        <v>17.5</v>
      </c>
      <c r="N562" s="216">
        <f>IFERROR(VLOOKUP(A562,PARTIDAS!$A$2:$I$269,9,FALSE()),1)</f>
        <v>1</v>
      </c>
      <c r="O562" s="217">
        <f t="shared" si="16"/>
        <v>0</v>
      </c>
      <c r="P562" s="216">
        <f>IF(O562=0,0,IF(B562="MAT",G562*(1+H562)*L562*PLAN_ETAPA!$C$5,IF(B562="MO",IF(M562=0,0,G562*L562*PLAN_ETAPA!$C$5*N562/M562),IF(B562="EQ",IF(M562=0,0,G562*L562*PLAN_ETAPA!$C$5/M562),0))))</f>
        <v>0</v>
      </c>
      <c r="Q562" s="218">
        <f t="shared" si="17"/>
        <v>0</v>
      </c>
    </row>
    <row r="563" spans="1:17" x14ac:dyDescent="0.35">
      <c r="A563" s="212" t="str">
        <f>COMPOSICIÓN!A563</f>
        <v>PIN-052</v>
      </c>
      <c r="B563" s="212" t="str">
        <f>COMPOSICIÓN!B563</f>
        <v>MAT</v>
      </c>
      <c r="C563" s="212" t="str">
        <f>COMPOSICIÓN!C563</f>
        <v>OTR</v>
      </c>
      <c r="D563" s="212" t="str">
        <f>COMPOSICIÓN!D563</f>
        <v>OTR-023</v>
      </c>
      <c r="E563" s="212" t="str">
        <f>COMPOSICIÓN!E563</f>
        <v>Lija 180 al agua x 10u</v>
      </c>
      <c r="F563" s="212" t="str">
        <f>COMPOSICIÓN!F563</f>
        <v>u</v>
      </c>
      <c r="G563" s="213">
        <f>COMPOSICIÓN!G563</f>
        <v>2.5000000000000001E-2</v>
      </c>
      <c r="H563" s="214">
        <f>COMPOSICIÓN!H563</f>
        <v>0.05</v>
      </c>
      <c r="I563" s="215">
        <f>COMPOSICIÓN!I563</f>
        <v>5661.4</v>
      </c>
      <c r="J563" s="212" t="str">
        <f>IFERROR(VLOOKUP(A563,PARTIDAS!$A$2:$C$269,3,FALSE()),"")</f>
        <v>PINTURA</v>
      </c>
      <c r="K563" s="212" t="str">
        <f>IFERROR(INDEX(PPTO_GENERADOR!$B$4:$B$220,MATCH(A563,PPTO_GENERADOR!$Q$4:$Q$220,0)),"")</f>
        <v/>
      </c>
      <c r="L563" s="216">
        <f>IF(PLAN_ETAPA!$C$4="(TODOS)",SUMIFS(PPTO_GENERADOR!$E$4:$E$220,PPTO_GENERADOR!$Q$4:$Q$220,A563),SUMIFS(PPTO_GENERADOR!$E$4:$E$220,PPTO_GENERADOR!$Q$4:$Q$220,A563,PPTO_GENERADOR!$B$4:$B$220,PLAN_ETAPA!$C$4))</f>
        <v>0</v>
      </c>
      <c r="M563" s="216">
        <f>IFERROR(VLOOKUP(A563,PARTIDAS!$A$2:$F$269,6,FALSE()),1)</f>
        <v>17.5</v>
      </c>
      <c r="N563" s="216">
        <f>IFERROR(VLOOKUP(A563,PARTIDAS!$A$2:$I$269,9,FALSE()),1)</f>
        <v>1</v>
      </c>
      <c r="O563" s="217">
        <f t="shared" si="16"/>
        <v>0</v>
      </c>
      <c r="P563" s="216">
        <f>IF(O563=0,0,IF(B563="MAT",G563*(1+H563)*L563*PLAN_ETAPA!$C$5,IF(B563="MO",IF(M563=0,0,G563*L563*PLAN_ETAPA!$C$5*N563/M563),IF(B563="EQ",IF(M563=0,0,G563*L563*PLAN_ETAPA!$C$5/M563),0))))</f>
        <v>0</v>
      </c>
      <c r="Q563" s="218">
        <f t="shared" si="17"/>
        <v>0</v>
      </c>
    </row>
    <row r="564" spans="1:17" x14ac:dyDescent="0.35">
      <c r="A564" s="212" t="str">
        <f>COMPOSICIÓN!A564</f>
        <v>PIN-052</v>
      </c>
      <c r="B564" s="212" t="str">
        <f>COMPOSICIÓN!B564</f>
        <v>MAT</v>
      </c>
      <c r="C564" s="212" t="str">
        <f>COMPOSICIÓN!C564</f>
        <v>OTR</v>
      </c>
      <c r="D564" s="212" t="str">
        <f>COMPOSICIÓN!D564</f>
        <v>OTR-024</v>
      </c>
      <c r="E564" s="212" t="str">
        <f>COMPOSICIÓN!E564</f>
        <v>Cinta de Papel 36 mm x 40m</v>
      </c>
      <c r="F564" s="212" t="str">
        <f>COMPOSICIÓN!F564</f>
        <v>u</v>
      </c>
      <c r="G564" s="213">
        <f>COMPOSICIÓN!G564</f>
        <v>0.05</v>
      </c>
      <c r="H564" s="214">
        <f>COMPOSICIÓN!H564</f>
        <v>0.1</v>
      </c>
      <c r="I564" s="215">
        <f>COMPOSICIÓN!I564</f>
        <v>3293.01</v>
      </c>
      <c r="J564" s="212" t="str">
        <f>IFERROR(VLOOKUP(A564,PARTIDAS!$A$2:$C$269,3,FALSE()),"")</f>
        <v>PINTURA</v>
      </c>
      <c r="K564" s="212" t="str">
        <f>IFERROR(INDEX(PPTO_GENERADOR!$B$4:$B$220,MATCH(A564,PPTO_GENERADOR!$Q$4:$Q$220,0)),"")</f>
        <v/>
      </c>
      <c r="L564" s="216">
        <f>IF(PLAN_ETAPA!$C$4="(TODOS)",SUMIFS(PPTO_GENERADOR!$E$4:$E$220,PPTO_GENERADOR!$Q$4:$Q$220,A564),SUMIFS(PPTO_GENERADOR!$E$4:$E$220,PPTO_GENERADOR!$Q$4:$Q$220,A564,PPTO_GENERADOR!$B$4:$B$220,PLAN_ETAPA!$C$4))</f>
        <v>0</v>
      </c>
      <c r="M564" s="216">
        <f>IFERROR(VLOOKUP(A564,PARTIDAS!$A$2:$F$269,6,FALSE()),1)</f>
        <v>17.5</v>
      </c>
      <c r="N564" s="216">
        <f>IFERROR(VLOOKUP(A564,PARTIDAS!$A$2:$I$269,9,FALSE()),1)</f>
        <v>1</v>
      </c>
      <c r="O564" s="217">
        <f t="shared" si="16"/>
        <v>0</v>
      </c>
      <c r="P564" s="216">
        <f>IF(O564=0,0,IF(B564="MAT",G564*(1+H564)*L564*PLAN_ETAPA!$C$5,IF(B564="MO",IF(M564=0,0,G564*L564*PLAN_ETAPA!$C$5*N564/M564),IF(B564="EQ",IF(M564=0,0,G564*L564*PLAN_ETAPA!$C$5/M564),0))))</f>
        <v>0</v>
      </c>
      <c r="Q564" s="218">
        <f t="shared" si="17"/>
        <v>0</v>
      </c>
    </row>
    <row r="565" spans="1:17" x14ac:dyDescent="0.35">
      <c r="A565" s="212" t="str">
        <f>COMPOSICIÓN!A565</f>
        <v>PIN-052</v>
      </c>
      <c r="B565" s="212" t="str">
        <f>COMPOSICIÓN!B565</f>
        <v>MAT</v>
      </c>
      <c r="C565" s="212" t="str">
        <f>COMPOSICIÓN!C565</f>
        <v>OTR</v>
      </c>
      <c r="D565" s="212" t="str">
        <f>COMPOSICIÓN!D565</f>
        <v>OTR-025</v>
      </c>
      <c r="E565" s="212" t="str">
        <f>COMPOSICIÓN!E565</f>
        <v>Trapo</v>
      </c>
      <c r="F565" s="212" t="str">
        <f>COMPOSICIÓN!F565</f>
        <v>u</v>
      </c>
      <c r="G565" s="213">
        <f>COMPOSICIÓN!G565</f>
        <v>0.03</v>
      </c>
      <c r="H565" s="214">
        <f>COMPOSICIÓN!H565</f>
        <v>0.05</v>
      </c>
      <c r="I565" s="215">
        <f>COMPOSICIÓN!I565</f>
        <v>735.06</v>
      </c>
      <c r="J565" s="212" t="str">
        <f>IFERROR(VLOOKUP(A565,PARTIDAS!$A$2:$C$269,3,FALSE()),"")</f>
        <v>PINTURA</v>
      </c>
      <c r="K565" s="212" t="str">
        <f>IFERROR(INDEX(PPTO_GENERADOR!$B$4:$B$220,MATCH(A565,PPTO_GENERADOR!$Q$4:$Q$220,0)),"")</f>
        <v/>
      </c>
      <c r="L565" s="216">
        <f>IF(PLAN_ETAPA!$C$4="(TODOS)",SUMIFS(PPTO_GENERADOR!$E$4:$E$220,PPTO_GENERADOR!$Q$4:$Q$220,A565),SUMIFS(PPTO_GENERADOR!$E$4:$E$220,PPTO_GENERADOR!$Q$4:$Q$220,A565,PPTO_GENERADOR!$B$4:$B$220,PLAN_ETAPA!$C$4))</f>
        <v>0</v>
      </c>
      <c r="M565" s="216">
        <f>IFERROR(VLOOKUP(A565,PARTIDAS!$A$2:$F$269,6,FALSE()),1)</f>
        <v>17.5</v>
      </c>
      <c r="N565" s="216">
        <f>IFERROR(VLOOKUP(A565,PARTIDAS!$A$2:$I$269,9,FALSE()),1)</f>
        <v>1</v>
      </c>
      <c r="O565" s="217">
        <f t="shared" si="16"/>
        <v>0</v>
      </c>
      <c r="P565" s="216">
        <f>IF(O565=0,0,IF(B565="MAT",G565*(1+H565)*L565*PLAN_ETAPA!$C$5,IF(B565="MO",IF(M565=0,0,G565*L565*PLAN_ETAPA!$C$5*N565/M565),IF(B565="EQ",IF(M565=0,0,G565*L565*PLAN_ETAPA!$C$5/M565),0))))</f>
        <v>0</v>
      </c>
      <c r="Q565" s="218">
        <f t="shared" si="17"/>
        <v>0</v>
      </c>
    </row>
    <row r="566" spans="1:17" x14ac:dyDescent="0.35">
      <c r="A566" s="212" t="str">
        <f>COMPOSICIÓN!A566</f>
        <v>PIN-052</v>
      </c>
      <c r="B566" s="212" t="str">
        <f>COMPOSICIÓN!B566</f>
        <v>MAT</v>
      </c>
      <c r="C566" s="212" t="str">
        <f>COMPOSICIÓN!C566</f>
        <v>OTR</v>
      </c>
      <c r="D566" s="212" t="str">
        <f>COMPOSICIÓN!D566</f>
        <v>OTR-026</v>
      </c>
      <c r="E566" s="212" t="str">
        <f>COMPOSICIÓN!E566</f>
        <v>Rodillo de lana pelo corto antigota N°22 - El Galgo</v>
      </c>
      <c r="F566" s="212" t="str">
        <f>COMPOSICIÓN!F566</f>
        <v>u</v>
      </c>
      <c r="G566" s="213">
        <f>COMPOSICIÓN!G566</f>
        <v>5.0000000000000001E-3</v>
      </c>
      <c r="H566" s="214">
        <f>COMPOSICIÓN!H566</f>
        <v>0.05</v>
      </c>
      <c r="I566" s="215">
        <f>COMPOSICIÓN!I566</f>
        <v>6678.36</v>
      </c>
      <c r="J566" s="212" t="str">
        <f>IFERROR(VLOOKUP(A566,PARTIDAS!$A$2:$C$269,3,FALSE()),"")</f>
        <v>PINTURA</v>
      </c>
      <c r="K566" s="212" t="str">
        <f>IFERROR(INDEX(PPTO_GENERADOR!$B$4:$B$220,MATCH(A566,PPTO_GENERADOR!$Q$4:$Q$220,0)),"")</f>
        <v/>
      </c>
      <c r="L566" s="216">
        <f>IF(PLAN_ETAPA!$C$4="(TODOS)",SUMIFS(PPTO_GENERADOR!$E$4:$E$220,PPTO_GENERADOR!$Q$4:$Q$220,A566),SUMIFS(PPTO_GENERADOR!$E$4:$E$220,PPTO_GENERADOR!$Q$4:$Q$220,A566,PPTO_GENERADOR!$B$4:$B$220,PLAN_ETAPA!$C$4))</f>
        <v>0</v>
      </c>
      <c r="M566" s="216">
        <f>IFERROR(VLOOKUP(A566,PARTIDAS!$A$2:$F$269,6,FALSE()),1)</f>
        <v>17.5</v>
      </c>
      <c r="N566" s="216">
        <f>IFERROR(VLOOKUP(A566,PARTIDAS!$A$2:$I$269,9,FALSE()),1)</f>
        <v>1</v>
      </c>
      <c r="O566" s="217">
        <f t="shared" si="16"/>
        <v>0</v>
      </c>
      <c r="P566" s="216">
        <f>IF(O566=0,0,IF(B566="MAT",G566*(1+H566)*L566*PLAN_ETAPA!$C$5,IF(B566="MO",IF(M566=0,0,G566*L566*PLAN_ETAPA!$C$5*N566/M566),IF(B566="EQ",IF(M566=0,0,G566*L566*PLAN_ETAPA!$C$5/M566),0))))</f>
        <v>0</v>
      </c>
      <c r="Q566" s="218">
        <f t="shared" si="17"/>
        <v>0</v>
      </c>
    </row>
    <row r="567" spans="1:17" x14ac:dyDescent="0.35">
      <c r="A567" s="212" t="str">
        <f>COMPOSICIÓN!A567</f>
        <v>PIN-052</v>
      </c>
      <c r="B567" s="212" t="str">
        <f>COMPOSICIÓN!B567</f>
        <v>MAT</v>
      </c>
      <c r="C567" s="212" t="str">
        <f>COMPOSICIÓN!C567</f>
        <v>OTR</v>
      </c>
      <c r="D567" s="212" t="str">
        <f>COMPOSICIÓN!D567</f>
        <v>OTR-028</v>
      </c>
      <c r="E567" s="212" t="str">
        <f>COMPOSICIÓN!E567</f>
        <v>Pincel N° 20 - El Galgo</v>
      </c>
      <c r="F567" s="212" t="str">
        <f>COMPOSICIÓN!F567</f>
        <v>u</v>
      </c>
      <c r="G567" s="213">
        <f>COMPOSICIÓN!G567</f>
        <v>5.0000000000000001E-3</v>
      </c>
      <c r="H567" s="214">
        <f>COMPOSICIÓN!H567</f>
        <v>0.05</v>
      </c>
      <c r="I567" s="215">
        <f>COMPOSICIÓN!I567</f>
        <v>5282.24</v>
      </c>
      <c r="J567" s="212" t="str">
        <f>IFERROR(VLOOKUP(A567,PARTIDAS!$A$2:$C$269,3,FALSE()),"")</f>
        <v>PINTURA</v>
      </c>
      <c r="K567" s="212" t="str">
        <f>IFERROR(INDEX(PPTO_GENERADOR!$B$4:$B$220,MATCH(A567,PPTO_GENERADOR!$Q$4:$Q$220,0)),"")</f>
        <v/>
      </c>
      <c r="L567" s="216">
        <f>IF(PLAN_ETAPA!$C$4="(TODOS)",SUMIFS(PPTO_GENERADOR!$E$4:$E$220,PPTO_GENERADOR!$Q$4:$Q$220,A567),SUMIFS(PPTO_GENERADOR!$E$4:$E$220,PPTO_GENERADOR!$Q$4:$Q$220,A567,PPTO_GENERADOR!$B$4:$B$220,PLAN_ETAPA!$C$4))</f>
        <v>0</v>
      </c>
      <c r="M567" s="216">
        <f>IFERROR(VLOOKUP(A567,PARTIDAS!$A$2:$F$269,6,FALSE()),1)</f>
        <v>17.5</v>
      </c>
      <c r="N567" s="216">
        <f>IFERROR(VLOOKUP(A567,PARTIDAS!$A$2:$I$269,9,FALSE()),1)</f>
        <v>1</v>
      </c>
      <c r="O567" s="217">
        <f t="shared" si="16"/>
        <v>0</v>
      </c>
      <c r="P567" s="216">
        <f>IF(O567=0,0,IF(B567="MAT",G567*(1+H567)*L567*PLAN_ETAPA!$C$5,IF(B567="MO",IF(M567=0,0,G567*L567*PLAN_ETAPA!$C$5*N567/M567),IF(B567="EQ",IF(M567=0,0,G567*L567*PLAN_ETAPA!$C$5/M567),0))))</f>
        <v>0</v>
      </c>
      <c r="Q567" s="218">
        <f t="shared" si="17"/>
        <v>0</v>
      </c>
    </row>
    <row r="568" spans="1:17" x14ac:dyDescent="0.35">
      <c r="A568" s="212" t="str">
        <f>COMPOSICIÓN!A568</f>
        <v>PIN-052</v>
      </c>
      <c r="B568" s="212" t="str">
        <f>COMPOSICIÓN!B568</f>
        <v>MAT</v>
      </c>
      <c r="C568" s="212" t="str">
        <f>COMPOSICIÓN!C568</f>
        <v>OTR</v>
      </c>
      <c r="D568" s="212" t="str">
        <f>COMPOSICIÓN!D568</f>
        <v>OTR-029</v>
      </c>
      <c r="E568" s="212" t="str">
        <f>COMPOSICIÓN!E568</f>
        <v>Rollo de cartón corrugado 0,90 x 25 mts</v>
      </c>
      <c r="F568" s="212" t="str">
        <f>COMPOSICIÓN!F568</f>
        <v>u</v>
      </c>
      <c r="G568" s="213">
        <f>COMPOSICIÓN!G568</f>
        <v>0.01</v>
      </c>
      <c r="H568" s="214">
        <f>COMPOSICIÓN!H568</f>
        <v>0.05</v>
      </c>
      <c r="I568" s="215">
        <f>COMPOSICIÓN!I568</f>
        <v>7427.6</v>
      </c>
      <c r="J568" s="212" t="str">
        <f>IFERROR(VLOOKUP(A568,PARTIDAS!$A$2:$C$269,3,FALSE()),"")</f>
        <v>PINTURA</v>
      </c>
      <c r="K568" s="212" t="str">
        <f>IFERROR(INDEX(PPTO_GENERADOR!$B$4:$B$220,MATCH(A568,PPTO_GENERADOR!$Q$4:$Q$220,0)),"")</f>
        <v/>
      </c>
      <c r="L568" s="216">
        <f>IF(PLAN_ETAPA!$C$4="(TODOS)",SUMIFS(PPTO_GENERADOR!$E$4:$E$220,PPTO_GENERADOR!$Q$4:$Q$220,A568),SUMIFS(PPTO_GENERADOR!$E$4:$E$220,PPTO_GENERADOR!$Q$4:$Q$220,A568,PPTO_GENERADOR!$B$4:$B$220,PLAN_ETAPA!$C$4))</f>
        <v>0</v>
      </c>
      <c r="M568" s="216">
        <f>IFERROR(VLOOKUP(A568,PARTIDAS!$A$2:$F$269,6,FALSE()),1)</f>
        <v>17.5</v>
      </c>
      <c r="N568" s="216">
        <f>IFERROR(VLOOKUP(A568,PARTIDAS!$A$2:$I$269,9,FALSE()),1)</f>
        <v>1</v>
      </c>
      <c r="O568" s="217">
        <f t="shared" si="16"/>
        <v>0</v>
      </c>
      <c r="P568" s="216">
        <f>IF(O568=0,0,IF(B568="MAT",G568*(1+H568)*L568*PLAN_ETAPA!$C$5,IF(B568="MO",IF(M568=0,0,G568*L568*PLAN_ETAPA!$C$5*N568/M568),IF(B568="EQ",IF(M568=0,0,G568*L568*PLAN_ETAPA!$C$5/M568),0))))</f>
        <v>0</v>
      </c>
      <c r="Q568" s="218">
        <f t="shared" si="17"/>
        <v>0</v>
      </c>
    </row>
    <row r="569" spans="1:17" x14ac:dyDescent="0.35">
      <c r="A569" s="212" t="str">
        <f>COMPOSICIÓN!A569</f>
        <v>PIN-052</v>
      </c>
      <c r="B569" s="212" t="str">
        <f>COMPOSICIÓN!B569</f>
        <v>MAT</v>
      </c>
      <c r="C569" s="212" t="str">
        <f>COMPOSICIÓN!C569</f>
        <v>OTR</v>
      </c>
      <c r="D569" s="212" t="str">
        <f>COMPOSICIÓN!D569</f>
        <v>PIN-001</v>
      </c>
      <c r="E569" s="212" t="str">
        <f>COMPOSICIÓN!E569</f>
        <v>Latex Loxon Interior Sherwin Williams Mate Bco x 20lts</v>
      </c>
      <c r="F569" s="212" t="str">
        <f>COMPOSICIÓN!F569</f>
        <v>B</v>
      </c>
      <c r="G569" s="213">
        <f>COMPOSICIÓN!G569</f>
        <v>1.2500000000000001E-2</v>
      </c>
      <c r="H569" s="214">
        <f>COMPOSICIÓN!H569</f>
        <v>0.1</v>
      </c>
      <c r="I569" s="215">
        <f>COMPOSICIÓN!I569</f>
        <v>120622.23</v>
      </c>
      <c r="J569" s="212" t="str">
        <f>IFERROR(VLOOKUP(A569,PARTIDAS!$A$2:$C$269,3,FALSE()),"")</f>
        <v>PINTURA</v>
      </c>
      <c r="K569" s="212" t="str">
        <f>IFERROR(INDEX(PPTO_GENERADOR!$B$4:$B$220,MATCH(A569,PPTO_GENERADOR!$Q$4:$Q$220,0)),"")</f>
        <v/>
      </c>
      <c r="L569" s="216">
        <f>IF(PLAN_ETAPA!$C$4="(TODOS)",SUMIFS(PPTO_GENERADOR!$E$4:$E$220,PPTO_GENERADOR!$Q$4:$Q$220,A569),SUMIFS(PPTO_GENERADOR!$E$4:$E$220,PPTO_GENERADOR!$Q$4:$Q$220,A569,PPTO_GENERADOR!$B$4:$B$220,PLAN_ETAPA!$C$4))</f>
        <v>0</v>
      </c>
      <c r="M569" s="216">
        <f>IFERROR(VLOOKUP(A569,PARTIDAS!$A$2:$F$269,6,FALSE()),1)</f>
        <v>17.5</v>
      </c>
      <c r="N569" s="216">
        <f>IFERROR(VLOOKUP(A569,PARTIDAS!$A$2:$I$269,9,FALSE()),1)</f>
        <v>1</v>
      </c>
      <c r="O569" s="217">
        <f t="shared" si="16"/>
        <v>0</v>
      </c>
      <c r="P569" s="216">
        <f>IF(O569=0,0,IF(B569="MAT",G569*(1+H569)*L569*PLAN_ETAPA!$C$5,IF(B569="MO",IF(M569=0,0,G569*L569*PLAN_ETAPA!$C$5*N569/M569),IF(B569="EQ",IF(M569=0,0,G569*L569*PLAN_ETAPA!$C$5/M569),0))))</f>
        <v>0</v>
      </c>
      <c r="Q569" s="218">
        <f t="shared" si="17"/>
        <v>0</v>
      </c>
    </row>
    <row r="570" spans="1:17" x14ac:dyDescent="0.35">
      <c r="A570" s="212" t="str">
        <f>COMPOSICIÓN!A570</f>
        <v>PIN-052</v>
      </c>
      <c r="B570" s="212" t="str">
        <f>COMPOSICIÓN!B570</f>
        <v>MAT</v>
      </c>
      <c r="C570" s="212" t="str">
        <f>COMPOSICIÓN!C570</f>
        <v>OTR</v>
      </c>
      <c r="D570" s="212" t="str">
        <f>COMPOSICIÓN!D570</f>
        <v>PIN-007</v>
      </c>
      <c r="E570" s="212" t="str">
        <f>COMPOSICIÓN!E570</f>
        <v>Enduido Interior x 20lts</v>
      </c>
      <c r="F570" s="212" t="str">
        <f>COMPOSICIÓN!F570</f>
        <v>B</v>
      </c>
      <c r="G570" s="213">
        <f>COMPOSICIÓN!G570</f>
        <v>0.03</v>
      </c>
      <c r="H570" s="214">
        <f>COMPOSICIÓN!H570</f>
        <v>0.1</v>
      </c>
      <c r="I570" s="215">
        <f>COMPOSICIÓN!I570</f>
        <v>18735.77</v>
      </c>
      <c r="J570" s="212" t="str">
        <f>IFERROR(VLOOKUP(A570,PARTIDAS!$A$2:$C$269,3,FALSE()),"")</f>
        <v>PINTURA</v>
      </c>
      <c r="K570" s="212" t="str">
        <f>IFERROR(INDEX(PPTO_GENERADOR!$B$4:$B$220,MATCH(A570,PPTO_GENERADOR!$Q$4:$Q$220,0)),"")</f>
        <v/>
      </c>
      <c r="L570" s="216">
        <f>IF(PLAN_ETAPA!$C$4="(TODOS)",SUMIFS(PPTO_GENERADOR!$E$4:$E$220,PPTO_GENERADOR!$Q$4:$Q$220,A570),SUMIFS(PPTO_GENERADOR!$E$4:$E$220,PPTO_GENERADOR!$Q$4:$Q$220,A570,PPTO_GENERADOR!$B$4:$B$220,PLAN_ETAPA!$C$4))</f>
        <v>0</v>
      </c>
      <c r="M570" s="216">
        <f>IFERROR(VLOOKUP(A570,PARTIDAS!$A$2:$F$269,6,FALSE()),1)</f>
        <v>17.5</v>
      </c>
      <c r="N570" s="216">
        <f>IFERROR(VLOOKUP(A570,PARTIDAS!$A$2:$I$269,9,FALSE()),1)</f>
        <v>1</v>
      </c>
      <c r="O570" s="217">
        <f t="shared" si="16"/>
        <v>0</v>
      </c>
      <c r="P570" s="216">
        <f>IF(O570=0,0,IF(B570="MAT",G570*(1+H570)*L570*PLAN_ETAPA!$C$5,IF(B570="MO",IF(M570=0,0,G570*L570*PLAN_ETAPA!$C$5*N570/M570),IF(B570="EQ",IF(M570=0,0,G570*L570*PLAN_ETAPA!$C$5/M570),0))))</f>
        <v>0</v>
      </c>
      <c r="Q570" s="218">
        <f t="shared" si="17"/>
        <v>0</v>
      </c>
    </row>
    <row r="571" spans="1:17" x14ac:dyDescent="0.35">
      <c r="A571" s="212" t="str">
        <f>COMPOSICIÓN!A571</f>
        <v>PIN-052</v>
      </c>
      <c r="B571" s="212" t="str">
        <f>COMPOSICIÓN!B571</f>
        <v>MAT</v>
      </c>
      <c r="C571" s="212" t="str">
        <f>COMPOSICIÓN!C571</f>
        <v>OTR</v>
      </c>
      <c r="D571" s="212" t="str">
        <f>COMPOSICIÓN!D571</f>
        <v>REV-001</v>
      </c>
      <c r="E571" s="212" t="str">
        <f>COMPOSICIÓN!E571</f>
        <v>Yeso Tuyango x 30kg</v>
      </c>
      <c r="F571" s="212" t="str">
        <f>COMPOSICIÓN!F571</f>
        <v>b</v>
      </c>
      <c r="G571" s="213">
        <f>COMPOSICIÓN!G571</f>
        <v>2.5000000000000001E-3</v>
      </c>
      <c r="H571" s="214">
        <f>COMPOSICIÓN!H571</f>
        <v>0.05</v>
      </c>
      <c r="I571" s="215">
        <f>COMPOSICIÓN!I571</f>
        <v>9639</v>
      </c>
      <c r="J571" s="212" t="str">
        <f>IFERROR(VLOOKUP(A571,PARTIDAS!$A$2:$C$269,3,FALSE()),"")</f>
        <v>PINTURA</v>
      </c>
      <c r="K571" s="212" t="str">
        <f>IFERROR(INDEX(PPTO_GENERADOR!$B$4:$B$220,MATCH(A571,PPTO_GENERADOR!$Q$4:$Q$220,0)),"")</f>
        <v/>
      </c>
      <c r="L571" s="216">
        <f>IF(PLAN_ETAPA!$C$4="(TODOS)",SUMIFS(PPTO_GENERADOR!$E$4:$E$220,PPTO_GENERADOR!$Q$4:$Q$220,A571),SUMIFS(PPTO_GENERADOR!$E$4:$E$220,PPTO_GENERADOR!$Q$4:$Q$220,A571,PPTO_GENERADOR!$B$4:$B$220,PLAN_ETAPA!$C$4))</f>
        <v>0</v>
      </c>
      <c r="M571" s="216">
        <f>IFERROR(VLOOKUP(A571,PARTIDAS!$A$2:$F$269,6,FALSE()),1)</f>
        <v>17.5</v>
      </c>
      <c r="N571" s="216">
        <f>IFERROR(VLOOKUP(A571,PARTIDAS!$A$2:$I$269,9,FALSE()),1)</f>
        <v>1</v>
      </c>
      <c r="O571" s="217">
        <f t="shared" si="16"/>
        <v>0</v>
      </c>
      <c r="P571" s="216">
        <f>IF(O571=0,0,IF(B571="MAT",G571*(1+H571)*L571*PLAN_ETAPA!$C$5,IF(B571="MO",IF(M571=0,0,G571*L571*PLAN_ETAPA!$C$5*N571/M571),IF(B571="EQ",IF(M571=0,0,G571*L571*PLAN_ETAPA!$C$5/M571),0))))</f>
        <v>0</v>
      </c>
      <c r="Q571" s="218">
        <f t="shared" si="17"/>
        <v>0</v>
      </c>
    </row>
    <row r="572" spans="1:17" x14ac:dyDescent="0.35">
      <c r="A572" s="212" t="str">
        <f>COMPOSICIÓN!A572</f>
        <v>PIN-052</v>
      </c>
      <c r="B572" s="212" t="str">
        <f>COMPOSICIÓN!B572</f>
        <v>MO</v>
      </c>
      <c r="C572" s="212" t="str">
        <f>COMPOSICIÓN!C572</f>
        <v>ALB</v>
      </c>
      <c r="D572" s="212" t="str">
        <f>COMPOSICIÓN!D572</f>
        <v>MO-EMEDI</v>
      </c>
      <c r="E572" s="212" t="str">
        <f>COMPOSICIÓN!E572</f>
        <v>MEDIO OFICIAL</v>
      </c>
      <c r="F572" s="212" t="str">
        <f>COMPOSICIÓN!F572</f>
        <v>j</v>
      </c>
      <c r="G572" s="213">
        <f>COMPOSICIÓN!G572</f>
        <v>1</v>
      </c>
      <c r="H572" s="214">
        <f>COMPOSICIÓN!H572</f>
        <v>0</v>
      </c>
      <c r="I572" s="215">
        <f>COMPOSICIÓN!I572</f>
        <v>65493.071636572</v>
      </c>
      <c r="J572" s="212" t="str">
        <f>IFERROR(VLOOKUP(A572,PARTIDAS!$A$2:$C$269,3,FALSE()),"")</f>
        <v>PINTURA</v>
      </c>
      <c r="K572" s="212" t="str">
        <f>IFERROR(INDEX(PPTO_GENERADOR!$B$4:$B$220,MATCH(A572,PPTO_GENERADOR!$Q$4:$Q$220,0)),"")</f>
        <v/>
      </c>
      <c r="L572" s="216">
        <f>IF(PLAN_ETAPA!$C$4="(TODOS)",SUMIFS(PPTO_GENERADOR!$E$4:$E$220,PPTO_GENERADOR!$Q$4:$Q$220,A572),SUMIFS(PPTO_GENERADOR!$E$4:$E$220,PPTO_GENERADOR!$Q$4:$Q$220,A572,PPTO_GENERADOR!$B$4:$B$220,PLAN_ETAPA!$C$4))</f>
        <v>0</v>
      </c>
      <c r="M572" s="216">
        <f>IFERROR(VLOOKUP(A572,PARTIDAS!$A$2:$F$269,6,FALSE()),1)</f>
        <v>17.5</v>
      </c>
      <c r="N572" s="216">
        <f>IFERROR(VLOOKUP(A572,PARTIDAS!$A$2:$I$269,9,FALSE()),1)</f>
        <v>1</v>
      </c>
      <c r="O572" s="217">
        <f t="shared" si="16"/>
        <v>0</v>
      </c>
      <c r="P572" s="216">
        <f>IF(O572=0,0,IF(B572="MAT",G572*(1+H572)*L572*PLAN_ETAPA!$C$5,IF(B572="MO",IF(M572=0,0,G572*L572*PLAN_ETAPA!$C$5*N572/M572),IF(B572="EQ",IF(M572=0,0,G572*L572*PLAN_ETAPA!$C$5/M572),0))))</f>
        <v>0</v>
      </c>
      <c r="Q572" s="218">
        <f t="shared" si="17"/>
        <v>0</v>
      </c>
    </row>
    <row r="573" spans="1:17" x14ac:dyDescent="0.35">
      <c r="A573" s="212" t="str">
        <f>COMPOSICIÓN!A573</f>
        <v>PIN-052</v>
      </c>
      <c r="B573" s="212" t="str">
        <f>COMPOSICIÓN!B573</f>
        <v>MO</v>
      </c>
      <c r="C573" s="212" t="str">
        <f>COMPOSICIÓN!C573</f>
        <v>ALB</v>
      </c>
      <c r="D573" s="212" t="str">
        <f>COMPOSICIÓN!D573</f>
        <v>MO-EESPE</v>
      </c>
      <c r="E573" s="212" t="str">
        <f>COMPOSICIÓN!E573</f>
        <v>ESPECIALIZADO</v>
      </c>
      <c r="F573" s="212" t="str">
        <f>COMPOSICIÓN!F573</f>
        <v>j</v>
      </c>
      <c r="G573" s="213">
        <f>COMPOSICIÓN!G573</f>
        <v>1</v>
      </c>
      <c r="H573" s="214">
        <f>COMPOSICIÓN!H573</f>
        <v>0</v>
      </c>
      <c r="I573" s="215">
        <f>COMPOSICIÓN!I573</f>
        <v>85927.097156571996</v>
      </c>
      <c r="J573" s="212" t="str">
        <f>IFERROR(VLOOKUP(A573,PARTIDAS!$A$2:$C$269,3,FALSE()),"")</f>
        <v>PINTURA</v>
      </c>
      <c r="K573" s="212" t="str">
        <f>IFERROR(INDEX(PPTO_GENERADOR!$B$4:$B$220,MATCH(A573,PPTO_GENERADOR!$Q$4:$Q$220,0)),"")</f>
        <v/>
      </c>
      <c r="L573" s="216">
        <f>IF(PLAN_ETAPA!$C$4="(TODOS)",SUMIFS(PPTO_GENERADOR!$E$4:$E$220,PPTO_GENERADOR!$Q$4:$Q$220,A573),SUMIFS(PPTO_GENERADOR!$E$4:$E$220,PPTO_GENERADOR!$Q$4:$Q$220,A573,PPTO_GENERADOR!$B$4:$B$220,PLAN_ETAPA!$C$4))</f>
        <v>0</v>
      </c>
      <c r="M573" s="216">
        <f>IFERROR(VLOOKUP(A573,PARTIDAS!$A$2:$F$269,6,FALSE()),1)</f>
        <v>17.5</v>
      </c>
      <c r="N573" s="216">
        <f>IFERROR(VLOOKUP(A573,PARTIDAS!$A$2:$I$269,9,FALSE()),1)</f>
        <v>1</v>
      </c>
      <c r="O573" s="217">
        <f t="shared" si="16"/>
        <v>0</v>
      </c>
      <c r="P573" s="216">
        <f>IF(O573=0,0,IF(B573="MAT",G573*(1+H573)*L573*PLAN_ETAPA!$C$5,IF(B573="MO",IF(M573=0,0,G573*L573*PLAN_ETAPA!$C$5*N573/M573),IF(B573="EQ",IF(M573=0,0,G573*L573*PLAN_ETAPA!$C$5/M573),0))))</f>
        <v>0</v>
      </c>
      <c r="Q573" s="218">
        <f t="shared" si="17"/>
        <v>0</v>
      </c>
    </row>
    <row r="574" spans="1:17" x14ac:dyDescent="0.35">
      <c r="A574" s="212" t="str">
        <f>COMPOSICIÓN!A574</f>
        <v>PIN-053</v>
      </c>
      <c r="B574" s="212" t="str">
        <f>COMPOSICIÓN!B574</f>
        <v>EQ</v>
      </c>
      <c r="C574" s="212">
        <f>COMPOSICIÓN!C574</f>
        <v>0</v>
      </c>
      <c r="D574" s="212" t="str">
        <f>COMPOSICIÓN!D574</f>
        <v>EQ-EQUIPI</v>
      </c>
      <c r="E574" s="212" t="str">
        <f>COMPOSICIÓN!E574</f>
        <v>EQUIPO PARA PINTAR</v>
      </c>
      <c r="F574" s="212">
        <f>COMPOSICIÓN!F574</f>
        <v>0</v>
      </c>
      <c r="G574" s="213">
        <f>COMPOSICIÓN!G574</f>
        <v>1</v>
      </c>
      <c r="H574" s="214">
        <f>COMPOSICIÓN!H574</f>
        <v>0</v>
      </c>
      <c r="I574" s="215">
        <f>COMPOSICIÓN!I574</f>
        <v>1723.6259595547085</v>
      </c>
      <c r="J574" s="212" t="str">
        <f>IFERROR(VLOOKUP(A574,PARTIDAS!$A$2:$C$269,3,FALSE()),"")</f>
        <v>PINTURA</v>
      </c>
      <c r="K574" s="212" t="str">
        <f>IFERROR(INDEX(PPTO_GENERADOR!$B$4:$B$220,MATCH(A574,PPTO_GENERADOR!$Q$4:$Q$220,0)),"")</f>
        <v/>
      </c>
      <c r="L574" s="216">
        <f>IF(PLAN_ETAPA!$C$4="(TODOS)",SUMIFS(PPTO_GENERADOR!$E$4:$E$220,PPTO_GENERADOR!$Q$4:$Q$220,A574),SUMIFS(PPTO_GENERADOR!$E$4:$E$220,PPTO_GENERADOR!$Q$4:$Q$220,A574,PPTO_GENERADOR!$B$4:$B$220,PLAN_ETAPA!$C$4))</f>
        <v>0</v>
      </c>
      <c r="M574" s="216">
        <f>IFERROR(VLOOKUP(A574,PARTIDAS!$A$2:$F$269,6,FALSE()),1)</f>
        <v>15.5</v>
      </c>
      <c r="N574" s="216">
        <f>IFERROR(VLOOKUP(A574,PARTIDAS!$A$2:$I$269,9,FALSE()),1)</f>
        <v>1</v>
      </c>
      <c r="O574" s="217">
        <f t="shared" si="16"/>
        <v>0</v>
      </c>
      <c r="P574" s="216">
        <f>IF(O574=0,0,IF(B574="MAT",G574*(1+H574)*L574*PLAN_ETAPA!$C$5,IF(B574="MO",IF(M574=0,0,G574*L574*PLAN_ETAPA!$C$5*N574/M574),IF(B574="EQ",IF(M574=0,0,G574*L574*PLAN_ETAPA!$C$5/M574),0))))</f>
        <v>0</v>
      </c>
      <c r="Q574" s="218">
        <f t="shared" si="17"/>
        <v>0</v>
      </c>
    </row>
    <row r="575" spans="1:17" x14ac:dyDescent="0.35">
      <c r="A575" s="212" t="str">
        <f>COMPOSICIÓN!A575</f>
        <v>PIN-053</v>
      </c>
      <c r="B575" s="212" t="str">
        <f>COMPOSICIÓN!B575</f>
        <v>EQ</v>
      </c>
      <c r="C575" s="212">
        <f>COMPOSICIÓN!C575</f>
        <v>0</v>
      </c>
      <c r="D575" s="212" t="str">
        <f>COMPOSICIÓN!D575</f>
        <v>EQ-PTO026</v>
      </c>
      <c r="E575" s="212" t="str">
        <f>COMPOSICIÓN!E575</f>
        <v>ESCALERA MADERA PINTOR 8 ESCALONES</v>
      </c>
      <c r="F575" s="212">
        <f>COMPOSICIÓN!F575</f>
        <v>0</v>
      </c>
      <c r="G575" s="213">
        <f>COMPOSICIÓN!G575</f>
        <v>1</v>
      </c>
      <c r="H575" s="214">
        <f>COMPOSICIÓN!H575</f>
        <v>0</v>
      </c>
      <c r="I575" s="215">
        <f>COMPOSICIÓN!I575</f>
        <v>200.25307946474501</v>
      </c>
      <c r="J575" s="212" t="str">
        <f>IFERROR(VLOOKUP(A575,PARTIDAS!$A$2:$C$269,3,FALSE()),"")</f>
        <v>PINTURA</v>
      </c>
      <c r="K575" s="212" t="str">
        <f>IFERROR(INDEX(PPTO_GENERADOR!$B$4:$B$220,MATCH(A575,PPTO_GENERADOR!$Q$4:$Q$220,0)),"")</f>
        <v/>
      </c>
      <c r="L575" s="216">
        <f>IF(PLAN_ETAPA!$C$4="(TODOS)",SUMIFS(PPTO_GENERADOR!$E$4:$E$220,PPTO_GENERADOR!$Q$4:$Q$220,A575),SUMIFS(PPTO_GENERADOR!$E$4:$E$220,PPTO_GENERADOR!$Q$4:$Q$220,A575,PPTO_GENERADOR!$B$4:$B$220,PLAN_ETAPA!$C$4))</f>
        <v>0</v>
      </c>
      <c r="M575" s="216">
        <f>IFERROR(VLOOKUP(A575,PARTIDAS!$A$2:$F$269,6,FALSE()),1)</f>
        <v>15.5</v>
      </c>
      <c r="N575" s="216">
        <f>IFERROR(VLOOKUP(A575,PARTIDAS!$A$2:$I$269,9,FALSE()),1)</f>
        <v>1</v>
      </c>
      <c r="O575" s="217">
        <f t="shared" si="16"/>
        <v>0</v>
      </c>
      <c r="P575" s="216">
        <f>IF(O575=0,0,IF(B575="MAT",G575*(1+H575)*L575*PLAN_ETAPA!$C$5,IF(B575="MO",IF(M575=0,0,G575*L575*PLAN_ETAPA!$C$5*N575/M575),IF(B575="EQ",IF(M575=0,0,G575*L575*PLAN_ETAPA!$C$5/M575),0))))</f>
        <v>0</v>
      </c>
      <c r="Q575" s="218">
        <f t="shared" si="17"/>
        <v>0</v>
      </c>
    </row>
    <row r="576" spans="1:17" x14ac:dyDescent="0.35">
      <c r="A576" s="212" t="str">
        <f>COMPOSICIÓN!A576</f>
        <v>PIN-053</v>
      </c>
      <c r="B576" s="212" t="str">
        <f>COMPOSICIÓN!B576</f>
        <v>MAT</v>
      </c>
      <c r="C576" s="212" t="str">
        <f>COMPOSICIÓN!C576</f>
        <v>OTR</v>
      </c>
      <c r="D576" s="212" t="str">
        <f>COMPOSICIÓN!D576</f>
        <v>OTR-021</v>
      </c>
      <c r="E576" s="212" t="str">
        <f>COMPOSICIÓN!E576</f>
        <v>Fijador al agua x 20 lts</v>
      </c>
      <c r="F576" s="212" t="str">
        <f>COMPOSICIÓN!F576</f>
        <v>b</v>
      </c>
      <c r="G576" s="213">
        <f>COMPOSICIÓN!G576</f>
        <v>4.0000000000000001E-3</v>
      </c>
      <c r="H576" s="214">
        <f>COMPOSICIÓN!H576</f>
        <v>0.05</v>
      </c>
      <c r="I576" s="215">
        <f>COMPOSICIÓN!I576</f>
        <v>30467.49</v>
      </c>
      <c r="J576" s="212" t="str">
        <f>IFERROR(VLOOKUP(A576,PARTIDAS!$A$2:$C$269,3,FALSE()),"")</f>
        <v>PINTURA</v>
      </c>
      <c r="K576" s="212" t="str">
        <f>IFERROR(INDEX(PPTO_GENERADOR!$B$4:$B$220,MATCH(A576,PPTO_GENERADOR!$Q$4:$Q$220,0)),"")</f>
        <v/>
      </c>
      <c r="L576" s="216">
        <f>IF(PLAN_ETAPA!$C$4="(TODOS)",SUMIFS(PPTO_GENERADOR!$E$4:$E$220,PPTO_GENERADOR!$Q$4:$Q$220,A576),SUMIFS(PPTO_GENERADOR!$E$4:$E$220,PPTO_GENERADOR!$Q$4:$Q$220,A576,PPTO_GENERADOR!$B$4:$B$220,PLAN_ETAPA!$C$4))</f>
        <v>0</v>
      </c>
      <c r="M576" s="216">
        <f>IFERROR(VLOOKUP(A576,PARTIDAS!$A$2:$F$269,6,FALSE()),1)</f>
        <v>15.5</v>
      </c>
      <c r="N576" s="216">
        <f>IFERROR(VLOOKUP(A576,PARTIDAS!$A$2:$I$269,9,FALSE()),1)</f>
        <v>1</v>
      </c>
      <c r="O576" s="217">
        <f t="shared" si="16"/>
        <v>0</v>
      </c>
      <c r="P576" s="216">
        <f>IF(O576=0,0,IF(B576="MAT",G576*(1+H576)*L576*PLAN_ETAPA!$C$5,IF(B576="MO",IF(M576=0,0,G576*L576*PLAN_ETAPA!$C$5*N576/M576),IF(B576="EQ",IF(M576=0,0,G576*L576*PLAN_ETAPA!$C$5/M576),0))))</f>
        <v>0</v>
      </c>
      <c r="Q576" s="218">
        <f t="shared" si="17"/>
        <v>0</v>
      </c>
    </row>
    <row r="577" spans="1:17" x14ac:dyDescent="0.35">
      <c r="A577" s="212" t="str">
        <f>COMPOSICIÓN!A577</f>
        <v>PIN-053</v>
      </c>
      <c r="B577" s="212" t="str">
        <f>COMPOSICIÓN!B577</f>
        <v>MAT</v>
      </c>
      <c r="C577" s="212" t="str">
        <f>COMPOSICIÓN!C577</f>
        <v>OTR</v>
      </c>
      <c r="D577" s="212" t="str">
        <f>COMPOSICIÓN!D577</f>
        <v>OTR-023</v>
      </c>
      <c r="E577" s="212" t="str">
        <f>COMPOSICIÓN!E577</f>
        <v>Lija 180 al agua x 10u</v>
      </c>
      <c r="F577" s="212" t="str">
        <f>COMPOSICIÓN!F577</f>
        <v>u</v>
      </c>
      <c r="G577" s="213">
        <f>COMPOSICIÓN!G577</f>
        <v>0.01</v>
      </c>
      <c r="H577" s="214">
        <f>COMPOSICIÓN!H577</f>
        <v>0.05</v>
      </c>
      <c r="I577" s="215">
        <f>COMPOSICIÓN!I577</f>
        <v>5661.4</v>
      </c>
      <c r="J577" s="212" t="str">
        <f>IFERROR(VLOOKUP(A577,PARTIDAS!$A$2:$C$269,3,FALSE()),"")</f>
        <v>PINTURA</v>
      </c>
      <c r="K577" s="212" t="str">
        <f>IFERROR(INDEX(PPTO_GENERADOR!$B$4:$B$220,MATCH(A577,PPTO_GENERADOR!$Q$4:$Q$220,0)),"")</f>
        <v/>
      </c>
      <c r="L577" s="216">
        <f>IF(PLAN_ETAPA!$C$4="(TODOS)",SUMIFS(PPTO_GENERADOR!$E$4:$E$220,PPTO_GENERADOR!$Q$4:$Q$220,A577),SUMIFS(PPTO_GENERADOR!$E$4:$E$220,PPTO_GENERADOR!$Q$4:$Q$220,A577,PPTO_GENERADOR!$B$4:$B$220,PLAN_ETAPA!$C$4))</f>
        <v>0</v>
      </c>
      <c r="M577" s="216">
        <f>IFERROR(VLOOKUP(A577,PARTIDAS!$A$2:$F$269,6,FALSE()),1)</f>
        <v>15.5</v>
      </c>
      <c r="N577" s="216">
        <f>IFERROR(VLOOKUP(A577,PARTIDAS!$A$2:$I$269,9,FALSE()),1)</f>
        <v>1</v>
      </c>
      <c r="O577" s="217">
        <f t="shared" si="16"/>
        <v>0</v>
      </c>
      <c r="P577" s="216">
        <f>IF(O577=0,0,IF(B577="MAT",G577*(1+H577)*L577*PLAN_ETAPA!$C$5,IF(B577="MO",IF(M577=0,0,G577*L577*PLAN_ETAPA!$C$5*N577/M577),IF(B577="EQ",IF(M577=0,0,G577*L577*PLAN_ETAPA!$C$5/M577),0))))</f>
        <v>0</v>
      </c>
      <c r="Q577" s="218">
        <f t="shared" si="17"/>
        <v>0</v>
      </c>
    </row>
    <row r="578" spans="1:17" x14ac:dyDescent="0.35">
      <c r="A578" s="212" t="str">
        <f>COMPOSICIÓN!A578</f>
        <v>PIN-053</v>
      </c>
      <c r="B578" s="212" t="str">
        <f>COMPOSICIÓN!B578</f>
        <v>MAT</v>
      </c>
      <c r="C578" s="212" t="str">
        <f>COMPOSICIÓN!C578</f>
        <v>OTR</v>
      </c>
      <c r="D578" s="212" t="str">
        <f>COMPOSICIÓN!D578</f>
        <v>OTR-024</v>
      </c>
      <c r="E578" s="212" t="str">
        <f>COMPOSICIÓN!E578</f>
        <v>Cinta de Papel 36 mm x 40m</v>
      </c>
      <c r="F578" s="212" t="str">
        <f>COMPOSICIÓN!F578</f>
        <v>u</v>
      </c>
      <c r="G578" s="213">
        <f>COMPOSICIÓN!G578</f>
        <v>0.01</v>
      </c>
      <c r="H578" s="214">
        <f>COMPOSICIÓN!H578</f>
        <v>0.1</v>
      </c>
      <c r="I578" s="215">
        <f>COMPOSICIÓN!I578</f>
        <v>3293.01</v>
      </c>
      <c r="J578" s="212" t="str">
        <f>IFERROR(VLOOKUP(A578,PARTIDAS!$A$2:$C$269,3,FALSE()),"")</f>
        <v>PINTURA</v>
      </c>
      <c r="K578" s="212" t="str">
        <f>IFERROR(INDEX(PPTO_GENERADOR!$B$4:$B$220,MATCH(A578,PPTO_GENERADOR!$Q$4:$Q$220,0)),"")</f>
        <v/>
      </c>
      <c r="L578" s="216">
        <f>IF(PLAN_ETAPA!$C$4="(TODOS)",SUMIFS(PPTO_GENERADOR!$E$4:$E$220,PPTO_GENERADOR!$Q$4:$Q$220,A578),SUMIFS(PPTO_GENERADOR!$E$4:$E$220,PPTO_GENERADOR!$Q$4:$Q$220,A578,PPTO_GENERADOR!$B$4:$B$220,PLAN_ETAPA!$C$4))</f>
        <v>0</v>
      </c>
      <c r="M578" s="216">
        <f>IFERROR(VLOOKUP(A578,PARTIDAS!$A$2:$F$269,6,FALSE()),1)</f>
        <v>15.5</v>
      </c>
      <c r="N578" s="216">
        <f>IFERROR(VLOOKUP(A578,PARTIDAS!$A$2:$I$269,9,FALSE()),1)</f>
        <v>1</v>
      </c>
      <c r="O578" s="217">
        <f t="shared" ref="O578:O641" si="18">IF(L578&gt;0,1,0)</f>
        <v>0</v>
      </c>
      <c r="P578" s="216">
        <f>IF(O578=0,0,IF(B578="MAT",G578*(1+H578)*L578*PLAN_ETAPA!$C$5,IF(B578="MO",IF(M578=0,0,G578*L578*PLAN_ETAPA!$C$5*N578/M578),IF(B578="EQ",IF(M578=0,0,G578*L578*PLAN_ETAPA!$C$5/M578),0))))</f>
        <v>0</v>
      </c>
      <c r="Q578" s="218">
        <f t="shared" ref="Q578:Q641" si="19">P578*I578</f>
        <v>0</v>
      </c>
    </row>
    <row r="579" spans="1:17" x14ac:dyDescent="0.35">
      <c r="A579" s="212" t="str">
        <f>COMPOSICIÓN!A579</f>
        <v>PIN-053</v>
      </c>
      <c r="B579" s="212" t="str">
        <f>COMPOSICIÓN!B579</f>
        <v>MAT</v>
      </c>
      <c r="C579" s="212" t="str">
        <f>COMPOSICIÓN!C579</f>
        <v>OTR</v>
      </c>
      <c r="D579" s="212" t="str">
        <f>COMPOSICIÓN!D579</f>
        <v>OTR-025</v>
      </c>
      <c r="E579" s="212" t="str">
        <f>COMPOSICIÓN!E579</f>
        <v>Trapo</v>
      </c>
      <c r="F579" s="212" t="str">
        <f>COMPOSICIÓN!F579</f>
        <v>u</v>
      </c>
      <c r="G579" s="213">
        <f>COMPOSICIÓN!G579</f>
        <v>0.01</v>
      </c>
      <c r="H579" s="214">
        <f>COMPOSICIÓN!H579</f>
        <v>0.05</v>
      </c>
      <c r="I579" s="215">
        <f>COMPOSICIÓN!I579</f>
        <v>735.06</v>
      </c>
      <c r="J579" s="212" t="str">
        <f>IFERROR(VLOOKUP(A579,PARTIDAS!$A$2:$C$269,3,FALSE()),"")</f>
        <v>PINTURA</v>
      </c>
      <c r="K579" s="212" t="str">
        <f>IFERROR(INDEX(PPTO_GENERADOR!$B$4:$B$220,MATCH(A579,PPTO_GENERADOR!$Q$4:$Q$220,0)),"")</f>
        <v/>
      </c>
      <c r="L579" s="216">
        <f>IF(PLAN_ETAPA!$C$4="(TODOS)",SUMIFS(PPTO_GENERADOR!$E$4:$E$220,PPTO_GENERADOR!$Q$4:$Q$220,A579),SUMIFS(PPTO_GENERADOR!$E$4:$E$220,PPTO_GENERADOR!$Q$4:$Q$220,A579,PPTO_GENERADOR!$B$4:$B$220,PLAN_ETAPA!$C$4))</f>
        <v>0</v>
      </c>
      <c r="M579" s="216">
        <f>IFERROR(VLOOKUP(A579,PARTIDAS!$A$2:$F$269,6,FALSE()),1)</f>
        <v>15.5</v>
      </c>
      <c r="N579" s="216">
        <f>IFERROR(VLOOKUP(A579,PARTIDAS!$A$2:$I$269,9,FALSE()),1)</f>
        <v>1</v>
      </c>
      <c r="O579" s="217">
        <f t="shared" si="18"/>
        <v>0</v>
      </c>
      <c r="P579" s="216">
        <f>IF(O579=0,0,IF(B579="MAT",G579*(1+H579)*L579*PLAN_ETAPA!$C$5,IF(B579="MO",IF(M579=0,0,G579*L579*PLAN_ETAPA!$C$5*N579/M579),IF(B579="EQ",IF(M579=0,0,G579*L579*PLAN_ETAPA!$C$5/M579),0))))</f>
        <v>0</v>
      </c>
      <c r="Q579" s="218">
        <f t="shared" si="19"/>
        <v>0</v>
      </c>
    </row>
    <row r="580" spans="1:17" x14ac:dyDescent="0.35">
      <c r="A580" s="212" t="str">
        <f>COMPOSICIÓN!A580</f>
        <v>PIN-053</v>
      </c>
      <c r="B580" s="212" t="str">
        <f>COMPOSICIÓN!B580</f>
        <v>MAT</v>
      </c>
      <c r="C580" s="212" t="str">
        <f>COMPOSICIÓN!C580</f>
        <v>OTR</v>
      </c>
      <c r="D580" s="212" t="str">
        <f>COMPOSICIÓN!D580</f>
        <v>OTR-027</v>
      </c>
      <c r="E580" s="212" t="str">
        <f>COMPOSICIÓN!E580</f>
        <v>Rodillo de lana pelo largo N°22 - El Galgo</v>
      </c>
      <c r="F580" s="212" t="str">
        <f>COMPOSICIÓN!F580</f>
        <v>u</v>
      </c>
      <c r="G580" s="213">
        <f>COMPOSICIÓN!G580</f>
        <v>5.0000000000000001E-3</v>
      </c>
      <c r="H580" s="214">
        <f>COMPOSICIÓN!H580</f>
        <v>0.05</v>
      </c>
      <c r="I580" s="215">
        <f>COMPOSICIÓN!I580</f>
        <v>6678.36</v>
      </c>
      <c r="J580" s="212" t="str">
        <f>IFERROR(VLOOKUP(A580,PARTIDAS!$A$2:$C$269,3,FALSE()),"")</f>
        <v>PINTURA</v>
      </c>
      <c r="K580" s="212" t="str">
        <f>IFERROR(INDEX(PPTO_GENERADOR!$B$4:$B$220,MATCH(A580,PPTO_GENERADOR!$Q$4:$Q$220,0)),"")</f>
        <v/>
      </c>
      <c r="L580" s="216">
        <f>IF(PLAN_ETAPA!$C$4="(TODOS)",SUMIFS(PPTO_GENERADOR!$E$4:$E$220,PPTO_GENERADOR!$Q$4:$Q$220,A580),SUMIFS(PPTO_GENERADOR!$E$4:$E$220,PPTO_GENERADOR!$Q$4:$Q$220,A580,PPTO_GENERADOR!$B$4:$B$220,PLAN_ETAPA!$C$4))</f>
        <v>0</v>
      </c>
      <c r="M580" s="216">
        <f>IFERROR(VLOOKUP(A580,PARTIDAS!$A$2:$F$269,6,FALSE()),1)</f>
        <v>15.5</v>
      </c>
      <c r="N580" s="216">
        <f>IFERROR(VLOOKUP(A580,PARTIDAS!$A$2:$I$269,9,FALSE()),1)</f>
        <v>1</v>
      </c>
      <c r="O580" s="217">
        <f t="shared" si="18"/>
        <v>0</v>
      </c>
      <c r="P580" s="216">
        <f>IF(O580=0,0,IF(B580="MAT",G580*(1+H580)*L580*PLAN_ETAPA!$C$5,IF(B580="MO",IF(M580=0,0,G580*L580*PLAN_ETAPA!$C$5*N580/M580),IF(B580="EQ",IF(M580=0,0,G580*L580*PLAN_ETAPA!$C$5/M580),0))))</f>
        <v>0</v>
      </c>
      <c r="Q580" s="218">
        <f t="shared" si="19"/>
        <v>0</v>
      </c>
    </row>
    <row r="581" spans="1:17" x14ac:dyDescent="0.35">
      <c r="A581" s="212" t="str">
        <f>COMPOSICIÓN!A581</f>
        <v>PIN-053</v>
      </c>
      <c r="B581" s="212" t="str">
        <f>COMPOSICIÓN!B581</f>
        <v>MAT</v>
      </c>
      <c r="C581" s="212" t="str">
        <f>COMPOSICIÓN!C581</f>
        <v>OTR</v>
      </c>
      <c r="D581" s="212" t="str">
        <f>COMPOSICIÓN!D581</f>
        <v>OTR-028</v>
      </c>
      <c r="E581" s="212" t="str">
        <f>COMPOSICIÓN!E581</f>
        <v>Pincel N° 20 - El Galgo</v>
      </c>
      <c r="F581" s="212" t="str">
        <f>COMPOSICIÓN!F581</f>
        <v>u</v>
      </c>
      <c r="G581" s="213">
        <f>COMPOSICIÓN!G581</f>
        <v>5.0000000000000001E-3</v>
      </c>
      <c r="H581" s="214">
        <f>COMPOSICIÓN!H581</f>
        <v>0.05</v>
      </c>
      <c r="I581" s="215">
        <f>COMPOSICIÓN!I581</f>
        <v>5282.24</v>
      </c>
      <c r="J581" s="212" t="str">
        <f>IFERROR(VLOOKUP(A581,PARTIDAS!$A$2:$C$269,3,FALSE()),"")</f>
        <v>PINTURA</v>
      </c>
      <c r="K581" s="212" t="str">
        <f>IFERROR(INDEX(PPTO_GENERADOR!$B$4:$B$220,MATCH(A581,PPTO_GENERADOR!$Q$4:$Q$220,0)),"")</f>
        <v/>
      </c>
      <c r="L581" s="216">
        <f>IF(PLAN_ETAPA!$C$4="(TODOS)",SUMIFS(PPTO_GENERADOR!$E$4:$E$220,PPTO_GENERADOR!$Q$4:$Q$220,A581),SUMIFS(PPTO_GENERADOR!$E$4:$E$220,PPTO_GENERADOR!$Q$4:$Q$220,A581,PPTO_GENERADOR!$B$4:$B$220,PLAN_ETAPA!$C$4))</f>
        <v>0</v>
      </c>
      <c r="M581" s="216">
        <f>IFERROR(VLOOKUP(A581,PARTIDAS!$A$2:$F$269,6,FALSE()),1)</f>
        <v>15.5</v>
      </c>
      <c r="N581" s="216">
        <f>IFERROR(VLOOKUP(A581,PARTIDAS!$A$2:$I$269,9,FALSE()),1)</f>
        <v>1</v>
      </c>
      <c r="O581" s="217">
        <f t="shared" si="18"/>
        <v>0</v>
      </c>
      <c r="P581" s="216">
        <f>IF(O581=0,0,IF(B581="MAT",G581*(1+H581)*L581*PLAN_ETAPA!$C$5,IF(B581="MO",IF(M581=0,0,G581*L581*PLAN_ETAPA!$C$5*N581/M581),IF(B581="EQ",IF(M581=0,0,G581*L581*PLAN_ETAPA!$C$5/M581),0))))</f>
        <v>0</v>
      </c>
      <c r="Q581" s="218">
        <f t="shared" si="19"/>
        <v>0</v>
      </c>
    </row>
    <row r="582" spans="1:17" x14ac:dyDescent="0.35">
      <c r="A582" s="212" t="str">
        <f>COMPOSICIÓN!A582</f>
        <v>PIN-053</v>
      </c>
      <c r="B582" s="212" t="str">
        <f>COMPOSICIÓN!B582</f>
        <v>MAT</v>
      </c>
      <c r="C582" s="212" t="str">
        <f>COMPOSICIÓN!C582</f>
        <v>OTR</v>
      </c>
      <c r="D582" s="212" t="str">
        <f>COMPOSICIÓN!D582</f>
        <v>OTR-029</v>
      </c>
      <c r="E582" s="212" t="str">
        <f>COMPOSICIÓN!E582</f>
        <v>Rollo de cartón corrugado 0,90 x 25 mts</v>
      </c>
      <c r="F582" s="212" t="str">
        <f>COMPOSICIÓN!F582</f>
        <v>u</v>
      </c>
      <c r="G582" s="213">
        <f>COMPOSICIÓN!G582</f>
        <v>0.01</v>
      </c>
      <c r="H582" s="214">
        <f>COMPOSICIÓN!H582</f>
        <v>0.05</v>
      </c>
      <c r="I582" s="215">
        <f>COMPOSICIÓN!I582</f>
        <v>7427.6</v>
      </c>
      <c r="J582" s="212" t="str">
        <f>IFERROR(VLOOKUP(A582,PARTIDAS!$A$2:$C$269,3,FALSE()),"")</f>
        <v>PINTURA</v>
      </c>
      <c r="K582" s="212" t="str">
        <f>IFERROR(INDEX(PPTO_GENERADOR!$B$4:$B$220,MATCH(A582,PPTO_GENERADOR!$Q$4:$Q$220,0)),"")</f>
        <v/>
      </c>
      <c r="L582" s="216">
        <f>IF(PLAN_ETAPA!$C$4="(TODOS)",SUMIFS(PPTO_GENERADOR!$E$4:$E$220,PPTO_GENERADOR!$Q$4:$Q$220,A582),SUMIFS(PPTO_GENERADOR!$E$4:$E$220,PPTO_GENERADOR!$Q$4:$Q$220,A582,PPTO_GENERADOR!$B$4:$B$220,PLAN_ETAPA!$C$4))</f>
        <v>0</v>
      </c>
      <c r="M582" s="216">
        <f>IFERROR(VLOOKUP(A582,PARTIDAS!$A$2:$F$269,6,FALSE()),1)</f>
        <v>15.5</v>
      </c>
      <c r="N582" s="216">
        <f>IFERROR(VLOOKUP(A582,PARTIDAS!$A$2:$I$269,9,FALSE()),1)</f>
        <v>1</v>
      </c>
      <c r="O582" s="217">
        <f t="shared" si="18"/>
        <v>0</v>
      </c>
      <c r="P582" s="216">
        <f>IF(O582=0,0,IF(B582="MAT",G582*(1+H582)*L582*PLAN_ETAPA!$C$5,IF(B582="MO",IF(M582=0,0,G582*L582*PLAN_ETAPA!$C$5*N582/M582),IF(B582="EQ",IF(M582=0,0,G582*L582*PLAN_ETAPA!$C$5/M582),0))))</f>
        <v>0</v>
      </c>
      <c r="Q582" s="218">
        <f t="shared" si="19"/>
        <v>0</v>
      </c>
    </row>
    <row r="583" spans="1:17" x14ac:dyDescent="0.35">
      <c r="A583" s="212" t="str">
        <f>COMPOSICIÓN!A583</f>
        <v>PIN-053</v>
      </c>
      <c r="B583" s="212" t="str">
        <f>COMPOSICIÓN!B583</f>
        <v>MAT</v>
      </c>
      <c r="C583" s="212" t="str">
        <f>COMPOSICIÓN!C583</f>
        <v>OTR</v>
      </c>
      <c r="D583" s="212" t="str">
        <f>COMPOSICIÓN!D583</f>
        <v>PIN-001</v>
      </c>
      <c r="E583" s="212" t="str">
        <f>COMPOSICIÓN!E583</f>
        <v>Latex Loxon Interior Sherwin Williams Mate Bco x 20lts</v>
      </c>
      <c r="F583" s="212" t="str">
        <f>COMPOSICIÓN!F583</f>
        <v>B</v>
      </c>
      <c r="G583" s="213">
        <f>COMPOSICIÓN!G583</f>
        <v>1.2500000000000001E-2</v>
      </c>
      <c r="H583" s="214">
        <f>COMPOSICIÓN!H583</f>
        <v>0.1</v>
      </c>
      <c r="I583" s="215">
        <f>COMPOSICIÓN!I583</f>
        <v>120622.23</v>
      </c>
      <c r="J583" s="212" t="str">
        <f>IFERROR(VLOOKUP(A583,PARTIDAS!$A$2:$C$269,3,FALSE()),"")</f>
        <v>PINTURA</v>
      </c>
      <c r="K583" s="212" t="str">
        <f>IFERROR(INDEX(PPTO_GENERADOR!$B$4:$B$220,MATCH(A583,PPTO_GENERADOR!$Q$4:$Q$220,0)),"")</f>
        <v/>
      </c>
      <c r="L583" s="216">
        <f>IF(PLAN_ETAPA!$C$4="(TODOS)",SUMIFS(PPTO_GENERADOR!$E$4:$E$220,PPTO_GENERADOR!$Q$4:$Q$220,A583),SUMIFS(PPTO_GENERADOR!$E$4:$E$220,PPTO_GENERADOR!$Q$4:$Q$220,A583,PPTO_GENERADOR!$B$4:$B$220,PLAN_ETAPA!$C$4))</f>
        <v>0</v>
      </c>
      <c r="M583" s="216">
        <f>IFERROR(VLOOKUP(A583,PARTIDAS!$A$2:$F$269,6,FALSE()),1)</f>
        <v>15.5</v>
      </c>
      <c r="N583" s="216">
        <f>IFERROR(VLOOKUP(A583,PARTIDAS!$A$2:$I$269,9,FALSE()),1)</f>
        <v>1</v>
      </c>
      <c r="O583" s="217">
        <f t="shared" si="18"/>
        <v>0</v>
      </c>
      <c r="P583" s="216">
        <f>IF(O583=0,0,IF(B583="MAT",G583*(1+H583)*L583*PLAN_ETAPA!$C$5,IF(B583="MO",IF(M583=0,0,G583*L583*PLAN_ETAPA!$C$5*N583/M583),IF(B583="EQ",IF(M583=0,0,G583*L583*PLAN_ETAPA!$C$5/M583),0))))</f>
        <v>0</v>
      </c>
      <c r="Q583" s="218">
        <f t="shared" si="19"/>
        <v>0</v>
      </c>
    </row>
    <row r="584" spans="1:17" x14ac:dyDescent="0.35">
      <c r="A584" s="212" t="str">
        <f>COMPOSICIÓN!A584</f>
        <v>PIN-053</v>
      </c>
      <c r="B584" s="212" t="str">
        <f>COMPOSICIÓN!B584</f>
        <v>MO</v>
      </c>
      <c r="C584" s="212" t="str">
        <f>COMPOSICIÓN!C584</f>
        <v>ALB</v>
      </c>
      <c r="D584" s="212" t="str">
        <f>COMPOSICIÓN!D584</f>
        <v>MO-EESPE</v>
      </c>
      <c r="E584" s="212" t="str">
        <f>COMPOSICIÓN!E584</f>
        <v>ESPECIALIZADO</v>
      </c>
      <c r="F584" s="212" t="str">
        <f>COMPOSICIÓN!F584</f>
        <v>j</v>
      </c>
      <c r="G584" s="213">
        <f>COMPOSICIÓN!G584</f>
        <v>1</v>
      </c>
      <c r="H584" s="214">
        <f>COMPOSICIÓN!H584</f>
        <v>0</v>
      </c>
      <c r="I584" s="215">
        <f>COMPOSICIÓN!I584</f>
        <v>85927.097156571996</v>
      </c>
      <c r="J584" s="212" t="str">
        <f>IFERROR(VLOOKUP(A584,PARTIDAS!$A$2:$C$269,3,FALSE()),"")</f>
        <v>PINTURA</v>
      </c>
      <c r="K584" s="212" t="str">
        <f>IFERROR(INDEX(PPTO_GENERADOR!$B$4:$B$220,MATCH(A584,PPTO_GENERADOR!$Q$4:$Q$220,0)),"")</f>
        <v/>
      </c>
      <c r="L584" s="216">
        <f>IF(PLAN_ETAPA!$C$4="(TODOS)",SUMIFS(PPTO_GENERADOR!$E$4:$E$220,PPTO_GENERADOR!$Q$4:$Q$220,A584),SUMIFS(PPTO_GENERADOR!$E$4:$E$220,PPTO_GENERADOR!$Q$4:$Q$220,A584,PPTO_GENERADOR!$B$4:$B$220,PLAN_ETAPA!$C$4))</f>
        <v>0</v>
      </c>
      <c r="M584" s="216">
        <f>IFERROR(VLOOKUP(A584,PARTIDAS!$A$2:$F$269,6,FALSE()),1)</f>
        <v>15.5</v>
      </c>
      <c r="N584" s="216">
        <f>IFERROR(VLOOKUP(A584,PARTIDAS!$A$2:$I$269,9,FALSE()),1)</f>
        <v>1</v>
      </c>
      <c r="O584" s="217">
        <f t="shared" si="18"/>
        <v>0</v>
      </c>
      <c r="P584" s="216">
        <f>IF(O584=0,0,IF(B584="MAT",G584*(1+H584)*L584*PLAN_ETAPA!$C$5,IF(B584="MO",IF(M584=0,0,G584*L584*PLAN_ETAPA!$C$5*N584/M584),IF(B584="EQ",IF(M584=0,0,G584*L584*PLAN_ETAPA!$C$5/M584),0))))</f>
        <v>0</v>
      </c>
      <c r="Q584" s="218">
        <f t="shared" si="19"/>
        <v>0</v>
      </c>
    </row>
    <row r="585" spans="1:17" x14ac:dyDescent="0.35">
      <c r="A585" s="212" t="str">
        <f>COMPOSICIÓN!A585</f>
        <v>PIN-054</v>
      </c>
      <c r="B585" s="212" t="str">
        <f>COMPOSICIÓN!B585</f>
        <v>EQ</v>
      </c>
      <c r="C585" s="212">
        <f>COMPOSICIÓN!C585</f>
        <v>0</v>
      </c>
      <c r="D585" s="212" t="str">
        <f>COMPOSICIÓN!D585</f>
        <v>EQ-EQUIPI</v>
      </c>
      <c r="E585" s="212" t="str">
        <f>COMPOSICIÓN!E585</f>
        <v>EQUIPO PARA PINTAR</v>
      </c>
      <c r="F585" s="212">
        <f>COMPOSICIÓN!F585</f>
        <v>0</v>
      </c>
      <c r="G585" s="213">
        <f>COMPOSICIÓN!G585</f>
        <v>1</v>
      </c>
      <c r="H585" s="214">
        <f>COMPOSICIÓN!H585</f>
        <v>0</v>
      </c>
      <c r="I585" s="215">
        <f>COMPOSICIÓN!I585</f>
        <v>1723.6259595547085</v>
      </c>
      <c r="J585" s="212" t="str">
        <f>IFERROR(VLOOKUP(A585,PARTIDAS!$A$2:$C$269,3,FALSE()),"")</f>
        <v>PINTURA</v>
      </c>
      <c r="K585" s="212" t="str">
        <f>IFERROR(INDEX(PPTO_GENERADOR!$B$4:$B$220,MATCH(A585,PPTO_GENERADOR!$Q$4:$Q$220,0)),"")</f>
        <v/>
      </c>
      <c r="L585" s="216">
        <f>IF(PLAN_ETAPA!$C$4="(TODOS)",SUMIFS(PPTO_GENERADOR!$E$4:$E$220,PPTO_GENERADOR!$Q$4:$Q$220,A585),SUMIFS(PPTO_GENERADOR!$E$4:$E$220,PPTO_GENERADOR!$Q$4:$Q$220,A585,PPTO_GENERADOR!$B$4:$B$220,PLAN_ETAPA!$C$4))</f>
        <v>0</v>
      </c>
      <c r="M585" s="216">
        <f>IFERROR(VLOOKUP(A585,PARTIDAS!$A$2:$F$269,6,FALSE()),1)</f>
        <v>8</v>
      </c>
      <c r="N585" s="216">
        <f>IFERROR(VLOOKUP(A585,PARTIDAS!$A$2:$I$269,9,FALSE()),1)</f>
        <v>1</v>
      </c>
      <c r="O585" s="217">
        <f t="shared" si="18"/>
        <v>0</v>
      </c>
      <c r="P585" s="216">
        <f>IF(O585=0,0,IF(B585="MAT",G585*(1+H585)*L585*PLAN_ETAPA!$C$5,IF(B585="MO",IF(M585=0,0,G585*L585*PLAN_ETAPA!$C$5*N585/M585),IF(B585="EQ",IF(M585=0,0,G585*L585*PLAN_ETAPA!$C$5/M585),0))))</f>
        <v>0</v>
      </c>
      <c r="Q585" s="218">
        <f t="shared" si="19"/>
        <v>0</v>
      </c>
    </row>
    <row r="586" spans="1:17" x14ac:dyDescent="0.35">
      <c r="A586" s="212" t="str">
        <f>COMPOSICIÓN!A586</f>
        <v>PIN-054</v>
      </c>
      <c r="B586" s="212" t="str">
        <f>COMPOSICIÓN!B586</f>
        <v>EQ</v>
      </c>
      <c r="C586" s="212">
        <f>COMPOSICIÓN!C586</f>
        <v>0</v>
      </c>
      <c r="D586" s="212" t="str">
        <f>COMPOSICIÓN!D586</f>
        <v>EQ-PTO026</v>
      </c>
      <c r="E586" s="212" t="str">
        <f>COMPOSICIÓN!E586</f>
        <v>ESCALERA MADERA PINTOR 8 ESCALONES</v>
      </c>
      <c r="F586" s="212">
        <f>COMPOSICIÓN!F586</f>
        <v>0</v>
      </c>
      <c r="G586" s="213">
        <f>COMPOSICIÓN!G586</f>
        <v>1</v>
      </c>
      <c r="H586" s="214">
        <f>COMPOSICIÓN!H586</f>
        <v>0</v>
      </c>
      <c r="I586" s="215">
        <f>COMPOSICIÓN!I586</f>
        <v>200.25307946474501</v>
      </c>
      <c r="J586" s="212" t="str">
        <f>IFERROR(VLOOKUP(A586,PARTIDAS!$A$2:$C$269,3,FALSE()),"")</f>
        <v>PINTURA</v>
      </c>
      <c r="K586" s="212" t="str">
        <f>IFERROR(INDEX(PPTO_GENERADOR!$B$4:$B$220,MATCH(A586,PPTO_GENERADOR!$Q$4:$Q$220,0)),"")</f>
        <v/>
      </c>
      <c r="L586" s="216">
        <f>IF(PLAN_ETAPA!$C$4="(TODOS)",SUMIFS(PPTO_GENERADOR!$E$4:$E$220,PPTO_GENERADOR!$Q$4:$Q$220,A586),SUMIFS(PPTO_GENERADOR!$E$4:$E$220,PPTO_GENERADOR!$Q$4:$Q$220,A586,PPTO_GENERADOR!$B$4:$B$220,PLAN_ETAPA!$C$4))</f>
        <v>0</v>
      </c>
      <c r="M586" s="216">
        <f>IFERROR(VLOOKUP(A586,PARTIDAS!$A$2:$F$269,6,FALSE()),1)</f>
        <v>8</v>
      </c>
      <c r="N586" s="216">
        <f>IFERROR(VLOOKUP(A586,PARTIDAS!$A$2:$I$269,9,FALSE()),1)</f>
        <v>1</v>
      </c>
      <c r="O586" s="217">
        <f t="shared" si="18"/>
        <v>0</v>
      </c>
      <c r="P586" s="216">
        <f>IF(O586=0,0,IF(B586="MAT",G586*(1+H586)*L586*PLAN_ETAPA!$C$5,IF(B586="MO",IF(M586=0,0,G586*L586*PLAN_ETAPA!$C$5*N586/M586),IF(B586="EQ",IF(M586=0,0,G586*L586*PLAN_ETAPA!$C$5/M586),0))))</f>
        <v>0</v>
      </c>
      <c r="Q586" s="218">
        <f t="shared" si="19"/>
        <v>0</v>
      </c>
    </row>
    <row r="587" spans="1:17" x14ac:dyDescent="0.35">
      <c r="A587" s="212" t="str">
        <f>COMPOSICIÓN!A587</f>
        <v>PIN-054</v>
      </c>
      <c r="B587" s="212" t="str">
        <f>COMPOSICIÓN!B587</f>
        <v>MAT</v>
      </c>
      <c r="C587" s="212" t="str">
        <f>COMPOSICIÓN!C587</f>
        <v>OTR</v>
      </c>
      <c r="D587" s="212" t="str">
        <f>COMPOSICIÓN!D587</f>
        <v>OTR-022</v>
      </c>
      <c r="E587" s="212" t="str">
        <f>COMPOSICIÓN!E587</f>
        <v>Aguarras Hydrarras Hydra x 18lts</v>
      </c>
      <c r="F587" s="212" t="str">
        <f>COMPOSICIÓN!F587</f>
        <v>b</v>
      </c>
      <c r="G587" s="213">
        <f>COMPOSICIÓN!G587</f>
        <v>5.0000000000000001E-3</v>
      </c>
      <c r="H587" s="214">
        <f>COMPOSICIÓN!H587</f>
        <v>0.1</v>
      </c>
      <c r="I587" s="215">
        <f>COMPOSICIÓN!I587</f>
        <v>26907.33</v>
      </c>
      <c r="J587" s="212" t="str">
        <f>IFERROR(VLOOKUP(A587,PARTIDAS!$A$2:$C$269,3,FALSE()),"")</f>
        <v>PINTURA</v>
      </c>
      <c r="K587" s="212" t="str">
        <f>IFERROR(INDEX(PPTO_GENERADOR!$B$4:$B$220,MATCH(A587,PPTO_GENERADOR!$Q$4:$Q$220,0)),"")</f>
        <v/>
      </c>
      <c r="L587" s="216">
        <f>IF(PLAN_ETAPA!$C$4="(TODOS)",SUMIFS(PPTO_GENERADOR!$E$4:$E$220,PPTO_GENERADOR!$Q$4:$Q$220,A587),SUMIFS(PPTO_GENERADOR!$E$4:$E$220,PPTO_GENERADOR!$Q$4:$Q$220,A587,PPTO_GENERADOR!$B$4:$B$220,PLAN_ETAPA!$C$4))</f>
        <v>0</v>
      </c>
      <c r="M587" s="216">
        <f>IFERROR(VLOOKUP(A587,PARTIDAS!$A$2:$F$269,6,FALSE()),1)</f>
        <v>8</v>
      </c>
      <c r="N587" s="216">
        <f>IFERROR(VLOOKUP(A587,PARTIDAS!$A$2:$I$269,9,FALSE()),1)</f>
        <v>1</v>
      </c>
      <c r="O587" s="217">
        <f t="shared" si="18"/>
        <v>0</v>
      </c>
      <c r="P587" s="216">
        <f>IF(O587=0,0,IF(B587="MAT",G587*(1+H587)*L587*PLAN_ETAPA!$C$5,IF(B587="MO",IF(M587=0,0,G587*L587*PLAN_ETAPA!$C$5*N587/M587),IF(B587="EQ",IF(M587=0,0,G587*L587*PLAN_ETAPA!$C$5/M587),0))))</f>
        <v>0</v>
      </c>
      <c r="Q587" s="218">
        <f t="shared" si="19"/>
        <v>0</v>
      </c>
    </row>
    <row r="588" spans="1:17" x14ac:dyDescent="0.35">
      <c r="A588" s="212" t="str">
        <f>COMPOSICIÓN!A588</f>
        <v>PIN-054</v>
      </c>
      <c r="B588" s="212" t="str">
        <f>COMPOSICIÓN!B588</f>
        <v>MAT</v>
      </c>
      <c r="C588" s="212" t="str">
        <f>COMPOSICIÓN!C588</f>
        <v>OTR</v>
      </c>
      <c r="D588" s="212" t="str">
        <f>COMPOSICIÓN!D588</f>
        <v>OTR-023</v>
      </c>
      <c r="E588" s="212" t="str">
        <f>COMPOSICIÓN!E588</f>
        <v>Lija 180 al agua x 10u</v>
      </c>
      <c r="F588" s="212" t="str">
        <f>COMPOSICIÓN!F588</f>
        <v>u</v>
      </c>
      <c r="G588" s="213">
        <f>COMPOSICIÓN!G588</f>
        <v>0.02</v>
      </c>
      <c r="H588" s="214">
        <f>COMPOSICIÓN!H588</f>
        <v>0.05</v>
      </c>
      <c r="I588" s="215">
        <f>COMPOSICIÓN!I588</f>
        <v>5661.4</v>
      </c>
      <c r="J588" s="212" t="str">
        <f>IFERROR(VLOOKUP(A588,PARTIDAS!$A$2:$C$269,3,FALSE()),"")</f>
        <v>PINTURA</v>
      </c>
      <c r="K588" s="212" t="str">
        <f>IFERROR(INDEX(PPTO_GENERADOR!$B$4:$B$220,MATCH(A588,PPTO_GENERADOR!$Q$4:$Q$220,0)),"")</f>
        <v/>
      </c>
      <c r="L588" s="216">
        <f>IF(PLAN_ETAPA!$C$4="(TODOS)",SUMIFS(PPTO_GENERADOR!$E$4:$E$220,PPTO_GENERADOR!$Q$4:$Q$220,A588),SUMIFS(PPTO_GENERADOR!$E$4:$E$220,PPTO_GENERADOR!$Q$4:$Q$220,A588,PPTO_GENERADOR!$B$4:$B$220,PLAN_ETAPA!$C$4))</f>
        <v>0</v>
      </c>
      <c r="M588" s="216">
        <f>IFERROR(VLOOKUP(A588,PARTIDAS!$A$2:$F$269,6,FALSE()),1)</f>
        <v>8</v>
      </c>
      <c r="N588" s="216">
        <f>IFERROR(VLOOKUP(A588,PARTIDAS!$A$2:$I$269,9,FALSE()),1)</f>
        <v>1</v>
      </c>
      <c r="O588" s="217">
        <f t="shared" si="18"/>
        <v>0</v>
      </c>
      <c r="P588" s="216">
        <f>IF(O588=0,0,IF(B588="MAT",G588*(1+H588)*L588*PLAN_ETAPA!$C$5,IF(B588="MO",IF(M588=0,0,G588*L588*PLAN_ETAPA!$C$5*N588/M588),IF(B588="EQ",IF(M588=0,0,G588*L588*PLAN_ETAPA!$C$5/M588),0))))</f>
        <v>0</v>
      </c>
      <c r="Q588" s="218">
        <f t="shared" si="19"/>
        <v>0</v>
      </c>
    </row>
    <row r="589" spans="1:17" x14ac:dyDescent="0.35">
      <c r="A589" s="212" t="str">
        <f>COMPOSICIÓN!A589</f>
        <v>PIN-054</v>
      </c>
      <c r="B589" s="212" t="str">
        <f>COMPOSICIÓN!B589</f>
        <v>MAT</v>
      </c>
      <c r="C589" s="212" t="str">
        <f>COMPOSICIÓN!C589</f>
        <v>OTR</v>
      </c>
      <c r="D589" s="212" t="str">
        <f>COMPOSICIÓN!D589</f>
        <v>OTR-024</v>
      </c>
      <c r="E589" s="212" t="str">
        <f>COMPOSICIÓN!E589</f>
        <v>Cinta de Papel 36 mm x 40m</v>
      </c>
      <c r="F589" s="212" t="str">
        <f>COMPOSICIÓN!F589</f>
        <v>u</v>
      </c>
      <c r="G589" s="213">
        <f>COMPOSICIÓN!G589</f>
        <v>0.05</v>
      </c>
      <c r="H589" s="214">
        <f>COMPOSICIÓN!H589</f>
        <v>0.1</v>
      </c>
      <c r="I589" s="215">
        <f>COMPOSICIÓN!I589</f>
        <v>3293.01</v>
      </c>
      <c r="J589" s="212" t="str">
        <f>IFERROR(VLOOKUP(A589,PARTIDAS!$A$2:$C$269,3,FALSE()),"")</f>
        <v>PINTURA</v>
      </c>
      <c r="K589" s="212" t="str">
        <f>IFERROR(INDEX(PPTO_GENERADOR!$B$4:$B$220,MATCH(A589,PPTO_GENERADOR!$Q$4:$Q$220,0)),"")</f>
        <v/>
      </c>
      <c r="L589" s="216">
        <f>IF(PLAN_ETAPA!$C$4="(TODOS)",SUMIFS(PPTO_GENERADOR!$E$4:$E$220,PPTO_GENERADOR!$Q$4:$Q$220,A589),SUMIFS(PPTO_GENERADOR!$E$4:$E$220,PPTO_GENERADOR!$Q$4:$Q$220,A589,PPTO_GENERADOR!$B$4:$B$220,PLAN_ETAPA!$C$4))</f>
        <v>0</v>
      </c>
      <c r="M589" s="216">
        <f>IFERROR(VLOOKUP(A589,PARTIDAS!$A$2:$F$269,6,FALSE()),1)</f>
        <v>8</v>
      </c>
      <c r="N589" s="216">
        <f>IFERROR(VLOOKUP(A589,PARTIDAS!$A$2:$I$269,9,FALSE()),1)</f>
        <v>1</v>
      </c>
      <c r="O589" s="217">
        <f t="shared" si="18"/>
        <v>0</v>
      </c>
      <c r="P589" s="216">
        <f>IF(O589=0,0,IF(B589="MAT",G589*(1+H589)*L589*PLAN_ETAPA!$C$5,IF(B589="MO",IF(M589=0,0,G589*L589*PLAN_ETAPA!$C$5*N589/M589),IF(B589="EQ",IF(M589=0,0,G589*L589*PLAN_ETAPA!$C$5/M589),0))))</f>
        <v>0</v>
      </c>
      <c r="Q589" s="218">
        <f t="shared" si="19"/>
        <v>0</v>
      </c>
    </row>
    <row r="590" spans="1:17" x14ac:dyDescent="0.35">
      <c r="A590" s="212" t="str">
        <f>COMPOSICIÓN!A590</f>
        <v>PIN-054</v>
      </c>
      <c r="B590" s="212" t="str">
        <f>COMPOSICIÓN!B590</f>
        <v>MAT</v>
      </c>
      <c r="C590" s="212" t="str">
        <f>COMPOSICIÓN!C590</f>
        <v>OTR</v>
      </c>
      <c r="D590" s="212" t="str">
        <f>COMPOSICIÓN!D590</f>
        <v>OTR-025</v>
      </c>
      <c r="E590" s="212" t="str">
        <f>COMPOSICIÓN!E590</f>
        <v>Trapo</v>
      </c>
      <c r="F590" s="212" t="str">
        <f>COMPOSICIÓN!F590</f>
        <v>u</v>
      </c>
      <c r="G590" s="213">
        <f>COMPOSICIÓN!G590</f>
        <v>0.01</v>
      </c>
      <c r="H590" s="214">
        <f>COMPOSICIÓN!H590</f>
        <v>0.05</v>
      </c>
      <c r="I590" s="215">
        <f>COMPOSICIÓN!I590</f>
        <v>735.06</v>
      </c>
      <c r="J590" s="212" t="str">
        <f>IFERROR(VLOOKUP(A590,PARTIDAS!$A$2:$C$269,3,FALSE()),"")</f>
        <v>PINTURA</v>
      </c>
      <c r="K590" s="212" t="str">
        <f>IFERROR(INDEX(PPTO_GENERADOR!$B$4:$B$220,MATCH(A590,PPTO_GENERADOR!$Q$4:$Q$220,0)),"")</f>
        <v/>
      </c>
      <c r="L590" s="216">
        <f>IF(PLAN_ETAPA!$C$4="(TODOS)",SUMIFS(PPTO_GENERADOR!$E$4:$E$220,PPTO_GENERADOR!$Q$4:$Q$220,A590),SUMIFS(PPTO_GENERADOR!$E$4:$E$220,PPTO_GENERADOR!$Q$4:$Q$220,A590,PPTO_GENERADOR!$B$4:$B$220,PLAN_ETAPA!$C$4))</f>
        <v>0</v>
      </c>
      <c r="M590" s="216">
        <f>IFERROR(VLOOKUP(A590,PARTIDAS!$A$2:$F$269,6,FALSE()),1)</f>
        <v>8</v>
      </c>
      <c r="N590" s="216">
        <f>IFERROR(VLOOKUP(A590,PARTIDAS!$A$2:$I$269,9,FALSE()),1)</f>
        <v>1</v>
      </c>
      <c r="O590" s="217">
        <f t="shared" si="18"/>
        <v>0</v>
      </c>
      <c r="P590" s="216">
        <f>IF(O590=0,0,IF(B590="MAT",G590*(1+H590)*L590*PLAN_ETAPA!$C$5,IF(B590="MO",IF(M590=0,0,G590*L590*PLAN_ETAPA!$C$5*N590/M590),IF(B590="EQ",IF(M590=0,0,G590*L590*PLAN_ETAPA!$C$5/M590),0))))</f>
        <v>0</v>
      </c>
      <c r="Q590" s="218">
        <f t="shared" si="19"/>
        <v>0</v>
      </c>
    </row>
    <row r="591" spans="1:17" x14ac:dyDescent="0.35">
      <c r="A591" s="212" t="str">
        <f>COMPOSICIÓN!A591</f>
        <v>PIN-054</v>
      </c>
      <c r="B591" s="212" t="str">
        <f>COMPOSICIÓN!B591</f>
        <v>MAT</v>
      </c>
      <c r="C591" s="212" t="str">
        <f>COMPOSICIÓN!C591</f>
        <v>OTR</v>
      </c>
      <c r="D591" s="212" t="str">
        <f>COMPOSICIÓN!D591</f>
        <v>OTR-027</v>
      </c>
      <c r="E591" s="212" t="str">
        <f>COMPOSICIÓN!E591</f>
        <v>Rodillo de lana pelo largo N°22 - El Galgo</v>
      </c>
      <c r="F591" s="212" t="str">
        <f>COMPOSICIÓN!F591</f>
        <v>u</v>
      </c>
      <c r="G591" s="213">
        <f>COMPOSICIÓN!G591</f>
        <v>0.01</v>
      </c>
      <c r="H591" s="214">
        <f>COMPOSICIÓN!H591</f>
        <v>0.05</v>
      </c>
      <c r="I591" s="215">
        <f>COMPOSICIÓN!I591</f>
        <v>6678.36</v>
      </c>
      <c r="J591" s="212" t="str">
        <f>IFERROR(VLOOKUP(A591,PARTIDAS!$A$2:$C$269,3,FALSE()),"")</f>
        <v>PINTURA</v>
      </c>
      <c r="K591" s="212" t="str">
        <f>IFERROR(INDEX(PPTO_GENERADOR!$B$4:$B$220,MATCH(A591,PPTO_GENERADOR!$Q$4:$Q$220,0)),"")</f>
        <v/>
      </c>
      <c r="L591" s="216">
        <f>IF(PLAN_ETAPA!$C$4="(TODOS)",SUMIFS(PPTO_GENERADOR!$E$4:$E$220,PPTO_GENERADOR!$Q$4:$Q$220,A591),SUMIFS(PPTO_GENERADOR!$E$4:$E$220,PPTO_GENERADOR!$Q$4:$Q$220,A591,PPTO_GENERADOR!$B$4:$B$220,PLAN_ETAPA!$C$4))</f>
        <v>0</v>
      </c>
      <c r="M591" s="216">
        <f>IFERROR(VLOOKUP(A591,PARTIDAS!$A$2:$F$269,6,FALSE()),1)</f>
        <v>8</v>
      </c>
      <c r="N591" s="216">
        <f>IFERROR(VLOOKUP(A591,PARTIDAS!$A$2:$I$269,9,FALSE()),1)</f>
        <v>1</v>
      </c>
      <c r="O591" s="217">
        <f t="shared" si="18"/>
        <v>0</v>
      </c>
      <c r="P591" s="216">
        <f>IF(O591=0,0,IF(B591="MAT",G591*(1+H591)*L591*PLAN_ETAPA!$C$5,IF(B591="MO",IF(M591=0,0,G591*L591*PLAN_ETAPA!$C$5*N591/M591),IF(B591="EQ",IF(M591=0,0,G591*L591*PLAN_ETAPA!$C$5/M591),0))))</f>
        <v>0</v>
      </c>
      <c r="Q591" s="218">
        <f t="shared" si="19"/>
        <v>0</v>
      </c>
    </row>
    <row r="592" spans="1:17" x14ac:dyDescent="0.35">
      <c r="A592" s="212" t="str">
        <f>COMPOSICIÓN!A592</f>
        <v>PIN-054</v>
      </c>
      <c r="B592" s="212" t="str">
        <f>COMPOSICIÓN!B592</f>
        <v>MAT</v>
      </c>
      <c r="C592" s="212" t="str">
        <f>COMPOSICIÓN!C592</f>
        <v>OTR</v>
      </c>
      <c r="D592" s="212" t="str">
        <f>COMPOSICIÓN!D592</f>
        <v>OTR-028</v>
      </c>
      <c r="E592" s="212" t="str">
        <f>COMPOSICIÓN!E592</f>
        <v>Pincel N° 20 - El Galgo</v>
      </c>
      <c r="F592" s="212" t="str">
        <f>COMPOSICIÓN!F592</f>
        <v>u</v>
      </c>
      <c r="G592" s="213">
        <f>COMPOSICIÓN!G592</f>
        <v>0.01</v>
      </c>
      <c r="H592" s="214">
        <f>COMPOSICIÓN!H592</f>
        <v>0.05</v>
      </c>
      <c r="I592" s="215">
        <f>COMPOSICIÓN!I592</f>
        <v>5282.24</v>
      </c>
      <c r="J592" s="212" t="str">
        <f>IFERROR(VLOOKUP(A592,PARTIDAS!$A$2:$C$269,3,FALSE()),"")</f>
        <v>PINTURA</v>
      </c>
      <c r="K592" s="212" t="str">
        <f>IFERROR(INDEX(PPTO_GENERADOR!$B$4:$B$220,MATCH(A592,PPTO_GENERADOR!$Q$4:$Q$220,0)),"")</f>
        <v/>
      </c>
      <c r="L592" s="216">
        <f>IF(PLAN_ETAPA!$C$4="(TODOS)",SUMIFS(PPTO_GENERADOR!$E$4:$E$220,PPTO_GENERADOR!$Q$4:$Q$220,A592),SUMIFS(PPTO_GENERADOR!$E$4:$E$220,PPTO_GENERADOR!$Q$4:$Q$220,A592,PPTO_GENERADOR!$B$4:$B$220,PLAN_ETAPA!$C$4))</f>
        <v>0</v>
      </c>
      <c r="M592" s="216">
        <f>IFERROR(VLOOKUP(A592,PARTIDAS!$A$2:$F$269,6,FALSE()),1)</f>
        <v>8</v>
      </c>
      <c r="N592" s="216">
        <f>IFERROR(VLOOKUP(A592,PARTIDAS!$A$2:$I$269,9,FALSE()),1)</f>
        <v>1</v>
      </c>
      <c r="O592" s="217">
        <f t="shared" si="18"/>
        <v>0</v>
      </c>
      <c r="P592" s="216">
        <f>IF(O592=0,0,IF(B592="MAT",G592*(1+H592)*L592*PLAN_ETAPA!$C$5,IF(B592="MO",IF(M592=0,0,G592*L592*PLAN_ETAPA!$C$5*N592/M592),IF(B592="EQ",IF(M592=0,0,G592*L592*PLAN_ETAPA!$C$5/M592),0))))</f>
        <v>0</v>
      </c>
      <c r="Q592" s="218">
        <f t="shared" si="19"/>
        <v>0</v>
      </c>
    </row>
    <row r="593" spans="1:17" x14ac:dyDescent="0.35">
      <c r="A593" s="212" t="str">
        <f>COMPOSICIÓN!A593</f>
        <v>PIN-054</v>
      </c>
      <c r="B593" s="212" t="str">
        <f>COMPOSICIÓN!B593</f>
        <v>MAT</v>
      </c>
      <c r="C593" s="212" t="str">
        <f>COMPOSICIÓN!C593</f>
        <v>OTR</v>
      </c>
      <c r="D593" s="212" t="str">
        <f>COMPOSICIÓN!D593</f>
        <v>OTR-029</v>
      </c>
      <c r="E593" s="212" t="str">
        <f>COMPOSICIÓN!E593</f>
        <v>Rollo de cartón corrugado 0,90 x 25 mts</v>
      </c>
      <c r="F593" s="212" t="str">
        <f>COMPOSICIÓN!F593</f>
        <v>u</v>
      </c>
      <c r="G593" s="213">
        <f>COMPOSICIÓN!G593</f>
        <v>0.01</v>
      </c>
      <c r="H593" s="214">
        <f>COMPOSICIÓN!H593</f>
        <v>0.05</v>
      </c>
      <c r="I593" s="215">
        <f>COMPOSICIÓN!I593</f>
        <v>7427.6</v>
      </c>
      <c r="J593" s="212" t="str">
        <f>IFERROR(VLOOKUP(A593,PARTIDAS!$A$2:$C$269,3,FALSE()),"")</f>
        <v>PINTURA</v>
      </c>
      <c r="K593" s="212" t="str">
        <f>IFERROR(INDEX(PPTO_GENERADOR!$B$4:$B$220,MATCH(A593,PPTO_GENERADOR!$Q$4:$Q$220,0)),"")</f>
        <v/>
      </c>
      <c r="L593" s="216">
        <f>IF(PLAN_ETAPA!$C$4="(TODOS)",SUMIFS(PPTO_GENERADOR!$E$4:$E$220,PPTO_GENERADOR!$Q$4:$Q$220,A593),SUMIFS(PPTO_GENERADOR!$E$4:$E$220,PPTO_GENERADOR!$Q$4:$Q$220,A593,PPTO_GENERADOR!$B$4:$B$220,PLAN_ETAPA!$C$4))</f>
        <v>0</v>
      </c>
      <c r="M593" s="216">
        <f>IFERROR(VLOOKUP(A593,PARTIDAS!$A$2:$F$269,6,FALSE()),1)</f>
        <v>8</v>
      </c>
      <c r="N593" s="216">
        <f>IFERROR(VLOOKUP(A593,PARTIDAS!$A$2:$I$269,9,FALSE()),1)</f>
        <v>1</v>
      </c>
      <c r="O593" s="217">
        <f t="shared" si="18"/>
        <v>0</v>
      </c>
      <c r="P593" s="216">
        <f>IF(O593=0,0,IF(B593="MAT",G593*(1+H593)*L593*PLAN_ETAPA!$C$5,IF(B593="MO",IF(M593=0,0,G593*L593*PLAN_ETAPA!$C$5*N593/M593),IF(B593="EQ",IF(M593=0,0,G593*L593*PLAN_ETAPA!$C$5/M593),0))))</f>
        <v>0</v>
      </c>
      <c r="Q593" s="218">
        <f t="shared" si="19"/>
        <v>0</v>
      </c>
    </row>
    <row r="594" spans="1:17" x14ac:dyDescent="0.35">
      <c r="A594" s="212" t="str">
        <f>COMPOSICIÓN!A594</f>
        <v>PIN-054</v>
      </c>
      <c r="B594" s="212" t="str">
        <f>COMPOSICIÓN!B594</f>
        <v>MAT</v>
      </c>
      <c r="C594" s="212" t="str">
        <f>COMPOSICIÓN!C594</f>
        <v>OTR</v>
      </c>
      <c r="D594" s="212" t="str">
        <f>COMPOSICIÓN!D594</f>
        <v>PIN-006</v>
      </c>
      <c r="E594" s="212" t="str">
        <f>COMPOSICIÓN!E594</f>
        <v>Esmalte sintetico satinado Satinol Blanco x 4lts</v>
      </c>
      <c r="F594" s="212" t="str">
        <f>COMPOSICIÓN!F594</f>
        <v>b</v>
      </c>
      <c r="G594" s="213">
        <f>COMPOSICIÓN!G594</f>
        <v>6.25E-2</v>
      </c>
      <c r="H594" s="214">
        <f>COMPOSICIÓN!H594</f>
        <v>0.1</v>
      </c>
      <c r="I594" s="215">
        <f>COMPOSICIÓN!I594</f>
        <v>28011.57</v>
      </c>
      <c r="J594" s="212" t="str">
        <f>IFERROR(VLOOKUP(A594,PARTIDAS!$A$2:$C$269,3,FALSE()),"")</f>
        <v>PINTURA</v>
      </c>
      <c r="K594" s="212" t="str">
        <f>IFERROR(INDEX(PPTO_GENERADOR!$B$4:$B$220,MATCH(A594,PPTO_GENERADOR!$Q$4:$Q$220,0)),"")</f>
        <v/>
      </c>
      <c r="L594" s="216">
        <f>IF(PLAN_ETAPA!$C$4="(TODOS)",SUMIFS(PPTO_GENERADOR!$E$4:$E$220,PPTO_GENERADOR!$Q$4:$Q$220,A594),SUMIFS(PPTO_GENERADOR!$E$4:$E$220,PPTO_GENERADOR!$Q$4:$Q$220,A594,PPTO_GENERADOR!$B$4:$B$220,PLAN_ETAPA!$C$4))</f>
        <v>0</v>
      </c>
      <c r="M594" s="216">
        <f>IFERROR(VLOOKUP(A594,PARTIDAS!$A$2:$F$269,6,FALSE()),1)</f>
        <v>8</v>
      </c>
      <c r="N594" s="216">
        <f>IFERROR(VLOOKUP(A594,PARTIDAS!$A$2:$I$269,9,FALSE()),1)</f>
        <v>1</v>
      </c>
      <c r="O594" s="217">
        <f t="shared" si="18"/>
        <v>0</v>
      </c>
      <c r="P594" s="216">
        <f>IF(O594=0,0,IF(B594="MAT",G594*(1+H594)*L594*PLAN_ETAPA!$C$5,IF(B594="MO",IF(M594=0,0,G594*L594*PLAN_ETAPA!$C$5*N594/M594),IF(B594="EQ",IF(M594=0,0,G594*L594*PLAN_ETAPA!$C$5/M594),0))))</f>
        <v>0</v>
      </c>
      <c r="Q594" s="218">
        <f t="shared" si="19"/>
        <v>0</v>
      </c>
    </row>
    <row r="595" spans="1:17" x14ac:dyDescent="0.35">
      <c r="A595" s="212" t="str">
        <f>COMPOSICIÓN!A595</f>
        <v>PIN-054</v>
      </c>
      <c r="B595" s="212" t="str">
        <f>COMPOSICIÓN!B595</f>
        <v>MO</v>
      </c>
      <c r="C595" s="212" t="str">
        <f>COMPOSICIÓN!C595</f>
        <v>ALB</v>
      </c>
      <c r="D595" s="212" t="str">
        <f>COMPOSICIÓN!D595</f>
        <v>MO-EESPE</v>
      </c>
      <c r="E595" s="212" t="str">
        <f>COMPOSICIÓN!E595</f>
        <v>ESPECIALIZADO</v>
      </c>
      <c r="F595" s="212" t="str">
        <f>COMPOSICIÓN!F595</f>
        <v>j</v>
      </c>
      <c r="G595" s="213">
        <f>COMPOSICIÓN!G595</f>
        <v>1</v>
      </c>
      <c r="H595" s="214">
        <f>COMPOSICIÓN!H595</f>
        <v>0</v>
      </c>
      <c r="I595" s="215">
        <f>COMPOSICIÓN!I595</f>
        <v>85927.097156571996</v>
      </c>
      <c r="J595" s="212" t="str">
        <f>IFERROR(VLOOKUP(A595,PARTIDAS!$A$2:$C$269,3,FALSE()),"")</f>
        <v>PINTURA</v>
      </c>
      <c r="K595" s="212" t="str">
        <f>IFERROR(INDEX(PPTO_GENERADOR!$B$4:$B$220,MATCH(A595,PPTO_GENERADOR!$Q$4:$Q$220,0)),"")</f>
        <v/>
      </c>
      <c r="L595" s="216">
        <f>IF(PLAN_ETAPA!$C$4="(TODOS)",SUMIFS(PPTO_GENERADOR!$E$4:$E$220,PPTO_GENERADOR!$Q$4:$Q$220,A595),SUMIFS(PPTO_GENERADOR!$E$4:$E$220,PPTO_GENERADOR!$Q$4:$Q$220,A595,PPTO_GENERADOR!$B$4:$B$220,PLAN_ETAPA!$C$4))</f>
        <v>0</v>
      </c>
      <c r="M595" s="216">
        <f>IFERROR(VLOOKUP(A595,PARTIDAS!$A$2:$F$269,6,FALSE()),1)</f>
        <v>8</v>
      </c>
      <c r="N595" s="216">
        <f>IFERROR(VLOOKUP(A595,PARTIDAS!$A$2:$I$269,9,FALSE()),1)</f>
        <v>1</v>
      </c>
      <c r="O595" s="217">
        <f t="shared" si="18"/>
        <v>0</v>
      </c>
      <c r="P595" s="216">
        <f>IF(O595=0,0,IF(B595="MAT",G595*(1+H595)*L595*PLAN_ETAPA!$C$5,IF(B595="MO",IF(M595=0,0,G595*L595*PLAN_ETAPA!$C$5*N595/M595),IF(B595="EQ",IF(M595=0,0,G595*L595*PLAN_ETAPA!$C$5/M595),0))))</f>
        <v>0</v>
      </c>
      <c r="Q595" s="218">
        <f t="shared" si="19"/>
        <v>0</v>
      </c>
    </row>
    <row r="596" spans="1:17" x14ac:dyDescent="0.35">
      <c r="A596" s="212" t="str">
        <f>COMPOSICIÓN!A596</f>
        <v>PIN-055</v>
      </c>
      <c r="B596" s="212" t="str">
        <f>COMPOSICIÓN!B596</f>
        <v>EQ</v>
      </c>
      <c r="C596" s="212">
        <f>COMPOSICIÓN!C596</f>
        <v>0</v>
      </c>
      <c r="D596" s="212" t="str">
        <f>COMPOSICIÓN!D596</f>
        <v>EQ-ANDAM0</v>
      </c>
      <c r="E596" s="212" t="str">
        <f>COMPOSICIÓN!E596</f>
        <v>ANDAMIO TUBULAR DE UNO A TRES CUERPOS</v>
      </c>
      <c r="F596" s="212">
        <f>COMPOSICIÓN!F596</f>
        <v>0</v>
      </c>
      <c r="G596" s="213">
        <f>COMPOSICIÓN!G596</f>
        <v>0.5</v>
      </c>
      <c r="H596" s="214">
        <f>COMPOSICIÓN!H596</f>
        <v>0</v>
      </c>
      <c r="I596" s="215">
        <f>COMPOSICIÓN!I596</f>
        <v>571.1794909807611</v>
      </c>
      <c r="J596" s="212" t="str">
        <f>IFERROR(VLOOKUP(A596,PARTIDAS!$A$2:$C$269,3,FALSE()),"")</f>
        <v>PINTURA</v>
      </c>
      <c r="K596" s="212" t="str">
        <f>IFERROR(INDEX(PPTO_GENERADOR!$B$4:$B$220,MATCH(A596,PPTO_GENERADOR!$Q$4:$Q$220,0)),"")</f>
        <v/>
      </c>
      <c r="L596" s="216">
        <f>IF(PLAN_ETAPA!$C$4="(TODOS)",SUMIFS(PPTO_GENERADOR!$E$4:$E$220,PPTO_GENERADOR!$Q$4:$Q$220,A596),SUMIFS(PPTO_GENERADOR!$E$4:$E$220,PPTO_GENERADOR!$Q$4:$Q$220,A596,PPTO_GENERADOR!$B$4:$B$220,PLAN_ETAPA!$C$4))</f>
        <v>0</v>
      </c>
      <c r="M596" s="216">
        <f>IFERROR(VLOOKUP(A596,PARTIDAS!$A$2:$F$269,6,FALSE()),1)</f>
        <v>20</v>
      </c>
      <c r="N596" s="216">
        <f>IFERROR(VLOOKUP(A596,PARTIDAS!$A$2:$I$269,9,FALSE()),1)</f>
        <v>1</v>
      </c>
      <c r="O596" s="217">
        <f t="shared" si="18"/>
        <v>0</v>
      </c>
      <c r="P596" s="216">
        <f>IF(O596=0,0,IF(B596="MAT",G596*(1+H596)*L596*PLAN_ETAPA!$C$5,IF(B596="MO",IF(M596=0,0,G596*L596*PLAN_ETAPA!$C$5*N596/M596),IF(B596="EQ",IF(M596=0,0,G596*L596*PLAN_ETAPA!$C$5/M596),0))))</f>
        <v>0</v>
      </c>
      <c r="Q596" s="218">
        <f t="shared" si="19"/>
        <v>0</v>
      </c>
    </row>
    <row r="597" spans="1:17" x14ac:dyDescent="0.35">
      <c r="A597" s="212" t="str">
        <f>COMPOSICIÓN!A597</f>
        <v>PIN-055</v>
      </c>
      <c r="B597" s="212" t="str">
        <f>COMPOSICIÓN!B597</f>
        <v>EQ</v>
      </c>
      <c r="C597" s="212">
        <f>COMPOSICIÓN!C597</f>
        <v>0</v>
      </c>
      <c r="D597" s="212" t="str">
        <f>COMPOSICIÓN!D597</f>
        <v>EQ-EQUIPI</v>
      </c>
      <c r="E597" s="212" t="str">
        <f>COMPOSICIÓN!E597</f>
        <v>EQUIPO PARA PINTAR</v>
      </c>
      <c r="F597" s="212">
        <f>COMPOSICIÓN!F597</f>
        <v>0</v>
      </c>
      <c r="G597" s="213">
        <f>COMPOSICIÓN!G597</f>
        <v>1</v>
      </c>
      <c r="H597" s="214">
        <f>COMPOSICIÓN!H597</f>
        <v>0</v>
      </c>
      <c r="I597" s="215">
        <f>COMPOSICIÓN!I597</f>
        <v>1723.6259595547085</v>
      </c>
      <c r="J597" s="212" t="str">
        <f>IFERROR(VLOOKUP(A597,PARTIDAS!$A$2:$C$269,3,FALSE()),"")</f>
        <v>PINTURA</v>
      </c>
      <c r="K597" s="212" t="str">
        <f>IFERROR(INDEX(PPTO_GENERADOR!$B$4:$B$220,MATCH(A597,PPTO_GENERADOR!$Q$4:$Q$220,0)),"")</f>
        <v/>
      </c>
      <c r="L597" s="216">
        <f>IF(PLAN_ETAPA!$C$4="(TODOS)",SUMIFS(PPTO_GENERADOR!$E$4:$E$220,PPTO_GENERADOR!$Q$4:$Q$220,A597),SUMIFS(PPTO_GENERADOR!$E$4:$E$220,PPTO_GENERADOR!$Q$4:$Q$220,A597,PPTO_GENERADOR!$B$4:$B$220,PLAN_ETAPA!$C$4))</f>
        <v>0</v>
      </c>
      <c r="M597" s="216">
        <f>IFERROR(VLOOKUP(A597,PARTIDAS!$A$2:$F$269,6,FALSE()),1)</f>
        <v>20</v>
      </c>
      <c r="N597" s="216">
        <f>IFERROR(VLOOKUP(A597,PARTIDAS!$A$2:$I$269,9,FALSE()),1)</f>
        <v>1</v>
      </c>
      <c r="O597" s="217">
        <f t="shared" si="18"/>
        <v>0</v>
      </c>
      <c r="P597" s="216">
        <f>IF(O597=0,0,IF(B597="MAT",G597*(1+H597)*L597*PLAN_ETAPA!$C$5,IF(B597="MO",IF(M597=0,0,G597*L597*PLAN_ETAPA!$C$5*N597/M597),IF(B597="EQ",IF(M597=0,0,G597*L597*PLAN_ETAPA!$C$5/M597),0))))</f>
        <v>0</v>
      </c>
      <c r="Q597" s="218">
        <f t="shared" si="19"/>
        <v>0</v>
      </c>
    </row>
    <row r="598" spans="1:17" x14ac:dyDescent="0.35">
      <c r="A598" s="212" t="str">
        <f>COMPOSICIÓN!A598</f>
        <v>PIN-055</v>
      </c>
      <c r="B598" s="212" t="str">
        <f>COMPOSICIÓN!B598</f>
        <v>EQ</v>
      </c>
      <c r="C598" s="212">
        <f>COMPOSICIÓN!C598</f>
        <v>0</v>
      </c>
      <c r="D598" s="212" t="str">
        <f>COMPOSICIÓN!D598</f>
        <v>EQ-PTO026</v>
      </c>
      <c r="E598" s="212" t="str">
        <f>COMPOSICIÓN!E598</f>
        <v>ESCALERA MADERA PINTOR 8 ESCALONES</v>
      </c>
      <c r="F598" s="212">
        <f>COMPOSICIÓN!F598</f>
        <v>0</v>
      </c>
      <c r="G598" s="213">
        <f>COMPOSICIÓN!G598</f>
        <v>1</v>
      </c>
      <c r="H598" s="214">
        <f>COMPOSICIÓN!H598</f>
        <v>0</v>
      </c>
      <c r="I598" s="215">
        <f>COMPOSICIÓN!I598</f>
        <v>200.25307946474501</v>
      </c>
      <c r="J598" s="212" t="str">
        <f>IFERROR(VLOOKUP(A598,PARTIDAS!$A$2:$C$269,3,FALSE()),"")</f>
        <v>PINTURA</v>
      </c>
      <c r="K598" s="212" t="str">
        <f>IFERROR(INDEX(PPTO_GENERADOR!$B$4:$B$220,MATCH(A598,PPTO_GENERADOR!$Q$4:$Q$220,0)),"")</f>
        <v/>
      </c>
      <c r="L598" s="216">
        <f>IF(PLAN_ETAPA!$C$4="(TODOS)",SUMIFS(PPTO_GENERADOR!$E$4:$E$220,PPTO_GENERADOR!$Q$4:$Q$220,A598),SUMIFS(PPTO_GENERADOR!$E$4:$E$220,PPTO_GENERADOR!$Q$4:$Q$220,A598,PPTO_GENERADOR!$B$4:$B$220,PLAN_ETAPA!$C$4))</f>
        <v>0</v>
      </c>
      <c r="M598" s="216">
        <f>IFERROR(VLOOKUP(A598,PARTIDAS!$A$2:$F$269,6,FALSE()),1)</f>
        <v>20</v>
      </c>
      <c r="N598" s="216">
        <f>IFERROR(VLOOKUP(A598,PARTIDAS!$A$2:$I$269,9,FALSE()),1)</f>
        <v>1</v>
      </c>
      <c r="O598" s="217">
        <f t="shared" si="18"/>
        <v>0</v>
      </c>
      <c r="P598" s="216">
        <f>IF(O598=0,0,IF(B598="MAT",G598*(1+H598)*L598*PLAN_ETAPA!$C$5,IF(B598="MO",IF(M598=0,0,G598*L598*PLAN_ETAPA!$C$5*N598/M598),IF(B598="EQ",IF(M598=0,0,G598*L598*PLAN_ETAPA!$C$5/M598),0))))</f>
        <v>0</v>
      </c>
      <c r="Q598" s="218">
        <f t="shared" si="19"/>
        <v>0</v>
      </c>
    </row>
    <row r="599" spans="1:17" x14ac:dyDescent="0.35">
      <c r="A599" s="212" t="str">
        <f>COMPOSICIÓN!A599</f>
        <v>PIN-055</v>
      </c>
      <c r="B599" s="212" t="str">
        <f>COMPOSICIÓN!B599</f>
        <v>EQ</v>
      </c>
      <c r="C599" s="212">
        <f>COMPOSICIÓN!C599</f>
        <v>0</v>
      </c>
      <c r="D599" s="212" t="str">
        <f>COMPOSICIÓN!D599</f>
        <v>EQ-SILLET</v>
      </c>
      <c r="E599" s="212" t="str">
        <f>COMPOSICIÓN!E599</f>
        <v>Kit Complementario Silleta Descensor Conector Soga X 50 Mts</v>
      </c>
      <c r="F599" s="212">
        <f>COMPOSICIÓN!F599</f>
        <v>0</v>
      </c>
      <c r="G599" s="213">
        <f>COMPOSICIÓN!G599</f>
        <v>0.75</v>
      </c>
      <c r="H599" s="214">
        <f>COMPOSICIÓN!H599</f>
        <v>0</v>
      </c>
      <c r="I599" s="215">
        <f>COMPOSICIÓN!I599</f>
        <v>1899.1826421923361</v>
      </c>
      <c r="J599" s="212" t="str">
        <f>IFERROR(VLOOKUP(A599,PARTIDAS!$A$2:$C$269,3,FALSE()),"")</f>
        <v>PINTURA</v>
      </c>
      <c r="K599" s="212" t="str">
        <f>IFERROR(INDEX(PPTO_GENERADOR!$B$4:$B$220,MATCH(A599,PPTO_GENERADOR!$Q$4:$Q$220,0)),"")</f>
        <v/>
      </c>
      <c r="L599" s="216">
        <f>IF(PLAN_ETAPA!$C$4="(TODOS)",SUMIFS(PPTO_GENERADOR!$E$4:$E$220,PPTO_GENERADOR!$Q$4:$Q$220,A599),SUMIFS(PPTO_GENERADOR!$E$4:$E$220,PPTO_GENERADOR!$Q$4:$Q$220,A599,PPTO_GENERADOR!$B$4:$B$220,PLAN_ETAPA!$C$4))</f>
        <v>0</v>
      </c>
      <c r="M599" s="216">
        <f>IFERROR(VLOOKUP(A599,PARTIDAS!$A$2:$F$269,6,FALSE()),1)</f>
        <v>20</v>
      </c>
      <c r="N599" s="216">
        <f>IFERROR(VLOOKUP(A599,PARTIDAS!$A$2:$I$269,9,FALSE()),1)</f>
        <v>1</v>
      </c>
      <c r="O599" s="217">
        <f t="shared" si="18"/>
        <v>0</v>
      </c>
      <c r="P599" s="216">
        <f>IF(O599=0,0,IF(B599="MAT",G599*(1+H599)*L599*PLAN_ETAPA!$C$5,IF(B599="MO",IF(M599=0,0,G599*L599*PLAN_ETAPA!$C$5*N599/M599),IF(B599="EQ",IF(M599=0,0,G599*L599*PLAN_ETAPA!$C$5/M599),0))))</f>
        <v>0</v>
      </c>
      <c r="Q599" s="218">
        <f t="shared" si="19"/>
        <v>0</v>
      </c>
    </row>
    <row r="600" spans="1:17" x14ac:dyDescent="0.35">
      <c r="A600" s="212" t="str">
        <f>COMPOSICIÓN!A600</f>
        <v>PIN-055</v>
      </c>
      <c r="B600" s="212" t="str">
        <f>COMPOSICIÓN!B600</f>
        <v>MAT</v>
      </c>
      <c r="C600" s="212" t="str">
        <f>COMPOSICIÓN!C600</f>
        <v>OTR</v>
      </c>
      <c r="D600" s="212" t="str">
        <f>COMPOSICIÓN!D600</f>
        <v>OTR-024</v>
      </c>
      <c r="E600" s="212" t="str">
        <f>COMPOSICIÓN!E600</f>
        <v>Cinta de Papel 36 mm x 40m</v>
      </c>
      <c r="F600" s="212" t="str">
        <f>COMPOSICIÓN!F600</f>
        <v>u</v>
      </c>
      <c r="G600" s="213">
        <f>COMPOSICIÓN!G600</f>
        <v>0.01</v>
      </c>
      <c r="H600" s="214">
        <f>COMPOSICIÓN!H600</f>
        <v>0.05</v>
      </c>
      <c r="I600" s="215">
        <f>COMPOSICIÓN!I600</f>
        <v>3293.01</v>
      </c>
      <c r="J600" s="212" t="str">
        <f>IFERROR(VLOOKUP(A600,PARTIDAS!$A$2:$C$269,3,FALSE()),"")</f>
        <v>PINTURA</v>
      </c>
      <c r="K600" s="212" t="str">
        <f>IFERROR(INDEX(PPTO_GENERADOR!$B$4:$B$220,MATCH(A600,PPTO_GENERADOR!$Q$4:$Q$220,0)),"")</f>
        <v/>
      </c>
      <c r="L600" s="216">
        <f>IF(PLAN_ETAPA!$C$4="(TODOS)",SUMIFS(PPTO_GENERADOR!$E$4:$E$220,PPTO_GENERADOR!$Q$4:$Q$220,A600),SUMIFS(PPTO_GENERADOR!$E$4:$E$220,PPTO_GENERADOR!$Q$4:$Q$220,A600,PPTO_GENERADOR!$B$4:$B$220,PLAN_ETAPA!$C$4))</f>
        <v>0</v>
      </c>
      <c r="M600" s="216">
        <f>IFERROR(VLOOKUP(A600,PARTIDAS!$A$2:$F$269,6,FALSE()),1)</f>
        <v>20</v>
      </c>
      <c r="N600" s="216">
        <f>IFERROR(VLOOKUP(A600,PARTIDAS!$A$2:$I$269,9,FALSE()),1)</f>
        <v>1</v>
      </c>
      <c r="O600" s="217">
        <f t="shared" si="18"/>
        <v>0</v>
      </c>
      <c r="P600" s="216">
        <f>IF(O600=0,0,IF(B600="MAT",G600*(1+H600)*L600*PLAN_ETAPA!$C$5,IF(B600="MO",IF(M600=0,0,G600*L600*PLAN_ETAPA!$C$5*N600/M600),IF(B600="EQ",IF(M600=0,0,G600*L600*PLAN_ETAPA!$C$5/M600),0))))</f>
        <v>0</v>
      </c>
      <c r="Q600" s="218">
        <f t="shared" si="19"/>
        <v>0</v>
      </c>
    </row>
    <row r="601" spans="1:17" x14ac:dyDescent="0.35">
      <c r="A601" s="212" t="str">
        <f>COMPOSICIÓN!A601</f>
        <v>PIN-055</v>
      </c>
      <c r="B601" s="212" t="str">
        <f>COMPOSICIÓN!B601</f>
        <v>MAT</v>
      </c>
      <c r="C601" s="212" t="str">
        <f>COMPOSICIÓN!C601</f>
        <v>OTR</v>
      </c>
      <c r="D601" s="212" t="str">
        <f>COMPOSICIÓN!D601</f>
        <v>OTR-025</v>
      </c>
      <c r="E601" s="212" t="str">
        <f>COMPOSICIÓN!E601</f>
        <v>Trapo</v>
      </c>
      <c r="F601" s="212" t="str">
        <f>COMPOSICIÓN!F601</f>
        <v>u</v>
      </c>
      <c r="G601" s="213">
        <f>COMPOSICIÓN!G601</f>
        <v>5.0000000000000001E-3</v>
      </c>
      <c r="H601" s="214">
        <f>COMPOSICIÓN!H601</f>
        <v>0.05</v>
      </c>
      <c r="I601" s="215">
        <f>COMPOSICIÓN!I601</f>
        <v>735.06</v>
      </c>
      <c r="J601" s="212" t="str">
        <f>IFERROR(VLOOKUP(A601,PARTIDAS!$A$2:$C$269,3,FALSE()),"")</f>
        <v>PINTURA</v>
      </c>
      <c r="K601" s="212" t="str">
        <f>IFERROR(INDEX(PPTO_GENERADOR!$B$4:$B$220,MATCH(A601,PPTO_GENERADOR!$Q$4:$Q$220,0)),"")</f>
        <v/>
      </c>
      <c r="L601" s="216">
        <f>IF(PLAN_ETAPA!$C$4="(TODOS)",SUMIFS(PPTO_GENERADOR!$E$4:$E$220,PPTO_GENERADOR!$Q$4:$Q$220,A601),SUMIFS(PPTO_GENERADOR!$E$4:$E$220,PPTO_GENERADOR!$Q$4:$Q$220,A601,PPTO_GENERADOR!$B$4:$B$220,PLAN_ETAPA!$C$4))</f>
        <v>0</v>
      </c>
      <c r="M601" s="216">
        <f>IFERROR(VLOOKUP(A601,PARTIDAS!$A$2:$F$269,6,FALSE()),1)</f>
        <v>20</v>
      </c>
      <c r="N601" s="216">
        <f>IFERROR(VLOOKUP(A601,PARTIDAS!$A$2:$I$269,9,FALSE()),1)</f>
        <v>1</v>
      </c>
      <c r="O601" s="217">
        <f t="shared" si="18"/>
        <v>0</v>
      </c>
      <c r="P601" s="216">
        <f>IF(O601=0,0,IF(B601="MAT",G601*(1+H601)*L601*PLAN_ETAPA!$C$5,IF(B601="MO",IF(M601=0,0,G601*L601*PLAN_ETAPA!$C$5*N601/M601),IF(B601="EQ",IF(M601=0,0,G601*L601*PLAN_ETAPA!$C$5/M601),0))))</f>
        <v>0</v>
      </c>
      <c r="Q601" s="218">
        <f t="shared" si="19"/>
        <v>0</v>
      </c>
    </row>
    <row r="602" spans="1:17" x14ac:dyDescent="0.35">
      <c r="A602" s="212" t="str">
        <f>COMPOSICIÓN!A602</f>
        <v>PIN-055</v>
      </c>
      <c r="B602" s="212" t="str">
        <f>COMPOSICIÓN!B602</f>
        <v>MAT</v>
      </c>
      <c r="C602" s="212" t="str">
        <f>COMPOSICIÓN!C602</f>
        <v>OTR</v>
      </c>
      <c r="D602" s="212" t="str">
        <f>COMPOSICIÓN!D602</f>
        <v>OTR-027</v>
      </c>
      <c r="E602" s="212" t="str">
        <f>COMPOSICIÓN!E602</f>
        <v>Rodillo de lana pelo largo N°22 - El Galgo</v>
      </c>
      <c r="F602" s="212" t="str">
        <f>COMPOSICIÓN!F602</f>
        <v>u</v>
      </c>
      <c r="G602" s="213">
        <f>COMPOSICIÓN!G602</f>
        <v>5.0000000000000001E-3</v>
      </c>
      <c r="H602" s="214">
        <f>COMPOSICIÓN!H602</f>
        <v>0.05</v>
      </c>
      <c r="I602" s="215">
        <f>COMPOSICIÓN!I602</f>
        <v>6678.36</v>
      </c>
      <c r="J602" s="212" t="str">
        <f>IFERROR(VLOOKUP(A602,PARTIDAS!$A$2:$C$269,3,FALSE()),"")</f>
        <v>PINTURA</v>
      </c>
      <c r="K602" s="212" t="str">
        <f>IFERROR(INDEX(PPTO_GENERADOR!$B$4:$B$220,MATCH(A602,PPTO_GENERADOR!$Q$4:$Q$220,0)),"")</f>
        <v/>
      </c>
      <c r="L602" s="216">
        <f>IF(PLAN_ETAPA!$C$4="(TODOS)",SUMIFS(PPTO_GENERADOR!$E$4:$E$220,PPTO_GENERADOR!$Q$4:$Q$220,A602),SUMIFS(PPTO_GENERADOR!$E$4:$E$220,PPTO_GENERADOR!$Q$4:$Q$220,A602,PPTO_GENERADOR!$B$4:$B$220,PLAN_ETAPA!$C$4))</f>
        <v>0</v>
      </c>
      <c r="M602" s="216">
        <f>IFERROR(VLOOKUP(A602,PARTIDAS!$A$2:$F$269,6,FALSE()),1)</f>
        <v>20</v>
      </c>
      <c r="N602" s="216">
        <f>IFERROR(VLOOKUP(A602,PARTIDAS!$A$2:$I$269,9,FALSE()),1)</f>
        <v>1</v>
      </c>
      <c r="O602" s="217">
        <f t="shared" si="18"/>
        <v>0</v>
      </c>
      <c r="P602" s="216">
        <f>IF(O602=0,0,IF(B602="MAT",G602*(1+H602)*L602*PLAN_ETAPA!$C$5,IF(B602="MO",IF(M602=0,0,G602*L602*PLAN_ETAPA!$C$5*N602/M602),IF(B602="EQ",IF(M602=0,0,G602*L602*PLAN_ETAPA!$C$5/M602),0))))</f>
        <v>0</v>
      </c>
      <c r="Q602" s="218">
        <f t="shared" si="19"/>
        <v>0</v>
      </c>
    </row>
    <row r="603" spans="1:17" x14ac:dyDescent="0.35">
      <c r="A603" s="212" t="str">
        <f>COMPOSICIÓN!A603</f>
        <v>PIN-055</v>
      </c>
      <c r="B603" s="212" t="str">
        <f>COMPOSICIÓN!B603</f>
        <v>MAT</v>
      </c>
      <c r="C603" s="212" t="str">
        <f>COMPOSICIÓN!C603</f>
        <v>OTR</v>
      </c>
      <c r="D603" s="212" t="str">
        <f>COMPOSICIÓN!D603</f>
        <v>OTR-030</v>
      </c>
      <c r="E603" s="212" t="str">
        <f>COMPOSICIÓN!E603</f>
        <v>Llana Plástica 12 x 25 cm</v>
      </c>
      <c r="F603" s="212" t="str">
        <f>COMPOSICIÓN!F603</f>
        <v>u</v>
      </c>
      <c r="G603" s="213">
        <f>COMPOSICIÓN!G603</f>
        <v>0.01</v>
      </c>
      <c r="H603" s="214">
        <f>COMPOSICIÓN!H603</f>
        <v>0.1</v>
      </c>
      <c r="I603" s="215">
        <f>COMPOSICIÓN!I603</f>
        <v>12575.2066115703</v>
      </c>
      <c r="J603" s="212" t="str">
        <f>IFERROR(VLOOKUP(A603,PARTIDAS!$A$2:$C$269,3,FALSE()),"")</f>
        <v>PINTURA</v>
      </c>
      <c r="K603" s="212" t="str">
        <f>IFERROR(INDEX(PPTO_GENERADOR!$B$4:$B$220,MATCH(A603,PPTO_GENERADOR!$Q$4:$Q$220,0)),"")</f>
        <v/>
      </c>
      <c r="L603" s="216">
        <f>IF(PLAN_ETAPA!$C$4="(TODOS)",SUMIFS(PPTO_GENERADOR!$E$4:$E$220,PPTO_GENERADOR!$Q$4:$Q$220,A603),SUMIFS(PPTO_GENERADOR!$E$4:$E$220,PPTO_GENERADOR!$Q$4:$Q$220,A603,PPTO_GENERADOR!$B$4:$B$220,PLAN_ETAPA!$C$4))</f>
        <v>0</v>
      </c>
      <c r="M603" s="216">
        <f>IFERROR(VLOOKUP(A603,PARTIDAS!$A$2:$F$269,6,FALSE()),1)</f>
        <v>20</v>
      </c>
      <c r="N603" s="216">
        <f>IFERROR(VLOOKUP(A603,PARTIDAS!$A$2:$I$269,9,FALSE()),1)</f>
        <v>1</v>
      </c>
      <c r="O603" s="217">
        <f t="shared" si="18"/>
        <v>0</v>
      </c>
      <c r="P603" s="216">
        <f>IF(O603=0,0,IF(B603="MAT",G603*(1+H603)*L603*PLAN_ETAPA!$C$5,IF(B603="MO",IF(M603=0,0,G603*L603*PLAN_ETAPA!$C$5*N603/M603),IF(B603="EQ",IF(M603=0,0,G603*L603*PLAN_ETAPA!$C$5/M603),0))))</f>
        <v>0</v>
      </c>
      <c r="Q603" s="218">
        <f t="shared" si="19"/>
        <v>0</v>
      </c>
    </row>
    <row r="604" spans="1:17" x14ac:dyDescent="0.35">
      <c r="A604" s="212" t="str">
        <f>COMPOSICIÓN!A604</f>
        <v>PIN-055</v>
      </c>
      <c r="B604" s="212" t="str">
        <f>COMPOSICIÓN!B604</f>
        <v>MAT</v>
      </c>
      <c r="C604" s="212" t="str">
        <f>COMPOSICIÓN!C604</f>
        <v>OTR</v>
      </c>
      <c r="D604" s="212" t="str">
        <f>COMPOSICIÓN!D604</f>
        <v>REV-009</v>
      </c>
      <c r="E604" s="212" t="str">
        <f>COMPOSICIÓN!E604</f>
        <v>Quimtex Romano Fino x 27 kg</v>
      </c>
      <c r="F604" s="212" t="str">
        <f>COMPOSICIÓN!F604</f>
        <v>u</v>
      </c>
      <c r="G604" s="213">
        <f>COMPOSICIÓN!G604</f>
        <v>7.4099999999999999E-2</v>
      </c>
      <c r="H604" s="214">
        <f>COMPOSICIÓN!H604</f>
        <v>0.1</v>
      </c>
      <c r="I604" s="215">
        <f>COMPOSICIÓN!I604</f>
        <v>57033.884297520701</v>
      </c>
      <c r="J604" s="212" t="str">
        <f>IFERROR(VLOOKUP(A604,PARTIDAS!$A$2:$C$269,3,FALSE()),"")</f>
        <v>PINTURA</v>
      </c>
      <c r="K604" s="212" t="str">
        <f>IFERROR(INDEX(PPTO_GENERADOR!$B$4:$B$220,MATCH(A604,PPTO_GENERADOR!$Q$4:$Q$220,0)),"")</f>
        <v/>
      </c>
      <c r="L604" s="216">
        <f>IF(PLAN_ETAPA!$C$4="(TODOS)",SUMIFS(PPTO_GENERADOR!$E$4:$E$220,PPTO_GENERADOR!$Q$4:$Q$220,A604),SUMIFS(PPTO_GENERADOR!$E$4:$E$220,PPTO_GENERADOR!$Q$4:$Q$220,A604,PPTO_GENERADOR!$B$4:$B$220,PLAN_ETAPA!$C$4))</f>
        <v>0</v>
      </c>
      <c r="M604" s="216">
        <f>IFERROR(VLOOKUP(A604,PARTIDAS!$A$2:$F$269,6,FALSE()),1)</f>
        <v>20</v>
      </c>
      <c r="N604" s="216">
        <f>IFERROR(VLOOKUP(A604,PARTIDAS!$A$2:$I$269,9,FALSE()),1)</f>
        <v>1</v>
      </c>
      <c r="O604" s="217">
        <f t="shared" si="18"/>
        <v>0</v>
      </c>
      <c r="P604" s="216">
        <f>IF(O604=0,0,IF(B604="MAT",G604*(1+H604)*L604*PLAN_ETAPA!$C$5,IF(B604="MO",IF(M604=0,0,G604*L604*PLAN_ETAPA!$C$5*N604/M604),IF(B604="EQ",IF(M604=0,0,G604*L604*PLAN_ETAPA!$C$5/M604),0))))</f>
        <v>0</v>
      </c>
      <c r="Q604" s="218">
        <f t="shared" si="19"/>
        <v>0</v>
      </c>
    </row>
    <row r="605" spans="1:17" x14ac:dyDescent="0.35">
      <c r="A605" s="212" t="str">
        <f>COMPOSICIÓN!A605</f>
        <v>PIN-055</v>
      </c>
      <c r="B605" s="212" t="str">
        <f>COMPOSICIÓN!B605</f>
        <v>MAT</v>
      </c>
      <c r="C605" s="212" t="str">
        <f>COMPOSICIÓN!C605</f>
        <v>OTR</v>
      </c>
      <c r="D605" s="212" t="str">
        <f>COMPOSICIÓN!D605</f>
        <v>REV-010</v>
      </c>
      <c r="E605" s="212" t="str">
        <f>COMPOSICIÓN!E605</f>
        <v>Quimtex base cuarzo 18 lts</v>
      </c>
      <c r="F605" s="212" t="str">
        <f>COMPOSICIÓN!F605</f>
        <v>u</v>
      </c>
      <c r="G605" s="213">
        <f>COMPOSICIÓN!G605</f>
        <v>1.11E-2</v>
      </c>
      <c r="H605" s="214">
        <f>COMPOSICIÓN!H605</f>
        <v>0.1</v>
      </c>
      <c r="I605" s="215">
        <f>COMPOSICIÓN!I605</f>
        <v>93388.429752066106</v>
      </c>
      <c r="J605" s="212" t="str">
        <f>IFERROR(VLOOKUP(A605,PARTIDAS!$A$2:$C$269,3,FALSE()),"")</f>
        <v>PINTURA</v>
      </c>
      <c r="K605" s="212" t="str">
        <f>IFERROR(INDEX(PPTO_GENERADOR!$B$4:$B$220,MATCH(A605,PPTO_GENERADOR!$Q$4:$Q$220,0)),"")</f>
        <v/>
      </c>
      <c r="L605" s="216">
        <f>IF(PLAN_ETAPA!$C$4="(TODOS)",SUMIFS(PPTO_GENERADOR!$E$4:$E$220,PPTO_GENERADOR!$Q$4:$Q$220,A605),SUMIFS(PPTO_GENERADOR!$E$4:$E$220,PPTO_GENERADOR!$Q$4:$Q$220,A605,PPTO_GENERADOR!$B$4:$B$220,PLAN_ETAPA!$C$4))</f>
        <v>0</v>
      </c>
      <c r="M605" s="216">
        <f>IFERROR(VLOOKUP(A605,PARTIDAS!$A$2:$F$269,6,FALSE()),1)</f>
        <v>20</v>
      </c>
      <c r="N605" s="216">
        <f>IFERROR(VLOOKUP(A605,PARTIDAS!$A$2:$I$269,9,FALSE()),1)</f>
        <v>1</v>
      </c>
      <c r="O605" s="217">
        <f t="shared" si="18"/>
        <v>0</v>
      </c>
      <c r="P605" s="216">
        <f>IF(O605=0,0,IF(B605="MAT",G605*(1+H605)*L605*PLAN_ETAPA!$C$5,IF(B605="MO",IF(M605=0,0,G605*L605*PLAN_ETAPA!$C$5*N605/M605),IF(B605="EQ",IF(M605=0,0,G605*L605*PLAN_ETAPA!$C$5/M605),0))))</f>
        <v>0</v>
      </c>
      <c r="Q605" s="218">
        <f t="shared" si="19"/>
        <v>0</v>
      </c>
    </row>
    <row r="606" spans="1:17" x14ac:dyDescent="0.35">
      <c r="A606" s="212" t="str">
        <f>COMPOSICIÓN!A606</f>
        <v>PIN-055</v>
      </c>
      <c r="B606" s="212" t="str">
        <f>COMPOSICIÓN!B606</f>
        <v>MO</v>
      </c>
      <c r="C606" s="212" t="str">
        <f>COMPOSICIÓN!C606</f>
        <v>ALB</v>
      </c>
      <c r="D606" s="212" t="str">
        <f>COMPOSICIÓN!D606</f>
        <v>MO-EAYUD</v>
      </c>
      <c r="E606" s="212" t="str">
        <f>COMPOSICIÓN!E606</f>
        <v>AYUDANTE</v>
      </c>
      <c r="F606" s="212" t="str">
        <f>COMPOSICIÓN!F606</f>
        <v>j</v>
      </c>
      <c r="G606" s="213">
        <f>COMPOSICIÓN!G606</f>
        <v>0.5</v>
      </c>
      <c r="H606" s="214">
        <f>COMPOSICIÓN!H606</f>
        <v>0</v>
      </c>
      <c r="I606" s="215">
        <f>COMPOSICIÓN!I606</f>
        <v>60860.580776572002</v>
      </c>
      <c r="J606" s="212" t="str">
        <f>IFERROR(VLOOKUP(A606,PARTIDAS!$A$2:$C$269,3,FALSE()),"")</f>
        <v>PINTURA</v>
      </c>
      <c r="K606" s="212" t="str">
        <f>IFERROR(INDEX(PPTO_GENERADOR!$B$4:$B$220,MATCH(A606,PPTO_GENERADOR!$Q$4:$Q$220,0)),"")</f>
        <v/>
      </c>
      <c r="L606" s="216">
        <f>IF(PLAN_ETAPA!$C$4="(TODOS)",SUMIFS(PPTO_GENERADOR!$E$4:$E$220,PPTO_GENERADOR!$Q$4:$Q$220,A606),SUMIFS(PPTO_GENERADOR!$E$4:$E$220,PPTO_GENERADOR!$Q$4:$Q$220,A606,PPTO_GENERADOR!$B$4:$B$220,PLAN_ETAPA!$C$4))</f>
        <v>0</v>
      </c>
      <c r="M606" s="216">
        <f>IFERROR(VLOOKUP(A606,PARTIDAS!$A$2:$F$269,6,FALSE()),1)</f>
        <v>20</v>
      </c>
      <c r="N606" s="216">
        <f>IFERROR(VLOOKUP(A606,PARTIDAS!$A$2:$I$269,9,FALSE()),1)</f>
        <v>1</v>
      </c>
      <c r="O606" s="217">
        <f t="shared" si="18"/>
        <v>0</v>
      </c>
      <c r="P606" s="216">
        <f>IF(O606=0,0,IF(B606="MAT",G606*(1+H606)*L606*PLAN_ETAPA!$C$5,IF(B606="MO",IF(M606=0,0,G606*L606*PLAN_ETAPA!$C$5*N606/M606),IF(B606="EQ",IF(M606=0,0,G606*L606*PLAN_ETAPA!$C$5/M606),0))))</f>
        <v>0</v>
      </c>
      <c r="Q606" s="218">
        <f t="shared" si="19"/>
        <v>0</v>
      </c>
    </row>
    <row r="607" spans="1:17" x14ac:dyDescent="0.35">
      <c r="A607" s="212" t="str">
        <f>COMPOSICIÓN!A607</f>
        <v>PIN-055</v>
      </c>
      <c r="B607" s="212" t="str">
        <f>COMPOSICIÓN!B607</f>
        <v>MO</v>
      </c>
      <c r="C607" s="212" t="str">
        <f>COMPOSICIÓN!C607</f>
        <v>ALB</v>
      </c>
      <c r="D607" s="212" t="str">
        <f>COMPOSICIÓN!D607</f>
        <v>MO-EMEDI</v>
      </c>
      <c r="E607" s="212" t="str">
        <f>COMPOSICIÓN!E607</f>
        <v>MEDIO OFICIAL</v>
      </c>
      <c r="F607" s="212" t="str">
        <f>COMPOSICIÓN!F607</f>
        <v>j</v>
      </c>
      <c r="G607" s="213">
        <f>COMPOSICIÓN!G607</f>
        <v>1</v>
      </c>
      <c r="H607" s="214">
        <f>COMPOSICIÓN!H607</f>
        <v>0</v>
      </c>
      <c r="I607" s="215">
        <f>COMPOSICIÓN!I607</f>
        <v>65493.071636572</v>
      </c>
      <c r="J607" s="212" t="str">
        <f>IFERROR(VLOOKUP(A607,PARTIDAS!$A$2:$C$269,3,FALSE()),"")</f>
        <v>PINTURA</v>
      </c>
      <c r="K607" s="212" t="str">
        <f>IFERROR(INDEX(PPTO_GENERADOR!$B$4:$B$220,MATCH(A607,PPTO_GENERADOR!$Q$4:$Q$220,0)),"")</f>
        <v/>
      </c>
      <c r="L607" s="216">
        <f>IF(PLAN_ETAPA!$C$4="(TODOS)",SUMIFS(PPTO_GENERADOR!$E$4:$E$220,PPTO_GENERADOR!$Q$4:$Q$220,A607),SUMIFS(PPTO_GENERADOR!$E$4:$E$220,PPTO_GENERADOR!$Q$4:$Q$220,A607,PPTO_GENERADOR!$B$4:$B$220,PLAN_ETAPA!$C$4))</f>
        <v>0</v>
      </c>
      <c r="M607" s="216">
        <f>IFERROR(VLOOKUP(A607,PARTIDAS!$A$2:$F$269,6,FALSE()),1)</f>
        <v>20</v>
      </c>
      <c r="N607" s="216">
        <f>IFERROR(VLOOKUP(A607,PARTIDAS!$A$2:$I$269,9,FALSE()),1)</f>
        <v>1</v>
      </c>
      <c r="O607" s="217">
        <f t="shared" si="18"/>
        <v>0</v>
      </c>
      <c r="P607" s="216">
        <f>IF(O607=0,0,IF(B607="MAT",G607*(1+H607)*L607*PLAN_ETAPA!$C$5,IF(B607="MO",IF(M607=0,0,G607*L607*PLAN_ETAPA!$C$5*N607/M607),IF(B607="EQ",IF(M607=0,0,G607*L607*PLAN_ETAPA!$C$5/M607),0))))</f>
        <v>0</v>
      </c>
      <c r="Q607" s="218">
        <f t="shared" si="19"/>
        <v>0</v>
      </c>
    </row>
    <row r="608" spans="1:17" x14ac:dyDescent="0.35">
      <c r="A608" s="212" t="str">
        <f>COMPOSICIÓN!A608</f>
        <v>PIN-055</v>
      </c>
      <c r="B608" s="212" t="str">
        <f>COMPOSICIÓN!B608</f>
        <v>MO</v>
      </c>
      <c r="C608" s="212" t="str">
        <f>COMPOSICIÓN!C608</f>
        <v>ALB</v>
      </c>
      <c r="D608" s="212" t="str">
        <f>COMPOSICIÓN!D608</f>
        <v>MO-EESPE</v>
      </c>
      <c r="E608" s="212" t="str">
        <f>COMPOSICIÓN!E608</f>
        <v>ESPECIALIZADO</v>
      </c>
      <c r="F608" s="212" t="str">
        <f>COMPOSICIÓN!F608</f>
        <v>j</v>
      </c>
      <c r="G608" s="213">
        <f>COMPOSICIÓN!G608</f>
        <v>1.5</v>
      </c>
      <c r="H608" s="214">
        <f>COMPOSICIÓN!H608</f>
        <v>0</v>
      </c>
      <c r="I608" s="215">
        <f>COMPOSICIÓN!I608</f>
        <v>85927.097156571996</v>
      </c>
      <c r="J608" s="212" t="str">
        <f>IFERROR(VLOOKUP(A608,PARTIDAS!$A$2:$C$269,3,FALSE()),"")</f>
        <v>PINTURA</v>
      </c>
      <c r="K608" s="212" t="str">
        <f>IFERROR(INDEX(PPTO_GENERADOR!$B$4:$B$220,MATCH(A608,PPTO_GENERADOR!$Q$4:$Q$220,0)),"")</f>
        <v/>
      </c>
      <c r="L608" s="216">
        <f>IF(PLAN_ETAPA!$C$4="(TODOS)",SUMIFS(PPTO_GENERADOR!$E$4:$E$220,PPTO_GENERADOR!$Q$4:$Q$220,A608),SUMIFS(PPTO_GENERADOR!$E$4:$E$220,PPTO_GENERADOR!$Q$4:$Q$220,A608,PPTO_GENERADOR!$B$4:$B$220,PLAN_ETAPA!$C$4))</f>
        <v>0</v>
      </c>
      <c r="M608" s="216">
        <f>IFERROR(VLOOKUP(A608,PARTIDAS!$A$2:$F$269,6,FALSE()),1)</f>
        <v>20</v>
      </c>
      <c r="N608" s="216">
        <f>IFERROR(VLOOKUP(A608,PARTIDAS!$A$2:$I$269,9,FALSE()),1)</f>
        <v>1</v>
      </c>
      <c r="O608" s="217">
        <f t="shared" si="18"/>
        <v>0</v>
      </c>
      <c r="P608" s="216">
        <f>IF(O608=0,0,IF(B608="MAT",G608*(1+H608)*L608*PLAN_ETAPA!$C$5,IF(B608="MO",IF(M608=0,0,G608*L608*PLAN_ETAPA!$C$5*N608/M608),IF(B608="EQ",IF(M608=0,0,G608*L608*PLAN_ETAPA!$C$5/M608),0))))</f>
        <v>0</v>
      </c>
      <c r="Q608" s="218">
        <f t="shared" si="19"/>
        <v>0</v>
      </c>
    </row>
    <row r="609" spans="1:17" x14ac:dyDescent="0.35">
      <c r="A609" s="212" t="str">
        <f>COMPOSICIÓN!A609</f>
        <v>PIN-059</v>
      </c>
      <c r="B609" s="212" t="str">
        <f>COMPOSICIÓN!B609</f>
        <v>EQ</v>
      </c>
      <c r="C609" s="212">
        <f>COMPOSICIÓN!C609</f>
        <v>0</v>
      </c>
      <c r="D609" s="212" t="str">
        <f>COMPOSICIÓN!D609</f>
        <v>EQ-EQUIPI</v>
      </c>
      <c r="E609" s="212" t="str">
        <f>COMPOSICIÓN!E609</f>
        <v>EQUIPO PARA PINTAR</v>
      </c>
      <c r="F609" s="212">
        <f>COMPOSICIÓN!F609</f>
        <v>0</v>
      </c>
      <c r="G609" s="213">
        <f>COMPOSICIÓN!G609</f>
        <v>2</v>
      </c>
      <c r="H609" s="214">
        <f>COMPOSICIÓN!H609</f>
        <v>0</v>
      </c>
      <c r="I609" s="215">
        <f>COMPOSICIÓN!I609</f>
        <v>1723.6259595547085</v>
      </c>
      <c r="J609" s="212" t="str">
        <f>IFERROR(VLOOKUP(A609,PARTIDAS!$A$2:$C$269,3,FALSE()),"")</f>
        <v>PINTURA</v>
      </c>
      <c r="K609" s="212" t="str">
        <f>IFERROR(INDEX(PPTO_GENERADOR!$B$4:$B$220,MATCH(A609,PPTO_GENERADOR!$Q$4:$Q$220,0)),"")</f>
        <v/>
      </c>
      <c r="L609" s="216">
        <f>IF(PLAN_ETAPA!$C$4="(TODOS)",SUMIFS(PPTO_GENERADOR!$E$4:$E$220,PPTO_GENERADOR!$Q$4:$Q$220,A609),SUMIFS(PPTO_GENERADOR!$E$4:$E$220,PPTO_GENERADOR!$Q$4:$Q$220,A609,PPTO_GENERADOR!$B$4:$B$220,PLAN_ETAPA!$C$4))</f>
        <v>0</v>
      </c>
      <c r="M609" s="216">
        <f>IFERROR(VLOOKUP(A609,PARTIDAS!$A$2:$F$269,6,FALSE()),1)</f>
        <v>11</v>
      </c>
      <c r="N609" s="216">
        <f>IFERROR(VLOOKUP(A609,PARTIDAS!$A$2:$I$269,9,FALSE()),1)</f>
        <v>1</v>
      </c>
      <c r="O609" s="217">
        <f t="shared" si="18"/>
        <v>0</v>
      </c>
      <c r="P609" s="216">
        <f>IF(O609=0,0,IF(B609="MAT",G609*(1+H609)*L609*PLAN_ETAPA!$C$5,IF(B609="MO",IF(M609=0,0,G609*L609*PLAN_ETAPA!$C$5*N609/M609),IF(B609="EQ",IF(M609=0,0,G609*L609*PLAN_ETAPA!$C$5/M609),0))))</f>
        <v>0</v>
      </c>
      <c r="Q609" s="218">
        <f t="shared" si="19"/>
        <v>0</v>
      </c>
    </row>
    <row r="610" spans="1:17" x14ac:dyDescent="0.35">
      <c r="A610" s="212" t="str">
        <f>COMPOSICIÓN!A610</f>
        <v>PIN-059</v>
      </c>
      <c r="B610" s="212" t="str">
        <f>COMPOSICIÓN!B610</f>
        <v>EQ</v>
      </c>
      <c r="C610" s="212">
        <f>COMPOSICIÓN!C610</f>
        <v>0</v>
      </c>
      <c r="D610" s="212" t="str">
        <f>COMPOSICIÓN!D610</f>
        <v>EQ-PTO026</v>
      </c>
      <c r="E610" s="212" t="str">
        <f>COMPOSICIÓN!E610</f>
        <v>ESCALERA MADERA PINTOR 8 ESCALONES</v>
      </c>
      <c r="F610" s="212">
        <f>COMPOSICIÓN!F610</f>
        <v>0</v>
      </c>
      <c r="G610" s="213">
        <f>COMPOSICIÓN!G610</f>
        <v>1</v>
      </c>
      <c r="H610" s="214">
        <f>COMPOSICIÓN!H610</f>
        <v>0</v>
      </c>
      <c r="I610" s="215">
        <f>COMPOSICIÓN!I610</f>
        <v>200.25307946474501</v>
      </c>
      <c r="J610" s="212" t="str">
        <f>IFERROR(VLOOKUP(A610,PARTIDAS!$A$2:$C$269,3,FALSE()),"")</f>
        <v>PINTURA</v>
      </c>
      <c r="K610" s="212" t="str">
        <f>IFERROR(INDEX(PPTO_GENERADOR!$B$4:$B$220,MATCH(A610,PPTO_GENERADOR!$Q$4:$Q$220,0)),"")</f>
        <v/>
      </c>
      <c r="L610" s="216">
        <f>IF(PLAN_ETAPA!$C$4="(TODOS)",SUMIFS(PPTO_GENERADOR!$E$4:$E$220,PPTO_GENERADOR!$Q$4:$Q$220,A610),SUMIFS(PPTO_GENERADOR!$E$4:$E$220,PPTO_GENERADOR!$Q$4:$Q$220,A610,PPTO_GENERADOR!$B$4:$B$220,PLAN_ETAPA!$C$4))</f>
        <v>0</v>
      </c>
      <c r="M610" s="216">
        <f>IFERROR(VLOOKUP(A610,PARTIDAS!$A$2:$F$269,6,FALSE()),1)</f>
        <v>11</v>
      </c>
      <c r="N610" s="216">
        <f>IFERROR(VLOOKUP(A610,PARTIDAS!$A$2:$I$269,9,FALSE()),1)</f>
        <v>1</v>
      </c>
      <c r="O610" s="217">
        <f t="shared" si="18"/>
        <v>0</v>
      </c>
      <c r="P610" s="216">
        <f>IF(O610=0,0,IF(B610="MAT",G610*(1+H610)*L610*PLAN_ETAPA!$C$5,IF(B610="MO",IF(M610=0,0,G610*L610*PLAN_ETAPA!$C$5*N610/M610),IF(B610="EQ",IF(M610=0,0,G610*L610*PLAN_ETAPA!$C$5/M610),0))))</f>
        <v>0</v>
      </c>
      <c r="Q610" s="218">
        <f t="shared" si="19"/>
        <v>0</v>
      </c>
    </row>
    <row r="611" spans="1:17" x14ac:dyDescent="0.35">
      <c r="A611" s="212" t="str">
        <f>COMPOSICIÓN!A611</f>
        <v>PIN-059</v>
      </c>
      <c r="B611" s="212" t="str">
        <f>COMPOSICIÓN!B611</f>
        <v>MAT</v>
      </c>
      <c r="C611" s="212" t="str">
        <f>COMPOSICIÓN!C611</f>
        <v>OTR</v>
      </c>
      <c r="D611" s="212" t="str">
        <f>COMPOSICIÓN!D611</f>
        <v>OTR-021</v>
      </c>
      <c r="E611" s="212" t="str">
        <f>COMPOSICIÓN!E611</f>
        <v>Fijador al agua x 20 lts</v>
      </c>
      <c r="F611" s="212" t="str">
        <f>COMPOSICIÓN!F611</f>
        <v>b</v>
      </c>
      <c r="G611" s="213">
        <f>COMPOSICIÓN!G611</f>
        <v>4.0000000000000001E-3</v>
      </c>
      <c r="H611" s="214">
        <f>COMPOSICIÓN!H611</f>
        <v>0.05</v>
      </c>
      <c r="I611" s="215">
        <f>COMPOSICIÓN!I611</f>
        <v>30467.49</v>
      </c>
      <c r="J611" s="212" t="str">
        <f>IFERROR(VLOOKUP(A611,PARTIDAS!$A$2:$C$269,3,FALSE()),"")</f>
        <v>PINTURA</v>
      </c>
      <c r="K611" s="212" t="str">
        <f>IFERROR(INDEX(PPTO_GENERADOR!$B$4:$B$220,MATCH(A611,PPTO_GENERADOR!$Q$4:$Q$220,0)),"")</f>
        <v/>
      </c>
      <c r="L611" s="216">
        <f>IF(PLAN_ETAPA!$C$4="(TODOS)",SUMIFS(PPTO_GENERADOR!$E$4:$E$220,PPTO_GENERADOR!$Q$4:$Q$220,A611),SUMIFS(PPTO_GENERADOR!$E$4:$E$220,PPTO_GENERADOR!$Q$4:$Q$220,A611,PPTO_GENERADOR!$B$4:$B$220,PLAN_ETAPA!$C$4))</f>
        <v>0</v>
      </c>
      <c r="M611" s="216">
        <f>IFERROR(VLOOKUP(A611,PARTIDAS!$A$2:$F$269,6,FALSE()),1)</f>
        <v>11</v>
      </c>
      <c r="N611" s="216">
        <f>IFERROR(VLOOKUP(A611,PARTIDAS!$A$2:$I$269,9,FALSE()),1)</f>
        <v>1</v>
      </c>
      <c r="O611" s="217">
        <f t="shared" si="18"/>
        <v>0</v>
      </c>
      <c r="P611" s="216">
        <f>IF(O611=0,0,IF(B611="MAT",G611*(1+H611)*L611*PLAN_ETAPA!$C$5,IF(B611="MO",IF(M611=0,0,G611*L611*PLAN_ETAPA!$C$5*N611/M611),IF(B611="EQ",IF(M611=0,0,G611*L611*PLAN_ETAPA!$C$5/M611),0))))</f>
        <v>0</v>
      </c>
      <c r="Q611" s="218">
        <f t="shared" si="19"/>
        <v>0</v>
      </c>
    </row>
    <row r="612" spans="1:17" x14ac:dyDescent="0.35">
      <c r="A612" s="212" t="str">
        <f>COMPOSICIÓN!A612</f>
        <v>PIN-059</v>
      </c>
      <c r="B612" s="212" t="str">
        <f>COMPOSICIÓN!B612</f>
        <v>MAT</v>
      </c>
      <c r="C612" s="212" t="str">
        <f>COMPOSICIÓN!C612</f>
        <v>OTR</v>
      </c>
      <c r="D612" s="212" t="str">
        <f>COMPOSICIÓN!D612</f>
        <v>OTR-023</v>
      </c>
      <c r="E612" s="212" t="str">
        <f>COMPOSICIÓN!E612</f>
        <v>Lija 180 al agua x 10u</v>
      </c>
      <c r="F612" s="212" t="str">
        <f>COMPOSICIÓN!F612</f>
        <v>u</v>
      </c>
      <c r="G612" s="213">
        <f>COMPOSICIÓN!G612</f>
        <v>0.05</v>
      </c>
      <c r="H612" s="214">
        <f>COMPOSICIÓN!H612</f>
        <v>0.05</v>
      </c>
      <c r="I612" s="215">
        <f>COMPOSICIÓN!I612</f>
        <v>5661.4</v>
      </c>
      <c r="J612" s="212" t="str">
        <f>IFERROR(VLOOKUP(A612,PARTIDAS!$A$2:$C$269,3,FALSE()),"")</f>
        <v>PINTURA</v>
      </c>
      <c r="K612" s="212" t="str">
        <f>IFERROR(INDEX(PPTO_GENERADOR!$B$4:$B$220,MATCH(A612,PPTO_GENERADOR!$Q$4:$Q$220,0)),"")</f>
        <v/>
      </c>
      <c r="L612" s="216">
        <f>IF(PLAN_ETAPA!$C$4="(TODOS)",SUMIFS(PPTO_GENERADOR!$E$4:$E$220,PPTO_GENERADOR!$Q$4:$Q$220,A612),SUMIFS(PPTO_GENERADOR!$E$4:$E$220,PPTO_GENERADOR!$Q$4:$Q$220,A612,PPTO_GENERADOR!$B$4:$B$220,PLAN_ETAPA!$C$4))</f>
        <v>0</v>
      </c>
      <c r="M612" s="216">
        <f>IFERROR(VLOOKUP(A612,PARTIDAS!$A$2:$F$269,6,FALSE()),1)</f>
        <v>11</v>
      </c>
      <c r="N612" s="216">
        <f>IFERROR(VLOOKUP(A612,PARTIDAS!$A$2:$I$269,9,FALSE()),1)</f>
        <v>1</v>
      </c>
      <c r="O612" s="217">
        <f t="shared" si="18"/>
        <v>0</v>
      </c>
      <c r="P612" s="216">
        <f>IF(O612=0,0,IF(B612="MAT",G612*(1+H612)*L612*PLAN_ETAPA!$C$5,IF(B612="MO",IF(M612=0,0,G612*L612*PLAN_ETAPA!$C$5*N612/M612),IF(B612="EQ",IF(M612=0,0,G612*L612*PLAN_ETAPA!$C$5/M612),0))))</f>
        <v>0</v>
      </c>
      <c r="Q612" s="218">
        <f t="shared" si="19"/>
        <v>0</v>
      </c>
    </row>
    <row r="613" spans="1:17" x14ac:dyDescent="0.35">
      <c r="A613" s="212" t="str">
        <f>COMPOSICIÓN!A613</f>
        <v>PIN-059</v>
      </c>
      <c r="B613" s="212" t="str">
        <f>COMPOSICIÓN!B613</f>
        <v>MAT</v>
      </c>
      <c r="C613" s="212" t="str">
        <f>COMPOSICIÓN!C613</f>
        <v>OTR</v>
      </c>
      <c r="D613" s="212" t="str">
        <f>COMPOSICIÓN!D613</f>
        <v>OTR-024</v>
      </c>
      <c r="E613" s="212" t="str">
        <f>COMPOSICIÓN!E613</f>
        <v>Cinta de Papel 36 mm x 40m</v>
      </c>
      <c r="F613" s="212" t="str">
        <f>COMPOSICIÓN!F613</f>
        <v>u</v>
      </c>
      <c r="G613" s="213">
        <f>COMPOSICIÓN!G613</f>
        <v>0.05</v>
      </c>
      <c r="H613" s="214">
        <f>COMPOSICIÓN!H613</f>
        <v>0.1</v>
      </c>
      <c r="I613" s="215">
        <f>COMPOSICIÓN!I613</f>
        <v>3293.01</v>
      </c>
      <c r="J613" s="212" t="str">
        <f>IFERROR(VLOOKUP(A613,PARTIDAS!$A$2:$C$269,3,FALSE()),"")</f>
        <v>PINTURA</v>
      </c>
      <c r="K613" s="212" t="str">
        <f>IFERROR(INDEX(PPTO_GENERADOR!$B$4:$B$220,MATCH(A613,PPTO_GENERADOR!$Q$4:$Q$220,0)),"")</f>
        <v/>
      </c>
      <c r="L613" s="216">
        <f>IF(PLAN_ETAPA!$C$4="(TODOS)",SUMIFS(PPTO_GENERADOR!$E$4:$E$220,PPTO_GENERADOR!$Q$4:$Q$220,A613),SUMIFS(PPTO_GENERADOR!$E$4:$E$220,PPTO_GENERADOR!$Q$4:$Q$220,A613,PPTO_GENERADOR!$B$4:$B$220,PLAN_ETAPA!$C$4))</f>
        <v>0</v>
      </c>
      <c r="M613" s="216">
        <f>IFERROR(VLOOKUP(A613,PARTIDAS!$A$2:$F$269,6,FALSE()),1)</f>
        <v>11</v>
      </c>
      <c r="N613" s="216">
        <f>IFERROR(VLOOKUP(A613,PARTIDAS!$A$2:$I$269,9,FALSE()),1)</f>
        <v>1</v>
      </c>
      <c r="O613" s="217">
        <f t="shared" si="18"/>
        <v>0</v>
      </c>
      <c r="P613" s="216">
        <f>IF(O613=0,0,IF(B613="MAT",G613*(1+H613)*L613*PLAN_ETAPA!$C$5,IF(B613="MO",IF(M613=0,0,G613*L613*PLAN_ETAPA!$C$5*N613/M613),IF(B613="EQ",IF(M613=0,0,G613*L613*PLAN_ETAPA!$C$5/M613),0))))</f>
        <v>0</v>
      </c>
      <c r="Q613" s="218">
        <f t="shared" si="19"/>
        <v>0</v>
      </c>
    </row>
    <row r="614" spans="1:17" x14ac:dyDescent="0.35">
      <c r="A614" s="212" t="str">
        <f>COMPOSICIÓN!A614</f>
        <v>PIN-059</v>
      </c>
      <c r="B614" s="212" t="str">
        <f>COMPOSICIÓN!B614</f>
        <v>MAT</v>
      </c>
      <c r="C614" s="212" t="str">
        <f>COMPOSICIÓN!C614</f>
        <v>OTR</v>
      </c>
      <c r="D614" s="212" t="str">
        <f>COMPOSICIÓN!D614</f>
        <v>OTR-025</v>
      </c>
      <c r="E614" s="212" t="str">
        <f>COMPOSICIÓN!E614</f>
        <v>Trapo</v>
      </c>
      <c r="F614" s="212" t="str">
        <f>COMPOSICIÓN!F614</f>
        <v>u</v>
      </c>
      <c r="G614" s="213">
        <f>COMPOSICIÓN!G614</f>
        <v>0.03</v>
      </c>
      <c r="H614" s="214">
        <f>COMPOSICIÓN!H614</f>
        <v>0.05</v>
      </c>
      <c r="I614" s="215">
        <f>COMPOSICIÓN!I614</f>
        <v>735.06</v>
      </c>
      <c r="J614" s="212" t="str">
        <f>IFERROR(VLOOKUP(A614,PARTIDAS!$A$2:$C$269,3,FALSE()),"")</f>
        <v>PINTURA</v>
      </c>
      <c r="K614" s="212" t="str">
        <f>IFERROR(INDEX(PPTO_GENERADOR!$B$4:$B$220,MATCH(A614,PPTO_GENERADOR!$Q$4:$Q$220,0)),"")</f>
        <v/>
      </c>
      <c r="L614" s="216">
        <f>IF(PLAN_ETAPA!$C$4="(TODOS)",SUMIFS(PPTO_GENERADOR!$E$4:$E$220,PPTO_GENERADOR!$Q$4:$Q$220,A614),SUMIFS(PPTO_GENERADOR!$E$4:$E$220,PPTO_GENERADOR!$Q$4:$Q$220,A614,PPTO_GENERADOR!$B$4:$B$220,PLAN_ETAPA!$C$4))</f>
        <v>0</v>
      </c>
      <c r="M614" s="216">
        <f>IFERROR(VLOOKUP(A614,PARTIDAS!$A$2:$F$269,6,FALSE()),1)</f>
        <v>11</v>
      </c>
      <c r="N614" s="216">
        <f>IFERROR(VLOOKUP(A614,PARTIDAS!$A$2:$I$269,9,FALSE()),1)</f>
        <v>1</v>
      </c>
      <c r="O614" s="217">
        <f t="shared" si="18"/>
        <v>0</v>
      </c>
      <c r="P614" s="216">
        <f>IF(O614=0,0,IF(B614="MAT",G614*(1+H614)*L614*PLAN_ETAPA!$C$5,IF(B614="MO",IF(M614=0,0,G614*L614*PLAN_ETAPA!$C$5*N614/M614),IF(B614="EQ",IF(M614=0,0,G614*L614*PLAN_ETAPA!$C$5/M614),0))))</f>
        <v>0</v>
      </c>
      <c r="Q614" s="218">
        <f t="shared" si="19"/>
        <v>0</v>
      </c>
    </row>
    <row r="615" spans="1:17" x14ac:dyDescent="0.35">
      <c r="A615" s="212" t="str">
        <f>COMPOSICIÓN!A615</f>
        <v>PIN-059</v>
      </c>
      <c r="B615" s="212" t="str">
        <f>COMPOSICIÓN!B615</f>
        <v>MAT</v>
      </c>
      <c r="C615" s="212" t="str">
        <f>COMPOSICIÓN!C615</f>
        <v>OTR</v>
      </c>
      <c r="D615" s="212" t="str">
        <f>COMPOSICIÓN!D615</f>
        <v>OTR-026</v>
      </c>
      <c r="E615" s="212" t="str">
        <f>COMPOSICIÓN!E615</f>
        <v>Rodillo de lana pelo corto antigota N°22 - El Galgo</v>
      </c>
      <c r="F615" s="212" t="str">
        <f>COMPOSICIÓN!F615</f>
        <v>u</v>
      </c>
      <c r="G615" s="213">
        <f>COMPOSICIÓN!G615</f>
        <v>5.0000000000000001E-3</v>
      </c>
      <c r="H615" s="214">
        <f>COMPOSICIÓN!H615</f>
        <v>0.05</v>
      </c>
      <c r="I615" s="215">
        <f>COMPOSICIÓN!I615</f>
        <v>6678.36</v>
      </c>
      <c r="J615" s="212" t="str">
        <f>IFERROR(VLOOKUP(A615,PARTIDAS!$A$2:$C$269,3,FALSE()),"")</f>
        <v>PINTURA</v>
      </c>
      <c r="K615" s="212" t="str">
        <f>IFERROR(INDEX(PPTO_GENERADOR!$B$4:$B$220,MATCH(A615,PPTO_GENERADOR!$Q$4:$Q$220,0)),"")</f>
        <v/>
      </c>
      <c r="L615" s="216">
        <f>IF(PLAN_ETAPA!$C$4="(TODOS)",SUMIFS(PPTO_GENERADOR!$E$4:$E$220,PPTO_GENERADOR!$Q$4:$Q$220,A615),SUMIFS(PPTO_GENERADOR!$E$4:$E$220,PPTO_GENERADOR!$Q$4:$Q$220,A615,PPTO_GENERADOR!$B$4:$B$220,PLAN_ETAPA!$C$4))</f>
        <v>0</v>
      </c>
      <c r="M615" s="216">
        <f>IFERROR(VLOOKUP(A615,PARTIDAS!$A$2:$F$269,6,FALSE()),1)</f>
        <v>11</v>
      </c>
      <c r="N615" s="216">
        <f>IFERROR(VLOOKUP(A615,PARTIDAS!$A$2:$I$269,9,FALSE()),1)</f>
        <v>1</v>
      </c>
      <c r="O615" s="217">
        <f t="shared" si="18"/>
        <v>0</v>
      </c>
      <c r="P615" s="216">
        <f>IF(O615=0,0,IF(B615="MAT",G615*(1+H615)*L615*PLAN_ETAPA!$C$5,IF(B615="MO",IF(M615=0,0,G615*L615*PLAN_ETAPA!$C$5*N615/M615),IF(B615="EQ",IF(M615=0,0,G615*L615*PLAN_ETAPA!$C$5/M615),0))))</f>
        <v>0</v>
      </c>
      <c r="Q615" s="218">
        <f t="shared" si="19"/>
        <v>0</v>
      </c>
    </row>
    <row r="616" spans="1:17" x14ac:dyDescent="0.35">
      <c r="A616" s="212" t="str">
        <f>COMPOSICIÓN!A616</f>
        <v>PIN-059</v>
      </c>
      <c r="B616" s="212" t="str">
        <f>COMPOSICIÓN!B616</f>
        <v>MAT</v>
      </c>
      <c r="C616" s="212" t="str">
        <f>COMPOSICIÓN!C616</f>
        <v>OTR</v>
      </c>
      <c r="D616" s="212" t="str">
        <f>COMPOSICIÓN!D616</f>
        <v>OTR-028</v>
      </c>
      <c r="E616" s="212" t="str">
        <f>COMPOSICIÓN!E616</f>
        <v>Pincel N° 20 - El Galgo</v>
      </c>
      <c r="F616" s="212" t="str">
        <f>COMPOSICIÓN!F616</f>
        <v>u</v>
      </c>
      <c r="G616" s="213">
        <f>COMPOSICIÓN!G616</f>
        <v>5.0000000000000001E-3</v>
      </c>
      <c r="H616" s="214">
        <f>COMPOSICIÓN!H616</f>
        <v>0.05</v>
      </c>
      <c r="I616" s="215">
        <f>COMPOSICIÓN!I616</f>
        <v>5282.24</v>
      </c>
      <c r="J616" s="212" t="str">
        <f>IFERROR(VLOOKUP(A616,PARTIDAS!$A$2:$C$269,3,FALSE()),"")</f>
        <v>PINTURA</v>
      </c>
      <c r="K616" s="212" t="str">
        <f>IFERROR(INDEX(PPTO_GENERADOR!$B$4:$B$220,MATCH(A616,PPTO_GENERADOR!$Q$4:$Q$220,0)),"")</f>
        <v/>
      </c>
      <c r="L616" s="216">
        <f>IF(PLAN_ETAPA!$C$4="(TODOS)",SUMIFS(PPTO_GENERADOR!$E$4:$E$220,PPTO_GENERADOR!$Q$4:$Q$220,A616),SUMIFS(PPTO_GENERADOR!$E$4:$E$220,PPTO_GENERADOR!$Q$4:$Q$220,A616,PPTO_GENERADOR!$B$4:$B$220,PLAN_ETAPA!$C$4))</f>
        <v>0</v>
      </c>
      <c r="M616" s="216">
        <f>IFERROR(VLOOKUP(A616,PARTIDAS!$A$2:$F$269,6,FALSE()),1)</f>
        <v>11</v>
      </c>
      <c r="N616" s="216">
        <f>IFERROR(VLOOKUP(A616,PARTIDAS!$A$2:$I$269,9,FALSE()),1)</f>
        <v>1</v>
      </c>
      <c r="O616" s="217">
        <f t="shared" si="18"/>
        <v>0</v>
      </c>
      <c r="P616" s="216">
        <f>IF(O616=0,0,IF(B616="MAT",G616*(1+H616)*L616*PLAN_ETAPA!$C$5,IF(B616="MO",IF(M616=0,0,G616*L616*PLAN_ETAPA!$C$5*N616/M616),IF(B616="EQ",IF(M616=0,0,G616*L616*PLAN_ETAPA!$C$5/M616),0))))</f>
        <v>0</v>
      </c>
      <c r="Q616" s="218">
        <f t="shared" si="19"/>
        <v>0</v>
      </c>
    </row>
    <row r="617" spans="1:17" x14ac:dyDescent="0.35">
      <c r="A617" s="212" t="str">
        <f>COMPOSICIÓN!A617</f>
        <v>PIN-059</v>
      </c>
      <c r="B617" s="212" t="str">
        <f>COMPOSICIÓN!B617</f>
        <v>MAT</v>
      </c>
      <c r="C617" s="212" t="str">
        <f>COMPOSICIÓN!C617</f>
        <v>OTR</v>
      </c>
      <c r="D617" s="212" t="str">
        <f>COMPOSICIÓN!D617</f>
        <v>OTR-029</v>
      </c>
      <c r="E617" s="212" t="str">
        <f>COMPOSICIÓN!E617</f>
        <v>Rollo de cartón corrugado 0,90 x 25 mts</v>
      </c>
      <c r="F617" s="212" t="str">
        <f>COMPOSICIÓN!F617</f>
        <v>u</v>
      </c>
      <c r="G617" s="213">
        <f>COMPOSICIÓN!G617</f>
        <v>0.01</v>
      </c>
      <c r="H617" s="214">
        <f>COMPOSICIÓN!H617</f>
        <v>0.05</v>
      </c>
      <c r="I617" s="215">
        <f>COMPOSICIÓN!I617</f>
        <v>7427.6</v>
      </c>
      <c r="J617" s="212" t="str">
        <f>IFERROR(VLOOKUP(A617,PARTIDAS!$A$2:$C$269,3,FALSE()),"")</f>
        <v>PINTURA</v>
      </c>
      <c r="K617" s="212" t="str">
        <f>IFERROR(INDEX(PPTO_GENERADOR!$B$4:$B$220,MATCH(A617,PPTO_GENERADOR!$Q$4:$Q$220,0)),"")</f>
        <v/>
      </c>
      <c r="L617" s="216">
        <f>IF(PLAN_ETAPA!$C$4="(TODOS)",SUMIFS(PPTO_GENERADOR!$E$4:$E$220,PPTO_GENERADOR!$Q$4:$Q$220,A617),SUMIFS(PPTO_GENERADOR!$E$4:$E$220,PPTO_GENERADOR!$Q$4:$Q$220,A617,PPTO_GENERADOR!$B$4:$B$220,PLAN_ETAPA!$C$4))</f>
        <v>0</v>
      </c>
      <c r="M617" s="216">
        <f>IFERROR(VLOOKUP(A617,PARTIDAS!$A$2:$F$269,6,FALSE()),1)</f>
        <v>11</v>
      </c>
      <c r="N617" s="216">
        <f>IFERROR(VLOOKUP(A617,PARTIDAS!$A$2:$I$269,9,FALSE()),1)</f>
        <v>1</v>
      </c>
      <c r="O617" s="217">
        <f t="shared" si="18"/>
        <v>0</v>
      </c>
      <c r="P617" s="216">
        <f>IF(O617=0,0,IF(B617="MAT",G617*(1+H617)*L617*PLAN_ETAPA!$C$5,IF(B617="MO",IF(M617=0,0,G617*L617*PLAN_ETAPA!$C$5*N617/M617),IF(B617="EQ",IF(M617=0,0,G617*L617*PLAN_ETAPA!$C$5/M617),0))))</f>
        <v>0</v>
      </c>
      <c r="Q617" s="218">
        <f t="shared" si="19"/>
        <v>0</v>
      </c>
    </row>
    <row r="618" spans="1:17" x14ac:dyDescent="0.35">
      <c r="A618" s="212" t="str">
        <f>COMPOSICIÓN!A618</f>
        <v>PIN-059</v>
      </c>
      <c r="B618" s="212" t="str">
        <f>COMPOSICIÓN!B618</f>
        <v>MAT</v>
      </c>
      <c r="C618" s="212" t="str">
        <f>COMPOSICIÓN!C618</f>
        <v>OTR</v>
      </c>
      <c r="D618" s="212" t="str">
        <f>COMPOSICIÓN!D618</f>
        <v>PIN-001</v>
      </c>
      <c r="E618" s="212" t="str">
        <f>COMPOSICIÓN!E618</f>
        <v>Latex Loxon Interior Sherwin Williams Mate Bco x 20lts</v>
      </c>
      <c r="F618" s="212" t="str">
        <f>COMPOSICIÓN!F618</f>
        <v>B</v>
      </c>
      <c r="G618" s="213">
        <f>COMPOSICIÓN!G618</f>
        <v>1.2500000000000001E-2</v>
      </c>
      <c r="H618" s="214">
        <f>COMPOSICIÓN!H618</f>
        <v>0.1</v>
      </c>
      <c r="I618" s="215">
        <f>COMPOSICIÓN!I618</f>
        <v>120622.23</v>
      </c>
      <c r="J618" s="212" t="str">
        <f>IFERROR(VLOOKUP(A618,PARTIDAS!$A$2:$C$269,3,FALSE()),"")</f>
        <v>PINTURA</v>
      </c>
      <c r="K618" s="212" t="str">
        <f>IFERROR(INDEX(PPTO_GENERADOR!$B$4:$B$220,MATCH(A618,PPTO_GENERADOR!$Q$4:$Q$220,0)),"")</f>
        <v/>
      </c>
      <c r="L618" s="216">
        <f>IF(PLAN_ETAPA!$C$4="(TODOS)",SUMIFS(PPTO_GENERADOR!$E$4:$E$220,PPTO_GENERADOR!$Q$4:$Q$220,A618),SUMIFS(PPTO_GENERADOR!$E$4:$E$220,PPTO_GENERADOR!$Q$4:$Q$220,A618,PPTO_GENERADOR!$B$4:$B$220,PLAN_ETAPA!$C$4))</f>
        <v>0</v>
      </c>
      <c r="M618" s="216">
        <f>IFERROR(VLOOKUP(A618,PARTIDAS!$A$2:$F$269,6,FALSE()),1)</f>
        <v>11</v>
      </c>
      <c r="N618" s="216">
        <f>IFERROR(VLOOKUP(A618,PARTIDAS!$A$2:$I$269,9,FALSE()),1)</f>
        <v>1</v>
      </c>
      <c r="O618" s="217">
        <f t="shared" si="18"/>
        <v>0</v>
      </c>
      <c r="P618" s="216">
        <f>IF(O618=0,0,IF(B618="MAT",G618*(1+H618)*L618*PLAN_ETAPA!$C$5,IF(B618="MO",IF(M618=0,0,G618*L618*PLAN_ETAPA!$C$5*N618/M618),IF(B618="EQ",IF(M618=0,0,G618*L618*PLAN_ETAPA!$C$5/M618),0))))</f>
        <v>0</v>
      </c>
      <c r="Q618" s="218">
        <f t="shared" si="19"/>
        <v>0</v>
      </c>
    </row>
    <row r="619" spans="1:17" x14ac:dyDescent="0.35">
      <c r="A619" s="212" t="str">
        <f>COMPOSICIÓN!A619</f>
        <v>PIN-059</v>
      </c>
      <c r="B619" s="212" t="str">
        <f>COMPOSICIÓN!B619</f>
        <v>MAT</v>
      </c>
      <c r="C619" s="212" t="str">
        <f>COMPOSICIÓN!C619</f>
        <v>OTR</v>
      </c>
      <c r="D619" s="212" t="str">
        <f>COMPOSICIÓN!D619</f>
        <v>PIN-007</v>
      </c>
      <c r="E619" s="212" t="str">
        <f>COMPOSICIÓN!E619</f>
        <v>Enduido Interior x 20lts</v>
      </c>
      <c r="F619" s="212" t="str">
        <f>COMPOSICIÓN!F619</f>
        <v>B</v>
      </c>
      <c r="G619" s="213">
        <f>COMPOSICIÓN!G619</f>
        <v>0.05</v>
      </c>
      <c r="H619" s="214">
        <f>COMPOSICIÓN!H619</f>
        <v>0.1</v>
      </c>
      <c r="I619" s="215">
        <f>COMPOSICIÓN!I619</f>
        <v>18735.77</v>
      </c>
      <c r="J619" s="212" t="str">
        <f>IFERROR(VLOOKUP(A619,PARTIDAS!$A$2:$C$269,3,FALSE()),"")</f>
        <v>PINTURA</v>
      </c>
      <c r="K619" s="212" t="str">
        <f>IFERROR(INDEX(PPTO_GENERADOR!$B$4:$B$220,MATCH(A619,PPTO_GENERADOR!$Q$4:$Q$220,0)),"")</f>
        <v/>
      </c>
      <c r="L619" s="216">
        <f>IF(PLAN_ETAPA!$C$4="(TODOS)",SUMIFS(PPTO_GENERADOR!$E$4:$E$220,PPTO_GENERADOR!$Q$4:$Q$220,A619),SUMIFS(PPTO_GENERADOR!$E$4:$E$220,PPTO_GENERADOR!$Q$4:$Q$220,A619,PPTO_GENERADOR!$B$4:$B$220,PLAN_ETAPA!$C$4))</f>
        <v>0</v>
      </c>
      <c r="M619" s="216">
        <f>IFERROR(VLOOKUP(A619,PARTIDAS!$A$2:$F$269,6,FALSE()),1)</f>
        <v>11</v>
      </c>
      <c r="N619" s="216">
        <f>IFERROR(VLOOKUP(A619,PARTIDAS!$A$2:$I$269,9,FALSE()),1)</f>
        <v>1</v>
      </c>
      <c r="O619" s="217">
        <f t="shared" si="18"/>
        <v>0</v>
      </c>
      <c r="P619" s="216">
        <f>IF(O619=0,0,IF(B619="MAT",G619*(1+H619)*L619*PLAN_ETAPA!$C$5,IF(B619="MO",IF(M619=0,0,G619*L619*PLAN_ETAPA!$C$5*N619/M619),IF(B619="EQ",IF(M619=0,0,G619*L619*PLAN_ETAPA!$C$5/M619),0))))</f>
        <v>0</v>
      </c>
      <c r="Q619" s="218">
        <f t="shared" si="19"/>
        <v>0</v>
      </c>
    </row>
    <row r="620" spans="1:17" x14ac:dyDescent="0.35">
      <c r="A620" s="212" t="str">
        <f>COMPOSICIÓN!A620</f>
        <v>PIN-059</v>
      </c>
      <c r="B620" s="212" t="str">
        <f>COMPOSICIÓN!B620</f>
        <v>MAT</v>
      </c>
      <c r="C620" s="212" t="str">
        <f>COMPOSICIÓN!C620</f>
        <v>OTR</v>
      </c>
      <c r="D620" s="212" t="str">
        <f>COMPOSICIÓN!D620</f>
        <v>REV-001</v>
      </c>
      <c r="E620" s="212" t="str">
        <f>COMPOSICIÓN!E620</f>
        <v>Yeso Tuyango x 30kg</v>
      </c>
      <c r="F620" s="212" t="str">
        <f>COMPOSICIÓN!F620</f>
        <v>b</v>
      </c>
      <c r="G620" s="213">
        <f>COMPOSICIÓN!G620</f>
        <v>2.5000000000000001E-3</v>
      </c>
      <c r="H620" s="214">
        <f>COMPOSICIÓN!H620</f>
        <v>0.05</v>
      </c>
      <c r="I620" s="215">
        <f>COMPOSICIÓN!I620</f>
        <v>9639</v>
      </c>
      <c r="J620" s="212" t="str">
        <f>IFERROR(VLOOKUP(A620,PARTIDAS!$A$2:$C$269,3,FALSE()),"")</f>
        <v>PINTURA</v>
      </c>
      <c r="K620" s="212" t="str">
        <f>IFERROR(INDEX(PPTO_GENERADOR!$B$4:$B$220,MATCH(A620,PPTO_GENERADOR!$Q$4:$Q$220,0)),"")</f>
        <v/>
      </c>
      <c r="L620" s="216">
        <f>IF(PLAN_ETAPA!$C$4="(TODOS)",SUMIFS(PPTO_GENERADOR!$E$4:$E$220,PPTO_GENERADOR!$Q$4:$Q$220,A620),SUMIFS(PPTO_GENERADOR!$E$4:$E$220,PPTO_GENERADOR!$Q$4:$Q$220,A620,PPTO_GENERADOR!$B$4:$B$220,PLAN_ETAPA!$C$4))</f>
        <v>0</v>
      </c>
      <c r="M620" s="216">
        <f>IFERROR(VLOOKUP(A620,PARTIDAS!$A$2:$F$269,6,FALSE()),1)</f>
        <v>11</v>
      </c>
      <c r="N620" s="216">
        <f>IFERROR(VLOOKUP(A620,PARTIDAS!$A$2:$I$269,9,FALSE()),1)</f>
        <v>1</v>
      </c>
      <c r="O620" s="217">
        <f t="shared" si="18"/>
        <v>0</v>
      </c>
      <c r="P620" s="216">
        <f>IF(O620=0,0,IF(B620="MAT",G620*(1+H620)*L620*PLAN_ETAPA!$C$5,IF(B620="MO",IF(M620=0,0,G620*L620*PLAN_ETAPA!$C$5*N620/M620),IF(B620="EQ",IF(M620=0,0,G620*L620*PLAN_ETAPA!$C$5/M620),0))))</f>
        <v>0</v>
      </c>
      <c r="Q620" s="218">
        <f t="shared" si="19"/>
        <v>0</v>
      </c>
    </row>
    <row r="621" spans="1:17" x14ac:dyDescent="0.35">
      <c r="A621" s="212" t="str">
        <f>COMPOSICIÓN!A621</f>
        <v>PIN-059</v>
      </c>
      <c r="B621" s="212" t="str">
        <f>COMPOSICIÓN!B621</f>
        <v>MO</v>
      </c>
      <c r="C621" s="212" t="str">
        <f>COMPOSICIÓN!C621</f>
        <v>ALB</v>
      </c>
      <c r="D621" s="212" t="str">
        <f>COMPOSICIÓN!D621</f>
        <v>MO-EMEDI</v>
      </c>
      <c r="E621" s="212" t="str">
        <f>COMPOSICIÓN!E621</f>
        <v>MEDIO OFICIAL</v>
      </c>
      <c r="F621" s="212" t="str">
        <f>COMPOSICIÓN!F621</f>
        <v>j</v>
      </c>
      <c r="G621" s="213">
        <f>COMPOSICIÓN!G621</f>
        <v>1</v>
      </c>
      <c r="H621" s="214">
        <f>COMPOSICIÓN!H621</f>
        <v>0</v>
      </c>
      <c r="I621" s="215">
        <f>COMPOSICIÓN!I621</f>
        <v>65493.071636572</v>
      </c>
      <c r="J621" s="212" t="str">
        <f>IFERROR(VLOOKUP(A621,PARTIDAS!$A$2:$C$269,3,FALSE()),"")</f>
        <v>PINTURA</v>
      </c>
      <c r="K621" s="212" t="str">
        <f>IFERROR(INDEX(PPTO_GENERADOR!$B$4:$B$220,MATCH(A621,PPTO_GENERADOR!$Q$4:$Q$220,0)),"")</f>
        <v/>
      </c>
      <c r="L621" s="216">
        <f>IF(PLAN_ETAPA!$C$4="(TODOS)",SUMIFS(PPTO_GENERADOR!$E$4:$E$220,PPTO_GENERADOR!$Q$4:$Q$220,A621),SUMIFS(PPTO_GENERADOR!$E$4:$E$220,PPTO_GENERADOR!$Q$4:$Q$220,A621,PPTO_GENERADOR!$B$4:$B$220,PLAN_ETAPA!$C$4))</f>
        <v>0</v>
      </c>
      <c r="M621" s="216">
        <f>IFERROR(VLOOKUP(A621,PARTIDAS!$A$2:$F$269,6,FALSE()),1)</f>
        <v>11</v>
      </c>
      <c r="N621" s="216">
        <f>IFERROR(VLOOKUP(A621,PARTIDAS!$A$2:$I$269,9,FALSE()),1)</f>
        <v>1</v>
      </c>
      <c r="O621" s="217">
        <f t="shared" si="18"/>
        <v>0</v>
      </c>
      <c r="P621" s="216">
        <f>IF(O621=0,0,IF(B621="MAT",G621*(1+H621)*L621*PLAN_ETAPA!$C$5,IF(B621="MO",IF(M621=0,0,G621*L621*PLAN_ETAPA!$C$5*N621/M621),IF(B621="EQ",IF(M621=0,0,G621*L621*PLAN_ETAPA!$C$5/M621),0))))</f>
        <v>0</v>
      </c>
      <c r="Q621" s="218">
        <f t="shared" si="19"/>
        <v>0</v>
      </c>
    </row>
    <row r="622" spans="1:17" x14ac:dyDescent="0.35">
      <c r="A622" s="212" t="str">
        <f>COMPOSICIÓN!A622</f>
        <v>PIN-059</v>
      </c>
      <c r="B622" s="212" t="str">
        <f>COMPOSICIÓN!B622</f>
        <v>MO</v>
      </c>
      <c r="C622" s="212" t="str">
        <f>COMPOSICIÓN!C622</f>
        <v>ALB</v>
      </c>
      <c r="D622" s="212" t="str">
        <f>COMPOSICIÓN!D622</f>
        <v>MO-EESPE</v>
      </c>
      <c r="E622" s="212" t="str">
        <f>COMPOSICIÓN!E622</f>
        <v>ESPECIALIZADO</v>
      </c>
      <c r="F622" s="212" t="str">
        <f>COMPOSICIÓN!F622</f>
        <v>j</v>
      </c>
      <c r="G622" s="213">
        <f>COMPOSICIÓN!G622</f>
        <v>1</v>
      </c>
      <c r="H622" s="214">
        <f>COMPOSICIÓN!H622</f>
        <v>0</v>
      </c>
      <c r="I622" s="215">
        <f>COMPOSICIÓN!I622</f>
        <v>85927.097156571996</v>
      </c>
      <c r="J622" s="212" t="str">
        <f>IFERROR(VLOOKUP(A622,PARTIDAS!$A$2:$C$269,3,FALSE()),"")</f>
        <v>PINTURA</v>
      </c>
      <c r="K622" s="212" t="str">
        <f>IFERROR(INDEX(PPTO_GENERADOR!$B$4:$B$220,MATCH(A622,PPTO_GENERADOR!$Q$4:$Q$220,0)),"")</f>
        <v/>
      </c>
      <c r="L622" s="216">
        <f>IF(PLAN_ETAPA!$C$4="(TODOS)",SUMIFS(PPTO_GENERADOR!$E$4:$E$220,PPTO_GENERADOR!$Q$4:$Q$220,A622),SUMIFS(PPTO_GENERADOR!$E$4:$E$220,PPTO_GENERADOR!$Q$4:$Q$220,A622,PPTO_GENERADOR!$B$4:$B$220,PLAN_ETAPA!$C$4))</f>
        <v>0</v>
      </c>
      <c r="M622" s="216">
        <f>IFERROR(VLOOKUP(A622,PARTIDAS!$A$2:$F$269,6,FALSE()),1)</f>
        <v>11</v>
      </c>
      <c r="N622" s="216">
        <f>IFERROR(VLOOKUP(A622,PARTIDAS!$A$2:$I$269,9,FALSE()),1)</f>
        <v>1</v>
      </c>
      <c r="O622" s="217">
        <f t="shared" si="18"/>
        <v>0</v>
      </c>
      <c r="P622" s="216">
        <f>IF(O622=0,0,IF(B622="MAT",G622*(1+H622)*L622*PLAN_ETAPA!$C$5,IF(B622="MO",IF(M622=0,0,G622*L622*PLAN_ETAPA!$C$5*N622/M622),IF(B622="EQ",IF(M622=0,0,G622*L622*PLAN_ETAPA!$C$5/M622),0))))</f>
        <v>0</v>
      </c>
      <c r="Q622" s="218">
        <f t="shared" si="19"/>
        <v>0</v>
      </c>
    </row>
    <row r="623" spans="1:17" x14ac:dyDescent="0.35">
      <c r="A623" s="212" t="str">
        <f>COMPOSICIÓN!A623</f>
        <v>PIN-067</v>
      </c>
      <c r="B623" s="212" t="str">
        <f>COMPOSICIÓN!B623</f>
        <v>EQ</v>
      </c>
      <c r="C623" s="212">
        <f>COMPOSICIÓN!C623</f>
        <v>0</v>
      </c>
      <c r="D623" s="212" t="str">
        <f>COMPOSICIÓN!D623</f>
        <v>EQ-EQUIPI</v>
      </c>
      <c r="E623" s="212" t="str">
        <f>COMPOSICIÓN!E623</f>
        <v>EQUIPO PARA PINTAR</v>
      </c>
      <c r="F623" s="212">
        <f>COMPOSICIÓN!F623</f>
        <v>0</v>
      </c>
      <c r="G623" s="213">
        <f>COMPOSICIÓN!G623</f>
        <v>1</v>
      </c>
      <c r="H623" s="214">
        <f>COMPOSICIÓN!H623</f>
        <v>0</v>
      </c>
      <c r="I623" s="215">
        <f>COMPOSICIÓN!I623</f>
        <v>1723.6259595547085</v>
      </c>
      <c r="J623" s="212" t="str">
        <f>IFERROR(VLOOKUP(A623,PARTIDAS!$A$2:$C$269,3,FALSE()),"")</f>
        <v>PINTURA</v>
      </c>
      <c r="K623" s="212" t="str">
        <f>IFERROR(INDEX(PPTO_GENERADOR!$B$4:$B$220,MATCH(A623,PPTO_GENERADOR!$Q$4:$Q$220,0)),"")</f>
        <v/>
      </c>
      <c r="L623" s="216">
        <f>IF(PLAN_ETAPA!$C$4="(TODOS)",SUMIFS(PPTO_GENERADOR!$E$4:$E$220,PPTO_GENERADOR!$Q$4:$Q$220,A623),SUMIFS(PPTO_GENERADOR!$E$4:$E$220,PPTO_GENERADOR!$Q$4:$Q$220,A623,PPTO_GENERADOR!$B$4:$B$220,PLAN_ETAPA!$C$4))</f>
        <v>0</v>
      </c>
      <c r="M623" s="216">
        <f>IFERROR(VLOOKUP(A623,PARTIDAS!$A$2:$F$269,6,FALSE()),1)</f>
        <v>20</v>
      </c>
      <c r="N623" s="216">
        <f>IFERROR(VLOOKUP(A623,PARTIDAS!$A$2:$I$269,9,FALSE()),1)</f>
        <v>1</v>
      </c>
      <c r="O623" s="217">
        <f t="shared" si="18"/>
        <v>0</v>
      </c>
      <c r="P623" s="216">
        <f>IF(O623=0,0,IF(B623="MAT",G623*(1+H623)*L623*PLAN_ETAPA!$C$5,IF(B623="MO",IF(M623=0,0,G623*L623*PLAN_ETAPA!$C$5*N623/M623),IF(B623="EQ",IF(M623=0,0,G623*L623*PLAN_ETAPA!$C$5/M623),0))))</f>
        <v>0</v>
      </c>
      <c r="Q623" s="218">
        <f t="shared" si="19"/>
        <v>0</v>
      </c>
    </row>
    <row r="624" spans="1:17" x14ac:dyDescent="0.35">
      <c r="A624" s="212" t="str">
        <f>COMPOSICIÓN!A624</f>
        <v>PIN-067</v>
      </c>
      <c r="B624" s="212" t="str">
        <f>COMPOSICIÓN!B624</f>
        <v>EQ</v>
      </c>
      <c r="C624" s="212">
        <f>COMPOSICIÓN!C624</f>
        <v>0</v>
      </c>
      <c r="D624" s="212" t="str">
        <f>COMPOSICIÓN!D624</f>
        <v>EQ-PTO026</v>
      </c>
      <c r="E624" s="212" t="str">
        <f>COMPOSICIÓN!E624</f>
        <v>ESCALERA MADERA PINTOR 8 ESCALONES</v>
      </c>
      <c r="F624" s="212">
        <f>COMPOSICIÓN!F624</f>
        <v>0</v>
      </c>
      <c r="G624" s="213">
        <f>COMPOSICIÓN!G624</f>
        <v>1</v>
      </c>
      <c r="H624" s="214">
        <f>COMPOSICIÓN!H624</f>
        <v>0</v>
      </c>
      <c r="I624" s="215">
        <f>COMPOSICIÓN!I624</f>
        <v>200.25307946474501</v>
      </c>
      <c r="J624" s="212" t="str">
        <f>IFERROR(VLOOKUP(A624,PARTIDAS!$A$2:$C$269,3,FALSE()),"")</f>
        <v>PINTURA</v>
      </c>
      <c r="K624" s="212" t="str">
        <f>IFERROR(INDEX(PPTO_GENERADOR!$B$4:$B$220,MATCH(A624,PPTO_GENERADOR!$Q$4:$Q$220,0)),"")</f>
        <v/>
      </c>
      <c r="L624" s="216">
        <f>IF(PLAN_ETAPA!$C$4="(TODOS)",SUMIFS(PPTO_GENERADOR!$E$4:$E$220,PPTO_GENERADOR!$Q$4:$Q$220,A624),SUMIFS(PPTO_GENERADOR!$E$4:$E$220,PPTO_GENERADOR!$Q$4:$Q$220,A624,PPTO_GENERADOR!$B$4:$B$220,PLAN_ETAPA!$C$4))</f>
        <v>0</v>
      </c>
      <c r="M624" s="216">
        <f>IFERROR(VLOOKUP(A624,PARTIDAS!$A$2:$F$269,6,FALSE()),1)</f>
        <v>20</v>
      </c>
      <c r="N624" s="216">
        <f>IFERROR(VLOOKUP(A624,PARTIDAS!$A$2:$I$269,9,FALSE()),1)</f>
        <v>1</v>
      </c>
      <c r="O624" s="217">
        <f t="shared" si="18"/>
        <v>0</v>
      </c>
      <c r="P624" s="216">
        <f>IF(O624=0,0,IF(B624="MAT",G624*(1+H624)*L624*PLAN_ETAPA!$C$5,IF(B624="MO",IF(M624=0,0,G624*L624*PLAN_ETAPA!$C$5*N624/M624),IF(B624="EQ",IF(M624=0,0,G624*L624*PLAN_ETAPA!$C$5/M624),0))))</f>
        <v>0</v>
      </c>
      <c r="Q624" s="218">
        <f t="shared" si="19"/>
        <v>0</v>
      </c>
    </row>
    <row r="625" spans="1:17" x14ac:dyDescent="0.35">
      <c r="A625" s="212" t="str">
        <f>COMPOSICIÓN!A625</f>
        <v>PIN-067</v>
      </c>
      <c r="B625" s="212" t="str">
        <f>COMPOSICIÓN!B625</f>
        <v>MAT</v>
      </c>
      <c r="C625" s="212" t="str">
        <f>COMPOSICIÓN!C625</f>
        <v>OTR</v>
      </c>
      <c r="D625" s="212" t="str">
        <f>COMPOSICIÓN!D625</f>
        <v>OTR-022</v>
      </c>
      <c r="E625" s="212" t="str">
        <f>COMPOSICIÓN!E625</f>
        <v>Aguarras Hydrarras Hydra x 18lts</v>
      </c>
      <c r="F625" s="212" t="str">
        <f>COMPOSICIÓN!F625</f>
        <v>b</v>
      </c>
      <c r="G625" s="213">
        <f>COMPOSICIÓN!G625</f>
        <v>0.01</v>
      </c>
      <c r="H625" s="214">
        <f>COMPOSICIÓN!H625</f>
        <v>0.1</v>
      </c>
      <c r="I625" s="215">
        <f>COMPOSICIÓN!I625</f>
        <v>26907.33</v>
      </c>
      <c r="J625" s="212" t="str">
        <f>IFERROR(VLOOKUP(A625,PARTIDAS!$A$2:$C$269,3,FALSE()),"")</f>
        <v>PINTURA</v>
      </c>
      <c r="K625" s="212" t="str">
        <f>IFERROR(INDEX(PPTO_GENERADOR!$B$4:$B$220,MATCH(A625,PPTO_GENERADOR!$Q$4:$Q$220,0)),"")</f>
        <v/>
      </c>
      <c r="L625" s="216">
        <f>IF(PLAN_ETAPA!$C$4="(TODOS)",SUMIFS(PPTO_GENERADOR!$E$4:$E$220,PPTO_GENERADOR!$Q$4:$Q$220,A625),SUMIFS(PPTO_GENERADOR!$E$4:$E$220,PPTO_GENERADOR!$Q$4:$Q$220,A625,PPTO_GENERADOR!$B$4:$B$220,PLAN_ETAPA!$C$4))</f>
        <v>0</v>
      </c>
      <c r="M625" s="216">
        <f>IFERROR(VLOOKUP(A625,PARTIDAS!$A$2:$F$269,6,FALSE()),1)</f>
        <v>20</v>
      </c>
      <c r="N625" s="216">
        <f>IFERROR(VLOOKUP(A625,PARTIDAS!$A$2:$I$269,9,FALSE()),1)</f>
        <v>1</v>
      </c>
      <c r="O625" s="217">
        <f t="shared" si="18"/>
        <v>0</v>
      </c>
      <c r="P625" s="216">
        <f>IF(O625=0,0,IF(B625="MAT",G625*(1+H625)*L625*PLAN_ETAPA!$C$5,IF(B625="MO",IF(M625=0,0,G625*L625*PLAN_ETAPA!$C$5*N625/M625),IF(B625="EQ",IF(M625=0,0,G625*L625*PLAN_ETAPA!$C$5/M625),0))))</f>
        <v>0</v>
      </c>
      <c r="Q625" s="218">
        <f t="shared" si="19"/>
        <v>0</v>
      </c>
    </row>
    <row r="626" spans="1:17" x14ac:dyDescent="0.35">
      <c r="A626" s="212" t="str">
        <f>COMPOSICIÓN!A626</f>
        <v>PIN-067</v>
      </c>
      <c r="B626" s="212" t="str">
        <f>COMPOSICIÓN!B626</f>
        <v>MAT</v>
      </c>
      <c r="C626" s="212" t="str">
        <f>COMPOSICIÓN!C626</f>
        <v>OTR</v>
      </c>
      <c r="D626" s="212" t="str">
        <f>COMPOSICIÓN!D626</f>
        <v>OTR-023</v>
      </c>
      <c r="E626" s="212" t="str">
        <f>COMPOSICIÓN!E626</f>
        <v>Lija 180 al agua x 10u</v>
      </c>
      <c r="F626" s="212" t="str">
        <f>COMPOSICIÓN!F626</f>
        <v>u</v>
      </c>
      <c r="G626" s="213">
        <f>COMPOSICIÓN!G626</f>
        <v>0.02</v>
      </c>
      <c r="H626" s="214">
        <f>COMPOSICIÓN!H626</f>
        <v>0.05</v>
      </c>
      <c r="I626" s="215">
        <f>COMPOSICIÓN!I626</f>
        <v>5661.4</v>
      </c>
      <c r="J626" s="212" t="str">
        <f>IFERROR(VLOOKUP(A626,PARTIDAS!$A$2:$C$269,3,FALSE()),"")</f>
        <v>PINTURA</v>
      </c>
      <c r="K626" s="212" t="str">
        <f>IFERROR(INDEX(PPTO_GENERADOR!$B$4:$B$220,MATCH(A626,PPTO_GENERADOR!$Q$4:$Q$220,0)),"")</f>
        <v/>
      </c>
      <c r="L626" s="216">
        <f>IF(PLAN_ETAPA!$C$4="(TODOS)",SUMIFS(PPTO_GENERADOR!$E$4:$E$220,PPTO_GENERADOR!$Q$4:$Q$220,A626),SUMIFS(PPTO_GENERADOR!$E$4:$E$220,PPTO_GENERADOR!$Q$4:$Q$220,A626,PPTO_GENERADOR!$B$4:$B$220,PLAN_ETAPA!$C$4))</f>
        <v>0</v>
      </c>
      <c r="M626" s="216">
        <f>IFERROR(VLOOKUP(A626,PARTIDAS!$A$2:$F$269,6,FALSE()),1)</f>
        <v>20</v>
      </c>
      <c r="N626" s="216">
        <f>IFERROR(VLOOKUP(A626,PARTIDAS!$A$2:$I$269,9,FALSE()),1)</f>
        <v>1</v>
      </c>
      <c r="O626" s="217">
        <f t="shared" si="18"/>
        <v>0</v>
      </c>
      <c r="P626" s="216">
        <f>IF(O626=0,0,IF(B626="MAT",G626*(1+H626)*L626*PLAN_ETAPA!$C$5,IF(B626="MO",IF(M626=0,0,G626*L626*PLAN_ETAPA!$C$5*N626/M626),IF(B626="EQ",IF(M626=0,0,G626*L626*PLAN_ETAPA!$C$5/M626),0))))</f>
        <v>0</v>
      </c>
      <c r="Q626" s="218">
        <f t="shared" si="19"/>
        <v>0</v>
      </c>
    </row>
    <row r="627" spans="1:17" x14ac:dyDescent="0.35">
      <c r="A627" s="212" t="str">
        <f>COMPOSICIÓN!A627</f>
        <v>PIN-067</v>
      </c>
      <c r="B627" s="212" t="str">
        <f>COMPOSICIÓN!B627</f>
        <v>MAT</v>
      </c>
      <c r="C627" s="212" t="str">
        <f>COMPOSICIÓN!C627</f>
        <v>OTR</v>
      </c>
      <c r="D627" s="212" t="str">
        <f>COMPOSICIÓN!D627</f>
        <v>OTR-024</v>
      </c>
      <c r="E627" s="212" t="str">
        <f>COMPOSICIÓN!E627</f>
        <v>Cinta de Papel 36 mm x 40m</v>
      </c>
      <c r="F627" s="212" t="str">
        <f>COMPOSICIÓN!F627</f>
        <v>u</v>
      </c>
      <c r="G627" s="213">
        <f>COMPOSICIÓN!G627</f>
        <v>0.05</v>
      </c>
      <c r="H627" s="214">
        <f>COMPOSICIÓN!H627</f>
        <v>0.1</v>
      </c>
      <c r="I627" s="215">
        <f>COMPOSICIÓN!I627</f>
        <v>3293.01</v>
      </c>
      <c r="J627" s="212" t="str">
        <f>IFERROR(VLOOKUP(A627,PARTIDAS!$A$2:$C$269,3,FALSE()),"")</f>
        <v>PINTURA</v>
      </c>
      <c r="K627" s="212" t="str">
        <f>IFERROR(INDEX(PPTO_GENERADOR!$B$4:$B$220,MATCH(A627,PPTO_GENERADOR!$Q$4:$Q$220,0)),"")</f>
        <v/>
      </c>
      <c r="L627" s="216">
        <f>IF(PLAN_ETAPA!$C$4="(TODOS)",SUMIFS(PPTO_GENERADOR!$E$4:$E$220,PPTO_GENERADOR!$Q$4:$Q$220,A627),SUMIFS(PPTO_GENERADOR!$E$4:$E$220,PPTO_GENERADOR!$Q$4:$Q$220,A627,PPTO_GENERADOR!$B$4:$B$220,PLAN_ETAPA!$C$4))</f>
        <v>0</v>
      </c>
      <c r="M627" s="216">
        <f>IFERROR(VLOOKUP(A627,PARTIDAS!$A$2:$F$269,6,FALSE()),1)</f>
        <v>20</v>
      </c>
      <c r="N627" s="216">
        <f>IFERROR(VLOOKUP(A627,PARTIDAS!$A$2:$I$269,9,FALSE()),1)</f>
        <v>1</v>
      </c>
      <c r="O627" s="217">
        <f t="shared" si="18"/>
        <v>0</v>
      </c>
      <c r="P627" s="216">
        <f>IF(O627=0,0,IF(B627="MAT",G627*(1+H627)*L627*PLAN_ETAPA!$C$5,IF(B627="MO",IF(M627=0,0,G627*L627*PLAN_ETAPA!$C$5*N627/M627),IF(B627="EQ",IF(M627=0,0,G627*L627*PLAN_ETAPA!$C$5/M627),0))))</f>
        <v>0</v>
      </c>
      <c r="Q627" s="218">
        <f t="shared" si="19"/>
        <v>0</v>
      </c>
    </row>
    <row r="628" spans="1:17" x14ac:dyDescent="0.35">
      <c r="A628" s="212" t="str">
        <f>COMPOSICIÓN!A628</f>
        <v>PIN-067</v>
      </c>
      <c r="B628" s="212" t="str">
        <f>COMPOSICIÓN!B628</f>
        <v>MAT</v>
      </c>
      <c r="C628" s="212" t="str">
        <f>COMPOSICIÓN!C628</f>
        <v>OTR</v>
      </c>
      <c r="D628" s="212" t="str">
        <f>COMPOSICIÓN!D628</f>
        <v>OTR-025</v>
      </c>
      <c r="E628" s="212" t="str">
        <f>COMPOSICIÓN!E628</f>
        <v>Trapo</v>
      </c>
      <c r="F628" s="212" t="str">
        <f>COMPOSICIÓN!F628</f>
        <v>u</v>
      </c>
      <c r="G628" s="213">
        <f>COMPOSICIÓN!G628</f>
        <v>0.03</v>
      </c>
      <c r="H628" s="214">
        <f>COMPOSICIÓN!H628</f>
        <v>0.05</v>
      </c>
      <c r="I628" s="215">
        <f>COMPOSICIÓN!I628</f>
        <v>735.06</v>
      </c>
      <c r="J628" s="212" t="str">
        <f>IFERROR(VLOOKUP(A628,PARTIDAS!$A$2:$C$269,3,FALSE()),"")</f>
        <v>PINTURA</v>
      </c>
      <c r="K628" s="212" t="str">
        <f>IFERROR(INDEX(PPTO_GENERADOR!$B$4:$B$220,MATCH(A628,PPTO_GENERADOR!$Q$4:$Q$220,0)),"")</f>
        <v/>
      </c>
      <c r="L628" s="216">
        <f>IF(PLAN_ETAPA!$C$4="(TODOS)",SUMIFS(PPTO_GENERADOR!$E$4:$E$220,PPTO_GENERADOR!$Q$4:$Q$220,A628),SUMIFS(PPTO_GENERADOR!$E$4:$E$220,PPTO_GENERADOR!$Q$4:$Q$220,A628,PPTO_GENERADOR!$B$4:$B$220,PLAN_ETAPA!$C$4))</f>
        <v>0</v>
      </c>
      <c r="M628" s="216">
        <f>IFERROR(VLOOKUP(A628,PARTIDAS!$A$2:$F$269,6,FALSE()),1)</f>
        <v>20</v>
      </c>
      <c r="N628" s="216">
        <f>IFERROR(VLOOKUP(A628,PARTIDAS!$A$2:$I$269,9,FALSE()),1)</f>
        <v>1</v>
      </c>
      <c r="O628" s="217">
        <f t="shared" si="18"/>
        <v>0</v>
      </c>
      <c r="P628" s="216">
        <f>IF(O628=0,0,IF(B628="MAT",G628*(1+H628)*L628*PLAN_ETAPA!$C$5,IF(B628="MO",IF(M628=0,0,G628*L628*PLAN_ETAPA!$C$5*N628/M628),IF(B628="EQ",IF(M628=0,0,G628*L628*PLAN_ETAPA!$C$5/M628),0))))</f>
        <v>0</v>
      </c>
      <c r="Q628" s="218">
        <f t="shared" si="19"/>
        <v>0</v>
      </c>
    </row>
    <row r="629" spans="1:17" x14ac:dyDescent="0.35">
      <c r="A629" s="212" t="str">
        <f>COMPOSICIÓN!A629</f>
        <v>PIN-067</v>
      </c>
      <c r="B629" s="212" t="str">
        <f>COMPOSICIÓN!B629</f>
        <v>MAT</v>
      </c>
      <c r="C629" s="212" t="str">
        <f>COMPOSICIÓN!C629</f>
        <v>OTR</v>
      </c>
      <c r="D629" s="212" t="str">
        <f>COMPOSICIÓN!D629</f>
        <v>OTR-027</v>
      </c>
      <c r="E629" s="212" t="str">
        <f>COMPOSICIÓN!E629</f>
        <v>Rodillo de lana pelo largo N°22 - El Galgo</v>
      </c>
      <c r="F629" s="212" t="str">
        <f>COMPOSICIÓN!F629</f>
        <v>u</v>
      </c>
      <c r="G629" s="213">
        <f>COMPOSICIÓN!G629</f>
        <v>0.01</v>
      </c>
      <c r="H629" s="214">
        <f>COMPOSICIÓN!H629</f>
        <v>0.05</v>
      </c>
      <c r="I629" s="215">
        <f>COMPOSICIÓN!I629</f>
        <v>6678.36</v>
      </c>
      <c r="J629" s="212" t="str">
        <f>IFERROR(VLOOKUP(A629,PARTIDAS!$A$2:$C$269,3,FALSE()),"")</f>
        <v>PINTURA</v>
      </c>
      <c r="K629" s="212" t="str">
        <f>IFERROR(INDEX(PPTO_GENERADOR!$B$4:$B$220,MATCH(A629,PPTO_GENERADOR!$Q$4:$Q$220,0)),"")</f>
        <v/>
      </c>
      <c r="L629" s="216">
        <f>IF(PLAN_ETAPA!$C$4="(TODOS)",SUMIFS(PPTO_GENERADOR!$E$4:$E$220,PPTO_GENERADOR!$Q$4:$Q$220,A629),SUMIFS(PPTO_GENERADOR!$E$4:$E$220,PPTO_GENERADOR!$Q$4:$Q$220,A629,PPTO_GENERADOR!$B$4:$B$220,PLAN_ETAPA!$C$4))</f>
        <v>0</v>
      </c>
      <c r="M629" s="216">
        <f>IFERROR(VLOOKUP(A629,PARTIDAS!$A$2:$F$269,6,FALSE()),1)</f>
        <v>20</v>
      </c>
      <c r="N629" s="216">
        <f>IFERROR(VLOOKUP(A629,PARTIDAS!$A$2:$I$269,9,FALSE()),1)</f>
        <v>1</v>
      </c>
      <c r="O629" s="217">
        <f t="shared" si="18"/>
        <v>0</v>
      </c>
      <c r="P629" s="216">
        <f>IF(O629=0,0,IF(B629="MAT",G629*(1+H629)*L629*PLAN_ETAPA!$C$5,IF(B629="MO",IF(M629=0,0,G629*L629*PLAN_ETAPA!$C$5*N629/M629),IF(B629="EQ",IF(M629=0,0,G629*L629*PLAN_ETAPA!$C$5/M629),0))))</f>
        <v>0</v>
      </c>
      <c r="Q629" s="218">
        <f t="shared" si="19"/>
        <v>0</v>
      </c>
    </row>
    <row r="630" spans="1:17" x14ac:dyDescent="0.35">
      <c r="A630" s="212" t="str">
        <f>COMPOSICIÓN!A630</f>
        <v>PIN-067</v>
      </c>
      <c r="B630" s="212" t="str">
        <f>COMPOSICIÓN!B630</f>
        <v>MAT</v>
      </c>
      <c r="C630" s="212" t="str">
        <f>COMPOSICIÓN!C630</f>
        <v>OTR</v>
      </c>
      <c r="D630" s="212" t="str">
        <f>COMPOSICIÓN!D630</f>
        <v>OTR-028</v>
      </c>
      <c r="E630" s="212" t="str">
        <f>COMPOSICIÓN!E630</f>
        <v>Pincel N° 20 - El Galgo</v>
      </c>
      <c r="F630" s="212" t="str">
        <f>COMPOSICIÓN!F630</f>
        <v>u</v>
      </c>
      <c r="G630" s="213">
        <f>COMPOSICIÓN!G630</f>
        <v>0.01</v>
      </c>
      <c r="H630" s="214">
        <f>COMPOSICIÓN!H630</f>
        <v>0.05</v>
      </c>
      <c r="I630" s="215">
        <f>COMPOSICIÓN!I630</f>
        <v>5282.24</v>
      </c>
      <c r="J630" s="212" t="str">
        <f>IFERROR(VLOOKUP(A630,PARTIDAS!$A$2:$C$269,3,FALSE()),"")</f>
        <v>PINTURA</v>
      </c>
      <c r="K630" s="212" t="str">
        <f>IFERROR(INDEX(PPTO_GENERADOR!$B$4:$B$220,MATCH(A630,PPTO_GENERADOR!$Q$4:$Q$220,0)),"")</f>
        <v/>
      </c>
      <c r="L630" s="216">
        <f>IF(PLAN_ETAPA!$C$4="(TODOS)",SUMIFS(PPTO_GENERADOR!$E$4:$E$220,PPTO_GENERADOR!$Q$4:$Q$220,A630),SUMIFS(PPTO_GENERADOR!$E$4:$E$220,PPTO_GENERADOR!$Q$4:$Q$220,A630,PPTO_GENERADOR!$B$4:$B$220,PLAN_ETAPA!$C$4))</f>
        <v>0</v>
      </c>
      <c r="M630" s="216">
        <f>IFERROR(VLOOKUP(A630,PARTIDAS!$A$2:$F$269,6,FALSE()),1)</f>
        <v>20</v>
      </c>
      <c r="N630" s="216">
        <f>IFERROR(VLOOKUP(A630,PARTIDAS!$A$2:$I$269,9,FALSE()),1)</f>
        <v>1</v>
      </c>
      <c r="O630" s="217">
        <f t="shared" si="18"/>
        <v>0</v>
      </c>
      <c r="P630" s="216">
        <f>IF(O630=0,0,IF(B630="MAT",G630*(1+H630)*L630*PLAN_ETAPA!$C$5,IF(B630="MO",IF(M630=0,0,G630*L630*PLAN_ETAPA!$C$5*N630/M630),IF(B630="EQ",IF(M630=0,0,G630*L630*PLAN_ETAPA!$C$5/M630),0))))</f>
        <v>0</v>
      </c>
      <c r="Q630" s="218">
        <f t="shared" si="19"/>
        <v>0</v>
      </c>
    </row>
    <row r="631" spans="1:17" x14ac:dyDescent="0.35">
      <c r="A631" s="212" t="str">
        <f>COMPOSICIÓN!A631</f>
        <v>PIN-067</v>
      </c>
      <c r="B631" s="212" t="str">
        <f>COMPOSICIÓN!B631</f>
        <v>MAT</v>
      </c>
      <c r="C631" s="212" t="str">
        <f>COMPOSICIÓN!C631</f>
        <v>OTR</v>
      </c>
      <c r="D631" s="212" t="str">
        <f>COMPOSICIÓN!D631</f>
        <v>OTR-029</v>
      </c>
      <c r="E631" s="212" t="str">
        <f>COMPOSICIÓN!E631</f>
        <v>Rollo de cartón corrugado 0,90 x 25 mts</v>
      </c>
      <c r="F631" s="212" t="str">
        <f>COMPOSICIÓN!F631</f>
        <v>u</v>
      </c>
      <c r="G631" s="213">
        <f>COMPOSICIÓN!G631</f>
        <v>0.02</v>
      </c>
      <c r="H631" s="214">
        <f>COMPOSICIÓN!H631</f>
        <v>0.05</v>
      </c>
      <c r="I631" s="215">
        <f>COMPOSICIÓN!I631</f>
        <v>7427.6</v>
      </c>
      <c r="J631" s="212" t="str">
        <f>IFERROR(VLOOKUP(A631,PARTIDAS!$A$2:$C$269,3,FALSE()),"")</f>
        <v>PINTURA</v>
      </c>
      <c r="K631" s="212" t="str">
        <f>IFERROR(INDEX(PPTO_GENERADOR!$B$4:$B$220,MATCH(A631,PPTO_GENERADOR!$Q$4:$Q$220,0)),"")</f>
        <v/>
      </c>
      <c r="L631" s="216">
        <f>IF(PLAN_ETAPA!$C$4="(TODOS)",SUMIFS(PPTO_GENERADOR!$E$4:$E$220,PPTO_GENERADOR!$Q$4:$Q$220,A631),SUMIFS(PPTO_GENERADOR!$E$4:$E$220,PPTO_GENERADOR!$Q$4:$Q$220,A631,PPTO_GENERADOR!$B$4:$B$220,PLAN_ETAPA!$C$4))</f>
        <v>0</v>
      </c>
      <c r="M631" s="216">
        <f>IFERROR(VLOOKUP(A631,PARTIDAS!$A$2:$F$269,6,FALSE()),1)</f>
        <v>20</v>
      </c>
      <c r="N631" s="216">
        <f>IFERROR(VLOOKUP(A631,PARTIDAS!$A$2:$I$269,9,FALSE()),1)</f>
        <v>1</v>
      </c>
      <c r="O631" s="217">
        <f t="shared" si="18"/>
        <v>0</v>
      </c>
      <c r="P631" s="216">
        <f>IF(O631=0,0,IF(B631="MAT",G631*(1+H631)*L631*PLAN_ETAPA!$C$5,IF(B631="MO",IF(M631=0,0,G631*L631*PLAN_ETAPA!$C$5*N631/M631),IF(B631="EQ",IF(M631=0,0,G631*L631*PLAN_ETAPA!$C$5/M631),0))))</f>
        <v>0</v>
      </c>
      <c r="Q631" s="218">
        <f t="shared" si="19"/>
        <v>0</v>
      </c>
    </row>
    <row r="632" spans="1:17" x14ac:dyDescent="0.35">
      <c r="A632" s="212" t="str">
        <f>COMPOSICIÓN!A632</f>
        <v>PIN-067</v>
      </c>
      <c r="B632" s="212" t="str">
        <f>COMPOSICIÓN!B632</f>
        <v>MAT</v>
      </c>
      <c r="C632" s="212" t="str">
        <f>COMPOSICIÓN!C632</f>
        <v>OTR</v>
      </c>
      <c r="D632" s="212" t="str">
        <f>COMPOSICIÓN!D632</f>
        <v>PIN-006</v>
      </c>
      <c r="E632" s="212" t="str">
        <f>COMPOSICIÓN!E632</f>
        <v>Esmalte sintetico satinado Satinol Blanco x 4lts</v>
      </c>
      <c r="F632" s="212" t="str">
        <f>COMPOSICIÓN!F632</f>
        <v>b</v>
      </c>
      <c r="G632" s="213">
        <f>COMPOSICIÓN!G632</f>
        <v>6.25E-2</v>
      </c>
      <c r="H632" s="214">
        <f>COMPOSICIÓN!H632</f>
        <v>0.1</v>
      </c>
      <c r="I632" s="215">
        <f>COMPOSICIÓN!I632</f>
        <v>28011.57</v>
      </c>
      <c r="J632" s="212" t="str">
        <f>IFERROR(VLOOKUP(A632,PARTIDAS!$A$2:$C$269,3,FALSE()),"")</f>
        <v>PINTURA</v>
      </c>
      <c r="K632" s="212" t="str">
        <f>IFERROR(INDEX(PPTO_GENERADOR!$B$4:$B$220,MATCH(A632,PPTO_GENERADOR!$Q$4:$Q$220,0)),"")</f>
        <v/>
      </c>
      <c r="L632" s="216">
        <f>IF(PLAN_ETAPA!$C$4="(TODOS)",SUMIFS(PPTO_GENERADOR!$E$4:$E$220,PPTO_GENERADOR!$Q$4:$Q$220,A632),SUMIFS(PPTO_GENERADOR!$E$4:$E$220,PPTO_GENERADOR!$Q$4:$Q$220,A632,PPTO_GENERADOR!$B$4:$B$220,PLAN_ETAPA!$C$4))</f>
        <v>0</v>
      </c>
      <c r="M632" s="216">
        <f>IFERROR(VLOOKUP(A632,PARTIDAS!$A$2:$F$269,6,FALSE()),1)</f>
        <v>20</v>
      </c>
      <c r="N632" s="216">
        <f>IFERROR(VLOOKUP(A632,PARTIDAS!$A$2:$I$269,9,FALSE()),1)</f>
        <v>1</v>
      </c>
      <c r="O632" s="217">
        <f t="shared" si="18"/>
        <v>0</v>
      </c>
      <c r="P632" s="216">
        <f>IF(O632=0,0,IF(B632="MAT",G632*(1+H632)*L632*PLAN_ETAPA!$C$5,IF(B632="MO",IF(M632=0,0,G632*L632*PLAN_ETAPA!$C$5*N632/M632),IF(B632="EQ",IF(M632=0,0,G632*L632*PLAN_ETAPA!$C$5/M632),0))))</f>
        <v>0</v>
      </c>
      <c r="Q632" s="218">
        <f t="shared" si="19"/>
        <v>0</v>
      </c>
    </row>
    <row r="633" spans="1:17" x14ac:dyDescent="0.35">
      <c r="A633" s="212" t="str">
        <f>COMPOSICIÓN!A633</f>
        <v>PIN-067</v>
      </c>
      <c r="B633" s="212" t="str">
        <f>COMPOSICIÓN!B633</f>
        <v>MAT</v>
      </c>
      <c r="C633" s="212" t="str">
        <f>COMPOSICIÓN!C633</f>
        <v>OTR</v>
      </c>
      <c r="D633" s="212" t="str">
        <f>COMPOSICIÓN!D633</f>
        <v>PIN-007</v>
      </c>
      <c r="E633" s="212" t="str">
        <f>COMPOSICIÓN!E633</f>
        <v>Enduido Interior x 20lts</v>
      </c>
      <c r="F633" s="212" t="str">
        <f>COMPOSICIÓN!F633</f>
        <v>B</v>
      </c>
      <c r="G633" s="213">
        <f>COMPOSICIÓN!G633</f>
        <v>2E-3</v>
      </c>
      <c r="H633" s="214">
        <f>COMPOSICIÓN!H633</f>
        <v>0.1</v>
      </c>
      <c r="I633" s="215">
        <f>COMPOSICIÓN!I633</f>
        <v>18735.77</v>
      </c>
      <c r="J633" s="212" t="str">
        <f>IFERROR(VLOOKUP(A633,PARTIDAS!$A$2:$C$269,3,FALSE()),"")</f>
        <v>PINTURA</v>
      </c>
      <c r="K633" s="212" t="str">
        <f>IFERROR(INDEX(PPTO_GENERADOR!$B$4:$B$220,MATCH(A633,PPTO_GENERADOR!$Q$4:$Q$220,0)),"")</f>
        <v/>
      </c>
      <c r="L633" s="216">
        <f>IF(PLAN_ETAPA!$C$4="(TODOS)",SUMIFS(PPTO_GENERADOR!$E$4:$E$220,PPTO_GENERADOR!$Q$4:$Q$220,A633),SUMIFS(PPTO_GENERADOR!$E$4:$E$220,PPTO_GENERADOR!$Q$4:$Q$220,A633,PPTO_GENERADOR!$B$4:$B$220,PLAN_ETAPA!$C$4))</f>
        <v>0</v>
      </c>
      <c r="M633" s="216">
        <f>IFERROR(VLOOKUP(A633,PARTIDAS!$A$2:$F$269,6,FALSE()),1)</f>
        <v>20</v>
      </c>
      <c r="N633" s="216">
        <f>IFERROR(VLOOKUP(A633,PARTIDAS!$A$2:$I$269,9,FALSE()),1)</f>
        <v>1</v>
      </c>
      <c r="O633" s="217">
        <f t="shared" si="18"/>
        <v>0</v>
      </c>
      <c r="P633" s="216">
        <f>IF(O633=0,0,IF(B633="MAT",G633*(1+H633)*L633*PLAN_ETAPA!$C$5,IF(B633="MO",IF(M633=0,0,G633*L633*PLAN_ETAPA!$C$5*N633/M633),IF(B633="EQ",IF(M633=0,0,G633*L633*PLAN_ETAPA!$C$5/M633),0))))</f>
        <v>0</v>
      </c>
      <c r="Q633" s="218">
        <f t="shared" si="19"/>
        <v>0</v>
      </c>
    </row>
    <row r="634" spans="1:17" x14ac:dyDescent="0.35">
      <c r="A634" s="212" t="str">
        <f>COMPOSICIÓN!A634</f>
        <v>PIN-067</v>
      </c>
      <c r="B634" s="212" t="str">
        <f>COMPOSICIÓN!B634</f>
        <v>MO</v>
      </c>
      <c r="C634" s="212" t="str">
        <f>COMPOSICIÓN!C634</f>
        <v>ALB</v>
      </c>
      <c r="D634" s="212" t="str">
        <f>COMPOSICIÓN!D634</f>
        <v>MO-EMEDI</v>
      </c>
      <c r="E634" s="212" t="str">
        <f>COMPOSICIÓN!E634</f>
        <v>MEDIO OFICIAL</v>
      </c>
      <c r="F634" s="212" t="str">
        <f>COMPOSICIÓN!F634</f>
        <v>j</v>
      </c>
      <c r="G634" s="213">
        <f>COMPOSICIÓN!G634</f>
        <v>1</v>
      </c>
      <c r="H634" s="214">
        <f>COMPOSICIÓN!H634</f>
        <v>0</v>
      </c>
      <c r="I634" s="215">
        <f>COMPOSICIÓN!I634</f>
        <v>65493.071636572</v>
      </c>
      <c r="J634" s="212" t="str">
        <f>IFERROR(VLOOKUP(A634,PARTIDAS!$A$2:$C$269,3,FALSE()),"")</f>
        <v>PINTURA</v>
      </c>
      <c r="K634" s="212" t="str">
        <f>IFERROR(INDEX(PPTO_GENERADOR!$B$4:$B$220,MATCH(A634,PPTO_GENERADOR!$Q$4:$Q$220,0)),"")</f>
        <v/>
      </c>
      <c r="L634" s="216">
        <f>IF(PLAN_ETAPA!$C$4="(TODOS)",SUMIFS(PPTO_GENERADOR!$E$4:$E$220,PPTO_GENERADOR!$Q$4:$Q$220,A634),SUMIFS(PPTO_GENERADOR!$E$4:$E$220,PPTO_GENERADOR!$Q$4:$Q$220,A634,PPTO_GENERADOR!$B$4:$B$220,PLAN_ETAPA!$C$4))</f>
        <v>0</v>
      </c>
      <c r="M634" s="216">
        <f>IFERROR(VLOOKUP(A634,PARTIDAS!$A$2:$F$269,6,FALSE()),1)</f>
        <v>20</v>
      </c>
      <c r="N634" s="216">
        <f>IFERROR(VLOOKUP(A634,PARTIDAS!$A$2:$I$269,9,FALSE()),1)</f>
        <v>1</v>
      </c>
      <c r="O634" s="217">
        <f t="shared" si="18"/>
        <v>0</v>
      </c>
      <c r="P634" s="216">
        <f>IF(O634=0,0,IF(B634="MAT",G634*(1+H634)*L634*PLAN_ETAPA!$C$5,IF(B634="MO",IF(M634=0,0,G634*L634*PLAN_ETAPA!$C$5*N634/M634),IF(B634="EQ",IF(M634=0,0,G634*L634*PLAN_ETAPA!$C$5/M634),0))))</f>
        <v>0</v>
      </c>
      <c r="Q634" s="218">
        <f t="shared" si="19"/>
        <v>0</v>
      </c>
    </row>
    <row r="635" spans="1:17" x14ac:dyDescent="0.35">
      <c r="A635" s="212" t="str">
        <f>COMPOSICIÓN!A635</f>
        <v>PIN-067</v>
      </c>
      <c r="B635" s="212" t="str">
        <f>COMPOSICIÓN!B635</f>
        <v>MO</v>
      </c>
      <c r="C635" s="212" t="str">
        <f>COMPOSICIÓN!C635</f>
        <v>ALB</v>
      </c>
      <c r="D635" s="212" t="str">
        <f>COMPOSICIÓN!D635</f>
        <v>MO-EESPE</v>
      </c>
      <c r="E635" s="212" t="str">
        <f>COMPOSICIÓN!E635</f>
        <v>ESPECIALIZADO</v>
      </c>
      <c r="F635" s="212" t="str">
        <f>COMPOSICIÓN!F635</f>
        <v>j</v>
      </c>
      <c r="G635" s="213">
        <f>COMPOSICIÓN!G635</f>
        <v>1</v>
      </c>
      <c r="H635" s="214">
        <f>COMPOSICIÓN!H635</f>
        <v>0</v>
      </c>
      <c r="I635" s="215">
        <f>COMPOSICIÓN!I635</f>
        <v>85927.097156571996</v>
      </c>
      <c r="J635" s="212" t="str">
        <f>IFERROR(VLOOKUP(A635,PARTIDAS!$A$2:$C$269,3,FALSE()),"")</f>
        <v>PINTURA</v>
      </c>
      <c r="K635" s="212" t="str">
        <f>IFERROR(INDEX(PPTO_GENERADOR!$B$4:$B$220,MATCH(A635,PPTO_GENERADOR!$Q$4:$Q$220,0)),"")</f>
        <v/>
      </c>
      <c r="L635" s="216">
        <f>IF(PLAN_ETAPA!$C$4="(TODOS)",SUMIFS(PPTO_GENERADOR!$E$4:$E$220,PPTO_GENERADOR!$Q$4:$Q$220,A635),SUMIFS(PPTO_GENERADOR!$E$4:$E$220,PPTO_GENERADOR!$Q$4:$Q$220,A635,PPTO_GENERADOR!$B$4:$B$220,PLAN_ETAPA!$C$4))</f>
        <v>0</v>
      </c>
      <c r="M635" s="216">
        <f>IFERROR(VLOOKUP(A635,PARTIDAS!$A$2:$F$269,6,FALSE()),1)</f>
        <v>20</v>
      </c>
      <c r="N635" s="216">
        <f>IFERROR(VLOOKUP(A635,PARTIDAS!$A$2:$I$269,9,FALSE()),1)</f>
        <v>1</v>
      </c>
      <c r="O635" s="217">
        <f t="shared" si="18"/>
        <v>0</v>
      </c>
      <c r="P635" s="216">
        <f>IF(O635=0,0,IF(B635="MAT",G635*(1+H635)*L635*PLAN_ETAPA!$C$5,IF(B635="MO",IF(M635=0,0,G635*L635*PLAN_ETAPA!$C$5*N635/M635),IF(B635="EQ",IF(M635=0,0,G635*L635*PLAN_ETAPA!$C$5/M635),0))))</f>
        <v>0</v>
      </c>
      <c r="Q635" s="218">
        <f t="shared" si="19"/>
        <v>0</v>
      </c>
    </row>
    <row r="636" spans="1:17" x14ac:dyDescent="0.35">
      <c r="A636" s="212" t="str">
        <f>COMPOSICIÓN!A636</f>
        <v>PIN-071</v>
      </c>
      <c r="B636" s="212" t="str">
        <f>COMPOSICIÓN!B636</f>
        <v>EQ</v>
      </c>
      <c r="C636" s="212">
        <f>COMPOSICIÓN!C636</f>
        <v>0</v>
      </c>
      <c r="D636" s="212" t="str">
        <f>COMPOSICIÓN!D636</f>
        <v>EQ-EQUIPI</v>
      </c>
      <c r="E636" s="212" t="str">
        <f>COMPOSICIÓN!E636</f>
        <v>EQUIPO PARA PINTAR</v>
      </c>
      <c r="F636" s="212">
        <f>COMPOSICIÓN!F636</f>
        <v>0</v>
      </c>
      <c r="G636" s="213">
        <f>COMPOSICIÓN!G636</f>
        <v>1</v>
      </c>
      <c r="H636" s="214">
        <f>COMPOSICIÓN!H636</f>
        <v>0</v>
      </c>
      <c r="I636" s="215">
        <f>COMPOSICIÓN!I636</f>
        <v>1723.6259595547085</v>
      </c>
      <c r="J636" s="212" t="str">
        <f>IFERROR(VLOOKUP(A636,PARTIDAS!$A$2:$C$269,3,FALSE()),"")</f>
        <v>PINTURA</v>
      </c>
      <c r="K636" s="212" t="str">
        <f>IFERROR(INDEX(PPTO_GENERADOR!$B$4:$B$220,MATCH(A636,PPTO_GENERADOR!$Q$4:$Q$220,0)),"")</f>
        <v/>
      </c>
      <c r="L636" s="216">
        <f>IF(PLAN_ETAPA!$C$4="(TODOS)",SUMIFS(PPTO_GENERADOR!$E$4:$E$220,PPTO_GENERADOR!$Q$4:$Q$220,A636),SUMIFS(PPTO_GENERADOR!$E$4:$E$220,PPTO_GENERADOR!$Q$4:$Q$220,A636,PPTO_GENERADOR!$B$4:$B$220,PLAN_ETAPA!$C$4))</f>
        <v>0</v>
      </c>
      <c r="M636" s="216">
        <f>IFERROR(VLOOKUP(A636,PARTIDAS!$A$2:$F$269,6,FALSE()),1)</f>
        <v>50</v>
      </c>
      <c r="N636" s="216">
        <f>IFERROR(VLOOKUP(A636,PARTIDAS!$A$2:$I$269,9,FALSE()),1)</f>
        <v>1</v>
      </c>
      <c r="O636" s="217">
        <f t="shared" si="18"/>
        <v>0</v>
      </c>
      <c r="P636" s="216">
        <f>IF(O636=0,0,IF(B636="MAT",G636*(1+H636)*L636*PLAN_ETAPA!$C$5,IF(B636="MO",IF(M636=0,0,G636*L636*PLAN_ETAPA!$C$5*N636/M636),IF(B636="EQ",IF(M636=0,0,G636*L636*PLAN_ETAPA!$C$5/M636),0))))</f>
        <v>0</v>
      </c>
      <c r="Q636" s="218">
        <f t="shared" si="19"/>
        <v>0</v>
      </c>
    </row>
    <row r="637" spans="1:17" x14ac:dyDescent="0.35">
      <c r="A637" s="212" t="str">
        <f>COMPOSICIÓN!A637</f>
        <v>PIN-071</v>
      </c>
      <c r="B637" s="212" t="str">
        <f>COMPOSICIÓN!B637</f>
        <v>EQ</v>
      </c>
      <c r="C637" s="212">
        <f>COMPOSICIÓN!C637</f>
        <v>0</v>
      </c>
      <c r="D637" s="212" t="str">
        <f>COMPOSICIÓN!D637</f>
        <v>EQ-ESCALE</v>
      </c>
      <c r="E637" s="212" t="str">
        <f>COMPOSICIÓN!E637</f>
        <v>ESCALERA GLOSS ALUMINIO ARTICULADA 4 X 4 ESCALONES HASTA 150KG</v>
      </c>
      <c r="F637" s="212">
        <f>COMPOSICIÓN!F637</f>
        <v>0</v>
      </c>
      <c r="G637" s="213">
        <f>COMPOSICIÓN!G637</f>
        <v>1</v>
      </c>
      <c r="H637" s="214">
        <f>COMPOSICIÓN!H637</f>
        <v>0</v>
      </c>
      <c r="I637" s="215">
        <f>COMPOSICIÓN!I637</f>
        <v>140.19809259430903</v>
      </c>
      <c r="J637" s="212" t="str">
        <f>IFERROR(VLOOKUP(A637,PARTIDAS!$A$2:$C$269,3,FALSE()),"")</f>
        <v>PINTURA</v>
      </c>
      <c r="K637" s="212" t="str">
        <f>IFERROR(INDEX(PPTO_GENERADOR!$B$4:$B$220,MATCH(A637,PPTO_GENERADOR!$Q$4:$Q$220,0)),"")</f>
        <v/>
      </c>
      <c r="L637" s="216">
        <f>IF(PLAN_ETAPA!$C$4="(TODOS)",SUMIFS(PPTO_GENERADOR!$E$4:$E$220,PPTO_GENERADOR!$Q$4:$Q$220,A637),SUMIFS(PPTO_GENERADOR!$E$4:$E$220,PPTO_GENERADOR!$Q$4:$Q$220,A637,PPTO_GENERADOR!$B$4:$B$220,PLAN_ETAPA!$C$4))</f>
        <v>0</v>
      </c>
      <c r="M637" s="216">
        <f>IFERROR(VLOOKUP(A637,PARTIDAS!$A$2:$F$269,6,FALSE()),1)</f>
        <v>50</v>
      </c>
      <c r="N637" s="216">
        <f>IFERROR(VLOOKUP(A637,PARTIDAS!$A$2:$I$269,9,FALSE()),1)</f>
        <v>1</v>
      </c>
      <c r="O637" s="217">
        <f t="shared" si="18"/>
        <v>0</v>
      </c>
      <c r="P637" s="216">
        <f>IF(O637=0,0,IF(B637="MAT",G637*(1+H637)*L637*PLAN_ETAPA!$C$5,IF(B637="MO",IF(M637=0,0,G637*L637*PLAN_ETAPA!$C$5*N637/M637),IF(B637="EQ",IF(M637=0,0,G637*L637*PLAN_ETAPA!$C$5/M637),0))))</f>
        <v>0</v>
      </c>
      <c r="Q637" s="218">
        <f t="shared" si="19"/>
        <v>0</v>
      </c>
    </row>
    <row r="638" spans="1:17" x14ac:dyDescent="0.35">
      <c r="A638" s="212" t="str">
        <f>COMPOSICIÓN!A638</f>
        <v>PIN-071</v>
      </c>
      <c r="B638" s="212" t="str">
        <f>COMPOSICIÓN!B638</f>
        <v>MAT</v>
      </c>
      <c r="C638" s="212" t="str">
        <f>COMPOSICIÓN!C638</f>
        <v>OTR</v>
      </c>
      <c r="D638" s="212" t="str">
        <f>COMPOSICIÓN!D638</f>
        <v>ADT-002</v>
      </c>
      <c r="E638" s="212" t="str">
        <f>COMPOSICIÓN!E638</f>
        <v>Venda SikaTEX 75 - Rollo</v>
      </c>
      <c r="F638" s="212" t="str">
        <f>COMPOSICIÓN!F638</f>
        <v>u</v>
      </c>
      <c r="G638" s="213">
        <f>COMPOSICIÓN!G638</f>
        <v>0.04</v>
      </c>
      <c r="H638" s="214">
        <f>COMPOSICIÓN!H638</f>
        <v>0.1</v>
      </c>
      <c r="I638" s="215">
        <f>COMPOSICIÓN!I638</f>
        <v>66115.702479338797</v>
      </c>
      <c r="J638" s="212" t="str">
        <f>IFERROR(VLOOKUP(A638,PARTIDAS!$A$2:$C$269,3,FALSE()),"")</f>
        <v>PINTURA</v>
      </c>
      <c r="K638" s="212" t="str">
        <f>IFERROR(INDEX(PPTO_GENERADOR!$B$4:$B$220,MATCH(A638,PPTO_GENERADOR!$Q$4:$Q$220,0)),"")</f>
        <v/>
      </c>
      <c r="L638" s="216">
        <f>IF(PLAN_ETAPA!$C$4="(TODOS)",SUMIFS(PPTO_GENERADOR!$E$4:$E$220,PPTO_GENERADOR!$Q$4:$Q$220,A638),SUMIFS(PPTO_GENERADOR!$E$4:$E$220,PPTO_GENERADOR!$Q$4:$Q$220,A638,PPTO_GENERADOR!$B$4:$B$220,PLAN_ETAPA!$C$4))</f>
        <v>0</v>
      </c>
      <c r="M638" s="216">
        <f>IFERROR(VLOOKUP(A638,PARTIDAS!$A$2:$F$269,6,FALSE()),1)</f>
        <v>50</v>
      </c>
      <c r="N638" s="216">
        <f>IFERROR(VLOOKUP(A638,PARTIDAS!$A$2:$I$269,9,FALSE()),1)</f>
        <v>1</v>
      </c>
      <c r="O638" s="217">
        <f t="shared" si="18"/>
        <v>0</v>
      </c>
      <c r="P638" s="216">
        <f>IF(O638=0,0,IF(B638="MAT",G638*(1+H638)*L638*PLAN_ETAPA!$C$5,IF(B638="MO",IF(M638=0,0,G638*L638*PLAN_ETAPA!$C$5*N638/M638),IF(B638="EQ",IF(M638=0,0,G638*L638*PLAN_ETAPA!$C$5/M638),0))))</f>
        <v>0</v>
      </c>
      <c r="Q638" s="218">
        <f t="shared" si="19"/>
        <v>0</v>
      </c>
    </row>
    <row r="639" spans="1:17" x14ac:dyDescent="0.35">
      <c r="A639" s="212" t="str">
        <f>COMPOSICIÓN!A639</f>
        <v>PIN-071</v>
      </c>
      <c r="B639" s="212" t="str">
        <f>COMPOSICIÓN!B639</f>
        <v>MAT</v>
      </c>
      <c r="C639" s="212" t="str">
        <f>COMPOSICIÓN!C639</f>
        <v>OTR</v>
      </c>
      <c r="D639" s="212" t="str">
        <f>COMPOSICIÓN!D639</f>
        <v>ELE-001</v>
      </c>
      <c r="E639" s="212" t="str">
        <f>COMPOSICIÓN!E639</f>
        <v>Recuplast Tradicional Blanco x 20 lts</v>
      </c>
      <c r="F639" s="212" t="str">
        <f>COMPOSICIÓN!F639</f>
        <v>u</v>
      </c>
      <c r="G639" s="213">
        <f>COMPOSICIÓN!G639</f>
        <v>3.5000000000000003E-2</v>
      </c>
      <c r="H639" s="214">
        <f>COMPOSICIÓN!H639</f>
        <v>0.1</v>
      </c>
      <c r="I639" s="215">
        <f>COMPOSICIÓN!I639</f>
        <v>124188.429752066</v>
      </c>
      <c r="J639" s="212" t="str">
        <f>IFERROR(VLOOKUP(A639,PARTIDAS!$A$2:$C$269,3,FALSE()),"")</f>
        <v>PINTURA</v>
      </c>
      <c r="K639" s="212" t="str">
        <f>IFERROR(INDEX(PPTO_GENERADOR!$B$4:$B$220,MATCH(A639,PPTO_GENERADOR!$Q$4:$Q$220,0)),"")</f>
        <v/>
      </c>
      <c r="L639" s="216">
        <f>IF(PLAN_ETAPA!$C$4="(TODOS)",SUMIFS(PPTO_GENERADOR!$E$4:$E$220,PPTO_GENERADOR!$Q$4:$Q$220,A639),SUMIFS(PPTO_GENERADOR!$E$4:$E$220,PPTO_GENERADOR!$Q$4:$Q$220,A639,PPTO_GENERADOR!$B$4:$B$220,PLAN_ETAPA!$C$4))</f>
        <v>0</v>
      </c>
      <c r="M639" s="216">
        <f>IFERROR(VLOOKUP(A639,PARTIDAS!$A$2:$F$269,6,FALSE()),1)</f>
        <v>50</v>
      </c>
      <c r="N639" s="216">
        <f>IFERROR(VLOOKUP(A639,PARTIDAS!$A$2:$I$269,9,FALSE()),1)</f>
        <v>1</v>
      </c>
      <c r="O639" s="217">
        <f t="shared" si="18"/>
        <v>0</v>
      </c>
      <c r="P639" s="216">
        <f>IF(O639=0,0,IF(B639="MAT",G639*(1+H639)*L639*PLAN_ETAPA!$C$5,IF(B639="MO",IF(M639=0,0,G639*L639*PLAN_ETAPA!$C$5*N639/M639),IF(B639="EQ",IF(M639=0,0,G639*L639*PLAN_ETAPA!$C$5/M639),0))))</f>
        <v>0</v>
      </c>
      <c r="Q639" s="218">
        <f t="shared" si="19"/>
        <v>0</v>
      </c>
    </row>
    <row r="640" spans="1:17" x14ac:dyDescent="0.35">
      <c r="A640" s="212" t="str">
        <f>COMPOSICIÓN!A640</f>
        <v>PIN-071</v>
      </c>
      <c r="B640" s="212" t="str">
        <f>COMPOSICIÓN!B640</f>
        <v>MAT</v>
      </c>
      <c r="C640" s="212" t="str">
        <f>COMPOSICIÓN!C640</f>
        <v>OTR</v>
      </c>
      <c r="D640" s="212" t="str">
        <f>COMPOSICIÓN!D640</f>
        <v>OTR-025</v>
      </c>
      <c r="E640" s="212" t="str">
        <f>COMPOSICIÓN!E640</f>
        <v>Trapo</v>
      </c>
      <c r="F640" s="212" t="str">
        <f>COMPOSICIÓN!F640</f>
        <v>u</v>
      </c>
      <c r="G640" s="213">
        <f>COMPOSICIÓN!G640</f>
        <v>0.01</v>
      </c>
      <c r="H640" s="214">
        <f>COMPOSICIÓN!H640</f>
        <v>0.05</v>
      </c>
      <c r="I640" s="215">
        <f>COMPOSICIÓN!I640</f>
        <v>735.06</v>
      </c>
      <c r="J640" s="212" t="str">
        <f>IFERROR(VLOOKUP(A640,PARTIDAS!$A$2:$C$269,3,FALSE()),"")</f>
        <v>PINTURA</v>
      </c>
      <c r="K640" s="212" t="str">
        <f>IFERROR(INDEX(PPTO_GENERADOR!$B$4:$B$220,MATCH(A640,PPTO_GENERADOR!$Q$4:$Q$220,0)),"")</f>
        <v/>
      </c>
      <c r="L640" s="216">
        <f>IF(PLAN_ETAPA!$C$4="(TODOS)",SUMIFS(PPTO_GENERADOR!$E$4:$E$220,PPTO_GENERADOR!$Q$4:$Q$220,A640),SUMIFS(PPTO_GENERADOR!$E$4:$E$220,PPTO_GENERADOR!$Q$4:$Q$220,A640,PPTO_GENERADOR!$B$4:$B$220,PLAN_ETAPA!$C$4))</f>
        <v>0</v>
      </c>
      <c r="M640" s="216">
        <f>IFERROR(VLOOKUP(A640,PARTIDAS!$A$2:$F$269,6,FALSE()),1)</f>
        <v>50</v>
      </c>
      <c r="N640" s="216">
        <f>IFERROR(VLOOKUP(A640,PARTIDAS!$A$2:$I$269,9,FALSE()),1)</f>
        <v>1</v>
      </c>
      <c r="O640" s="217">
        <f t="shared" si="18"/>
        <v>0</v>
      </c>
      <c r="P640" s="216">
        <f>IF(O640=0,0,IF(B640="MAT",G640*(1+H640)*L640*PLAN_ETAPA!$C$5,IF(B640="MO",IF(M640=0,0,G640*L640*PLAN_ETAPA!$C$5*N640/M640),IF(B640="EQ",IF(M640=0,0,G640*L640*PLAN_ETAPA!$C$5/M640),0))))</f>
        <v>0</v>
      </c>
      <c r="Q640" s="218">
        <f t="shared" si="19"/>
        <v>0</v>
      </c>
    </row>
    <row r="641" spans="1:17" x14ac:dyDescent="0.35">
      <c r="A641" s="212" t="str">
        <f>COMPOSICIÓN!A641</f>
        <v>PIN-071</v>
      </c>
      <c r="B641" s="212" t="str">
        <f>COMPOSICIÓN!B641</f>
        <v>MAT</v>
      </c>
      <c r="C641" s="212" t="str">
        <f>COMPOSICIÓN!C641</f>
        <v>OTR</v>
      </c>
      <c r="D641" s="212" t="str">
        <f>COMPOSICIÓN!D641</f>
        <v>OTR-027</v>
      </c>
      <c r="E641" s="212" t="str">
        <f>COMPOSICIÓN!E641</f>
        <v>Rodillo de lana pelo largo N°22 - El Galgo</v>
      </c>
      <c r="F641" s="212" t="str">
        <f>COMPOSICIÓN!F641</f>
        <v>u</v>
      </c>
      <c r="G641" s="213">
        <f>COMPOSICIÓN!G641</f>
        <v>0.01</v>
      </c>
      <c r="H641" s="214">
        <f>COMPOSICIÓN!H641</f>
        <v>0.05</v>
      </c>
      <c r="I641" s="215">
        <f>COMPOSICIÓN!I641</f>
        <v>6678.36</v>
      </c>
      <c r="J641" s="212" t="str">
        <f>IFERROR(VLOOKUP(A641,PARTIDAS!$A$2:$C$269,3,FALSE()),"")</f>
        <v>PINTURA</v>
      </c>
      <c r="K641" s="212" t="str">
        <f>IFERROR(INDEX(PPTO_GENERADOR!$B$4:$B$220,MATCH(A641,PPTO_GENERADOR!$Q$4:$Q$220,0)),"")</f>
        <v/>
      </c>
      <c r="L641" s="216">
        <f>IF(PLAN_ETAPA!$C$4="(TODOS)",SUMIFS(PPTO_GENERADOR!$E$4:$E$220,PPTO_GENERADOR!$Q$4:$Q$220,A641),SUMIFS(PPTO_GENERADOR!$E$4:$E$220,PPTO_GENERADOR!$Q$4:$Q$220,A641,PPTO_GENERADOR!$B$4:$B$220,PLAN_ETAPA!$C$4))</f>
        <v>0</v>
      </c>
      <c r="M641" s="216">
        <f>IFERROR(VLOOKUP(A641,PARTIDAS!$A$2:$F$269,6,FALSE()),1)</f>
        <v>50</v>
      </c>
      <c r="N641" s="216">
        <f>IFERROR(VLOOKUP(A641,PARTIDAS!$A$2:$I$269,9,FALSE()),1)</f>
        <v>1</v>
      </c>
      <c r="O641" s="217">
        <f t="shared" si="18"/>
        <v>0</v>
      </c>
      <c r="P641" s="216">
        <f>IF(O641=0,0,IF(B641="MAT",G641*(1+H641)*L641*PLAN_ETAPA!$C$5,IF(B641="MO",IF(M641=0,0,G641*L641*PLAN_ETAPA!$C$5*N641/M641),IF(B641="EQ",IF(M641=0,0,G641*L641*PLAN_ETAPA!$C$5/M641),0))))</f>
        <v>0</v>
      </c>
      <c r="Q641" s="218">
        <f t="shared" si="19"/>
        <v>0</v>
      </c>
    </row>
    <row r="642" spans="1:17" x14ac:dyDescent="0.35">
      <c r="A642" s="212" t="str">
        <f>COMPOSICIÓN!A642</f>
        <v>PIN-071</v>
      </c>
      <c r="B642" s="212" t="str">
        <f>COMPOSICIÓN!B642</f>
        <v>MAT</v>
      </c>
      <c r="C642" s="212" t="str">
        <f>COMPOSICIÓN!C642</f>
        <v>OTR</v>
      </c>
      <c r="D642" s="212" t="str">
        <f>COMPOSICIÓN!D642</f>
        <v>OTR-028</v>
      </c>
      <c r="E642" s="212" t="str">
        <f>COMPOSICIÓN!E642</f>
        <v>Pincel N° 20 - El Galgo</v>
      </c>
      <c r="F642" s="212" t="str">
        <f>COMPOSICIÓN!F642</f>
        <v>u</v>
      </c>
      <c r="G642" s="213">
        <f>COMPOSICIÓN!G642</f>
        <v>0.01</v>
      </c>
      <c r="H642" s="214">
        <f>COMPOSICIÓN!H642</f>
        <v>0.05</v>
      </c>
      <c r="I642" s="215">
        <f>COMPOSICIÓN!I642</f>
        <v>5282.24</v>
      </c>
      <c r="J642" s="212" t="str">
        <f>IFERROR(VLOOKUP(A642,PARTIDAS!$A$2:$C$269,3,FALSE()),"")</f>
        <v>PINTURA</v>
      </c>
      <c r="K642" s="212" t="str">
        <f>IFERROR(INDEX(PPTO_GENERADOR!$B$4:$B$220,MATCH(A642,PPTO_GENERADOR!$Q$4:$Q$220,0)),"")</f>
        <v/>
      </c>
      <c r="L642" s="216">
        <f>IF(PLAN_ETAPA!$C$4="(TODOS)",SUMIFS(PPTO_GENERADOR!$E$4:$E$220,PPTO_GENERADOR!$Q$4:$Q$220,A642),SUMIFS(PPTO_GENERADOR!$E$4:$E$220,PPTO_GENERADOR!$Q$4:$Q$220,A642,PPTO_GENERADOR!$B$4:$B$220,PLAN_ETAPA!$C$4))</f>
        <v>0</v>
      </c>
      <c r="M642" s="216">
        <f>IFERROR(VLOOKUP(A642,PARTIDAS!$A$2:$F$269,6,FALSE()),1)</f>
        <v>50</v>
      </c>
      <c r="N642" s="216">
        <f>IFERROR(VLOOKUP(A642,PARTIDAS!$A$2:$I$269,9,FALSE()),1)</f>
        <v>1</v>
      </c>
      <c r="O642" s="217">
        <f t="shared" ref="O642:O705" si="20">IF(L642&gt;0,1,0)</f>
        <v>0</v>
      </c>
      <c r="P642" s="216">
        <f>IF(O642=0,0,IF(B642="MAT",G642*(1+H642)*L642*PLAN_ETAPA!$C$5,IF(B642="MO",IF(M642=0,0,G642*L642*PLAN_ETAPA!$C$5*N642/M642),IF(B642="EQ",IF(M642=0,0,G642*L642*PLAN_ETAPA!$C$5/M642),0))))</f>
        <v>0</v>
      </c>
      <c r="Q642" s="218">
        <f t="shared" ref="Q642:Q705" si="21">P642*I642</f>
        <v>0</v>
      </c>
    </row>
    <row r="643" spans="1:17" x14ac:dyDescent="0.35">
      <c r="A643" s="212" t="str">
        <f>COMPOSICIÓN!A643</f>
        <v>PIN-071</v>
      </c>
      <c r="B643" s="212" t="str">
        <f>COMPOSICIÓN!B643</f>
        <v>MO</v>
      </c>
      <c r="C643" s="212" t="str">
        <f>COMPOSICIÓN!C643</f>
        <v>ALB</v>
      </c>
      <c r="D643" s="212" t="str">
        <f>COMPOSICIÓN!D643</f>
        <v>MO-EAYUD</v>
      </c>
      <c r="E643" s="212" t="str">
        <f>COMPOSICIÓN!E643</f>
        <v>AYUDANTE</v>
      </c>
      <c r="F643" s="212" t="str">
        <f>COMPOSICIÓN!F643</f>
        <v>j</v>
      </c>
      <c r="G643" s="213">
        <f>COMPOSICIÓN!G643</f>
        <v>1</v>
      </c>
      <c r="H643" s="214">
        <f>COMPOSICIÓN!H643</f>
        <v>0</v>
      </c>
      <c r="I643" s="215">
        <f>COMPOSICIÓN!I643</f>
        <v>60860.580776572002</v>
      </c>
      <c r="J643" s="212" t="str">
        <f>IFERROR(VLOOKUP(A643,PARTIDAS!$A$2:$C$269,3,FALSE()),"")</f>
        <v>PINTURA</v>
      </c>
      <c r="K643" s="212" t="str">
        <f>IFERROR(INDEX(PPTO_GENERADOR!$B$4:$B$220,MATCH(A643,PPTO_GENERADOR!$Q$4:$Q$220,0)),"")</f>
        <v/>
      </c>
      <c r="L643" s="216">
        <f>IF(PLAN_ETAPA!$C$4="(TODOS)",SUMIFS(PPTO_GENERADOR!$E$4:$E$220,PPTO_GENERADOR!$Q$4:$Q$220,A643),SUMIFS(PPTO_GENERADOR!$E$4:$E$220,PPTO_GENERADOR!$Q$4:$Q$220,A643,PPTO_GENERADOR!$B$4:$B$220,PLAN_ETAPA!$C$4))</f>
        <v>0</v>
      </c>
      <c r="M643" s="216">
        <f>IFERROR(VLOOKUP(A643,PARTIDAS!$A$2:$F$269,6,FALSE()),1)</f>
        <v>50</v>
      </c>
      <c r="N643" s="216">
        <f>IFERROR(VLOOKUP(A643,PARTIDAS!$A$2:$I$269,9,FALSE()),1)</f>
        <v>1</v>
      </c>
      <c r="O643" s="217">
        <f t="shared" si="20"/>
        <v>0</v>
      </c>
      <c r="P643" s="216">
        <f>IF(O643=0,0,IF(B643="MAT",G643*(1+H643)*L643*PLAN_ETAPA!$C$5,IF(B643="MO",IF(M643=0,0,G643*L643*PLAN_ETAPA!$C$5*N643/M643),IF(B643="EQ",IF(M643=0,0,G643*L643*PLAN_ETAPA!$C$5/M643),0))))</f>
        <v>0</v>
      </c>
      <c r="Q643" s="218">
        <f t="shared" si="21"/>
        <v>0</v>
      </c>
    </row>
    <row r="644" spans="1:17" x14ac:dyDescent="0.35">
      <c r="A644" s="212" t="str">
        <f>COMPOSICIÓN!A644</f>
        <v>PIN-071</v>
      </c>
      <c r="B644" s="212" t="str">
        <f>COMPOSICIÓN!B644</f>
        <v>MO</v>
      </c>
      <c r="C644" s="212" t="str">
        <f>COMPOSICIÓN!C644</f>
        <v>ALB</v>
      </c>
      <c r="D644" s="212" t="str">
        <f>COMPOSICIÓN!D644</f>
        <v>MO-EOFIC</v>
      </c>
      <c r="E644" s="212" t="str">
        <f>COMPOSICIÓN!E644</f>
        <v>OFICIAL</v>
      </c>
      <c r="F644" s="212" t="str">
        <f>COMPOSICIÓN!F644</f>
        <v>j</v>
      </c>
      <c r="G644" s="213">
        <f>COMPOSICIÓN!G644</f>
        <v>1</v>
      </c>
      <c r="H644" s="214">
        <f>COMPOSICIÓN!H644</f>
        <v>0</v>
      </c>
      <c r="I644" s="215">
        <f>COMPOSICIÓN!I644</f>
        <v>76955.079706571996</v>
      </c>
      <c r="J644" s="212" t="str">
        <f>IFERROR(VLOOKUP(A644,PARTIDAS!$A$2:$C$269,3,FALSE()),"")</f>
        <v>PINTURA</v>
      </c>
      <c r="K644" s="212" t="str">
        <f>IFERROR(INDEX(PPTO_GENERADOR!$B$4:$B$220,MATCH(A644,PPTO_GENERADOR!$Q$4:$Q$220,0)),"")</f>
        <v/>
      </c>
      <c r="L644" s="216">
        <f>IF(PLAN_ETAPA!$C$4="(TODOS)",SUMIFS(PPTO_GENERADOR!$E$4:$E$220,PPTO_GENERADOR!$Q$4:$Q$220,A644),SUMIFS(PPTO_GENERADOR!$E$4:$E$220,PPTO_GENERADOR!$Q$4:$Q$220,A644,PPTO_GENERADOR!$B$4:$B$220,PLAN_ETAPA!$C$4))</f>
        <v>0</v>
      </c>
      <c r="M644" s="216">
        <f>IFERROR(VLOOKUP(A644,PARTIDAS!$A$2:$F$269,6,FALSE()),1)</f>
        <v>50</v>
      </c>
      <c r="N644" s="216">
        <f>IFERROR(VLOOKUP(A644,PARTIDAS!$A$2:$I$269,9,FALSE()),1)</f>
        <v>1</v>
      </c>
      <c r="O644" s="217">
        <f t="shared" si="20"/>
        <v>0</v>
      </c>
      <c r="P644" s="216">
        <f>IF(O644=0,0,IF(B644="MAT",G644*(1+H644)*L644*PLAN_ETAPA!$C$5,IF(B644="MO",IF(M644=0,0,G644*L644*PLAN_ETAPA!$C$5*N644/M644),IF(B644="EQ",IF(M644=0,0,G644*L644*PLAN_ETAPA!$C$5/M644),0))))</f>
        <v>0</v>
      </c>
      <c r="Q644" s="218">
        <f t="shared" si="21"/>
        <v>0</v>
      </c>
    </row>
    <row r="645" spans="1:17" x14ac:dyDescent="0.35">
      <c r="A645" s="212" t="str">
        <f>COMPOSICIÓN!A645</f>
        <v>PIN-073</v>
      </c>
      <c r="B645" s="212" t="str">
        <f>COMPOSICIÓN!B645</f>
        <v>EQ</v>
      </c>
      <c r="C645" s="212">
        <f>COMPOSICIÓN!C645</f>
        <v>0</v>
      </c>
      <c r="D645" s="212" t="str">
        <f>COMPOSICIÓN!D645</f>
        <v>EQ-EQUIPI</v>
      </c>
      <c r="E645" s="212" t="str">
        <f>COMPOSICIÓN!E645</f>
        <v>EQUIPO PARA PINTAR</v>
      </c>
      <c r="F645" s="212">
        <f>COMPOSICIÓN!F645</f>
        <v>0</v>
      </c>
      <c r="G645" s="213">
        <f>COMPOSICIÓN!G645</f>
        <v>1</v>
      </c>
      <c r="H645" s="214">
        <f>COMPOSICIÓN!H645</f>
        <v>0</v>
      </c>
      <c r="I645" s="215">
        <f>COMPOSICIÓN!I645</f>
        <v>1723.6259595547085</v>
      </c>
      <c r="J645" s="212" t="str">
        <f>IFERROR(VLOOKUP(A645,PARTIDAS!$A$2:$C$269,3,FALSE()),"")</f>
        <v>PINTURA</v>
      </c>
      <c r="K645" s="212" t="str">
        <f>IFERROR(INDEX(PPTO_GENERADOR!$B$4:$B$220,MATCH(A645,PPTO_GENERADOR!$Q$4:$Q$220,0)),"")</f>
        <v/>
      </c>
      <c r="L645" s="216">
        <f>IF(PLAN_ETAPA!$C$4="(TODOS)",SUMIFS(PPTO_GENERADOR!$E$4:$E$220,PPTO_GENERADOR!$Q$4:$Q$220,A645),SUMIFS(PPTO_GENERADOR!$E$4:$E$220,PPTO_GENERADOR!$Q$4:$Q$220,A645,PPTO_GENERADOR!$B$4:$B$220,PLAN_ETAPA!$C$4))</f>
        <v>0</v>
      </c>
      <c r="M645" s="216">
        <f>IFERROR(VLOOKUP(A645,PARTIDAS!$A$2:$F$269,6,FALSE()),1)</f>
        <v>20</v>
      </c>
      <c r="N645" s="216">
        <f>IFERROR(VLOOKUP(A645,PARTIDAS!$A$2:$I$269,9,FALSE()),1)</f>
        <v>1</v>
      </c>
      <c r="O645" s="217">
        <f t="shared" si="20"/>
        <v>0</v>
      </c>
      <c r="P645" s="216">
        <f>IF(O645=0,0,IF(B645="MAT",G645*(1+H645)*L645*PLAN_ETAPA!$C$5,IF(B645="MO",IF(M645=0,0,G645*L645*PLAN_ETAPA!$C$5*N645/M645),IF(B645="EQ",IF(M645=0,0,G645*L645*PLAN_ETAPA!$C$5/M645),0))))</f>
        <v>0</v>
      </c>
      <c r="Q645" s="218">
        <f t="shared" si="21"/>
        <v>0</v>
      </c>
    </row>
    <row r="646" spans="1:17" x14ac:dyDescent="0.35">
      <c r="A646" s="212" t="str">
        <f>COMPOSICIÓN!A646</f>
        <v>PIN-073</v>
      </c>
      <c r="B646" s="212" t="str">
        <f>COMPOSICIÓN!B646</f>
        <v>EQ</v>
      </c>
      <c r="C646" s="212">
        <f>COMPOSICIÓN!C646</f>
        <v>0</v>
      </c>
      <c r="D646" s="212" t="str">
        <f>COMPOSICIÓN!D646</f>
        <v>EQ-PTO026</v>
      </c>
      <c r="E646" s="212" t="str">
        <f>COMPOSICIÓN!E646</f>
        <v>ESCALERA MADERA PINTOR 8 ESCALONES</v>
      </c>
      <c r="F646" s="212">
        <f>COMPOSICIÓN!F646</f>
        <v>0</v>
      </c>
      <c r="G646" s="213">
        <f>COMPOSICIÓN!G646</f>
        <v>1</v>
      </c>
      <c r="H646" s="214">
        <f>COMPOSICIÓN!H646</f>
        <v>0</v>
      </c>
      <c r="I646" s="215">
        <f>COMPOSICIÓN!I646</f>
        <v>200.25307946474501</v>
      </c>
      <c r="J646" s="212" t="str">
        <f>IFERROR(VLOOKUP(A646,PARTIDAS!$A$2:$C$269,3,FALSE()),"")</f>
        <v>PINTURA</v>
      </c>
      <c r="K646" s="212" t="str">
        <f>IFERROR(INDEX(PPTO_GENERADOR!$B$4:$B$220,MATCH(A646,PPTO_GENERADOR!$Q$4:$Q$220,0)),"")</f>
        <v/>
      </c>
      <c r="L646" s="216">
        <f>IF(PLAN_ETAPA!$C$4="(TODOS)",SUMIFS(PPTO_GENERADOR!$E$4:$E$220,PPTO_GENERADOR!$Q$4:$Q$220,A646),SUMIFS(PPTO_GENERADOR!$E$4:$E$220,PPTO_GENERADOR!$Q$4:$Q$220,A646,PPTO_GENERADOR!$B$4:$B$220,PLAN_ETAPA!$C$4))</f>
        <v>0</v>
      </c>
      <c r="M646" s="216">
        <f>IFERROR(VLOOKUP(A646,PARTIDAS!$A$2:$F$269,6,FALSE()),1)</f>
        <v>20</v>
      </c>
      <c r="N646" s="216">
        <f>IFERROR(VLOOKUP(A646,PARTIDAS!$A$2:$I$269,9,FALSE()),1)</f>
        <v>1</v>
      </c>
      <c r="O646" s="217">
        <f t="shared" si="20"/>
        <v>0</v>
      </c>
      <c r="P646" s="216">
        <f>IF(O646=0,0,IF(B646="MAT",G646*(1+H646)*L646*PLAN_ETAPA!$C$5,IF(B646="MO",IF(M646=0,0,G646*L646*PLAN_ETAPA!$C$5*N646/M646),IF(B646="EQ",IF(M646=0,0,G646*L646*PLAN_ETAPA!$C$5/M646),0))))</f>
        <v>0</v>
      </c>
      <c r="Q646" s="218">
        <f t="shared" si="21"/>
        <v>0</v>
      </c>
    </row>
    <row r="647" spans="1:17" x14ac:dyDescent="0.35">
      <c r="A647" s="212" t="str">
        <f>COMPOSICIÓN!A647</f>
        <v>PIN-073</v>
      </c>
      <c r="B647" s="212" t="str">
        <f>COMPOSICIÓN!B647</f>
        <v>MAT</v>
      </c>
      <c r="C647" s="212" t="str">
        <f>COMPOSICIÓN!C647</f>
        <v>OTR</v>
      </c>
      <c r="D647" s="212" t="str">
        <f>COMPOSICIÓN!D647</f>
        <v>OTR-023</v>
      </c>
      <c r="E647" s="212" t="str">
        <f>COMPOSICIÓN!E647</f>
        <v>Lija 180 al agua x 10u</v>
      </c>
      <c r="F647" s="212" t="str">
        <f>COMPOSICIÓN!F647</f>
        <v>u</v>
      </c>
      <c r="G647" s="213">
        <f>COMPOSICIÓN!G647</f>
        <v>0.01</v>
      </c>
      <c r="H647" s="214">
        <f>COMPOSICIÓN!H647</f>
        <v>0.05</v>
      </c>
      <c r="I647" s="215">
        <f>COMPOSICIÓN!I647</f>
        <v>5661.4</v>
      </c>
      <c r="J647" s="212" t="str">
        <f>IFERROR(VLOOKUP(A647,PARTIDAS!$A$2:$C$269,3,FALSE()),"")</f>
        <v>PINTURA</v>
      </c>
      <c r="K647" s="212" t="str">
        <f>IFERROR(INDEX(PPTO_GENERADOR!$B$4:$B$220,MATCH(A647,PPTO_GENERADOR!$Q$4:$Q$220,0)),"")</f>
        <v/>
      </c>
      <c r="L647" s="216">
        <f>IF(PLAN_ETAPA!$C$4="(TODOS)",SUMIFS(PPTO_GENERADOR!$E$4:$E$220,PPTO_GENERADOR!$Q$4:$Q$220,A647),SUMIFS(PPTO_GENERADOR!$E$4:$E$220,PPTO_GENERADOR!$Q$4:$Q$220,A647,PPTO_GENERADOR!$B$4:$B$220,PLAN_ETAPA!$C$4))</f>
        <v>0</v>
      </c>
      <c r="M647" s="216">
        <f>IFERROR(VLOOKUP(A647,PARTIDAS!$A$2:$F$269,6,FALSE()),1)</f>
        <v>20</v>
      </c>
      <c r="N647" s="216">
        <f>IFERROR(VLOOKUP(A647,PARTIDAS!$A$2:$I$269,9,FALSE()),1)</f>
        <v>1</v>
      </c>
      <c r="O647" s="217">
        <f t="shared" si="20"/>
        <v>0</v>
      </c>
      <c r="P647" s="216">
        <f>IF(O647=0,0,IF(B647="MAT",G647*(1+H647)*L647*PLAN_ETAPA!$C$5,IF(B647="MO",IF(M647=0,0,G647*L647*PLAN_ETAPA!$C$5*N647/M647),IF(B647="EQ",IF(M647=0,0,G647*L647*PLAN_ETAPA!$C$5/M647),0))))</f>
        <v>0</v>
      </c>
      <c r="Q647" s="218">
        <f t="shared" si="21"/>
        <v>0</v>
      </c>
    </row>
    <row r="648" spans="1:17" x14ac:dyDescent="0.35">
      <c r="A648" s="212" t="str">
        <f>COMPOSICIÓN!A648</f>
        <v>PIN-073</v>
      </c>
      <c r="B648" s="212" t="str">
        <f>COMPOSICIÓN!B648</f>
        <v>MAT</v>
      </c>
      <c r="C648" s="212" t="str">
        <f>COMPOSICIÓN!C648</f>
        <v>OTR</v>
      </c>
      <c r="D648" s="212" t="str">
        <f>COMPOSICIÓN!D648</f>
        <v>OTR-024</v>
      </c>
      <c r="E648" s="212" t="str">
        <f>COMPOSICIÓN!E648</f>
        <v>Cinta de Papel 36 mm x 40m</v>
      </c>
      <c r="F648" s="212" t="str">
        <f>COMPOSICIÓN!F648</f>
        <v>u</v>
      </c>
      <c r="G648" s="213">
        <f>COMPOSICIÓN!G648</f>
        <v>0.05</v>
      </c>
      <c r="H648" s="214">
        <f>COMPOSICIÓN!H648</f>
        <v>0.1</v>
      </c>
      <c r="I648" s="215">
        <f>COMPOSICIÓN!I648</f>
        <v>3293.01</v>
      </c>
      <c r="J648" s="212" t="str">
        <f>IFERROR(VLOOKUP(A648,PARTIDAS!$A$2:$C$269,3,FALSE()),"")</f>
        <v>PINTURA</v>
      </c>
      <c r="K648" s="212" t="str">
        <f>IFERROR(INDEX(PPTO_GENERADOR!$B$4:$B$220,MATCH(A648,PPTO_GENERADOR!$Q$4:$Q$220,0)),"")</f>
        <v/>
      </c>
      <c r="L648" s="216">
        <f>IF(PLAN_ETAPA!$C$4="(TODOS)",SUMIFS(PPTO_GENERADOR!$E$4:$E$220,PPTO_GENERADOR!$Q$4:$Q$220,A648),SUMIFS(PPTO_GENERADOR!$E$4:$E$220,PPTO_GENERADOR!$Q$4:$Q$220,A648,PPTO_GENERADOR!$B$4:$B$220,PLAN_ETAPA!$C$4))</f>
        <v>0</v>
      </c>
      <c r="M648" s="216">
        <f>IFERROR(VLOOKUP(A648,PARTIDAS!$A$2:$F$269,6,FALSE()),1)</f>
        <v>20</v>
      </c>
      <c r="N648" s="216">
        <f>IFERROR(VLOOKUP(A648,PARTIDAS!$A$2:$I$269,9,FALSE()),1)</f>
        <v>1</v>
      </c>
      <c r="O648" s="217">
        <f t="shared" si="20"/>
        <v>0</v>
      </c>
      <c r="P648" s="216">
        <f>IF(O648=0,0,IF(B648="MAT",G648*(1+H648)*L648*PLAN_ETAPA!$C$5,IF(B648="MO",IF(M648=0,0,G648*L648*PLAN_ETAPA!$C$5*N648/M648),IF(B648="EQ",IF(M648=0,0,G648*L648*PLAN_ETAPA!$C$5/M648),0))))</f>
        <v>0</v>
      </c>
      <c r="Q648" s="218">
        <f t="shared" si="21"/>
        <v>0</v>
      </c>
    </row>
    <row r="649" spans="1:17" x14ac:dyDescent="0.35">
      <c r="A649" s="212" t="str">
        <f>COMPOSICIÓN!A649</f>
        <v>PIN-073</v>
      </c>
      <c r="B649" s="212" t="str">
        <f>COMPOSICIÓN!B649</f>
        <v>MAT</v>
      </c>
      <c r="C649" s="212" t="str">
        <f>COMPOSICIÓN!C649</f>
        <v>OTR</v>
      </c>
      <c r="D649" s="212" t="str">
        <f>COMPOSICIÓN!D649</f>
        <v>OTR-025</v>
      </c>
      <c r="E649" s="212" t="str">
        <f>COMPOSICIÓN!E649</f>
        <v>Trapo</v>
      </c>
      <c r="F649" s="212" t="str">
        <f>COMPOSICIÓN!F649</f>
        <v>u</v>
      </c>
      <c r="G649" s="213">
        <f>COMPOSICIÓN!G649</f>
        <v>0.03</v>
      </c>
      <c r="H649" s="214">
        <f>COMPOSICIÓN!H649</f>
        <v>0.05</v>
      </c>
      <c r="I649" s="215">
        <f>COMPOSICIÓN!I649</f>
        <v>735.06</v>
      </c>
      <c r="J649" s="212" t="str">
        <f>IFERROR(VLOOKUP(A649,PARTIDAS!$A$2:$C$269,3,FALSE()),"")</f>
        <v>PINTURA</v>
      </c>
      <c r="K649" s="212" t="str">
        <f>IFERROR(INDEX(PPTO_GENERADOR!$B$4:$B$220,MATCH(A649,PPTO_GENERADOR!$Q$4:$Q$220,0)),"")</f>
        <v/>
      </c>
      <c r="L649" s="216">
        <f>IF(PLAN_ETAPA!$C$4="(TODOS)",SUMIFS(PPTO_GENERADOR!$E$4:$E$220,PPTO_GENERADOR!$Q$4:$Q$220,A649),SUMIFS(PPTO_GENERADOR!$E$4:$E$220,PPTO_GENERADOR!$Q$4:$Q$220,A649,PPTO_GENERADOR!$B$4:$B$220,PLAN_ETAPA!$C$4))</f>
        <v>0</v>
      </c>
      <c r="M649" s="216">
        <f>IFERROR(VLOOKUP(A649,PARTIDAS!$A$2:$F$269,6,FALSE()),1)</f>
        <v>20</v>
      </c>
      <c r="N649" s="216">
        <f>IFERROR(VLOOKUP(A649,PARTIDAS!$A$2:$I$269,9,FALSE()),1)</f>
        <v>1</v>
      </c>
      <c r="O649" s="217">
        <f t="shared" si="20"/>
        <v>0</v>
      </c>
      <c r="P649" s="216">
        <f>IF(O649=0,0,IF(B649="MAT",G649*(1+H649)*L649*PLAN_ETAPA!$C$5,IF(B649="MO",IF(M649=0,0,G649*L649*PLAN_ETAPA!$C$5*N649/M649),IF(B649="EQ",IF(M649=0,0,G649*L649*PLAN_ETAPA!$C$5/M649),0))))</f>
        <v>0</v>
      </c>
      <c r="Q649" s="218">
        <f t="shared" si="21"/>
        <v>0</v>
      </c>
    </row>
    <row r="650" spans="1:17" x14ac:dyDescent="0.35">
      <c r="A650" s="212" t="str">
        <f>COMPOSICIÓN!A650</f>
        <v>PIN-073</v>
      </c>
      <c r="B650" s="212" t="str">
        <f>COMPOSICIÓN!B650</f>
        <v>MAT</v>
      </c>
      <c r="C650" s="212" t="str">
        <f>COMPOSICIÓN!C650</f>
        <v>OTR</v>
      </c>
      <c r="D650" s="212" t="str">
        <f>COMPOSICIÓN!D650</f>
        <v>OTR-026</v>
      </c>
      <c r="E650" s="212" t="str">
        <f>COMPOSICIÓN!E650</f>
        <v>Rodillo de lana pelo corto antigota N°22 - El Galgo</v>
      </c>
      <c r="F650" s="212" t="str">
        <f>COMPOSICIÓN!F650</f>
        <v>u</v>
      </c>
      <c r="G650" s="213">
        <f>COMPOSICIÓN!G650</f>
        <v>5.0000000000000001E-3</v>
      </c>
      <c r="H650" s="214">
        <f>COMPOSICIÓN!H650</f>
        <v>0.05</v>
      </c>
      <c r="I650" s="215">
        <f>COMPOSICIÓN!I650</f>
        <v>6678.36</v>
      </c>
      <c r="J650" s="212" t="str">
        <f>IFERROR(VLOOKUP(A650,PARTIDAS!$A$2:$C$269,3,FALSE()),"")</f>
        <v>PINTURA</v>
      </c>
      <c r="K650" s="212" t="str">
        <f>IFERROR(INDEX(PPTO_GENERADOR!$B$4:$B$220,MATCH(A650,PPTO_GENERADOR!$Q$4:$Q$220,0)),"")</f>
        <v/>
      </c>
      <c r="L650" s="216">
        <f>IF(PLAN_ETAPA!$C$4="(TODOS)",SUMIFS(PPTO_GENERADOR!$E$4:$E$220,PPTO_GENERADOR!$Q$4:$Q$220,A650),SUMIFS(PPTO_GENERADOR!$E$4:$E$220,PPTO_GENERADOR!$Q$4:$Q$220,A650,PPTO_GENERADOR!$B$4:$B$220,PLAN_ETAPA!$C$4))</f>
        <v>0</v>
      </c>
      <c r="M650" s="216">
        <f>IFERROR(VLOOKUP(A650,PARTIDAS!$A$2:$F$269,6,FALSE()),1)</f>
        <v>20</v>
      </c>
      <c r="N650" s="216">
        <f>IFERROR(VLOOKUP(A650,PARTIDAS!$A$2:$I$269,9,FALSE()),1)</f>
        <v>1</v>
      </c>
      <c r="O650" s="217">
        <f t="shared" si="20"/>
        <v>0</v>
      </c>
      <c r="P650" s="216">
        <f>IF(O650=0,0,IF(B650="MAT",G650*(1+H650)*L650*PLAN_ETAPA!$C$5,IF(B650="MO",IF(M650=0,0,G650*L650*PLAN_ETAPA!$C$5*N650/M650),IF(B650="EQ",IF(M650=0,0,G650*L650*PLAN_ETAPA!$C$5/M650),0))))</f>
        <v>0</v>
      </c>
      <c r="Q650" s="218">
        <f t="shared" si="21"/>
        <v>0</v>
      </c>
    </row>
    <row r="651" spans="1:17" x14ac:dyDescent="0.35">
      <c r="A651" s="212" t="str">
        <f>COMPOSICIÓN!A651</f>
        <v>PIN-073</v>
      </c>
      <c r="B651" s="212" t="str">
        <f>COMPOSICIÓN!B651</f>
        <v>MAT</v>
      </c>
      <c r="C651" s="212" t="str">
        <f>COMPOSICIÓN!C651</f>
        <v>OTR</v>
      </c>
      <c r="D651" s="212" t="str">
        <f>COMPOSICIÓN!D651</f>
        <v>OTR-028</v>
      </c>
      <c r="E651" s="212" t="str">
        <f>COMPOSICIÓN!E651</f>
        <v>Pincel N° 20 - El Galgo</v>
      </c>
      <c r="F651" s="212" t="str">
        <f>COMPOSICIÓN!F651</f>
        <v>u</v>
      </c>
      <c r="G651" s="213">
        <f>COMPOSICIÓN!G651</f>
        <v>5.0000000000000001E-3</v>
      </c>
      <c r="H651" s="214">
        <f>COMPOSICIÓN!H651</f>
        <v>0.05</v>
      </c>
      <c r="I651" s="215">
        <f>COMPOSICIÓN!I651</f>
        <v>5282.24</v>
      </c>
      <c r="J651" s="212" t="str">
        <f>IFERROR(VLOOKUP(A651,PARTIDAS!$A$2:$C$269,3,FALSE()),"")</f>
        <v>PINTURA</v>
      </c>
      <c r="K651" s="212" t="str">
        <f>IFERROR(INDEX(PPTO_GENERADOR!$B$4:$B$220,MATCH(A651,PPTO_GENERADOR!$Q$4:$Q$220,0)),"")</f>
        <v/>
      </c>
      <c r="L651" s="216">
        <f>IF(PLAN_ETAPA!$C$4="(TODOS)",SUMIFS(PPTO_GENERADOR!$E$4:$E$220,PPTO_GENERADOR!$Q$4:$Q$220,A651),SUMIFS(PPTO_GENERADOR!$E$4:$E$220,PPTO_GENERADOR!$Q$4:$Q$220,A651,PPTO_GENERADOR!$B$4:$B$220,PLAN_ETAPA!$C$4))</f>
        <v>0</v>
      </c>
      <c r="M651" s="216">
        <f>IFERROR(VLOOKUP(A651,PARTIDAS!$A$2:$F$269,6,FALSE()),1)</f>
        <v>20</v>
      </c>
      <c r="N651" s="216">
        <f>IFERROR(VLOOKUP(A651,PARTIDAS!$A$2:$I$269,9,FALSE()),1)</f>
        <v>1</v>
      </c>
      <c r="O651" s="217">
        <f t="shared" si="20"/>
        <v>0</v>
      </c>
      <c r="P651" s="216">
        <f>IF(O651=0,0,IF(B651="MAT",G651*(1+H651)*L651*PLAN_ETAPA!$C$5,IF(B651="MO",IF(M651=0,0,G651*L651*PLAN_ETAPA!$C$5*N651/M651),IF(B651="EQ",IF(M651=0,0,G651*L651*PLAN_ETAPA!$C$5/M651),0))))</f>
        <v>0</v>
      </c>
      <c r="Q651" s="218">
        <f t="shared" si="21"/>
        <v>0</v>
      </c>
    </row>
    <row r="652" spans="1:17" x14ac:dyDescent="0.35">
      <c r="A652" s="212" t="str">
        <f>COMPOSICIÓN!A652</f>
        <v>PIN-073</v>
      </c>
      <c r="B652" s="212" t="str">
        <f>COMPOSICIÓN!B652</f>
        <v>MAT</v>
      </c>
      <c r="C652" s="212" t="str">
        <f>COMPOSICIÓN!C652</f>
        <v>OTR</v>
      </c>
      <c r="D652" s="212" t="str">
        <f>COMPOSICIÓN!D652</f>
        <v>OTR-029</v>
      </c>
      <c r="E652" s="212" t="str">
        <f>COMPOSICIÓN!E652</f>
        <v>Rollo de cartón corrugado 0,90 x 25 mts</v>
      </c>
      <c r="F652" s="212" t="str">
        <f>COMPOSICIÓN!F652</f>
        <v>u</v>
      </c>
      <c r="G652" s="213">
        <f>COMPOSICIÓN!G652</f>
        <v>0.01</v>
      </c>
      <c r="H652" s="214">
        <f>COMPOSICIÓN!H652</f>
        <v>0.05</v>
      </c>
      <c r="I652" s="215">
        <f>COMPOSICIÓN!I652</f>
        <v>7427.6</v>
      </c>
      <c r="J652" s="212" t="str">
        <f>IFERROR(VLOOKUP(A652,PARTIDAS!$A$2:$C$269,3,FALSE()),"")</f>
        <v>PINTURA</v>
      </c>
      <c r="K652" s="212" t="str">
        <f>IFERROR(INDEX(PPTO_GENERADOR!$B$4:$B$220,MATCH(A652,PPTO_GENERADOR!$Q$4:$Q$220,0)),"")</f>
        <v/>
      </c>
      <c r="L652" s="216">
        <f>IF(PLAN_ETAPA!$C$4="(TODOS)",SUMIFS(PPTO_GENERADOR!$E$4:$E$220,PPTO_GENERADOR!$Q$4:$Q$220,A652),SUMIFS(PPTO_GENERADOR!$E$4:$E$220,PPTO_GENERADOR!$Q$4:$Q$220,A652,PPTO_GENERADOR!$B$4:$B$220,PLAN_ETAPA!$C$4))</f>
        <v>0</v>
      </c>
      <c r="M652" s="216">
        <f>IFERROR(VLOOKUP(A652,PARTIDAS!$A$2:$F$269,6,FALSE()),1)</f>
        <v>20</v>
      </c>
      <c r="N652" s="216">
        <f>IFERROR(VLOOKUP(A652,PARTIDAS!$A$2:$I$269,9,FALSE()),1)</f>
        <v>1</v>
      </c>
      <c r="O652" s="217">
        <f t="shared" si="20"/>
        <v>0</v>
      </c>
      <c r="P652" s="216">
        <f>IF(O652=0,0,IF(B652="MAT",G652*(1+H652)*L652*PLAN_ETAPA!$C$5,IF(B652="MO",IF(M652=0,0,G652*L652*PLAN_ETAPA!$C$5*N652/M652),IF(B652="EQ",IF(M652=0,0,G652*L652*PLAN_ETAPA!$C$5/M652),0))))</f>
        <v>0</v>
      </c>
      <c r="Q652" s="218">
        <f t="shared" si="21"/>
        <v>0</v>
      </c>
    </row>
    <row r="653" spans="1:17" x14ac:dyDescent="0.35">
      <c r="A653" s="212" t="str">
        <f>COMPOSICIÓN!A653</f>
        <v>PIN-073</v>
      </c>
      <c r="B653" s="212" t="str">
        <f>COMPOSICIÓN!B653</f>
        <v>MAT</v>
      </c>
      <c r="C653" s="212" t="str">
        <f>COMPOSICIÓN!C653</f>
        <v>OTR</v>
      </c>
      <c r="D653" s="212" t="str">
        <f>COMPOSICIÓN!D653</f>
        <v>PIN-001</v>
      </c>
      <c r="E653" s="212" t="str">
        <f>COMPOSICIÓN!E653</f>
        <v>Latex Loxon Interior Sherwin Williams Mate Bco x 20lts</v>
      </c>
      <c r="F653" s="212" t="str">
        <f>COMPOSICIÓN!F653</f>
        <v>B</v>
      </c>
      <c r="G653" s="213">
        <f>COMPOSICIÓN!G653</f>
        <v>1.2500000000000001E-2</v>
      </c>
      <c r="H653" s="214">
        <f>COMPOSICIÓN!H653</f>
        <v>0.1</v>
      </c>
      <c r="I653" s="215">
        <f>COMPOSICIÓN!I653</f>
        <v>120622.23</v>
      </c>
      <c r="J653" s="212" t="str">
        <f>IFERROR(VLOOKUP(A653,PARTIDAS!$A$2:$C$269,3,FALSE()),"")</f>
        <v>PINTURA</v>
      </c>
      <c r="K653" s="212" t="str">
        <f>IFERROR(INDEX(PPTO_GENERADOR!$B$4:$B$220,MATCH(A653,PPTO_GENERADOR!$Q$4:$Q$220,0)),"")</f>
        <v/>
      </c>
      <c r="L653" s="216">
        <f>IF(PLAN_ETAPA!$C$4="(TODOS)",SUMIFS(PPTO_GENERADOR!$E$4:$E$220,PPTO_GENERADOR!$Q$4:$Q$220,A653),SUMIFS(PPTO_GENERADOR!$E$4:$E$220,PPTO_GENERADOR!$Q$4:$Q$220,A653,PPTO_GENERADOR!$B$4:$B$220,PLAN_ETAPA!$C$4))</f>
        <v>0</v>
      </c>
      <c r="M653" s="216">
        <f>IFERROR(VLOOKUP(A653,PARTIDAS!$A$2:$F$269,6,FALSE()),1)</f>
        <v>20</v>
      </c>
      <c r="N653" s="216">
        <f>IFERROR(VLOOKUP(A653,PARTIDAS!$A$2:$I$269,9,FALSE()),1)</f>
        <v>1</v>
      </c>
      <c r="O653" s="217">
        <f t="shared" si="20"/>
        <v>0</v>
      </c>
      <c r="P653" s="216">
        <f>IF(O653=0,0,IF(B653="MAT",G653*(1+H653)*L653*PLAN_ETAPA!$C$5,IF(B653="MO",IF(M653=0,0,G653*L653*PLAN_ETAPA!$C$5*N653/M653),IF(B653="EQ",IF(M653=0,0,G653*L653*PLAN_ETAPA!$C$5/M653),0))))</f>
        <v>0</v>
      </c>
      <c r="Q653" s="218">
        <f t="shared" si="21"/>
        <v>0</v>
      </c>
    </row>
    <row r="654" spans="1:17" x14ac:dyDescent="0.35">
      <c r="A654" s="212" t="str">
        <f>COMPOSICIÓN!A654</f>
        <v>PIN-073</v>
      </c>
      <c r="B654" s="212" t="str">
        <f>COMPOSICIÓN!B654</f>
        <v>MO</v>
      </c>
      <c r="C654" s="212" t="str">
        <f>COMPOSICIÓN!C654</f>
        <v>ALB</v>
      </c>
      <c r="D654" s="212" t="str">
        <f>COMPOSICIÓN!D654</f>
        <v>MO-EESPE</v>
      </c>
      <c r="E654" s="212" t="str">
        <f>COMPOSICIÓN!E654</f>
        <v>ESPECIALIZADO</v>
      </c>
      <c r="F654" s="212" t="str">
        <f>COMPOSICIÓN!F654</f>
        <v>j</v>
      </c>
      <c r="G654" s="213">
        <f>COMPOSICIÓN!G654</f>
        <v>1</v>
      </c>
      <c r="H654" s="214">
        <f>COMPOSICIÓN!H654</f>
        <v>0</v>
      </c>
      <c r="I654" s="215">
        <f>COMPOSICIÓN!I654</f>
        <v>85927.097156571996</v>
      </c>
      <c r="J654" s="212" t="str">
        <f>IFERROR(VLOOKUP(A654,PARTIDAS!$A$2:$C$269,3,FALSE()),"")</f>
        <v>PINTURA</v>
      </c>
      <c r="K654" s="212" t="str">
        <f>IFERROR(INDEX(PPTO_GENERADOR!$B$4:$B$220,MATCH(A654,PPTO_GENERADOR!$Q$4:$Q$220,0)),"")</f>
        <v/>
      </c>
      <c r="L654" s="216">
        <f>IF(PLAN_ETAPA!$C$4="(TODOS)",SUMIFS(PPTO_GENERADOR!$E$4:$E$220,PPTO_GENERADOR!$Q$4:$Q$220,A654),SUMIFS(PPTO_GENERADOR!$E$4:$E$220,PPTO_GENERADOR!$Q$4:$Q$220,A654,PPTO_GENERADOR!$B$4:$B$220,PLAN_ETAPA!$C$4))</f>
        <v>0</v>
      </c>
      <c r="M654" s="216">
        <f>IFERROR(VLOOKUP(A654,PARTIDAS!$A$2:$F$269,6,FALSE()),1)</f>
        <v>20</v>
      </c>
      <c r="N654" s="216">
        <f>IFERROR(VLOOKUP(A654,PARTIDAS!$A$2:$I$269,9,FALSE()),1)</f>
        <v>1</v>
      </c>
      <c r="O654" s="217">
        <f t="shared" si="20"/>
        <v>0</v>
      </c>
      <c r="P654" s="216">
        <f>IF(O654=0,0,IF(B654="MAT",G654*(1+H654)*L654*PLAN_ETAPA!$C$5,IF(B654="MO",IF(M654=0,0,G654*L654*PLAN_ETAPA!$C$5*N654/M654),IF(B654="EQ",IF(M654=0,0,G654*L654*PLAN_ETAPA!$C$5/M654),0))))</f>
        <v>0</v>
      </c>
      <c r="Q654" s="218">
        <f t="shared" si="21"/>
        <v>0</v>
      </c>
    </row>
    <row r="655" spans="1:17" x14ac:dyDescent="0.35">
      <c r="A655" s="212" t="str">
        <f>COMPOSICIÓN!A655</f>
        <v>PIN-113</v>
      </c>
      <c r="B655" s="212" t="str">
        <f>COMPOSICIÓN!B655</f>
        <v>EQ</v>
      </c>
      <c r="C655" s="212">
        <f>COMPOSICIÓN!C655</f>
        <v>0</v>
      </c>
      <c r="D655" s="212" t="str">
        <f>COMPOSICIÓN!D655</f>
        <v>EQ-SOLD00</v>
      </c>
      <c r="E655" s="212" t="str">
        <f>COMPOSICIÓN!E655</f>
        <v>Soldador Soplete A Gas Techista Membrana 10 Kg Boca 50mm</v>
      </c>
      <c r="F655" s="212">
        <f>COMPOSICIÓN!F655</f>
        <v>0</v>
      </c>
      <c r="G655" s="213">
        <f>COMPOSICIÓN!G655</f>
        <v>1</v>
      </c>
      <c r="H655" s="214">
        <f>COMPOSICIÓN!H655</f>
        <v>0</v>
      </c>
      <c r="I655" s="215">
        <f>COMPOSICIÓN!I655</f>
        <v>804.50568716120006</v>
      </c>
      <c r="J655" s="212" t="str">
        <f>IFERROR(VLOOKUP(A655,PARTIDAS!$A$2:$C$269,3,FALSE()),"")</f>
        <v>PINTURA</v>
      </c>
      <c r="K655" s="212" t="str">
        <f>IFERROR(INDEX(PPTO_GENERADOR!$B$4:$B$220,MATCH(A655,PPTO_GENERADOR!$Q$4:$Q$220,0)),"")</f>
        <v>IMPERMEABILIZACIONES Y AISLACIONES</v>
      </c>
      <c r="L655" s="216">
        <f>IF(PLAN_ETAPA!$C$4="(TODOS)",SUMIFS(PPTO_GENERADOR!$E$4:$E$220,PPTO_GENERADOR!$Q$4:$Q$220,A655),SUMIFS(PPTO_GENERADOR!$E$4:$E$220,PPTO_GENERADOR!$Q$4:$Q$220,A655,PPTO_GENERADOR!$B$4:$B$220,PLAN_ETAPA!$C$4))</f>
        <v>0</v>
      </c>
      <c r="M655" s="216">
        <f>IFERROR(VLOOKUP(A655,PARTIDAS!$A$2:$F$269,6,FALSE()),1)</f>
        <v>80</v>
      </c>
      <c r="N655" s="216">
        <f>IFERROR(VLOOKUP(A655,PARTIDAS!$A$2:$I$269,9,FALSE()),1)</f>
        <v>1</v>
      </c>
      <c r="O655" s="217">
        <f t="shared" si="20"/>
        <v>0</v>
      </c>
      <c r="P655" s="216">
        <f>IF(O655=0,0,IF(B655="MAT",G655*(1+H655)*L655*PLAN_ETAPA!$C$5,IF(B655="MO",IF(M655=0,0,G655*L655*PLAN_ETAPA!$C$5*N655/M655),IF(B655="EQ",IF(M655=0,0,G655*L655*PLAN_ETAPA!$C$5/M655),0))))</f>
        <v>0</v>
      </c>
      <c r="Q655" s="218">
        <f t="shared" si="21"/>
        <v>0</v>
      </c>
    </row>
    <row r="656" spans="1:17" x14ac:dyDescent="0.35">
      <c r="A656" s="212" t="str">
        <f>COMPOSICIÓN!A656</f>
        <v>PIN-113</v>
      </c>
      <c r="B656" s="212" t="str">
        <f>COMPOSICIÓN!B656</f>
        <v>MAT</v>
      </c>
      <c r="C656" s="212" t="str">
        <f>COMPOSICIÓN!C656</f>
        <v>OTR</v>
      </c>
      <c r="D656" s="212" t="str">
        <f>COMPOSICIÓN!D656</f>
        <v>OTR-022</v>
      </c>
      <c r="E656" s="212" t="str">
        <f>COMPOSICIÓN!E656</f>
        <v>Aguarras Hydrarras Hydra x 18lts</v>
      </c>
      <c r="F656" s="212" t="str">
        <f>COMPOSICIÓN!F656</f>
        <v>b</v>
      </c>
      <c r="G656" s="213">
        <f>COMPOSICIÓN!G656</f>
        <v>2E-3</v>
      </c>
      <c r="H656" s="214">
        <f>COMPOSICIÓN!H656</f>
        <v>0.05</v>
      </c>
      <c r="I656" s="215">
        <f>COMPOSICIÓN!I656</f>
        <v>26907.33</v>
      </c>
      <c r="J656" s="212" t="str">
        <f>IFERROR(VLOOKUP(A656,PARTIDAS!$A$2:$C$269,3,FALSE()),"")</f>
        <v>PINTURA</v>
      </c>
      <c r="K656" s="212" t="str">
        <f>IFERROR(INDEX(PPTO_GENERADOR!$B$4:$B$220,MATCH(A656,PPTO_GENERADOR!$Q$4:$Q$220,0)),"")</f>
        <v>IMPERMEABILIZACIONES Y AISLACIONES</v>
      </c>
      <c r="L656" s="216">
        <f>IF(PLAN_ETAPA!$C$4="(TODOS)",SUMIFS(PPTO_GENERADOR!$E$4:$E$220,PPTO_GENERADOR!$Q$4:$Q$220,A656),SUMIFS(PPTO_GENERADOR!$E$4:$E$220,PPTO_GENERADOR!$Q$4:$Q$220,A656,PPTO_GENERADOR!$B$4:$B$220,PLAN_ETAPA!$C$4))</f>
        <v>0</v>
      </c>
      <c r="M656" s="216">
        <f>IFERROR(VLOOKUP(A656,PARTIDAS!$A$2:$F$269,6,FALSE()),1)</f>
        <v>80</v>
      </c>
      <c r="N656" s="216">
        <f>IFERROR(VLOOKUP(A656,PARTIDAS!$A$2:$I$269,9,FALSE()),1)</f>
        <v>1</v>
      </c>
      <c r="O656" s="217">
        <f t="shared" si="20"/>
        <v>0</v>
      </c>
      <c r="P656" s="216">
        <f>IF(O656=0,0,IF(B656="MAT",G656*(1+H656)*L656*PLAN_ETAPA!$C$5,IF(B656="MO",IF(M656=0,0,G656*L656*PLAN_ETAPA!$C$5*N656/M656),IF(B656="EQ",IF(M656=0,0,G656*L656*PLAN_ETAPA!$C$5/M656),0))))</f>
        <v>0</v>
      </c>
      <c r="Q656" s="218">
        <f t="shared" si="21"/>
        <v>0</v>
      </c>
    </row>
    <row r="657" spans="1:17" x14ac:dyDescent="0.35">
      <c r="A657" s="212" t="str">
        <f>COMPOSICIÓN!A657</f>
        <v>PIN-113</v>
      </c>
      <c r="B657" s="212" t="str">
        <f>COMPOSICIÓN!B657</f>
        <v>MAT</v>
      </c>
      <c r="C657" s="212" t="str">
        <f>COMPOSICIÓN!C657</f>
        <v>OTR</v>
      </c>
      <c r="D657" s="212" t="str">
        <f>COMPOSICIÓN!D657</f>
        <v>OTR-025</v>
      </c>
      <c r="E657" s="212" t="str">
        <f>COMPOSICIÓN!E657</f>
        <v>Trapo</v>
      </c>
      <c r="F657" s="212" t="str">
        <f>COMPOSICIÓN!F657</f>
        <v>u</v>
      </c>
      <c r="G657" s="213">
        <f>COMPOSICIÓN!G657</f>
        <v>0.02</v>
      </c>
      <c r="H657" s="214">
        <f>COMPOSICIÓN!H657</f>
        <v>0.05</v>
      </c>
      <c r="I657" s="215">
        <f>COMPOSICIÓN!I657</f>
        <v>735.06</v>
      </c>
      <c r="J657" s="212" t="str">
        <f>IFERROR(VLOOKUP(A657,PARTIDAS!$A$2:$C$269,3,FALSE()),"")</f>
        <v>PINTURA</v>
      </c>
      <c r="K657" s="212" t="str">
        <f>IFERROR(INDEX(PPTO_GENERADOR!$B$4:$B$220,MATCH(A657,PPTO_GENERADOR!$Q$4:$Q$220,0)),"")</f>
        <v>IMPERMEABILIZACIONES Y AISLACIONES</v>
      </c>
      <c r="L657" s="216">
        <f>IF(PLAN_ETAPA!$C$4="(TODOS)",SUMIFS(PPTO_GENERADOR!$E$4:$E$220,PPTO_GENERADOR!$Q$4:$Q$220,A657),SUMIFS(PPTO_GENERADOR!$E$4:$E$220,PPTO_GENERADOR!$Q$4:$Q$220,A657,PPTO_GENERADOR!$B$4:$B$220,PLAN_ETAPA!$C$4))</f>
        <v>0</v>
      </c>
      <c r="M657" s="216">
        <f>IFERROR(VLOOKUP(A657,PARTIDAS!$A$2:$F$269,6,FALSE()),1)</f>
        <v>80</v>
      </c>
      <c r="N657" s="216">
        <f>IFERROR(VLOOKUP(A657,PARTIDAS!$A$2:$I$269,9,FALSE()),1)</f>
        <v>1</v>
      </c>
      <c r="O657" s="217">
        <f t="shared" si="20"/>
        <v>0</v>
      </c>
      <c r="P657" s="216">
        <f>IF(O657=0,0,IF(B657="MAT",G657*(1+H657)*L657*PLAN_ETAPA!$C$5,IF(B657="MO",IF(M657=0,0,G657*L657*PLAN_ETAPA!$C$5*N657/M657),IF(B657="EQ",IF(M657=0,0,G657*L657*PLAN_ETAPA!$C$5/M657),0))))</f>
        <v>0</v>
      </c>
      <c r="Q657" s="218">
        <f t="shared" si="21"/>
        <v>0</v>
      </c>
    </row>
    <row r="658" spans="1:17" x14ac:dyDescent="0.35">
      <c r="A658" s="212" t="str">
        <f>COMPOSICIÓN!A658</f>
        <v>PIN-113</v>
      </c>
      <c r="B658" s="212" t="str">
        <f>COMPOSICIÓN!B658</f>
        <v>MAT</v>
      </c>
      <c r="C658" s="212" t="str">
        <f>COMPOSICIÓN!C658</f>
        <v>OTR</v>
      </c>
      <c r="D658" s="212" t="str">
        <f>COMPOSICIÓN!D658</f>
        <v>OTR-027</v>
      </c>
      <c r="E658" s="212" t="str">
        <f>COMPOSICIÓN!E658</f>
        <v>Rodillo de lana pelo largo N°22 - El Galgo</v>
      </c>
      <c r="F658" s="212" t="str">
        <f>COMPOSICIÓN!F658</f>
        <v>u</v>
      </c>
      <c r="G658" s="213">
        <f>COMPOSICIÓN!G658</f>
        <v>0.01</v>
      </c>
      <c r="H658" s="214">
        <f>COMPOSICIÓN!H658</f>
        <v>0.05</v>
      </c>
      <c r="I658" s="215">
        <f>COMPOSICIÓN!I658</f>
        <v>6678.36</v>
      </c>
      <c r="J658" s="212" t="str">
        <f>IFERROR(VLOOKUP(A658,PARTIDAS!$A$2:$C$269,3,FALSE()),"")</f>
        <v>PINTURA</v>
      </c>
      <c r="K658" s="212" t="str">
        <f>IFERROR(INDEX(PPTO_GENERADOR!$B$4:$B$220,MATCH(A658,PPTO_GENERADOR!$Q$4:$Q$220,0)),"")</f>
        <v>IMPERMEABILIZACIONES Y AISLACIONES</v>
      </c>
      <c r="L658" s="216">
        <f>IF(PLAN_ETAPA!$C$4="(TODOS)",SUMIFS(PPTO_GENERADOR!$E$4:$E$220,PPTO_GENERADOR!$Q$4:$Q$220,A658),SUMIFS(PPTO_GENERADOR!$E$4:$E$220,PPTO_GENERADOR!$Q$4:$Q$220,A658,PPTO_GENERADOR!$B$4:$B$220,PLAN_ETAPA!$C$4))</f>
        <v>0</v>
      </c>
      <c r="M658" s="216">
        <f>IFERROR(VLOOKUP(A658,PARTIDAS!$A$2:$F$269,6,FALSE()),1)</f>
        <v>80</v>
      </c>
      <c r="N658" s="216">
        <f>IFERROR(VLOOKUP(A658,PARTIDAS!$A$2:$I$269,9,FALSE()),1)</f>
        <v>1</v>
      </c>
      <c r="O658" s="217">
        <f t="shared" si="20"/>
        <v>0</v>
      </c>
      <c r="P658" s="216">
        <f>IF(O658=0,0,IF(B658="MAT",G658*(1+H658)*L658*PLAN_ETAPA!$C$5,IF(B658="MO",IF(M658=0,0,G658*L658*PLAN_ETAPA!$C$5*N658/M658),IF(B658="EQ",IF(M658=0,0,G658*L658*PLAN_ETAPA!$C$5/M658),0))))</f>
        <v>0</v>
      </c>
      <c r="Q658" s="218">
        <f t="shared" si="21"/>
        <v>0</v>
      </c>
    </row>
    <row r="659" spans="1:17" x14ac:dyDescent="0.35">
      <c r="A659" s="212" t="str">
        <f>COMPOSICIÓN!A659</f>
        <v>PIN-113</v>
      </c>
      <c r="B659" s="212" t="str">
        <f>COMPOSICIÓN!B659</f>
        <v>MAT</v>
      </c>
      <c r="C659" s="212" t="str">
        <f>COMPOSICIÓN!C659</f>
        <v>OTR</v>
      </c>
      <c r="D659" s="212" t="str">
        <f>COMPOSICIÓN!D659</f>
        <v>OTR-028</v>
      </c>
      <c r="E659" s="212" t="str">
        <f>COMPOSICIÓN!E659</f>
        <v>Pincel N° 20 - El Galgo</v>
      </c>
      <c r="F659" s="212" t="str">
        <f>COMPOSICIÓN!F659</f>
        <v>u</v>
      </c>
      <c r="G659" s="213">
        <f>COMPOSICIÓN!G659</f>
        <v>0.02</v>
      </c>
      <c r="H659" s="214">
        <f>COMPOSICIÓN!H659</f>
        <v>0.05</v>
      </c>
      <c r="I659" s="215">
        <f>COMPOSICIÓN!I659</f>
        <v>5282.24</v>
      </c>
      <c r="J659" s="212" t="str">
        <f>IFERROR(VLOOKUP(A659,PARTIDAS!$A$2:$C$269,3,FALSE()),"")</f>
        <v>PINTURA</v>
      </c>
      <c r="K659" s="212" t="str">
        <f>IFERROR(INDEX(PPTO_GENERADOR!$B$4:$B$220,MATCH(A659,PPTO_GENERADOR!$Q$4:$Q$220,0)),"")</f>
        <v>IMPERMEABILIZACIONES Y AISLACIONES</v>
      </c>
      <c r="L659" s="216">
        <f>IF(PLAN_ETAPA!$C$4="(TODOS)",SUMIFS(PPTO_GENERADOR!$E$4:$E$220,PPTO_GENERADOR!$Q$4:$Q$220,A659),SUMIFS(PPTO_GENERADOR!$E$4:$E$220,PPTO_GENERADOR!$Q$4:$Q$220,A659,PPTO_GENERADOR!$B$4:$B$220,PLAN_ETAPA!$C$4))</f>
        <v>0</v>
      </c>
      <c r="M659" s="216">
        <f>IFERROR(VLOOKUP(A659,PARTIDAS!$A$2:$F$269,6,FALSE()),1)</f>
        <v>80</v>
      </c>
      <c r="N659" s="216">
        <f>IFERROR(VLOOKUP(A659,PARTIDAS!$A$2:$I$269,9,FALSE()),1)</f>
        <v>1</v>
      </c>
      <c r="O659" s="217">
        <f t="shared" si="20"/>
        <v>0</v>
      </c>
      <c r="P659" s="216">
        <f>IF(O659=0,0,IF(B659="MAT",G659*(1+H659)*L659*PLAN_ETAPA!$C$5,IF(B659="MO",IF(M659=0,0,G659*L659*PLAN_ETAPA!$C$5*N659/M659),IF(B659="EQ",IF(M659=0,0,G659*L659*PLAN_ETAPA!$C$5/M659),0))))</f>
        <v>0</v>
      </c>
      <c r="Q659" s="218">
        <f t="shared" si="21"/>
        <v>0</v>
      </c>
    </row>
    <row r="660" spans="1:17" x14ac:dyDescent="0.35">
      <c r="A660" s="212" t="str">
        <f>COMPOSICIÓN!A660</f>
        <v>PIN-113</v>
      </c>
      <c r="B660" s="212" t="str">
        <f>COMPOSICIÓN!B660</f>
        <v>MAT</v>
      </c>
      <c r="C660" s="212" t="str">
        <f>COMPOSICIÓN!C660</f>
        <v>OTR</v>
      </c>
      <c r="D660" s="212" t="str">
        <f>COMPOSICIÓN!D660</f>
        <v>PIN-008</v>
      </c>
      <c r="E660" s="212" t="str">
        <f>COMPOSICIÓN!E660</f>
        <v>Pintura Asfaltica Asfasol x18ts</v>
      </c>
      <c r="F660" s="212" t="str">
        <f>COMPOSICIÓN!F660</f>
        <v>b</v>
      </c>
      <c r="G660" s="213">
        <f>COMPOSICIÓN!G660</f>
        <v>2.7777777777777801E-2</v>
      </c>
      <c r="H660" s="214">
        <f>COMPOSICIÓN!H660</f>
        <v>0.1</v>
      </c>
      <c r="I660" s="215">
        <f>COMPOSICIÓN!I660</f>
        <v>32845.78</v>
      </c>
      <c r="J660" s="212" t="str">
        <f>IFERROR(VLOOKUP(A660,PARTIDAS!$A$2:$C$269,3,FALSE()),"")</f>
        <v>PINTURA</v>
      </c>
      <c r="K660" s="212" t="str">
        <f>IFERROR(INDEX(PPTO_GENERADOR!$B$4:$B$220,MATCH(A660,PPTO_GENERADOR!$Q$4:$Q$220,0)),"")</f>
        <v>IMPERMEABILIZACIONES Y AISLACIONES</v>
      </c>
      <c r="L660" s="216">
        <f>IF(PLAN_ETAPA!$C$4="(TODOS)",SUMIFS(PPTO_GENERADOR!$E$4:$E$220,PPTO_GENERADOR!$Q$4:$Q$220,A660),SUMIFS(PPTO_GENERADOR!$E$4:$E$220,PPTO_GENERADOR!$Q$4:$Q$220,A660,PPTO_GENERADOR!$B$4:$B$220,PLAN_ETAPA!$C$4))</f>
        <v>0</v>
      </c>
      <c r="M660" s="216">
        <f>IFERROR(VLOOKUP(A660,PARTIDAS!$A$2:$F$269,6,FALSE()),1)</f>
        <v>80</v>
      </c>
      <c r="N660" s="216">
        <f>IFERROR(VLOOKUP(A660,PARTIDAS!$A$2:$I$269,9,FALSE()),1)</f>
        <v>1</v>
      </c>
      <c r="O660" s="217">
        <f t="shared" si="20"/>
        <v>0</v>
      </c>
      <c r="P660" s="216">
        <f>IF(O660=0,0,IF(B660="MAT",G660*(1+H660)*L660*PLAN_ETAPA!$C$5,IF(B660="MO",IF(M660=0,0,G660*L660*PLAN_ETAPA!$C$5*N660/M660),IF(B660="EQ",IF(M660=0,0,G660*L660*PLAN_ETAPA!$C$5/M660),0))))</f>
        <v>0</v>
      </c>
      <c r="Q660" s="218">
        <f t="shared" si="21"/>
        <v>0</v>
      </c>
    </row>
    <row r="661" spans="1:17" x14ac:dyDescent="0.35">
      <c r="A661" s="212" t="str">
        <f>COMPOSICIÓN!A661</f>
        <v>PIN-113</v>
      </c>
      <c r="B661" s="212" t="str">
        <f>COMPOSICIÓN!B661</f>
        <v>MO</v>
      </c>
      <c r="C661" s="212" t="str">
        <f>COMPOSICIÓN!C661</f>
        <v>ALB</v>
      </c>
      <c r="D661" s="212" t="str">
        <f>COMPOSICIÓN!D661</f>
        <v>MO-EAYUD</v>
      </c>
      <c r="E661" s="212" t="str">
        <f>COMPOSICIÓN!E661</f>
        <v>AYUDANTE</v>
      </c>
      <c r="F661" s="212" t="str">
        <f>COMPOSICIÓN!F661</f>
        <v>j</v>
      </c>
      <c r="G661" s="213">
        <f>COMPOSICIÓN!G661</f>
        <v>1</v>
      </c>
      <c r="H661" s="214">
        <f>COMPOSICIÓN!H661</f>
        <v>0</v>
      </c>
      <c r="I661" s="215">
        <f>COMPOSICIÓN!I661</f>
        <v>60860.580776572002</v>
      </c>
      <c r="J661" s="212" t="str">
        <f>IFERROR(VLOOKUP(A661,PARTIDAS!$A$2:$C$269,3,FALSE()),"")</f>
        <v>PINTURA</v>
      </c>
      <c r="K661" s="212" t="str">
        <f>IFERROR(INDEX(PPTO_GENERADOR!$B$4:$B$220,MATCH(A661,PPTO_GENERADOR!$Q$4:$Q$220,0)),"")</f>
        <v>IMPERMEABILIZACIONES Y AISLACIONES</v>
      </c>
      <c r="L661" s="216">
        <f>IF(PLAN_ETAPA!$C$4="(TODOS)",SUMIFS(PPTO_GENERADOR!$E$4:$E$220,PPTO_GENERADOR!$Q$4:$Q$220,A661),SUMIFS(PPTO_GENERADOR!$E$4:$E$220,PPTO_GENERADOR!$Q$4:$Q$220,A661,PPTO_GENERADOR!$B$4:$B$220,PLAN_ETAPA!$C$4))</f>
        <v>0</v>
      </c>
      <c r="M661" s="216">
        <f>IFERROR(VLOOKUP(A661,PARTIDAS!$A$2:$F$269,6,FALSE()),1)</f>
        <v>80</v>
      </c>
      <c r="N661" s="216">
        <f>IFERROR(VLOOKUP(A661,PARTIDAS!$A$2:$I$269,9,FALSE()),1)</f>
        <v>1</v>
      </c>
      <c r="O661" s="217">
        <f t="shared" si="20"/>
        <v>0</v>
      </c>
      <c r="P661" s="216">
        <f>IF(O661=0,0,IF(B661="MAT",G661*(1+H661)*L661*PLAN_ETAPA!$C$5,IF(B661="MO",IF(M661=0,0,G661*L661*PLAN_ETAPA!$C$5*N661/M661),IF(B661="EQ",IF(M661=0,0,G661*L661*PLAN_ETAPA!$C$5/M661),0))))</f>
        <v>0</v>
      </c>
      <c r="Q661" s="218">
        <f t="shared" si="21"/>
        <v>0</v>
      </c>
    </row>
    <row r="662" spans="1:17" x14ac:dyDescent="0.35">
      <c r="A662" s="212" t="str">
        <f>COMPOSICIÓN!A662</f>
        <v>PIN-113</v>
      </c>
      <c r="B662" s="212" t="str">
        <f>COMPOSICIÓN!B662</f>
        <v>MO</v>
      </c>
      <c r="C662" s="212" t="str">
        <f>COMPOSICIÓN!C662</f>
        <v>ALB</v>
      </c>
      <c r="D662" s="212" t="str">
        <f>COMPOSICIÓN!D662</f>
        <v>MO-EOFIC</v>
      </c>
      <c r="E662" s="212" t="str">
        <f>COMPOSICIÓN!E662</f>
        <v>OFICIAL</v>
      </c>
      <c r="F662" s="212" t="str">
        <f>COMPOSICIÓN!F662</f>
        <v>j</v>
      </c>
      <c r="G662" s="213">
        <f>COMPOSICIÓN!G662</f>
        <v>1</v>
      </c>
      <c r="H662" s="214">
        <f>COMPOSICIÓN!H662</f>
        <v>0</v>
      </c>
      <c r="I662" s="215">
        <f>COMPOSICIÓN!I662</f>
        <v>76955.079706571996</v>
      </c>
      <c r="J662" s="212" t="str">
        <f>IFERROR(VLOOKUP(A662,PARTIDAS!$A$2:$C$269,3,FALSE()),"")</f>
        <v>PINTURA</v>
      </c>
      <c r="K662" s="212" t="str">
        <f>IFERROR(INDEX(PPTO_GENERADOR!$B$4:$B$220,MATCH(A662,PPTO_GENERADOR!$Q$4:$Q$220,0)),"")</f>
        <v>IMPERMEABILIZACIONES Y AISLACIONES</v>
      </c>
      <c r="L662" s="216">
        <f>IF(PLAN_ETAPA!$C$4="(TODOS)",SUMIFS(PPTO_GENERADOR!$E$4:$E$220,PPTO_GENERADOR!$Q$4:$Q$220,A662),SUMIFS(PPTO_GENERADOR!$E$4:$E$220,PPTO_GENERADOR!$Q$4:$Q$220,A662,PPTO_GENERADOR!$B$4:$B$220,PLAN_ETAPA!$C$4))</f>
        <v>0</v>
      </c>
      <c r="M662" s="216">
        <f>IFERROR(VLOOKUP(A662,PARTIDAS!$A$2:$F$269,6,FALSE()),1)</f>
        <v>80</v>
      </c>
      <c r="N662" s="216">
        <f>IFERROR(VLOOKUP(A662,PARTIDAS!$A$2:$I$269,9,FALSE()),1)</f>
        <v>1</v>
      </c>
      <c r="O662" s="217">
        <f t="shared" si="20"/>
        <v>0</v>
      </c>
      <c r="P662" s="216">
        <f>IF(O662=0,0,IF(B662="MAT",G662*(1+H662)*L662*PLAN_ETAPA!$C$5,IF(B662="MO",IF(M662=0,0,G662*L662*PLAN_ETAPA!$C$5*N662/M662),IF(B662="EQ",IF(M662=0,0,G662*L662*PLAN_ETAPA!$C$5/M662),0))))</f>
        <v>0</v>
      </c>
      <c r="Q662" s="218">
        <f t="shared" si="21"/>
        <v>0</v>
      </c>
    </row>
    <row r="663" spans="1:17" x14ac:dyDescent="0.35">
      <c r="A663" s="212" t="str">
        <f>COMPOSICIÓN!A663</f>
        <v>PIN-137</v>
      </c>
      <c r="B663" s="212" t="str">
        <f>COMPOSICIÓN!B663</f>
        <v>EQ</v>
      </c>
      <c r="C663" s="212">
        <f>COMPOSICIÓN!C663</f>
        <v>0</v>
      </c>
      <c r="D663" s="212" t="str">
        <f>COMPOSICIÓN!D663</f>
        <v>EQ-EQUIPI</v>
      </c>
      <c r="E663" s="212" t="str">
        <f>COMPOSICIÓN!E663</f>
        <v>EQUIPO PARA PINTAR</v>
      </c>
      <c r="F663" s="212">
        <f>COMPOSICIÓN!F663</f>
        <v>0</v>
      </c>
      <c r="G663" s="213">
        <f>COMPOSICIÓN!G663</f>
        <v>1</v>
      </c>
      <c r="H663" s="214">
        <f>COMPOSICIÓN!H663</f>
        <v>0</v>
      </c>
      <c r="I663" s="215">
        <f>COMPOSICIÓN!I663</f>
        <v>1723.6259595547085</v>
      </c>
      <c r="J663" s="212" t="str">
        <f>IFERROR(VLOOKUP(A663,PARTIDAS!$A$2:$C$269,3,FALSE()),"")</f>
        <v>PINTURA</v>
      </c>
      <c r="K663" s="212" t="str">
        <f>IFERROR(INDEX(PPTO_GENERADOR!$B$4:$B$220,MATCH(A663,PPTO_GENERADOR!$Q$4:$Q$220,0)),"")</f>
        <v>PINTURA</v>
      </c>
      <c r="L663" s="216">
        <f>IF(PLAN_ETAPA!$C$4="(TODOS)",SUMIFS(PPTO_GENERADOR!$E$4:$E$220,PPTO_GENERADOR!$Q$4:$Q$220,A663),SUMIFS(PPTO_GENERADOR!$E$4:$E$220,PPTO_GENERADOR!$Q$4:$Q$220,A663,PPTO_GENERADOR!$B$4:$B$220,PLAN_ETAPA!$C$4))</f>
        <v>0</v>
      </c>
      <c r="M663" s="216">
        <f>IFERROR(VLOOKUP(A663,PARTIDAS!$A$2:$F$269,6,FALSE()),1)</f>
        <v>20</v>
      </c>
      <c r="N663" s="216">
        <f>IFERROR(VLOOKUP(A663,PARTIDAS!$A$2:$I$269,9,FALSE()),1)</f>
        <v>1</v>
      </c>
      <c r="O663" s="217">
        <f t="shared" si="20"/>
        <v>0</v>
      </c>
      <c r="P663" s="216">
        <f>IF(O663=0,0,IF(B663="MAT",G663*(1+H663)*L663*PLAN_ETAPA!$C$5,IF(B663="MO",IF(M663=0,0,G663*L663*PLAN_ETAPA!$C$5*N663/M663),IF(B663="EQ",IF(M663=0,0,G663*L663*PLAN_ETAPA!$C$5/M663),0))))</f>
        <v>0</v>
      </c>
      <c r="Q663" s="218">
        <f t="shared" si="21"/>
        <v>0</v>
      </c>
    </row>
    <row r="664" spans="1:17" x14ac:dyDescent="0.35">
      <c r="A664" s="212" t="str">
        <f>COMPOSICIÓN!A664</f>
        <v>PIN-137</v>
      </c>
      <c r="B664" s="212" t="str">
        <f>COMPOSICIÓN!B664</f>
        <v>EQ</v>
      </c>
      <c r="C664" s="212">
        <f>COMPOSICIÓN!C664</f>
        <v>0</v>
      </c>
      <c r="D664" s="212" t="str">
        <f>COMPOSICIÓN!D664</f>
        <v>EQ-PTO026</v>
      </c>
      <c r="E664" s="212" t="str">
        <f>COMPOSICIÓN!E664</f>
        <v>ESCALERA MADERA PINTOR 8 ESCALONES</v>
      </c>
      <c r="F664" s="212">
        <f>COMPOSICIÓN!F664</f>
        <v>0</v>
      </c>
      <c r="G664" s="213">
        <f>COMPOSICIÓN!G664</f>
        <v>1</v>
      </c>
      <c r="H664" s="214">
        <f>COMPOSICIÓN!H664</f>
        <v>0</v>
      </c>
      <c r="I664" s="215">
        <f>COMPOSICIÓN!I664</f>
        <v>200.25307946474501</v>
      </c>
      <c r="J664" s="212" t="str">
        <f>IFERROR(VLOOKUP(A664,PARTIDAS!$A$2:$C$269,3,FALSE()),"")</f>
        <v>PINTURA</v>
      </c>
      <c r="K664" s="212" t="str">
        <f>IFERROR(INDEX(PPTO_GENERADOR!$B$4:$B$220,MATCH(A664,PPTO_GENERADOR!$Q$4:$Q$220,0)),"")</f>
        <v>PINTURA</v>
      </c>
      <c r="L664" s="216">
        <f>IF(PLAN_ETAPA!$C$4="(TODOS)",SUMIFS(PPTO_GENERADOR!$E$4:$E$220,PPTO_GENERADOR!$Q$4:$Q$220,A664),SUMIFS(PPTO_GENERADOR!$E$4:$E$220,PPTO_GENERADOR!$Q$4:$Q$220,A664,PPTO_GENERADOR!$B$4:$B$220,PLAN_ETAPA!$C$4))</f>
        <v>0</v>
      </c>
      <c r="M664" s="216">
        <f>IFERROR(VLOOKUP(A664,PARTIDAS!$A$2:$F$269,6,FALSE()),1)</f>
        <v>20</v>
      </c>
      <c r="N664" s="216">
        <f>IFERROR(VLOOKUP(A664,PARTIDAS!$A$2:$I$269,9,FALSE()),1)</f>
        <v>1</v>
      </c>
      <c r="O664" s="217">
        <f t="shared" si="20"/>
        <v>0</v>
      </c>
      <c r="P664" s="216">
        <f>IF(O664=0,0,IF(B664="MAT",G664*(1+H664)*L664*PLAN_ETAPA!$C$5,IF(B664="MO",IF(M664=0,0,G664*L664*PLAN_ETAPA!$C$5*N664/M664),IF(B664="EQ",IF(M664=0,0,G664*L664*PLAN_ETAPA!$C$5/M664),0))))</f>
        <v>0</v>
      </c>
      <c r="Q664" s="218">
        <f t="shared" si="21"/>
        <v>0</v>
      </c>
    </row>
    <row r="665" spans="1:17" x14ac:dyDescent="0.35">
      <c r="A665" s="212" t="str">
        <f>COMPOSICIÓN!A665</f>
        <v>PIN-137</v>
      </c>
      <c r="B665" s="212" t="str">
        <f>COMPOSICIÓN!B665</f>
        <v>MAT</v>
      </c>
      <c r="C665" s="212" t="str">
        <f>COMPOSICIÓN!C665</f>
        <v>OTR</v>
      </c>
      <c r="D665" s="212" t="str">
        <f>COMPOSICIÓN!D665</f>
        <v>OTR-021</v>
      </c>
      <c r="E665" s="212" t="str">
        <f>COMPOSICIÓN!E665</f>
        <v>Fijador al agua x 20 lts</v>
      </c>
      <c r="F665" s="212" t="str">
        <f>COMPOSICIÓN!F665</f>
        <v>b</v>
      </c>
      <c r="G665" s="213">
        <f>COMPOSICIÓN!G665</f>
        <v>4.0000000000000001E-3</v>
      </c>
      <c r="H665" s="214">
        <f>COMPOSICIÓN!H665</f>
        <v>0.05</v>
      </c>
      <c r="I665" s="215">
        <f>COMPOSICIÓN!I665</f>
        <v>30467.49</v>
      </c>
      <c r="J665" s="212" t="str">
        <f>IFERROR(VLOOKUP(A665,PARTIDAS!$A$2:$C$269,3,FALSE()),"")</f>
        <v>PINTURA</v>
      </c>
      <c r="K665" s="212" t="str">
        <f>IFERROR(INDEX(PPTO_GENERADOR!$B$4:$B$220,MATCH(A665,PPTO_GENERADOR!$Q$4:$Q$220,0)),"")</f>
        <v>PINTURA</v>
      </c>
      <c r="L665" s="216">
        <f>IF(PLAN_ETAPA!$C$4="(TODOS)",SUMIFS(PPTO_GENERADOR!$E$4:$E$220,PPTO_GENERADOR!$Q$4:$Q$220,A665),SUMIFS(PPTO_GENERADOR!$E$4:$E$220,PPTO_GENERADOR!$Q$4:$Q$220,A665,PPTO_GENERADOR!$B$4:$B$220,PLAN_ETAPA!$C$4))</f>
        <v>0</v>
      </c>
      <c r="M665" s="216">
        <f>IFERROR(VLOOKUP(A665,PARTIDAS!$A$2:$F$269,6,FALSE()),1)</f>
        <v>20</v>
      </c>
      <c r="N665" s="216">
        <f>IFERROR(VLOOKUP(A665,PARTIDAS!$A$2:$I$269,9,FALSE()),1)</f>
        <v>1</v>
      </c>
      <c r="O665" s="217">
        <f t="shared" si="20"/>
        <v>0</v>
      </c>
      <c r="P665" s="216">
        <f>IF(O665=0,0,IF(B665="MAT",G665*(1+H665)*L665*PLAN_ETAPA!$C$5,IF(B665="MO",IF(M665=0,0,G665*L665*PLAN_ETAPA!$C$5*N665/M665),IF(B665="EQ",IF(M665=0,0,G665*L665*PLAN_ETAPA!$C$5/M665),0))))</f>
        <v>0</v>
      </c>
      <c r="Q665" s="218">
        <f t="shared" si="21"/>
        <v>0</v>
      </c>
    </row>
    <row r="666" spans="1:17" x14ac:dyDescent="0.35">
      <c r="A666" s="212" t="str">
        <f>COMPOSICIÓN!A666</f>
        <v>PIN-137</v>
      </c>
      <c r="B666" s="212" t="str">
        <f>COMPOSICIÓN!B666</f>
        <v>MAT</v>
      </c>
      <c r="C666" s="212" t="str">
        <f>COMPOSICIÓN!C666</f>
        <v>OTR</v>
      </c>
      <c r="D666" s="212" t="str">
        <f>COMPOSICIÓN!D666</f>
        <v>OTR-023</v>
      </c>
      <c r="E666" s="212" t="str">
        <f>COMPOSICIÓN!E666</f>
        <v>Lija 180 al agua x 10u</v>
      </c>
      <c r="F666" s="212" t="str">
        <f>COMPOSICIÓN!F666</f>
        <v>u</v>
      </c>
      <c r="G666" s="213">
        <f>COMPOSICIÓN!G666</f>
        <v>1.4999999999999999E-2</v>
      </c>
      <c r="H666" s="214">
        <f>COMPOSICIÓN!H666</f>
        <v>0.05</v>
      </c>
      <c r="I666" s="215">
        <f>COMPOSICIÓN!I666</f>
        <v>5661.4</v>
      </c>
      <c r="J666" s="212" t="str">
        <f>IFERROR(VLOOKUP(A666,PARTIDAS!$A$2:$C$269,3,FALSE()),"")</f>
        <v>PINTURA</v>
      </c>
      <c r="K666" s="212" t="str">
        <f>IFERROR(INDEX(PPTO_GENERADOR!$B$4:$B$220,MATCH(A666,PPTO_GENERADOR!$Q$4:$Q$220,0)),"")</f>
        <v>PINTURA</v>
      </c>
      <c r="L666" s="216">
        <f>IF(PLAN_ETAPA!$C$4="(TODOS)",SUMIFS(PPTO_GENERADOR!$E$4:$E$220,PPTO_GENERADOR!$Q$4:$Q$220,A666),SUMIFS(PPTO_GENERADOR!$E$4:$E$220,PPTO_GENERADOR!$Q$4:$Q$220,A666,PPTO_GENERADOR!$B$4:$B$220,PLAN_ETAPA!$C$4))</f>
        <v>0</v>
      </c>
      <c r="M666" s="216">
        <f>IFERROR(VLOOKUP(A666,PARTIDAS!$A$2:$F$269,6,FALSE()),1)</f>
        <v>20</v>
      </c>
      <c r="N666" s="216">
        <f>IFERROR(VLOOKUP(A666,PARTIDAS!$A$2:$I$269,9,FALSE()),1)</f>
        <v>1</v>
      </c>
      <c r="O666" s="217">
        <f t="shared" si="20"/>
        <v>0</v>
      </c>
      <c r="P666" s="216">
        <f>IF(O666=0,0,IF(B666="MAT",G666*(1+H666)*L666*PLAN_ETAPA!$C$5,IF(B666="MO",IF(M666=0,0,G666*L666*PLAN_ETAPA!$C$5*N666/M666),IF(B666="EQ",IF(M666=0,0,G666*L666*PLAN_ETAPA!$C$5/M666),0))))</f>
        <v>0</v>
      </c>
      <c r="Q666" s="218">
        <f t="shared" si="21"/>
        <v>0</v>
      </c>
    </row>
    <row r="667" spans="1:17" x14ac:dyDescent="0.35">
      <c r="A667" s="212" t="str">
        <f>COMPOSICIÓN!A667</f>
        <v>PIN-137</v>
      </c>
      <c r="B667" s="212" t="str">
        <f>COMPOSICIÓN!B667</f>
        <v>MAT</v>
      </c>
      <c r="C667" s="212" t="str">
        <f>COMPOSICIÓN!C667</f>
        <v>OTR</v>
      </c>
      <c r="D667" s="212" t="str">
        <f>COMPOSICIÓN!D667</f>
        <v>OTR-024</v>
      </c>
      <c r="E667" s="212" t="str">
        <f>COMPOSICIÓN!E667</f>
        <v>Cinta de Papel 36 mm x 40m</v>
      </c>
      <c r="F667" s="212" t="str">
        <f>COMPOSICIÓN!F667</f>
        <v>u</v>
      </c>
      <c r="G667" s="213">
        <f>COMPOSICIÓN!G667</f>
        <v>0.05</v>
      </c>
      <c r="H667" s="214">
        <f>COMPOSICIÓN!H667</f>
        <v>0.1</v>
      </c>
      <c r="I667" s="215">
        <f>COMPOSICIÓN!I667</f>
        <v>3293.01</v>
      </c>
      <c r="J667" s="212" t="str">
        <f>IFERROR(VLOOKUP(A667,PARTIDAS!$A$2:$C$269,3,FALSE()),"")</f>
        <v>PINTURA</v>
      </c>
      <c r="K667" s="212" t="str">
        <f>IFERROR(INDEX(PPTO_GENERADOR!$B$4:$B$220,MATCH(A667,PPTO_GENERADOR!$Q$4:$Q$220,0)),"")</f>
        <v>PINTURA</v>
      </c>
      <c r="L667" s="216">
        <f>IF(PLAN_ETAPA!$C$4="(TODOS)",SUMIFS(PPTO_GENERADOR!$E$4:$E$220,PPTO_GENERADOR!$Q$4:$Q$220,A667),SUMIFS(PPTO_GENERADOR!$E$4:$E$220,PPTO_GENERADOR!$Q$4:$Q$220,A667,PPTO_GENERADOR!$B$4:$B$220,PLAN_ETAPA!$C$4))</f>
        <v>0</v>
      </c>
      <c r="M667" s="216">
        <f>IFERROR(VLOOKUP(A667,PARTIDAS!$A$2:$F$269,6,FALSE()),1)</f>
        <v>20</v>
      </c>
      <c r="N667" s="216">
        <f>IFERROR(VLOOKUP(A667,PARTIDAS!$A$2:$I$269,9,FALSE()),1)</f>
        <v>1</v>
      </c>
      <c r="O667" s="217">
        <f t="shared" si="20"/>
        <v>0</v>
      </c>
      <c r="P667" s="216">
        <f>IF(O667=0,0,IF(B667="MAT",G667*(1+H667)*L667*PLAN_ETAPA!$C$5,IF(B667="MO",IF(M667=0,0,G667*L667*PLAN_ETAPA!$C$5*N667/M667),IF(B667="EQ",IF(M667=0,0,G667*L667*PLAN_ETAPA!$C$5/M667),0))))</f>
        <v>0</v>
      </c>
      <c r="Q667" s="218">
        <f t="shared" si="21"/>
        <v>0</v>
      </c>
    </row>
    <row r="668" spans="1:17" x14ac:dyDescent="0.35">
      <c r="A668" s="212" t="str">
        <f>COMPOSICIÓN!A668</f>
        <v>PIN-137</v>
      </c>
      <c r="B668" s="212" t="str">
        <f>COMPOSICIÓN!B668</f>
        <v>MAT</v>
      </c>
      <c r="C668" s="212" t="str">
        <f>COMPOSICIÓN!C668</f>
        <v>OTR</v>
      </c>
      <c r="D668" s="212" t="str">
        <f>COMPOSICIÓN!D668</f>
        <v>OTR-025</v>
      </c>
      <c r="E668" s="212" t="str">
        <f>COMPOSICIÓN!E668</f>
        <v>Trapo</v>
      </c>
      <c r="F668" s="212" t="str">
        <f>COMPOSICIÓN!F668</f>
        <v>u</v>
      </c>
      <c r="G668" s="213">
        <f>COMPOSICIÓN!G668</f>
        <v>0.03</v>
      </c>
      <c r="H668" s="214">
        <f>COMPOSICIÓN!H668</f>
        <v>0.05</v>
      </c>
      <c r="I668" s="215">
        <f>COMPOSICIÓN!I668</f>
        <v>735.06</v>
      </c>
      <c r="J668" s="212" t="str">
        <f>IFERROR(VLOOKUP(A668,PARTIDAS!$A$2:$C$269,3,FALSE()),"")</f>
        <v>PINTURA</v>
      </c>
      <c r="K668" s="212" t="str">
        <f>IFERROR(INDEX(PPTO_GENERADOR!$B$4:$B$220,MATCH(A668,PPTO_GENERADOR!$Q$4:$Q$220,0)),"")</f>
        <v>PINTURA</v>
      </c>
      <c r="L668" s="216">
        <f>IF(PLAN_ETAPA!$C$4="(TODOS)",SUMIFS(PPTO_GENERADOR!$E$4:$E$220,PPTO_GENERADOR!$Q$4:$Q$220,A668),SUMIFS(PPTO_GENERADOR!$E$4:$E$220,PPTO_GENERADOR!$Q$4:$Q$220,A668,PPTO_GENERADOR!$B$4:$B$220,PLAN_ETAPA!$C$4))</f>
        <v>0</v>
      </c>
      <c r="M668" s="216">
        <f>IFERROR(VLOOKUP(A668,PARTIDAS!$A$2:$F$269,6,FALSE()),1)</f>
        <v>20</v>
      </c>
      <c r="N668" s="216">
        <f>IFERROR(VLOOKUP(A668,PARTIDAS!$A$2:$I$269,9,FALSE()),1)</f>
        <v>1</v>
      </c>
      <c r="O668" s="217">
        <f t="shared" si="20"/>
        <v>0</v>
      </c>
      <c r="P668" s="216">
        <f>IF(O668=0,0,IF(B668="MAT",G668*(1+H668)*L668*PLAN_ETAPA!$C$5,IF(B668="MO",IF(M668=0,0,G668*L668*PLAN_ETAPA!$C$5*N668/M668),IF(B668="EQ",IF(M668=0,0,G668*L668*PLAN_ETAPA!$C$5/M668),0))))</f>
        <v>0</v>
      </c>
      <c r="Q668" s="218">
        <f t="shared" si="21"/>
        <v>0</v>
      </c>
    </row>
    <row r="669" spans="1:17" x14ac:dyDescent="0.35">
      <c r="A669" s="212" t="str">
        <f>COMPOSICIÓN!A669</f>
        <v>PIN-137</v>
      </c>
      <c r="B669" s="212" t="str">
        <f>COMPOSICIÓN!B669</f>
        <v>MAT</v>
      </c>
      <c r="C669" s="212" t="str">
        <f>COMPOSICIÓN!C669</f>
        <v>OTR</v>
      </c>
      <c r="D669" s="212" t="str">
        <f>COMPOSICIÓN!D669</f>
        <v>OTR-026</v>
      </c>
      <c r="E669" s="212" t="str">
        <f>COMPOSICIÓN!E669</f>
        <v>Rodillo de lana pelo corto antigota N°22 - El Galgo</v>
      </c>
      <c r="F669" s="212" t="str">
        <f>COMPOSICIÓN!F669</f>
        <v>u</v>
      </c>
      <c r="G669" s="213">
        <f>COMPOSICIÓN!G669</f>
        <v>5.0000000000000001E-3</v>
      </c>
      <c r="H669" s="214">
        <f>COMPOSICIÓN!H669</f>
        <v>0.05</v>
      </c>
      <c r="I669" s="215">
        <f>COMPOSICIÓN!I669</f>
        <v>6678.36</v>
      </c>
      <c r="J669" s="212" t="str">
        <f>IFERROR(VLOOKUP(A669,PARTIDAS!$A$2:$C$269,3,FALSE()),"")</f>
        <v>PINTURA</v>
      </c>
      <c r="K669" s="212" t="str">
        <f>IFERROR(INDEX(PPTO_GENERADOR!$B$4:$B$220,MATCH(A669,PPTO_GENERADOR!$Q$4:$Q$220,0)),"")</f>
        <v>PINTURA</v>
      </c>
      <c r="L669" s="216">
        <f>IF(PLAN_ETAPA!$C$4="(TODOS)",SUMIFS(PPTO_GENERADOR!$E$4:$E$220,PPTO_GENERADOR!$Q$4:$Q$220,A669),SUMIFS(PPTO_GENERADOR!$E$4:$E$220,PPTO_GENERADOR!$Q$4:$Q$220,A669,PPTO_GENERADOR!$B$4:$B$220,PLAN_ETAPA!$C$4))</f>
        <v>0</v>
      </c>
      <c r="M669" s="216">
        <f>IFERROR(VLOOKUP(A669,PARTIDAS!$A$2:$F$269,6,FALSE()),1)</f>
        <v>20</v>
      </c>
      <c r="N669" s="216">
        <f>IFERROR(VLOOKUP(A669,PARTIDAS!$A$2:$I$269,9,FALSE()),1)</f>
        <v>1</v>
      </c>
      <c r="O669" s="217">
        <f t="shared" si="20"/>
        <v>0</v>
      </c>
      <c r="P669" s="216">
        <f>IF(O669=0,0,IF(B669="MAT",G669*(1+H669)*L669*PLAN_ETAPA!$C$5,IF(B669="MO",IF(M669=0,0,G669*L669*PLAN_ETAPA!$C$5*N669/M669),IF(B669="EQ",IF(M669=0,0,G669*L669*PLAN_ETAPA!$C$5/M669),0))))</f>
        <v>0</v>
      </c>
      <c r="Q669" s="218">
        <f t="shared" si="21"/>
        <v>0</v>
      </c>
    </row>
    <row r="670" spans="1:17" x14ac:dyDescent="0.35">
      <c r="A670" s="212" t="str">
        <f>COMPOSICIÓN!A670</f>
        <v>PIN-137</v>
      </c>
      <c r="B670" s="212" t="str">
        <f>COMPOSICIÓN!B670</f>
        <v>MAT</v>
      </c>
      <c r="C670" s="212" t="str">
        <f>COMPOSICIÓN!C670</f>
        <v>OTR</v>
      </c>
      <c r="D670" s="212" t="str">
        <f>COMPOSICIÓN!D670</f>
        <v>OTR-028</v>
      </c>
      <c r="E670" s="212" t="str">
        <f>COMPOSICIÓN!E670</f>
        <v>Pincel N° 20 - El Galgo</v>
      </c>
      <c r="F670" s="212" t="str">
        <f>COMPOSICIÓN!F670</f>
        <v>u</v>
      </c>
      <c r="G670" s="213">
        <f>COMPOSICIÓN!G670</f>
        <v>5.0000000000000001E-3</v>
      </c>
      <c r="H670" s="214">
        <f>COMPOSICIÓN!H670</f>
        <v>0.05</v>
      </c>
      <c r="I670" s="215">
        <f>COMPOSICIÓN!I670</f>
        <v>5282.24</v>
      </c>
      <c r="J670" s="212" t="str">
        <f>IFERROR(VLOOKUP(A670,PARTIDAS!$A$2:$C$269,3,FALSE()),"")</f>
        <v>PINTURA</v>
      </c>
      <c r="K670" s="212" t="str">
        <f>IFERROR(INDEX(PPTO_GENERADOR!$B$4:$B$220,MATCH(A670,PPTO_GENERADOR!$Q$4:$Q$220,0)),"")</f>
        <v>PINTURA</v>
      </c>
      <c r="L670" s="216">
        <f>IF(PLAN_ETAPA!$C$4="(TODOS)",SUMIFS(PPTO_GENERADOR!$E$4:$E$220,PPTO_GENERADOR!$Q$4:$Q$220,A670),SUMIFS(PPTO_GENERADOR!$E$4:$E$220,PPTO_GENERADOR!$Q$4:$Q$220,A670,PPTO_GENERADOR!$B$4:$B$220,PLAN_ETAPA!$C$4))</f>
        <v>0</v>
      </c>
      <c r="M670" s="216">
        <f>IFERROR(VLOOKUP(A670,PARTIDAS!$A$2:$F$269,6,FALSE()),1)</f>
        <v>20</v>
      </c>
      <c r="N670" s="216">
        <f>IFERROR(VLOOKUP(A670,PARTIDAS!$A$2:$I$269,9,FALSE()),1)</f>
        <v>1</v>
      </c>
      <c r="O670" s="217">
        <f t="shared" si="20"/>
        <v>0</v>
      </c>
      <c r="P670" s="216">
        <f>IF(O670=0,0,IF(B670="MAT",G670*(1+H670)*L670*PLAN_ETAPA!$C$5,IF(B670="MO",IF(M670=0,0,G670*L670*PLAN_ETAPA!$C$5*N670/M670),IF(B670="EQ",IF(M670=0,0,G670*L670*PLAN_ETAPA!$C$5/M670),0))))</f>
        <v>0</v>
      </c>
      <c r="Q670" s="218">
        <f t="shared" si="21"/>
        <v>0</v>
      </c>
    </row>
    <row r="671" spans="1:17" x14ac:dyDescent="0.35">
      <c r="A671" s="212" t="str">
        <f>COMPOSICIÓN!A671</f>
        <v>PIN-137</v>
      </c>
      <c r="B671" s="212" t="str">
        <f>COMPOSICIÓN!B671</f>
        <v>MAT</v>
      </c>
      <c r="C671" s="212" t="str">
        <f>COMPOSICIÓN!C671</f>
        <v>OTR</v>
      </c>
      <c r="D671" s="212" t="str">
        <f>COMPOSICIÓN!D671</f>
        <v>OTR-029</v>
      </c>
      <c r="E671" s="212" t="str">
        <f>COMPOSICIÓN!E671</f>
        <v>Rollo de cartón corrugado 0,90 x 25 mts</v>
      </c>
      <c r="F671" s="212" t="str">
        <f>COMPOSICIÓN!F671</f>
        <v>u</v>
      </c>
      <c r="G671" s="213">
        <f>COMPOSICIÓN!G671</f>
        <v>0.01</v>
      </c>
      <c r="H671" s="214">
        <f>COMPOSICIÓN!H671</f>
        <v>0.05</v>
      </c>
      <c r="I671" s="215">
        <f>COMPOSICIÓN!I671</f>
        <v>7427.6</v>
      </c>
      <c r="J671" s="212" t="str">
        <f>IFERROR(VLOOKUP(A671,PARTIDAS!$A$2:$C$269,3,FALSE()),"")</f>
        <v>PINTURA</v>
      </c>
      <c r="K671" s="212" t="str">
        <f>IFERROR(INDEX(PPTO_GENERADOR!$B$4:$B$220,MATCH(A671,PPTO_GENERADOR!$Q$4:$Q$220,0)),"")</f>
        <v>PINTURA</v>
      </c>
      <c r="L671" s="216">
        <f>IF(PLAN_ETAPA!$C$4="(TODOS)",SUMIFS(PPTO_GENERADOR!$E$4:$E$220,PPTO_GENERADOR!$Q$4:$Q$220,A671),SUMIFS(PPTO_GENERADOR!$E$4:$E$220,PPTO_GENERADOR!$Q$4:$Q$220,A671,PPTO_GENERADOR!$B$4:$B$220,PLAN_ETAPA!$C$4))</f>
        <v>0</v>
      </c>
      <c r="M671" s="216">
        <f>IFERROR(VLOOKUP(A671,PARTIDAS!$A$2:$F$269,6,FALSE()),1)</f>
        <v>20</v>
      </c>
      <c r="N671" s="216">
        <f>IFERROR(VLOOKUP(A671,PARTIDAS!$A$2:$I$269,9,FALSE()),1)</f>
        <v>1</v>
      </c>
      <c r="O671" s="217">
        <f t="shared" si="20"/>
        <v>0</v>
      </c>
      <c r="P671" s="216">
        <f>IF(O671=0,0,IF(B671="MAT",G671*(1+H671)*L671*PLAN_ETAPA!$C$5,IF(B671="MO",IF(M671=0,0,G671*L671*PLAN_ETAPA!$C$5*N671/M671),IF(B671="EQ",IF(M671=0,0,G671*L671*PLAN_ETAPA!$C$5/M671),0))))</f>
        <v>0</v>
      </c>
      <c r="Q671" s="218">
        <f t="shared" si="21"/>
        <v>0</v>
      </c>
    </row>
    <row r="672" spans="1:17" x14ac:dyDescent="0.35">
      <c r="A672" s="212" t="str">
        <f>COMPOSICIÓN!A672</f>
        <v>PIN-137</v>
      </c>
      <c r="B672" s="212" t="str">
        <f>COMPOSICIÓN!B672</f>
        <v>MAT</v>
      </c>
      <c r="C672" s="212" t="str">
        <f>COMPOSICIÓN!C672</f>
        <v>OTR</v>
      </c>
      <c r="D672" s="212" t="str">
        <f>COMPOSICIÓN!D672</f>
        <v>PIN-001</v>
      </c>
      <c r="E672" s="212" t="str">
        <f>COMPOSICIÓN!E672</f>
        <v>Latex Loxon Interior Sherwin Williams Mate Bco x 20lts</v>
      </c>
      <c r="F672" s="212" t="str">
        <f>COMPOSICIÓN!F672</f>
        <v>B</v>
      </c>
      <c r="G672" s="213">
        <f>COMPOSICIÓN!G672</f>
        <v>1.2500000000000001E-2</v>
      </c>
      <c r="H672" s="214">
        <f>COMPOSICIÓN!H672</f>
        <v>0.1</v>
      </c>
      <c r="I672" s="215">
        <f>COMPOSICIÓN!I672</f>
        <v>120622.23</v>
      </c>
      <c r="J672" s="212" t="str">
        <f>IFERROR(VLOOKUP(A672,PARTIDAS!$A$2:$C$269,3,FALSE()),"")</f>
        <v>PINTURA</v>
      </c>
      <c r="K672" s="212" t="str">
        <f>IFERROR(INDEX(PPTO_GENERADOR!$B$4:$B$220,MATCH(A672,PPTO_GENERADOR!$Q$4:$Q$220,0)),"")</f>
        <v>PINTURA</v>
      </c>
      <c r="L672" s="216">
        <f>IF(PLAN_ETAPA!$C$4="(TODOS)",SUMIFS(PPTO_GENERADOR!$E$4:$E$220,PPTO_GENERADOR!$Q$4:$Q$220,A672),SUMIFS(PPTO_GENERADOR!$E$4:$E$220,PPTO_GENERADOR!$Q$4:$Q$220,A672,PPTO_GENERADOR!$B$4:$B$220,PLAN_ETAPA!$C$4))</f>
        <v>0</v>
      </c>
      <c r="M672" s="216">
        <f>IFERROR(VLOOKUP(A672,PARTIDAS!$A$2:$F$269,6,FALSE()),1)</f>
        <v>20</v>
      </c>
      <c r="N672" s="216">
        <f>IFERROR(VLOOKUP(A672,PARTIDAS!$A$2:$I$269,9,FALSE()),1)</f>
        <v>1</v>
      </c>
      <c r="O672" s="217">
        <f t="shared" si="20"/>
        <v>0</v>
      </c>
      <c r="P672" s="216">
        <f>IF(O672=0,0,IF(B672="MAT",G672*(1+H672)*L672*PLAN_ETAPA!$C$5,IF(B672="MO",IF(M672=0,0,G672*L672*PLAN_ETAPA!$C$5*N672/M672),IF(B672="EQ",IF(M672=0,0,G672*L672*PLAN_ETAPA!$C$5/M672),0))))</f>
        <v>0</v>
      </c>
      <c r="Q672" s="218">
        <f t="shared" si="21"/>
        <v>0</v>
      </c>
    </row>
    <row r="673" spans="1:17" x14ac:dyDescent="0.35">
      <c r="A673" s="212" t="str">
        <f>COMPOSICIÓN!A673</f>
        <v>PIN-137</v>
      </c>
      <c r="B673" s="212" t="str">
        <f>COMPOSICIÓN!B673</f>
        <v>MAT</v>
      </c>
      <c r="C673" s="212" t="str">
        <f>COMPOSICIÓN!C673</f>
        <v>OTR</v>
      </c>
      <c r="D673" s="212" t="str">
        <f>COMPOSICIÓN!D673</f>
        <v>PIN-007</v>
      </c>
      <c r="E673" s="212" t="str">
        <f>COMPOSICIÓN!E673</f>
        <v>Enduido Interior x 20lts</v>
      </c>
      <c r="F673" s="212" t="str">
        <f>COMPOSICIÓN!F673</f>
        <v>B</v>
      </c>
      <c r="G673" s="213">
        <f>COMPOSICIÓN!G673</f>
        <v>2E-3</v>
      </c>
      <c r="H673" s="214">
        <f>COMPOSICIÓN!H673</f>
        <v>0.1</v>
      </c>
      <c r="I673" s="215">
        <f>COMPOSICIÓN!I673</f>
        <v>18735.77</v>
      </c>
      <c r="J673" s="212" t="str">
        <f>IFERROR(VLOOKUP(A673,PARTIDAS!$A$2:$C$269,3,FALSE()),"")</f>
        <v>PINTURA</v>
      </c>
      <c r="K673" s="212" t="str">
        <f>IFERROR(INDEX(PPTO_GENERADOR!$B$4:$B$220,MATCH(A673,PPTO_GENERADOR!$Q$4:$Q$220,0)),"")</f>
        <v>PINTURA</v>
      </c>
      <c r="L673" s="216">
        <f>IF(PLAN_ETAPA!$C$4="(TODOS)",SUMIFS(PPTO_GENERADOR!$E$4:$E$220,PPTO_GENERADOR!$Q$4:$Q$220,A673),SUMIFS(PPTO_GENERADOR!$E$4:$E$220,PPTO_GENERADOR!$Q$4:$Q$220,A673,PPTO_GENERADOR!$B$4:$B$220,PLAN_ETAPA!$C$4))</f>
        <v>0</v>
      </c>
      <c r="M673" s="216">
        <f>IFERROR(VLOOKUP(A673,PARTIDAS!$A$2:$F$269,6,FALSE()),1)</f>
        <v>20</v>
      </c>
      <c r="N673" s="216">
        <f>IFERROR(VLOOKUP(A673,PARTIDAS!$A$2:$I$269,9,FALSE()),1)</f>
        <v>1</v>
      </c>
      <c r="O673" s="217">
        <f t="shared" si="20"/>
        <v>0</v>
      </c>
      <c r="P673" s="216">
        <f>IF(O673=0,0,IF(B673="MAT",G673*(1+H673)*L673*PLAN_ETAPA!$C$5,IF(B673="MO",IF(M673=0,0,G673*L673*PLAN_ETAPA!$C$5*N673/M673),IF(B673="EQ",IF(M673=0,0,G673*L673*PLAN_ETAPA!$C$5/M673),0))))</f>
        <v>0</v>
      </c>
      <c r="Q673" s="218">
        <f t="shared" si="21"/>
        <v>0</v>
      </c>
    </row>
    <row r="674" spans="1:17" x14ac:dyDescent="0.35">
      <c r="A674" s="212" t="str">
        <f>COMPOSICIÓN!A674</f>
        <v>PIN-137</v>
      </c>
      <c r="B674" s="212" t="str">
        <f>COMPOSICIÓN!B674</f>
        <v>MAT</v>
      </c>
      <c r="C674" s="212" t="str">
        <f>COMPOSICIÓN!C674</f>
        <v>OTR</v>
      </c>
      <c r="D674" s="212" t="str">
        <f>COMPOSICIÓN!D674</f>
        <v>REV-001</v>
      </c>
      <c r="E674" s="212" t="str">
        <f>COMPOSICIÓN!E674</f>
        <v>Yeso Tuyango x 30kg</v>
      </c>
      <c r="F674" s="212" t="str">
        <f>COMPOSICIÓN!F674</f>
        <v>b</v>
      </c>
      <c r="G674" s="213">
        <f>COMPOSICIÓN!G674</f>
        <v>1E-3</v>
      </c>
      <c r="H674" s="214">
        <f>COMPOSICIÓN!H674</f>
        <v>0.05</v>
      </c>
      <c r="I674" s="215">
        <f>COMPOSICIÓN!I674</f>
        <v>9639</v>
      </c>
      <c r="J674" s="212" t="str">
        <f>IFERROR(VLOOKUP(A674,PARTIDAS!$A$2:$C$269,3,FALSE()),"")</f>
        <v>PINTURA</v>
      </c>
      <c r="K674" s="212" t="str">
        <f>IFERROR(INDEX(PPTO_GENERADOR!$B$4:$B$220,MATCH(A674,PPTO_GENERADOR!$Q$4:$Q$220,0)),"")</f>
        <v>PINTURA</v>
      </c>
      <c r="L674" s="216">
        <f>IF(PLAN_ETAPA!$C$4="(TODOS)",SUMIFS(PPTO_GENERADOR!$E$4:$E$220,PPTO_GENERADOR!$Q$4:$Q$220,A674),SUMIFS(PPTO_GENERADOR!$E$4:$E$220,PPTO_GENERADOR!$Q$4:$Q$220,A674,PPTO_GENERADOR!$B$4:$B$220,PLAN_ETAPA!$C$4))</f>
        <v>0</v>
      </c>
      <c r="M674" s="216">
        <f>IFERROR(VLOOKUP(A674,PARTIDAS!$A$2:$F$269,6,FALSE()),1)</f>
        <v>20</v>
      </c>
      <c r="N674" s="216">
        <f>IFERROR(VLOOKUP(A674,PARTIDAS!$A$2:$I$269,9,FALSE()),1)</f>
        <v>1</v>
      </c>
      <c r="O674" s="217">
        <f t="shared" si="20"/>
        <v>0</v>
      </c>
      <c r="P674" s="216">
        <f>IF(O674=0,0,IF(B674="MAT",G674*(1+H674)*L674*PLAN_ETAPA!$C$5,IF(B674="MO",IF(M674=0,0,G674*L674*PLAN_ETAPA!$C$5*N674/M674),IF(B674="EQ",IF(M674=0,0,G674*L674*PLAN_ETAPA!$C$5/M674),0))))</f>
        <v>0</v>
      </c>
      <c r="Q674" s="218">
        <f t="shared" si="21"/>
        <v>0</v>
      </c>
    </row>
    <row r="675" spans="1:17" x14ac:dyDescent="0.35">
      <c r="A675" s="212" t="str">
        <f>COMPOSICIÓN!A675</f>
        <v>PIN-137</v>
      </c>
      <c r="B675" s="212" t="str">
        <f>COMPOSICIÓN!B675</f>
        <v>MO</v>
      </c>
      <c r="C675" s="212" t="str">
        <f>COMPOSICIÓN!C675</f>
        <v>ALB</v>
      </c>
      <c r="D675" s="212" t="str">
        <f>COMPOSICIÓN!D675</f>
        <v>MO-EESPE</v>
      </c>
      <c r="E675" s="212" t="str">
        <f>COMPOSICIÓN!E675</f>
        <v>ESPECIALIZADO</v>
      </c>
      <c r="F675" s="212" t="str">
        <f>COMPOSICIÓN!F675</f>
        <v>j</v>
      </c>
      <c r="G675" s="213">
        <f>COMPOSICIÓN!G675</f>
        <v>1</v>
      </c>
      <c r="H675" s="214">
        <f>COMPOSICIÓN!H675</f>
        <v>0</v>
      </c>
      <c r="I675" s="215">
        <f>COMPOSICIÓN!I675</f>
        <v>85927.097156571996</v>
      </c>
      <c r="J675" s="212" t="str">
        <f>IFERROR(VLOOKUP(A675,PARTIDAS!$A$2:$C$269,3,FALSE()),"")</f>
        <v>PINTURA</v>
      </c>
      <c r="K675" s="212" t="str">
        <f>IFERROR(INDEX(PPTO_GENERADOR!$B$4:$B$220,MATCH(A675,PPTO_GENERADOR!$Q$4:$Q$220,0)),"")</f>
        <v>PINTURA</v>
      </c>
      <c r="L675" s="216">
        <f>IF(PLAN_ETAPA!$C$4="(TODOS)",SUMIFS(PPTO_GENERADOR!$E$4:$E$220,PPTO_GENERADOR!$Q$4:$Q$220,A675),SUMIFS(PPTO_GENERADOR!$E$4:$E$220,PPTO_GENERADOR!$Q$4:$Q$220,A675,PPTO_GENERADOR!$B$4:$B$220,PLAN_ETAPA!$C$4))</f>
        <v>0</v>
      </c>
      <c r="M675" s="216">
        <f>IFERROR(VLOOKUP(A675,PARTIDAS!$A$2:$F$269,6,FALSE()),1)</f>
        <v>20</v>
      </c>
      <c r="N675" s="216">
        <f>IFERROR(VLOOKUP(A675,PARTIDAS!$A$2:$I$269,9,FALSE()),1)</f>
        <v>1</v>
      </c>
      <c r="O675" s="217">
        <f t="shared" si="20"/>
        <v>0</v>
      </c>
      <c r="P675" s="216">
        <f>IF(O675=0,0,IF(B675="MAT",G675*(1+H675)*L675*PLAN_ETAPA!$C$5,IF(B675="MO",IF(M675=0,0,G675*L675*PLAN_ETAPA!$C$5*N675/M675),IF(B675="EQ",IF(M675=0,0,G675*L675*PLAN_ETAPA!$C$5/M675),0))))</f>
        <v>0</v>
      </c>
      <c r="Q675" s="218">
        <f t="shared" si="21"/>
        <v>0</v>
      </c>
    </row>
    <row r="676" spans="1:17" x14ac:dyDescent="0.35">
      <c r="A676" s="212" t="str">
        <f>COMPOSICIÓN!A676</f>
        <v>PIN-146</v>
      </c>
      <c r="B676" s="212" t="str">
        <f>COMPOSICIÓN!B676</f>
        <v>EQ</v>
      </c>
      <c r="C676" s="212">
        <f>COMPOSICIÓN!C676</f>
        <v>0</v>
      </c>
      <c r="D676" s="212" t="str">
        <f>COMPOSICIÓN!D676</f>
        <v>EQ-EQUIPI</v>
      </c>
      <c r="E676" s="212" t="str">
        <f>COMPOSICIÓN!E676</f>
        <v>EQUIPO PARA PINTAR</v>
      </c>
      <c r="F676" s="212">
        <f>COMPOSICIÓN!F676</f>
        <v>0</v>
      </c>
      <c r="G676" s="213">
        <f>COMPOSICIÓN!G676</f>
        <v>1</v>
      </c>
      <c r="H676" s="214">
        <f>COMPOSICIÓN!H676</f>
        <v>0</v>
      </c>
      <c r="I676" s="215">
        <f>COMPOSICIÓN!I676</f>
        <v>1723.6259595547085</v>
      </c>
      <c r="J676" s="212" t="str">
        <f>IFERROR(VLOOKUP(A676,PARTIDAS!$A$2:$C$269,3,FALSE()),"")</f>
        <v>PINTURA</v>
      </c>
      <c r="K676" s="212" t="str">
        <f>IFERROR(INDEX(PPTO_GENERADOR!$B$4:$B$220,MATCH(A676,PPTO_GENERADOR!$Q$4:$Q$220,0)),"")</f>
        <v/>
      </c>
      <c r="L676" s="216">
        <f>IF(PLAN_ETAPA!$C$4="(TODOS)",SUMIFS(PPTO_GENERADOR!$E$4:$E$220,PPTO_GENERADOR!$Q$4:$Q$220,A676),SUMIFS(PPTO_GENERADOR!$E$4:$E$220,PPTO_GENERADOR!$Q$4:$Q$220,A676,PPTO_GENERADOR!$B$4:$B$220,PLAN_ETAPA!$C$4))</f>
        <v>0</v>
      </c>
      <c r="M676" s="216">
        <f>IFERROR(VLOOKUP(A676,PARTIDAS!$A$2:$F$269,6,FALSE()),1)</f>
        <v>25</v>
      </c>
      <c r="N676" s="216">
        <f>IFERROR(VLOOKUP(A676,PARTIDAS!$A$2:$I$269,9,FALSE()),1)</f>
        <v>1</v>
      </c>
      <c r="O676" s="217">
        <f t="shared" si="20"/>
        <v>0</v>
      </c>
      <c r="P676" s="216">
        <f>IF(O676=0,0,IF(B676="MAT",G676*(1+H676)*L676*PLAN_ETAPA!$C$5,IF(B676="MO",IF(M676=0,0,G676*L676*PLAN_ETAPA!$C$5*N676/M676),IF(B676="EQ",IF(M676=0,0,G676*L676*PLAN_ETAPA!$C$5/M676),0))))</f>
        <v>0</v>
      </c>
      <c r="Q676" s="218">
        <f t="shared" si="21"/>
        <v>0</v>
      </c>
    </row>
    <row r="677" spans="1:17" x14ac:dyDescent="0.35">
      <c r="A677" s="212" t="str">
        <f>COMPOSICIÓN!A677</f>
        <v>PIN-146</v>
      </c>
      <c r="B677" s="212" t="str">
        <f>COMPOSICIÓN!B677</f>
        <v>EQ</v>
      </c>
      <c r="C677" s="212">
        <f>COMPOSICIÓN!C677</f>
        <v>0</v>
      </c>
      <c r="D677" s="212" t="str">
        <f>COMPOSICIÓN!D677</f>
        <v>EQ-PTO026</v>
      </c>
      <c r="E677" s="212" t="str">
        <f>COMPOSICIÓN!E677</f>
        <v>ESCALERA MADERA PINTOR 8 ESCALONES</v>
      </c>
      <c r="F677" s="212">
        <f>COMPOSICIÓN!F677</f>
        <v>0</v>
      </c>
      <c r="G677" s="213">
        <f>COMPOSICIÓN!G677</f>
        <v>1</v>
      </c>
      <c r="H677" s="214">
        <f>COMPOSICIÓN!H677</f>
        <v>0</v>
      </c>
      <c r="I677" s="215">
        <f>COMPOSICIÓN!I677</f>
        <v>200.25307946474501</v>
      </c>
      <c r="J677" s="212" t="str">
        <f>IFERROR(VLOOKUP(A677,PARTIDAS!$A$2:$C$269,3,FALSE()),"")</f>
        <v>PINTURA</v>
      </c>
      <c r="K677" s="212" t="str">
        <f>IFERROR(INDEX(PPTO_GENERADOR!$B$4:$B$220,MATCH(A677,PPTO_GENERADOR!$Q$4:$Q$220,0)),"")</f>
        <v/>
      </c>
      <c r="L677" s="216">
        <f>IF(PLAN_ETAPA!$C$4="(TODOS)",SUMIFS(PPTO_GENERADOR!$E$4:$E$220,PPTO_GENERADOR!$Q$4:$Q$220,A677),SUMIFS(PPTO_GENERADOR!$E$4:$E$220,PPTO_GENERADOR!$Q$4:$Q$220,A677,PPTO_GENERADOR!$B$4:$B$220,PLAN_ETAPA!$C$4))</f>
        <v>0</v>
      </c>
      <c r="M677" s="216">
        <f>IFERROR(VLOOKUP(A677,PARTIDAS!$A$2:$F$269,6,FALSE()),1)</f>
        <v>25</v>
      </c>
      <c r="N677" s="216">
        <f>IFERROR(VLOOKUP(A677,PARTIDAS!$A$2:$I$269,9,FALSE()),1)</f>
        <v>1</v>
      </c>
      <c r="O677" s="217">
        <f t="shared" si="20"/>
        <v>0</v>
      </c>
      <c r="P677" s="216">
        <f>IF(O677=0,0,IF(B677="MAT",G677*(1+H677)*L677*PLAN_ETAPA!$C$5,IF(B677="MO",IF(M677=0,0,G677*L677*PLAN_ETAPA!$C$5*N677/M677),IF(B677="EQ",IF(M677=0,0,G677*L677*PLAN_ETAPA!$C$5/M677),0))))</f>
        <v>0</v>
      </c>
      <c r="Q677" s="218">
        <f t="shared" si="21"/>
        <v>0</v>
      </c>
    </row>
    <row r="678" spans="1:17" x14ac:dyDescent="0.35">
      <c r="A678" s="212" t="str">
        <f>COMPOSICIÓN!A678</f>
        <v>PIN-146</v>
      </c>
      <c r="B678" s="212" t="str">
        <f>COMPOSICIÓN!B678</f>
        <v>MAT</v>
      </c>
      <c r="C678" s="212" t="str">
        <f>COMPOSICIÓN!C678</f>
        <v>OTR</v>
      </c>
      <c r="D678" s="212" t="str">
        <f>COMPOSICIÓN!D678</f>
        <v>OTR-021</v>
      </c>
      <c r="E678" s="212" t="str">
        <f>COMPOSICIÓN!E678</f>
        <v>Fijador al agua x 20 lts</v>
      </c>
      <c r="F678" s="212" t="str">
        <f>COMPOSICIÓN!F678</f>
        <v>b</v>
      </c>
      <c r="G678" s="213">
        <f>COMPOSICIÓN!G678</f>
        <v>4.0000000000000001E-3</v>
      </c>
      <c r="H678" s="214">
        <f>COMPOSICIÓN!H678</f>
        <v>0.05</v>
      </c>
      <c r="I678" s="215">
        <f>COMPOSICIÓN!I678</f>
        <v>30467.49</v>
      </c>
      <c r="J678" s="212" t="str">
        <f>IFERROR(VLOOKUP(A678,PARTIDAS!$A$2:$C$269,3,FALSE()),"")</f>
        <v>PINTURA</v>
      </c>
      <c r="K678" s="212" t="str">
        <f>IFERROR(INDEX(PPTO_GENERADOR!$B$4:$B$220,MATCH(A678,PPTO_GENERADOR!$Q$4:$Q$220,0)),"")</f>
        <v/>
      </c>
      <c r="L678" s="216">
        <f>IF(PLAN_ETAPA!$C$4="(TODOS)",SUMIFS(PPTO_GENERADOR!$E$4:$E$220,PPTO_GENERADOR!$Q$4:$Q$220,A678),SUMIFS(PPTO_GENERADOR!$E$4:$E$220,PPTO_GENERADOR!$Q$4:$Q$220,A678,PPTO_GENERADOR!$B$4:$B$220,PLAN_ETAPA!$C$4))</f>
        <v>0</v>
      </c>
      <c r="M678" s="216">
        <f>IFERROR(VLOOKUP(A678,PARTIDAS!$A$2:$F$269,6,FALSE()),1)</f>
        <v>25</v>
      </c>
      <c r="N678" s="216">
        <f>IFERROR(VLOOKUP(A678,PARTIDAS!$A$2:$I$269,9,FALSE()),1)</f>
        <v>1</v>
      </c>
      <c r="O678" s="217">
        <f t="shared" si="20"/>
        <v>0</v>
      </c>
      <c r="P678" s="216">
        <f>IF(O678=0,0,IF(B678="MAT",G678*(1+H678)*L678*PLAN_ETAPA!$C$5,IF(B678="MO",IF(M678=0,0,G678*L678*PLAN_ETAPA!$C$5*N678/M678),IF(B678="EQ",IF(M678=0,0,G678*L678*PLAN_ETAPA!$C$5/M678),0))))</f>
        <v>0</v>
      </c>
      <c r="Q678" s="218">
        <f t="shared" si="21"/>
        <v>0</v>
      </c>
    </row>
    <row r="679" spans="1:17" x14ac:dyDescent="0.35">
      <c r="A679" s="212" t="str">
        <f>COMPOSICIÓN!A679</f>
        <v>PIN-146</v>
      </c>
      <c r="B679" s="212" t="str">
        <f>COMPOSICIÓN!B679</f>
        <v>MAT</v>
      </c>
      <c r="C679" s="212" t="str">
        <f>COMPOSICIÓN!C679</f>
        <v>OTR</v>
      </c>
      <c r="D679" s="212" t="str">
        <f>COMPOSICIÓN!D679</f>
        <v>OTR-024</v>
      </c>
      <c r="E679" s="212" t="str">
        <f>COMPOSICIÓN!E679</f>
        <v>Cinta de Papel 36 mm x 40m</v>
      </c>
      <c r="F679" s="212" t="str">
        <f>COMPOSICIÓN!F679</f>
        <v>u</v>
      </c>
      <c r="G679" s="213">
        <f>COMPOSICIÓN!G679</f>
        <v>0.05</v>
      </c>
      <c r="H679" s="214">
        <f>COMPOSICIÓN!H679</f>
        <v>0.1</v>
      </c>
      <c r="I679" s="215">
        <f>COMPOSICIÓN!I679</f>
        <v>3293.01</v>
      </c>
      <c r="J679" s="212" t="str">
        <f>IFERROR(VLOOKUP(A679,PARTIDAS!$A$2:$C$269,3,FALSE()),"")</f>
        <v>PINTURA</v>
      </c>
      <c r="K679" s="212" t="str">
        <f>IFERROR(INDEX(PPTO_GENERADOR!$B$4:$B$220,MATCH(A679,PPTO_GENERADOR!$Q$4:$Q$220,0)),"")</f>
        <v/>
      </c>
      <c r="L679" s="216">
        <f>IF(PLAN_ETAPA!$C$4="(TODOS)",SUMIFS(PPTO_GENERADOR!$E$4:$E$220,PPTO_GENERADOR!$Q$4:$Q$220,A679),SUMIFS(PPTO_GENERADOR!$E$4:$E$220,PPTO_GENERADOR!$Q$4:$Q$220,A679,PPTO_GENERADOR!$B$4:$B$220,PLAN_ETAPA!$C$4))</f>
        <v>0</v>
      </c>
      <c r="M679" s="216">
        <f>IFERROR(VLOOKUP(A679,PARTIDAS!$A$2:$F$269,6,FALSE()),1)</f>
        <v>25</v>
      </c>
      <c r="N679" s="216">
        <f>IFERROR(VLOOKUP(A679,PARTIDAS!$A$2:$I$269,9,FALSE()),1)</f>
        <v>1</v>
      </c>
      <c r="O679" s="217">
        <f t="shared" si="20"/>
        <v>0</v>
      </c>
      <c r="P679" s="216">
        <f>IF(O679=0,0,IF(B679="MAT",G679*(1+H679)*L679*PLAN_ETAPA!$C$5,IF(B679="MO",IF(M679=0,0,G679*L679*PLAN_ETAPA!$C$5*N679/M679),IF(B679="EQ",IF(M679=0,0,G679*L679*PLAN_ETAPA!$C$5/M679),0))))</f>
        <v>0</v>
      </c>
      <c r="Q679" s="218">
        <f t="shared" si="21"/>
        <v>0</v>
      </c>
    </row>
    <row r="680" spans="1:17" x14ac:dyDescent="0.35">
      <c r="A680" s="212" t="str">
        <f>COMPOSICIÓN!A680</f>
        <v>PIN-146</v>
      </c>
      <c r="B680" s="212" t="str">
        <f>COMPOSICIÓN!B680</f>
        <v>MAT</v>
      </c>
      <c r="C680" s="212" t="str">
        <f>COMPOSICIÓN!C680</f>
        <v>OTR</v>
      </c>
      <c r="D680" s="212" t="str">
        <f>COMPOSICIÓN!D680</f>
        <v>OTR-025</v>
      </c>
      <c r="E680" s="212" t="str">
        <f>COMPOSICIÓN!E680</f>
        <v>Trapo</v>
      </c>
      <c r="F680" s="212" t="str">
        <f>COMPOSICIÓN!F680</f>
        <v>u</v>
      </c>
      <c r="G680" s="213">
        <f>COMPOSICIÓN!G680</f>
        <v>0.03</v>
      </c>
      <c r="H680" s="214">
        <f>COMPOSICIÓN!H680</f>
        <v>0.05</v>
      </c>
      <c r="I680" s="215">
        <f>COMPOSICIÓN!I680</f>
        <v>735.06</v>
      </c>
      <c r="J680" s="212" t="str">
        <f>IFERROR(VLOOKUP(A680,PARTIDAS!$A$2:$C$269,3,FALSE()),"")</f>
        <v>PINTURA</v>
      </c>
      <c r="K680" s="212" t="str">
        <f>IFERROR(INDEX(PPTO_GENERADOR!$B$4:$B$220,MATCH(A680,PPTO_GENERADOR!$Q$4:$Q$220,0)),"")</f>
        <v/>
      </c>
      <c r="L680" s="216">
        <f>IF(PLAN_ETAPA!$C$4="(TODOS)",SUMIFS(PPTO_GENERADOR!$E$4:$E$220,PPTO_GENERADOR!$Q$4:$Q$220,A680),SUMIFS(PPTO_GENERADOR!$E$4:$E$220,PPTO_GENERADOR!$Q$4:$Q$220,A680,PPTO_GENERADOR!$B$4:$B$220,PLAN_ETAPA!$C$4))</f>
        <v>0</v>
      </c>
      <c r="M680" s="216">
        <f>IFERROR(VLOOKUP(A680,PARTIDAS!$A$2:$F$269,6,FALSE()),1)</f>
        <v>25</v>
      </c>
      <c r="N680" s="216">
        <f>IFERROR(VLOOKUP(A680,PARTIDAS!$A$2:$I$269,9,FALSE()),1)</f>
        <v>1</v>
      </c>
      <c r="O680" s="217">
        <f t="shared" si="20"/>
        <v>0</v>
      </c>
      <c r="P680" s="216">
        <f>IF(O680=0,0,IF(B680="MAT",G680*(1+H680)*L680*PLAN_ETAPA!$C$5,IF(B680="MO",IF(M680=0,0,G680*L680*PLAN_ETAPA!$C$5*N680/M680),IF(B680="EQ",IF(M680=0,0,G680*L680*PLAN_ETAPA!$C$5/M680),0))))</f>
        <v>0</v>
      </c>
      <c r="Q680" s="218">
        <f t="shared" si="21"/>
        <v>0</v>
      </c>
    </row>
    <row r="681" spans="1:17" x14ac:dyDescent="0.35">
      <c r="A681" s="212" t="str">
        <f>COMPOSICIÓN!A681</f>
        <v>PIN-146</v>
      </c>
      <c r="B681" s="212" t="str">
        <f>COMPOSICIÓN!B681</f>
        <v>MAT</v>
      </c>
      <c r="C681" s="212" t="str">
        <f>COMPOSICIÓN!C681</f>
        <v>OTR</v>
      </c>
      <c r="D681" s="212" t="str">
        <f>COMPOSICIÓN!D681</f>
        <v>OTR-026</v>
      </c>
      <c r="E681" s="212" t="str">
        <f>COMPOSICIÓN!E681</f>
        <v>Rodillo de lana pelo corto antigota N°22 - El Galgo</v>
      </c>
      <c r="F681" s="212" t="str">
        <f>COMPOSICIÓN!F681</f>
        <v>u</v>
      </c>
      <c r="G681" s="213">
        <f>COMPOSICIÓN!G681</f>
        <v>5.0000000000000001E-3</v>
      </c>
      <c r="H681" s="214">
        <f>COMPOSICIÓN!H681</f>
        <v>0.05</v>
      </c>
      <c r="I681" s="215">
        <f>COMPOSICIÓN!I681</f>
        <v>6678.36</v>
      </c>
      <c r="J681" s="212" t="str">
        <f>IFERROR(VLOOKUP(A681,PARTIDAS!$A$2:$C$269,3,FALSE()),"")</f>
        <v>PINTURA</v>
      </c>
      <c r="K681" s="212" t="str">
        <f>IFERROR(INDEX(PPTO_GENERADOR!$B$4:$B$220,MATCH(A681,PPTO_GENERADOR!$Q$4:$Q$220,0)),"")</f>
        <v/>
      </c>
      <c r="L681" s="216">
        <f>IF(PLAN_ETAPA!$C$4="(TODOS)",SUMIFS(PPTO_GENERADOR!$E$4:$E$220,PPTO_GENERADOR!$Q$4:$Q$220,A681),SUMIFS(PPTO_GENERADOR!$E$4:$E$220,PPTO_GENERADOR!$Q$4:$Q$220,A681,PPTO_GENERADOR!$B$4:$B$220,PLAN_ETAPA!$C$4))</f>
        <v>0</v>
      </c>
      <c r="M681" s="216">
        <f>IFERROR(VLOOKUP(A681,PARTIDAS!$A$2:$F$269,6,FALSE()),1)</f>
        <v>25</v>
      </c>
      <c r="N681" s="216">
        <f>IFERROR(VLOOKUP(A681,PARTIDAS!$A$2:$I$269,9,FALSE()),1)</f>
        <v>1</v>
      </c>
      <c r="O681" s="217">
        <f t="shared" si="20"/>
        <v>0</v>
      </c>
      <c r="P681" s="216">
        <f>IF(O681=0,0,IF(B681="MAT",G681*(1+H681)*L681*PLAN_ETAPA!$C$5,IF(B681="MO",IF(M681=0,0,G681*L681*PLAN_ETAPA!$C$5*N681/M681),IF(B681="EQ",IF(M681=0,0,G681*L681*PLAN_ETAPA!$C$5/M681),0))))</f>
        <v>0</v>
      </c>
      <c r="Q681" s="218">
        <f t="shared" si="21"/>
        <v>0</v>
      </c>
    </row>
    <row r="682" spans="1:17" x14ac:dyDescent="0.35">
      <c r="A682" s="212" t="str">
        <f>COMPOSICIÓN!A682</f>
        <v>PIN-146</v>
      </c>
      <c r="B682" s="212" t="str">
        <f>COMPOSICIÓN!B682</f>
        <v>MAT</v>
      </c>
      <c r="C682" s="212" t="str">
        <f>COMPOSICIÓN!C682</f>
        <v>OTR</v>
      </c>
      <c r="D682" s="212" t="str">
        <f>COMPOSICIÓN!D682</f>
        <v>OTR-028</v>
      </c>
      <c r="E682" s="212" t="str">
        <f>COMPOSICIÓN!E682</f>
        <v>Pincel N° 20 - El Galgo</v>
      </c>
      <c r="F682" s="212" t="str">
        <f>COMPOSICIÓN!F682</f>
        <v>u</v>
      </c>
      <c r="G682" s="213">
        <f>COMPOSICIÓN!G682</f>
        <v>5.0000000000000001E-3</v>
      </c>
      <c r="H682" s="214">
        <f>COMPOSICIÓN!H682</f>
        <v>0.05</v>
      </c>
      <c r="I682" s="215">
        <f>COMPOSICIÓN!I682</f>
        <v>5282.24</v>
      </c>
      <c r="J682" s="212" t="str">
        <f>IFERROR(VLOOKUP(A682,PARTIDAS!$A$2:$C$269,3,FALSE()),"")</f>
        <v>PINTURA</v>
      </c>
      <c r="K682" s="212" t="str">
        <f>IFERROR(INDEX(PPTO_GENERADOR!$B$4:$B$220,MATCH(A682,PPTO_GENERADOR!$Q$4:$Q$220,0)),"")</f>
        <v/>
      </c>
      <c r="L682" s="216">
        <f>IF(PLAN_ETAPA!$C$4="(TODOS)",SUMIFS(PPTO_GENERADOR!$E$4:$E$220,PPTO_GENERADOR!$Q$4:$Q$220,A682),SUMIFS(PPTO_GENERADOR!$E$4:$E$220,PPTO_GENERADOR!$Q$4:$Q$220,A682,PPTO_GENERADOR!$B$4:$B$220,PLAN_ETAPA!$C$4))</f>
        <v>0</v>
      </c>
      <c r="M682" s="216">
        <f>IFERROR(VLOOKUP(A682,PARTIDAS!$A$2:$F$269,6,FALSE()),1)</f>
        <v>25</v>
      </c>
      <c r="N682" s="216">
        <f>IFERROR(VLOOKUP(A682,PARTIDAS!$A$2:$I$269,9,FALSE()),1)</f>
        <v>1</v>
      </c>
      <c r="O682" s="217">
        <f t="shared" si="20"/>
        <v>0</v>
      </c>
      <c r="P682" s="216">
        <f>IF(O682=0,0,IF(B682="MAT",G682*(1+H682)*L682*PLAN_ETAPA!$C$5,IF(B682="MO",IF(M682=0,0,G682*L682*PLAN_ETAPA!$C$5*N682/M682),IF(B682="EQ",IF(M682=0,0,G682*L682*PLAN_ETAPA!$C$5/M682),0))))</f>
        <v>0</v>
      </c>
      <c r="Q682" s="218">
        <f t="shared" si="21"/>
        <v>0</v>
      </c>
    </row>
    <row r="683" spans="1:17" x14ac:dyDescent="0.35">
      <c r="A683" s="212" t="str">
        <f>COMPOSICIÓN!A683</f>
        <v>PIN-146</v>
      </c>
      <c r="B683" s="212" t="str">
        <f>COMPOSICIÓN!B683</f>
        <v>MAT</v>
      </c>
      <c r="C683" s="212" t="str">
        <f>COMPOSICIÓN!C683</f>
        <v>OTR</v>
      </c>
      <c r="D683" s="212" t="str">
        <f>COMPOSICIÓN!D683</f>
        <v>OTR-029</v>
      </c>
      <c r="E683" s="212" t="str">
        <f>COMPOSICIÓN!E683</f>
        <v>Rollo de cartón corrugado 0,90 x 25 mts</v>
      </c>
      <c r="F683" s="212" t="str">
        <f>COMPOSICIÓN!F683</f>
        <v>u</v>
      </c>
      <c r="G683" s="213">
        <f>COMPOSICIÓN!G683</f>
        <v>0.01</v>
      </c>
      <c r="H683" s="214">
        <f>COMPOSICIÓN!H683</f>
        <v>0.05</v>
      </c>
      <c r="I683" s="215">
        <f>COMPOSICIÓN!I683</f>
        <v>7427.6</v>
      </c>
      <c r="J683" s="212" t="str">
        <f>IFERROR(VLOOKUP(A683,PARTIDAS!$A$2:$C$269,3,FALSE()),"")</f>
        <v>PINTURA</v>
      </c>
      <c r="K683" s="212" t="str">
        <f>IFERROR(INDEX(PPTO_GENERADOR!$B$4:$B$220,MATCH(A683,PPTO_GENERADOR!$Q$4:$Q$220,0)),"")</f>
        <v/>
      </c>
      <c r="L683" s="216">
        <f>IF(PLAN_ETAPA!$C$4="(TODOS)",SUMIFS(PPTO_GENERADOR!$E$4:$E$220,PPTO_GENERADOR!$Q$4:$Q$220,A683),SUMIFS(PPTO_GENERADOR!$E$4:$E$220,PPTO_GENERADOR!$Q$4:$Q$220,A683,PPTO_GENERADOR!$B$4:$B$220,PLAN_ETAPA!$C$4))</f>
        <v>0</v>
      </c>
      <c r="M683" s="216">
        <f>IFERROR(VLOOKUP(A683,PARTIDAS!$A$2:$F$269,6,FALSE()),1)</f>
        <v>25</v>
      </c>
      <c r="N683" s="216">
        <f>IFERROR(VLOOKUP(A683,PARTIDAS!$A$2:$I$269,9,FALSE()),1)</f>
        <v>1</v>
      </c>
      <c r="O683" s="217">
        <f t="shared" si="20"/>
        <v>0</v>
      </c>
      <c r="P683" s="216">
        <f>IF(O683=0,0,IF(B683="MAT",G683*(1+H683)*L683*PLAN_ETAPA!$C$5,IF(B683="MO",IF(M683=0,0,G683*L683*PLAN_ETAPA!$C$5*N683/M683),IF(B683="EQ",IF(M683=0,0,G683*L683*PLAN_ETAPA!$C$5/M683),0))))</f>
        <v>0</v>
      </c>
      <c r="Q683" s="218">
        <f t="shared" si="21"/>
        <v>0</v>
      </c>
    </row>
    <row r="684" spans="1:17" x14ac:dyDescent="0.35">
      <c r="A684" s="212" t="str">
        <f>COMPOSICIÓN!A684</f>
        <v>PIN-146</v>
      </c>
      <c r="B684" s="212" t="str">
        <f>COMPOSICIÓN!B684</f>
        <v>MAT</v>
      </c>
      <c r="C684" s="212" t="str">
        <f>COMPOSICIÓN!C684</f>
        <v>OTR</v>
      </c>
      <c r="D684" s="212" t="str">
        <f>COMPOSICIÓN!D684</f>
        <v>PIN-001</v>
      </c>
      <c r="E684" s="212" t="str">
        <f>COMPOSICIÓN!E684</f>
        <v>Latex Loxon Interior Sherwin Williams Mate Bco x 20lts</v>
      </c>
      <c r="F684" s="212" t="str">
        <f>COMPOSICIÓN!F684</f>
        <v>B</v>
      </c>
      <c r="G684" s="213">
        <f>COMPOSICIÓN!G684</f>
        <v>1.2500000000000001E-2</v>
      </c>
      <c r="H684" s="214">
        <f>COMPOSICIÓN!H684</f>
        <v>0.1</v>
      </c>
      <c r="I684" s="215">
        <f>COMPOSICIÓN!I684</f>
        <v>120622.23</v>
      </c>
      <c r="J684" s="212" t="str">
        <f>IFERROR(VLOOKUP(A684,PARTIDAS!$A$2:$C$269,3,FALSE()),"")</f>
        <v>PINTURA</v>
      </c>
      <c r="K684" s="212" t="str">
        <f>IFERROR(INDEX(PPTO_GENERADOR!$B$4:$B$220,MATCH(A684,PPTO_GENERADOR!$Q$4:$Q$220,0)),"")</f>
        <v/>
      </c>
      <c r="L684" s="216">
        <f>IF(PLAN_ETAPA!$C$4="(TODOS)",SUMIFS(PPTO_GENERADOR!$E$4:$E$220,PPTO_GENERADOR!$Q$4:$Q$220,A684),SUMIFS(PPTO_GENERADOR!$E$4:$E$220,PPTO_GENERADOR!$Q$4:$Q$220,A684,PPTO_GENERADOR!$B$4:$B$220,PLAN_ETAPA!$C$4))</f>
        <v>0</v>
      </c>
      <c r="M684" s="216">
        <f>IFERROR(VLOOKUP(A684,PARTIDAS!$A$2:$F$269,6,FALSE()),1)</f>
        <v>25</v>
      </c>
      <c r="N684" s="216">
        <f>IFERROR(VLOOKUP(A684,PARTIDAS!$A$2:$I$269,9,FALSE()),1)</f>
        <v>1</v>
      </c>
      <c r="O684" s="217">
        <f t="shared" si="20"/>
        <v>0</v>
      </c>
      <c r="P684" s="216">
        <f>IF(O684=0,0,IF(B684="MAT",G684*(1+H684)*L684*PLAN_ETAPA!$C$5,IF(B684="MO",IF(M684=0,0,G684*L684*PLAN_ETAPA!$C$5*N684/M684),IF(B684="EQ",IF(M684=0,0,G684*L684*PLAN_ETAPA!$C$5/M684),0))))</f>
        <v>0</v>
      </c>
      <c r="Q684" s="218">
        <f t="shared" si="21"/>
        <v>0</v>
      </c>
    </row>
    <row r="685" spans="1:17" x14ac:dyDescent="0.35">
      <c r="A685" s="212" t="str">
        <f>COMPOSICIÓN!A685</f>
        <v>PIN-146</v>
      </c>
      <c r="B685" s="212" t="str">
        <f>COMPOSICIÓN!B685</f>
        <v>MAT</v>
      </c>
      <c r="C685" s="212" t="str">
        <f>COMPOSICIÓN!C685</f>
        <v>OTR</v>
      </c>
      <c r="D685" s="212" t="str">
        <f>COMPOSICIÓN!D685</f>
        <v>REV-001</v>
      </c>
      <c r="E685" s="212" t="str">
        <f>COMPOSICIÓN!E685</f>
        <v>Yeso Tuyango x 30kg</v>
      </c>
      <c r="F685" s="212" t="str">
        <f>COMPOSICIÓN!F685</f>
        <v>b</v>
      </c>
      <c r="G685" s="213">
        <f>COMPOSICIÓN!G685</f>
        <v>1E-3</v>
      </c>
      <c r="H685" s="214">
        <f>COMPOSICIÓN!H685</f>
        <v>0.05</v>
      </c>
      <c r="I685" s="215">
        <f>COMPOSICIÓN!I685</f>
        <v>9639</v>
      </c>
      <c r="J685" s="212" t="str">
        <f>IFERROR(VLOOKUP(A685,PARTIDAS!$A$2:$C$269,3,FALSE()),"")</f>
        <v>PINTURA</v>
      </c>
      <c r="K685" s="212" t="str">
        <f>IFERROR(INDEX(PPTO_GENERADOR!$B$4:$B$220,MATCH(A685,PPTO_GENERADOR!$Q$4:$Q$220,0)),"")</f>
        <v/>
      </c>
      <c r="L685" s="216">
        <f>IF(PLAN_ETAPA!$C$4="(TODOS)",SUMIFS(PPTO_GENERADOR!$E$4:$E$220,PPTO_GENERADOR!$Q$4:$Q$220,A685),SUMIFS(PPTO_GENERADOR!$E$4:$E$220,PPTO_GENERADOR!$Q$4:$Q$220,A685,PPTO_GENERADOR!$B$4:$B$220,PLAN_ETAPA!$C$4))</f>
        <v>0</v>
      </c>
      <c r="M685" s="216">
        <f>IFERROR(VLOOKUP(A685,PARTIDAS!$A$2:$F$269,6,FALSE()),1)</f>
        <v>25</v>
      </c>
      <c r="N685" s="216">
        <f>IFERROR(VLOOKUP(A685,PARTIDAS!$A$2:$I$269,9,FALSE()),1)</f>
        <v>1</v>
      </c>
      <c r="O685" s="217">
        <f t="shared" si="20"/>
        <v>0</v>
      </c>
      <c r="P685" s="216">
        <f>IF(O685=0,0,IF(B685="MAT",G685*(1+H685)*L685*PLAN_ETAPA!$C$5,IF(B685="MO",IF(M685=0,0,G685*L685*PLAN_ETAPA!$C$5*N685/M685),IF(B685="EQ",IF(M685=0,0,G685*L685*PLAN_ETAPA!$C$5/M685),0))))</f>
        <v>0</v>
      </c>
      <c r="Q685" s="218">
        <f t="shared" si="21"/>
        <v>0</v>
      </c>
    </row>
    <row r="686" spans="1:17" x14ac:dyDescent="0.35">
      <c r="A686" s="212" t="str">
        <f>COMPOSICIÓN!A686</f>
        <v>PIN-146</v>
      </c>
      <c r="B686" s="212" t="str">
        <f>COMPOSICIÓN!B686</f>
        <v>MO</v>
      </c>
      <c r="C686" s="212" t="str">
        <f>COMPOSICIÓN!C686</f>
        <v>ALB</v>
      </c>
      <c r="D686" s="212" t="str">
        <f>COMPOSICIÓN!D686</f>
        <v>MO-EESPE</v>
      </c>
      <c r="E686" s="212" t="str">
        <f>COMPOSICIÓN!E686</f>
        <v>ESPECIALIZADO</v>
      </c>
      <c r="F686" s="212" t="str">
        <f>COMPOSICIÓN!F686</f>
        <v>j</v>
      </c>
      <c r="G686" s="213">
        <f>COMPOSICIÓN!G686</f>
        <v>1</v>
      </c>
      <c r="H686" s="214">
        <f>COMPOSICIÓN!H686</f>
        <v>0</v>
      </c>
      <c r="I686" s="215">
        <f>COMPOSICIÓN!I686</f>
        <v>85927.097156571996</v>
      </c>
      <c r="J686" s="212" t="str">
        <f>IFERROR(VLOOKUP(A686,PARTIDAS!$A$2:$C$269,3,FALSE()),"")</f>
        <v>PINTURA</v>
      </c>
      <c r="K686" s="212" t="str">
        <f>IFERROR(INDEX(PPTO_GENERADOR!$B$4:$B$220,MATCH(A686,PPTO_GENERADOR!$Q$4:$Q$220,0)),"")</f>
        <v/>
      </c>
      <c r="L686" s="216">
        <f>IF(PLAN_ETAPA!$C$4="(TODOS)",SUMIFS(PPTO_GENERADOR!$E$4:$E$220,PPTO_GENERADOR!$Q$4:$Q$220,A686),SUMIFS(PPTO_GENERADOR!$E$4:$E$220,PPTO_GENERADOR!$Q$4:$Q$220,A686,PPTO_GENERADOR!$B$4:$B$220,PLAN_ETAPA!$C$4))</f>
        <v>0</v>
      </c>
      <c r="M686" s="216">
        <f>IFERROR(VLOOKUP(A686,PARTIDAS!$A$2:$F$269,6,FALSE()),1)</f>
        <v>25</v>
      </c>
      <c r="N686" s="216">
        <f>IFERROR(VLOOKUP(A686,PARTIDAS!$A$2:$I$269,9,FALSE()),1)</f>
        <v>1</v>
      </c>
      <c r="O686" s="217">
        <f t="shared" si="20"/>
        <v>0</v>
      </c>
      <c r="P686" s="216">
        <f>IF(O686=0,0,IF(B686="MAT",G686*(1+H686)*L686*PLAN_ETAPA!$C$5,IF(B686="MO",IF(M686=0,0,G686*L686*PLAN_ETAPA!$C$5*N686/M686),IF(B686="EQ",IF(M686=0,0,G686*L686*PLAN_ETAPA!$C$5/M686),0))))</f>
        <v>0</v>
      </c>
      <c r="Q686" s="218">
        <f t="shared" si="21"/>
        <v>0</v>
      </c>
    </row>
    <row r="687" spans="1:17" x14ac:dyDescent="0.35">
      <c r="A687" s="212" t="str">
        <f>COMPOSICIÓN!A687</f>
        <v>PIN-53B</v>
      </c>
      <c r="B687" s="212" t="str">
        <f>COMPOSICIÓN!B687</f>
        <v>EQ</v>
      </c>
      <c r="C687" s="212">
        <f>COMPOSICIÓN!C687</f>
        <v>0</v>
      </c>
      <c r="D687" s="212" t="str">
        <f>COMPOSICIÓN!D687</f>
        <v>EQ-SILLET</v>
      </c>
      <c r="E687" s="212" t="str">
        <f>COMPOSICIÓN!E687</f>
        <v>Kit Complementario Silleta Descensor Conector Soga X 50 Mts</v>
      </c>
      <c r="F687" s="212">
        <f>COMPOSICIÓN!F687</f>
        <v>0</v>
      </c>
      <c r="G687" s="213">
        <f>COMPOSICIÓN!G687</f>
        <v>0.75</v>
      </c>
      <c r="H687" s="214">
        <f>COMPOSICIÓN!H687</f>
        <v>0</v>
      </c>
      <c r="I687" s="215">
        <f>COMPOSICIÓN!I687</f>
        <v>1899.1826421923361</v>
      </c>
      <c r="J687" s="212" t="str">
        <f>IFERROR(VLOOKUP(A687,PARTIDAS!$A$2:$C$269,3,FALSE()),"")</f>
        <v>PINTURA</v>
      </c>
      <c r="K687" s="212" t="str">
        <f>IFERROR(INDEX(PPTO_GENERADOR!$B$4:$B$220,MATCH(A687,PPTO_GENERADOR!$Q$4:$Q$220,0)),"")</f>
        <v>PINTURA</v>
      </c>
      <c r="L687" s="216">
        <f>IF(PLAN_ETAPA!$C$4="(TODOS)",SUMIFS(PPTO_GENERADOR!$E$4:$E$220,PPTO_GENERADOR!$Q$4:$Q$220,A687),SUMIFS(PPTO_GENERADOR!$E$4:$E$220,PPTO_GENERADOR!$Q$4:$Q$220,A687,PPTO_GENERADOR!$B$4:$B$220,PLAN_ETAPA!$C$4))</f>
        <v>0</v>
      </c>
      <c r="M687" s="216">
        <f>IFERROR(VLOOKUP(A687,PARTIDAS!$A$2:$F$269,6,FALSE()),1)</f>
        <v>15.5</v>
      </c>
      <c r="N687" s="216">
        <f>IFERROR(VLOOKUP(A687,PARTIDAS!$A$2:$I$269,9,FALSE()),1)</f>
        <v>1</v>
      </c>
      <c r="O687" s="217">
        <f t="shared" si="20"/>
        <v>0</v>
      </c>
      <c r="P687" s="216">
        <f>IF(O687=0,0,IF(B687="MAT",G687*(1+H687)*L687*PLAN_ETAPA!$C$5,IF(B687="MO",IF(M687=0,0,G687*L687*PLAN_ETAPA!$C$5*N687/M687),IF(B687="EQ",IF(M687=0,0,G687*L687*PLAN_ETAPA!$C$5/M687),0))))</f>
        <v>0</v>
      </c>
      <c r="Q687" s="218">
        <f t="shared" si="21"/>
        <v>0</v>
      </c>
    </row>
    <row r="688" spans="1:17" x14ac:dyDescent="0.35">
      <c r="A688" s="212" t="str">
        <f>COMPOSICIÓN!A688</f>
        <v>PIN-53B</v>
      </c>
      <c r="B688" s="212" t="str">
        <f>COMPOSICIÓN!B688</f>
        <v>EQ</v>
      </c>
      <c r="C688" s="212">
        <f>COMPOSICIÓN!C688</f>
        <v>0</v>
      </c>
      <c r="D688" s="212" t="str">
        <f>COMPOSICIÓN!D688</f>
        <v>EQ-EQUIPI</v>
      </c>
      <c r="E688" s="212" t="str">
        <f>COMPOSICIÓN!E688</f>
        <v>EQUIPO PARA PINTAR</v>
      </c>
      <c r="F688" s="212">
        <f>COMPOSICIÓN!F688</f>
        <v>0</v>
      </c>
      <c r="G688" s="213">
        <f>COMPOSICIÓN!G688</f>
        <v>1</v>
      </c>
      <c r="H688" s="214">
        <f>COMPOSICIÓN!H688</f>
        <v>0</v>
      </c>
      <c r="I688" s="215">
        <f>COMPOSICIÓN!I688</f>
        <v>1723.6259595547085</v>
      </c>
      <c r="J688" s="212" t="str">
        <f>IFERROR(VLOOKUP(A688,PARTIDAS!$A$2:$C$269,3,FALSE()),"")</f>
        <v>PINTURA</v>
      </c>
      <c r="K688" s="212" t="str">
        <f>IFERROR(INDEX(PPTO_GENERADOR!$B$4:$B$220,MATCH(A688,PPTO_GENERADOR!$Q$4:$Q$220,0)),"")</f>
        <v>PINTURA</v>
      </c>
      <c r="L688" s="216">
        <f>IF(PLAN_ETAPA!$C$4="(TODOS)",SUMIFS(PPTO_GENERADOR!$E$4:$E$220,PPTO_GENERADOR!$Q$4:$Q$220,A688),SUMIFS(PPTO_GENERADOR!$E$4:$E$220,PPTO_GENERADOR!$Q$4:$Q$220,A688,PPTO_GENERADOR!$B$4:$B$220,PLAN_ETAPA!$C$4))</f>
        <v>0</v>
      </c>
      <c r="M688" s="216">
        <f>IFERROR(VLOOKUP(A688,PARTIDAS!$A$2:$F$269,6,FALSE()),1)</f>
        <v>15.5</v>
      </c>
      <c r="N688" s="216">
        <f>IFERROR(VLOOKUP(A688,PARTIDAS!$A$2:$I$269,9,FALSE()),1)</f>
        <v>1</v>
      </c>
      <c r="O688" s="217">
        <f t="shared" si="20"/>
        <v>0</v>
      </c>
      <c r="P688" s="216">
        <f>IF(O688=0,0,IF(B688="MAT",G688*(1+H688)*L688*PLAN_ETAPA!$C$5,IF(B688="MO",IF(M688=0,0,G688*L688*PLAN_ETAPA!$C$5*N688/M688),IF(B688="EQ",IF(M688=0,0,G688*L688*PLAN_ETAPA!$C$5/M688),0))))</f>
        <v>0</v>
      </c>
      <c r="Q688" s="218">
        <f t="shared" si="21"/>
        <v>0</v>
      </c>
    </row>
    <row r="689" spans="1:17" x14ac:dyDescent="0.35">
      <c r="A689" s="212" t="str">
        <f>COMPOSICIÓN!A689</f>
        <v>PIN-53B</v>
      </c>
      <c r="B689" s="212" t="str">
        <f>COMPOSICIÓN!B689</f>
        <v>EQ</v>
      </c>
      <c r="C689" s="212">
        <f>COMPOSICIÓN!C689</f>
        <v>0</v>
      </c>
      <c r="D689" s="212" t="str">
        <f>COMPOSICIÓN!D689</f>
        <v>EQ-PTO026</v>
      </c>
      <c r="E689" s="212" t="str">
        <f>COMPOSICIÓN!E689</f>
        <v>ESCALERA MADERA PINTOR 8 ESCALONES</v>
      </c>
      <c r="F689" s="212">
        <f>COMPOSICIÓN!F689</f>
        <v>0</v>
      </c>
      <c r="G689" s="213">
        <f>COMPOSICIÓN!G689</f>
        <v>1</v>
      </c>
      <c r="H689" s="214">
        <f>COMPOSICIÓN!H689</f>
        <v>0</v>
      </c>
      <c r="I689" s="215">
        <f>COMPOSICIÓN!I689</f>
        <v>200.25307946474501</v>
      </c>
      <c r="J689" s="212" t="str">
        <f>IFERROR(VLOOKUP(A689,PARTIDAS!$A$2:$C$269,3,FALSE()),"")</f>
        <v>PINTURA</v>
      </c>
      <c r="K689" s="212" t="str">
        <f>IFERROR(INDEX(PPTO_GENERADOR!$B$4:$B$220,MATCH(A689,PPTO_GENERADOR!$Q$4:$Q$220,0)),"")</f>
        <v>PINTURA</v>
      </c>
      <c r="L689" s="216">
        <f>IF(PLAN_ETAPA!$C$4="(TODOS)",SUMIFS(PPTO_GENERADOR!$E$4:$E$220,PPTO_GENERADOR!$Q$4:$Q$220,A689),SUMIFS(PPTO_GENERADOR!$E$4:$E$220,PPTO_GENERADOR!$Q$4:$Q$220,A689,PPTO_GENERADOR!$B$4:$B$220,PLAN_ETAPA!$C$4))</f>
        <v>0</v>
      </c>
      <c r="M689" s="216">
        <f>IFERROR(VLOOKUP(A689,PARTIDAS!$A$2:$F$269,6,FALSE()),1)</f>
        <v>15.5</v>
      </c>
      <c r="N689" s="216">
        <f>IFERROR(VLOOKUP(A689,PARTIDAS!$A$2:$I$269,9,FALSE()),1)</f>
        <v>1</v>
      </c>
      <c r="O689" s="217">
        <f t="shared" si="20"/>
        <v>0</v>
      </c>
      <c r="P689" s="216">
        <f>IF(O689=0,0,IF(B689="MAT",G689*(1+H689)*L689*PLAN_ETAPA!$C$5,IF(B689="MO",IF(M689=0,0,G689*L689*PLAN_ETAPA!$C$5*N689/M689),IF(B689="EQ",IF(M689=0,0,G689*L689*PLAN_ETAPA!$C$5/M689),0))))</f>
        <v>0</v>
      </c>
      <c r="Q689" s="218">
        <f t="shared" si="21"/>
        <v>0</v>
      </c>
    </row>
    <row r="690" spans="1:17" x14ac:dyDescent="0.35">
      <c r="A690" s="212" t="str">
        <f>COMPOSICIÓN!A690</f>
        <v>PIN-53B</v>
      </c>
      <c r="B690" s="212" t="str">
        <f>COMPOSICIÓN!B690</f>
        <v>EQ</v>
      </c>
      <c r="C690" s="212">
        <f>COMPOSICIÓN!C690</f>
        <v>0</v>
      </c>
      <c r="D690" s="212" t="str">
        <f>COMPOSICIÓN!D690</f>
        <v>EQ-ANDAM0</v>
      </c>
      <c r="E690" s="212" t="str">
        <f>COMPOSICIÓN!E690</f>
        <v>ANDAMIO TUBULAR DE UNO A TRES CUERPOS</v>
      </c>
      <c r="F690" s="212">
        <f>COMPOSICIÓN!F690</f>
        <v>0</v>
      </c>
      <c r="G690" s="213">
        <f>COMPOSICIÓN!G690</f>
        <v>0.5</v>
      </c>
      <c r="H690" s="214">
        <f>COMPOSICIÓN!H690</f>
        <v>0</v>
      </c>
      <c r="I690" s="215">
        <f>COMPOSICIÓN!I690</f>
        <v>571.1794909807611</v>
      </c>
      <c r="J690" s="212" t="str">
        <f>IFERROR(VLOOKUP(A690,PARTIDAS!$A$2:$C$269,3,FALSE()),"")</f>
        <v>PINTURA</v>
      </c>
      <c r="K690" s="212" t="str">
        <f>IFERROR(INDEX(PPTO_GENERADOR!$B$4:$B$220,MATCH(A690,PPTO_GENERADOR!$Q$4:$Q$220,0)),"")</f>
        <v>PINTURA</v>
      </c>
      <c r="L690" s="216">
        <f>IF(PLAN_ETAPA!$C$4="(TODOS)",SUMIFS(PPTO_GENERADOR!$E$4:$E$220,PPTO_GENERADOR!$Q$4:$Q$220,A690),SUMIFS(PPTO_GENERADOR!$E$4:$E$220,PPTO_GENERADOR!$Q$4:$Q$220,A690,PPTO_GENERADOR!$B$4:$B$220,PLAN_ETAPA!$C$4))</f>
        <v>0</v>
      </c>
      <c r="M690" s="216">
        <f>IFERROR(VLOOKUP(A690,PARTIDAS!$A$2:$F$269,6,FALSE()),1)</f>
        <v>15.5</v>
      </c>
      <c r="N690" s="216">
        <f>IFERROR(VLOOKUP(A690,PARTIDAS!$A$2:$I$269,9,FALSE()),1)</f>
        <v>1</v>
      </c>
      <c r="O690" s="217">
        <f t="shared" si="20"/>
        <v>0</v>
      </c>
      <c r="P690" s="216">
        <f>IF(O690=0,0,IF(B690="MAT",G690*(1+H690)*L690*PLAN_ETAPA!$C$5,IF(B690="MO",IF(M690=0,0,G690*L690*PLAN_ETAPA!$C$5*N690/M690),IF(B690="EQ",IF(M690=0,0,G690*L690*PLAN_ETAPA!$C$5/M690),0))))</f>
        <v>0</v>
      </c>
      <c r="Q690" s="218">
        <f t="shared" si="21"/>
        <v>0</v>
      </c>
    </row>
    <row r="691" spans="1:17" x14ac:dyDescent="0.35">
      <c r="A691" s="212" t="str">
        <f>COMPOSICIÓN!A691</f>
        <v>PIN-53B</v>
      </c>
      <c r="B691" s="212" t="str">
        <f>COMPOSICIÓN!B691</f>
        <v>MAT</v>
      </c>
      <c r="C691" s="212" t="str">
        <f>COMPOSICIÓN!C691</f>
        <v>OTR</v>
      </c>
      <c r="D691" s="212" t="str">
        <f>COMPOSICIÓN!D691</f>
        <v>OTR-021</v>
      </c>
      <c r="E691" s="212" t="str">
        <f>COMPOSICIÓN!E691</f>
        <v>Fijador al agua x 20 lts</v>
      </c>
      <c r="F691" s="212" t="str">
        <f>COMPOSICIÓN!F691</f>
        <v>b</v>
      </c>
      <c r="G691" s="213">
        <f>COMPOSICIÓN!G691</f>
        <v>4.0000000000000001E-3</v>
      </c>
      <c r="H691" s="214">
        <f>COMPOSICIÓN!H691</f>
        <v>0.05</v>
      </c>
      <c r="I691" s="215">
        <f>COMPOSICIÓN!I691</f>
        <v>30467.49</v>
      </c>
      <c r="J691" s="212" t="str">
        <f>IFERROR(VLOOKUP(A691,PARTIDAS!$A$2:$C$269,3,FALSE()),"")</f>
        <v>PINTURA</v>
      </c>
      <c r="K691" s="212" t="str">
        <f>IFERROR(INDEX(PPTO_GENERADOR!$B$4:$B$220,MATCH(A691,PPTO_GENERADOR!$Q$4:$Q$220,0)),"")</f>
        <v>PINTURA</v>
      </c>
      <c r="L691" s="216">
        <f>IF(PLAN_ETAPA!$C$4="(TODOS)",SUMIFS(PPTO_GENERADOR!$E$4:$E$220,PPTO_GENERADOR!$Q$4:$Q$220,A691),SUMIFS(PPTO_GENERADOR!$E$4:$E$220,PPTO_GENERADOR!$Q$4:$Q$220,A691,PPTO_GENERADOR!$B$4:$B$220,PLAN_ETAPA!$C$4))</f>
        <v>0</v>
      </c>
      <c r="M691" s="216">
        <f>IFERROR(VLOOKUP(A691,PARTIDAS!$A$2:$F$269,6,FALSE()),1)</f>
        <v>15.5</v>
      </c>
      <c r="N691" s="216">
        <f>IFERROR(VLOOKUP(A691,PARTIDAS!$A$2:$I$269,9,FALSE()),1)</f>
        <v>1</v>
      </c>
      <c r="O691" s="217">
        <f t="shared" si="20"/>
        <v>0</v>
      </c>
      <c r="P691" s="216">
        <f>IF(O691=0,0,IF(B691="MAT",G691*(1+H691)*L691*PLAN_ETAPA!$C$5,IF(B691="MO",IF(M691=0,0,G691*L691*PLAN_ETAPA!$C$5*N691/M691),IF(B691="EQ",IF(M691=0,0,G691*L691*PLAN_ETAPA!$C$5/M691),0))))</f>
        <v>0</v>
      </c>
      <c r="Q691" s="218">
        <f t="shared" si="21"/>
        <v>0</v>
      </c>
    </row>
    <row r="692" spans="1:17" x14ac:dyDescent="0.35">
      <c r="A692" s="212" t="str">
        <f>COMPOSICIÓN!A692</f>
        <v>PIN-53B</v>
      </c>
      <c r="B692" s="212" t="str">
        <f>COMPOSICIÓN!B692</f>
        <v>MAT</v>
      </c>
      <c r="C692" s="212" t="str">
        <f>COMPOSICIÓN!C692</f>
        <v>OTR</v>
      </c>
      <c r="D692" s="212" t="str">
        <f>COMPOSICIÓN!D692</f>
        <v>OTR-023</v>
      </c>
      <c r="E692" s="212" t="str">
        <f>COMPOSICIÓN!E692</f>
        <v>Lija 180 al agua x 10u</v>
      </c>
      <c r="F692" s="212" t="str">
        <f>COMPOSICIÓN!F692</f>
        <v>u</v>
      </c>
      <c r="G692" s="213">
        <f>COMPOSICIÓN!G692</f>
        <v>0.01</v>
      </c>
      <c r="H692" s="214">
        <f>COMPOSICIÓN!H692</f>
        <v>0.05</v>
      </c>
      <c r="I692" s="215">
        <f>COMPOSICIÓN!I692</f>
        <v>5661.4</v>
      </c>
      <c r="J692" s="212" t="str">
        <f>IFERROR(VLOOKUP(A692,PARTIDAS!$A$2:$C$269,3,FALSE()),"")</f>
        <v>PINTURA</v>
      </c>
      <c r="K692" s="212" t="str">
        <f>IFERROR(INDEX(PPTO_GENERADOR!$B$4:$B$220,MATCH(A692,PPTO_GENERADOR!$Q$4:$Q$220,0)),"")</f>
        <v>PINTURA</v>
      </c>
      <c r="L692" s="216">
        <f>IF(PLAN_ETAPA!$C$4="(TODOS)",SUMIFS(PPTO_GENERADOR!$E$4:$E$220,PPTO_GENERADOR!$Q$4:$Q$220,A692),SUMIFS(PPTO_GENERADOR!$E$4:$E$220,PPTO_GENERADOR!$Q$4:$Q$220,A692,PPTO_GENERADOR!$B$4:$B$220,PLAN_ETAPA!$C$4))</f>
        <v>0</v>
      </c>
      <c r="M692" s="216">
        <f>IFERROR(VLOOKUP(A692,PARTIDAS!$A$2:$F$269,6,FALSE()),1)</f>
        <v>15.5</v>
      </c>
      <c r="N692" s="216">
        <f>IFERROR(VLOOKUP(A692,PARTIDAS!$A$2:$I$269,9,FALSE()),1)</f>
        <v>1</v>
      </c>
      <c r="O692" s="217">
        <f t="shared" si="20"/>
        <v>0</v>
      </c>
      <c r="P692" s="216">
        <f>IF(O692=0,0,IF(B692="MAT",G692*(1+H692)*L692*PLAN_ETAPA!$C$5,IF(B692="MO",IF(M692=0,0,G692*L692*PLAN_ETAPA!$C$5*N692/M692),IF(B692="EQ",IF(M692=0,0,G692*L692*PLAN_ETAPA!$C$5/M692),0))))</f>
        <v>0</v>
      </c>
      <c r="Q692" s="218">
        <f t="shared" si="21"/>
        <v>0</v>
      </c>
    </row>
    <row r="693" spans="1:17" x14ac:dyDescent="0.35">
      <c r="A693" s="212" t="str">
        <f>COMPOSICIÓN!A693</f>
        <v>PIN-53B</v>
      </c>
      <c r="B693" s="212" t="str">
        <f>COMPOSICIÓN!B693</f>
        <v>MAT</v>
      </c>
      <c r="C693" s="212" t="str">
        <f>COMPOSICIÓN!C693</f>
        <v>OTR</v>
      </c>
      <c r="D693" s="212" t="str">
        <f>COMPOSICIÓN!D693</f>
        <v>OTR-024</v>
      </c>
      <c r="E693" s="212" t="str">
        <f>COMPOSICIÓN!E693</f>
        <v>Cinta de Papel 36 mm x 40m</v>
      </c>
      <c r="F693" s="212" t="str">
        <f>COMPOSICIÓN!F693</f>
        <v>u</v>
      </c>
      <c r="G693" s="213">
        <f>COMPOSICIÓN!G693</f>
        <v>0.01</v>
      </c>
      <c r="H693" s="214">
        <f>COMPOSICIÓN!H693</f>
        <v>0.1</v>
      </c>
      <c r="I693" s="215">
        <f>COMPOSICIÓN!I693</f>
        <v>3293.01</v>
      </c>
      <c r="J693" s="212" t="str">
        <f>IFERROR(VLOOKUP(A693,PARTIDAS!$A$2:$C$269,3,FALSE()),"")</f>
        <v>PINTURA</v>
      </c>
      <c r="K693" s="212" t="str">
        <f>IFERROR(INDEX(PPTO_GENERADOR!$B$4:$B$220,MATCH(A693,PPTO_GENERADOR!$Q$4:$Q$220,0)),"")</f>
        <v>PINTURA</v>
      </c>
      <c r="L693" s="216">
        <f>IF(PLAN_ETAPA!$C$4="(TODOS)",SUMIFS(PPTO_GENERADOR!$E$4:$E$220,PPTO_GENERADOR!$Q$4:$Q$220,A693),SUMIFS(PPTO_GENERADOR!$E$4:$E$220,PPTO_GENERADOR!$Q$4:$Q$220,A693,PPTO_GENERADOR!$B$4:$B$220,PLAN_ETAPA!$C$4))</f>
        <v>0</v>
      </c>
      <c r="M693" s="216">
        <f>IFERROR(VLOOKUP(A693,PARTIDAS!$A$2:$F$269,6,FALSE()),1)</f>
        <v>15.5</v>
      </c>
      <c r="N693" s="216">
        <f>IFERROR(VLOOKUP(A693,PARTIDAS!$A$2:$I$269,9,FALSE()),1)</f>
        <v>1</v>
      </c>
      <c r="O693" s="217">
        <f t="shared" si="20"/>
        <v>0</v>
      </c>
      <c r="P693" s="216">
        <f>IF(O693=0,0,IF(B693="MAT",G693*(1+H693)*L693*PLAN_ETAPA!$C$5,IF(B693="MO",IF(M693=0,0,G693*L693*PLAN_ETAPA!$C$5*N693/M693),IF(B693="EQ",IF(M693=0,0,G693*L693*PLAN_ETAPA!$C$5/M693),0))))</f>
        <v>0</v>
      </c>
      <c r="Q693" s="218">
        <f t="shared" si="21"/>
        <v>0</v>
      </c>
    </row>
    <row r="694" spans="1:17" x14ac:dyDescent="0.35">
      <c r="A694" s="212" t="str">
        <f>COMPOSICIÓN!A694</f>
        <v>PIN-53B</v>
      </c>
      <c r="B694" s="212" t="str">
        <f>COMPOSICIÓN!B694</f>
        <v>MAT</v>
      </c>
      <c r="C694" s="212" t="str">
        <f>COMPOSICIÓN!C694</f>
        <v>OTR</v>
      </c>
      <c r="D694" s="212" t="str">
        <f>COMPOSICIÓN!D694</f>
        <v>OTR-025</v>
      </c>
      <c r="E694" s="212" t="str">
        <f>COMPOSICIÓN!E694</f>
        <v>Trapo</v>
      </c>
      <c r="F694" s="212" t="str">
        <f>COMPOSICIÓN!F694</f>
        <v>u</v>
      </c>
      <c r="G694" s="213">
        <f>COMPOSICIÓN!G694</f>
        <v>0.01</v>
      </c>
      <c r="H694" s="214">
        <f>COMPOSICIÓN!H694</f>
        <v>0.05</v>
      </c>
      <c r="I694" s="215">
        <f>COMPOSICIÓN!I694</f>
        <v>735.06</v>
      </c>
      <c r="J694" s="212" t="str">
        <f>IFERROR(VLOOKUP(A694,PARTIDAS!$A$2:$C$269,3,FALSE()),"")</f>
        <v>PINTURA</v>
      </c>
      <c r="K694" s="212" t="str">
        <f>IFERROR(INDEX(PPTO_GENERADOR!$B$4:$B$220,MATCH(A694,PPTO_GENERADOR!$Q$4:$Q$220,0)),"")</f>
        <v>PINTURA</v>
      </c>
      <c r="L694" s="216">
        <f>IF(PLAN_ETAPA!$C$4="(TODOS)",SUMIFS(PPTO_GENERADOR!$E$4:$E$220,PPTO_GENERADOR!$Q$4:$Q$220,A694),SUMIFS(PPTO_GENERADOR!$E$4:$E$220,PPTO_GENERADOR!$Q$4:$Q$220,A694,PPTO_GENERADOR!$B$4:$B$220,PLAN_ETAPA!$C$4))</f>
        <v>0</v>
      </c>
      <c r="M694" s="216">
        <f>IFERROR(VLOOKUP(A694,PARTIDAS!$A$2:$F$269,6,FALSE()),1)</f>
        <v>15.5</v>
      </c>
      <c r="N694" s="216">
        <f>IFERROR(VLOOKUP(A694,PARTIDAS!$A$2:$I$269,9,FALSE()),1)</f>
        <v>1</v>
      </c>
      <c r="O694" s="217">
        <f t="shared" si="20"/>
        <v>0</v>
      </c>
      <c r="P694" s="216">
        <f>IF(O694=0,0,IF(B694="MAT",G694*(1+H694)*L694*PLAN_ETAPA!$C$5,IF(B694="MO",IF(M694=0,0,G694*L694*PLAN_ETAPA!$C$5*N694/M694),IF(B694="EQ",IF(M694=0,0,G694*L694*PLAN_ETAPA!$C$5/M694),0))))</f>
        <v>0</v>
      </c>
      <c r="Q694" s="218">
        <f t="shared" si="21"/>
        <v>0</v>
      </c>
    </row>
    <row r="695" spans="1:17" x14ac:dyDescent="0.35">
      <c r="A695" s="212" t="str">
        <f>COMPOSICIÓN!A695</f>
        <v>PIN-53B</v>
      </c>
      <c r="B695" s="212" t="str">
        <f>COMPOSICIÓN!B695</f>
        <v>MAT</v>
      </c>
      <c r="C695" s="212" t="str">
        <f>COMPOSICIÓN!C695</f>
        <v>OTR</v>
      </c>
      <c r="D695" s="212" t="str">
        <f>COMPOSICIÓN!D695</f>
        <v>OTR-027</v>
      </c>
      <c r="E695" s="212" t="str">
        <f>COMPOSICIÓN!E695</f>
        <v>Rodillo de lana pelo largo N°22 - El Galgo</v>
      </c>
      <c r="F695" s="212" t="str">
        <f>COMPOSICIÓN!F695</f>
        <v>u</v>
      </c>
      <c r="G695" s="213">
        <f>COMPOSICIÓN!G695</f>
        <v>5.0000000000000001E-3</v>
      </c>
      <c r="H695" s="214">
        <f>COMPOSICIÓN!H695</f>
        <v>0.05</v>
      </c>
      <c r="I695" s="215">
        <f>COMPOSICIÓN!I695</f>
        <v>6678.36</v>
      </c>
      <c r="J695" s="212" t="str">
        <f>IFERROR(VLOOKUP(A695,PARTIDAS!$A$2:$C$269,3,FALSE()),"")</f>
        <v>PINTURA</v>
      </c>
      <c r="K695" s="212" t="str">
        <f>IFERROR(INDEX(PPTO_GENERADOR!$B$4:$B$220,MATCH(A695,PPTO_GENERADOR!$Q$4:$Q$220,0)),"")</f>
        <v>PINTURA</v>
      </c>
      <c r="L695" s="216">
        <f>IF(PLAN_ETAPA!$C$4="(TODOS)",SUMIFS(PPTO_GENERADOR!$E$4:$E$220,PPTO_GENERADOR!$Q$4:$Q$220,A695),SUMIFS(PPTO_GENERADOR!$E$4:$E$220,PPTO_GENERADOR!$Q$4:$Q$220,A695,PPTO_GENERADOR!$B$4:$B$220,PLAN_ETAPA!$C$4))</f>
        <v>0</v>
      </c>
      <c r="M695" s="216">
        <f>IFERROR(VLOOKUP(A695,PARTIDAS!$A$2:$F$269,6,FALSE()),1)</f>
        <v>15.5</v>
      </c>
      <c r="N695" s="216">
        <f>IFERROR(VLOOKUP(A695,PARTIDAS!$A$2:$I$269,9,FALSE()),1)</f>
        <v>1</v>
      </c>
      <c r="O695" s="217">
        <f t="shared" si="20"/>
        <v>0</v>
      </c>
      <c r="P695" s="216">
        <f>IF(O695=0,0,IF(B695="MAT",G695*(1+H695)*L695*PLAN_ETAPA!$C$5,IF(B695="MO",IF(M695=0,0,G695*L695*PLAN_ETAPA!$C$5*N695/M695),IF(B695="EQ",IF(M695=0,0,G695*L695*PLAN_ETAPA!$C$5/M695),0))))</f>
        <v>0</v>
      </c>
      <c r="Q695" s="218">
        <f t="shared" si="21"/>
        <v>0</v>
      </c>
    </row>
    <row r="696" spans="1:17" x14ac:dyDescent="0.35">
      <c r="A696" s="212" t="str">
        <f>COMPOSICIÓN!A696</f>
        <v>PIN-53B</v>
      </c>
      <c r="B696" s="212" t="str">
        <f>COMPOSICIÓN!B696</f>
        <v>MAT</v>
      </c>
      <c r="C696" s="212" t="str">
        <f>COMPOSICIÓN!C696</f>
        <v>OTR</v>
      </c>
      <c r="D696" s="212" t="str">
        <f>COMPOSICIÓN!D696</f>
        <v>OTR-028</v>
      </c>
      <c r="E696" s="212" t="str">
        <f>COMPOSICIÓN!E696</f>
        <v>Pincel N° 20 - El Galgo</v>
      </c>
      <c r="F696" s="212" t="str">
        <f>COMPOSICIÓN!F696</f>
        <v>u</v>
      </c>
      <c r="G696" s="213">
        <f>COMPOSICIÓN!G696</f>
        <v>5.0000000000000001E-3</v>
      </c>
      <c r="H696" s="214">
        <f>COMPOSICIÓN!H696</f>
        <v>0.05</v>
      </c>
      <c r="I696" s="215">
        <f>COMPOSICIÓN!I696</f>
        <v>5282.24</v>
      </c>
      <c r="J696" s="212" t="str">
        <f>IFERROR(VLOOKUP(A696,PARTIDAS!$A$2:$C$269,3,FALSE()),"")</f>
        <v>PINTURA</v>
      </c>
      <c r="K696" s="212" t="str">
        <f>IFERROR(INDEX(PPTO_GENERADOR!$B$4:$B$220,MATCH(A696,PPTO_GENERADOR!$Q$4:$Q$220,0)),"")</f>
        <v>PINTURA</v>
      </c>
      <c r="L696" s="216">
        <f>IF(PLAN_ETAPA!$C$4="(TODOS)",SUMIFS(PPTO_GENERADOR!$E$4:$E$220,PPTO_GENERADOR!$Q$4:$Q$220,A696),SUMIFS(PPTO_GENERADOR!$E$4:$E$220,PPTO_GENERADOR!$Q$4:$Q$220,A696,PPTO_GENERADOR!$B$4:$B$220,PLAN_ETAPA!$C$4))</f>
        <v>0</v>
      </c>
      <c r="M696" s="216">
        <f>IFERROR(VLOOKUP(A696,PARTIDAS!$A$2:$F$269,6,FALSE()),1)</f>
        <v>15.5</v>
      </c>
      <c r="N696" s="216">
        <f>IFERROR(VLOOKUP(A696,PARTIDAS!$A$2:$I$269,9,FALSE()),1)</f>
        <v>1</v>
      </c>
      <c r="O696" s="217">
        <f t="shared" si="20"/>
        <v>0</v>
      </c>
      <c r="P696" s="216">
        <f>IF(O696=0,0,IF(B696="MAT",G696*(1+H696)*L696*PLAN_ETAPA!$C$5,IF(B696="MO",IF(M696=0,0,G696*L696*PLAN_ETAPA!$C$5*N696/M696),IF(B696="EQ",IF(M696=0,0,G696*L696*PLAN_ETAPA!$C$5/M696),0))))</f>
        <v>0</v>
      </c>
      <c r="Q696" s="218">
        <f t="shared" si="21"/>
        <v>0</v>
      </c>
    </row>
    <row r="697" spans="1:17" x14ac:dyDescent="0.35">
      <c r="A697" s="212" t="str">
        <f>COMPOSICIÓN!A697</f>
        <v>PIN-53B</v>
      </c>
      <c r="B697" s="212" t="str">
        <f>COMPOSICIÓN!B697</f>
        <v>MAT</v>
      </c>
      <c r="C697" s="212" t="str">
        <f>COMPOSICIÓN!C697</f>
        <v>OTR</v>
      </c>
      <c r="D697" s="212" t="str">
        <f>COMPOSICIÓN!D697</f>
        <v>OTR-029</v>
      </c>
      <c r="E697" s="212" t="str">
        <f>COMPOSICIÓN!E697</f>
        <v>Rollo de cartón corrugado 0,90 x 25 mts</v>
      </c>
      <c r="F697" s="212" t="str">
        <f>COMPOSICIÓN!F697</f>
        <v>u</v>
      </c>
      <c r="G697" s="213">
        <f>COMPOSICIÓN!G697</f>
        <v>0.01</v>
      </c>
      <c r="H697" s="214">
        <f>COMPOSICIÓN!H697</f>
        <v>0.05</v>
      </c>
      <c r="I697" s="215">
        <f>COMPOSICIÓN!I697</f>
        <v>7427.6</v>
      </c>
      <c r="J697" s="212" t="str">
        <f>IFERROR(VLOOKUP(A697,PARTIDAS!$A$2:$C$269,3,FALSE()),"")</f>
        <v>PINTURA</v>
      </c>
      <c r="K697" s="212" t="str">
        <f>IFERROR(INDEX(PPTO_GENERADOR!$B$4:$B$220,MATCH(A697,PPTO_GENERADOR!$Q$4:$Q$220,0)),"")</f>
        <v>PINTURA</v>
      </c>
      <c r="L697" s="216">
        <f>IF(PLAN_ETAPA!$C$4="(TODOS)",SUMIFS(PPTO_GENERADOR!$E$4:$E$220,PPTO_GENERADOR!$Q$4:$Q$220,A697),SUMIFS(PPTO_GENERADOR!$E$4:$E$220,PPTO_GENERADOR!$Q$4:$Q$220,A697,PPTO_GENERADOR!$B$4:$B$220,PLAN_ETAPA!$C$4))</f>
        <v>0</v>
      </c>
      <c r="M697" s="216">
        <f>IFERROR(VLOOKUP(A697,PARTIDAS!$A$2:$F$269,6,FALSE()),1)</f>
        <v>15.5</v>
      </c>
      <c r="N697" s="216">
        <f>IFERROR(VLOOKUP(A697,PARTIDAS!$A$2:$I$269,9,FALSE()),1)</f>
        <v>1</v>
      </c>
      <c r="O697" s="217">
        <f t="shared" si="20"/>
        <v>0</v>
      </c>
      <c r="P697" s="216">
        <f>IF(O697=0,0,IF(B697="MAT",G697*(1+H697)*L697*PLAN_ETAPA!$C$5,IF(B697="MO",IF(M697=0,0,G697*L697*PLAN_ETAPA!$C$5*N697/M697),IF(B697="EQ",IF(M697=0,0,G697*L697*PLAN_ETAPA!$C$5/M697),0))))</f>
        <v>0</v>
      </c>
      <c r="Q697" s="218">
        <f t="shared" si="21"/>
        <v>0</v>
      </c>
    </row>
    <row r="698" spans="1:17" x14ac:dyDescent="0.35">
      <c r="A698" s="212" t="str">
        <f>COMPOSICIÓN!A698</f>
        <v>PIN-53B</v>
      </c>
      <c r="B698" s="212" t="str">
        <f>COMPOSICIÓN!B698</f>
        <v>MAT</v>
      </c>
      <c r="C698" s="212" t="str">
        <f>COMPOSICIÓN!C698</f>
        <v>OTR</v>
      </c>
      <c r="D698" s="212" t="str">
        <f>COMPOSICIÓN!D698</f>
        <v>PIN-003</v>
      </c>
      <c r="E698" s="212" t="str">
        <f>COMPOSICIÓN!E698</f>
        <v>Latex Loxon Exterior Sherwin Williams Mate Bco x 20lts</v>
      </c>
      <c r="F698" s="212" t="str">
        <f>COMPOSICIÓN!F698</f>
        <v>u</v>
      </c>
      <c r="G698" s="213">
        <f>COMPOSICIÓN!G698</f>
        <v>1.2500000000000001E-2</v>
      </c>
      <c r="H698" s="214">
        <f>COMPOSICIÓN!H698</f>
        <v>0.1</v>
      </c>
      <c r="I698" s="215">
        <f>COMPOSICIÓN!I698</f>
        <v>105657.74</v>
      </c>
      <c r="J698" s="212" t="str">
        <f>IFERROR(VLOOKUP(A698,PARTIDAS!$A$2:$C$269,3,FALSE()),"")</f>
        <v>PINTURA</v>
      </c>
      <c r="K698" s="212" t="str">
        <f>IFERROR(INDEX(PPTO_GENERADOR!$B$4:$B$220,MATCH(A698,PPTO_GENERADOR!$Q$4:$Q$220,0)),"")</f>
        <v>PINTURA</v>
      </c>
      <c r="L698" s="216">
        <f>IF(PLAN_ETAPA!$C$4="(TODOS)",SUMIFS(PPTO_GENERADOR!$E$4:$E$220,PPTO_GENERADOR!$Q$4:$Q$220,A698),SUMIFS(PPTO_GENERADOR!$E$4:$E$220,PPTO_GENERADOR!$Q$4:$Q$220,A698,PPTO_GENERADOR!$B$4:$B$220,PLAN_ETAPA!$C$4))</f>
        <v>0</v>
      </c>
      <c r="M698" s="216">
        <f>IFERROR(VLOOKUP(A698,PARTIDAS!$A$2:$F$269,6,FALSE()),1)</f>
        <v>15.5</v>
      </c>
      <c r="N698" s="216">
        <f>IFERROR(VLOOKUP(A698,PARTIDAS!$A$2:$I$269,9,FALSE()),1)</f>
        <v>1</v>
      </c>
      <c r="O698" s="217">
        <f t="shared" si="20"/>
        <v>0</v>
      </c>
      <c r="P698" s="216">
        <f>IF(O698=0,0,IF(B698="MAT",G698*(1+H698)*L698*PLAN_ETAPA!$C$5,IF(B698="MO",IF(M698=0,0,G698*L698*PLAN_ETAPA!$C$5*N698/M698),IF(B698="EQ",IF(M698=0,0,G698*L698*PLAN_ETAPA!$C$5/M698),0))))</f>
        <v>0</v>
      </c>
      <c r="Q698" s="218">
        <f t="shared" si="21"/>
        <v>0</v>
      </c>
    </row>
    <row r="699" spans="1:17" x14ac:dyDescent="0.35">
      <c r="A699" s="212" t="str">
        <f>COMPOSICIÓN!A699</f>
        <v>PIN-53B</v>
      </c>
      <c r="B699" s="212" t="str">
        <f>COMPOSICIÓN!B699</f>
        <v>MO</v>
      </c>
      <c r="C699" s="212" t="str">
        <f>COMPOSICIÓN!C699</f>
        <v>ALB</v>
      </c>
      <c r="D699" s="212" t="str">
        <f>COMPOSICIÓN!D699</f>
        <v>MO-EAYUD</v>
      </c>
      <c r="E699" s="212" t="str">
        <f>COMPOSICIÓN!E699</f>
        <v>AYUDANTE</v>
      </c>
      <c r="F699" s="212" t="str">
        <f>COMPOSICIÓN!F699</f>
        <v>j</v>
      </c>
      <c r="G699" s="213">
        <f>COMPOSICIÓN!G699</f>
        <v>0.5</v>
      </c>
      <c r="H699" s="214">
        <f>COMPOSICIÓN!H699</f>
        <v>0</v>
      </c>
      <c r="I699" s="215">
        <f>COMPOSICIÓN!I699</f>
        <v>60860.580776572002</v>
      </c>
      <c r="J699" s="212" t="str">
        <f>IFERROR(VLOOKUP(A699,PARTIDAS!$A$2:$C$269,3,FALSE()),"")</f>
        <v>PINTURA</v>
      </c>
      <c r="K699" s="212" t="str">
        <f>IFERROR(INDEX(PPTO_GENERADOR!$B$4:$B$220,MATCH(A699,PPTO_GENERADOR!$Q$4:$Q$220,0)),"")</f>
        <v>PINTURA</v>
      </c>
      <c r="L699" s="216">
        <f>IF(PLAN_ETAPA!$C$4="(TODOS)",SUMIFS(PPTO_GENERADOR!$E$4:$E$220,PPTO_GENERADOR!$Q$4:$Q$220,A699),SUMIFS(PPTO_GENERADOR!$E$4:$E$220,PPTO_GENERADOR!$Q$4:$Q$220,A699,PPTO_GENERADOR!$B$4:$B$220,PLAN_ETAPA!$C$4))</f>
        <v>0</v>
      </c>
      <c r="M699" s="216">
        <f>IFERROR(VLOOKUP(A699,PARTIDAS!$A$2:$F$269,6,FALSE()),1)</f>
        <v>15.5</v>
      </c>
      <c r="N699" s="216">
        <f>IFERROR(VLOOKUP(A699,PARTIDAS!$A$2:$I$269,9,FALSE()),1)</f>
        <v>1</v>
      </c>
      <c r="O699" s="217">
        <f t="shared" si="20"/>
        <v>0</v>
      </c>
      <c r="P699" s="216">
        <f>IF(O699=0,0,IF(B699="MAT",G699*(1+H699)*L699*PLAN_ETAPA!$C$5,IF(B699="MO",IF(M699=0,0,G699*L699*PLAN_ETAPA!$C$5*N699/M699),IF(B699="EQ",IF(M699=0,0,G699*L699*PLAN_ETAPA!$C$5/M699),0))))</f>
        <v>0</v>
      </c>
      <c r="Q699" s="218">
        <f t="shared" si="21"/>
        <v>0</v>
      </c>
    </row>
    <row r="700" spans="1:17" x14ac:dyDescent="0.35">
      <c r="A700" s="212" t="str">
        <f>COMPOSICIÓN!A700</f>
        <v>PIN-53B</v>
      </c>
      <c r="B700" s="212" t="str">
        <f>COMPOSICIÓN!B700</f>
        <v>MO</v>
      </c>
      <c r="C700" s="212" t="str">
        <f>COMPOSICIÓN!C700</f>
        <v>ALB</v>
      </c>
      <c r="D700" s="212" t="str">
        <f>COMPOSICIÓN!D700</f>
        <v>MO-EMEDI</v>
      </c>
      <c r="E700" s="212" t="str">
        <f>COMPOSICIÓN!E700</f>
        <v>MEDIO OFICIAL</v>
      </c>
      <c r="F700" s="212" t="str">
        <f>COMPOSICIÓN!F700</f>
        <v>j</v>
      </c>
      <c r="G700" s="213">
        <f>COMPOSICIÓN!G700</f>
        <v>1</v>
      </c>
      <c r="H700" s="214">
        <f>COMPOSICIÓN!H700</f>
        <v>0</v>
      </c>
      <c r="I700" s="215">
        <f>COMPOSICIÓN!I700</f>
        <v>65493.071636572</v>
      </c>
      <c r="J700" s="212" t="str">
        <f>IFERROR(VLOOKUP(A700,PARTIDAS!$A$2:$C$269,3,FALSE()),"")</f>
        <v>PINTURA</v>
      </c>
      <c r="K700" s="212" t="str">
        <f>IFERROR(INDEX(PPTO_GENERADOR!$B$4:$B$220,MATCH(A700,PPTO_GENERADOR!$Q$4:$Q$220,0)),"")</f>
        <v>PINTURA</v>
      </c>
      <c r="L700" s="216">
        <f>IF(PLAN_ETAPA!$C$4="(TODOS)",SUMIFS(PPTO_GENERADOR!$E$4:$E$220,PPTO_GENERADOR!$Q$4:$Q$220,A700),SUMIFS(PPTO_GENERADOR!$E$4:$E$220,PPTO_GENERADOR!$Q$4:$Q$220,A700,PPTO_GENERADOR!$B$4:$B$220,PLAN_ETAPA!$C$4))</f>
        <v>0</v>
      </c>
      <c r="M700" s="216">
        <f>IFERROR(VLOOKUP(A700,PARTIDAS!$A$2:$F$269,6,FALSE()),1)</f>
        <v>15.5</v>
      </c>
      <c r="N700" s="216">
        <f>IFERROR(VLOOKUP(A700,PARTIDAS!$A$2:$I$269,9,FALSE()),1)</f>
        <v>1</v>
      </c>
      <c r="O700" s="217">
        <f t="shared" si="20"/>
        <v>0</v>
      </c>
      <c r="P700" s="216">
        <f>IF(O700=0,0,IF(B700="MAT",G700*(1+H700)*L700*PLAN_ETAPA!$C$5,IF(B700="MO",IF(M700=0,0,G700*L700*PLAN_ETAPA!$C$5*N700/M700),IF(B700="EQ",IF(M700=0,0,G700*L700*PLAN_ETAPA!$C$5/M700),0))))</f>
        <v>0</v>
      </c>
      <c r="Q700" s="218">
        <f t="shared" si="21"/>
        <v>0</v>
      </c>
    </row>
    <row r="701" spans="1:17" x14ac:dyDescent="0.35">
      <c r="A701" s="212" t="str">
        <f>COMPOSICIÓN!A701</f>
        <v>PIN-53B</v>
      </c>
      <c r="B701" s="212" t="str">
        <f>COMPOSICIÓN!B701</f>
        <v>MO</v>
      </c>
      <c r="C701" s="212" t="str">
        <f>COMPOSICIÓN!C701</f>
        <v>ALB</v>
      </c>
      <c r="D701" s="212" t="str">
        <f>COMPOSICIÓN!D701</f>
        <v>MO-EESPE</v>
      </c>
      <c r="E701" s="212" t="str">
        <f>COMPOSICIÓN!E701</f>
        <v>ESPECIALIZADO</v>
      </c>
      <c r="F701" s="212" t="str">
        <f>COMPOSICIÓN!F701</f>
        <v>j</v>
      </c>
      <c r="G701" s="213">
        <f>COMPOSICIÓN!G701</f>
        <v>1.5</v>
      </c>
      <c r="H701" s="214">
        <f>COMPOSICIÓN!H701</f>
        <v>0</v>
      </c>
      <c r="I701" s="215">
        <f>COMPOSICIÓN!I701</f>
        <v>85927.097156571996</v>
      </c>
      <c r="J701" s="212" t="str">
        <f>IFERROR(VLOOKUP(A701,PARTIDAS!$A$2:$C$269,3,FALSE()),"")</f>
        <v>PINTURA</v>
      </c>
      <c r="K701" s="212" t="str">
        <f>IFERROR(INDEX(PPTO_GENERADOR!$B$4:$B$220,MATCH(A701,PPTO_GENERADOR!$Q$4:$Q$220,0)),"")</f>
        <v>PINTURA</v>
      </c>
      <c r="L701" s="216">
        <f>IF(PLAN_ETAPA!$C$4="(TODOS)",SUMIFS(PPTO_GENERADOR!$E$4:$E$220,PPTO_GENERADOR!$Q$4:$Q$220,A701),SUMIFS(PPTO_GENERADOR!$E$4:$E$220,PPTO_GENERADOR!$Q$4:$Q$220,A701,PPTO_GENERADOR!$B$4:$B$220,PLAN_ETAPA!$C$4))</f>
        <v>0</v>
      </c>
      <c r="M701" s="216">
        <f>IFERROR(VLOOKUP(A701,PARTIDAS!$A$2:$F$269,6,FALSE()),1)</f>
        <v>15.5</v>
      </c>
      <c r="N701" s="216">
        <f>IFERROR(VLOOKUP(A701,PARTIDAS!$A$2:$I$269,9,FALSE()),1)</f>
        <v>1</v>
      </c>
      <c r="O701" s="217">
        <f t="shared" si="20"/>
        <v>0</v>
      </c>
      <c r="P701" s="216">
        <f>IF(O701=0,0,IF(B701="MAT",G701*(1+H701)*L701*PLAN_ETAPA!$C$5,IF(B701="MO",IF(M701=0,0,G701*L701*PLAN_ETAPA!$C$5*N701/M701),IF(B701="EQ",IF(M701=0,0,G701*L701*PLAN_ETAPA!$C$5/M701),0))))</f>
        <v>0</v>
      </c>
      <c r="Q701" s="218">
        <f t="shared" si="21"/>
        <v>0</v>
      </c>
    </row>
    <row r="702" spans="1:17" x14ac:dyDescent="0.35">
      <c r="A702" s="212" t="str">
        <f>COMPOSICIÓN!A702</f>
        <v>PRE-032</v>
      </c>
      <c r="B702" s="212" t="str">
        <f>COMPOSICIÓN!B702</f>
        <v>EQ</v>
      </c>
      <c r="C702" s="212">
        <f>COMPOSICIÓN!C702</f>
        <v>0</v>
      </c>
      <c r="D702" s="212" t="str">
        <f>COMPOSICIÓN!D702</f>
        <v>EQ-COMPCT</v>
      </c>
      <c r="E702" s="212" t="str">
        <f>COMPOSICIÓN!E702</f>
        <v>Compactador pata de cabra 612H - (c/operario y combustible) - Alq. X dia</v>
      </c>
      <c r="F702" s="212">
        <f>COMPOSICIÓN!F702</f>
        <v>0</v>
      </c>
      <c r="G702" s="213">
        <f>COMPOSICIÓN!G702</f>
        <v>0.25</v>
      </c>
      <c r="H702" s="214">
        <f>COMPOSICIÓN!H702</f>
        <v>0</v>
      </c>
      <c r="I702" s="215">
        <f>COMPOSICIÓN!I702</f>
        <v>568150</v>
      </c>
      <c r="J702" s="212" t="str">
        <f>IFERROR(VLOOKUP(A702,PARTIDAS!$A$2:$C$269,3,FALSE()),"")</f>
        <v>MOVIMIENTO DE TIERRA</v>
      </c>
      <c r="K702" s="212" t="str">
        <f>IFERROR(INDEX(PPTO_GENERADOR!$B$4:$B$220,MATCH(A702,PPTO_GENERADOR!$Q$4:$Q$220,0)),"")</f>
        <v/>
      </c>
      <c r="L702" s="216">
        <f>IF(PLAN_ETAPA!$C$4="(TODOS)",SUMIFS(PPTO_GENERADOR!$E$4:$E$220,PPTO_GENERADOR!$Q$4:$Q$220,A702),SUMIFS(PPTO_GENERADOR!$E$4:$E$220,PPTO_GENERADOR!$Q$4:$Q$220,A702,PPTO_GENERADOR!$B$4:$B$220,PLAN_ETAPA!$C$4))</f>
        <v>0</v>
      </c>
      <c r="M702" s="216">
        <f>IFERROR(VLOOKUP(A702,PARTIDAS!$A$2:$F$269,6,FALSE()),1)</f>
        <v>25</v>
      </c>
      <c r="N702" s="216">
        <f>IFERROR(VLOOKUP(A702,PARTIDAS!$A$2:$I$269,9,FALSE()),1)</f>
        <v>1</v>
      </c>
      <c r="O702" s="217">
        <f t="shared" si="20"/>
        <v>0</v>
      </c>
      <c r="P702" s="216">
        <f>IF(O702=0,0,IF(B702="MAT",G702*(1+H702)*L702*PLAN_ETAPA!$C$5,IF(B702="MO",IF(M702=0,0,G702*L702*PLAN_ETAPA!$C$5*N702/M702),IF(B702="EQ",IF(M702=0,0,G702*L702*PLAN_ETAPA!$C$5/M702),0))))</f>
        <v>0</v>
      </c>
      <c r="Q702" s="218">
        <f t="shared" si="21"/>
        <v>0</v>
      </c>
    </row>
    <row r="703" spans="1:17" x14ac:dyDescent="0.35">
      <c r="A703" s="212" t="str">
        <f>COMPOSICIÓN!A703</f>
        <v>PRE-032</v>
      </c>
      <c r="B703" s="212" t="str">
        <f>COMPOSICIÓN!B703</f>
        <v>EQ</v>
      </c>
      <c r="C703" s="212">
        <f>COMPOSICIÓN!C703</f>
        <v>0</v>
      </c>
      <c r="D703" s="212" t="str">
        <f>COMPOSICIÓN!D703</f>
        <v>EQ-PALA310</v>
      </c>
      <c r="E703" s="212" t="str">
        <f>COMPOSICIÓN!E703</f>
        <v>Pala y retro 310J (c/ operario y combustible)</v>
      </c>
      <c r="F703" s="212">
        <f>COMPOSICIÓN!F703</f>
        <v>0</v>
      </c>
      <c r="G703" s="213">
        <f>COMPOSICIÓN!G703</f>
        <v>1</v>
      </c>
      <c r="H703" s="214">
        <f>COMPOSICIÓN!H703</f>
        <v>0</v>
      </c>
      <c r="I703" s="215">
        <f>COMPOSICIÓN!I703</f>
        <v>464850</v>
      </c>
      <c r="J703" s="212" t="str">
        <f>IFERROR(VLOOKUP(A703,PARTIDAS!$A$2:$C$269,3,FALSE()),"")</f>
        <v>MOVIMIENTO DE TIERRA</v>
      </c>
      <c r="K703" s="212" t="str">
        <f>IFERROR(INDEX(PPTO_GENERADOR!$B$4:$B$220,MATCH(A703,PPTO_GENERADOR!$Q$4:$Q$220,0)),"")</f>
        <v/>
      </c>
      <c r="L703" s="216">
        <f>IF(PLAN_ETAPA!$C$4="(TODOS)",SUMIFS(PPTO_GENERADOR!$E$4:$E$220,PPTO_GENERADOR!$Q$4:$Q$220,A703),SUMIFS(PPTO_GENERADOR!$E$4:$E$220,PPTO_GENERADOR!$Q$4:$Q$220,A703,PPTO_GENERADOR!$B$4:$B$220,PLAN_ETAPA!$C$4))</f>
        <v>0</v>
      </c>
      <c r="M703" s="216">
        <f>IFERROR(VLOOKUP(A703,PARTIDAS!$A$2:$F$269,6,FALSE()),1)</f>
        <v>25</v>
      </c>
      <c r="N703" s="216">
        <f>IFERROR(VLOOKUP(A703,PARTIDAS!$A$2:$I$269,9,FALSE()),1)</f>
        <v>1</v>
      </c>
      <c r="O703" s="217">
        <f t="shared" si="20"/>
        <v>0</v>
      </c>
      <c r="P703" s="216">
        <f>IF(O703=0,0,IF(B703="MAT",G703*(1+H703)*L703*PLAN_ETAPA!$C$5,IF(B703="MO",IF(M703=0,0,G703*L703*PLAN_ETAPA!$C$5*N703/M703),IF(B703="EQ",IF(M703=0,0,G703*L703*PLAN_ETAPA!$C$5/M703),0))))</f>
        <v>0</v>
      </c>
      <c r="Q703" s="218">
        <f t="shared" si="21"/>
        <v>0</v>
      </c>
    </row>
    <row r="704" spans="1:17" x14ac:dyDescent="0.35">
      <c r="A704" s="212" t="str">
        <f>COMPOSICIÓN!A704</f>
        <v>PRE-032</v>
      </c>
      <c r="B704" s="212" t="str">
        <f>COMPOSICIÓN!B704</f>
        <v>EQ</v>
      </c>
      <c r="C704" s="212">
        <f>COMPOSICIÓN!C704</f>
        <v>0</v>
      </c>
      <c r="D704" s="212" t="str">
        <f>COMPOSICIÓN!D704</f>
        <v>EQ-VOLC</v>
      </c>
      <c r="E704" s="212" t="str">
        <f>COMPOSICIÓN!E704</f>
        <v>Camion chasis volcador 170E22 - (c/ operario y combustible) - Alq. X dia</v>
      </c>
      <c r="F704" s="212">
        <f>COMPOSICIÓN!F704</f>
        <v>0</v>
      </c>
      <c r="G704" s="213">
        <f>COMPOSICIÓN!G704</f>
        <v>1</v>
      </c>
      <c r="H704" s="214">
        <f>COMPOSICIÓN!H704</f>
        <v>0</v>
      </c>
      <c r="I704" s="215">
        <f>COMPOSICIÓN!I704</f>
        <v>258250</v>
      </c>
      <c r="J704" s="212" t="str">
        <f>IFERROR(VLOOKUP(A704,PARTIDAS!$A$2:$C$269,3,FALSE()),"")</f>
        <v>MOVIMIENTO DE TIERRA</v>
      </c>
      <c r="K704" s="212" t="str">
        <f>IFERROR(INDEX(PPTO_GENERADOR!$B$4:$B$220,MATCH(A704,PPTO_GENERADOR!$Q$4:$Q$220,0)),"")</f>
        <v/>
      </c>
      <c r="L704" s="216">
        <f>IF(PLAN_ETAPA!$C$4="(TODOS)",SUMIFS(PPTO_GENERADOR!$E$4:$E$220,PPTO_GENERADOR!$Q$4:$Q$220,A704),SUMIFS(PPTO_GENERADOR!$E$4:$E$220,PPTO_GENERADOR!$Q$4:$Q$220,A704,PPTO_GENERADOR!$B$4:$B$220,PLAN_ETAPA!$C$4))</f>
        <v>0</v>
      </c>
      <c r="M704" s="216">
        <f>IFERROR(VLOOKUP(A704,PARTIDAS!$A$2:$F$269,6,FALSE()),1)</f>
        <v>25</v>
      </c>
      <c r="N704" s="216">
        <f>IFERROR(VLOOKUP(A704,PARTIDAS!$A$2:$I$269,9,FALSE()),1)</f>
        <v>1</v>
      </c>
      <c r="O704" s="217">
        <f t="shared" si="20"/>
        <v>0</v>
      </c>
      <c r="P704" s="216">
        <f>IF(O704=0,0,IF(B704="MAT",G704*(1+H704)*L704*PLAN_ETAPA!$C$5,IF(B704="MO",IF(M704=0,0,G704*L704*PLAN_ETAPA!$C$5*N704/M704),IF(B704="EQ",IF(M704=0,0,G704*L704*PLAN_ETAPA!$C$5/M704),0))))</f>
        <v>0</v>
      </c>
      <c r="Q704" s="218">
        <f t="shared" si="21"/>
        <v>0</v>
      </c>
    </row>
    <row r="705" spans="1:17" x14ac:dyDescent="0.35">
      <c r="A705" s="212" t="str">
        <f>COMPOSICIÓN!A705</f>
        <v>PRE-032</v>
      </c>
      <c r="B705" s="212" t="str">
        <f>COMPOSICIÓN!B705</f>
        <v>MAT</v>
      </c>
      <c r="C705" s="212" t="str">
        <f>COMPOSICIÓN!C705</f>
        <v>OTR</v>
      </c>
      <c r="D705" s="212" t="str">
        <f>COMPOSICIÓN!D705</f>
        <v>AGR-008</v>
      </c>
      <c r="E705" s="212" t="str">
        <f>COMPOSICIÓN!E705</f>
        <v>Aporte de Tosca</v>
      </c>
      <c r="F705" s="212" t="str">
        <f>COMPOSICIÓN!F705</f>
        <v>m3</v>
      </c>
      <c r="G705" s="213">
        <f>COMPOSICIÓN!G705</f>
        <v>1</v>
      </c>
      <c r="H705" s="214">
        <f>COMPOSICIÓN!H705</f>
        <v>0.3</v>
      </c>
      <c r="I705" s="215">
        <f>COMPOSICIÓN!I705</f>
        <v>9811.2871797810803</v>
      </c>
      <c r="J705" s="212" t="str">
        <f>IFERROR(VLOOKUP(A705,PARTIDAS!$A$2:$C$269,3,FALSE()),"")</f>
        <v>MOVIMIENTO DE TIERRA</v>
      </c>
      <c r="K705" s="212" t="str">
        <f>IFERROR(INDEX(PPTO_GENERADOR!$B$4:$B$220,MATCH(A705,PPTO_GENERADOR!$Q$4:$Q$220,0)),"")</f>
        <v/>
      </c>
      <c r="L705" s="216">
        <f>IF(PLAN_ETAPA!$C$4="(TODOS)",SUMIFS(PPTO_GENERADOR!$E$4:$E$220,PPTO_GENERADOR!$Q$4:$Q$220,A705),SUMIFS(PPTO_GENERADOR!$E$4:$E$220,PPTO_GENERADOR!$Q$4:$Q$220,A705,PPTO_GENERADOR!$B$4:$B$220,PLAN_ETAPA!$C$4))</f>
        <v>0</v>
      </c>
      <c r="M705" s="216">
        <f>IFERROR(VLOOKUP(A705,PARTIDAS!$A$2:$F$269,6,FALSE()),1)</f>
        <v>25</v>
      </c>
      <c r="N705" s="216">
        <f>IFERROR(VLOOKUP(A705,PARTIDAS!$A$2:$I$269,9,FALSE()),1)</f>
        <v>1</v>
      </c>
      <c r="O705" s="217">
        <f t="shared" si="20"/>
        <v>0</v>
      </c>
      <c r="P705" s="216">
        <f>IF(O705=0,0,IF(B705="MAT",G705*(1+H705)*L705*PLAN_ETAPA!$C$5,IF(B705="MO",IF(M705=0,0,G705*L705*PLAN_ETAPA!$C$5*N705/M705),IF(B705="EQ",IF(M705=0,0,G705*L705*PLAN_ETAPA!$C$5/M705),0))))</f>
        <v>0</v>
      </c>
      <c r="Q705" s="218">
        <f t="shared" si="21"/>
        <v>0</v>
      </c>
    </row>
    <row r="706" spans="1:17" x14ac:dyDescent="0.35">
      <c r="A706" s="212" t="str">
        <f>COMPOSICIÓN!A706</f>
        <v>PRE-032</v>
      </c>
      <c r="B706" s="212" t="str">
        <f>COMPOSICIÓN!B706</f>
        <v>MO</v>
      </c>
      <c r="C706" s="212" t="str">
        <f>COMPOSICIÓN!C706</f>
        <v>ALB</v>
      </c>
      <c r="D706" s="212" t="str">
        <f>COMPOSICIÓN!D706</f>
        <v>MO-EMEDI</v>
      </c>
      <c r="E706" s="212" t="str">
        <f>COMPOSICIÓN!E706</f>
        <v>MEDIO OFICIAL</v>
      </c>
      <c r="F706" s="212" t="str">
        <f>COMPOSICIÓN!F706</f>
        <v>j</v>
      </c>
      <c r="G706" s="213">
        <f>COMPOSICIÓN!G706</f>
        <v>1</v>
      </c>
      <c r="H706" s="214">
        <f>COMPOSICIÓN!H706</f>
        <v>0</v>
      </c>
      <c r="I706" s="215">
        <f>COMPOSICIÓN!I706</f>
        <v>65493.071636572</v>
      </c>
      <c r="J706" s="212" t="str">
        <f>IFERROR(VLOOKUP(A706,PARTIDAS!$A$2:$C$269,3,FALSE()),"")</f>
        <v>MOVIMIENTO DE TIERRA</v>
      </c>
      <c r="K706" s="212" t="str">
        <f>IFERROR(INDEX(PPTO_GENERADOR!$B$4:$B$220,MATCH(A706,PPTO_GENERADOR!$Q$4:$Q$220,0)),"")</f>
        <v/>
      </c>
      <c r="L706" s="216">
        <f>IF(PLAN_ETAPA!$C$4="(TODOS)",SUMIFS(PPTO_GENERADOR!$E$4:$E$220,PPTO_GENERADOR!$Q$4:$Q$220,A706),SUMIFS(PPTO_GENERADOR!$E$4:$E$220,PPTO_GENERADOR!$Q$4:$Q$220,A706,PPTO_GENERADOR!$B$4:$B$220,PLAN_ETAPA!$C$4))</f>
        <v>0</v>
      </c>
      <c r="M706" s="216">
        <f>IFERROR(VLOOKUP(A706,PARTIDAS!$A$2:$F$269,6,FALSE()),1)</f>
        <v>25</v>
      </c>
      <c r="N706" s="216">
        <f>IFERROR(VLOOKUP(A706,PARTIDAS!$A$2:$I$269,9,FALSE()),1)</f>
        <v>1</v>
      </c>
      <c r="O706" s="217">
        <f t="shared" ref="O706:O769" si="22">IF(L706&gt;0,1,0)</f>
        <v>0</v>
      </c>
      <c r="P706" s="216">
        <f>IF(O706=0,0,IF(B706="MAT",G706*(1+H706)*L706*PLAN_ETAPA!$C$5,IF(B706="MO",IF(M706=0,0,G706*L706*PLAN_ETAPA!$C$5*N706/M706),IF(B706="EQ",IF(M706=0,0,G706*L706*PLAN_ETAPA!$C$5/M706),0))))</f>
        <v>0</v>
      </c>
      <c r="Q706" s="218">
        <f t="shared" ref="Q706:Q769" si="23">P706*I706</f>
        <v>0</v>
      </c>
    </row>
    <row r="707" spans="1:17" x14ac:dyDescent="0.35">
      <c r="A707" s="212" t="str">
        <f>COMPOSICIÓN!A707</f>
        <v>PRE-032</v>
      </c>
      <c r="B707" s="212" t="str">
        <f>COMPOSICIÓN!B707</f>
        <v>MO</v>
      </c>
      <c r="C707" s="212" t="str">
        <f>COMPOSICIÓN!C707</f>
        <v>ALB</v>
      </c>
      <c r="D707" s="212" t="str">
        <f>COMPOSICIÓN!D707</f>
        <v>MO-EESPE</v>
      </c>
      <c r="E707" s="212" t="str">
        <f>COMPOSICIÓN!E707</f>
        <v>ESPECIALIZADO</v>
      </c>
      <c r="F707" s="212" t="str">
        <f>COMPOSICIÓN!F707</f>
        <v>j</v>
      </c>
      <c r="G707" s="213">
        <f>COMPOSICIÓN!G707</f>
        <v>1</v>
      </c>
      <c r="H707" s="214">
        <f>COMPOSICIÓN!H707</f>
        <v>0</v>
      </c>
      <c r="I707" s="215">
        <f>COMPOSICIÓN!I707</f>
        <v>85927.097156571996</v>
      </c>
      <c r="J707" s="212" t="str">
        <f>IFERROR(VLOOKUP(A707,PARTIDAS!$A$2:$C$269,3,FALSE()),"")</f>
        <v>MOVIMIENTO DE TIERRA</v>
      </c>
      <c r="K707" s="212" t="str">
        <f>IFERROR(INDEX(PPTO_GENERADOR!$B$4:$B$220,MATCH(A707,PPTO_GENERADOR!$Q$4:$Q$220,0)),"")</f>
        <v/>
      </c>
      <c r="L707" s="216">
        <f>IF(PLAN_ETAPA!$C$4="(TODOS)",SUMIFS(PPTO_GENERADOR!$E$4:$E$220,PPTO_GENERADOR!$Q$4:$Q$220,A707),SUMIFS(PPTO_GENERADOR!$E$4:$E$220,PPTO_GENERADOR!$Q$4:$Q$220,A707,PPTO_GENERADOR!$B$4:$B$220,PLAN_ETAPA!$C$4))</f>
        <v>0</v>
      </c>
      <c r="M707" s="216">
        <f>IFERROR(VLOOKUP(A707,PARTIDAS!$A$2:$F$269,6,FALSE()),1)</f>
        <v>25</v>
      </c>
      <c r="N707" s="216">
        <f>IFERROR(VLOOKUP(A707,PARTIDAS!$A$2:$I$269,9,FALSE()),1)</f>
        <v>1</v>
      </c>
      <c r="O707" s="217">
        <f t="shared" si="22"/>
        <v>0</v>
      </c>
      <c r="P707" s="216">
        <f>IF(O707=0,0,IF(B707="MAT",G707*(1+H707)*L707*PLAN_ETAPA!$C$5,IF(B707="MO",IF(M707=0,0,G707*L707*PLAN_ETAPA!$C$5*N707/M707),IF(B707="EQ",IF(M707=0,0,G707*L707*PLAN_ETAPA!$C$5/M707),0))))</f>
        <v>0</v>
      </c>
      <c r="Q707" s="218">
        <f t="shared" si="23"/>
        <v>0</v>
      </c>
    </row>
    <row r="708" spans="1:17" x14ac:dyDescent="0.35">
      <c r="A708" s="212" t="str">
        <f>COMPOSICIÓN!A708</f>
        <v>PTO-0102</v>
      </c>
      <c r="B708" s="212" t="str">
        <f>COMPOSICIÓN!B708</f>
        <v>EQ</v>
      </c>
      <c r="C708" s="212">
        <f>COMPOSICIÓN!C708</f>
        <v>0</v>
      </c>
      <c r="D708" s="212" t="str">
        <f>COMPOSICIÓN!D708</f>
        <v>EQ-PTO028</v>
      </c>
      <c r="E708" s="212" t="str">
        <f>COMPOSICIÓN!E708</f>
        <v>Herramientas menores y consumibles - Topógrafo - Visita de obra replanteo</v>
      </c>
      <c r="F708" s="212">
        <f>COMPOSICIÓN!F708</f>
        <v>0</v>
      </c>
      <c r="G708" s="213">
        <f>COMPOSICIÓN!G708</f>
        <v>1</v>
      </c>
      <c r="H708" s="214">
        <f>COMPOSICIÓN!H708</f>
        <v>0</v>
      </c>
      <c r="I708" s="215">
        <f>COMPOSICIÓN!I708</f>
        <v>4268.9613811940299</v>
      </c>
      <c r="J708" s="212" t="str">
        <f>IFERROR(VLOOKUP(A708,PARTIDAS!$A$2:$C$269,3,FALSE()),"")</f>
        <v>PRELIMINARES</v>
      </c>
      <c r="K708" s="212" t="str">
        <f>IFERROR(INDEX(PPTO_GENERADOR!$B$4:$B$220,MATCH(A708,PPTO_GENERADOR!$Q$4:$Q$220,0)),"")</f>
        <v>PRELIMINARES</v>
      </c>
      <c r="L708" s="216">
        <f>IF(PLAN_ETAPA!$C$4="(TODOS)",SUMIFS(PPTO_GENERADOR!$E$4:$E$220,PPTO_GENERADOR!$Q$4:$Q$220,A708),SUMIFS(PPTO_GENERADOR!$E$4:$E$220,PPTO_GENERADOR!$Q$4:$Q$220,A708,PPTO_GENERADOR!$B$4:$B$220,PLAN_ETAPA!$C$4))</f>
        <v>0</v>
      </c>
      <c r="M708" s="216">
        <f>IFERROR(VLOOKUP(A708,PARTIDAS!$A$2:$F$269,6,FALSE()),1)</f>
        <v>1</v>
      </c>
      <c r="N708" s="216">
        <f>IFERROR(VLOOKUP(A708,PARTIDAS!$A$2:$I$269,9,FALSE()),1)</f>
        <v>1</v>
      </c>
      <c r="O708" s="217">
        <f t="shared" si="22"/>
        <v>0</v>
      </c>
      <c r="P708" s="216">
        <f>IF(O708=0,0,IF(B708="MAT",G708*(1+H708)*L708*PLAN_ETAPA!$C$5,IF(B708="MO",IF(M708=0,0,G708*L708*PLAN_ETAPA!$C$5*N708/M708),IF(B708="EQ",IF(M708=0,0,G708*L708*PLAN_ETAPA!$C$5/M708),0))))</f>
        <v>0</v>
      </c>
      <c r="Q708" s="218">
        <f t="shared" si="23"/>
        <v>0</v>
      </c>
    </row>
    <row r="709" spans="1:17" x14ac:dyDescent="0.35">
      <c r="A709" s="212" t="str">
        <f>COMPOSICIÓN!A709</f>
        <v>PTO-0102</v>
      </c>
      <c r="B709" s="212" t="str">
        <f>COMPOSICIÓN!B709</f>
        <v>MAT</v>
      </c>
      <c r="C709" s="212" t="str">
        <f>COMPOSICIÓN!C709</f>
        <v>COR</v>
      </c>
      <c r="D709" s="212" t="str">
        <f>COMPOSICIÓN!D709</f>
        <v>OTR-PTO144</v>
      </c>
      <c r="E709" s="212" t="str">
        <f>COMPOSICIÓN!E709</f>
        <v>Consumibles topógrafo y obras preliminares</v>
      </c>
      <c r="F709" s="212" t="str">
        <f>COMPOSICIÓN!F709</f>
        <v>gl</v>
      </c>
      <c r="G709" s="213">
        <f>COMPOSICIÓN!G709</f>
        <v>1</v>
      </c>
      <c r="H709" s="214">
        <f>COMPOSICIÓN!H709</f>
        <v>0</v>
      </c>
      <c r="I709" s="215">
        <f>COMPOSICIÓN!I709</f>
        <v>25000</v>
      </c>
      <c r="J709" s="212" t="str">
        <f>IFERROR(VLOOKUP(A709,PARTIDAS!$A$2:$C$269,3,FALSE()),"")</f>
        <v>PRELIMINARES</v>
      </c>
      <c r="K709" s="212" t="str">
        <f>IFERROR(INDEX(PPTO_GENERADOR!$B$4:$B$220,MATCH(A709,PPTO_GENERADOR!$Q$4:$Q$220,0)),"")</f>
        <v>PRELIMINARES</v>
      </c>
      <c r="L709" s="216">
        <f>IF(PLAN_ETAPA!$C$4="(TODOS)",SUMIFS(PPTO_GENERADOR!$E$4:$E$220,PPTO_GENERADOR!$Q$4:$Q$220,A709),SUMIFS(PPTO_GENERADOR!$E$4:$E$220,PPTO_GENERADOR!$Q$4:$Q$220,A709,PPTO_GENERADOR!$B$4:$B$220,PLAN_ETAPA!$C$4))</f>
        <v>0</v>
      </c>
      <c r="M709" s="216">
        <f>IFERROR(VLOOKUP(A709,PARTIDAS!$A$2:$F$269,6,FALSE()),1)</f>
        <v>1</v>
      </c>
      <c r="N709" s="216">
        <f>IFERROR(VLOOKUP(A709,PARTIDAS!$A$2:$I$269,9,FALSE()),1)</f>
        <v>1</v>
      </c>
      <c r="O709" s="217">
        <f t="shared" si="22"/>
        <v>0</v>
      </c>
      <c r="P709" s="216">
        <f>IF(O709=0,0,IF(B709="MAT",G709*(1+H709)*L709*PLAN_ETAPA!$C$5,IF(B709="MO",IF(M709=0,0,G709*L709*PLAN_ETAPA!$C$5*N709/M709),IF(B709="EQ",IF(M709=0,0,G709*L709*PLAN_ETAPA!$C$5/M709),0))))</f>
        <v>0</v>
      </c>
      <c r="Q709" s="218">
        <f t="shared" si="23"/>
        <v>0</v>
      </c>
    </row>
    <row r="710" spans="1:17" x14ac:dyDescent="0.35">
      <c r="A710" s="212" t="str">
        <f>COMPOSICIÓN!A710</f>
        <v>PTO-0102</v>
      </c>
      <c r="B710" s="212" t="str">
        <f>COMPOSICIÓN!B710</f>
        <v>MO</v>
      </c>
      <c r="C710" s="212" t="str">
        <f>COMPOSICIÓN!C710</f>
        <v>ALB</v>
      </c>
      <c r="D710" s="212" t="str">
        <f>COMPOSICIÓN!D710</f>
        <v>MO-EAYUD</v>
      </c>
      <c r="E710" s="212" t="str">
        <f>COMPOSICIÓN!E710</f>
        <v>AYUDANTE</v>
      </c>
      <c r="F710" s="212" t="str">
        <f>COMPOSICIÓN!F710</f>
        <v>j</v>
      </c>
      <c r="G710" s="213">
        <f>COMPOSICIÓN!G710</f>
        <v>1</v>
      </c>
      <c r="H710" s="214">
        <f>COMPOSICIÓN!H710</f>
        <v>0</v>
      </c>
      <c r="I710" s="215">
        <f>COMPOSICIÓN!I710</f>
        <v>60860.580776572002</v>
      </c>
      <c r="J710" s="212" t="str">
        <f>IFERROR(VLOOKUP(A710,PARTIDAS!$A$2:$C$269,3,FALSE()),"")</f>
        <v>PRELIMINARES</v>
      </c>
      <c r="K710" s="212" t="str">
        <f>IFERROR(INDEX(PPTO_GENERADOR!$B$4:$B$220,MATCH(A710,PPTO_GENERADOR!$Q$4:$Q$220,0)),"")</f>
        <v>PRELIMINARES</v>
      </c>
      <c r="L710" s="216">
        <f>IF(PLAN_ETAPA!$C$4="(TODOS)",SUMIFS(PPTO_GENERADOR!$E$4:$E$220,PPTO_GENERADOR!$Q$4:$Q$220,A710),SUMIFS(PPTO_GENERADOR!$E$4:$E$220,PPTO_GENERADOR!$Q$4:$Q$220,A710,PPTO_GENERADOR!$B$4:$B$220,PLAN_ETAPA!$C$4))</f>
        <v>0</v>
      </c>
      <c r="M710" s="216">
        <f>IFERROR(VLOOKUP(A710,PARTIDAS!$A$2:$F$269,6,FALSE()),1)</f>
        <v>1</v>
      </c>
      <c r="N710" s="216">
        <f>IFERROR(VLOOKUP(A710,PARTIDAS!$A$2:$I$269,9,FALSE()),1)</f>
        <v>1</v>
      </c>
      <c r="O710" s="217">
        <f t="shared" si="22"/>
        <v>0</v>
      </c>
      <c r="P710" s="216">
        <f>IF(O710=0,0,IF(B710="MAT",G710*(1+H710)*L710*PLAN_ETAPA!$C$5,IF(B710="MO",IF(M710=0,0,G710*L710*PLAN_ETAPA!$C$5*N710/M710),IF(B710="EQ",IF(M710=0,0,G710*L710*PLAN_ETAPA!$C$5/M710),0))))</f>
        <v>0</v>
      </c>
      <c r="Q710" s="218">
        <f t="shared" si="23"/>
        <v>0</v>
      </c>
    </row>
    <row r="711" spans="1:17" x14ac:dyDescent="0.35">
      <c r="A711" s="212" t="str">
        <f>COMPOSICIÓN!A711</f>
        <v>PTO-0102</v>
      </c>
      <c r="B711" s="212" t="str">
        <f>COMPOSICIÓN!B711</f>
        <v>MO</v>
      </c>
      <c r="C711" s="212" t="str">
        <f>COMPOSICIÓN!C711</f>
        <v>OTR</v>
      </c>
      <c r="D711" s="212" t="str">
        <f>COMPOSICIÓN!D711</f>
        <v>SUB-PTO001</v>
      </c>
      <c r="E711" s="212" t="str">
        <f>COMPOSICIÓN!E711</f>
        <v>M.Obra topografo</v>
      </c>
      <c r="F711" s="212" t="str">
        <f>COMPOSICIÓN!F711</f>
        <v>j</v>
      </c>
      <c r="G711" s="213">
        <f>COMPOSICIÓN!G711</f>
        <v>1</v>
      </c>
      <c r="H711" s="214">
        <f>COMPOSICIÓN!H711</f>
        <v>0</v>
      </c>
      <c r="I711" s="215">
        <f>COMPOSICIÓN!I711</f>
        <v>198736.844636364</v>
      </c>
      <c r="J711" s="212" t="str">
        <f>IFERROR(VLOOKUP(A711,PARTIDAS!$A$2:$C$269,3,FALSE()),"")</f>
        <v>PRELIMINARES</v>
      </c>
      <c r="K711" s="212" t="str">
        <f>IFERROR(INDEX(PPTO_GENERADOR!$B$4:$B$220,MATCH(A711,PPTO_GENERADOR!$Q$4:$Q$220,0)),"")</f>
        <v>PRELIMINARES</v>
      </c>
      <c r="L711" s="216">
        <f>IF(PLAN_ETAPA!$C$4="(TODOS)",SUMIFS(PPTO_GENERADOR!$E$4:$E$220,PPTO_GENERADOR!$Q$4:$Q$220,A711),SUMIFS(PPTO_GENERADOR!$E$4:$E$220,PPTO_GENERADOR!$Q$4:$Q$220,A711,PPTO_GENERADOR!$B$4:$B$220,PLAN_ETAPA!$C$4))</f>
        <v>0</v>
      </c>
      <c r="M711" s="216">
        <f>IFERROR(VLOOKUP(A711,PARTIDAS!$A$2:$F$269,6,FALSE()),1)</f>
        <v>1</v>
      </c>
      <c r="N711" s="216">
        <f>IFERROR(VLOOKUP(A711,PARTIDAS!$A$2:$I$269,9,FALSE()),1)</f>
        <v>1</v>
      </c>
      <c r="O711" s="217">
        <f t="shared" si="22"/>
        <v>0</v>
      </c>
      <c r="P711" s="216">
        <f>IF(O711=0,0,IF(B711="MAT",G711*(1+H711)*L711*PLAN_ETAPA!$C$5,IF(B711="MO",IF(M711=0,0,G711*L711*PLAN_ETAPA!$C$5*N711/M711),IF(B711="EQ",IF(M711=0,0,G711*L711*PLAN_ETAPA!$C$5/M711),0))))</f>
        <v>0</v>
      </c>
      <c r="Q711" s="218">
        <f t="shared" si="23"/>
        <v>0</v>
      </c>
    </row>
    <row r="712" spans="1:17" x14ac:dyDescent="0.35">
      <c r="A712" s="212" t="str">
        <f>COMPOSICIÓN!A712</f>
        <v>PTO-0104</v>
      </c>
      <c r="B712" s="212" t="str">
        <f>COMPOSICIÓN!B712</f>
        <v>EQ</v>
      </c>
      <c r="C712" s="212">
        <f>COMPOSICIÓN!C712</f>
        <v>0</v>
      </c>
      <c r="D712" s="212" t="str">
        <f>COMPOSICIÓN!D712</f>
        <v>EQ-PTO029</v>
      </c>
      <c r="E712" s="212" t="str">
        <f>COMPOSICIÓN!E712</f>
        <v>Herramientas menores y consumibles - Cerco de obra perimetral - En chapa C25 + Concerti</v>
      </c>
      <c r="F712" s="212">
        <f>COMPOSICIÓN!F712</f>
        <v>0</v>
      </c>
      <c r="G712" s="213">
        <f>COMPOSICIÓN!G712</f>
        <v>1</v>
      </c>
      <c r="H712" s="214">
        <f>COMPOSICIÓN!H712</f>
        <v>0</v>
      </c>
      <c r="I712" s="215">
        <f>COMPOSICIÓN!I712</f>
        <v>2849.7760330466299</v>
      </c>
      <c r="J712" s="212" t="str">
        <f>IFERROR(VLOOKUP(A712,PARTIDAS!$A$2:$C$269,3,FALSE()),"")</f>
        <v>PRELIMINARES</v>
      </c>
      <c r="K712" s="212" t="str">
        <f>IFERROR(INDEX(PPTO_GENERADOR!$B$4:$B$220,MATCH(A712,PPTO_GENERADOR!$Q$4:$Q$220,0)),"")</f>
        <v>PRELIMINARES</v>
      </c>
      <c r="L712" s="216">
        <f>IF(PLAN_ETAPA!$C$4="(TODOS)",SUMIFS(PPTO_GENERADOR!$E$4:$E$220,PPTO_GENERADOR!$Q$4:$Q$220,A712),SUMIFS(PPTO_GENERADOR!$E$4:$E$220,PPTO_GENERADOR!$Q$4:$Q$220,A712,PPTO_GENERADOR!$B$4:$B$220,PLAN_ETAPA!$C$4))</f>
        <v>0</v>
      </c>
      <c r="M712" s="216">
        <f>IFERROR(VLOOKUP(A712,PARTIDAS!$A$2:$F$269,6,FALSE()),1)</f>
        <v>1</v>
      </c>
      <c r="N712" s="216">
        <f>IFERROR(VLOOKUP(A712,PARTIDAS!$A$2:$I$269,9,FALSE()),1)</f>
        <v>1</v>
      </c>
      <c r="O712" s="217">
        <f t="shared" si="22"/>
        <v>0</v>
      </c>
      <c r="P712" s="216">
        <f>IF(O712=0,0,IF(B712="MAT",G712*(1+H712)*L712*PLAN_ETAPA!$C$5,IF(B712="MO",IF(M712=0,0,G712*L712*PLAN_ETAPA!$C$5*N712/M712),IF(B712="EQ",IF(M712=0,0,G712*L712*PLAN_ETAPA!$C$5/M712),0))))</f>
        <v>0</v>
      </c>
      <c r="Q712" s="218">
        <f t="shared" si="23"/>
        <v>0</v>
      </c>
    </row>
    <row r="713" spans="1:17" x14ac:dyDescent="0.35">
      <c r="A713" s="212" t="str">
        <f>COMPOSICIÓN!A713</f>
        <v>PTO-0104</v>
      </c>
      <c r="B713" s="212" t="str">
        <f>COMPOSICIÓN!B713</f>
        <v>MAT</v>
      </c>
      <c r="C713" s="212" t="str">
        <f>COMPOSICIÓN!C713</f>
        <v>OTR</v>
      </c>
      <c r="D713" s="212" t="str">
        <f>COMPOSICIÓN!D713</f>
        <v>MAT-CONS</v>
      </c>
      <c r="E713" s="212" t="str">
        <f>COMPOSICIÓN!E713</f>
        <v>Consumibles</v>
      </c>
      <c r="F713" s="212" t="str">
        <f>COMPOSICIÓN!F713</f>
        <v>gl</v>
      </c>
      <c r="G713" s="213">
        <f>COMPOSICIÓN!G713</f>
        <v>14721.783801650001</v>
      </c>
      <c r="H713" s="214">
        <f>COMPOSICIÓN!H713</f>
        <v>0</v>
      </c>
      <c r="I713" s="215">
        <f>COMPOSICIÓN!I713</f>
        <v>1</v>
      </c>
      <c r="J713" s="212" t="str">
        <f>IFERROR(VLOOKUP(A713,PARTIDAS!$A$2:$C$269,3,FALSE()),"")</f>
        <v>PRELIMINARES</v>
      </c>
      <c r="K713" s="212" t="str">
        <f>IFERROR(INDEX(PPTO_GENERADOR!$B$4:$B$220,MATCH(A713,PPTO_GENERADOR!$Q$4:$Q$220,0)),"")</f>
        <v>PRELIMINARES</v>
      </c>
      <c r="L713" s="216">
        <f>IF(PLAN_ETAPA!$C$4="(TODOS)",SUMIFS(PPTO_GENERADOR!$E$4:$E$220,PPTO_GENERADOR!$Q$4:$Q$220,A713),SUMIFS(PPTO_GENERADOR!$E$4:$E$220,PPTO_GENERADOR!$Q$4:$Q$220,A713,PPTO_GENERADOR!$B$4:$B$220,PLAN_ETAPA!$C$4))</f>
        <v>0</v>
      </c>
      <c r="M713" s="216">
        <f>IFERROR(VLOOKUP(A713,PARTIDAS!$A$2:$F$269,6,FALSE()),1)</f>
        <v>1</v>
      </c>
      <c r="N713" s="216">
        <f>IFERROR(VLOOKUP(A713,PARTIDAS!$A$2:$I$269,9,FALSE()),1)</f>
        <v>1</v>
      </c>
      <c r="O713" s="217">
        <f t="shared" si="22"/>
        <v>0</v>
      </c>
      <c r="P713" s="216">
        <f>IF(O713=0,0,IF(B713="MAT",G713*(1+H713)*L713*PLAN_ETAPA!$C$5,IF(B713="MO",IF(M713=0,0,G713*L713*PLAN_ETAPA!$C$5*N713/M713),IF(B713="EQ",IF(M713=0,0,G713*L713*PLAN_ETAPA!$C$5/M713),0))))</f>
        <v>0</v>
      </c>
      <c r="Q713" s="218">
        <f t="shared" si="23"/>
        <v>0</v>
      </c>
    </row>
    <row r="714" spans="1:17" x14ac:dyDescent="0.35">
      <c r="A714" s="212" t="str">
        <f>COMPOSICIÓN!A714</f>
        <v>PTO-0104</v>
      </c>
      <c r="B714" s="212" t="str">
        <f>COMPOSICIÓN!B714</f>
        <v>MAT</v>
      </c>
      <c r="C714" s="212" t="str">
        <f>COMPOSICIÓN!C714</f>
        <v>OTR</v>
      </c>
      <c r="D714" s="212" t="str">
        <f>COMPOSICIÓN!D714</f>
        <v>OTR-PTO002</v>
      </c>
      <c r="E714" s="212" t="str">
        <f>COMPOSICIÓN!E714</f>
        <v>Chapa acanalada C25</v>
      </c>
      <c r="F714" s="212" t="str">
        <f>COMPOSICIÓN!F714</f>
        <v>m2</v>
      </c>
      <c r="G714" s="213">
        <f>COMPOSICIÓN!G714</f>
        <v>2.5</v>
      </c>
      <c r="H714" s="214">
        <f>COMPOSICIÓN!H714</f>
        <v>0</v>
      </c>
      <c r="I714" s="215">
        <f>COMPOSICIÓN!I714</f>
        <v>10167.5702479339</v>
      </c>
      <c r="J714" s="212" t="str">
        <f>IFERROR(VLOOKUP(A714,PARTIDAS!$A$2:$C$269,3,FALSE()),"")</f>
        <v>PRELIMINARES</v>
      </c>
      <c r="K714" s="212" t="str">
        <f>IFERROR(INDEX(PPTO_GENERADOR!$B$4:$B$220,MATCH(A714,PPTO_GENERADOR!$Q$4:$Q$220,0)),"")</f>
        <v>PRELIMINARES</v>
      </c>
      <c r="L714" s="216">
        <f>IF(PLAN_ETAPA!$C$4="(TODOS)",SUMIFS(PPTO_GENERADOR!$E$4:$E$220,PPTO_GENERADOR!$Q$4:$Q$220,A714),SUMIFS(PPTO_GENERADOR!$E$4:$E$220,PPTO_GENERADOR!$Q$4:$Q$220,A714,PPTO_GENERADOR!$B$4:$B$220,PLAN_ETAPA!$C$4))</f>
        <v>0</v>
      </c>
      <c r="M714" s="216">
        <f>IFERROR(VLOOKUP(A714,PARTIDAS!$A$2:$F$269,6,FALSE()),1)</f>
        <v>1</v>
      </c>
      <c r="N714" s="216">
        <f>IFERROR(VLOOKUP(A714,PARTIDAS!$A$2:$I$269,9,FALSE()),1)</f>
        <v>1</v>
      </c>
      <c r="O714" s="217">
        <f t="shared" si="22"/>
        <v>0</v>
      </c>
      <c r="P714" s="216">
        <f>IF(O714=0,0,IF(B714="MAT",G714*(1+H714)*L714*PLAN_ETAPA!$C$5,IF(B714="MO",IF(M714=0,0,G714*L714*PLAN_ETAPA!$C$5*N714/M714),IF(B714="EQ",IF(M714=0,0,G714*L714*PLAN_ETAPA!$C$5/M714),0))))</f>
        <v>0</v>
      </c>
      <c r="Q714" s="218">
        <f t="shared" si="23"/>
        <v>0</v>
      </c>
    </row>
    <row r="715" spans="1:17" x14ac:dyDescent="0.35">
      <c r="A715" s="212" t="str">
        <f>COMPOSICIÓN!A715</f>
        <v>PTO-0104</v>
      </c>
      <c r="B715" s="212" t="str">
        <f>COMPOSICIÓN!B715</f>
        <v>MAT</v>
      </c>
      <c r="C715" s="212" t="str">
        <f>COMPOSICIÓN!C715</f>
        <v>OTR</v>
      </c>
      <c r="D715" s="212" t="str">
        <f>COMPOSICIÓN!D715</f>
        <v>OTR-PTO003</v>
      </c>
      <c r="E715" s="212" t="str">
        <f>COMPOSICIÓN!E715</f>
        <v>Perfiles UPN 100</v>
      </c>
      <c r="F715" s="212" t="str">
        <f>COMPOSICIÓN!F715</f>
        <v>un</v>
      </c>
      <c r="G715" s="213">
        <f>COMPOSICIÓN!G715</f>
        <v>0.1</v>
      </c>
      <c r="H715" s="214">
        <f>COMPOSICIÓN!H715</f>
        <v>0</v>
      </c>
      <c r="I715" s="215">
        <f>COMPOSICIÓN!I715</f>
        <v>235448.016528926</v>
      </c>
      <c r="J715" s="212" t="str">
        <f>IFERROR(VLOOKUP(A715,PARTIDAS!$A$2:$C$269,3,FALSE()),"")</f>
        <v>PRELIMINARES</v>
      </c>
      <c r="K715" s="212" t="str">
        <f>IFERROR(INDEX(PPTO_GENERADOR!$B$4:$B$220,MATCH(A715,PPTO_GENERADOR!$Q$4:$Q$220,0)),"")</f>
        <v>PRELIMINARES</v>
      </c>
      <c r="L715" s="216">
        <f>IF(PLAN_ETAPA!$C$4="(TODOS)",SUMIFS(PPTO_GENERADOR!$E$4:$E$220,PPTO_GENERADOR!$Q$4:$Q$220,A715),SUMIFS(PPTO_GENERADOR!$E$4:$E$220,PPTO_GENERADOR!$Q$4:$Q$220,A715,PPTO_GENERADOR!$B$4:$B$220,PLAN_ETAPA!$C$4))</f>
        <v>0</v>
      </c>
      <c r="M715" s="216">
        <f>IFERROR(VLOOKUP(A715,PARTIDAS!$A$2:$F$269,6,FALSE()),1)</f>
        <v>1</v>
      </c>
      <c r="N715" s="216">
        <f>IFERROR(VLOOKUP(A715,PARTIDAS!$A$2:$I$269,9,FALSE()),1)</f>
        <v>1</v>
      </c>
      <c r="O715" s="217">
        <f t="shared" si="22"/>
        <v>0</v>
      </c>
      <c r="P715" s="216">
        <f>IF(O715=0,0,IF(B715="MAT",G715*(1+H715)*L715*PLAN_ETAPA!$C$5,IF(B715="MO",IF(M715=0,0,G715*L715*PLAN_ETAPA!$C$5*N715/M715),IF(B715="EQ",IF(M715=0,0,G715*L715*PLAN_ETAPA!$C$5/M715),0))))</f>
        <v>0</v>
      </c>
      <c r="Q715" s="218">
        <f t="shared" si="23"/>
        <v>0</v>
      </c>
    </row>
    <row r="716" spans="1:17" x14ac:dyDescent="0.35">
      <c r="A716" s="212" t="str">
        <f>COMPOSICIÓN!A716</f>
        <v>PTO-0104</v>
      </c>
      <c r="B716" s="212" t="str">
        <f>COMPOSICIÓN!B716</f>
        <v>MAT</v>
      </c>
      <c r="C716" s="212" t="str">
        <f>COMPOSICIÓN!C716</f>
        <v>OTR</v>
      </c>
      <c r="D716" s="212" t="str">
        <f>COMPOSICIÓN!D716</f>
        <v>OTR-PTO004</v>
      </c>
      <c r="E716" s="212" t="str">
        <f>COMPOSICIÓN!E716</f>
        <v xml:space="preserve">Bastidor para porton corredizo - Perfil 40 x 40 x 2 </v>
      </c>
      <c r="F716" s="212" t="str">
        <f>COMPOSICIÓN!F716</f>
        <v>u</v>
      </c>
      <c r="G716" s="213">
        <f>COMPOSICIÓN!G716</f>
        <v>0.2</v>
      </c>
      <c r="H716" s="214">
        <f>COMPOSICIÓN!H716</f>
        <v>0</v>
      </c>
      <c r="I716" s="215">
        <f>COMPOSICIÓN!I716</f>
        <v>22267.107438016501</v>
      </c>
      <c r="J716" s="212" t="str">
        <f>IFERROR(VLOOKUP(A716,PARTIDAS!$A$2:$C$269,3,FALSE()),"")</f>
        <v>PRELIMINARES</v>
      </c>
      <c r="K716" s="212" t="str">
        <f>IFERROR(INDEX(PPTO_GENERADOR!$B$4:$B$220,MATCH(A716,PPTO_GENERADOR!$Q$4:$Q$220,0)),"")</f>
        <v>PRELIMINARES</v>
      </c>
      <c r="L716" s="216">
        <f>IF(PLAN_ETAPA!$C$4="(TODOS)",SUMIFS(PPTO_GENERADOR!$E$4:$E$220,PPTO_GENERADOR!$Q$4:$Q$220,A716),SUMIFS(PPTO_GENERADOR!$E$4:$E$220,PPTO_GENERADOR!$Q$4:$Q$220,A716,PPTO_GENERADOR!$B$4:$B$220,PLAN_ETAPA!$C$4))</f>
        <v>0</v>
      </c>
      <c r="M716" s="216">
        <f>IFERROR(VLOOKUP(A716,PARTIDAS!$A$2:$F$269,6,FALSE()),1)</f>
        <v>1</v>
      </c>
      <c r="N716" s="216">
        <f>IFERROR(VLOOKUP(A716,PARTIDAS!$A$2:$I$269,9,FALSE()),1)</f>
        <v>1</v>
      </c>
      <c r="O716" s="217">
        <f t="shared" si="22"/>
        <v>0</v>
      </c>
      <c r="P716" s="216">
        <f>IF(O716=0,0,IF(B716="MAT",G716*(1+H716)*L716*PLAN_ETAPA!$C$5,IF(B716="MO",IF(M716=0,0,G716*L716*PLAN_ETAPA!$C$5*N716/M716),IF(B716="EQ",IF(M716=0,0,G716*L716*PLAN_ETAPA!$C$5/M716),0))))</f>
        <v>0</v>
      </c>
      <c r="Q716" s="218">
        <f t="shared" si="23"/>
        <v>0</v>
      </c>
    </row>
    <row r="717" spans="1:17" x14ac:dyDescent="0.35">
      <c r="A717" s="212" t="str">
        <f>COMPOSICIÓN!A717</f>
        <v>PTO-0104</v>
      </c>
      <c r="B717" s="212" t="str">
        <f>COMPOSICIÓN!B717</f>
        <v>MAT</v>
      </c>
      <c r="C717" s="212" t="str">
        <f>COMPOSICIÓN!C717</f>
        <v>OTR</v>
      </c>
      <c r="D717" s="212" t="str">
        <f>COMPOSICIÓN!D717</f>
        <v>OTR-PTO005</v>
      </c>
      <c r="E717" s="212" t="str">
        <f>COMPOSICIÓN!E717</f>
        <v>Riel Roma 174 e: 2,1 mm. 53 x 60 x 6000</v>
      </c>
      <c r="F717" s="212" t="str">
        <f>COMPOSICIÓN!F717</f>
        <v>u</v>
      </c>
      <c r="G717" s="213">
        <f>COMPOSICIÓN!G717</f>
        <v>0.1</v>
      </c>
      <c r="H717" s="214">
        <f>COMPOSICIÓN!H717</f>
        <v>0</v>
      </c>
      <c r="I717" s="215">
        <f>COMPOSICIÓN!I717</f>
        <v>81509.950413223094</v>
      </c>
      <c r="J717" s="212" t="str">
        <f>IFERROR(VLOOKUP(A717,PARTIDAS!$A$2:$C$269,3,FALSE()),"")</f>
        <v>PRELIMINARES</v>
      </c>
      <c r="K717" s="212" t="str">
        <f>IFERROR(INDEX(PPTO_GENERADOR!$B$4:$B$220,MATCH(A717,PPTO_GENERADOR!$Q$4:$Q$220,0)),"")</f>
        <v>PRELIMINARES</v>
      </c>
      <c r="L717" s="216">
        <f>IF(PLAN_ETAPA!$C$4="(TODOS)",SUMIFS(PPTO_GENERADOR!$E$4:$E$220,PPTO_GENERADOR!$Q$4:$Q$220,A717),SUMIFS(PPTO_GENERADOR!$E$4:$E$220,PPTO_GENERADOR!$Q$4:$Q$220,A717,PPTO_GENERADOR!$B$4:$B$220,PLAN_ETAPA!$C$4))</f>
        <v>0</v>
      </c>
      <c r="M717" s="216">
        <f>IFERROR(VLOOKUP(A717,PARTIDAS!$A$2:$F$269,6,FALSE()),1)</f>
        <v>1</v>
      </c>
      <c r="N717" s="216">
        <f>IFERROR(VLOOKUP(A717,PARTIDAS!$A$2:$I$269,9,FALSE()),1)</f>
        <v>1</v>
      </c>
      <c r="O717" s="217">
        <f t="shared" si="22"/>
        <v>0</v>
      </c>
      <c r="P717" s="216">
        <f>IF(O717=0,0,IF(B717="MAT",G717*(1+H717)*L717*PLAN_ETAPA!$C$5,IF(B717="MO",IF(M717=0,0,G717*L717*PLAN_ETAPA!$C$5*N717/M717),IF(B717="EQ",IF(M717=0,0,G717*L717*PLAN_ETAPA!$C$5/M717),0))))</f>
        <v>0</v>
      </c>
      <c r="Q717" s="218">
        <f t="shared" si="23"/>
        <v>0</v>
      </c>
    </row>
    <row r="718" spans="1:17" x14ac:dyDescent="0.35">
      <c r="A718" s="212" t="str">
        <f>COMPOSICIÓN!A718</f>
        <v>PTO-0104</v>
      </c>
      <c r="B718" s="212" t="str">
        <f>COMPOSICIÓN!B718</f>
        <v>MAT</v>
      </c>
      <c r="C718" s="212" t="str">
        <f>COMPOSICIÓN!C718</f>
        <v>OTR</v>
      </c>
      <c r="D718" s="212" t="str">
        <f>COMPOSICIÓN!D718</f>
        <v>OTR-PTO006</v>
      </c>
      <c r="E718" s="212" t="str">
        <f>COMPOSICIÓN!E718</f>
        <v>Carro acero 174 4 ruedas puertas portones Ø45mm</v>
      </c>
      <c r="F718" s="212" t="str">
        <f>COMPOSICIÓN!F718</f>
        <v>u</v>
      </c>
      <c r="G718" s="213">
        <f>COMPOSICIÓN!G718</f>
        <v>0.2</v>
      </c>
      <c r="H718" s="214">
        <f>COMPOSICIÓN!H718</f>
        <v>0</v>
      </c>
      <c r="I718" s="215">
        <f>COMPOSICIÓN!I718</f>
        <v>12131.5619834711</v>
      </c>
      <c r="J718" s="212" t="str">
        <f>IFERROR(VLOOKUP(A718,PARTIDAS!$A$2:$C$269,3,FALSE()),"")</f>
        <v>PRELIMINARES</v>
      </c>
      <c r="K718" s="212" t="str">
        <f>IFERROR(INDEX(PPTO_GENERADOR!$B$4:$B$220,MATCH(A718,PPTO_GENERADOR!$Q$4:$Q$220,0)),"")</f>
        <v>PRELIMINARES</v>
      </c>
      <c r="L718" s="216">
        <f>IF(PLAN_ETAPA!$C$4="(TODOS)",SUMIFS(PPTO_GENERADOR!$E$4:$E$220,PPTO_GENERADOR!$Q$4:$Q$220,A718),SUMIFS(PPTO_GENERADOR!$E$4:$E$220,PPTO_GENERADOR!$Q$4:$Q$220,A718,PPTO_GENERADOR!$B$4:$B$220,PLAN_ETAPA!$C$4))</f>
        <v>0</v>
      </c>
      <c r="M718" s="216">
        <f>IFERROR(VLOOKUP(A718,PARTIDAS!$A$2:$F$269,6,FALSE()),1)</f>
        <v>1</v>
      </c>
      <c r="N718" s="216">
        <f>IFERROR(VLOOKUP(A718,PARTIDAS!$A$2:$I$269,9,FALSE()),1)</f>
        <v>1</v>
      </c>
      <c r="O718" s="217">
        <f t="shared" si="22"/>
        <v>0</v>
      </c>
      <c r="P718" s="216">
        <f>IF(O718=0,0,IF(B718="MAT",G718*(1+H718)*L718*PLAN_ETAPA!$C$5,IF(B718="MO",IF(M718=0,0,G718*L718*PLAN_ETAPA!$C$5*N718/M718),IF(B718="EQ",IF(M718=0,0,G718*L718*PLAN_ETAPA!$C$5/M718),0))))</f>
        <v>0</v>
      </c>
      <c r="Q718" s="218">
        <f t="shared" si="23"/>
        <v>0</v>
      </c>
    </row>
    <row r="719" spans="1:17" x14ac:dyDescent="0.35">
      <c r="A719" s="212" t="str">
        <f>COMPOSICIÓN!A719</f>
        <v>PTO-0104</v>
      </c>
      <c r="B719" s="212" t="str">
        <f>COMPOSICIÓN!B719</f>
        <v>MAT</v>
      </c>
      <c r="C719" s="212" t="str">
        <f>COMPOSICIÓN!C719</f>
        <v>OTR</v>
      </c>
      <c r="D719" s="212" t="str">
        <f>COMPOSICIÓN!D719</f>
        <v>OTR-PTO007</v>
      </c>
      <c r="E719" s="212" t="str">
        <f>COMPOSICIÓN!E719</f>
        <v xml:space="preserve">Autoperforantes punta mecha 14 x 2 </v>
      </c>
      <c r="F719" s="212" t="str">
        <f>COMPOSICIÓN!F719</f>
        <v>u</v>
      </c>
      <c r="G719" s="213">
        <f>COMPOSICIÓN!G719</f>
        <v>11.25</v>
      </c>
      <c r="H719" s="214">
        <f>COMPOSICIÓN!H719</f>
        <v>0</v>
      </c>
      <c r="I719" s="215">
        <f>COMPOSICIÓN!I719</f>
        <v>120</v>
      </c>
      <c r="J719" s="212" t="str">
        <f>IFERROR(VLOOKUP(A719,PARTIDAS!$A$2:$C$269,3,FALSE()),"")</f>
        <v>PRELIMINARES</v>
      </c>
      <c r="K719" s="212" t="str">
        <f>IFERROR(INDEX(PPTO_GENERADOR!$B$4:$B$220,MATCH(A719,PPTO_GENERADOR!$Q$4:$Q$220,0)),"")</f>
        <v>PRELIMINARES</v>
      </c>
      <c r="L719" s="216">
        <f>IF(PLAN_ETAPA!$C$4="(TODOS)",SUMIFS(PPTO_GENERADOR!$E$4:$E$220,PPTO_GENERADOR!$Q$4:$Q$220,A719),SUMIFS(PPTO_GENERADOR!$E$4:$E$220,PPTO_GENERADOR!$Q$4:$Q$220,A719,PPTO_GENERADOR!$B$4:$B$220,PLAN_ETAPA!$C$4))</f>
        <v>0</v>
      </c>
      <c r="M719" s="216">
        <f>IFERROR(VLOOKUP(A719,PARTIDAS!$A$2:$F$269,6,FALSE()),1)</f>
        <v>1</v>
      </c>
      <c r="N719" s="216">
        <f>IFERROR(VLOOKUP(A719,PARTIDAS!$A$2:$I$269,9,FALSE()),1)</f>
        <v>1</v>
      </c>
      <c r="O719" s="217">
        <f t="shared" si="22"/>
        <v>0</v>
      </c>
      <c r="P719" s="216">
        <f>IF(O719=0,0,IF(B719="MAT",G719*(1+H719)*L719*PLAN_ETAPA!$C$5,IF(B719="MO",IF(M719=0,0,G719*L719*PLAN_ETAPA!$C$5*N719/M719),IF(B719="EQ",IF(M719=0,0,G719*L719*PLAN_ETAPA!$C$5/M719),0))))</f>
        <v>0</v>
      </c>
      <c r="Q719" s="218">
        <f t="shared" si="23"/>
        <v>0</v>
      </c>
    </row>
    <row r="720" spans="1:17" x14ac:dyDescent="0.35">
      <c r="A720" s="212" t="str">
        <f>COMPOSICIÓN!A720</f>
        <v>PTO-0104</v>
      </c>
      <c r="B720" s="212" t="str">
        <f>COMPOSICIÓN!B720</f>
        <v>MAT</v>
      </c>
      <c r="C720" s="212" t="str">
        <f>COMPOSICIÓN!C720</f>
        <v>OTR</v>
      </c>
      <c r="D720" s="212" t="str">
        <f>COMPOSICIÓN!D720</f>
        <v>OTR-PTO008</v>
      </c>
      <c r="E720" s="212" t="str">
        <f>COMPOSICIÓN!E720</f>
        <v>Rollo Concertina</v>
      </c>
      <c r="F720" s="212" t="str">
        <f>COMPOSICIÓN!F720</f>
        <v>rol</v>
      </c>
      <c r="G720" s="213">
        <f>COMPOSICIÓN!G720</f>
        <v>0.2</v>
      </c>
      <c r="H720" s="214">
        <f>COMPOSICIÓN!H720</f>
        <v>0</v>
      </c>
      <c r="I720" s="215">
        <f>COMPOSICIÓN!I720</f>
        <v>41322.314049586799</v>
      </c>
      <c r="J720" s="212" t="str">
        <f>IFERROR(VLOOKUP(A720,PARTIDAS!$A$2:$C$269,3,FALSE()),"")</f>
        <v>PRELIMINARES</v>
      </c>
      <c r="K720" s="212" t="str">
        <f>IFERROR(INDEX(PPTO_GENERADOR!$B$4:$B$220,MATCH(A720,PPTO_GENERADOR!$Q$4:$Q$220,0)),"")</f>
        <v>PRELIMINARES</v>
      </c>
      <c r="L720" s="216">
        <f>IF(PLAN_ETAPA!$C$4="(TODOS)",SUMIFS(PPTO_GENERADOR!$E$4:$E$220,PPTO_GENERADOR!$Q$4:$Q$220,A720),SUMIFS(PPTO_GENERADOR!$E$4:$E$220,PPTO_GENERADOR!$Q$4:$Q$220,A720,PPTO_GENERADOR!$B$4:$B$220,PLAN_ETAPA!$C$4))</f>
        <v>0</v>
      </c>
      <c r="M720" s="216">
        <f>IFERROR(VLOOKUP(A720,PARTIDAS!$A$2:$F$269,6,FALSE()),1)</f>
        <v>1</v>
      </c>
      <c r="N720" s="216">
        <f>IFERROR(VLOOKUP(A720,PARTIDAS!$A$2:$I$269,9,FALSE()),1)</f>
        <v>1</v>
      </c>
      <c r="O720" s="217">
        <f t="shared" si="22"/>
        <v>0</v>
      </c>
      <c r="P720" s="216">
        <f>IF(O720=0,0,IF(B720="MAT",G720*(1+H720)*L720*PLAN_ETAPA!$C$5,IF(B720="MO",IF(M720=0,0,G720*L720*PLAN_ETAPA!$C$5*N720/M720),IF(B720="EQ",IF(M720=0,0,G720*L720*PLAN_ETAPA!$C$5/M720),0))))</f>
        <v>0</v>
      </c>
      <c r="Q720" s="218">
        <f t="shared" si="23"/>
        <v>0</v>
      </c>
    </row>
    <row r="721" spans="1:17" x14ac:dyDescent="0.35">
      <c r="A721" s="212" t="str">
        <f>COMPOSICIÓN!A721</f>
        <v>PTO-0104</v>
      </c>
      <c r="B721" s="212" t="str">
        <f>COMPOSICIÓN!B721</f>
        <v>MO</v>
      </c>
      <c r="C721" s="212" t="str">
        <f>COMPOSICIÓN!C721</f>
        <v>ALB</v>
      </c>
      <c r="D721" s="212" t="str">
        <f>COMPOSICIÓN!D721</f>
        <v>MO-EAYUD</v>
      </c>
      <c r="E721" s="212" t="str">
        <f>COMPOSICIÓN!E721</f>
        <v>AYUDANTE</v>
      </c>
      <c r="F721" s="212" t="str">
        <f>COMPOSICIÓN!F721</f>
        <v>j</v>
      </c>
      <c r="G721" s="213">
        <f>COMPOSICIÓN!G721</f>
        <v>0.5</v>
      </c>
      <c r="H721" s="214">
        <f>COMPOSICIÓN!H721</f>
        <v>0</v>
      </c>
      <c r="I721" s="215">
        <f>COMPOSICIÓN!I721</f>
        <v>60860.580776572002</v>
      </c>
      <c r="J721" s="212" t="str">
        <f>IFERROR(VLOOKUP(A721,PARTIDAS!$A$2:$C$269,3,FALSE()),"")</f>
        <v>PRELIMINARES</v>
      </c>
      <c r="K721" s="212" t="str">
        <f>IFERROR(INDEX(PPTO_GENERADOR!$B$4:$B$220,MATCH(A721,PPTO_GENERADOR!$Q$4:$Q$220,0)),"")</f>
        <v>PRELIMINARES</v>
      </c>
      <c r="L721" s="216">
        <f>IF(PLAN_ETAPA!$C$4="(TODOS)",SUMIFS(PPTO_GENERADOR!$E$4:$E$220,PPTO_GENERADOR!$Q$4:$Q$220,A721),SUMIFS(PPTO_GENERADOR!$E$4:$E$220,PPTO_GENERADOR!$Q$4:$Q$220,A721,PPTO_GENERADOR!$B$4:$B$220,PLAN_ETAPA!$C$4))</f>
        <v>0</v>
      </c>
      <c r="M721" s="216">
        <f>IFERROR(VLOOKUP(A721,PARTIDAS!$A$2:$F$269,6,FALSE()),1)</f>
        <v>1</v>
      </c>
      <c r="N721" s="216">
        <f>IFERROR(VLOOKUP(A721,PARTIDAS!$A$2:$I$269,9,FALSE()),1)</f>
        <v>1</v>
      </c>
      <c r="O721" s="217">
        <f t="shared" si="22"/>
        <v>0</v>
      </c>
      <c r="P721" s="216">
        <f>IF(O721=0,0,IF(B721="MAT",G721*(1+H721)*L721*PLAN_ETAPA!$C$5,IF(B721="MO",IF(M721=0,0,G721*L721*PLAN_ETAPA!$C$5*N721/M721),IF(B721="EQ",IF(M721=0,0,G721*L721*PLAN_ETAPA!$C$5/M721),0))))</f>
        <v>0</v>
      </c>
      <c r="Q721" s="218">
        <f t="shared" si="23"/>
        <v>0</v>
      </c>
    </row>
    <row r="722" spans="1:17" x14ac:dyDescent="0.35">
      <c r="A722" s="212" t="str">
        <f>COMPOSICIÓN!A722</f>
        <v>PTO-0104</v>
      </c>
      <c r="B722" s="212" t="str">
        <f>COMPOSICIÓN!B722</f>
        <v>MO</v>
      </c>
      <c r="C722" s="212" t="str">
        <f>COMPOSICIÓN!C722</f>
        <v>ALB</v>
      </c>
      <c r="D722" s="212" t="str">
        <f>COMPOSICIÓN!D722</f>
        <v>MO-EMEDI</v>
      </c>
      <c r="E722" s="212" t="str">
        <f>COMPOSICIÓN!E722</f>
        <v>MEDIO OFICIAL</v>
      </c>
      <c r="F722" s="212" t="str">
        <f>COMPOSICIÓN!F722</f>
        <v>j</v>
      </c>
      <c r="G722" s="213">
        <f>COMPOSICIÓN!G722</f>
        <v>0.5</v>
      </c>
      <c r="H722" s="214">
        <f>COMPOSICIÓN!H722</f>
        <v>0</v>
      </c>
      <c r="I722" s="215">
        <f>COMPOSICIÓN!I722</f>
        <v>65493.071636572</v>
      </c>
      <c r="J722" s="212" t="str">
        <f>IFERROR(VLOOKUP(A722,PARTIDAS!$A$2:$C$269,3,FALSE()),"")</f>
        <v>PRELIMINARES</v>
      </c>
      <c r="K722" s="212" t="str">
        <f>IFERROR(INDEX(PPTO_GENERADOR!$B$4:$B$220,MATCH(A722,PPTO_GENERADOR!$Q$4:$Q$220,0)),"")</f>
        <v>PRELIMINARES</v>
      </c>
      <c r="L722" s="216">
        <f>IF(PLAN_ETAPA!$C$4="(TODOS)",SUMIFS(PPTO_GENERADOR!$E$4:$E$220,PPTO_GENERADOR!$Q$4:$Q$220,A722),SUMIFS(PPTO_GENERADOR!$E$4:$E$220,PPTO_GENERADOR!$Q$4:$Q$220,A722,PPTO_GENERADOR!$B$4:$B$220,PLAN_ETAPA!$C$4))</f>
        <v>0</v>
      </c>
      <c r="M722" s="216">
        <f>IFERROR(VLOOKUP(A722,PARTIDAS!$A$2:$F$269,6,FALSE()),1)</f>
        <v>1</v>
      </c>
      <c r="N722" s="216">
        <f>IFERROR(VLOOKUP(A722,PARTIDAS!$A$2:$I$269,9,FALSE()),1)</f>
        <v>1</v>
      </c>
      <c r="O722" s="217">
        <f t="shared" si="22"/>
        <v>0</v>
      </c>
      <c r="P722" s="216">
        <f>IF(O722=0,0,IF(B722="MAT",G722*(1+H722)*L722*PLAN_ETAPA!$C$5,IF(B722="MO",IF(M722=0,0,G722*L722*PLAN_ETAPA!$C$5*N722/M722),IF(B722="EQ",IF(M722=0,0,G722*L722*PLAN_ETAPA!$C$5/M722),0))))</f>
        <v>0</v>
      </c>
      <c r="Q722" s="218">
        <f t="shared" si="23"/>
        <v>0</v>
      </c>
    </row>
    <row r="723" spans="1:17" x14ac:dyDescent="0.35">
      <c r="A723" s="212" t="str">
        <f>COMPOSICIÓN!A723</f>
        <v>PTO-0104</v>
      </c>
      <c r="B723" s="212" t="str">
        <f>COMPOSICIÓN!B723</f>
        <v>MO</v>
      </c>
      <c r="C723" s="212" t="str">
        <f>COMPOSICIÓN!C723</f>
        <v>ALB</v>
      </c>
      <c r="D723" s="212" t="str">
        <f>COMPOSICIÓN!D723</f>
        <v>MO-EOFIC</v>
      </c>
      <c r="E723" s="212" t="str">
        <f>COMPOSICIÓN!E723</f>
        <v>OFICIAL</v>
      </c>
      <c r="F723" s="212" t="str">
        <f>COMPOSICIÓN!F723</f>
        <v>j</v>
      </c>
      <c r="G723" s="213">
        <f>COMPOSICIÓN!G723</f>
        <v>0.5</v>
      </c>
      <c r="H723" s="214">
        <f>COMPOSICIÓN!H723</f>
        <v>0</v>
      </c>
      <c r="I723" s="215">
        <f>COMPOSICIÓN!I723</f>
        <v>76955.079706571996</v>
      </c>
      <c r="J723" s="212" t="str">
        <f>IFERROR(VLOOKUP(A723,PARTIDAS!$A$2:$C$269,3,FALSE()),"")</f>
        <v>PRELIMINARES</v>
      </c>
      <c r="K723" s="212" t="str">
        <f>IFERROR(INDEX(PPTO_GENERADOR!$B$4:$B$220,MATCH(A723,PPTO_GENERADOR!$Q$4:$Q$220,0)),"")</f>
        <v>PRELIMINARES</v>
      </c>
      <c r="L723" s="216">
        <f>IF(PLAN_ETAPA!$C$4="(TODOS)",SUMIFS(PPTO_GENERADOR!$E$4:$E$220,PPTO_GENERADOR!$Q$4:$Q$220,A723),SUMIFS(PPTO_GENERADOR!$E$4:$E$220,PPTO_GENERADOR!$Q$4:$Q$220,A723,PPTO_GENERADOR!$B$4:$B$220,PLAN_ETAPA!$C$4))</f>
        <v>0</v>
      </c>
      <c r="M723" s="216">
        <f>IFERROR(VLOOKUP(A723,PARTIDAS!$A$2:$F$269,6,FALSE()),1)</f>
        <v>1</v>
      </c>
      <c r="N723" s="216">
        <f>IFERROR(VLOOKUP(A723,PARTIDAS!$A$2:$I$269,9,FALSE()),1)</f>
        <v>1</v>
      </c>
      <c r="O723" s="217">
        <f t="shared" si="22"/>
        <v>0</v>
      </c>
      <c r="P723" s="216">
        <f>IF(O723=0,0,IF(B723="MAT",G723*(1+H723)*L723*PLAN_ETAPA!$C$5,IF(B723="MO",IF(M723=0,0,G723*L723*PLAN_ETAPA!$C$5*N723/M723),IF(B723="EQ",IF(M723=0,0,G723*L723*PLAN_ETAPA!$C$5/M723),0))))</f>
        <v>0</v>
      </c>
      <c r="Q723" s="218">
        <f t="shared" si="23"/>
        <v>0</v>
      </c>
    </row>
    <row r="724" spans="1:17" x14ac:dyDescent="0.35">
      <c r="A724" s="212" t="str">
        <f>COMPOSICIÓN!A724</f>
        <v>PTO-0105</v>
      </c>
      <c r="B724" s="212" t="str">
        <f>COMPOSICIÓN!B724</f>
        <v>EQ</v>
      </c>
      <c r="C724" s="212">
        <f>COMPOSICIÓN!C724</f>
        <v>0</v>
      </c>
      <c r="D724" s="212" t="str">
        <f>COMPOSICIÓN!D724</f>
        <v>EQ-PTO030</v>
      </c>
      <c r="E724" s="212" t="str">
        <f>COMPOSICIÓN!E724</f>
        <v>Herramientas menores y consumibles - Obrador, pañol y ducha.</v>
      </c>
      <c r="F724" s="212">
        <f>COMPOSICIÓN!F724</f>
        <v>0</v>
      </c>
      <c r="G724" s="213">
        <f>COMPOSICIÓN!G724</f>
        <v>1</v>
      </c>
      <c r="H724" s="214">
        <f>COMPOSICIÓN!H724</f>
        <v>0</v>
      </c>
      <c r="I724" s="215">
        <f>COMPOSICIÓN!I724</f>
        <v>108806.813322348</v>
      </c>
      <c r="J724" s="212" t="str">
        <f>IFERROR(VLOOKUP(A724,PARTIDAS!$A$2:$C$269,3,FALSE()),"")</f>
        <v>PRELIMINARES</v>
      </c>
      <c r="K724" s="212" t="str">
        <f>IFERROR(INDEX(PPTO_GENERADOR!$B$4:$B$220,MATCH(A724,PPTO_GENERADOR!$Q$4:$Q$220,0)),"")</f>
        <v>PRELIMINARES</v>
      </c>
      <c r="L724" s="216">
        <f>IF(PLAN_ETAPA!$C$4="(TODOS)",SUMIFS(PPTO_GENERADOR!$E$4:$E$220,PPTO_GENERADOR!$Q$4:$Q$220,A724),SUMIFS(PPTO_GENERADOR!$E$4:$E$220,PPTO_GENERADOR!$Q$4:$Q$220,A724,PPTO_GENERADOR!$B$4:$B$220,PLAN_ETAPA!$C$4))</f>
        <v>0</v>
      </c>
      <c r="M724" s="216">
        <f>IFERROR(VLOOKUP(A724,PARTIDAS!$A$2:$F$269,6,FALSE()),1)</f>
        <v>1</v>
      </c>
      <c r="N724" s="216">
        <f>IFERROR(VLOOKUP(A724,PARTIDAS!$A$2:$I$269,9,FALSE()),1)</f>
        <v>1</v>
      </c>
      <c r="O724" s="217">
        <f t="shared" si="22"/>
        <v>0</v>
      </c>
      <c r="P724" s="216">
        <f>IF(O724=0,0,IF(B724="MAT",G724*(1+H724)*L724*PLAN_ETAPA!$C$5,IF(B724="MO",IF(M724=0,0,G724*L724*PLAN_ETAPA!$C$5*N724/M724),IF(B724="EQ",IF(M724=0,0,G724*L724*PLAN_ETAPA!$C$5/M724),0))))</f>
        <v>0</v>
      </c>
      <c r="Q724" s="218">
        <f t="shared" si="23"/>
        <v>0</v>
      </c>
    </row>
    <row r="725" spans="1:17" x14ac:dyDescent="0.35">
      <c r="A725" s="212" t="str">
        <f>COMPOSICIÓN!A725</f>
        <v>PTO-0105</v>
      </c>
      <c r="B725" s="212" t="str">
        <f>COMPOSICIÓN!B725</f>
        <v>MAT</v>
      </c>
      <c r="C725" s="212" t="str">
        <f>COMPOSICIÓN!C725</f>
        <v>COR</v>
      </c>
      <c r="D725" s="212" t="str">
        <f>COMPOSICIÓN!D725</f>
        <v>OTR-PTO015</v>
      </c>
      <c r="E725" s="212" t="str">
        <f>COMPOSICIÓN!E725</f>
        <v xml:space="preserve">Materiales varios </v>
      </c>
      <c r="F725" s="212" t="str">
        <f>COMPOSICIÓN!F725</f>
        <v>gl</v>
      </c>
      <c r="G725" s="213">
        <f>COMPOSICIÓN!G725</f>
        <v>200000</v>
      </c>
      <c r="H725" s="214">
        <f>COMPOSICIÓN!H725</f>
        <v>0</v>
      </c>
      <c r="I725" s="215">
        <f>COMPOSICIÓN!I725</f>
        <v>1</v>
      </c>
      <c r="J725" s="212" t="str">
        <f>IFERROR(VLOOKUP(A725,PARTIDAS!$A$2:$C$269,3,FALSE()),"")</f>
        <v>PRELIMINARES</v>
      </c>
      <c r="K725" s="212" t="str">
        <f>IFERROR(INDEX(PPTO_GENERADOR!$B$4:$B$220,MATCH(A725,PPTO_GENERADOR!$Q$4:$Q$220,0)),"")</f>
        <v>PRELIMINARES</v>
      </c>
      <c r="L725" s="216">
        <f>IF(PLAN_ETAPA!$C$4="(TODOS)",SUMIFS(PPTO_GENERADOR!$E$4:$E$220,PPTO_GENERADOR!$Q$4:$Q$220,A725),SUMIFS(PPTO_GENERADOR!$E$4:$E$220,PPTO_GENERADOR!$Q$4:$Q$220,A725,PPTO_GENERADOR!$B$4:$B$220,PLAN_ETAPA!$C$4))</f>
        <v>0</v>
      </c>
      <c r="M725" s="216">
        <f>IFERROR(VLOOKUP(A725,PARTIDAS!$A$2:$F$269,6,FALSE()),1)</f>
        <v>1</v>
      </c>
      <c r="N725" s="216">
        <f>IFERROR(VLOOKUP(A725,PARTIDAS!$A$2:$I$269,9,FALSE()),1)</f>
        <v>1</v>
      </c>
      <c r="O725" s="217">
        <f t="shared" si="22"/>
        <v>0</v>
      </c>
      <c r="P725" s="216">
        <f>IF(O725=0,0,IF(B725="MAT",G725*(1+H725)*L725*PLAN_ETAPA!$C$5,IF(B725="MO",IF(M725=0,0,G725*L725*PLAN_ETAPA!$C$5*N725/M725),IF(B725="EQ",IF(M725=0,0,G725*L725*PLAN_ETAPA!$C$5/M725),0))))</f>
        <v>0</v>
      </c>
      <c r="Q725" s="218">
        <f t="shared" si="23"/>
        <v>0</v>
      </c>
    </row>
    <row r="726" spans="1:17" x14ac:dyDescent="0.35">
      <c r="A726" s="212" t="str">
        <f>COMPOSICIÓN!A726</f>
        <v>PTO-0105</v>
      </c>
      <c r="B726" s="212" t="str">
        <f>COMPOSICIÓN!B726</f>
        <v>MAT</v>
      </c>
      <c r="C726" s="212" t="str">
        <f>COMPOSICIÓN!C726</f>
        <v>OTR</v>
      </c>
      <c r="D726" s="212" t="str">
        <f>COMPOSICIÓN!D726</f>
        <v>OTR-PTO009</v>
      </c>
      <c r="E726" s="212" t="str">
        <f>COMPOSICIÓN!E726</f>
        <v>Chapa acanalada C25 - Reutilizado (estimado 3 usos)</v>
      </c>
      <c r="F726" s="212" t="str">
        <f>COMPOSICIÓN!F726</f>
        <v>m2</v>
      </c>
      <c r="G726" s="213">
        <f>COMPOSICIÓN!G726</f>
        <v>35</v>
      </c>
      <c r="H726" s="214">
        <f>COMPOSICIÓN!H726</f>
        <v>0</v>
      </c>
      <c r="I726" s="215">
        <f>COMPOSICIÓN!I726</f>
        <v>3389.1900826446299</v>
      </c>
      <c r="J726" s="212" t="str">
        <f>IFERROR(VLOOKUP(A726,PARTIDAS!$A$2:$C$269,3,FALSE()),"")</f>
        <v>PRELIMINARES</v>
      </c>
      <c r="K726" s="212" t="str">
        <f>IFERROR(INDEX(PPTO_GENERADOR!$B$4:$B$220,MATCH(A726,PPTO_GENERADOR!$Q$4:$Q$220,0)),"")</f>
        <v>PRELIMINARES</v>
      </c>
      <c r="L726" s="216">
        <f>IF(PLAN_ETAPA!$C$4="(TODOS)",SUMIFS(PPTO_GENERADOR!$E$4:$E$220,PPTO_GENERADOR!$Q$4:$Q$220,A726),SUMIFS(PPTO_GENERADOR!$E$4:$E$220,PPTO_GENERADOR!$Q$4:$Q$220,A726,PPTO_GENERADOR!$B$4:$B$220,PLAN_ETAPA!$C$4))</f>
        <v>0</v>
      </c>
      <c r="M726" s="216">
        <f>IFERROR(VLOOKUP(A726,PARTIDAS!$A$2:$F$269,6,FALSE()),1)</f>
        <v>1</v>
      </c>
      <c r="N726" s="216">
        <f>IFERROR(VLOOKUP(A726,PARTIDAS!$A$2:$I$269,9,FALSE()),1)</f>
        <v>1</v>
      </c>
      <c r="O726" s="217">
        <f t="shared" si="22"/>
        <v>0</v>
      </c>
      <c r="P726" s="216">
        <f>IF(O726=0,0,IF(B726="MAT",G726*(1+H726)*L726*PLAN_ETAPA!$C$5,IF(B726="MO",IF(M726=0,0,G726*L726*PLAN_ETAPA!$C$5*N726/M726),IF(B726="EQ",IF(M726=0,0,G726*L726*PLAN_ETAPA!$C$5/M726),0))))</f>
        <v>0</v>
      </c>
      <c r="Q726" s="218">
        <f t="shared" si="23"/>
        <v>0</v>
      </c>
    </row>
    <row r="727" spans="1:17" x14ac:dyDescent="0.35">
      <c r="A727" s="212" t="str">
        <f>COMPOSICIÓN!A727</f>
        <v>PTO-0105</v>
      </c>
      <c r="B727" s="212" t="str">
        <f>COMPOSICIÓN!B727</f>
        <v>MAT</v>
      </c>
      <c r="C727" s="212" t="str">
        <f>COMPOSICIÓN!C727</f>
        <v>OTR</v>
      </c>
      <c r="D727" s="212" t="str">
        <f>COMPOSICIÓN!D727</f>
        <v>OTR-PTO010</v>
      </c>
      <c r="E727" s="212" t="str">
        <f>COMPOSICIÓN!E727</f>
        <v>Fenolico 1,22 x 2,44 - Reutilizado (estimado 3 usos)</v>
      </c>
      <c r="F727" s="212" t="str">
        <f>COMPOSICIÓN!F727</f>
        <v>u</v>
      </c>
      <c r="G727" s="213">
        <f>COMPOSICIÓN!G727</f>
        <v>33</v>
      </c>
      <c r="H727" s="214">
        <f>COMPOSICIÓN!H727</f>
        <v>0</v>
      </c>
      <c r="I727" s="215">
        <f>COMPOSICIÓN!I727</f>
        <v>8774.2266666666692</v>
      </c>
      <c r="J727" s="212" t="str">
        <f>IFERROR(VLOOKUP(A727,PARTIDAS!$A$2:$C$269,3,FALSE()),"")</f>
        <v>PRELIMINARES</v>
      </c>
      <c r="K727" s="212" t="str">
        <f>IFERROR(INDEX(PPTO_GENERADOR!$B$4:$B$220,MATCH(A727,PPTO_GENERADOR!$Q$4:$Q$220,0)),"")</f>
        <v>PRELIMINARES</v>
      </c>
      <c r="L727" s="216">
        <f>IF(PLAN_ETAPA!$C$4="(TODOS)",SUMIFS(PPTO_GENERADOR!$E$4:$E$220,PPTO_GENERADOR!$Q$4:$Q$220,A727),SUMIFS(PPTO_GENERADOR!$E$4:$E$220,PPTO_GENERADOR!$Q$4:$Q$220,A727,PPTO_GENERADOR!$B$4:$B$220,PLAN_ETAPA!$C$4))</f>
        <v>0</v>
      </c>
      <c r="M727" s="216">
        <f>IFERROR(VLOOKUP(A727,PARTIDAS!$A$2:$F$269,6,FALSE()),1)</f>
        <v>1</v>
      </c>
      <c r="N727" s="216">
        <f>IFERROR(VLOOKUP(A727,PARTIDAS!$A$2:$I$269,9,FALSE()),1)</f>
        <v>1</v>
      </c>
      <c r="O727" s="217">
        <f t="shared" si="22"/>
        <v>0</v>
      </c>
      <c r="P727" s="216">
        <f>IF(O727=0,0,IF(B727="MAT",G727*(1+H727)*L727*PLAN_ETAPA!$C$5,IF(B727="MO",IF(M727=0,0,G727*L727*PLAN_ETAPA!$C$5*N727/M727),IF(B727="EQ",IF(M727=0,0,G727*L727*PLAN_ETAPA!$C$5/M727),0))))</f>
        <v>0</v>
      </c>
      <c r="Q727" s="218">
        <f t="shared" si="23"/>
        <v>0</v>
      </c>
    </row>
    <row r="728" spans="1:17" x14ac:dyDescent="0.35">
      <c r="A728" s="212" t="str">
        <f>COMPOSICIÓN!A728</f>
        <v>PTO-0105</v>
      </c>
      <c r="B728" s="212" t="str">
        <f>COMPOSICIÓN!B728</f>
        <v>MAT</v>
      </c>
      <c r="C728" s="212" t="str">
        <f>COMPOSICIÓN!C728</f>
        <v>OTR</v>
      </c>
      <c r="D728" s="212" t="str">
        <f>COMPOSICIÓN!D728</f>
        <v>OTR-PTO011</v>
      </c>
      <c r="E728" s="212" t="str">
        <f>COMPOSICIÓN!E728</f>
        <v>Puntales 1 x 4 x 3,7 - Reutilizado (estimado 3 usos)</v>
      </c>
      <c r="F728" s="212" t="str">
        <f>COMPOSICIÓN!F728</f>
        <v>u</v>
      </c>
      <c r="G728" s="213">
        <f>COMPOSICIÓN!G728</f>
        <v>80</v>
      </c>
      <c r="H728" s="214">
        <f>COMPOSICIÓN!H728</f>
        <v>0</v>
      </c>
      <c r="I728" s="215">
        <f>COMPOSICIÓN!I728</f>
        <v>647.31600000000003</v>
      </c>
      <c r="J728" s="212" t="str">
        <f>IFERROR(VLOOKUP(A728,PARTIDAS!$A$2:$C$269,3,FALSE()),"")</f>
        <v>PRELIMINARES</v>
      </c>
      <c r="K728" s="212" t="str">
        <f>IFERROR(INDEX(PPTO_GENERADOR!$B$4:$B$220,MATCH(A728,PPTO_GENERADOR!$Q$4:$Q$220,0)),"")</f>
        <v>PRELIMINARES</v>
      </c>
      <c r="L728" s="216">
        <f>IF(PLAN_ETAPA!$C$4="(TODOS)",SUMIFS(PPTO_GENERADOR!$E$4:$E$220,PPTO_GENERADOR!$Q$4:$Q$220,A728),SUMIFS(PPTO_GENERADOR!$E$4:$E$220,PPTO_GENERADOR!$Q$4:$Q$220,A728,PPTO_GENERADOR!$B$4:$B$220,PLAN_ETAPA!$C$4))</f>
        <v>0</v>
      </c>
      <c r="M728" s="216">
        <f>IFERROR(VLOOKUP(A728,PARTIDAS!$A$2:$F$269,6,FALSE()),1)</f>
        <v>1</v>
      </c>
      <c r="N728" s="216">
        <f>IFERROR(VLOOKUP(A728,PARTIDAS!$A$2:$I$269,9,FALSE()),1)</f>
        <v>1</v>
      </c>
      <c r="O728" s="217">
        <f t="shared" si="22"/>
        <v>0</v>
      </c>
      <c r="P728" s="216">
        <f>IF(O728=0,0,IF(B728="MAT",G728*(1+H728)*L728*PLAN_ETAPA!$C$5,IF(B728="MO",IF(M728=0,0,G728*L728*PLAN_ETAPA!$C$5*N728/M728),IF(B728="EQ",IF(M728=0,0,G728*L728*PLAN_ETAPA!$C$5/M728),0))))</f>
        <v>0</v>
      </c>
      <c r="Q728" s="218">
        <f t="shared" si="23"/>
        <v>0</v>
      </c>
    </row>
    <row r="729" spans="1:17" x14ac:dyDescent="0.35">
      <c r="A729" s="212" t="str">
        <f>COMPOSICIÓN!A729</f>
        <v>PTO-0105</v>
      </c>
      <c r="B729" s="212" t="str">
        <f>COMPOSICIÓN!B729</f>
        <v>MAT</v>
      </c>
      <c r="C729" s="212" t="str">
        <f>COMPOSICIÓN!C729</f>
        <v>OTR</v>
      </c>
      <c r="D729" s="212" t="str">
        <f>COMPOSICIÓN!D729</f>
        <v>OTR-PTO012</v>
      </c>
      <c r="E729" s="212" t="str">
        <f>COMPOSICIÓN!E729</f>
        <v>Puntales 3 x 3 x 3,7 - Reutilizado (estimado 3 usos)</v>
      </c>
      <c r="F729" s="212" t="str">
        <f>COMPOSICIÓN!F729</f>
        <v>u</v>
      </c>
      <c r="G729" s="213">
        <f>COMPOSICIÓN!G729</f>
        <v>40</v>
      </c>
      <c r="H729" s="214">
        <f>COMPOSICIÓN!H729</f>
        <v>0</v>
      </c>
      <c r="I729" s="215">
        <f>COMPOSICIÓN!I729</f>
        <v>1456.4760000000001</v>
      </c>
      <c r="J729" s="212" t="str">
        <f>IFERROR(VLOOKUP(A729,PARTIDAS!$A$2:$C$269,3,FALSE()),"")</f>
        <v>PRELIMINARES</v>
      </c>
      <c r="K729" s="212" t="str">
        <f>IFERROR(INDEX(PPTO_GENERADOR!$B$4:$B$220,MATCH(A729,PPTO_GENERADOR!$Q$4:$Q$220,0)),"")</f>
        <v>PRELIMINARES</v>
      </c>
      <c r="L729" s="216">
        <f>IF(PLAN_ETAPA!$C$4="(TODOS)",SUMIFS(PPTO_GENERADOR!$E$4:$E$220,PPTO_GENERADOR!$Q$4:$Q$220,A729),SUMIFS(PPTO_GENERADOR!$E$4:$E$220,PPTO_GENERADOR!$Q$4:$Q$220,A729,PPTO_GENERADOR!$B$4:$B$220,PLAN_ETAPA!$C$4))</f>
        <v>0</v>
      </c>
      <c r="M729" s="216">
        <f>IFERROR(VLOOKUP(A729,PARTIDAS!$A$2:$F$269,6,FALSE()),1)</f>
        <v>1</v>
      </c>
      <c r="N729" s="216">
        <f>IFERROR(VLOOKUP(A729,PARTIDAS!$A$2:$I$269,9,FALSE()),1)</f>
        <v>1</v>
      </c>
      <c r="O729" s="217">
        <f t="shared" si="22"/>
        <v>0</v>
      </c>
      <c r="P729" s="216">
        <f>IF(O729=0,0,IF(B729="MAT",G729*(1+H729)*L729*PLAN_ETAPA!$C$5,IF(B729="MO",IF(M729=0,0,G729*L729*PLAN_ETAPA!$C$5*N729/M729),IF(B729="EQ",IF(M729=0,0,G729*L729*PLAN_ETAPA!$C$5/M729),0))))</f>
        <v>0</v>
      </c>
      <c r="Q729" s="218">
        <f t="shared" si="23"/>
        <v>0</v>
      </c>
    </row>
    <row r="730" spans="1:17" x14ac:dyDescent="0.35">
      <c r="A730" s="212" t="str">
        <f>COMPOSICIÓN!A730</f>
        <v>PTO-0105</v>
      </c>
      <c r="B730" s="212" t="str">
        <f>COMPOSICIÓN!B730</f>
        <v>MAT</v>
      </c>
      <c r="C730" s="212" t="str">
        <f>COMPOSICIÓN!C730</f>
        <v>OTR</v>
      </c>
      <c r="D730" s="212" t="str">
        <f>COMPOSICIÓN!D730</f>
        <v>OTR-PTO013</v>
      </c>
      <c r="E730" s="212" t="str">
        <f>COMPOSICIÓN!E730</f>
        <v xml:space="preserve">Flechas 3 x 6 x 3,7 - Reutilizado (estimado 3 usos) </v>
      </c>
      <c r="F730" s="212" t="str">
        <f>COMPOSICIÓN!F730</f>
        <v>u</v>
      </c>
      <c r="G730" s="213">
        <f>COMPOSICIÓN!G730</f>
        <v>20</v>
      </c>
      <c r="H730" s="214">
        <f>COMPOSICIÓN!H730</f>
        <v>0</v>
      </c>
      <c r="I730" s="215">
        <f>COMPOSICIÓN!I730</f>
        <v>2912.9520000000002</v>
      </c>
      <c r="J730" s="212" t="str">
        <f>IFERROR(VLOOKUP(A730,PARTIDAS!$A$2:$C$269,3,FALSE()),"")</f>
        <v>PRELIMINARES</v>
      </c>
      <c r="K730" s="212" t="str">
        <f>IFERROR(INDEX(PPTO_GENERADOR!$B$4:$B$220,MATCH(A730,PPTO_GENERADOR!$Q$4:$Q$220,0)),"")</f>
        <v>PRELIMINARES</v>
      </c>
      <c r="L730" s="216">
        <f>IF(PLAN_ETAPA!$C$4="(TODOS)",SUMIFS(PPTO_GENERADOR!$E$4:$E$220,PPTO_GENERADOR!$Q$4:$Q$220,A730),SUMIFS(PPTO_GENERADOR!$E$4:$E$220,PPTO_GENERADOR!$Q$4:$Q$220,A730,PPTO_GENERADOR!$B$4:$B$220,PLAN_ETAPA!$C$4))</f>
        <v>0</v>
      </c>
      <c r="M730" s="216">
        <f>IFERROR(VLOOKUP(A730,PARTIDAS!$A$2:$F$269,6,FALSE()),1)</f>
        <v>1</v>
      </c>
      <c r="N730" s="216">
        <f>IFERROR(VLOOKUP(A730,PARTIDAS!$A$2:$I$269,9,FALSE()),1)</f>
        <v>1</v>
      </c>
      <c r="O730" s="217">
        <f t="shared" si="22"/>
        <v>0</v>
      </c>
      <c r="P730" s="216">
        <f>IF(O730=0,0,IF(B730="MAT",G730*(1+H730)*L730*PLAN_ETAPA!$C$5,IF(B730="MO",IF(M730=0,0,G730*L730*PLAN_ETAPA!$C$5*N730/M730),IF(B730="EQ",IF(M730=0,0,G730*L730*PLAN_ETAPA!$C$5/M730),0))))</f>
        <v>0</v>
      </c>
      <c r="Q730" s="218">
        <f t="shared" si="23"/>
        <v>0</v>
      </c>
    </row>
    <row r="731" spans="1:17" x14ac:dyDescent="0.35">
      <c r="A731" s="212" t="str">
        <f>COMPOSICIÓN!A731</f>
        <v>PTO-0105</v>
      </c>
      <c r="B731" s="212" t="str">
        <f>COMPOSICIÓN!B731</f>
        <v>MAT</v>
      </c>
      <c r="C731" s="212" t="str">
        <f>COMPOSICIÓN!C731</f>
        <v>OTR</v>
      </c>
      <c r="D731" s="212" t="str">
        <f>COMPOSICIÓN!D731</f>
        <v>OTR-PTO014</v>
      </c>
      <c r="E731" s="212" t="str">
        <f>COMPOSICIÓN!E731</f>
        <v xml:space="preserve">Escalera </v>
      </c>
      <c r="F731" s="212" t="str">
        <f>COMPOSICIÓN!F731</f>
        <v>gl</v>
      </c>
      <c r="G731" s="213">
        <f>COMPOSICIÓN!G731</f>
        <v>0</v>
      </c>
      <c r="H731" s="214">
        <f>COMPOSICIÓN!H731</f>
        <v>0</v>
      </c>
      <c r="I731" s="215">
        <f>COMPOSICIÓN!I731</f>
        <v>168303.35999999999</v>
      </c>
      <c r="J731" s="212" t="str">
        <f>IFERROR(VLOOKUP(A731,PARTIDAS!$A$2:$C$269,3,FALSE()),"")</f>
        <v>PRELIMINARES</v>
      </c>
      <c r="K731" s="212" t="str">
        <f>IFERROR(INDEX(PPTO_GENERADOR!$B$4:$B$220,MATCH(A731,PPTO_GENERADOR!$Q$4:$Q$220,0)),"")</f>
        <v>PRELIMINARES</v>
      </c>
      <c r="L731" s="216">
        <f>IF(PLAN_ETAPA!$C$4="(TODOS)",SUMIFS(PPTO_GENERADOR!$E$4:$E$220,PPTO_GENERADOR!$Q$4:$Q$220,A731),SUMIFS(PPTO_GENERADOR!$E$4:$E$220,PPTO_GENERADOR!$Q$4:$Q$220,A731,PPTO_GENERADOR!$B$4:$B$220,PLAN_ETAPA!$C$4))</f>
        <v>0</v>
      </c>
      <c r="M731" s="216">
        <f>IFERROR(VLOOKUP(A731,PARTIDAS!$A$2:$F$269,6,FALSE()),1)</f>
        <v>1</v>
      </c>
      <c r="N731" s="216">
        <f>IFERROR(VLOOKUP(A731,PARTIDAS!$A$2:$I$269,9,FALSE()),1)</f>
        <v>1</v>
      </c>
      <c r="O731" s="217">
        <f t="shared" si="22"/>
        <v>0</v>
      </c>
      <c r="P731" s="216">
        <f>IF(O731=0,0,IF(B731="MAT",G731*(1+H731)*L731*PLAN_ETAPA!$C$5,IF(B731="MO",IF(M731=0,0,G731*L731*PLAN_ETAPA!$C$5*N731/M731),IF(B731="EQ",IF(M731=0,0,G731*L731*PLAN_ETAPA!$C$5/M731),0))))</f>
        <v>0</v>
      </c>
      <c r="Q731" s="218">
        <f t="shared" si="23"/>
        <v>0</v>
      </c>
    </row>
    <row r="732" spans="1:17" x14ac:dyDescent="0.35">
      <c r="A732" s="212" t="str">
        <f>COMPOSICIÓN!A732</f>
        <v>PTO-0105</v>
      </c>
      <c r="B732" s="212" t="str">
        <f>COMPOSICIÓN!B732</f>
        <v>MAT</v>
      </c>
      <c r="C732" s="212" t="str">
        <f>COMPOSICIÓN!C732</f>
        <v>OTR</v>
      </c>
      <c r="D732" s="212" t="str">
        <f>COMPOSICIÓN!D732</f>
        <v>OTR-PTO016</v>
      </c>
      <c r="E732" s="212" t="str">
        <f>COMPOSICIÓN!E732</f>
        <v xml:space="preserve">Rollo de cable TPR 3 x 2,5 </v>
      </c>
      <c r="F732" s="212" t="str">
        <f>COMPOSICIÓN!F732</f>
        <v xml:space="preserve">rol </v>
      </c>
      <c r="G732" s="213">
        <f>COMPOSICIÓN!G732</f>
        <v>1</v>
      </c>
      <c r="H732" s="214">
        <f>COMPOSICIÓN!H732</f>
        <v>0</v>
      </c>
      <c r="I732" s="215">
        <f>COMPOSICIÓN!I732</f>
        <v>214876.03305785099</v>
      </c>
      <c r="J732" s="212" t="str">
        <f>IFERROR(VLOOKUP(A732,PARTIDAS!$A$2:$C$269,3,FALSE()),"")</f>
        <v>PRELIMINARES</v>
      </c>
      <c r="K732" s="212" t="str">
        <f>IFERROR(INDEX(PPTO_GENERADOR!$B$4:$B$220,MATCH(A732,PPTO_GENERADOR!$Q$4:$Q$220,0)),"")</f>
        <v>PRELIMINARES</v>
      </c>
      <c r="L732" s="216">
        <f>IF(PLAN_ETAPA!$C$4="(TODOS)",SUMIFS(PPTO_GENERADOR!$E$4:$E$220,PPTO_GENERADOR!$Q$4:$Q$220,A732),SUMIFS(PPTO_GENERADOR!$E$4:$E$220,PPTO_GENERADOR!$Q$4:$Q$220,A732,PPTO_GENERADOR!$B$4:$B$220,PLAN_ETAPA!$C$4))</f>
        <v>0</v>
      </c>
      <c r="M732" s="216">
        <f>IFERROR(VLOOKUP(A732,PARTIDAS!$A$2:$F$269,6,FALSE()),1)</f>
        <v>1</v>
      </c>
      <c r="N732" s="216">
        <f>IFERROR(VLOOKUP(A732,PARTIDAS!$A$2:$I$269,9,FALSE()),1)</f>
        <v>1</v>
      </c>
      <c r="O732" s="217">
        <f t="shared" si="22"/>
        <v>0</v>
      </c>
      <c r="P732" s="216">
        <f>IF(O732=0,0,IF(B732="MAT",G732*(1+H732)*L732*PLAN_ETAPA!$C$5,IF(B732="MO",IF(M732=0,0,G732*L732*PLAN_ETAPA!$C$5*N732/M732),IF(B732="EQ",IF(M732=0,0,G732*L732*PLAN_ETAPA!$C$5/M732),0))))</f>
        <v>0</v>
      </c>
      <c r="Q732" s="218">
        <f t="shared" si="23"/>
        <v>0</v>
      </c>
    </row>
    <row r="733" spans="1:17" x14ac:dyDescent="0.35">
      <c r="A733" s="212" t="str">
        <f>COMPOSICIÓN!A733</f>
        <v>PTO-0105</v>
      </c>
      <c r="B733" s="212" t="str">
        <f>COMPOSICIÓN!B733</f>
        <v>MAT</v>
      </c>
      <c r="C733" s="212" t="str">
        <f>COMPOSICIÓN!C733</f>
        <v>OTR</v>
      </c>
      <c r="D733" s="212" t="str">
        <f>COMPOSICIÓN!D733</f>
        <v>OTR-PTO017</v>
      </c>
      <c r="E733" s="212" t="str">
        <f>COMPOSICIÓN!E733</f>
        <v>Zocalo E27</v>
      </c>
      <c r="F733" s="212" t="str">
        <f>COMPOSICIÓN!F733</f>
        <v>u</v>
      </c>
      <c r="G733" s="213">
        <f>COMPOSICIÓN!G733</f>
        <v>10</v>
      </c>
      <c r="H733" s="214">
        <f>COMPOSICIÓN!H733</f>
        <v>0</v>
      </c>
      <c r="I733" s="215">
        <f>COMPOSICIÓN!I733</f>
        <v>369.83471074380202</v>
      </c>
      <c r="J733" s="212" t="str">
        <f>IFERROR(VLOOKUP(A733,PARTIDAS!$A$2:$C$269,3,FALSE()),"")</f>
        <v>PRELIMINARES</v>
      </c>
      <c r="K733" s="212" t="str">
        <f>IFERROR(INDEX(PPTO_GENERADOR!$B$4:$B$220,MATCH(A733,PPTO_GENERADOR!$Q$4:$Q$220,0)),"")</f>
        <v>PRELIMINARES</v>
      </c>
      <c r="L733" s="216">
        <f>IF(PLAN_ETAPA!$C$4="(TODOS)",SUMIFS(PPTO_GENERADOR!$E$4:$E$220,PPTO_GENERADOR!$Q$4:$Q$220,A733),SUMIFS(PPTO_GENERADOR!$E$4:$E$220,PPTO_GENERADOR!$Q$4:$Q$220,A733,PPTO_GENERADOR!$B$4:$B$220,PLAN_ETAPA!$C$4))</f>
        <v>0</v>
      </c>
      <c r="M733" s="216">
        <f>IFERROR(VLOOKUP(A733,PARTIDAS!$A$2:$F$269,6,FALSE()),1)</f>
        <v>1</v>
      </c>
      <c r="N733" s="216">
        <f>IFERROR(VLOOKUP(A733,PARTIDAS!$A$2:$I$269,9,FALSE()),1)</f>
        <v>1</v>
      </c>
      <c r="O733" s="217">
        <f t="shared" si="22"/>
        <v>0</v>
      </c>
      <c r="P733" s="216">
        <f>IF(O733=0,0,IF(B733="MAT",G733*(1+H733)*L733*PLAN_ETAPA!$C$5,IF(B733="MO",IF(M733=0,0,G733*L733*PLAN_ETAPA!$C$5*N733/M733),IF(B733="EQ",IF(M733=0,0,G733*L733*PLAN_ETAPA!$C$5/M733),0))))</f>
        <v>0</v>
      </c>
      <c r="Q733" s="218">
        <f t="shared" si="23"/>
        <v>0</v>
      </c>
    </row>
    <row r="734" spans="1:17" x14ac:dyDescent="0.35">
      <c r="A734" s="212" t="str">
        <f>COMPOSICIÓN!A734</f>
        <v>PTO-0105</v>
      </c>
      <c r="B734" s="212" t="str">
        <f>COMPOSICIÓN!B734</f>
        <v>MAT</v>
      </c>
      <c r="C734" s="212" t="str">
        <f>COMPOSICIÓN!C734</f>
        <v>OTR</v>
      </c>
      <c r="D734" s="212" t="str">
        <f>COMPOSICIÓN!D734</f>
        <v>OTR-PTO018</v>
      </c>
      <c r="E734" s="212" t="str">
        <f>COMPOSICIÓN!E734</f>
        <v>Lampara Led 12 w</v>
      </c>
      <c r="F734" s="212" t="str">
        <f>COMPOSICIÓN!F734</f>
        <v>u</v>
      </c>
      <c r="G734" s="213">
        <f>COMPOSICIÓN!G734</f>
        <v>10</v>
      </c>
      <c r="H734" s="214">
        <f>COMPOSICIÓN!H734</f>
        <v>0</v>
      </c>
      <c r="I734" s="215">
        <f>COMPOSICIÓN!I734</f>
        <v>2363.6363636363599</v>
      </c>
      <c r="J734" s="212" t="str">
        <f>IFERROR(VLOOKUP(A734,PARTIDAS!$A$2:$C$269,3,FALSE()),"")</f>
        <v>PRELIMINARES</v>
      </c>
      <c r="K734" s="212" t="str">
        <f>IFERROR(INDEX(PPTO_GENERADOR!$B$4:$B$220,MATCH(A734,PPTO_GENERADOR!$Q$4:$Q$220,0)),"")</f>
        <v>PRELIMINARES</v>
      </c>
      <c r="L734" s="216">
        <f>IF(PLAN_ETAPA!$C$4="(TODOS)",SUMIFS(PPTO_GENERADOR!$E$4:$E$220,PPTO_GENERADOR!$Q$4:$Q$220,A734),SUMIFS(PPTO_GENERADOR!$E$4:$E$220,PPTO_GENERADOR!$Q$4:$Q$220,A734,PPTO_GENERADOR!$B$4:$B$220,PLAN_ETAPA!$C$4))</f>
        <v>0</v>
      </c>
      <c r="M734" s="216">
        <f>IFERROR(VLOOKUP(A734,PARTIDAS!$A$2:$F$269,6,FALSE()),1)</f>
        <v>1</v>
      </c>
      <c r="N734" s="216">
        <f>IFERROR(VLOOKUP(A734,PARTIDAS!$A$2:$I$269,9,FALSE()),1)</f>
        <v>1</v>
      </c>
      <c r="O734" s="217">
        <f t="shared" si="22"/>
        <v>0</v>
      </c>
      <c r="P734" s="216">
        <f>IF(O734=0,0,IF(B734="MAT",G734*(1+H734)*L734*PLAN_ETAPA!$C$5,IF(B734="MO",IF(M734=0,0,G734*L734*PLAN_ETAPA!$C$5*N734/M734),IF(B734="EQ",IF(M734=0,0,G734*L734*PLAN_ETAPA!$C$5/M734),0))))</f>
        <v>0</v>
      </c>
      <c r="Q734" s="218">
        <f t="shared" si="23"/>
        <v>0</v>
      </c>
    </row>
    <row r="735" spans="1:17" x14ac:dyDescent="0.35">
      <c r="A735" s="212" t="str">
        <f>COMPOSICIÓN!A735</f>
        <v>PTO-0105</v>
      </c>
      <c r="B735" s="212" t="str">
        <f>COMPOSICIÓN!B735</f>
        <v>MAT</v>
      </c>
      <c r="C735" s="212" t="str">
        <f>COMPOSICIÓN!C735</f>
        <v>OTR</v>
      </c>
      <c r="D735" s="212" t="str">
        <f>COMPOSICIÓN!D735</f>
        <v>OTR-PTO019</v>
      </c>
      <c r="E735" s="212" t="str">
        <f>COMPOSICIÓN!E735</f>
        <v xml:space="preserve">Mat. Elect. (tomas, enchufes, etc.) </v>
      </c>
      <c r="F735" s="212" t="str">
        <f>COMPOSICIÓN!F735</f>
        <v>gl</v>
      </c>
      <c r="G735" s="213">
        <f>COMPOSICIÓN!G735</f>
        <v>0.25</v>
      </c>
      <c r="H735" s="214">
        <f>COMPOSICIÓN!H735</f>
        <v>0</v>
      </c>
      <c r="I735" s="215">
        <f>COMPOSICIÓN!I735</f>
        <v>242210.74380165301</v>
      </c>
      <c r="J735" s="212" t="str">
        <f>IFERROR(VLOOKUP(A735,PARTIDAS!$A$2:$C$269,3,FALSE()),"")</f>
        <v>PRELIMINARES</v>
      </c>
      <c r="K735" s="212" t="str">
        <f>IFERROR(INDEX(PPTO_GENERADOR!$B$4:$B$220,MATCH(A735,PPTO_GENERADOR!$Q$4:$Q$220,0)),"")</f>
        <v>PRELIMINARES</v>
      </c>
      <c r="L735" s="216">
        <f>IF(PLAN_ETAPA!$C$4="(TODOS)",SUMIFS(PPTO_GENERADOR!$E$4:$E$220,PPTO_GENERADOR!$Q$4:$Q$220,A735),SUMIFS(PPTO_GENERADOR!$E$4:$E$220,PPTO_GENERADOR!$Q$4:$Q$220,A735,PPTO_GENERADOR!$B$4:$B$220,PLAN_ETAPA!$C$4))</f>
        <v>0</v>
      </c>
      <c r="M735" s="216">
        <f>IFERROR(VLOOKUP(A735,PARTIDAS!$A$2:$F$269,6,FALSE()),1)</f>
        <v>1</v>
      </c>
      <c r="N735" s="216">
        <f>IFERROR(VLOOKUP(A735,PARTIDAS!$A$2:$I$269,9,FALSE()),1)</f>
        <v>1</v>
      </c>
      <c r="O735" s="217">
        <f t="shared" si="22"/>
        <v>0</v>
      </c>
      <c r="P735" s="216">
        <f>IF(O735=0,0,IF(B735="MAT",G735*(1+H735)*L735*PLAN_ETAPA!$C$5,IF(B735="MO",IF(M735=0,0,G735*L735*PLAN_ETAPA!$C$5*N735/M735),IF(B735="EQ",IF(M735=0,0,G735*L735*PLAN_ETAPA!$C$5/M735),0))))</f>
        <v>0</v>
      </c>
      <c r="Q735" s="218">
        <f t="shared" si="23"/>
        <v>0</v>
      </c>
    </row>
    <row r="736" spans="1:17" x14ac:dyDescent="0.35">
      <c r="A736" s="212" t="str">
        <f>COMPOSICIÓN!A736</f>
        <v>PTO-0105</v>
      </c>
      <c r="B736" s="212" t="str">
        <f>COMPOSICIÓN!B736</f>
        <v>MAT</v>
      </c>
      <c r="C736" s="212" t="str">
        <f>COMPOSICIÓN!C736</f>
        <v>OTR</v>
      </c>
      <c r="D736" s="212" t="str">
        <f>COMPOSICIÓN!D736</f>
        <v>OTR-PTO020</v>
      </c>
      <c r="E736" s="212" t="str">
        <f>COMPOSICIÓN!E736</f>
        <v>Materiales Sanit</v>
      </c>
      <c r="F736" s="212" t="str">
        <f>COMPOSICIÓN!F736</f>
        <v>gl</v>
      </c>
      <c r="G736" s="213">
        <f>COMPOSICIÓN!G736</f>
        <v>1</v>
      </c>
      <c r="H736" s="214">
        <f>COMPOSICIÓN!H736</f>
        <v>0</v>
      </c>
      <c r="I736" s="215">
        <f>COMPOSICIÓN!I736</f>
        <v>500000</v>
      </c>
      <c r="J736" s="212" t="str">
        <f>IFERROR(VLOOKUP(A736,PARTIDAS!$A$2:$C$269,3,FALSE()),"")</f>
        <v>PRELIMINARES</v>
      </c>
      <c r="K736" s="212" t="str">
        <f>IFERROR(INDEX(PPTO_GENERADOR!$B$4:$B$220,MATCH(A736,PPTO_GENERADOR!$Q$4:$Q$220,0)),"")</f>
        <v>PRELIMINARES</v>
      </c>
      <c r="L736" s="216">
        <f>IF(PLAN_ETAPA!$C$4="(TODOS)",SUMIFS(PPTO_GENERADOR!$E$4:$E$220,PPTO_GENERADOR!$Q$4:$Q$220,A736),SUMIFS(PPTO_GENERADOR!$E$4:$E$220,PPTO_GENERADOR!$Q$4:$Q$220,A736,PPTO_GENERADOR!$B$4:$B$220,PLAN_ETAPA!$C$4))</f>
        <v>0</v>
      </c>
      <c r="M736" s="216">
        <f>IFERROR(VLOOKUP(A736,PARTIDAS!$A$2:$F$269,6,FALSE()),1)</f>
        <v>1</v>
      </c>
      <c r="N736" s="216">
        <f>IFERROR(VLOOKUP(A736,PARTIDAS!$A$2:$I$269,9,FALSE()),1)</f>
        <v>1</v>
      </c>
      <c r="O736" s="217">
        <f t="shared" si="22"/>
        <v>0</v>
      </c>
      <c r="P736" s="216">
        <f>IF(O736=0,0,IF(B736="MAT",G736*(1+H736)*L736*PLAN_ETAPA!$C$5,IF(B736="MO",IF(M736=0,0,G736*L736*PLAN_ETAPA!$C$5*N736/M736),IF(B736="EQ",IF(M736=0,0,G736*L736*PLAN_ETAPA!$C$5/M736),0))))</f>
        <v>0</v>
      </c>
      <c r="Q736" s="218">
        <f t="shared" si="23"/>
        <v>0</v>
      </c>
    </row>
    <row r="737" spans="1:17" x14ac:dyDescent="0.35">
      <c r="A737" s="212" t="str">
        <f>COMPOSICIÓN!A737</f>
        <v>PTO-0105</v>
      </c>
      <c r="B737" s="212" t="str">
        <f>COMPOSICIÓN!B737</f>
        <v>MAT</v>
      </c>
      <c r="C737" s="212" t="str">
        <f>COMPOSICIÓN!C737</f>
        <v>OTR</v>
      </c>
      <c r="D737" s="212" t="str">
        <f>COMPOSICIÓN!D737</f>
        <v>OTR-PTO021</v>
      </c>
      <c r="E737" s="212" t="str">
        <f>COMPOSICIÓN!E737</f>
        <v>Inodoro</v>
      </c>
      <c r="F737" s="212" t="str">
        <f>COMPOSICIÓN!F737</f>
        <v>u</v>
      </c>
      <c r="G737" s="213">
        <f>COMPOSICIÓN!G737</f>
        <v>2</v>
      </c>
      <c r="H737" s="214">
        <f>COMPOSICIÓN!H737</f>
        <v>0</v>
      </c>
      <c r="I737" s="215">
        <f>COMPOSICIÓN!I737</f>
        <v>100000</v>
      </c>
      <c r="J737" s="212" t="str">
        <f>IFERROR(VLOOKUP(A737,PARTIDAS!$A$2:$C$269,3,FALSE()),"")</f>
        <v>PRELIMINARES</v>
      </c>
      <c r="K737" s="212" t="str">
        <f>IFERROR(INDEX(PPTO_GENERADOR!$B$4:$B$220,MATCH(A737,PPTO_GENERADOR!$Q$4:$Q$220,0)),"")</f>
        <v>PRELIMINARES</v>
      </c>
      <c r="L737" s="216">
        <f>IF(PLAN_ETAPA!$C$4="(TODOS)",SUMIFS(PPTO_GENERADOR!$E$4:$E$220,PPTO_GENERADOR!$Q$4:$Q$220,A737),SUMIFS(PPTO_GENERADOR!$E$4:$E$220,PPTO_GENERADOR!$Q$4:$Q$220,A737,PPTO_GENERADOR!$B$4:$B$220,PLAN_ETAPA!$C$4))</f>
        <v>0</v>
      </c>
      <c r="M737" s="216">
        <f>IFERROR(VLOOKUP(A737,PARTIDAS!$A$2:$F$269,6,FALSE()),1)</f>
        <v>1</v>
      </c>
      <c r="N737" s="216">
        <f>IFERROR(VLOOKUP(A737,PARTIDAS!$A$2:$I$269,9,FALSE()),1)</f>
        <v>1</v>
      </c>
      <c r="O737" s="217">
        <f t="shared" si="22"/>
        <v>0</v>
      </c>
      <c r="P737" s="216">
        <f>IF(O737=0,0,IF(B737="MAT",G737*(1+H737)*L737*PLAN_ETAPA!$C$5,IF(B737="MO",IF(M737=0,0,G737*L737*PLAN_ETAPA!$C$5*N737/M737),IF(B737="EQ",IF(M737=0,0,G737*L737*PLAN_ETAPA!$C$5/M737),0))))</f>
        <v>0</v>
      </c>
      <c r="Q737" s="218">
        <f t="shared" si="23"/>
        <v>0</v>
      </c>
    </row>
    <row r="738" spans="1:17" x14ac:dyDescent="0.35">
      <c r="A738" s="212" t="str">
        <f>COMPOSICIÓN!A738</f>
        <v>PTO-0105</v>
      </c>
      <c r="B738" s="212" t="str">
        <f>COMPOSICIÓN!B738</f>
        <v>MAT</v>
      </c>
      <c r="C738" s="212" t="str">
        <f>COMPOSICIÓN!C738</f>
        <v>OTR</v>
      </c>
      <c r="D738" s="212" t="str">
        <f>COMPOSICIÓN!D738</f>
        <v>OTR-PTO022</v>
      </c>
      <c r="E738" s="212" t="str">
        <f>COMPOSICIÓN!E738</f>
        <v xml:space="preserve">Mochila plastico </v>
      </c>
      <c r="F738" s="212" t="str">
        <f>COMPOSICIÓN!F738</f>
        <v>u</v>
      </c>
      <c r="G738" s="213">
        <f>COMPOSICIÓN!G738</f>
        <v>2</v>
      </c>
      <c r="H738" s="214">
        <f>COMPOSICIÓN!H738</f>
        <v>0</v>
      </c>
      <c r="I738" s="215">
        <f>COMPOSICIÓN!I738</f>
        <v>25000</v>
      </c>
      <c r="J738" s="212" t="str">
        <f>IFERROR(VLOOKUP(A738,PARTIDAS!$A$2:$C$269,3,FALSE()),"")</f>
        <v>PRELIMINARES</v>
      </c>
      <c r="K738" s="212" t="str">
        <f>IFERROR(INDEX(PPTO_GENERADOR!$B$4:$B$220,MATCH(A738,PPTO_GENERADOR!$Q$4:$Q$220,0)),"")</f>
        <v>PRELIMINARES</v>
      </c>
      <c r="L738" s="216">
        <f>IF(PLAN_ETAPA!$C$4="(TODOS)",SUMIFS(PPTO_GENERADOR!$E$4:$E$220,PPTO_GENERADOR!$Q$4:$Q$220,A738),SUMIFS(PPTO_GENERADOR!$E$4:$E$220,PPTO_GENERADOR!$Q$4:$Q$220,A738,PPTO_GENERADOR!$B$4:$B$220,PLAN_ETAPA!$C$4))</f>
        <v>0</v>
      </c>
      <c r="M738" s="216">
        <f>IFERROR(VLOOKUP(A738,PARTIDAS!$A$2:$F$269,6,FALSE()),1)</f>
        <v>1</v>
      </c>
      <c r="N738" s="216">
        <f>IFERROR(VLOOKUP(A738,PARTIDAS!$A$2:$I$269,9,FALSE()),1)</f>
        <v>1</v>
      </c>
      <c r="O738" s="217">
        <f t="shared" si="22"/>
        <v>0</v>
      </c>
      <c r="P738" s="216">
        <f>IF(O738=0,0,IF(B738="MAT",G738*(1+H738)*L738*PLAN_ETAPA!$C$5,IF(B738="MO",IF(M738=0,0,G738*L738*PLAN_ETAPA!$C$5*N738/M738),IF(B738="EQ",IF(M738=0,0,G738*L738*PLAN_ETAPA!$C$5/M738),0))))</f>
        <v>0</v>
      </c>
      <c r="Q738" s="218">
        <f t="shared" si="23"/>
        <v>0</v>
      </c>
    </row>
    <row r="739" spans="1:17" x14ac:dyDescent="0.35">
      <c r="A739" s="212" t="str">
        <f>COMPOSICIÓN!A739</f>
        <v>PTO-0105</v>
      </c>
      <c r="B739" s="212" t="str">
        <f>COMPOSICIÓN!B739</f>
        <v>MAT</v>
      </c>
      <c r="C739" s="212" t="str">
        <f>COMPOSICIÓN!C739</f>
        <v>OTR</v>
      </c>
      <c r="D739" s="212" t="str">
        <f>COMPOSICIÓN!D739</f>
        <v>OTR-PTO023</v>
      </c>
      <c r="E739" s="212" t="str">
        <f>COMPOSICIÓN!E739</f>
        <v xml:space="preserve">Bacha </v>
      </c>
      <c r="F739" s="212" t="str">
        <f>COMPOSICIÓN!F739</f>
        <v>u</v>
      </c>
      <c r="G739" s="213">
        <f>COMPOSICIÓN!G739</f>
        <v>2</v>
      </c>
      <c r="H739" s="214">
        <f>COMPOSICIÓN!H739</f>
        <v>0</v>
      </c>
      <c r="I739" s="215">
        <f>COMPOSICIÓN!I739</f>
        <v>24793.3884297521</v>
      </c>
      <c r="J739" s="212" t="str">
        <f>IFERROR(VLOOKUP(A739,PARTIDAS!$A$2:$C$269,3,FALSE()),"")</f>
        <v>PRELIMINARES</v>
      </c>
      <c r="K739" s="212" t="str">
        <f>IFERROR(INDEX(PPTO_GENERADOR!$B$4:$B$220,MATCH(A739,PPTO_GENERADOR!$Q$4:$Q$220,0)),"")</f>
        <v>PRELIMINARES</v>
      </c>
      <c r="L739" s="216">
        <f>IF(PLAN_ETAPA!$C$4="(TODOS)",SUMIFS(PPTO_GENERADOR!$E$4:$E$220,PPTO_GENERADOR!$Q$4:$Q$220,A739),SUMIFS(PPTO_GENERADOR!$E$4:$E$220,PPTO_GENERADOR!$Q$4:$Q$220,A739,PPTO_GENERADOR!$B$4:$B$220,PLAN_ETAPA!$C$4))</f>
        <v>0</v>
      </c>
      <c r="M739" s="216">
        <f>IFERROR(VLOOKUP(A739,PARTIDAS!$A$2:$F$269,6,FALSE()),1)</f>
        <v>1</v>
      </c>
      <c r="N739" s="216">
        <f>IFERROR(VLOOKUP(A739,PARTIDAS!$A$2:$I$269,9,FALSE()),1)</f>
        <v>1</v>
      </c>
      <c r="O739" s="217">
        <f t="shared" si="22"/>
        <v>0</v>
      </c>
      <c r="P739" s="216">
        <f>IF(O739=0,0,IF(B739="MAT",G739*(1+H739)*L739*PLAN_ETAPA!$C$5,IF(B739="MO",IF(M739=0,0,G739*L739*PLAN_ETAPA!$C$5*N739/M739),IF(B739="EQ",IF(M739=0,0,G739*L739*PLAN_ETAPA!$C$5/M739),0))))</f>
        <v>0</v>
      </c>
      <c r="Q739" s="218">
        <f t="shared" si="23"/>
        <v>0</v>
      </c>
    </row>
    <row r="740" spans="1:17" x14ac:dyDescent="0.35">
      <c r="A740" s="212" t="str">
        <f>COMPOSICIÓN!A740</f>
        <v>PTO-0105</v>
      </c>
      <c r="B740" s="212" t="str">
        <f>COMPOSICIÓN!B740</f>
        <v>MAT</v>
      </c>
      <c r="C740" s="212" t="str">
        <f>COMPOSICIÓN!C740</f>
        <v>OTR</v>
      </c>
      <c r="D740" s="212" t="str">
        <f>COMPOSICIÓN!D740</f>
        <v>OTR-PTO024</v>
      </c>
      <c r="E740" s="212" t="str">
        <f>COMPOSICIÓN!E740</f>
        <v>Termo electrico 40 lts</v>
      </c>
      <c r="F740" s="212" t="str">
        <f>COMPOSICIÓN!F740</f>
        <v>u</v>
      </c>
      <c r="G740" s="213">
        <f>COMPOSICIÓN!G740</f>
        <v>1</v>
      </c>
      <c r="H740" s="214">
        <f>COMPOSICIÓN!H740</f>
        <v>0</v>
      </c>
      <c r="I740" s="215">
        <f>COMPOSICIÓN!I740</f>
        <v>200000</v>
      </c>
      <c r="J740" s="212" t="str">
        <f>IFERROR(VLOOKUP(A740,PARTIDAS!$A$2:$C$269,3,FALSE()),"")</f>
        <v>PRELIMINARES</v>
      </c>
      <c r="K740" s="212" t="str">
        <f>IFERROR(INDEX(PPTO_GENERADOR!$B$4:$B$220,MATCH(A740,PPTO_GENERADOR!$Q$4:$Q$220,0)),"")</f>
        <v>PRELIMINARES</v>
      </c>
      <c r="L740" s="216">
        <f>IF(PLAN_ETAPA!$C$4="(TODOS)",SUMIFS(PPTO_GENERADOR!$E$4:$E$220,PPTO_GENERADOR!$Q$4:$Q$220,A740),SUMIFS(PPTO_GENERADOR!$E$4:$E$220,PPTO_GENERADOR!$Q$4:$Q$220,A740,PPTO_GENERADOR!$B$4:$B$220,PLAN_ETAPA!$C$4))</f>
        <v>0</v>
      </c>
      <c r="M740" s="216">
        <f>IFERROR(VLOOKUP(A740,PARTIDAS!$A$2:$F$269,6,FALSE()),1)</f>
        <v>1</v>
      </c>
      <c r="N740" s="216">
        <f>IFERROR(VLOOKUP(A740,PARTIDAS!$A$2:$I$269,9,FALSE()),1)</f>
        <v>1</v>
      </c>
      <c r="O740" s="217">
        <f t="shared" si="22"/>
        <v>0</v>
      </c>
      <c r="P740" s="216">
        <f>IF(O740=0,0,IF(B740="MAT",G740*(1+H740)*L740*PLAN_ETAPA!$C$5,IF(B740="MO",IF(M740=0,0,G740*L740*PLAN_ETAPA!$C$5*N740/M740),IF(B740="EQ",IF(M740=0,0,G740*L740*PLAN_ETAPA!$C$5/M740),0))))</f>
        <v>0</v>
      </c>
      <c r="Q740" s="218">
        <f t="shared" si="23"/>
        <v>0</v>
      </c>
    </row>
    <row r="741" spans="1:17" x14ac:dyDescent="0.35">
      <c r="A741" s="212" t="str">
        <f>COMPOSICIÓN!A741</f>
        <v>PTO-0105</v>
      </c>
      <c r="B741" s="212" t="str">
        <f>COMPOSICIÓN!B741</f>
        <v>MO</v>
      </c>
      <c r="C741" s="212" t="str">
        <f>COMPOSICIÓN!C741</f>
        <v>ALB</v>
      </c>
      <c r="D741" s="212" t="str">
        <f>COMPOSICIÓN!D741</f>
        <v>MO-EAYUD</v>
      </c>
      <c r="E741" s="212" t="str">
        <f>COMPOSICIÓN!E741</f>
        <v>AYUDANTE</v>
      </c>
      <c r="F741" s="212" t="str">
        <f>COMPOSICIÓN!F741</f>
        <v>j</v>
      </c>
      <c r="G741" s="213">
        <f>COMPOSICIÓN!G741</f>
        <v>24.5</v>
      </c>
      <c r="H741" s="214">
        <f>COMPOSICIÓN!H741</f>
        <v>0</v>
      </c>
      <c r="I741" s="215">
        <f>COMPOSICIÓN!I741</f>
        <v>60860.580776572002</v>
      </c>
      <c r="J741" s="212" t="str">
        <f>IFERROR(VLOOKUP(A741,PARTIDAS!$A$2:$C$269,3,FALSE()),"")</f>
        <v>PRELIMINARES</v>
      </c>
      <c r="K741" s="212" t="str">
        <f>IFERROR(INDEX(PPTO_GENERADOR!$B$4:$B$220,MATCH(A741,PPTO_GENERADOR!$Q$4:$Q$220,0)),"")</f>
        <v>PRELIMINARES</v>
      </c>
      <c r="L741" s="216">
        <f>IF(PLAN_ETAPA!$C$4="(TODOS)",SUMIFS(PPTO_GENERADOR!$E$4:$E$220,PPTO_GENERADOR!$Q$4:$Q$220,A741),SUMIFS(PPTO_GENERADOR!$E$4:$E$220,PPTO_GENERADOR!$Q$4:$Q$220,A741,PPTO_GENERADOR!$B$4:$B$220,PLAN_ETAPA!$C$4))</f>
        <v>0</v>
      </c>
      <c r="M741" s="216">
        <f>IFERROR(VLOOKUP(A741,PARTIDAS!$A$2:$F$269,6,FALSE()),1)</f>
        <v>1</v>
      </c>
      <c r="N741" s="216">
        <f>IFERROR(VLOOKUP(A741,PARTIDAS!$A$2:$I$269,9,FALSE()),1)</f>
        <v>1</v>
      </c>
      <c r="O741" s="217">
        <f t="shared" si="22"/>
        <v>0</v>
      </c>
      <c r="P741" s="216">
        <f>IF(O741=0,0,IF(B741="MAT",G741*(1+H741)*L741*PLAN_ETAPA!$C$5,IF(B741="MO",IF(M741=0,0,G741*L741*PLAN_ETAPA!$C$5*N741/M741),IF(B741="EQ",IF(M741=0,0,G741*L741*PLAN_ETAPA!$C$5/M741),0))))</f>
        <v>0</v>
      </c>
      <c r="Q741" s="218">
        <f t="shared" si="23"/>
        <v>0</v>
      </c>
    </row>
    <row r="742" spans="1:17" x14ac:dyDescent="0.35">
      <c r="A742" s="212" t="str">
        <f>COMPOSICIÓN!A742</f>
        <v>PTO-0105</v>
      </c>
      <c r="B742" s="212" t="str">
        <f>COMPOSICIÓN!B742</f>
        <v>MO</v>
      </c>
      <c r="C742" s="212" t="str">
        <f>COMPOSICIÓN!C742</f>
        <v>ALB</v>
      </c>
      <c r="D742" s="212" t="str">
        <f>COMPOSICIÓN!D742</f>
        <v>MO-EESPE</v>
      </c>
      <c r="E742" s="212" t="str">
        <f>COMPOSICIÓN!E742</f>
        <v>ESPECIALIZADO</v>
      </c>
      <c r="F742" s="212" t="str">
        <f>COMPOSICIÓN!F742</f>
        <v>j</v>
      </c>
      <c r="G742" s="213">
        <f>COMPOSICIÓN!G742</f>
        <v>7</v>
      </c>
      <c r="H742" s="214">
        <f>COMPOSICIÓN!H742</f>
        <v>0</v>
      </c>
      <c r="I742" s="215">
        <f>COMPOSICIÓN!I742</f>
        <v>85927.097156571996</v>
      </c>
      <c r="J742" s="212" t="str">
        <f>IFERROR(VLOOKUP(A742,PARTIDAS!$A$2:$C$269,3,FALSE()),"")</f>
        <v>PRELIMINARES</v>
      </c>
      <c r="K742" s="212" t="str">
        <f>IFERROR(INDEX(PPTO_GENERADOR!$B$4:$B$220,MATCH(A742,PPTO_GENERADOR!$Q$4:$Q$220,0)),"")</f>
        <v>PRELIMINARES</v>
      </c>
      <c r="L742" s="216">
        <f>IF(PLAN_ETAPA!$C$4="(TODOS)",SUMIFS(PPTO_GENERADOR!$E$4:$E$220,PPTO_GENERADOR!$Q$4:$Q$220,A742),SUMIFS(PPTO_GENERADOR!$E$4:$E$220,PPTO_GENERADOR!$Q$4:$Q$220,A742,PPTO_GENERADOR!$B$4:$B$220,PLAN_ETAPA!$C$4))</f>
        <v>0</v>
      </c>
      <c r="M742" s="216">
        <f>IFERROR(VLOOKUP(A742,PARTIDAS!$A$2:$F$269,6,FALSE()),1)</f>
        <v>1</v>
      </c>
      <c r="N742" s="216">
        <f>IFERROR(VLOOKUP(A742,PARTIDAS!$A$2:$I$269,9,FALSE()),1)</f>
        <v>1</v>
      </c>
      <c r="O742" s="217">
        <f t="shared" si="22"/>
        <v>0</v>
      </c>
      <c r="P742" s="216">
        <f>IF(O742=0,0,IF(B742="MAT",G742*(1+H742)*L742*PLAN_ETAPA!$C$5,IF(B742="MO",IF(M742=0,0,G742*L742*PLAN_ETAPA!$C$5*N742/M742),IF(B742="EQ",IF(M742=0,0,G742*L742*PLAN_ETAPA!$C$5/M742),0))))</f>
        <v>0</v>
      </c>
      <c r="Q742" s="218">
        <f t="shared" si="23"/>
        <v>0</v>
      </c>
    </row>
    <row r="743" spans="1:17" x14ac:dyDescent="0.35">
      <c r="A743" s="212" t="str">
        <f>COMPOSICIÓN!A743</f>
        <v>PTO-0105</v>
      </c>
      <c r="B743" s="212" t="str">
        <f>COMPOSICIÓN!B743</f>
        <v>MO</v>
      </c>
      <c r="C743" s="212" t="str">
        <f>COMPOSICIÓN!C743</f>
        <v>ALB</v>
      </c>
      <c r="D743" s="212" t="str">
        <f>COMPOSICIÓN!D743</f>
        <v>MO-EMEDI</v>
      </c>
      <c r="E743" s="212" t="str">
        <f>COMPOSICIÓN!E743</f>
        <v>MEDIO OFICIAL</v>
      </c>
      <c r="F743" s="212" t="str">
        <f>COMPOSICIÓN!F743</f>
        <v>j</v>
      </c>
      <c r="G743" s="213">
        <f>COMPOSICIÓN!G743</f>
        <v>8</v>
      </c>
      <c r="H743" s="214">
        <f>COMPOSICIÓN!H743</f>
        <v>0</v>
      </c>
      <c r="I743" s="215">
        <f>COMPOSICIÓN!I743</f>
        <v>65493.071636572</v>
      </c>
      <c r="J743" s="212" t="str">
        <f>IFERROR(VLOOKUP(A743,PARTIDAS!$A$2:$C$269,3,FALSE()),"")</f>
        <v>PRELIMINARES</v>
      </c>
      <c r="K743" s="212" t="str">
        <f>IFERROR(INDEX(PPTO_GENERADOR!$B$4:$B$220,MATCH(A743,PPTO_GENERADOR!$Q$4:$Q$220,0)),"")</f>
        <v>PRELIMINARES</v>
      </c>
      <c r="L743" s="216">
        <f>IF(PLAN_ETAPA!$C$4="(TODOS)",SUMIFS(PPTO_GENERADOR!$E$4:$E$220,PPTO_GENERADOR!$Q$4:$Q$220,A743),SUMIFS(PPTO_GENERADOR!$E$4:$E$220,PPTO_GENERADOR!$Q$4:$Q$220,A743,PPTO_GENERADOR!$B$4:$B$220,PLAN_ETAPA!$C$4))</f>
        <v>0</v>
      </c>
      <c r="M743" s="216">
        <f>IFERROR(VLOOKUP(A743,PARTIDAS!$A$2:$F$269,6,FALSE()),1)</f>
        <v>1</v>
      </c>
      <c r="N743" s="216">
        <f>IFERROR(VLOOKUP(A743,PARTIDAS!$A$2:$I$269,9,FALSE()),1)</f>
        <v>1</v>
      </c>
      <c r="O743" s="217">
        <f t="shared" si="22"/>
        <v>0</v>
      </c>
      <c r="P743" s="216">
        <f>IF(O743=0,0,IF(B743="MAT",G743*(1+H743)*L743*PLAN_ETAPA!$C$5,IF(B743="MO",IF(M743=0,0,G743*L743*PLAN_ETAPA!$C$5*N743/M743),IF(B743="EQ",IF(M743=0,0,G743*L743*PLAN_ETAPA!$C$5/M743),0))))</f>
        <v>0</v>
      </c>
      <c r="Q743" s="218">
        <f t="shared" si="23"/>
        <v>0</v>
      </c>
    </row>
    <row r="744" spans="1:17" x14ac:dyDescent="0.35">
      <c r="A744" s="212" t="str">
        <f>COMPOSICIÓN!A744</f>
        <v>PTO-0105</v>
      </c>
      <c r="B744" s="212" t="str">
        <f>COMPOSICIÓN!B744</f>
        <v>MO</v>
      </c>
      <c r="C744" s="212" t="str">
        <f>COMPOSICIÓN!C744</f>
        <v>ALB</v>
      </c>
      <c r="D744" s="212" t="str">
        <f>COMPOSICIÓN!D744</f>
        <v>MO-EOFIC</v>
      </c>
      <c r="E744" s="212" t="str">
        <f>COMPOSICIÓN!E744</f>
        <v>OFICIAL</v>
      </c>
      <c r="F744" s="212" t="str">
        <f>COMPOSICIÓN!F744</f>
        <v>j</v>
      </c>
      <c r="G744" s="213">
        <f>COMPOSICIÓN!G744</f>
        <v>23.5</v>
      </c>
      <c r="H744" s="214">
        <f>COMPOSICIÓN!H744</f>
        <v>0</v>
      </c>
      <c r="I744" s="215">
        <f>COMPOSICIÓN!I744</f>
        <v>76955.079706571996</v>
      </c>
      <c r="J744" s="212" t="str">
        <f>IFERROR(VLOOKUP(A744,PARTIDAS!$A$2:$C$269,3,FALSE()),"")</f>
        <v>PRELIMINARES</v>
      </c>
      <c r="K744" s="212" t="str">
        <f>IFERROR(INDEX(PPTO_GENERADOR!$B$4:$B$220,MATCH(A744,PPTO_GENERADOR!$Q$4:$Q$220,0)),"")</f>
        <v>PRELIMINARES</v>
      </c>
      <c r="L744" s="216">
        <f>IF(PLAN_ETAPA!$C$4="(TODOS)",SUMIFS(PPTO_GENERADOR!$E$4:$E$220,PPTO_GENERADOR!$Q$4:$Q$220,A744),SUMIFS(PPTO_GENERADOR!$E$4:$E$220,PPTO_GENERADOR!$Q$4:$Q$220,A744,PPTO_GENERADOR!$B$4:$B$220,PLAN_ETAPA!$C$4))</f>
        <v>0</v>
      </c>
      <c r="M744" s="216">
        <f>IFERROR(VLOOKUP(A744,PARTIDAS!$A$2:$F$269,6,FALSE()),1)</f>
        <v>1</v>
      </c>
      <c r="N744" s="216">
        <f>IFERROR(VLOOKUP(A744,PARTIDAS!$A$2:$I$269,9,FALSE()),1)</f>
        <v>1</v>
      </c>
      <c r="O744" s="217">
        <f t="shared" si="22"/>
        <v>0</v>
      </c>
      <c r="P744" s="216">
        <f>IF(O744=0,0,IF(B744="MAT",G744*(1+H744)*L744*PLAN_ETAPA!$C$5,IF(B744="MO",IF(M744=0,0,G744*L744*PLAN_ETAPA!$C$5*N744/M744),IF(B744="EQ",IF(M744=0,0,G744*L744*PLAN_ETAPA!$C$5/M744),0))))</f>
        <v>0</v>
      </c>
      <c r="Q744" s="218">
        <f t="shared" si="23"/>
        <v>0</v>
      </c>
    </row>
    <row r="745" spans="1:17" x14ac:dyDescent="0.35">
      <c r="A745" s="212" t="str">
        <f>COMPOSICIÓN!A745</f>
        <v>PTO-0105</v>
      </c>
      <c r="B745" s="212" t="str">
        <f>COMPOSICIÓN!B745</f>
        <v>MO</v>
      </c>
      <c r="C745" s="212" t="str">
        <f>COMPOSICIÓN!C745</f>
        <v>OTR</v>
      </c>
      <c r="D745" s="212" t="str">
        <f>COMPOSICIÓN!D745</f>
        <v>SUB-PTO002</v>
      </c>
      <c r="E745" s="212" t="str">
        <f>COMPOSICIÓN!E745</f>
        <v>Flete madera</v>
      </c>
      <c r="F745" s="212" t="str">
        <f>COMPOSICIÓN!F745</f>
        <v>j</v>
      </c>
      <c r="G745" s="213">
        <f>COMPOSICIÓN!G745</f>
        <v>2</v>
      </c>
      <c r="H745" s="214">
        <f>COMPOSICIÓN!H745</f>
        <v>0</v>
      </c>
      <c r="I745" s="215">
        <f>COMPOSICIÓN!I745</f>
        <v>250000</v>
      </c>
      <c r="J745" s="212" t="str">
        <f>IFERROR(VLOOKUP(A745,PARTIDAS!$A$2:$C$269,3,FALSE()),"")</f>
        <v>PRELIMINARES</v>
      </c>
      <c r="K745" s="212" t="str">
        <f>IFERROR(INDEX(PPTO_GENERADOR!$B$4:$B$220,MATCH(A745,PPTO_GENERADOR!$Q$4:$Q$220,0)),"")</f>
        <v>PRELIMINARES</v>
      </c>
      <c r="L745" s="216">
        <f>IF(PLAN_ETAPA!$C$4="(TODOS)",SUMIFS(PPTO_GENERADOR!$E$4:$E$220,PPTO_GENERADOR!$Q$4:$Q$220,A745),SUMIFS(PPTO_GENERADOR!$E$4:$E$220,PPTO_GENERADOR!$Q$4:$Q$220,A745,PPTO_GENERADOR!$B$4:$B$220,PLAN_ETAPA!$C$4))</f>
        <v>0</v>
      </c>
      <c r="M745" s="216">
        <f>IFERROR(VLOOKUP(A745,PARTIDAS!$A$2:$F$269,6,FALSE()),1)</f>
        <v>1</v>
      </c>
      <c r="N745" s="216">
        <f>IFERROR(VLOOKUP(A745,PARTIDAS!$A$2:$I$269,9,FALSE()),1)</f>
        <v>1</v>
      </c>
      <c r="O745" s="217">
        <f t="shared" si="22"/>
        <v>0</v>
      </c>
      <c r="P745" s="216">
        <f>IF(O745=0,0,IF(B745="MAT",G745*(1+H745)*L745*PLAN_ETAPA!$C$5,IF(B745="MO",IF(M745=0,0,G745*L745*PLAN_ETAPA!$C$5*N745/M745),IF(B745="EQ",IF(M745=0,0,G745*L745*PLAN_ETAPA!$C$5/M745),0))))</f>
        <v>0</v>
      </c>
      <c r="Q745" s="218">
        <f t="shared" si="23"/>
        <v>0</v>
      </c>
    </row>
    <row r="746" spans="1:17" x14ac:dyDescent="0.35">
      <c r="A746" s="212" t="str">
        <f>COMPOSICIÓN!A746</f>
        <v>PTO-0105</v>
      </c>
      <c r="B746" s="212" t="str">
        <f>COMPOSICIÓN!B746</f>
        <v>MO</v>
      </c>
      <c r="C746" s="212" t="str">
        <f>COMPOSICIÓN!C746</f>
        <v>OTR</v>
      </c>
      <c r="D746" s="212" t="str">
        <f>COMPOSICIÓN!D746</f>
        <v>SUB-PTO003</v>
      </c>
      <c r="E746" s="212" t="str">
        <f>COMPOSICIÓN!E746</f>
        <v>Flete retiro</v>
      </c>
      <c r="F746" s="212" t="str">
        <f>COMPOSICIÓN!F746</f>
        <v>j</v>
      </c>
      <c r="G746" s="213">
        <f>COMPOSICIÓN!G746</f>
        <v>1</v>
      </c>
      <c r="H746" s="214">
        <f>COMPOSICIÓN!H746</f>
        <v>0</v>
      </c>
      <c r="I746" s="215">
        <f>COMPOSICIÓN!I746</f>
        <v>250000</v>
      </c>
      <c r="J746" s="212" t="str">
        <f>IFERROR(VLOOKUP(A746,PARTIDAS!$A$2:$C$269,3,FALSE()),"")</f>
        <v>PRELIMINARES</v>
      </c>
      <c r="K746" s="212" t="str">
        <f>IFERROR(INDEX(PPTO_GENERADOR!$B$4:$B$220,MATCH(A746,PPTO_GENERADOR!$Q$4:$Q$220,0)),"")</f>
        <v>PRELIMINARES</v>
      </c>
      <c r="L746" s="216">
        <f>IF(PLAN_ETAPA!$C$4="(TODOS)",SUMIFS(PPTO_GENERADOR!$E$4:$E$220,PPTO_GENERADOR!$Q$4:$Q$220,A746),SUMIFS(PPTO_GENERADOR!$E$4:$E$220,PPTO_GENERADOR!$Q$4:$Q$220,A746,PPTO_GENERADOR!$B$4:$B$220,PLAN_ETAPA!$C$4))</f>
        <v>0</v>
      </c>
      <c r="M746" s="216">
        <f>IFERROR(VLOOKUP(A746,PARTIDAS!$A$2:$F$269,6,FALSE()),1)</f>
        <v>1</v>
      </c>
      <c r="N746" s="216">
        <f>IFERROR(VLOOKUP(A746,PARTIDAS!$A$2:$I$269,9,FALSE()),1)</f>
        <v>1</v>
      </c>
      <c r="O746" s="217">
        <f t="shared" si="22"/>
        <v>0</v>
      </c>
      <c r="P746" s="216">
        <f>IF(O746=0,0,IF(B746="MAT",G746*(1+H746)*L746*PLAN_ETAPA!$C$5,IF(B746="MO",IF(M746=0,0,G746*L746*PLAN_ETAPA!$C$5*N746/M746),IF(B746="EQ",IF(M746=0,0,G746*L746*PLAN_ETAPA!$C$5/M746),0))))</f>
        <v>0</v>
      </c>
      <c r="Q746" s="218">
        <f t="shared" si="23"/>
        <v>0</v>
      </c>
    </row>
    <row r="747" spans="1:17" x14ac:dyDescent="0.35">
      <c r="A747" s="212" t="str">
        <f>COMPOSICIÓN!A747</f>
        <v>PTO-0106</v>
      </c>
      <c r="B747" s="212" t="str">
        <f>COMPOSICIÓN!B747</f>
        <v>MO</v>
      </c>
      <c r="C747" s="212" t="str">
        <f>COMPOSICIÓN!C747</f>
        <v>OTR</v>
      </c>
      <c r="D747" s="212" t="str">
        <f>COMPOSICIÓN!D747</f>
        <v>SUB-PTO078</v>
      </c>
      <c r="E747" s="212" t="str">
        <f>COMPOSICIÓN!E747</f>
        <v xml:space="preserve">Baño portatil / Ducha </v>
      </c>
      <c r="F747" s="212" t="str">
        <f>COMPOSICIÓN!F747</f>
        <v>j</v>
      </c>
      <c r="G747" s="213">
        <f>COMPOSICIÓN!G747</f>
        <v>4</v>
      </c>
      <c r="H747" s="214">
        <f>COMPOSICIÓN!H747</f>
        <v>0</v>
      </c>
      <c r="I747" s="215">
        <f>COMPOSICIÓN!I747</f>
        <v>79748.530293941207</v>
      </c>
      <c r="J747" s="212" t="str">
        <f>IFERROR(VLOOKUP(A747,PARTIDAS!$A$2:$C$269,3,FALSE()),"")</f>
        <v>PRELIMINARES</v>
      </c>
      <c r="K747" s="212" t="str">
        <f>IFERROR(INDEX(PPTO_GENERADOR!$B$4:$B$220,MATCH(A747,PPTO_GENERADOR!$Q$4:$Q$220,0)),"")</f>
        <v>PRELIMINARES</v>
      </c>
      <c r="L747" s="216">
        <f>IF(PLAN_ETAPA!$C$4="(TODOS)",SUMIFS(PPTO_GENERADOR!$E$4:$E$220,PPTO_GENERADOR!$Q$4:$Q$220,A747),SUMIFS(PPTO_GENERADOR!$E$4:$E$220,PPTO_GENERADOR!$Q$4:$Q$220,A747,PPTO_GENERADOR!$B$4:$B$220,PLAN_ETAPA!$C$4))</f>
        <v>0</v>
      </c>
      <c r="M747" s="216">
        <f>IFERROR(VLOOKUP(A747,PARTIDAS!$A$2:$F$269,6,FALSE()),1)</f>
        <v>1</v>
      </c>
      <c r="N747" s="216">
        <f>IFERROR(VLOOKUP(A747,PARTIDAS!$A$2:$I$269,9,FALSE()),1)</f>
        <v>1</v>
      </c>
      <c r="O747" s="217">
        <f t="shared" si="22"/>
        <v>0</v>
      </c>
      <c r="P747" s="216">
        <f>IF(O747=0,0,IF(B747="MAT",G747*(1+H747)*L747*PLAN_ETAPA!$C$5,IF(B747="MO",IF(M747=0,0,G747*L747*PLAN_ETAPA!$C$5*N747/M747),IF(B747="EQ",IF(M747=0,0,G747*L747*PLAN_ETAPA!$C$5/M747),0))))</f>
        <v>0</v>
      </c>
      <c r="Q747" s="218">
        <f t="shared" si="23"/>
        <v>0</v>
      </c>
    </row>
    <row r="748" spans="1:17" x14ac:dyDescent="0.35">
      <c r="A748" s="212" t="str">
        <f>COMPOSICIÓN!A748</f>
        <v>PTO-0106</v>
      </c>
      <c r="B748" s="212" t="str">
        <f>COMPOSICIÓN!B748</f>
        <v>MO</v>
      </c>
      <c r="C748" s="212" t="str">
        <f>COMPOSICIÓN!C748</f>
        <v>OTR</v>
      </c>
      <c r="D748" s="212" t="str">
        <f>COMPOSICIÓN!D748</f>
        <v>SUB-PTO079</v>
      </c>
      <c r="E748" s="212" t="str">
        <f>COMPOSICIÓN!E748</f>
        <v xml:space="preserve">Traslado flete entrega/ retiro </v>
      </c>
      <c r="F748" s="212" t="str">
        <f>COMPOSICIÓN!F748</f>
        <v>j</v>
      </c>
      <c r="G748" s="213">
        <f>COMPOSICIÓN!G748</f>
        <v>1</v>
      </c>
      <c r="H748" s="214">
        <f>COMPOSICIÓN!H748</f>
        <v>0</v>
      </c>
      <c r="I748" s="215">
        <f>COMPOSICIÓN!I748</f>
        <v>13291.421715656899</v>
      </c>
      <c r="J748" s="212" t="str">
        <f>IFERROR(VLOOKUP(A748,PARTIDAS!$A$2:$C$269,3,FALSE()),"")</f>
        <v>PRELIMINARES</v>
      </c>
      <c r="K748" s="212" t="str">
        <f>IFERROR(INDEX(PPTO_GENERADOR!$B$4:$B$220,MATCH(A748,PPTO_GENERADOR!$Q$4:$Q$220,0)),"")</f>
        <v>PRELIMINARES</v>
      </c>
      <c r="L748" s="216">
        <f>IF(PLAN_ETAPA!$C$4="(TODOS)",SUMIFS(PPTO_GENERADOR!$E$4:$E$220,PPTO_GENERADOR!$Q$4:$Q$220,A748),SUMIFS(PPTO_GENERADOR!$E$4:$E$220,PPTO_GENERADOR!$Q$4:$Q$220,A748,PPTO_GENERADOR!$B$4:$B$220,PLAN_ETAPA!$C$4))</f>
        <v>0</v>
      </c>
      <c r="M748" s="216">
        <f>IFERROR(VLOOKUP(A748,PARTIDAS!$A$2:$F$269,6,FALSE()),1)</f>
        <v>1</v>
      </c>
      <c r="N748" s="216">
        <f>IFERROR(VLOOKUP(A748,PARTIDAS!$A$2:$I$269,9,FALSE()),1)</f>
        <v>1</v>
      </c>
      <c r="O748" s="217">
        <f t="shared" si="22"/>
        <v>0</v>
      </c>
      <c r="P748" s="216">
        <f>IF(O748=0,0,IF(B748="MAT",G748*(1+H748)*L748*PLAN_ETAPA!$C$5,IF(B748="MO",IF(M748=0,0,G748*L748*PLAN_ETAPA!$C$5*N748/M748),IF(B748="EQ",IF(M748=0,0,G748*L748*PLAN_ETAPA!$C$5/M748),0))))</f>
        <v>0</v>
      </c>
      <c r="Q748" s="218">
        <f t="shared" si="23"/>
        <v>0</v>
      </c>
    </row>
    <row r="749" spans="1:17" x14ac:dyDescent="0.35">
      <c r="A749" s="212" t="str">
        <f>COMPOSICIÓN!A749</f>
        <v>PTO-0107</v>
      </c>
      <c r="B749" s="212" t="str">
        <f>COMPOSICIÓN!B749</f>
        <v>EQ</v>
      </c>
      <c r="C749" s="212">
        <f>COMPOSICIÓN!C749</f>
        <v>0</v>
      </c>
      <c r="D749" s="212" t="str">
        <f>COMPOSICIÓN!D749</f>
        <v>EQ-PTO031</v>
      </c>
      <c r="E749" s="212" t="str">
        <f>COMPOSICIÓN!E749</f>
        <v>Herramientas menores y consumibles - Conexión pilar y luz de obra + Tablero de obra</v>
      </c>
      <c r="F749" s="212">
        <f>COMPOSICIÓN!F749</f>
        <v>0</v>
      </c>
      <c r="G749" s="213">
        <f>COMPOSICIÓN!G749</f>
        <v>1</v>
      </c>
      <c r="H749" s="214">
        <f>COMPOSICIÓN!H749</f>
        <v>0</v>
      </c>
      <c r="I749" s="215">
        <f>COMPOSICIÓN!I749</f>
        <v>25370.9351203886</v>
      </c>
      <c r="J749" s="212" t="str">
        <f>IFERROR(VLOOKUP(A749,PARTIDAS!$A$2:$C$269,3,FALSE()),"")</f>
        <v>PRELIMINARES</v>
      </c>
      <c r="K749" s="212" t="str">
        <f>IFERROR(INDEX(PPTO_GENERADOR!$B$4:$B$220,MATCH(A749,PPTO_GENERADOR!$Q$4:$Q$220,0)),"")</f>
        <v>PRELIMINARES</v>
      </c>
      <c r="L749" s="216">
        <f>IF(PLAN_ETAPA!$C$4="(TODOS)",SUMIFS(PPTO_GENERADOR!$E$4:$E$220,PPTO_GENERADOR!$Q$4:$Q$220,A749),SUMIFS(PPTO_GENERADOR!$E$4:$E$220,PPTO_GENERADOR!$Q$4:$Q$220,A749,PPTO_GENERADOR!$B$4:$B$220,PLAN_ETAPA!$C$4))</f>
        <v>0</v>
      </c>
      <c r="M749" s="216">
        <f>IFERROR(VLOOKUP(A749,PARTIDAS!$A$2:$F$269,6,FALSE()),1)</f>
        <v>1</v>
      </c>
      <c r="N749" s="216">
        <f>IFERROR(VLOOKUP(A749,PARTIDAS!$A$2:$I$269,9,FALSE()),1)</f>
        <v>1</v>
      </c>
      <c r="O749" s="217">
        <f t="shared" si="22"/>
        <v>0</v>
      </c>
      <c r="P749" s="216">
        <f>IF(O749=0,0,IF(B749="MAT",G749*(1+H749)*L749*PLAN_ETAPA!$C$5,IF(B749="MO",IF(M749=0,0,G749*L749*PLAN_ETAPA!$C$5*N749/M749),IF(B749="EQ",IF(M749=0,0,G749*L749*PLAN_ETAPA!$C$5/M749),0))))</f>
        <v>0</v>
      </c>
      <c r="Q749" s="218">
        <f t="shared" si="23"/>
        <v>0</v>
      </c>
    </row>
    <row r="750" spans="1:17" x14ac:dyDescent="0.35">
      <c r="A750" s="212" t="str">
        <f>COMPOSICIÓN!A750</f>
        <v>PTO-0107</v>
      </c>
      <c r="B750" s="212" t="str">
        <f>COMPOSICIÓN!B750</f>
        <v>MAT</v>
      </c>
      <c r="C750" s="212" t="str">
        <f>COMPOSICIÓN!C750</f>
        <v>COR</v>
      </c>
      <c r="D750" s="212" t="str">
        <f>COMPOSICIÓN!D750</f>
        <v>OTR-PTO025</v>
      </c>
      <c r="E750" s="212" t="str">
        <f>COMPOSICIÓN!E750</f>
        <v>Pilar de obra, albañileria</v>
      </c>
      <c r="F750" s="212" t="str">
        <f>COMPOSICIÓN!F750</f>
        <v>d</v>
      </c>
      <c r="G750" s="213">
        <f>COMPOSICIÓN!G750</f>
        <v>2</v>
      </c>
      <c r="H750" s="214">
        <f>COMPOSICIÓN!H750</f>
        <v>0</v>
      </c>
      <c r="I750" s="215">
        <f>COMPOSICIÓN!I750</f>
        <v>25000</v>
      </c>
      <c r="J750" s="212" t="str">
        <f>IFERROR(VLOOKUP(A750,PARTIDAS!$A$2:$C$269,3,FALSE()),"")</f>
        <v>PRELIMINARES</v>
      </c>
      <c r="K750" s="212" t="str">
        <f>IFERROR(INDEX(PPTO_GENERADOR!$B$4:$B$220,MATCH(A750,PPTO_GENERADOR!$Q$4:$Q$220,0)),"")</f>
        <v>PRELIMINARES</v>
      </c>
      <c r="L750" s="216">
        <f>IF(PLAN_ETAPA!$C$4="(TODOS)",SUMIFS(PPTO_GENERADOR!$E$4:$E$220,PPTO_GENERADOR!$Q$4:$Q$220,A750),SUMIFS(PPTO_GENERADOR!$E$4:$E$220,PPTO_GENERADOR!$Q$4:$Q$220,A750,PPTO_GENERADOR!$B$4:$B$220,PLAN_ETAPA!$C$4))</f>
        <v>0</v>
      </c>
      <c r="M750" s="216">
        <f>IFERROR(VLOOKUP(A750,PARTIDAS!$A$2:$F$269,6,FALSE()),1)</f>
        <v>1</v>
      </c>
      <c r="N750" s="216">
        <f>IFERROR(VLOOKUP(A750,PARTIDAS!$A$2:$I$269,9,FALSE()),1)</f>
        <v>1</v>
      </c>
      <c r="O750" s="217">
        <f t="shared" si="22"/>
        <v>0</v>
      </c>
      <c r="P750" s="216">
        <f>IF(O750=0,0,IF(B750="MAT",G750*(1+H750)*L750*PLAN_ETAPA!$C$5,IF(B750="MO",IF(M750=0,0,G750*L750*PLAN_ETAPA!$C$5*N750/M750),IF(B750="EQ",IF(M750=0,0,G750*L750*PLAN_ETAPA!$C$5/M750),0))))</f>
        <v>0</v>
      </c>
      <c r="Q750" s="218">
        <f t="shared" si="23"/>
        <v>0</v>
      </c>
    </row>
    <row r="751" spans="1:17" x14ac:dyDescent="0.35">
      <c r="A751" s="212" t="str">
        <f>COMPOSICIÓN!A751</f>
        <v>PTO-0107</v>
      </c>
      <c r="B751" s="212" t="str">
        <f>COMPOSICIÓN!B751</f>
        <v>MAT</v>
      </c>
      <c r="C751" s="212" t="str">
        <f>COMPOSICIÓN!C751</f>
        <v>OTR</v>
      </c>
      <c r="D751" s="212" t="str">
        <f>COMPOSICIÓN!D751</f>
        <v>OTR-PTO026</v>
      </c>
      <c r="E751" s="212" t="str">
        <f>COMPOSICIÓN!E751</f>
        <v>Kit medidor pilar Edenor Conextube</v>
      </c>
      <c r="F751" s="212" t="str">
        <f>COMPOSICIÓN!F751</f>
        <v>gl</v>
      </c>
      <c r="G751" s="213">
        <f>COMPOSICIÓN!G751</f>
        <v>1</v>
      </c>
      <c r="H751" s="214">
        <f>COMPOSICIÓN!H751</f>
        <v>0</v>
      </c>
      <c r="I751" s="215">
        <f>COMPOSICIÓN!I751</f>
        <v>150000</v>
      </c>
      <c r="J751" s="212" t="str">
        <f>IFERROR(VLOOKUP(A751,PARTIDAS!$A$2:$C$269,3,FALSE()),"")</f>
        <v>PRELIMINARES</v>
      </c>
      <c r="K751" s="212" t="str">
        <f>IFERROR(INDEX(PPTO_GENERADOR!$B$4:$B$220,MATCH(A751,PPTO_GENERADOR!$Q$4:$Q$220,0)),"")</f>
        <v>PRELIMINARES</v>
      </c>
      <c r="L751" s="216">
        <f>IF(PLAN_ETAPA!$C$4="(TODOS)",SUMIFS(PPTO_GENERADOR!$E$4:$E$220,PPTO_GENERADOR!$Q$4:$Q$220,A751),SUMIFS(PPTO_GENERADOR!$E$4:$E$220,PPTO_GENERADOR!$Q$4:$Q$220,A751,PPTO_GENERADOR!$B$4:$B$220,PLAN_ETAPA!$C$4))</f>
        <v>0</v>
      </c>
      <c r="M751" s="216">
        <f>IFERROR(VLOOKUP(A751,PARTIDAS!$A$2:$F$269,6,FALSE()),1)</f>
        <v>1</v>
      </c>
      <c r="N751" s="216">
        <f>IFERROR(VLOOKUP(A751,PARTIDAS!$A$2:$I$269,9,FALSE()),1)</f>
        <v>1</v>
      </c>
      <c r="O751" s="217">
        <f t="shared" si="22"/>
        <v>0</v>
      </c>
      <c r="P751" s="216">
        <f>IF(O751=0,0,IF(B751="MAT",G751*(1+H751)*L751*PLAN_ETAPA!$C$5,IF(B751="MO",IF(M751=0,0,G751*L751*PLAN_ETAPA!$C$5*N751/M751),IF(B751="EQ",IF(M751=0,0,G751*L751*PLAN_ETAPA!$C$5/M751),0))))</f>
        <v>0</v>
      </c>
      <c r="Q751" s="218">
        <f t="shared" si="23"/>
        <v>0</v>
      </c>
    </row>
    <row r="752" spans="1:17" x14ac:dyDescent="0.35">
      <c r="A752" s="212" t="str">
        <f>COMPOSICIÓN!A752</f>
        <v>PTO-0107</v>
      </c>
      <c r="B752" s="212" t="str">
        <f>COMPOSICIÓN!B752</f>
        <v>MAT</v>
      </c>
      <c r="C752" s="212" t="str">
        <f>COMPOSICIÓN!C752</f>
        <v>OTR</v>
      </c>
      <c r="D752" s="212" t="str">
        <f>COMPOSICIÓN!D752</f>
        <v>OTR-PTO027</v>
      </c>
      <c r="E752" s="212" t="str">
        <f>COMPOSICIÓN!E752</f>
        <v>Kit jabalina + caja + toma cable</v>
      </c>
      <c r="F752" s="212" t="str">
        <f>COMPOSICIÓN!F752</f>
        <v>gl</v>
      </c>
      <c r="G752" s="213">
        <f>COMPOSICIÓN!G752</f>
        <v>1</v>
      </c>
      <c r="H752" s="214">
        <f>COMPOSICIÓN!H752</f>
        <v>0</v>
      </c>
      <c r="I752" s="215">
        <f>COMPOSICIÓN!I752</f>
        <v>15000</v>
      </c>
      <c r="J752" s="212" t="str">
        <f>IFERROR(VLOOKUP(A752,PARTIDAS!$A$2:$C$269,3,FALSE()),"")</f>
        <v>PRELIMINARES</v>
      </c>
      <c r="K752" s="212" t="str">
        <f>IFERROR(INDEX(PPTO_GENERADOR!$B$4:$B$220,MATCH(A752,PPTO_GENERADOR!$Q$4:$Q$220,0)),"")</f>
        <v>PRELIMINARES</v>
      </c>
      <c r="L752" s="216">
        <f>IF(PLAN_ETAPA!$C$4="(TODOS)",SUMIFS(PPTO_GENERADOR!$E$4:$E$220,PPTO_GENERADOR!$Q$4:$Q$220,A752),SUMIFS(PPTO_GENERADOR!$E$4:$E$220,PPTO_GENERADOR!$Q$4:$Q$220,A752,PPTO_GENERADOR!$B$4:$B$220,PLAN_ETAPA!$C$4))</f>
        <v>0</v>
      </c>
      <c r="M752" s="216">
        <f>IFERROR(VLOOKUP(A752,PARTIDAS!$A$2:$F$269,6,FALSE()),1)</f>
        <v>1</v>
      </c>
      <c r="N752" s="216">
        <f>IFERROR(VLOOKUP(A752,PARTIDAS!$A$2:$I$269,9,FALSE()),1)</f>
        <v>1</v>
      </c>
      <c r="O752" s="217">
        <f t="shared" si="22"/>
        <v>0</v>
      </c>
      <c r="P752" s="216">
        <f>IF(O752=0,0,IF(B752="MAT",G752*(1+H752)*L752*PLAN_ETAPA!$C$5,IF(B752="MO",IF(M752=0,0,G752*L752*PLAN_ETAPA!$C$5*N752/M752),IF(B752="EQ",IF(M752=0,0,G752*L752*PLAN_ETAPA!$C$5/M752),0))))</f>
        <v>0</v>
      </c>
      <c r="Q752" s="218">
        <f t="shared" si="23"/>
        <v>0</v>
      </c>
    </row>
    <row r="753" spans="1:17" x14ac:dyDescent="0.35">
      <c r="A753" s="212" t="str">
        <f>COMPOSICIÓN!A753</f>
        <v>PTO-0107</v>
      </c>
      <c r="B753" s="212" t="str">
        <f>COMPOSICIÓN!B753</f>
        <v>MAT</v>
      </c>
      <c r="C753" s="212" t="str">
        <f>COMPOSICIÓN!C753</f>
        <v>OTR</v>
      </c>
      <c r="D753" s="212" t="str">
        <f>COMPOSICIÓN!D753</f>
        <v>OTR-PTO028</v>
      </c>
      <c r="E753" s="212" t="str">
        <f>COMPOSICIÓN!E753</f>
        <v>Cable subterraneo 5 x 10 mm2</v>
      </c>
      <c r="F753" s="212" t="str">
        <f>COMPOSICIÓN!F753</f>
        <v>mts</v>
      </c>
      <c r="G753" s="213">
        <f>COMPOSICIÓN!G753</f>
        <v>50</v>
      </c>
      <c r="H753" s="214">
        <f>COMPOSICIÓN!H753</f>
        <v>0</v>
      </c>
      <c r="I753" s="215">
        <f>COMPOSICIÓN!I753</f>
        <v>11500</v>
      </c>
      <c r="J753" s="212" t="str">
        <f>IFERROR(VLOOKUP(A753,PARTIDAS!$A$2:$C$269,3,FALSE()),"")</f>
        <v>PRELIMINARES</v>
      </c>
      <c r="K753" s="212" t="str">
        <f>IFERROR(INDEX(PPTO_GENERADOR!$B$4:$B$220,MATCH(A753,PPTO_GENERADOR!$Q$4:$Q$220,0)),"")</f>
        <v>PRELIMINARES</v>
      </c>
      <c r="L753" s="216">
        <f>IF(PLAN_ETAPA!$C$4="(TODOS)",SUMIFS(PPTO_GENERADOR!$E$4:$E$220,PPTO_GENERADOR!$Q$4:$Q$220,A753),SUMIFS(PPTO_GENERADOR!$E$4:$E$220,PPTO_GENERADOR!$Q$4:$Q$220,A753,PPTO_GENERADOR!$B$4:$B$220,PLAN_ETAPA!$C$4))</f>
        <v>0</v>
      </c>
      <c r="M753" s="216">
        <f>IFERROR(VLOOKUP(A753,PARTIDAS!$A$2:$F$269,6,FALSE()),1)</f>
        <v>1</v>
      </c>
      <c r="N753" s="216">
        <f>IFERROR(VLOOKUP(A753,PARTIDAS!$A$2:$I$269,9,FALSE()),1)</f>
        <v>1</v>
      </c>
      <c r="O753" s="217">
        <f t="shared" si="22"/>
        <v>0</v>
      </c>
      <c r="P753" s="216">
        <f>IF(O753=0,0,IF(B753="MAT",G753*(1+H753)*L753*PLAN_ETAPA!$C$5,IF(B753="MO",IF(M753=0,0,G753*L753*PLAN_ETAPA!$C$5*N753/M753),IF(B753="EQ",IF(M753=0,0,G753*L753*PLAN_ETAPA!$C$5/M753),0))))</f>
        <v>0</v>
      </c>
      <c r="Q753" s="218">
        <f t="shared" si="23"/>
        <v>0</v>
      </c>
    </row>
    <row r="754" spans="1:17" x14ac:dyDescent="0.35">
      <c r="A754" s="212" t="str">
        <f>COMPOSICIÓN!A754</f>
        <v>PTO-0107</v>
      </c>
      <c r="B754" s="212" t="str">
        <f>COMPOSICIÓN!B754</f>
        <v>MAT</v>
      </c>
      <c r="C754" s="212" t="str">
        <f>COMPOSICIÓN!C754</f>
        <v>OTR</v>
      </c>
      <c r="D754" s="212" t="str">
        <f>COMPOSICIÓN!D754</f>
        <v>OTR-PTO029</v>
      </c>
      <c r="E754" s="212" t="str">
        <f>COMPOSICIÓN!E754</f>
        <v>Tablero de obra</v>
      </c>
      <c r="F754" s="212" t="str">
        <f>COMPOSICIÓN!F754</f>
        <v>gl</v>
      </c>
      <c r="G754" s="213">
        <f>COMPOSICIÓN!G754</f>
        <v>1</v>
      </c>
      <c r="H754" s="214">
        <f>COMPOSICIÓN!H754</f>
        <v>0</v>
      </c>
      <c r="I754" s="215">
        <f>COMPOSICIÓN!I754</f>
        <v>300000</v>
      </c>
      <c r="J754" s="212" t="str">
        <f>IFERROR(VLOOKUP(A754,PARTIDAS!$A$2:$C$269,3,FALSE()),"")</f>
        <v>PRELIMINARES</v>
      </c>
      <c r="K754" s="212" t="str">
        <f>IFERROR(INDEX(PPTO_GENERADOR!$B$4:$B$220,MATCH(A754,PPTO_GENERADOR!$Q$4:$Q$220,0)),"")</f>
        <v>PRELIMINARES</v>
      </c>
      <c r="L754" s="216">
        <f>IF(PLAN_ETAPA!$C$4="(TODOS)",SUMIFS(PPTO_GENERADOR!$E$4:$E$220,PPTO_GENERADOR!$Q$4:$Q$220,A754),SUMIFS(PPTO_GENERADOR!$E$4:$E$220,PPTO_GENERADOR!$Q$4:$Q$220,A754,PPTO_GENERADOR!$B$4:$B$220,PLAN_ETAPA!$C$4))</f>
        <v>0</v>
      </c>
      <c r="M754" s="216">
        <f>IFERROR(VLOOKUP(A754,PARTIDAS!$A$2:$F$269,6,FALSE()),1)</f>
        <v>1</v>
      </c>
      <c r="N754" s="216">
        <f>IFERROR(VLOOKUP(A754,PARTIDAS!$A$2:$I$269,9,FALSE()),1)</f>
        <v>1</v>
      </c>
      <c r="O754" s="217">
        <f t="shared" si="22"/>
        <v>0</v>
      </c>
      <c r="P754" s="216">
        <f>IF(O754=0,0,IF(B754="MAT",G754*(1+H754)*L754*PLAN_ETAPA!$C$5,IF(B754="MO",IF(M754=0,0,G754*L754*PLAN_ETAPA!$C$5*N754/M754),IF(B754="EQ",IF(M754=0,0,G754*L754*PLAN_ETAPA!$C$5/M754),0))))</f>
        <v>0</v>
      </c>
      <c r="Q754" s="218">
        <f t="shared" si="23"/>
        <v>0</v>
      </c>
    </row>
    <row r="755" spans="1:17" x14ac:dyDescent="0.35">
      <c r="A755" s="212" t="str">
        <f>COMPOSICIÓN!A755</f>
        <v>PTO-0107</v>
      </c>
      <c r="B755" s="212" t="str">
        <f>COMPOSICIÓN!B755</f>
        <v>MO</v>
      </c>
      <c r="C755" s="212" t="str">
        <f>COMPOSICIÓN!C755</f>
        <v>ALB</v>
      </c>
      <c r="D755" s="212" t="str">
        <f>COMPOSICIÓN!D755</f>
        <v>MO-EAYUD</v>
      </c>
      <c r="E755" s="212" t="str">
        <f>COMPOSICIÓN!E755</f>
        <v>AYUDANTE</v>
      </c>
      <c r="F755" s="212" t="str">
        <f>COMPOSICIÓN!F755</f>
        <v>j</v>
      </c>
      <c r="G755" s="213">
        <f>COMPOSICIÓN!G755</f>
        <v>2</v>
      </c>
      <c r="H755" s="214">
        <f>COMPOSICIÓN!H755</f>
        <v>0</v>
      </c>
      <c r="I755" s="215">
        <f>COMPOSICIÓN!I755</f>
        <v>60860.580776572002</v>
      </c>
      <c r="J755" s="212" t="str">
        <f>IFERROR(VLOOKUP(A755,PARTIDAS!$A$2:$C$269,3,FALSE()),"")</f>
        <v>PRELIMINARES</v>
      </c>
      <c r="K755" s="212" t="str">
        <f>IFERROR(INDEX(PPTO_GENERADOR!$B$4:$B$220,MATCH(A755,PPTO_GENERADOR!$Q$4:$Q$220,0)),"")</f>
        <v>PRELIMINARES</v>
      </c>
      <c r="L755" s="216">
        <f>IF(PLAN_ETAPA!$C$4="(TODOS)",SUMIFS(PPTO_GENERADOR!$E$4:$E$220,PPTO_GENERADOR!$Q$4:$Q$220,A755),SUMIFS(PPTO_GENERADOR!$E$4:$E$220,PPTO_GENERADOR!$Q$4:$Q$220,A755,PPTO_GENERADOR!$B$4:$B$220,PLAN_ETAPA!$C$4))</f>
        <v>0</v>
      </c>
      <c r="M755" s="216">
        <f>IFERROR(VLOOKUP(A755,PARTIDAS!$A$2:$F$269,6,FALSE()),1)</f>
        <v>1</v>
      </c>
      <c r="N755" s="216">
        <f>IFERROR(VLOOKUP(A755,PARTIDAS!$A$2:$I$269,9,FALSE()),1)</f>
        <v>1</v>
      </c>
      <c r="O755" s="217">
        <f t="shared" si="22"/>
        <v>0</v>
      </c>
      <c r="P755" s="216">
        <f>IF(O755=0,0,IF(B755="MAT",G755*(1+H755)*L755*PLAN_ETAPA!$C$5,IF(B755="MO",IF(M755=0,0,G755*L755*PLAN_ETAPA!$C$5*N755/M755),IF(B755="EQ",IF(M755=0,0,G755*L755*PLAN_ETAPA!$C$5/M755),0))))</f>
        <v>0</v>
      </c>
      <c r="Q755" s="218">
        <f t="shared" si="23"/>
        <v>0</v>
      </c>
    </row>
    <row r="756" spans="1:17" x14ac:dyDescent="0.35">
      <c r="A756" s="212" t="str">
        <f>COMPOSICIÓN!A756</f>
        <v>PTO-0107</v>
      </c>
      <c r="B756" s="212" t="str">
        <f>COMPOSICIÓN!B756</f>
        <v>MO</v>
      </c>
      <c r="C756" s="212" t="str">
        <f>COMPOSICIÓN!C756</f>
        <v>ALB</v>
      </c>
      <c r="D756" s="212" t="str">
        <f>COMPOSICIÓN!D756</f>
        <v>MO-EESPE</v>
      </c>
      <c r="E756" s="212" t="str">
        <f>COMPOSICIÓN!E756</f>
        <v>ESPECIALIZADO</v>
      </c>
      <c r="F756" s="212" t="str">
        <f>COMPOSICIÓN!F756</f>
        <v>j</v>
      </c>
      <c r="G756" s="213">
        <f>COMPOSICIÓN!G756</f>
        <v>2</v>
      </c>
      <c r="H756" s="214">
        <f>COMPOSICIÓN!H756</f>
        <v>0</v>
      </c>
      <c r="I756" s="215">
        <f>COMPOSICIÓN!I756</f>
        <v>85927.097156571996</v>
      </c>
      <c r="J756" s="212" t="str">
        <f>IFERROR(VLOOKUP(A756,PARTIDAS!$A$2:$C$269,3,FALSE()),"")</f>
        <v>PRELIMINARES</v>
      </c>
      <c r="K756" s="212" t="str">
        <f>IFERROR(INDEX(PPTO_GENERADOR!$B$4:$B$220,MATCH(A756,PPTO_GENERADOR!$Q$4:$Q$220,0)),"")</f>
        <v>PRELIMINARES</v>
      </c>
      <c r="L756" s="216">
        <f>IF(PLAN_ETAPA!$C$4="(TODOS)",SUMIFS(PPTO_GENERADOR!$E$4:$E$220,PPTO_GENERADOR!$Q$4:$Q$220,A756),SUMIFS(PPTO_GENERADOR!$E$4:$E$220,PPTO_GENERADOR!$Q$4:$Q$220,A756,PPTO_GENERADOR!$B$4:$B$220,PLAN_ETAPA!$C$4))</f>
        <v>0</v>
      </c>
      <c r="M756" s="216">
        <f>IFERROR(VLOOKUP(A756,PARTIDAS!$A$2:$F$269,6,FALSE()),1)</f>
        <v>1</v>
      </c>
      <c r="N756" s="216">
        <f>IFERROR(VLOOKUP(A756,PARTIDAS!$A$2:$I$269,9,FALSE()),1)</f>
        <v>1</v>
      </c>
      <c r="O756" s="217">
        <f t="shared" si="22"/>
        <v>0</v>
      </c>
      <c r="P756" s="216">
        <f>IF(O756=0,0,IF(B756="MAT",G756*(1+H756)*L756*PLAN_ETAPA!$C$5,IF(B756="MO",IF(M756=0,0,G756*L756*PLAN_ETAPA!$C$5*N756/M756),IF(B756="EQ",IF(M756=0,0,G756*L756*PLAN_ETAPA!$C$5/M756),0))))</f>
        <v>0</v>
      </c>
      <c r="Q756" s="218">
        <f t="shared" si="23"/>
        <v>0</v>
      </c>
    </row>
    <row r="757" spans="1:17" x14ac:dyDescent="0.35">
      <c r="A757" s="212" t="str">
        <f>COMPOSICIÓN!A757</f>
        <v>PTO-0107</v>
      </c>
      <c r="B757" s="212" t="str">
        <f>COMPOSICIÓN!B757</f>
        <v>MO</v>
      </c>
      <c r="C757" s="212" t="str">
        <f>COMPOSICIÓN!C757</f>
        <v>ALB</v>
      </c>
      <c r="D757" s="212" t="str">
        <f>COMPOSICIÓN!D757</f>
        <v>MO-EOFIC</v>
      </c>
      <c r="E757" s="212" t="str">
        <f>COMPOSICIÓN!E757</f>
        <v>OFICIAL</v>
      </c>
      <c r="F757" s="212" t="str">
        <f>COMPOSICIÓN!F757</f>
        <v>j</v>
      </c>
      <c r="G757" s="213">
        <f>COMPOSICIÓN!G757</f>
        <v>4</v>
      </c>
      <c r="H757" s="214">
        <f>COMPOSICIÓN!H757</f>
        <v>0</v>
      </c>
      <c r="I757" s="215">
        <f>COMPOSICIÓN!I757</f>
        <v>76955.079706571996</v>
      </c>
      <c r="J757" s="212" t="str">
        <f>IFERROR(VLOOKUP(A757,PARTIDAS!$A$2:$C$269,3,FALSE()),"")</f>
        <v>PRELIMINARES</v>
      </c>
      <c r="K757" s="212" t="str">
        <f>IFERROR(INDEX(PPTO_GENERADOR!$B$4:$B$220,MATCH(A757,PPTO_GENERADOR!$Q$4:$Q$220,0)),"")</f>
        <v>PRELIMINARES</v>
      </c>
      <c r="L757" s="216">
        <f>IF(PLAN_ETAPA!$C$4="(TODOS)",SUMIFS(PPTO_GENERADOR!$E$4:$E$220,PPTO_GENERADOR!$Q$4:$Q$220,A757),SUMIFS(PPTO_GENERADOR!$E$4:$E$220,PPTO_GENERADOR!$Q$4:$Q$220,A757,PPTO_GENERADOR!$B$4:$B$220,PLAN_ETAPA!$C$4))</f>
        <v>0</v>
      </c>
      <c r="M757" s="216">
        <f>IFERROR(VLOOKUP(A757,PARTIDAS!$A$2:$F$269,6,FALSE()),1)</f>
        <v>1</v>
      </c>
      <c r="N757" s="216">
        <f>IFERROR(VLOOKUP(A757,PARTIDAS!$A$2:$I$269,9,FALSE()),1)</f>
        <v>1</v>
      </c>
      <c r="O757" s="217">
        <f t="shared" si="22"/>
        <v>0</v>
      </c>
      <c r="P757" s="216">
        <f>IF(O757=0,0,IF(B757="MAT",G757*(1+H757)*L757*PLAN_ETAPA!$C$5,IF(B757="MO",IF(M757=0,0,G757*L757*PLAN_ETAPA!$C$5*N757/M757),IF(B757="EQ",IF(M757=0,0,G757*L757*PLAN_ETAPA!$C$5/M757),0))))</f>
        <v>0</v>
      </c>
      <c r="Q757" s="218">
        <f t="shared" si="23"/>
        <v>0</v>
      </c>
    </row>
    <row r="758" spans="1:17" x14ac:dyDescent="0.35">
      <c r="A758" s="212" t="str">
        <f>COMPOSICIÓN!A758</f>
        <v>PTO-0108</v>
      </c>
      <c r="B758" s="212" t="str">
        <f>COMPOSICIÓN!B758</f>
        <v>EQ</v>
      </c>
      <c r="C758" s="212">
        <f>COMPOSICIÓN!C758</f>
        <v>0</v>
      </c>
      <c r="D758" s="212" t="str">
        <f>COMPOSICIÓN!D758</f>
        <v>EQ-PTO032</v>
      </c>
      <c r="E758" s="212" t="str">
        <f>COMPOSICIÓN!E758</f>
        <v>Herramientas menores y consumibles - Conexión agua de obra, tanque + bomba</v>
      </c>
      <c r="F758" s="212">
        <f>COMPOSICIÓN!F758</f>
        <v>0</v>
      </c>
      <c r="G758" s="213">
        <f>COMPOSICIÓN!G758</f>
        <v>1</v>
      </c>
      <c r="H758" s="214">
        <f>COMPOSICIÓN!H758</f>
        <v>0</v>
      </c>
      <c r="I758" s="215">
        <f>COMPOSICIÓN!I758</f>
        <v>20050.930611788601</v>
      </c>
      <c r="J758" s="212" t="str">
        <f>IFERROR(VLOOKUP(A758,PARTIDAS!$A$2:$C$269,3,FALSE()),"")</f>
        <v>PRELIMINARES</v>
      </c>
      <c r="K758" s="212" t="str">
        <f>IFERROR(INDEX(PPTO_GENERADOR!$B$4:$B$220,MATCH(A758,PPTO_GENERADOR!$Q$4:$Q$220,0)),"")</f>
        <v>PRELIMINARES</v>
      </c>
      <c r="L758" s="216">
        <f>IF(PLAN_ETAPA!$C$4="(TODOS)",SUMIFS(PPTO_GENERADOR!$E$4:$E$220,PPTO_GENERADOR!$Q$4:$Q$220,A758),SUMIFS(PPTO_GENERADOR!$E$4:$E$220,PPTO_GENERADOR!$Q$4:$Q$220,A758,PPTO_GENERADOR!$B$4:$B$220,PLAN_ETAPA!$C$4))</f>
        <v>0</v>
      </c>
      <c r="M758" s="216">
        <f>IFERROR(VLOOKUP(A758,PARTIDAS!$A$2:$F$269,6,FALSE()),1)</f>
        <v>1</v>
      </c>
      <c r="N758" s="216">
        <f>IFERROR(VLOOKUP(A758,PARTIDAS!$A$2:$I$269,9,FALSE()),1)</f>
        <v>1</v>
      </c>
      <c r="O758" s="217">
        <f t="shared" si="22"/>
        <v>0</v>
      </c>
      <c r="P758" s="216">
        <f>IF(O758=0,0,IF(B758="MAT",G758*(1+H758)*L758*PLAN_ETAPA!$C$5,IF(B758="MO",IF(M758=0,0,G758*L758*PLAN_ETAPA!$C$5*N758/M758),IF(B758="EQ",IF(M758=0,0,G758*L758*PLAN_ETAPA!$C$5/M758),0))))</f>
        <v>0</v>
      </c>
      <c r="Q758" s="218">
        <f t="shared" si="23"/>
        <v>0</v>
      </c>
    </row>
    <row r="759" spans="1:17" x14ac:dyDescent="0.35">
      <c r="A759" s="212" t="str">
        <f>COMPOSICIÓN!A759</f>
        <v>PTO-0108</v>
      </c>
      <c r="B759" s="212" t="str">
        <f>COMPOSICIÓN!B759</f>
        <v>MAT</v>
      </c>
      <c r="C759" s="212" t="str">
        <f>COMPOSICIÓN!C759</f>
        <v>OTR</v>
      </c>
      <c r="D759" s="212" t="str">
        <f>COMPOSICIÓN!D759</f>
        <v>OTR-PTO030</v>
      </c>
      <c r="E759" s="212" t="str">
        <f>COMPOSICIÓN!E759</f>
        <v>Tanque de Bombeo 500 lts (reutilizado)</v>
      </c>
      <c r="F759" s="212" t="str">
        <f>COMPOSICIÓN!F759</f>
        <v>u</v>
      </c>
      <c r="G759" s="213">
        <f>COMPOSICIÓN!G759</f>
        <v>1</v>
      </c>
      <c r="H759" s="214">
        <f>COMPOSICIÓN!H759</f>
        <v>0</v>
      </c>
      <c r="I759" s="215">
        <f>COMPOSICIÓN!I759</f>
        <v>150000</v>
      </c>
      <c r="J759" s="212" t="str">
        <f>IFERROR(VLOOKUP(A759,PARTIDAS!$A$2:$C$269,3,FALSE()),"")</f>
        <v>PRELIMINARES</v>
      </c>
      <c r="K759" s="212" t="str">
        <f>IFERROR(INDEX(PPTO_GENERADOR!$B$4:$B$220,MATCH(A759,PPTO_GENERADOR!$Q$4:$Q$220,0)),"")</f>
        <v>PRELIMINARES</v>
      </c>
      <c r="L759" s="216">
        <f>IF(PLAN_ETAPA!$C$4="(TODOS)",SUMIFS(PPTO_GENERADOR!$E$4:$E$220,PPTO_GENERADOR!$Q$4:$Q$220,A759),SUMIFS(PPTO_GENERADOR!$E$4:$E$220,PPTO_GENERADOR!$Q$4:$Q$220,A759,PPTO_GENERADOR!$B$4:$B$220,PLAN_ETAPA!$C$4))</f>
        <v>0</v>
      </c>
      <c r="M759" s="216">
        <f>IFERROR(VLOOKUP(A759,PARTIDAS!$A$2:$F$269,6,FALSE()),1)</f>
        <v>1</v>
      </c>
      <c r="N759" s="216">
        <f>IFERROR(VLOOKUP(A759,PARTIDAS!$A$2:$I$269,9,FALSE()),1)</f>
        <v>1</v>
      </c>
      <c r="O759" s="217">
        <f t="shared" si="22"/>
        <v>0</v>
      </c>
      <c r="P759" s="216">
        <f>IF(O759=0,0,IF(B759="MAT",G759*(1+H759)*L759*PLAN_ETAPA!$C$5,IF(B759="MO",IF(M759=0,0,G759*L759*PLAN_ETAPA!$C$5*N759/M759),IF(B759="EQ",IF(M759=0,0,G759*L759*PLAN_ETAPA!$C$5/M759),0))))</f>
        <v>0</v>
      </c>
      <c r="Q759" s="218">
        <f t="shared" si="23"/>
        <v>0</v>
      </c>
    </row>
    <row r="760" spans="1:17" x14ac:dyDescent="0.35">
      <c r="A760" s="212" t="str">
        <f>COMPOSICIÓN!A760</f>
        <v>PTO-0108</v>
      </c>
      <c r="B760" s="212" t="str">
        <f>COMPOSICIÓN!B760</f>
        <v>MAT</v>
      </c>
      <c r="C760" s="212" t="str">
        <f>COMPOSICIÓN!C760</f>
        <v>OTR</v>
      </c>
      <c r="D760" s="212" t="str">
        <f>COMPOSICIÓN!D760</f>
        <v>OTR-PTO031</v>
      </c>
      <c r="E760" s="212" t="str">
        <f>COMPOSICIÓN!E760</f>
        <v xml:space="preserve">Bomba pres (reutilizada) </v>
      </c>
      <c r="F760" s="212" t="str">
        <f>COMPOSICIÓN!F760</f>
        <v>u</v>
      </c>
      <c r="G760" s="213">
        <f>COMPOSICIÓN!G760</f>
        <v>1</v>
      </c>
      <c r="H760" s="214">
        <f>COMPOSICIÓN!H760</f>
        <v>0</v>
      </c>
      <c r="I760" s="215">
        <f>COMPOSICIÓN!I760</f>
        <v>200000</v>
      </c>
      <c r="J760" s="212" t="str">
        <f>IFERROR(VLOOKUP(A760,PARTIDAS!$A$2:$C$269,3,FALSE()),"")</f>
        <v>PRELIMINARES</v>
      </c>
      <c r="K760" s="212" t="str">
        <f>IFERROR(INDEX(PPTO_GENERADOR!$B$4:$B$220,MATCH(A760,PPTO_GENERADOR!$Q$4:$Q$220,0)),"")</f>
        <v>PRELIMINARES</v>
      </c>
      <c r="L760" s="216">
        <f>IF(PLAN_ETAPA!$C$4="(TODOS)",SUMIFS(PPTO_GENERADOR!$E$4:$E$220,PPTO_GENERADOR!$Q$4:$Q$220,A760),SUMIFS(PPTO_GENERADOR!$E$4:$E$220,PPTO_GENERADOR!$Q$4:$Q$220,A760,PPTO_GENERADOR!$B$4:$B$220,PLAN_ETAPA!$C$4))</f>
        <v>0</v>
      </c>
      <c r="M760" s="216">
        <f>IFERROR(VLOOKUP(A760,PARTIDAS!$A$2:$F$269,6,FALSE()),1)</f>
        <v>1</v>
      </c>
      <c r="N760" s="216">
        <f>IFERROR(VLOOKUP(A760,PARTIDAS!$A$2:$I$269,9,FALSE()),1)</f>
        <v>1</v>
      </c>
      <c r="O760" s="217">
        <f t="shared" si="22"/>
        <v>0</v>
      </c>
      <c r="P760" s="216">
        <f>IF(O760=0,0,IF(B760="MAT",G760*(1+H760)*L760*PLAN_ETAPA!$C$5,IF(B760="MO",IF(M760=0,0,G760*L760*PLAN_ETAPA!$C$5*N760/M760),IF(B760="EQ",IF(M760=0,0,G760*L760*PLAN_ETAPA!$C$5/M760),0))))</f>
        <v>0</v>
      </c>
      <c r="Q760" s="218">
        <f t="shared" si="23"/>
        <v>0</v>
      </c>
    </row>
    <row r="761" spans="1:17" x14ac:dyDescent="0.35">
      <c r="A761" s="212" t="str">
        <f>COMPOSICIÓN!A761</f>
        <v>PTO-0108</v>
      </c>
      <c r="B761" s="212" t="str">
        <f>COMPOSICIÓN!B761</f>
        <v>MAT</v>
      </c>
      <c r="C761" s="212" t="str">
        <f>COMPOSICIÓN!C761</f>
        <v>OTR</v>
      </c>
      <c r="D761" s="212" t="str">
        <f>COMPOSICIÓN!D761</f>
        <v>OTR-PTO032</v>
      </c>
      <c r="E761" s="212" t="str">
        <f>COMPOSICIÓN!E761</f>
        <v xml:space="preserve">Flotante mecanico 1" + boya </v>
      </c>
      <c r="F761" s="212" t="str">
        <f>COMPOSICIÓN!F761</f>
        <v>u</v>
      </c>
      <c r="G761" s="213">
        <f>COMPOSICIÓN!G761</f>
        <v>1</v>
      </c>
      <c r="H761" s="214">
        <f>COMPOSICIÓN!H761</f>
        <v>0</v>
      </c>
      <c r="I761" s="215">
        <f>COMPOSICIÓN!I761</f>
        <v>50000</v>
      </c>
      <c r="J761" s="212" t="str">
        <f>IFERROR(VLOOKUP(A761,PARTIDAS!$A$2:$C$269,3,FALSE()),"")</f>
        <v>PRELIMINARES</v>
      </c>
      <c r="K761" s="212" t="str">
        <f>IFERROR(INDEX(PPTO_GENERADOR!$B$4:$B$220,MATCH(A761,PPTO_GENERADOR!$Q$4:$Q$220,0)),"")</f>
        <v>PRELIMINARES</v>
      </c>
      <c r="L761" s="216">
        <f>IF(PLAN_ETAPA!$C$4="(TODOS)",SUMIFS(PPTO_GENERADOR!$E$4:$E$220,PPTO_GENERADOR!$Q$4:$Q$220,A761),SUMIFS(PPTO_GENERADOR!$E$4:$E$220,PPTO_GENERADOR!$Q$4:$Q$220,A761,PPTO_GENERADOR!$B$4:$B$220,PLAN_ETAPA!$C$4))</f>
        <v>0</v>
      </c>
      <c r="M761" s="216">
        <f>IFERROR(VLOOKUP(A761,PARTIDAS!$A$2:$F$269,6,FALSE()),1)</f>
        <v>1</v>
      </c>
      <c r="N761" s="216">
        <f>IFERROR(VLOOKUP(A761,PARTIDAS!$A$2:$I$269,9,FALSE()),1)</f>
        <v>1</v>
      </c>
      <c r="O761" s="217">
        <f t="shared" si="22"/>
        <v>0</v>
      </c>
      <c r="P761" s="216">
        <f>IF(O761=0,0,IF(B761="MAT",G761*(1+H761)*L761*PLAN_ETAPA!$C$5,IF(B761="MO",IF(M761=0,0,G761*L761*PLAN_ETAPA!$C$5*N761/M761),IF(B761="EQ",IF(M761=0,0,G761*L761*PLAN_ETAPA!$C$5/M761),0))))</f>
        <v>0</v>
      </c>
      <c r="Q761" s="218">
        <f t="shared" si="23"/>
        <v>0</v>
      </c>
    </row>
    <row r="762" spans="1:17" x14ac:dyDescent="0.35">
      <c r="A762" s="212" t="str">
        <f>COMPOSICIÓN!A762</f>
        <v>PTO-0108</v>
      </c>
      <c r="B762" s="212" t="str">
        <f>COMPOSICIÓN!B762</f>
        <v>MAT</v>
      </c>
      <c r="C762" s="212" t="str">
        <f>COMPOSICIÓN!C762</f>
        <v>OTR</v>
      </c>
      <c r="D762" s="212" t="str">
        <f>COMPOSICIÓN!D762</f>
        <v>OTR-PTO033</v>
      </c>
      <c r="E762" s="212" t="str">
        <f>COMPOSICIÓN!E762</f>
        <v>Flotante automatico</v>
      </c>
      <c r="F762" s="212" t="str">
        <f>COMPOSICIÓN!F762</f>
        <v>u</v>
      </c>
      <c r="G762" s="213">
        <f>COMPOSICIÓN!G762</f>
        <v>1</v>
      </c>
      <c r="H762" s="214">
        <f>COMPOSICIÓN!H762</f>
        <v>0</v>
      </c>
      <c r="I762" s="215">
        <f>COMPOSICIÓN!I762</f>
        <v>10000</v>
      </c>
      <c r="J762" s="212" t="str">
        <f>IFERROR(VLOOKUP(A762,PARTIDAS!$A$2:$C$269,3,FALSE()),"")</f>
        <v>PRELIMINARES</v>
      </c>
      <c r="K762" s="212" t="str">
        <f>IFERROR(INDEX(PPTO_GENERADOR!$B$4:$B$220,MATCH(A762,PPTO_GENERADOR!$Q$4:$Q$220,0)),"")</f>
        <v>PRELIMINARES</v>
      </c>
      <c r="L762" s="216">
        <f>IF(PLAN_ETAPA!$C$4="(TODOS)",SUMIFS(PPTO_GENERADOR!$E$4:$E$220,PPTO_GENERADOR!$Q$4:$Q$220,A762),SUMIFS(PPTO_GENERADOR!$E$4:$E$220,PPTO_GENERADOR!$Q$4:$Q$220,A762,PPTO_GENERADOR!$B$4:$B$220,PLAN_ETAPA!$C$4))</f>
        <v>0</v>
      </c>
      <c r="M762" s="216">
        <f>IFERROR(VLOOKUP(A762,PARTIDAS!$A$2:$F$269,6,FALSE()),1)</f>
        <v>1</v>
      </c>
      <c r="N762" s="216">
        <f>IFERROR(VLOOKUP(A762,PARTIDAS!$A$2:$I$269,9,FALSE()),1)</f>
        <v>1</v>
      </c>
      <c r="O762" s="217">
        <f t="shared" si="22"/>
        <v>0</v>
      </c>
      <c r="P762" s="216">
        <f>IF(O762=0,0,IF(B762="MAT",G762*(1+H762)*L762*PLAN_ETAPA!$C$5,IF(B762="MO",IF(M762=0,0,G762*L762*PLAN_ETAPA!$C$5*N762/M762),IF(B762="EQ",IF(M762=0,0,G762*L762*PLAN_ETAPA!$C$5/M762),0))))</f>
        <v>0</v>
      </c>
      <c r="Q762" s="218">
        <f t="shared" si="23"/>
        <v>0</v>
      </c>
    </row>
    <row r="763" spans="1:17" x14ac:dyDescent="0.35">
      <c r="A763" s="212" t="str">
        <f>COMPOSICIÓN!A763</f>
        <v>PTO-0108</v>
      </c>
      <c r="B763" s="212" t="str">
        <f>COMPOSICIÓN!B763</f>
        <v>MAT</v>
      </c>
      <c r="C763" s="212" t="str">
        <f>COMPOSICIÓN!C763</f>
        <v>OTR</v>
      </c>
      <c r="D763" s="212" t="str">
        <f>COMPOSICIÓN!D763</f>
        <v>OTR-PTO034</v>
      </c>
      <c r="E763" s="212" t="str">
        <f>COMPOSICIÓN!E763</f>
        <v>Caño 3/4"</v>
      </c>
      <c r="F763" s="212" t="str">
        <f>COMPOSICIÓN!F763</f>
        <v>u</v>
      </c>
      <c r="G763" s="213">
        <f>COMPOSICIÓN!G763</f>
        <v>10</v>
      </c>
      <c r="H763" s="214">
        <f>COMPOSICIÓN!H763</f>
        <v>0</v>
      </c>
      <c r="I763" s="215">
        <f>COMPOSICIÓN!I763</f>
        <v>10000</v>
      </c>
      <c r="J763" s="212" t="str">
        <f>IFERROR(VLOOKUP(A763,PARTIDAS!$A$2:$C$269,3,FALSE()),"")</f>
        <v>PRELIMINARES</v>
      </c>
      <c r="K763" s="212" t="str">
        <f>IFERROR(INDEX(PPTO_GENERADOR!$B$4:$B$220,MATCH(A763,PPTO_GENERADOR!$Q$4:$Q$220,0)),"")</f>
        <v>PRELIMINARES</v>
      </c>
      <c r="L763" s="216">
        <f>IF(PLAN_ETAPA!$C$4="(TODOS)",SUMIFS(PPTO_GENERADOR!$E$4:$E$220,PPTO_GENERADOR!$Q$4:$Q$220,A763),SUMIFS(PPTO_GENERADOR!$E$4:$E$220,PPTO_GENERADOR!$Q$4:$Q$220,A763,PPTO_GENERADOR!$B$4:$B$220,PLAN_ETAPA!$C$4))</f>
        <v>0</v>
      </c>
      <c r="M763" s="216">
        <f>IFERROR(VLOOKUP(A763,PARTIDAS!$A$2:$F$269,6,FALSE()),1)</f>
        <v>1</v>
      </c>
      <c r="N763" s="216">
        <f>IFERROR(VLOOKUP(A763,PARTIDAS!$A$2:$I$269,9,FALSE()),1)</f>
        <v>1</v>
      </c>
      <c r="O763" s="217">
        <f t="shared" si="22"/>
        <v>0</v>
      </c>
      <c r="P763" s="216">
        <f>IF(O763=0,0,IF(B763="MAT",G763*(1+H763)*L763*PLAN_ETAPA!$C$5,IF(B763="MO",IF(M763=0,0,G763*L763*PLAN_ETAPA!$C$5*N763/M763),IF(B763="EQ",IF(M763=0,0,G763*L763*PLAN_ETAPA!$C$5/M763),0))))</f>
        <v>0</v>
      </c>
      <c r="Q763" s="218">
        <f t="shared" si="23"/>
        <v>0</v>
      </c>
    </row>
    <row r="764" spans="1:17" x14ac:dyDescent="0.35">
      <c r="A764" s="212" t="str">
        <f>COMPOSICIÓN!A764</f>
        <v>PTO-0108</v>
      </c>
      <c r="B764" s="212" t="str">
        <f>COMPOSICIÓN!B764</f>
        <v>MAT</v>
      </c>
      <c r="C764" s="212" t="str">
        <f>COMPOSICIÓN!C764</f>
        <v>OTR</v>
      </c>
      <c r="D764" s="212" t="str">
        <f>COMPOSICIÓN!D764</f>
        <v>OTR-PTO035</v>
      </c>
      <c r="E764" s="212" t="str">
        <f>COMPOSICIÓN!E764</f>
        <v>Val. esf doble media union 1"</v>
      </c>
      <c r="F764" s="212" t="str">
        <f>COMPOSICIÓN!F764</f>
        <v>u</v>
      </c>
      <c r="G764" s="213">
        <f>COMPOSICIÓN!G764</f>
        <v>3</v>
      </c>
      <c r="H764" s="214">
        <f>COMPOSICIÓN!H764</f>
        <v>0</v>
      </c>
      <c r="I764" s="215">
        <f>COMPOSICIÓN!I764</f>
        <v>15000</v>
      </c>
      <c r="J764" s="212" t="str">
        <f>IFERROR(VLOOKUP(A764,PARTIDAS!$A$2:$C$269,3,FALSE()),"")</f>
        <v>PRELIMINARES</v>
      </c>
      <c r="K764" s="212" t="str">
        <f>IFERROR(INDEX(PPTO_GENERADOR!$B$4:$B$220,MATCH(A764,PPTO_GENERADOR!$Q$4:$Q$220,0)),"")</f>
        <v>PRELIMINARES</v>
      </c>
      <c r="L764" s="216">
        <f>IF(PLAN_ETAPA!$C$4="(TODOS)",SUMIFS(PPTO_GENERADOR!$E$4:$E$220,PPTO_GENERADOR!$Q$4:$Q$220,A764),SUMIFS(PPTO_GENERADOR!$E$4:$E$220,PPTO_GENERADOR!$Q$4:$Q$220,A764,PPTO_GENERADOR!$B$4:$B$220,PLAN_ETAPA!$C$4))</f>
        <v>0</v>
      </c>
      <c r="M764" s="216">
        <f>IFERROR(VLOOKUP(A764,PARTIDAS!$A$2:$F$269,6,FALSE()),1)</f>
        <v>1</v>
      </c>
      <c r="N764" s="216">
        <f>IFERROR(VLOOKUP(A764,PARTIDAS!$A$2:$I$269,9,FALSE()),1)</f>
        <v>1</v>
      </c>
      <c r="O764" s="217">
        <f t="shared" si="22"/>
        <v>0</v>
      </c>
      <c r="P764" s="216">
        <f>IF(O764=0,0,IF(B764="MAT",G764*(1+H764)*L764*PLAN_ETAPA!$C$5,IF(B764="MO",IF(M764=0,0,G764*L764*PLAN_ETAPA!$C$5*N764/M764),IF(B764="EQ",IF(M764=0,0,G764*L764*PLAN_ETAPA!$C$5/M764),0))))</f>
        <v>0</v>
      </c>
      <c r="Q764" s="218">
        <f t="shared" si="23"/>
        <v>0</v>
      </c>
    </row>
    <row r="765" spans="1:17" x14ac:dyDescent="0.35">
      <c r="A765" s="212" t="str">
        <f>COMPOSICIÓN!A765</f>
        <v>PTO-0108</v>
      </c>
      <c r="B765" s="212" t="str">
        <f>COMPOSICIÓN!B765</f>
        <v>MAT</v>
      </c>
      <c r="C765" s="212" t="str">
        <f>COMPOSICIÓN!C765</f>
        <v>OTR</v>
      </c>
      <c r="D765" s="212" t="str">
        <f>COMPOSICIÓN!D765</f>
        <v>OTR-PTO036</v>
      </c>
      <c r="E765" s="212" t="str">
        <f>COMPOSICIÓN!E765</f>
        <v xml:space="preserve">Canilla de pvc </v>
      </c>
      <c r="F765" s="212" t="str">
        <f>COMPOSICIÓN!F765</f>
        <v>u</v>
      </c>
      <c r="G765" s="213">
        <f>COMPOSICIÓN!G765</f>
        <v>8</v>
      </c>
      <c r="H765" s="214">
        <f>COMPOSICIÓN!H765</f>
        <v>0</v>
      </c>
      <c r="I765" s="215">
        <f>COMPOSICIÓN!I765</f>
        <v>2000</v>
      </c>
      <c r="J765" s="212" t="str">
        <f>IFERROR(VLOOKUP(A765,PARTIDAS!$A$2:$C$269,3,FALSE()),"")</f>
        <v>PRELIMINARES</v>
      </c>
      <c r="K765" s="212" t="str">
        <f>IFERROR(INDEX(PPTO_GENERADOR!$B$4:$B$220,MATCH(A765,PPTO_GENERADOR!$Q$4:$Q$220,0)),"")</f>
        <v>PRELIMINARES</v>
      </c>
      <c r="L765" s="216">
        <f>IF(PLAN_ETAPA!$C$4="(TODOS)",SUMIFS(PPTO_GENERADOR!$E$4:$E$220,PPTO_GENERADOR!$Q$4:$Q$220,A765),SUMIFS(PPTO_GENERADOR!$E$4:$E$220,PPTO_GENERADOR!$Q$4:$Q$220,A765,PPTO_GENERADOR!$B$4:$B$220,PLAN_ETAPA!$C$4))</f>
        <v>0</v>
      </c>
      <c r="M765" s="216">
        <f>IFERROR(VLOOKUP(A765,PARTIDAS!$A$2:$F$269,6,FALSE()),1)</f>
        <v>1</v>
      </c>
      <c r="N765" s="216">
        <f>IFERROR(VLOOKUP(A765,PARTIDAS!$A$2:$I$269,9,FALSE()),1)</f>
        <v>1</v>
      </c>
      <c r="O765" s="217">
        <f t="shared" si="22"/>
        <v>0</v>
      </c>
      <c r="P765" s="216">
        <f>IF(O765=0,0,IF(B765="MAT",G765*(1+H765)*L765*PLAN_ETAPA!$C$5,IF(B765="MO",IF(M765=0,0,G765*L765*PLAN_ETAPA!$C$5*N765/M765),IF(B765="EQ",IF(M765=0,0,G765*L765*PLAN_ETAPA!$C$5/M765),0))))</f>
        <v>0</v>
      </c>
      <c r="Q765" s="218">
        <f t="shared" si="23"/>
        <v>0</v>
      </c>
    </row>
    <row r="766" spans="1:17" x14ac:dyDescent="0.35">
      <c r="A766" s="212" t="str">
        <f>COMPOSICIÓN!A766</f>
        <v>PTO-0108</v>
      </c>
      <c r="B766" s="212" t="str">
        <f>COMPOSICIÓN!B766</f>
        <v>MAT</v>
      </c>
      <c r="C766" s="212" t="str">
        <f>COMPOSICIÓN!C766</f>
        <v>OTR</v>
      </c>
      <c r="D766" s="212" t="str">
        <f>COMPOSICIÓN!D766</f>
        <v>OTR-PTO037</v>
      </c>
      <c r="E766" s="212" t="str">
        <f>COMPOSICIÓN!E766</f>
        <v>Desperdicio</v>
      </c>
      <c r="F766" s="212" t="str">
        <f>COMPOSICIÓN!F766</f>
        <v>gl</v>
      </c>
      <c r="G766" s="213">
        <f>COMPOSICIÓN!G766</f>
        <v>0.2</v>
      </c>
      <c r="H766" s="214">
        <f>COMPOSICIÓN!H766</f>
        <v>0</v>
      </c>
      <c r="I766" s="215">
        <f>COMPOSICIÓN!I766</f>
        <v>571000</v>
      </c>
      <c r="J766" s="212" t="str">
        <f>IFERROR(VLOOKUP(A766,PARTIDAS!$A$2:$C$269,3,FALSE()),"")</f>
        <v>PRELIMINARES</v>
      </c>
      <c r="K766" s="212" t="str">
        <f>IFERROR(INDEX(PPTO_GENERADOR!$B$4:$B$220,MATCH(A766,PPTO_GENERADOR!$Q$4:$Q$220,0)),"")</f>
        <v>PRELIMINARES</v>
      </c>
      <c r="L766" s="216">
        <f>IF(PLAN_ETAPA!$C$4="(TODOS)",SUMIFS(PPTO_GENERADOR!$E$4:$E$220,PPTO_GENERADOR!$Q$4:$Q$220,A766),SUMIFS(PPTO_GENERADOR!$E$4:$E$220,PPTO_GENERADOR!$Q$4:$Q$220,A766,PPTO_GENERADOR!$B$4:$B$220,PLAN_ETAPA!$C$4))</f>
        <v>0</v>
      </c>
      <c r="M766" s="216">
        <f>IFERROR(VLOOKUP(A766,PARTIDAS!$A$2:$F$269,6,FALSE()),1)</f>
        <v>1</v>
      </c>
      <c r="N766" s="216">
        <f>IFERROR(VLOOKUP(A766,PARTIDAS!$A$2:$I$269,9,FALSE()),1)</f>
        <v>1</v>
      </c>
      <c r="O766" s="217">
        <f t="shared" si="22"/>
        <v>0</v>
      </c>
      <c r="P766" s="216">
        <f>IF(O766=0,0,IF(B766="MAT",G766*(1+H766)*L766*PLAN_ETAPA!$C$5,IF(B766="MO",IF(M766=0,0,G766*L766*PLAN_ETAPA!$C$5*N766/M766),IF(B766="EQ",IF(M766=0,0,G766*L766*PLAN_ETAPA!$C$5/M766),0))))</f>
        <v>0</v>
      </c>
      <c r="Q766" s="218">
        <f t="shared" si="23"/>
        <v>0</v>
      </c>
    </row>
    <row r="767" spans="1:17" x14ac:dyDescent="0.35">
      <c r="A767" s="212" t="str">
        <f>COMPOSICIÓN!A767</f>
        <v>PTO-0108</v>
      </c>
      <c r="B767" s="212" t="str">
        <f>COMPOSICIÓN!B767</f>
        <v>MO</v>
      </c>
      <c r="C767" s="212" t="str">
        <f>COMPOSICIÓN!C767</f>
        <v>ALB</v>
      </c>
      <c r="D767" s="212" t="str">
        <f>COMPOSICIÓN!D767</f>
        <v>MO-EESPE</v>
      </c>
      <c r="E767" s="212" t="str">
        <f>COMPOSICIÓN!E767</f>
        <v>ESPECIALIZADO</v>
      </c>
      <c r="F767" s="212" t="str">
        <f>COMPOSICIÓN!F767</f>
        <v>j</v>
      </c>
      <c r="G767" s="213">
        <f>COMPOSICIÓN!G767</f>
        <v>4</v>
      </c>
      <c r="H767" s="214">
        <f>COMPOSICIÓN!H767</f>
        <v>0</v>
      </c>
      <c r="I767" s="215">
        <f>COMPOSICIÓN!I767</f>
        <v>85927.097156571996</v>
      </c>
      <c r="J767" s="212" t="str">
        <f>IFERROR(VLOOKUP(A767,PARTIDAS!$A$2:$C$269,3,FALSE()),"")</f>
        <v>PRELIMINARES</v>
      </c>
      <c r="K767" s="212" t="str">
        <f>IFERROR(INDEX(PPTO_GENERADOR!$B$4:$B$220,MATCH(A767,PPTO_GENERADOR!$Q$4:$Q$220,0)),"")</f>
        <v>PRELIMINARES</v>
      </c>
      <c r="L767" s="216">
        <f>IF(PLAN_ETAPA!$C$4="(TODOS)",SUMIFS(PPTO_GENERADOR!$E$4:$E$220,PPTO_GENERADOR!$Q$4:$Q$220,A767),SUMIFS(PPTO_GENERADOR!$E$4:$E$220,PPTO_GENERADOR!$Q$4:$Q$220,A767,PPTO_GENERADOR!$B$4:$B$220,PLAN_ETAPA!$C$4))</f>
        <v>0</v>
      </c>
      <c r="M767" s="216">
        <f>IFERROR(VLOOKUP(A767,PARTIDAS!$A$2:$F$269,6,FALSE()),1)</f>
        <v>1</v>
      </c>
      <c r="N767" s="216">
        <f>IFERROR(VLOOKUP(A767,PARTIDAS!$A$2:$I$269,9,FALSE()),1)</f>
        <v>1</v>
      </c>
      <c r="O767" s="217">
        <f t="shared" si="22"/>
        <v>0</v>
      </c>
      <c r="P767" s="216">
        <f>IF(O767=0,0,IF(B767="MAT",G767*(1+H767)*L767*PLAN_ETAPA!$C$5,IF(B767="MO",IF(M767=0,0,G767*L767*PLAN_ETAPA!$C$5*N767/M767),IF(B767="EQ",IF(M767=0,0,G767*L767*PLAN_ETAPA!$C$5/M767),0))))</f>
        <v>0</v>
      </c>
      <c r="Q767" s="218">
        <f t="shared" si="23"/>
        <v>0</v>
      </c>
    </row>
    <row r="768" spans="1:17" x14ac:dyDescent="0.35">
      <c r="A768" s="212" t="str">
        <f>COMPOSICIÓN!A768</f>
        <v>PTO-0108</v>
      </c>
      <c r="B768" s="212" t="str">
        <f>COMPOSICIÓN!B768</f>
        <v>MO</v>
      </c>
      <c r="C768" s="212" t="str">
        <f>COMPOSICIÓN!C768</f>
        <v>ALB</v>
      </c>
      <c r="D768" s="212" t="str">
        <f>COMPOSICIÓN!D768</f>
        <v>MO-EOFIC</v>
      </c>
      <c r="E768" s="212" t="str">
        <f>COMPOSICIÓN!E768</f>
        <v>OFICIAL</v>
      </c>
      <c r="F768" s="212" t="str">
        <f>COMPOSICIÓN!F768</f>
        <v>j</v>
      </c>
      <c r="G768" s="213">
        <f>COMPOSICIÓN!G768</f>
        <v>4</v>
      </c>
      <c r="H768" s="214">
        <f>COMPOSICIÓN!H768</f>
        <v>0</v>
      </c>
      <c r="I768" s="215">
        <f>COMPOSICIÓN!I768</f>
        <v>76955.079706571996</v>
      </c>
      <c r="J768" s="212" t="str">
        <f>IFERROR(VLOOKUP(A768,PARTIDAS!$A$2:$C$269,3,FALSE()),"")</f>
        <v>PRELIMINARES</v>
      </c>
      <c r="K768" s="212" t="str">
        <f>IFERROR(INDEX(PPTO_GENERADOR!$B$4:$B$220,MATCH(A768,PPTO_GENERADOR!$Q$4:$Q$220,0)),"")</f>
        <v>PRELIMINARES</v>
      </c>
      <c r="L768" s="216">
        <f>IF(PLAN_ETAPA!$C$4="(TODOS)",SUMIFS(PPTO_GENERADOR!$E$4:$E$220,PPTO_GENERADOR!$Q$4:$Q$220,A768),SUMIFS(PPTO_GENERADOR!$E$4:$E$220,PPTO_GENERADOR!$Q$4:$Q$220,A768,PPTO_GENERADOR!$B$4:$B$220,PLAN_ETAPA!$C$4))</f>
        <v>0</v>
      </c>
      <c r="M768" s="216">
        <f>IFERROR(VLOOKUP(A768,PARTIDAS!$A$2:$F$269,6,FALSE()),1)</f>
        <v>1</v>
      </c>
      <c r="N768" s="216">
        <f>IFERROR(VLOOKUP(A768,PARTIDAS!$A$2:$I$269,9,FALSE()),1)</f>
        <v>1</v>
      </c>
      <c r="O768" s="217">
        <f t="shared" si="22"/>
        <v>0</v>
      </c>
      <c r="P768" s="216">
        <f>IF(O768=0,0,IF(B768="MAT",G768*(1+H768)*L768*PLAN_ETAPA!$C$5,IF(B768="MO",IF(M768=0,0,G768*L768*PLAN_ETAPA!$C$5*N768/M768),IF(B768="EQ",IF(M768=0,0,G768*L768*PLAN_ETAPA!$C$5/M768),0))))</f>
        <v>0</v>
      </c>
      <c r="Q768" s="218">
        <f t="shared" si="23"/>
        <v>0</v>
      </c>
    </row>
    <row r="769" spans="1:17" x14ac:dyDescent="0.35">
      <c r="A769" s="212" t="str">
        <f>COMPOSICIÓN!A769</f>
        <v>PTO-0109</v>
      </c>
      <c r="B769" s="212" t="str">
        <f>COMPOSICIÓN!B769</f>
        <v>MO</v>
      </c>
      <c r="C769" s="212" t="str">
        <f>COMPOSICIÓN!C769</f>
        <v>OTR</v>
      </c>
      <c r="D769" s="212" t="str">
        <f>COMPOSICIÓN!D769</f>
        <v>SUB-CERTLUZ2</v>
      </c>
      <c r="E769" s="212" t="str">
        <f>COMPOSICIÓN!E769</f>
        <v>Luz de Obra</v>
      </c>
      <c r="F769" s="212" t="str">
        <f>COMPOSICIÓN!F769</f>
        <v>j</v>
      </c>
      <c r="G769" s="213">
        <f>COMPOSICIÓN!G769</f>
        <v>2</v>
      </c>
      <c r="H769" s="214">
        <f>COMPOSICIÓN!H769</f>
        <v>0</v>
      </c>
      <c r="I769" s="215">
        <f>COMPOSICIÓN!I769</f>
        <v>107023.598877166</v>
      </c>
      <c r="J769" s="212" t="str">
        <f>IFERROR(VLOOKUP(A769,PARTIDAS!$A$2:$C$269,3,FALSE()),"")</f>
        <v>PRELIMINARES</v>
      </c>
      <c r="K769" s="212" t="str">
        <f>IFERROR(INDEX(PPTO_GENERADOR!$B$4:$B$220,MATCH(A769,PPTO_GENERADOR!$Q$4:$Q$220,0)),"")</f>
        <v>PRELIMINARES</v>
      </c>
      <c r="L769" s="216">
        <f>IF(PLAN_ETAPA!$C$4="(TODOS)",SUMIFS(PPTO_GENERADOR!$E$4:$E$220,PPTO_GENERADOR!$Q$4:$Q$220,A769),SUMIFS(PPTO_GENERADOR!$E$4:$E$220,PPTO_GENERADOR!$Q$4:$Q$220,A769,PPTO_GENERADOR!$B$4:$B$220,PLAN_ETAPA!$C$4))</f>
        <v>0</v>
      </c>
      <c r="M769" s="216">
        <f>IFERROR(VLOOKUP(A769,PARTIDAS!$A$2:$F$269,6,FALSE()),1)</f>
        <v>1</v>
      </c>
      <c r="N769" s="216">
        <f>IFERROR(VLOOKUP(A769,PARTIDAS!$A$2:$I$269,9,FALSE()),1)</f>
        <v>1</v>
      </c>
      <c r="O769" s="217">
        <f t="shared" si="22"/>
        <v>0</v>
      </c>
      <c r="P769" s="216">
        <f>IF(O769=0,0,IF(B769="MAT",G769*(1+H769)*L769*PLAN_ETAPA!$C$5,IF(B769="MO",IF(M769=0,0,G769*L769*PLAN_ETAPA!$C$5*N769/M769),IF(B769="EQ",IF(M769=0,0,G769*L769*PLAN_ETAPA!$C$5/M769),0))))</f>
        <v>0</v>
      </c>
      <c r="Q769" s="218">
        <f t="shared" si="23"/>
        <v>0</v>
      </c>
    </row>
    <row r="770" spans="1:17" x14ac:dyDescent="0.35">
      <c r="A770" s="212" t="str">
        <f>COMPOSICIÓN!A770</f>
        <v>PTO-0109</v>
      </c>
      <c r="B770" s="212" t="str">
        <f>COMPOSICIÓN!B770</f>
        <v>MO</v>
      </c>
      <c r="C770" s="212" t="str">
        <f>COMPOSICIÓN!C770</f>
        <v>OTR</v>
      </c>
      <c r="D770" s="212" t="str">
        <f>COMPOSICIÓN!D770</f>
        <v>SUB-MEDPAT</v>
      </c>
      <c r="E770" s="212" t="str">
        <f>COMPOSICIÓN!E770</f>
        <v>Medicion PAT luz de obra</v>
      </c>
      <c r="F770" s="212" t="str">
        <f>COMPOSICIÓN!F770</f>
        <v>j</v>
      </c>
      <c r="G770" s="213">
        <f>COMPOSICIÓN!G770</f>
        <v>1</v>
      </c>
      <c r="H770" s="214">
        <f>COMPOSICIÓN!H770</f>
        <v>0</v>
      </c>
      <c r="I770" s="215">
        <f>COMPOSICIÓN!I770</f>
        <v>93645.649017520103</v>
      </c>
      <c r="J770" s="212" t="str">
        <f>IFERROR(VLOOKUP(A770,PARTIDAS!$A$2:$C$269,3,FALSE()),"")</f>
        <v>PRELIMINARES</v>
      </c>
      <c r="K770" s="212" t="str">
        <f>IFERROR(INDEX(PPTO_GENERADOR!$B$4:$B$220,MATCH(A770,PPTO_GENERADOR!$Q$4:$Q$220,0)),"")</f>
        <v>PRELIMINARES</v>
      </c>
      <c r="L770" s="216">
        <f>IF(PLAN_ETAPA!$C$4="(TODOS)",SUMIFS(PPTO_GENERADOR!$E$4:$E$220,PPTO_GENERADOR!$Q$4:$Q$220,A770),SUMIFS(PPTO_GENERADOR!$E$4:$E$220,PPTO_GENERADOR!$Q$4:$Q$220,A770,PPTO_GENERADOR!$B$4:$B$220,PLAN_ETAPA!$C$4))</f>
        <v>0</v>
      </c>
      <c r="M770" s="216">
        <f>IFERROR(VLOOKUP(A770,PARTIDAS!$A$2:$F$269,6,FALSE()),1)</f>
        <v>1</v>
      </c>
      <c r="N770" s="216">
        <f>IFERROR(VLOOKUP(A770,PARTIDAS!$A$2:$I$269,9,FALSE()),1)</f>
        <v>1</v>
      </c>
      <c r="O770" s="217">
        <f t="shared" ref="O770:O833" si="24">IF(L770&gt;0,1,0)</f>
        <v>0</v>
      </c>
      <c r="P770" s="216">
        <f>IF(O770=0,0,IF(B770="MAT",G770*(1+H770)*L770*PLAN_ETAPA!$C$5,IF(B770="MO",IF(M770=0,0,G770*L770*PLAN_ETAPA!$C$5*N770/M770),IF(B770="EQ",IF(M770=0,0,G770*L770*PLAN_ETAPA!$C$5/M770),0))))</f>
        <v>0</v>
      </c>
      <c r="Q770" s="218">
        <f t="shared" ref="Q770:Q833" si="25">P770*I770</f>
        <v>0</v>
      </c>
    </row>
    <row r="771" spans="1:17" x14ac:dyDescent="0.35">
      <c r="A771" s="212" t="str">
        <f>COMPOSICIÓN!A771</f>
        <v>PTO-0109</v>
      </c>
      <c r="B771" s="212" t="str">
        <f>COMPOSICIÓN!B771</f>
        <v>MO</v>
      </c>
      <c r="C771" s="212" t="str">
        <f>COMPOSICIÓN!C771</f>
        <v>OTR</v>
      </c>
      <c r="D771" s="212" t="str">
        <f>COMPOSICIÓN!D771</f>
        <v>SUB-PTO004</v>
      </c>
      <c r="E771" s="212" t="str">
        <f>COMPOSICIÓN!E771</f>
        <v>Gestion suministro luz de obra</v>
      </c>
      <c r="F771" s="212" t="str">
        <f>COMPOSICIÓN!F771</f>
        <v>j</v>
      </c>
      <c r="G771" s="213">
        <f>COMPOSICIÓN!G771</f>
        <v>1</v>
      </c>
      <c r="H771" s="214">
        <f>COMPOSICIÓN!H771</f>
        <v>0</v>
      </c>
      <c r="I771" s="215">
        <f>COMPOSICIÓN!I771</f>
        <v>148643.887329397</v>
      </c>
      <c r="J771" s="212" t="str">
        <f>IFERROR(VLOOKUP(A771,PARTIDAS!$A$2:$C$269,3,FALSE()),"")</f>
        <v>PRELIMINARES</v>
      </c>
      <c r="K771" s="212" t="str">
        <f>IFERROR(INDEX(PPTO_GENERADOR!$B$4:$B$220,MATCH(A771,PPTO_GENERADOR!$Q$4:$Q$220,0)),"")</f>
        <v>PRELIMINARES</v>
      </c>
      <c r="L771" s="216">
        <f>IF(PLAN_ETAPA!$C$4="(TODOS)",SUMIFS(PPTO_GENERADOR!$E$4:$E$220,PPTO_GENERADOR!$Q$4:$Q$220,A771),SUMIFS(PPTO_GENERADOR!$E$4:$E$220,PPTO_GENERADOR!$Q$4:$Q$220,A771,PPTO_GENERADOR!$B$4:$B$220,PLAN_ETAPA!$C$4))</f>
        <v>0</v>
      </c>
      <c r="M771" s="216">
        <f>IFERROR(VLOOKUP(A771,PARTIDAS!$A$2:$F$269,6,FALSE()),1)</f>
        <v>1</v>
      </c>
      <c r="N771" s="216">
        <f>IFERROR(VLOOKUP(A771,PARTIDAS!$A$2:$I$269,9,FALSE()),1)</f>
        <v>1</v>
      </c>
      <c r="O771" s="217">
        <f t="shared" si="24"/>
        <v>0</v>
      </c>
      <c r="P771" s="216">
        <f>IF(O771=0,0,IF(B771="MAT",G771*(1+H771)*L771*PLAN_ETAPA!$C$5,IF(B771="MO",IF(M771=0,0,G771*L771*PLAN_ETAPA!$C$5*N771/M771),IF(B771="EQ",IF(M771=0,0,G771*L771*PLAN_ETAPA!$C$5/M771),0))))</f>
        <v>0</v>
      </c>
      <c r="Q771" s="218">
        <f t="shared" si="25"/>
        <v>0</v>
      </c>
    </row>
    <row r="772" spans="1:17" x14ac:dyDescent="0.35">
      <c r="A772" s="212" t="str">
        <f>COMPOSICIÓN!A772</f>
        <v>PTO-0201</v>
      </c>
      <c r="B772" s="212" t="str">
        <f>COMPOSICIÓN!B772</f>
        <v>EQ</v>
      </c>
      <c r="C772" s="212">
        <f>COMPOSICIÓN!C772</f>
        <v>0</v>
      </c>
      <c r="D772" s="212" t="str">
        <f>COMPOSICIÓN!D772</f>
        <v>EQ-PTO033</v>
      </c>
      <c r="E772" s="212" t="str">
        <f>COMPOSICIÓN!E772</f>
        <v xml:space="preserve">Herramientas menores y consumibles - Excavación a maquina para submuración, subsuelo y </v>
      </c>
      <c r="F772" s="212">
        <f>COMPOSICIÓN!F772</f>
        <v>0</v>
      </c>
      <c r="G772" s="213">
        <f>COMPOSICIÓN!G772</f>
        <v>1</v>
      </c>
      <c r="H772" s="214">
        <f>COMPOSICIÓN!H772</f>
        <v>0</v>
      </c>
      <c r="I772" s="215">
        <f>COMPOSICIÓN!I772</f>
        <v>97.811647676633498</v>
      </c>
      <c r="J772" s="212" t="str">
        <f>IFERROR(VLOOKUP(A772,PARTIDAS!$A$2:$C$269,3,FALSE()),"")</f>
        <v>MOVIMIENTO DE TIERRA</v>
      </c>
      <c r="K772" s="212" t="str">
        <f>IFERROR(INDEX(PPTO_GENERADOR!$B$4:$B$220,MATCH(A772,PPTO_GENERADOR!$Q$4:$Q$220,0)),"")</f>
        <v>MOVIMIENTO DE TIERRA</v>
      </c>
      <c r="L772" s="216">
        <f>IF(PLAN_ETAPA!$C$4="(TODOS)",SUMIFS(PPTO_GENERADOR!$E$4:$E$220,PPTO_GENERADOR!$Q$4:$Q$220,A772),SUMIFS(PPTO_GENERADOR!$E$4:$E$220,PPTO_GENERADOR!$Q$4:$Q$220,A772,PPTO_GENERADOR!$B$4:$B$220,PLAN_ETAPA!$C$4))</f>
        <v>0</v>
      </c>
      <c r="M772" s="216">
        <f>IFERROR(VLOOKUP(A772,PARTIDAS!$A$2:$F$269,6,FALSE()),1)</f>
        <v>1</v>
      </c>
      <c r="N772" s="216">
        <f>IFERROR(VLOOKUP(A772,PARTIDAS!$A$2:$I$269,9,FALSE()),1)</f>
        <v>1</v>
      </c>
      <c r="O772" s="217">
        <f t="shared" si="24"/>
        <v>0</v>
      </c>
      <c r="P772" s="216">
        <f>IF(O772=0,0,IF(B772="MAT",G772*(1+H772)*L772*PLAN_ETAPA!$C$5,IF(B772="MO",IF(M772=0,0,G772*L772*PLAN_ETAPA!$C$5*N772/M772),IF(B772="EQ",IF(M772=0,0,G772*L772*PLAN_ETAPA!$C$5/M772),0))))</f>
        <v>0</v>
      </c>
      <c r="Q772" s="218">
        <f t="shared" si="25"/>
        <v>0</v>
      </c>
    </row>
    <row r="773" spans="1:17" x14ac:dyDescent="0.35">
      <c r="A773" s="212" t="str">
        <f>COMPOSICIÓN!A773</f>
        <v>PTO-0201</v>
      </c>
      <c r="B773" s="212" t="str">
        <f>COMPOSICIÓN!B773</f>
        <v>MO</v>
      </c>
      <c r="C773" s="212" t="str">
        <f>COMPOSICIÓN!C773</f>
        <v>ALB</v>
      </c>
      <c r="D773" s="212" t="str">
        <f>COMPOSICIÓN!D773</f>
        <v>MO-EAYUD</v>
      </c>
      <c r="E773" s="212" t="str">
        <f>COMPOSICIÓN!E773</f>
        <v>AYUDANTE</v>
      </c>
      <c r="F773" s="212" t="str">
        <f>COMPOSICIÓN!F773</f>
        <v>j</v>
      </c>
      <c r="G773" s="213">
        <f>COMPOSICIÓN!G773</f>
        <v>0.107142857142857</v>
      </c>
      <c r="H773" s="214">
        <f>COMPOSICIÓN!H773</f>
        <v>0</v>
      </c>
      <c r="I773" s="215">
        <f>COMPOSICIÓN!I773</f>
        <v>60860.580776572002</v>
      </c>
      <c r="J773" s="212" t="str">
        <f>IFERROR(VLOOKUP(A773,PARTIDAS!$A$2:$C$269,3,FALSE()),"")</f>
        <v>MOVIMIENTO DE TIERRA</v>
      </c>
      <c r="K773" s="212" t="str">
        <f>IFERROR(INDEX(PPTO_GENERADOR!$B$4:$B$220,MATCH(A773,PPTO_GENERADOR!$Q$4:$Q$220,0)),"")</f>
        <v>MOVIMIENTO DE TIERRA</v>
      </c>
      <c r="L773" s="216">
        <f>IF(PLAN_ETAPA!$C$4="(TODOS)",SUMIFS(PPTO_GENERADOR!$E$4:$E$220,PPTO_GENERADOR!$Q$4:$Q$220,A773),SUMIFS(PPTO_GENERADOR!$E$4:$E$220,PPTO_GENERADOR!$Q$4:$Q$220,A773,PPTO_GENERADOR!$B$4:$B$220,PLAN_ETAPA!$C$4))</f>
        <v>0</v>
      </c>
      <c r="M773" s="216">
        <f>IFERROR(VLOOKUP(A773,PARTIDAS!$A$2:$F$269,6,FALSE()),1)</f>
        <v>1</v>
      </c>
      <c r="N773" s="216">
        <f>IFERROR(VLOOKUP(A773,PARTIDAS!$A$2:$I$269,9,FALSE()),1)</f>
        <v>1</v>
      </c>
      <c r="O773" s="217">
        <f t="shared" si="24"/>
        <v>0</v>
      </c>
      <c r="P773" s="216">
        <f>IF(O773=0,0,IF(B773="MAT",G773*(1+H773)*L773*PLAN_ETAPA!$C$5,IF(B773="MO",IF(M773=0,0,G773*L773*PLAN_ETAPA!$C$5*N773/M773),IF(B773="EQ",IF(M773=0,0,G773*L773*PLAN_ETAPA!$C$5/M773),0))))</f>
        <v>0</v>
      </c>
      <c r="Q773" s="218">
        <f t="shared" si="25"/>
        <v>0</v>
      </c>
    </row>
    <row r="774" spans="1:17" x14ac:dyDescent="0.35">
      <c r="A774" s="212" t="str">
        <f>COMPOSICIÓN!A774</f>
        <v>PTO-0201</v>
      </c>
      <c r="B774" s="212" t="str">
        <f>COMPOSICIÓN!B774</f>
        <v>MO</v>
      </c>
      <c r="C774" s="212" t="str">
        <f>COMPOSICIÓN!C774</f>
        <v>OTR</v>
      </c>
      <c r="D774" s="212" t="str">
        <f>COMPOSICIÓN!D774</f>
        <v>SUB-PTO005</v>
      </c>
      <c r="E774" s="212" t="str">
        <f>COMPOSICIÓN!E774</f>
        <v>Subcontrato + 50%  - Celsi VIAL</v>
      </c>
      <c r="F774" s="212" t="str">
        <f>COMPOSICIÓN!F774</f>
        <v>j</v>
      </c>
      <c r="G774" s="213">
        <f>COMPOSICIÓN!G774</f>
        <v>1.5</v>
      </c>
      <c r="H774" s="214">
        <f>COMPOSICIÓN!H774</f>
        <v>0</v>
      </c>
      <c r="I774" s="215">
        <f>COMPOSICIÓN!I774</f>
        <v>22000</v>
      </c>
      <c r="J774" s="212" t="str">
        <f>IFERROR(VLOOKUP(A774,PARTIDAS!$A$2:$C$269,3,FALSE()),"")</f>
        <v>MOVIMIENTO DE TIERRA</v>
      </c>
      <c r="K774" s="212" t="str">
        <f>IFERROR(INDEX(PPTO_GENERADOR!$B$4:$B$220,MATCH(A774,PPTO_GENERADOR!$Q$4:$Q$220,0)),"")</f>
        <v>MOVIMIENTO DE TIERRA</v>
      </c>
      <c r="L774" s="216">
        <f>IF(PLAN_ETAPA!$C$4="(TODOS)",SUMIFS(PPTO_GENERADOR!$E$4:$E$220,PPTO_GENERADOR!$Q$4:$Q$220,A774),SUMIFS(PPTO_GENERADOR!$E$4:$E$220,PPTO_GENERADOR!$Q$4:$Q$220,A774,PPTO_GENERADOR!$B$4:$B$220,PLAN_ETAPA!$C$4))</f>
        <v>0</v>
      </c>
      <c r="M774" s="216">
        <f>IFERROR(VLOOKUP(A774,PARTIDAS!$A$2:$F$269,6,FALSE()),1)</f>
        <v>1</v>
      </c>
      <c r="N774" s="216">
        <f>IFERROR(VLOOKUP(A774,PARTIDAS!$A$2:$I$269,9,FALSE()),1)</f>
        <v>1</v>
      </c>
      <c r="O774" s="217">
        <f t="shared" si="24"/>
        <v>0</v>
      </c>
      <c r="P774" s="216">
        <f>IF(O774=0,0,IF(B774="MAT",G774*(1+H774)*L774*PLAN_ETAPA!$C$5,IF(B774="MO",IF(M774=0,0,G774*L774*PLAN_ETAPA!$C$5*N774/M774),IF(B774="EQ",IF(M774=0,0,G774*L774*PLAN_ETAPA!$C$5/M774),0))))</f>
        <v>0</v>
      </c>
      <c r="Q774" s="218">
        <f t="shared" si="25"/>
        <v>0</v>
      </c>
    </row>
    <row r="775" spans="1:17" x14ac:dyDescent="0.35">
      <c r="A775" s="212" t="str">
        <f>COMPOSICIÓN!A775</f>
        <v>PTO-0202</v>
      </c>
      <c r="B775" s="212" t="str">
        <f>COMPOSICIÓN!B775</f>
        <v>EQ</v>
      </c>
      <c r="C775" s="212">
        <f>COMPOSICIÓN!C775</f>
        <v>0</v>
      </c>
      <c r="D775" s="212" t="str">
        <f>COMPOSICIÓN!D775</f>
        <v>EQ-PTO034</v>
      </c>
      <c r="E775" s="212" t="str">
        <f>COMPOSICIÓN!E775</f>
        <v xml:space="preserve">Herramientas menores y consumibles - Perfilado manual de bases. Relleno y compactación </v>
      </c>
      <c r="F775" s="212">
        <f>COMPOSICIÓN!F775</f>
        <v>0</v>
      </c>
      <c r="G775" s="213">
        <f>COMPOSICIÓN!G775</f>
        <v>1</v>
      </c>
      <c r="H775" s="214">
        <f>COMPOSICIÓN!H775</f>
        <v>0</v>
      </c>
      <c r="I775" s="215">
        <f>COMPOSICIÓN!I775</f>
        <v>128903.949937613</v>
      </c>
      <c r="J775" s="212" t="str">
        <f>IFERROR(VLOOKUP(A775,PARTIDAS!$A$2:$C$269,3,FALSE()),"")</f>
        <v>MOVIMIENTO DE TIERRA</v>
      </c>
      <c r="K775" s="212" t="str">
        <f>IFERROR(INDEX(PPTO_GENERADOR!$B$4:$B$220,MATCH(A775,PPTO_GENERADOR!$Q$4:$Q$220,0)),"")</f>
        <v>MOVIMIENTO DE TIERRA</v>
      </c>
      <c r="L775" s="216">
        <f>IF(PLAN_ETAPA!$C$4="(TODOS)",SUMIFS(PPTO_GENERADOR!$E$4:$E$220,PPTO_GENERADOR!$Q$4:$Q$220,A775),SUMIFS(PPTO_GENERADOR!$E$4:$E$220,PPTO_GENERADOR!$Q$4:$Q$220,A775,PPTO_GENERADOR!$B$4:$B$220,PLAN_ETAPA!$C$4))</f>
        <v>0</v>
      </c>
      <c r="M775" s="216">
        <f>IFERROR(VLOOKUP(A775,PARTIDAS!$A$2:$F$269,6,FALSE()),1)</f>
        <v>1</v>
      </c>
      <c r="N775" s="216">
        <f>IFERROR(VLOOKUP(A775,PARTIDAS!$A$2:$I$269,9,FALSE()),1)</f>
        <v>1</v>
      </c>
      <c r="O775" s="217">
        <f t="shared" si="24"/>
        <v>0</v>
      </c>
      <c r="P775" s="216">
        <f>IF(O775=0,0,IF(B775="MAT",G775*(1+H775)*L775*PLAN_ETAPA!$C$5,IF(B775="MO",IF(M775=0,0,G775*L775*PLAN_ETAPA!$C$5*N775/M775),IF(B775="EQ",IF(M775=0,0,G775*L775*PLAN_ETAPA!$C$5/M775),0))))</f>
        <v>0</v>
      </c>
      <c r="Q775" s="218">
        <f t="shared" si="25"/>
        <v>0</v>
      </c>
    </row>
    <row r="776" spans="1:17" x14ac:dyDescent="0.35">
      <c r="A776" s="212" t="str">
        <f>COMPOSICIÓN!A776</f>
        <v>PTO-0202</v>
      </c>
      <c r="B776" s="212" t="str">
        <f>COMPOSICIÓN!B776</f>
        <v>MAT</v>
      </c>
      <c r="C776" s="212" t="str">
        <f>COMPOSICIÓN!C776</f>
        <v>OTR</v>
      </c>
      <c r="D776" s="212" t="str">
        <f>COMPOSICIÓN!D776</f>
        <v>OTR-PTO038</v>
      </c>
      <c r="E776" s="212" t="str">
        <f>COMPOSICIÓN!E776</f>
        <v>Alquiler vibropison</v>
      </c>
      <c r="F776" s="212" t="str">
        <f>COMPOSICIÓN!F776</f>
        <v>d</v>
      </c>
      <c r="G776" s="213">
        <f>COMPOSICIÓN!G776</f>
        <v>7</v>
      </c>
      <c r="H776" s="214">
        <f>COMPOSICIÓN!H776</f>
        <v>0</v>
      </c>
      <c r="I776" s="215">
        <f>COMPOSICIÓN!I776</f>
        <v>15000</v>
      </c>
      <c r="J776" s="212" t="str">
        <f>IFERROR(VLOOKUP(A776,PARTIDAS!$A$2:$C$269,3,FALSE()),"")</f>
        <v>MOVIMIENTO DE TIERRA</v>
      </c>
      <c r="K776" s="212" t="str">
        <f>IFERROR(INDEX(PPTO_GENERADOR!$B$4:$B$220,MATCH(A776,PPTO_GENERADOR!$Q$4:$Q$220,0)),"")</f>
        <v>MOVIMIENTO DE TIERRA</v>
      </c>
      <c r="L776" s="216">
        <f>IF(PLAN_ETAPA!$C$4="(TODOS)",SUMIFS(PPTO_GENERADOR!$E$4:$E$220,PPTO_GENERADOR!$Q$4:$Q$220,A776),SUMIFS(PPTO_GENERADOR!$E$4:$E$220,PPTO_GENERADOR!$Q$4:$Q$220,A776,PPTO_GENERADOR!$B$4:$B$220,PLAN_ETAPA!$C$4))</f>
        <v>0</v>
      </c>
      <c r="M776" s="216">
        <f>IFERROR(VLOOKUP(A776,PARTIDAS!$A$2:$F$269,6,FALSE()),1)</f>
        <v>1</v>
      </c>
      <c r="N776" s="216">
        <f>IFERROR(VLOOKUP(A776,PARTIDAS!$A$2:$I$269,9,FALSE()),1)</f>
        <v>1</v>
      </c>
      <c r="O776" s="217">
        <f t="shared" si="24"/>
        <v>0</v>
      </c>
      <c r="P776" s="216">
        <f>IF(O776=0,0,IF(B776="MAT",G776*(1+H776)*L776*PLAN_ETAPA!$C$5,IF(B776="MO",IF(M776=0,0,G776*L776*PLAN_ETAPA!$C$5*N776/M776),IF(B776="EQ",IF(M776=0,0,G776*L776*PLAN_ETAPA!$C$5/M776),0))))</f>
        <v>0</v>
      </c>
      <c r="Q776" s="218">
        <f t="shared" si="25"/>
        <v>0</v>
      </c>
    </row>
    <row r="777" spans="1:17" x14ac:dyDescent="0.35">
      <c r="A777" s="212" t="str">
        <f>COMPOSICIÓN!A777</f>
        <v>PTO-0202</v>
      </c>
      <c r="B777" s="212" t="str">
        <f>COMPOSICIÓN!B777</f>
        <v>MO</v>
      </c>
      <c r="C777" s="212" t="str">
        <f>COMPOSICIÓN!C777</f>
        <v>ALB</v>
      </c>
      <c r="D777" s="212" t="str">
        <f>COMPOSICIÓN!D777</f>
        <v>MO-EAYUD</v>
      </c>
      <c r="E777" s="212" t="str">
        <f>COMPOSICIÓN!E777</f>
        <v>AYUDANTE</v>
      </c>
      <c r="F777" s="212" t="str">
        <f>COMPOSICIÓN!F777</f>
        <v>j</v>
      </c>
      <c r="G777" s="213">
        <f>COMPOSICIÓN!G777</f>
        <v>132</v>
      </c>
      <c r="H777" s="214">
        <f>COMPOSICIÓN!H777</f>
        <v>0</v>
      </c>
      <c r="I777" s="215">
        <f>COMPOSICIÓN!I777</f>
        <v>60860.580776572002</v>
      </c>
      <c r="J777" s="212" t="str">
        <f>IFERROR(VLOOKUP(A777,PARTIDAS!$A$2:$C$269,3,FALSE()),"")</f>
        <v>MOVIMIENTO DE TIERRA</v>
      </c>
      <c r="K777" s="212" t="str">
        <f>IFERROR(INDEX(PPTO_GENERADOR!$B$4:$B$220,MATCH(A777,PPTO_GENERADOR!$Q$4:$Q$220,0)),"")</f>
        <v>MOVIMIENTO DE TIERRA</v>
      </c>
      <c r="L777" s="216">
        <f>IF(PLAN_ETAPA!$C$4="(TODOS)",SUMIFS(PPTO_GENERADOR!$E$4:$E$220,PPTO_GENERADOR!$Q$4:$Q$220,A777),SUMIFS(PPTO_GENERADOR!$E$4:$E$220,PPTO_GENERADOR!$Q$4:$Q$220,A777,PPTO_GENERADOR!$B$4:$B$220,PLAN_ETAPA!$C$4))</f>
        <v>0</v>
      </c>
      <c r="M777" s="216">
        <f>IFERROR(VLOOKUP(A777,PARTIDAS!$A$2:$F$269,6,FALSE()),1)</f>
        <v>1</v>
      </c>
      <c r="N777" s="216">
        <f>IFERROR(VLOOKUP(A777,PARTIDAS!$A$2:$I$269,9,FALSE()),1)</f>
        <v>1</v>
      </c>
      <c r="O777" s="217">
        <f t="shared" si="24"/>
        <v>0</v>
      </c>
      <c r="P777" s="216">
        <f>IF(O777=0,0,IF(B777="MAT",G777*(1+H777)*L777*PLAN_ETAPA!$C$5,IF(B777="MO",IF(M777=0,0,G777*L777*PLAN_ETAPA!$C$5*N777/M777),IF(B777="EQ",IF(M777=0,0,G777*L777*PLAN_ETAPA!$C$5/M777),0))))</f>
        <v>0</v>
      </c>
      <c r="Q777" s="218">
        <f t="shared" si="25"/>
        <v>0</v>
      </c>
    </row>
    <row r="778" spans="1:17" x14ac:dyDescent="0.35">
      <c r="A778" s="212" t="str">
        <f>COMPOSICIÓN!A778</f>
        <v>PTO-0202</v>
      </c>
      <c r="B778" s="212" t="str">
        <f>COMPOSICIÓN!B778</f>
        <v>MO</v>
      </c>
      <c r="C778" s="212" t="str">
        <f>COMPOSICIÓN!C778</f>
        <v>OTR</v>
      </c>
      <c r="D778" s="212" t="str">
        <f>COMPOSICIÓN!D778</f>
        <v>SUB-VIBRO1</v>
      </c>
      <c r="E778" s="212" t="str">
        <f>COMPOSICIÓN!E778</f>
        <v>Alquiler vibropisson</v>
      </c>
      <c r="F778" s="212" t="str">
        <f>COMPOSICIÓN!F778</f>
        <v>j</v>
      </c>
      <c r="G778" s="213">
        <f>COMPOSICIÓN!G778</f>
        <v>7</v>
      </c>
      <c r="H778" s="214">
        <f>COMPOSICIÓN!H778</f>
        <v>0</v>
      </c>
      <c r="I778" s="215">
        <f>COMPOSICIÓN!I778</f>
        <v>65000</v>
      </c>
      <c r="J778" s="212" t="str">
        <f>IFERROR(VLOOKUP(A778,PARTIDAS!$A$2:$C$269,3,FALSE()),"")</f>
        <v>MOVIMIENTO DE TIERRA</v>
      </c>
      <c r="K778" s="212" t="str">
        <f>IFERROR(INDEX(PPTO_GENERADOR!$B$4:$B$220,MATCH(A778,PPTO_GENERADOR!$Q$4:$Q$220,0)),"")</f>
        <v>MOVIMIENTO DE TIERRA</v>
      </c>
      <c r="L778" s="216">
        <f>IF(PLAN_ETAPA!$C$4="(TODOS)",SUMIFS(PPTO_GENERADOR!$E$4:$E$220,PPTO_GENERADOR!$Q$4:$Q$220,A778),SUMIFS(PPTO_GENERADOR!$E$4:$E$220,PPTO_GENERADOR!$Q$4:$Q$220,A778,PPTO_GENERADOR!$B$4:$B$220,PLAN_ETAPA!$C$4))</f>
        <v>0</v>
      </c>
      <c r="M778" s="216">
        <f>IFERROR(VLOOKUP(A778,PARTIDAS!$A$2:$F$269,6,FALSE()),1)</f>
        <v>1</v>
      </c>
      <c r="N778" s="216">
        <f>IFERROR(VLOOKUP(A778,PARTIDAS!$A$2:$I$269,9,FALSE()),1)</f>
        <v>1</v>
      </c>
      <c r="O778" s="217">
        <f t="shared" si="24"/>
        <v>0</v>
      </c>
      <c r="P778" s="216">
        <f>IF(O778=0,0,IF(B778="MAT",G778*(1+H778)*L778*PLAN_ETAPA!$C$5,IF(B778="MO",IF(M778=0,0,G778*L778*PLAN_ETAPA!$C$5*N778/M778),IF(B778="EQ",IF(M778=0,0,G778*L778*PLAN_ETAPA!$C$5/M778),0))))</f>
        <v>0</v>
      </c>
      <c r="Q778" s="218">
        <f t="shared" si="25"/>
        <v>0</v>
      </c>
    </row>
    <row r="779" spans="1:17" x14ac:dyDescent="0.35">
      <c r="A779" s="212" t="str">
        <f>COMPOSICIÓN!A779</f>
        <v>PTO-0203</v>
      </c>
      <c r="B779" s="212" t="str">
        <f>COMPOSICIÓN!B779</f>
        <v>EQ</v>
      </c>
      <c r="C779" s="212">
        <f>COMPOSICIÓN!C779</f>
        <v>0</v>
      </c>
      <c r="D779" s="212" t="str">
        <f>COMPOSICIÓN!D779</f>
        <v>EQ-PTO004</v>
      </c>
      <c r="E779" s="212" t="str">
        <f>COMPOSICIÓN!E779</f>
        <v>Herramientas y consumibles Excavación manual para vigas de fundación</v>
      </c>
      <c r="F779" s="212">
        <f>COMPOSICIÓN!F779</f>
        <v>0</v>
      </c>
      <c r="G779" s="213">
        <f>COMPOSICIÓN!G779</f>
        <v>1</v>
      </c>
      <c r="H779" s="214">
        <f>COMPOSICIÓN!H779</f>
        <v>0</v>
      </c>
      <c r="I779" s="215">
        <f>COMPOSICIÓN!I779</f>
        <v>1302.90871164858</v>
      </c>
      <c r="J779" s="212" t="str">
        <f>IFERROR(VLOOKUP(A779,PARTIDAS!$A$2:$C$269,3,FALSE()),"")</f>
        <v>MOVIMIENTO DE TIERRA</v>
      </c>
      <c r="K779" s="212" t="str">
        <f>IFERROR(INDEX(PPTO_GENERADOR!$B$4:$B$220,MATCH(A779,PPTO_GENERADOR!$Q$4:$Q$220,0)),"")</f>
        <v>MOVIMIENTO DE TIERRA</v>
      </c>
      <c r="L779" s="216">
        <f>IF(PLAN_ETAPA!$C$4="(TODOS)",SUMIFS(PPTO_GENERADOR!$E$4:$E$220,PPTO_GENERADOR!$Q$4:$Q$220,A779),SUMIFS(PPTO_GENERADOR!$E$4:$E$220,PPTO_GENERADOR!$Q$4:$Q$220,A779,PPTO_GENERADOR!$B$4:$B$220,PLAN_ETAPA!$C$4))</f>
        <v>0</v>
      </c>
      <c r="M779" s="216">
        <f>IFERROR(VLOOKUP(A779,PARTIDAS!$A$2:$F$269,6,FALSE()),1)</f>
        <v>1</v>
      </c>
      <c r="N779" s="216">
        <f>IFERROR(VLOOKUP(A779,PARTIDAS!$A$2:$I$269,9,FALSE()),1)</f>
        <v>1</v>
      </c>
      <c r="O779" s="217">
        <f t="shared" si="24"/>
        <v>0</v>
      </c>
      <c r="P779" s="216">
        <f>IF(O779=0,0,IF(B779="MAT",G779*(1+H779)*L779*PLAN_ETAPA!$C$5,IF(B779="MO",IF(M779=0,0,G779*L779*PLAN_ETAPA!$C$5*N779/M779),IF(B779="EQ",IF(M779=0,0,G779*L779*PLAN_ETAPA!$C$5/M779),0))))</f>
        <v>0</v>
      </c>
      <c r="Q779" s="218">
        <f t="shared" si="25"/>
        <v>0</v>
      </c>
    </row>
    <row r="780" spans="1:17" x14ac:dyDescent="0.35">
      <c r="A780" s="212" t="str">
        <f>COMPOSICIÓN!A780</f>
        <v>PTO-0203</v>
      </c>
      <c r="B780" s="212" t="str">
        <f>COMPOSICIÓN!B780</f>
        <v>MAT</v>
      </c>
      <c r="C780" s="212" t="str">
        <f>COMPOSICIÓN!C780</f>
        <v>OTR</v>
      </c>
      <c r="D780" s="212" t="str">
        <f>COMPOSICIÓN!D780</f>
        <v>OTR-PTO039</v>
      </c>
      <c r="E780" s="212" t="str">
        <f>COMPOSICIÓN!E780</f>
        <v>Excavación manual para vigas de fundación</v>
      </c>
      <c r="F780" s="212" t="str">
        <f>COMPOSICIÓN!F780</f>
        <v>m3</v>
      </c>
      <c r="G780" s="213">
        <f>COMPOSICIÓN!G780</f>
        <v>1</v>
      </c>
      <c r="H780" s="214">
        <f>COMPOSICIÓN!H780</f>
        <v>0</v>
      </c>
      <c r="I780" s="215">
        <f>COMPOSICIÓN!I780</f>
        <v>26000</v>
      </c>
      <c r="J780" s="212" t="str">
        <f>IFERROR(VLOOKUP(A780,PARTIDAS!$A$2:$C$269,3,FALSE()),"")</f>
        <v>MOVIMIENTO DE TIERRA</v>
      </c>
      <c r="K780" s="212" t="str">
        <f>IFERROR(INDEX(PPTO_GENERADOR!$B$4:$B$220,MATCH(A780,PPTO_GENERADOR!$Q$4:$Q$220,0)),"")</f>
        <v>MOVIMIENTO DE TIERRA</v>
      </c>
      <c r="L780" s="216">
        <f>IF(PLAN_ETAPA!$C$4="(TODOS)",SUMIFS(PPTO_GENERADOR!$E$4:$E$220,PPTO_GENERADOR!$Q$4:$Q$220,A780),SUMIFS(PPTO_GENERADOR!$E$4:$E$220,PPTO_GENERADOR!$Q$4:$Q$220,A780,PPTO_GENERADOR!$B$4:$B$220,PLAN_ETAPA!$C$4))</f>
        <v>0</v>
      </c>
      <c r="M780" s="216">
        <f>IFERROR(VLOOKUP(A780,PARTIDAS!$A$2:$F$269,6,FALSE()),1)</f>
        <v>1</v>
      </c>
      <c r="N780" s="216">
        <f>IFERROR(VLOOKUP(A780,PARTIDAS!$A$2:$I$269,9,FALSE()),1)</f>
        <v>1</v>
      </c>
      <c r="O780" s="217">
        <f t="shared" si="24"/>
        <v>0</v>
      </c>
      <c r="P780" s="216">
        <f>IF(O780=0,0,IF(B780="MAT",G780*(1+H780)*L780*PLAN_ETAPA!$C$5,IF(B780="MO",IF(M780=0,0,G780*L780*PLAN_ETAPA!$C$5*N780/M780),IF(B780="EQ",IF(M780=0,0,G780*L780*PLAN_ETAPA!$C$5/M780),0))))</f>
        <v>0</v>
      </c>
      <c r="Q780" s="218">
        <f t="shared" si="25"/>
        <v>0</v>
      </c>
    </row>
    <row r="781" spans="1:17" x14ac:dyDescent="0.35">
      <c r="A781" s="212" t="str">
        <f>COMPOSICIÓN!A781</f>
        <v>PTO-0203</v>
      </c>
      <c r="B781" s="212" t="str">
        <f>COMPOSICIÓN!B781</f>
        <v>MO</v>
      </c>
      <c r="C781" s="212" t="str">
        <f>COMPOSICIÓN!C781</f>
        <v>ALB</v>
      </c>
      <c r="D781" s="212" t="str">
        <f>COMPOSICIÓN!D781</f>
        <v>MO-EAYUD</v>
      </c>
      <c r="E781" s="212" t="str">
        <f>COMPOSICIÓN!E781</f>
        <v>AYUDANTE</v>
      </c>
      <c r="F781" s="212" t="str">
        <f>COMPOSICIÓN!F781</f>
        <v>j</v>
      </c>
      <c r="G781" s="213">
        <f>COMPOSICIÓN!G781</f>
        <v>1</v>
      </c>
      <c r="H781" s="214">
        <f>COMPOSICIÓN!H781</f>
        <v>0</v>
      </c>
      <c r="I781" s="215">
        <f>COMPOSICIÓN!I781</f>
        <v>60860.580776572002</v>
      </c>
      <c r="J781" s="212" t="str">
        <f>IFERROR(VLOOKUP(A781,PARTIDAS!$A$2:$C$269,3,FALSE()),"")</f>
        <v>MOVIMIENTO DE TIERRA</v>
      </c>
      <c r="K781" s="212" t="str">
        <f>IFERROR(INDEX(PPTO_GENERADOR!$B$4:$B$220,MATCH(A781,PPTO_GENERADOR!$Q$4:$Q$220,0)),"")</f>
        <v>MOVIMIENTO DE TIERRA</v>
      </c>
      <c r="L781" s="216">
        <f>IF(PLAN_ETAPA!$C$4="(TODOS)",SUMIFS(PPTO_GENERADOR!$E$4:$E$220,PPTO_GENERADOR!$Q$4:$Q$220,A781),SUMIFS(PPTO_GENERADOR!$E$4:$E$220,PPTO_GENERADOR!$Q$4:$Q$220,A781,PPTO_GENERADOR!$B$4:$B$220,PLAN_ETAPA!$C$4))</f>
        <v>0</v>
      </c>
      <c r="M781" s="216">
        <f>IFERROR(VLOOKUP(A781,PARTIDAS!$A$2:$F$269,6,FALSE()),1)</f>
        <v>1</v>
      </c>
      <c r="N781" s="216">
        <f>IFERROR(VLOOKUP(A781,PARTIDAS!$A$2:$I$269,9,FALSE()),1)</f>
        <v>1</v>
      </c>
      <c r="O781" s="217">
        <f t="shared" si="24"/>
        <v>0</v>
      </c>
      <c r="P781" s="216">
        <f>IF(O781=0,0,IF(B781="MAT",G781*(1+H781)*L781*PLAN_ETAPA!$C$5,IF(B781="MO",IF(M781=0,0,G781*L781*PLAN_ETAPA!$C$5*N781/M781),IF(B781="EQ",IF(M781=0,0,G781*L781*PLAN_ETAPA!$C$5/M781),0))))</f>
        <v>0</v>
      </c>
      <c r="Q781" s="218">
        <f t="shared" si="25"/>
        <v>0</v>
      </c>
    </row>
    <row r="782" spans="1:17" x14ac:dyDescent="0.35">
      <c r="A782" s="212" t="str">
        <f>COMPOSICIÓN!A782</f>
        <v>PTO-0301</v>
      </c>
      <c r="B782" s="212" t="str">
        <f>COMPOSICIÓN!B782</f>
        <v>EQ</v>
      </c>
      <c r="C782" s="212">
        <f>COMPOSICIÓN!C782</f>
        <v>0</v>
      </c>
      <c r="D782" s="212" t="str">
        <f>COMPOSICIÓN!D782</f>
        <v>EQ-PTO035</v>
      </c>
      <c r="E782" s="212" t="str">
        <f>COMPOSICIÓN!E782</f>
        <v>Herramientas menores y consumibles - Hormigón de limpieza - e: 10 cm</v>
      </c>
      <c r="F782" s="212">
        <f>COMPOSICIÓN!F782</f>
        <v>0</v>
      </c>
      <c r="G782" s="213">
        <f>COMPOSICIÓN!G782</f>
        <v>1</v>
      </c>
      <c r="H782" s="214">
        <f>COMPOSICIÓN!H782</f>
        <v>0</v>
      </c>
      <c r="I782" s="215">
        <f>COMPOSICIÓN!I782</f>
        <v>3250.5537282478099</v>
      </c>
      <c r="J782" s="212" t="str">
        <f>IFERROR(VLOOKUP(A782,PARTIDAS!$A$2:$C$269,3,FALSE()),"")</f>
        <v>ESTRUCTURA DE HORMIGÓN ARMADO</v>
      </c>
      <c r="K782" s="212" t="str">
        <f>IFERROR(INDEX(PPTO_GENERADOR!$B$4:$B$220,MATCH(A782,PPTO_GENERADOR!$Q$4:$Q$220,0)),"")</f>
        <v>ESTRUCTURA DE HORMIGÓN ARMADO</v>
      </c>
      <c r="L782" s="216">
        <f>IF(PLAN_ETAPA!$C$4="(TODOS)",SUMIFS(PPTO_GENERADOR!$E$4:$E$220,PPTO_GENERADOR!$Q$4:$Q$220,A782),SUMIFS(PPTO_GENERADOR!$E$4:$E$220,PPTO_GENERADOR!$Q$4:$Q$220,A782,PPTO_GENERADOR!$B$4:$B$220,PLAN_ETAPA!$C$4))</f>
        <v>0</v>
      </c>
      <c r="M782" s="216">
        <f>IFERROR(VLOOKUP(A782,PARTIDAS!$A$2:$F$269,6,FALSE()),1)</f>
        <v>1</v>
      </c>
      <c r="N782" s="216">
        <f>IFERROR(VLOOKUP(A782,PARTIDAS!$A$2:$I$269,9,FALSE()),1)</f>
        <v>1</v>
      </c>
      <c r="O782" s="217">
        <f t="shared" si="24"/>
        <v>0</v>
      </c>
      <c r="P782" s="216">
        <f>IF(O782=0,0,IF(B782="MAT",G782*(1+H782)*L782*PLAN_ETAPA!$C$5,IF(B782="MO",IF(M782=0,0,G782*L782*PLAN_ETAPA!$C$5*N782/M782),IF(B782="EQ",IF(M782=0,0,G782*L782*PLAN_ETAPA!$C$5/M782),0))))</f>
        <v>0</v>
      </c>
      <c r="Q782" s="218">
        <f t="shared" si="25"/>
        <v>0</v>
      </c>
    </row>
    <row r="783" spans="1:17" x14ac:dyDescent="0.35">
      <c r="A783" s="212" t="str">
        <f>COMPOSICIÓN!A783</f>
        <v>PTO-0301</v>
      </c>
      <c r="B783" s="212" t="str">
        <f>COMPOSICIÓN!B783</f>
        <v>MAT</v>
      </c>
      <c r="C783" s="212" t="str">
        <f>COMPOSICIÓN!C783</f>
        <v>OTR</v>
      </c>
      <c r="D783" s="212" t="str">
        <f>COMPOSICIÓN!D783</f>
        <v>OTR-037</v>
      </c>
      <c r="E783" s="212" t="str">
        <f>COMPOSICIÓN!E783</f>
        <v>Bombeo</v>
      </c>
      <c r="F783" s="212" t="str">
        <f>COMPOSICIÓN!F783</f>
        <v>m3</v>
      </c>
      <c r="G783" s="213">
        <f>COMPOSICIÓN!G783</f>
        <v>0</v>
      </c>
      <c r="H783" s="214">
        <f>COMPOSICIÓN!H783</f>
        <v>0</v>
      </c>
      <c r="I783" s="215">
        <f>COMPOSICIÓN!I783</f>
        <v>5330</v>
      </c>
      <c r="J783" s="212" t="str">
        <f>IFERROR(VLOOKUP(A783,PARTIDAS!$A$2:$C$269,3,FALSE()),"")</f>
        <v>ESTRUCTURA DE HORMIGÓN ARMADO</v>
      </c>
      <c r="K783" s="212" t="str">
        <f>IFERROR(INDEX(PPTO_GENERADOR!$B$4:$B$220,MATCH(A783,PPTO_GENERADOR!$Q$4:$Q$220,0)),"")</f>
        <v>ESTRUCTURA DE HORMIGÓN ARMADO</v>
      </c>
      <c r="L783" s="216">
        <f>IF(PLAN_ETAPA!$C$4="(TODOS)",SUMIFS(PPTO_GENERADOR!$E$4:$E$220,PPTO_GENERADOR!$Q$4:$Q$220,A783),SUMIFS(PPTO_GENERADOR!$E$4:$E$220,PPTO_GENERADOR!$Q$4:$Q$220,A783,PPTO_GENERADOR!$B$4:$B$220,PLAN_ETAPA!$C$4))</f>
        <v>0</v>
      </c>
      <c r="M783" s="216">
        <f>IFERROR(VLOOKUP(A783,PARTIDAS!$A$2:$F$269,6,FALSE()),1)</f>
        <v>1</v>
      </c>
      <c r="N783" s="216">
        <f>IFERROR(VLOOKUP(A783,PARTIDAS!$A$2:$I$269,9,FALSE()),1)</f>
        <v>1</v>
      </c>
      <c r="O783" s="217">
        <f t="shared" si="24"/>
        <v>0</v>
      </c>
      <c r="P783" s="216">
        <f>IF(O783=0,0,IF(B783="MAT",G783*(1+H783)*L783*PLAN_ETAPA!$C$5,IF(B783="MO",IF(M783=0,0,G783*L783*PLAN_ETAPA!$C$5*N783/M783),IF(B783="EQ",IF(M783=0,0,G783*L783*PLAN_ETAPA!$C$5/M783),0))))</f>
        <v>0</v>
      </c>
      <c r="Q783" s="218">
        <f t="shared" si="25"/>
        <v>0</v>
      </c>
    </row>
    <row r="784" spans="1:17" x14ac:dyDescent="0.35">
      <c r="A784" s="212" t="str">
        <f>COMPOSICIÓN!A784</f>
        <v>PTO-0301</v>
      </c>
      <c r="B784" s="212" t="str">
        <f>COMPOSICIÓN!B784</f>
        <v>MAT</v>
      </c>
      <c r="C784" s="212" t="str">
        <f>COMPOSICIÓN!C784</f>
        <v>OTR</v>
      </c>
      <c r="D784" s="212" t="str">
        <f>COMPOSICIÓN!D784</f>
        <v>OTR-PTO040</v>
      </c>
      <c r="E784" s="212" t="str">
        <f>COMPOSICIÓN!E784</f>
        <v>H8</v>
      </c>
      <c r="F784" s="212" t="str">
        <f>COMPOSICIÓN!F784</f>
        <v>m3</v>
      </c>
      <c r="G784" s="213">
        <f>COMPOSICIÓN!G784</f>
        <v>1</v>
      </c>
      <c r="H784" s="214">
        <f>COMPOSICIÓN!H784</f>
        <v>0</v>
      </c>
      <c r="I784" s="215">
        <f>COMPOSICIÓN!I784</f>
        <v>115100</v>
      </c>
      <c r="J784" s="212" t="str">
        <f>IFERROR(VLOOKUP(A784,PARTIDAS!$A$2:$C$269,3,FALSE()),"")</f>
        <v>ESTRUCTURA DE HORMIGÓN ARMADO</v>
      </c>
      <c r="K784" s="212" t="str">
        <f>IFERROR(INDEX(PPTO_GENERADOR!$B$4:$B$220,MATCH(A784,PPTO_GENERADOR!$Q$4:$Q$220,0)),"")</f>
        <v>ESTRUCTURA DE HORMIGÓN ARMADO</v>
      </c>
      <c r="L784" s="216">
        <f>IF(PLAN_ETAPA!$C$4="(TODOS)",SUMIFS(PPTO_GENERADOR!$E$4:$E$220,PPTO_GENERADOR!$Q$4:$Q$220,A784),SUMIFS(PPTO_GENERADOR!$E$4:$E$220,PPTO_GENERADOR!$Q$4:$Q$220,A784,PPTO_GENERADOR!$B$4:$B$220,PLAN_ETAPA!$C$4))</f>
        <v>0</v>
      </c>
      <c r="M784" s="216">
        <f>IFERROR(VLOOKUP(A784,PARTIDAS!$A$2:$F$269,6,FALSE()),1)</f>
        <v>1</v>
      </c>
      <c r="N784" s="216">
        <f>IFERROR(VLOOKUP(A784,PARTIDAS!$A$2:$I$269,9,FALSE()),1)</f>
        <v>1</v>
      </c>
      <c r="O784" s="217">
        <f t="shared" si="24"/>
        <v>0</v>
      </c>
      <c r="P784" s="216">
        <f>IF(O784=0,0,IF(B784="MAT",G784*(1+H784)*L784*PLAN_ETAPA!$C$5,IF(B784="MO",IF(M784=0,0,G784*L784*PLAN_ETAPA!$C$5*N784/M784),IF(B784="EQ",IF(M784=0,0,G784*L784*PLAN_ETAPA!$C$5/M784),0))))</f>
        <v>0</v>
      </c>
      <c r="Q784" s="218">
        <f t="shared" si="25"/>
        <v>0</v>
      </c>
    </row>
    <row r="785" spans="1:17" x14ac:dyDescent="0.35">
      <c r="A785" s="212" t="str">
        <f>COMPOSICIÓN!A785</f>
        <v>PTO-0301</v>
      </c>
      <c r="B785" s="212" t="str">
        <f>COMPOSICIÓN!B785</f>
        <v>MAT</v>
      </c>
      <c r="C785" s="212" t="str">
        <f>COMPOSICIÓN!C785</f>
        <v>OTR</v>
      </c>
      <c r="D785" s="212" t="str">
        <f>COMPOSICIÓN!D785</f>
        <v>OTR-PTO041</v>
      </c>
      <c r="E785" s="212" t="str">
        <f>COMPOSICIÓN!E785</f>
        <v>Bomba</v>
      </c>
      <c r="F785" s="212" t="str">
        <f>COMPOSICIÓN!F785</f>
        <v>u</v>
      </c>
      <c r="G785" s="213">
        <f>COMPOSICIÓN!G785</f>
        <v>0</v>
      </c>
      <c r="H785" s="214">
        <f>COMPOSICIÓN!H785</f>
        <v>0</v>
      </c>
      <c r="I785" s="215">
        <f>COMPOSICIÓN!I785</f>
        <v>533000</v>
      </c>
      <c r="J785" s="212" t="str">
        <f>IFERROR(VLOOKUP(A785,PARTIDAS!$A$2:$C$269,3,FALSE()),"")</f>
        <v>ESTRUCTURA DE HORMIGÓN ARMADO</v>
      </c>
      <c r="K785" s="212" t="str">
        <f>IFERROR(INDEX(PPTO_GENERADOR!$B$4:$B$220,MATCH(A785,PPTO_GENERADOR!$Q$4:$Q$220,0)),"")</f>
        <v>ESTRUCTURA DE HORMIGÓN ARMADO</v>
      </c>
      <c r="L785" s="216">
        <f>IF(PLAN_ETAPA!$C$4="(TODOS)",SUMIFS(PPTO_GENERADOR!$E$4:$E$220,PPTO_GENERADOR!$Q$4:$Q$220,A785),SUMIFS(PPTO_GENERADOR!$E$4:$E$220,PPTO_GENERADOR!$Q$4:$Q$220,A785,PPTO_GENERADOR!$B$4:$B$220,PLAN_ETAPA!$C$4))</f>
        <v>0</v>
      </c>
      <c r="M785" s="216">
        <f>IFERROR(VLOOKUP(A785,PARTIDAS!$A$2:$F$269,6,FALSE()),1)</f>
        <v>1</v>
      </c>
      <c r="N785" s="216">
        <f>IFERROR(VLOOKUP(A785,PARTIDAS!$A$2:$I$269,9,FALSE()),1)</f>
        <v>1</v>
      </c>
      <c r="O785" s="217">
        <f t="shared" si="24"/>
        <v>0</v>
      </c>
      <c r="P785" s="216">
        <f>IF(O785=0,0,IF(B785="MAT",G785*(1+H785)*L785*PLAN_ETAPA!$C$5,IF(B785="MO",IF(M785=0,0,G785*L785*PLAN_ETAPA!$C$5*N785/M785),IF(B785="EQ",IF(M785=0,0,G785*L785*PLAN_ETAPA!$C$5/M785),0))))</f>
        <v>0</v>
      </c>
      <c r="Q785" s="218">
        <f t="shared" si="25"/>
        <v>0</v>
      </c>
    </row>
    <row r="786" spans="1:17" x14ac:dyDescent="0.35">
      <c r="A786" s="212" t="str">
        <f>COMPOSICIÓN!A786</f>
        <v>PTO-0301</v>
      </c>
      <c r="B786" s="212" t="str">
        <f>COMPOSICIÓN!B786</f>
        <v>MO</v>
      </c>
      <c r="C786" s="212" t="str">
        <f>COMPOSICIÓN!C786</f>
        <v>ALB</v>
      </c>
      <c r="D786" s="212" t="str">
        <f>COMPOSICIÓN!D786</f>
        <v>MO-EAYUD</v>
      </c>
      <c r="E786" s="212" t="str">
        <f>COMPOSICIÓN!E786</f>
        <v>AYUDANTE</v>
      </c>
      <c r="F786" s="212" t="str">
        <f>COMPOSICIÓN!F786</f>
        <v>j</v>
      </c>
      <c r="G786" s="213">
        <f>COMPOSICIÓN!G786</f>
        <v>0.76923076923076905</v>
      </c>
      <c r="H786" s="214">
        <f>COMPOSICIÓN!H786</f>
        <v>0</v>
      </c>
      <c r="I786" s="215">
        <f>COMPOSICIÓN!I786</f>
        <v>60860.580776572002</v>
      </c>
      <c r="J786" s="212" t="str">
        <f>IFERROR(VLOOKUP(A786,PARTIDAS!$A$2:$C$269,3,FALSE()),"")</f>
        <v>ESTRUCTURA DE HORMIGÓN ARMADO</v>
      </c>
      <c r="K786" s="212" t="str">
        <f>IFERROR(INDEX(PPTO_GENERADOR!$B$4:$B$220,MATCH(A786,PPTO_GENERADOR!$Q$4:$Q$220,0)),"")</f>
        <v>ESTRUCTURA DE HORMIGÓN ARMADO</v>
      </c>
      <c r="L786" s="216">
        <f>IF(PLAN_ETAPA!$C$4="(TODOS)",SUMIFS(PPTO_GENERADOR!$E$4:$E$220,PPTO_GENERADOR!$Q$4:$Q$220,A786),SUMIFS(PPTO_GENERADOR!$E$4:$E$220,PPTO_GENERADOR!$Q$4:$Q$220,A786,PPTO_GENERADOR!$B$4:$B$220,PLAN_ETAPA!$C$4))</f>
        <v>0</v>
      </c>
      <c r="M786" s="216">
        <f>IFERROR(VLOOKUP(A786,PARTIDAS!$A$2:$F$269,6,FALSE()),1)</f>
        <v>1</v>
      </c>
      <c r="N786" s="216">
        <f>IFERROR(VLOOKUP(A786,PARTIDAS!$A$2:$I$269,9,FALSE()),1)</f>
        <v>1</v>
      </c>
      <c r="O786" s="217">
        <f t="shared" si="24"/>
        <v>0</v>
      </c>
      <c r="P786" s="216">
        <f>IF(O786=0,0,IF(B786="MAT",G786*(1+H786)*L786*PLAN_ETAPA!$C$5,IF(B786="MO",IF(M786=0,0,G786*L786*PLAN_ETAPA!$C$5*N786/M786),IF(B786="EQ",IF(M786=0,0,G786*L786*PLAN_ETAPA!$C$5/M786),0))))</f>
        <v>0</v>
      </c>
      <c r="Q786" s="218">
        <f t="shared" si="25"/>
        <v>0</v>
      </c>
    </row>
    <row r="787" spans="1:17" x14ac:dyDescent="0.35">
      <c r="A787" s="212" t="str">
        <f>COMPOSICIÓN!A787</f>
        <v>PTO-0301</v>
      </c>
      <c r="B787" s="212" t="str">
        <f>COMPOSICIÓN!B787</f>
        <v>MO</v>
      </c>
      <c r="C787" s="212" t="str">
        <f>COMPOSICIÓN!C787</f>
        <v>ALB</v>
      </c>
      <c r="D787" s="212" t="str">
        <f>COMPOSICIÓN!D787</f>
        <v>MO-EMEDI</v>
      </c>
      <c r="E787" s="212" t="str">
        <f>COMPOSICIÓN!E787</f>
        <v>MEDIO OFICIAL</v>
      </c>
      <c r="F787" s="212" t="str">
        <f>COMPOSICIÓN!F787</f>
        <v>j</v>
      </c>
      <c r="G787" s="213">
        <f>COMPOSICIÓN!G787</f>
        <v>0.38461538461538503</v>
      </c>
      <c r="H787" s="214">
        <f>COMPOSICIÓN!H787</f>
        <v>0</v>
      </c>
      <c r="I787" s="215">
        <f>COMPOSICIÓN!I787</f>
        <v>65493.071636572</v>
      </c>
      <c r="J787" s="212" t="str">
        <f>IFERROR(VLOOKUP(A787,PARTIDAS!$A$2:$C$269,3,FALSE()),"")</f>
        <v>ESTRUCTURA DE HORMIGÓN ARMADO</v>
      </c>
      <c r="K787" s="212" t="str">
        <f>IFERROR(INDEX(PPTO_GENERADOR!$B$4:$B$220,MATCH(A787,PPTO_GENERADOR!$Q$4:$Q$220,0)),"")</f>
        <v>ESTRUCTURA DE HORMIGÓN ARMADO</v>
      </c>
      <c r="L787" s="216">
        <f>IF(PLAN_ETAPA!$C$4="(TODOS)",SUMIFS(PPTO_GENERADOR!$E$4:$E$220,PPTO_GENERADOR!$Q$4:$Q$220,A787),SUMIFS(PPTO_GENERADOR!$E$4:$E$220,PPTO_GENERADOR!$Q$4:$Q$220,A787,PPTO_GENERADOR!$B$4:$B$220,PLAN_ETAPA!$C$4))</f>
        <v>0</v>
      </c>
      <c r="M787" s="216">
        <f>IFERROR(VLOOKUP(A787,PARTIDAS!$A$2:$F$269,6,FALSE()),1)</f>
        <v>1</v>
      </c>
      <c r="N787" s="216">
        <f>IFERROR(VLOOKUP(A787,PARTIDAS!$A$2:$I$269,9,FALSE()),1)</f>
        <v>1</v>
      </c>
      <c r="O787" s="217">
        <f t="shared" si="24"/>
        <v>0</v>
      </c>
      <c r="P787" s="216">
        <f>IF(O787=0,0,IF(B787="MAT",G787*(1+H787)*L787*PLAN_ETAPA!$C$5,IF(B787="MO",IF(M787=0,0,G787*L787*PLAN_ETAPA!$C$5*N787/M787),IF(B787="EQ",IF(M787=0,0,G787*L787*PLAN_ETAPA!$C$5/M787),0))))</f>
        <v>0</v>
      </c>
      <c r="Q787" s="218">
        <f t="shared" si="25"/>
        <v>0</v>
      </c>
    </row>
    <row r="788" spans="1:17" x14ac:dyDescent="0.35">
      <c r="A788" s="212" t="str">
        <f>COMPOSICIÓN!A788</f>
        <v>PTO-0301</v>
      </c>
      <c r="B788" s="212" t="str">
        <f>COMPOSICIÓN!B788</f>
        <v>MO</v>
      </c>
      <c r="C788" s="212" t="str">
        <f>COMPOSICIÓN!C788</f>
        <v>ALB</v>
      </c>
      <c r="D788" s="212" t="str">
        <f>COMPOSICIÓN!D788</f>
        <v>MO-EOFIC</v>
      </c>
      <c r="E788" s="212" t="str">
        <f>COMPOSICIÓN!E788</f>
        <v>OFICIAL</v>
      </c>
      <c r="F788" s="212" t="str">
        <f>COMPOSICIÓN!F788</f>
        <v>j</v>
      </c>
      <c r="G788" s="213">
        <f>COMPOSICIÓN!G788</f>
        <v>0.38461538461538503</v>
      </c>
      <c r="H788" s="214">
        <f>COMPOSICIÓN!H788</f>
        <v>0</v>
      </c>
      <c r="I788" s="215">
        <f>COMPOSICIÓN!I788</f>
        <v>76955.079706571996</v>
      </c>
      <c r="J788" s="212" t="str">
        <f>IFERROR(VLOOKUP(A788,PARTIDAS!$A$2:$C$269,3,FALSE()),"")</f>
        <v>ESTRUCTURA DE HORMIGÓN ARMADO</v>
      </c>
      <c r="K788" s="212" t="str">
        <f>IFERROR(INDEX(PPTO_GENERADOR!$B$4:$B$220,MATCH(A788,PPTO_GENERADOR!$Q$4:$Q$220,0)),"")</f>
        <v>ESTRUCTURA DE HORMIGÓN ARMADO</v>
      </c>
      <c r="L788" s="216">
        <f>IF(PLAN_ETAPA!$C$4="(TODOS)",SUMIFS(PPTO_GENERADOR!$E$4:$E$220,PPTO_GENERADOR!$Q$4:$Q$220,A788),SUMIFS(PPTO_GENERADOR!$E$4:$E$220,PPTO_GENERADOR!$Q$4:$Q$220,A788,PPTO_GENERADOR!$B$4:$B$220,PLAN_ETAPA!$C$4))</f>
        <v>0</v>
      </c>
      <c r="M788" s="216">
        <f>IFERROR(VLOOKUP(A788,PARTIDAS!$A$2:$F$269,6,FALSE()),1)</f>
        <v>1</v>
      </c>
      <c r="N788" s="216">
        <f>IFERROR(VLOOKUP(A788,PARTIDAS!$A$2:$I$269,9,FALSE()),1)</f>
        <v>1</v>
      </c>
      <c r="O788" s="217">
        <f t="shared" si="24"/>
        <v>0</v>
      </c>
      <c r="P788" s="216">
        <f>IF(O788=0,0,IF(B788="MAT",G788*(1+H788)*L788*PLAN_ETAPA!$C$5,IF(B788="MO",IF(M788=0,0,G788*L788*PLAN_ETAPA!$C$5*N788/M788),IF(B788="EQ",IF(M788=0,0,G788*L788*PLAN_ETAPA!$C$5/M788),0))))</f>
        <v>0</v>
      </c>
      <c r="Q788" s="218">
        <f t="shared" si="25"/>
        <v>0</v>
      </c>
    </row>
    <row r="789" spans="1:17" x14ac:dyDescent="0.35">
      <c r="A789" s="212" t="str">
        <f>COMPOSICIÓN!A789</f>
        <v>PTO-0302</v>
      </c>
      <c r="B789" s="212" t="str">
        <f>COMPOSICIÓN!B789</f>
        <v>EQ</v>
      </c>
      <c r="C789" s="212">
        <f>COMPOSICIÓN!C789</f>
        <v>0</v>
      </c>
      <c r="D789" s="212" t="str">
        <f>COMPOSICIÓN!D789</f>
        <v>EQ-PTO036</v>
      </c>
      <c r="E789" s="212" t="str">
        <f>COMPOSICIÓN!E789</f>
        <v>Herramientas menores y consumibles - Pilotes de tracción Ø 20 cm - (120 kg/m3 de hierro</v>
      </c>
      <c r="F789" s="212">
        <f>COMPOSICIÓN!F789</f>
        <v>0</v>
      </c>
      <c r="G789" s="213">
        <f>COMPOSICIÓN!G789</f>
        <v>1</v>
      </c>
      <c r="H789" s="214">
        <f>COMPOSICIÓN!H789</f>
        <v>0</v>
      </c>
      <c r="I789" s="215">
        <f>COMPOSICIÓN!I789</f>
        <v>5108.5619451599996</v>
      </c>
      <c r="J789" s="212" t="str">
        <f>IFERROR(VLOOKUP(A789,PARTIDAS!$A$2:$C$269,3,FALSE()),"")</f>
        <v>ESTRUCTURA DE HORMIGÓN ARMADO</v>
      </c>
      <c r="K789" s="212" t="str">
        <f>IFERROR(INDEX(PPTO_GENERADOR!$B$4:$B$220,MATCH(A789,PPTO_GENERADOR!$Q$4:$Q$220,0)),"")</f>
        <v>ESTRUCTURA DE HORMIGÓN ARMADO</v>
      </c>
      <c r="L789" s="216">
        <f>IF(PLAN_ETAPA!$C$4="(TODOS)",SUMIFS(PPTO_GENERADOR!$E$4:$E$220,PPTO_GENERADOR!$Q$4:$Q$220,A789),SUMIFS(PPTO_GENERADOR!$E$4:$E$220,PPTO_GENERADOR!$Q$4:$Q$220,A789,PPTO_GENERADOR!$B$4:$B$220,PLAN_ETAPA!$C$4))</f>
        <v>0</v>
      </c>
      <c r="M789" s="216">
        <f>IFERROR(VLOOKUP(A789,PARTIDAS!$A$2:$F$269,6,FALSE()),1)</f>
        <v>1</v>
      </c>
      <c r="N789" s="216">
        <f>IFERROR(VLOOKUP(A789,PARTIDAS!$A$2:$I$269,9,FALSE()),1)</f>
        <v>1</v>
      </c>
      <c r="O789" s="217">
        <f t="shared" si="24"/>
        <v>0</v>
      </c>
      <c r="P789" s="216">
        <f>IF(O789=0,0,IF(B789="MAT",G789*(1+H789)*L789*PLAN_ETAPA!$C$5,IF(B789="MO",IF(M789=0,0,G789*L789*PLAN_ETAPA!$C$5*N789/M789),IF(B789="EQ",IF(M789=0,0,G789*L789*PLAN_ETAPA!$C$5/M789),0))))</f>
        <v>0</v>
      </c>
      <c r="Q789" s="218">
        <f t="shared" si="25"/>
        <v>0</v>
      </c>
    </row>
    <row r="790" spans="1:17" x14ac:dyDescent="0.35">
      <c r="A790" s="212" t="str">
        <f>COMPOSICIÓN!A790</f>
        <v>PTO-0302</v>
      </c>
      <c r="B790" s="212" t="str">
        <f>COMPOSICIÓN!B790</f>
        <v>MAT</v>
      </c>
      <c r="C790" s="212" t="str">
        <f>COMPOSICIÓN!C790</f>
        <v>OTR</v>
      </c>
      <c r="D790" s="212" t="str">
        <f>COMPOSICIÓN!D790</f>
        <v>MAT-CONS</v>
      </c>
      <c r="E790" s="212" t="str">
        <f>COMPOSICIÓN!E790</f>
        <v>Consumibles</v>
      </c>
      <c r="F790" s="212" t="str">
        <f>COMPOSICIÓN!F790</f>
        <v>gl</v>
      </c>
      <c r="G790" s="213">
        <f>COMPOSICIÓN!G790</f>
        <v>4312.8950640000003</v>
      </c>
      <c r="H790" s="214">
        <f>COMPOSICIÓN!H790</f>
        <v>0</v>
      </c>
      <c r="I790" s="215">
        <f>COMPOSICIÓN!I790</f>
        <v>1</v>
      </c>
      <c r="J790" s="212" t="str">
        <f>IFERROR(VLOOKUP(A790,PARTIDAS!$A$2:$C$269,3,FALSE()),"")</f>
        <v>ESTRUCTURA DE HORMIGÓN ARMADO</v>
      </c>
      <c r="K790" s="212" t="str">
        <f>IFERROR(INDEX(PPTO_GENERADOR!$B$4:$B$220,MATCH(A790,PPTO_GENERADOR!$Q$4:$Q$220,0)),"")</f>
        <v>ESTRUCTURA DE HORMIGÓN ARMADO</v>
      </c>
      <c r="L790" s="216">
        <f>IF(PLAN_ETAPA!$C$4="(TODOS)",SUMIFS(PPTO_GENERADOR!$E$4:$E$220,PPTO_GENERADOR!$Q$4:$Q$220,A790),SUMIFS(PPTO_GENERADOR!$E$4:$E$220,PPTO_GENERADOR!$Q$4:$Q$220,A790,PPTO_GENERADOR!$B$4:$B$220,PLAN_ETAPA!$C$4))</f>
        <v>0</v>
      </c>
      <c r="M790" s="216">
        <f>IFERROR(VLOOKUP(A790,PARTIDAS!$A$2:$F$269,6,FALSE()),1)</f>
        <v>1</v>
      </c>
      <c r="N790" s="216">
        <f>IFERROR(VLOOKUP(A790,PARTIDAS!$A$2:$I$269,9,FALSE()),1)</f>
        <v>1</v>
      </c>
      <c r="O790" s="217">
        <f t="shared" si="24"/>
        <v>0</v>
      </c>
      <c r="P790" s="216">
        <f>IF(O790=0,0,IF(B790="MAT",G790*(1+H790)*L790*PLAN_ETAPA!$C$5,IF(B790="MO",IF(M790=0,0,G790*L790*PLAN_ETAPA!$C$5*N790/M790),IF(B790="EQ",IF(M790=0,0,G790*L790*PLAN_ETAPA!$C$5/M790),0))))</f>
        <v>0</v>
      </c>
      <c r="Q790" s="218">
        <f t="shared" si="25"/>
        <v>0</v>
      </c>
    </row>
    <row r="791" spans="1:17" x14ac:dyDescent="0.35">
      <c r="A791" s="212" t="str">
        <f>COMPOSICIÓN!A791</f>
        <v>PTO-0302</v>
      </c>
      <c r="B791" s="212" t="str">
        <f>COMPOSICIÓN!B791</f>
        <v>MAT</v>
      </c>
      <c r="C791" s="212" t="str">
        <f>COMPOSICIÓN!C791</f>
        <v>OTR</v>
      </c>
      <c r="D791" s="212" t="str">
        <f>COMPOSICIÓN!D791</f>
        <v>OTR-PTO042</v>
      </c>
      <c r="E791" s="212" t="str">
        <f>COMPOSICIÓN!E791</f>
        <v>Hierro del 6</v>
      </c>
      <c r="F791" s="212" t="str">
        <f>COMPOSICIÓN!F791</f>
        <v>kg</v>
      </c>
      <c r="G791" s="213">
        <f>COMPOSICIÓN!G791</f>
        <v>22.608000000000001</v>
      </c>
      <c r="H791" s="214">
        <f>COMPOSICIÓN!H791</f>
        <v>0</v>
      </c>
      <c r="I791" s="215">
        <f>COMPOSICIÓN!I791</f>
        <v>1704.41</v>
      </c>
      <c r="J791" s="212" t="str">
        <f>IFERROR(VLOOKUP(A791,PARTIDAS!$A$2:$C$269,3,FALSE()),"")</f>
        <v>ESTRUCTURA DE HORMIGÓN ARMADO</v>
      </c>
      <c r="K791" s="212" t="str">
        <f>IFERROR(INDEX(PPTO_GENERADOR!$B$4:$B$220,MATCH(A791,PPTO_GENERADOR!$Q$4:$Q$220,0)),"")</f>
        <v>ESTRUCTURA DE HORMIGÓN ARMADO</v>
      </c>
      <c r="L791" s="216">
        <f>IF(PLAN_ETAPA!$C$4="(TODOS)",SUMIFS(PPTO_GENERADOR!$E$4:$E$220,PPTO_GENERADOR!$Q$4:$Q$220,A791),SUMIFS(PPTO_GENERADOR!$E$4:$E$220,PPTO_GENERADOR!$Q$4:$Q$220,A791,PPTO_GENERADOR!$B$4:$B$220,PLAN_ETAPA!$C$4))</f>
        <v>0</v>
      </c>
      <c r="M791" s="216">
        <f>IFERROR(VLOOKUP(A791,PARTIDAS!$A$2:$F$269,6,FALSE()),1)</f>
        <v>1</v>
      </c>
      <c r="N791" s="216">
        <f>IFERROR(VLOOKUP(A791,PARTIDAS!$A$2:$I$269,9,FALSE()),1)</f>
        <v>1</v>
      </c>
      <c r="O791" s="217">
        <f t="shared" si="24"/>
        <v>0</v>
      </c>
      <c r="P791" s="216">
        <f>IF(O791=0,0,IF(B791="MAT",G791*(1+H791)*L791*PLAN_ETAPA!$C$5,IF(B791="MO",IF(M791=0,0,G791*L791*PLAN_ETAPA!$C$5*N791/M791),IF(B791="EQ",IF(M791=0,0,G791*L791*PLAN_ETAPA!$C$5/M791),0))))</f>
        <v>0</v>
      </c>
      <c r="Q791" s="218">
        <f t="shared" si="25"/>
        <v>0</v>
      </c>
    </row>
    <row r="792" spans="1:17" x14ac:dyDescent="0.35">
      <c r="A792" s="212" t="str">
        <f>COMPOSICIÓN!A792</f>
        <v>PTO-0302</v>
      </c>
      <c r="B792" s="212" t="str">
        <f>COMPOSICIÓN!B792</f>
        <v>MAT</v>
      </c>
      <c r="C792" s="212" t="str">
        <f>COMPOSICIÓN!C792</f>
        <v>OTR</v>
      </c>
      <c r="D792" s="212" t="str">
        <f>COMPOSICIÓN!D792</f>
        <v>OTR-PTO043</v>
      </c>
      <c r="E792" s="212" t="str">
        <f>COMPOSICIÓN!E792</f>
        <v>CEMENTO AVELLANEDA x 50 KG</v>
      </c>
      <c r="F792" s="212" t="str">
        <f>COMPOSICIÓN!F792</f>
        <v>bol</v>
      </c>
      <c r="G792" s="213">
        <f>COMPOSICIÓN!G792</f>
        <v>6.1111111111111098</v>
      </c>
      <c r="H792" s="214">
        <f>COMPOSICIÓN!H792</f>
        <v>0</v>
      </c>
      <c r="I792" s="215">
        <f>COMPOSICIÓN!I792</f>
        <v>7809.48</v>
      </c>
      <c r="J792" s="212" t="str">
        <f>IFERROR(VLOOKUP(A792,PARTIDAS!$A$2:$C$269,3,FALSE()),"")</f>
        <v>ESTRUCTURA DE HORMIGÓN ARMADO</v>
      </c>
      <c r="K792" s="212" t="str">
        <f>IFERROR(INDEX(PPTO_GENERADOR!$B$4:$B$220,MATCH(A792,PPTO_GENERADOR!$Q$4:$Q$220,0)),"")</f>
        <v>ESTRUCTURA DE HORMIGÓN ARMADO</v>
      </c>
      <c r="L792" s="216">
        <f>IF(PLAN_ETAPA!$C$4="(TODOS)",SUMIFS(PPTO_GENERADOR!$E$4:$E$220,PPTO_GENERADOR!$Q$4:$Q$220,A792),SUMIFS(PPTO_GENERADOR!$E$4:$E$220,PPTO_GENERADOR!$Q$4:$Q$220,A792,PPTO_GENERADOR!$B$4:$B$220,PLAN_ETAPA!$C$4))</f>
        <v>0</v>
      </c>
      <c r="M792" s="216">
        <f>IFERROR(VLOOKUP(A792,PARTIDAS!$A$2:$F$269,6,FALSE()),1)</f>
        <v>1</v>
      </c>
      <c r="N792" s="216">
        <f>IFERROR(VLOOKUP(A792,PARTIDAS!$A$2:$I$269,9,FALSE()),1)</f>
        <v>1</v>
      </c>
      <c r="O792" s="217">
        <f t="shared" si="24"/>
        <v>0</v>
      </c>
      <c r="P792" s="216">
        <f>IF(O792=0,0,IF(B792="MAT",G792*(1+H792)*L792*PLAN_ETAPA!$C$5,IF(B792="MO",IF(M792=0,0,G792*L792*PLAN_ETAPA!$C$5*N792/M792),IF(B792="EQ",IF(M792=0,0,G792*L792*PLAN_ETAPA!$C$5/M792),0))))</f>
        <v>0</v>
      </c>
      <c r="Q792" s="218">
        <f t="shared" si="25"/>
        <v>0</v>
      </c>
    </row>
    <row r="793" spans="1:17" x14ac:dyDescent="0.35">
      <c r="A793" s="212" t="str">
        <f>COMPOSICIÓN!A793</f>
        <v>PTO-0302</v>
      </c>
      <c r="B793" s="212" t="str">
        <f>COMPOSICIÓN!B793</f>
        <v>MO</v>
      </c>
      <c r="C793" s="212" t="str">
        <f>COMPOSICIÓN!C793</f>
        <v>OTR</v>
      </c>
      <c r="D793" s="212" t="str">
        <f>COMPOSICIÓN!D793</f>
        <v>SUB-PTO007</v>
      </c>
      <c r="E793" s="212" t="str">
        <f>COMPOSICIÓN!E793</f>
        <v>M.O</v>
      </c>
      <c r="F793" s="212" t="str">
        <f>COMPOSICIÓN!F793</f>
        <v>j</v>
      </c>
      <c r="G793" s="213">
        <f>COMPOSICIÓN!G793</f>
        <v>5.5555555555555601E-2</v>
      </c>
      <c r="H793" s="214">
        <f>COMPOSICIÓN!H793</f>
        <v>0</v>
      </c>
      <c r="I793" s="215">
        <f>COMPOSICIÓN!I793</f>
        <v>4500000</v>
      </c>
      <c r="J793" s="212" t="str">
        <f>IFERROR(VLOOKUP(A793,PARTIDAS!$A$2:$C$269,3,FALSE()),"")</f>
        <v>ESTRUCTURA DE HORMIGÓN ARMADO</v>
      </c>
      <c r="K793" s="212" t="str">
        <f>IFERROR(INDEX(PPTO_GENERADOR!$B$4:$B$220,MATCH(A793,PPTO_GENERADOR!$Q$4:$Q$220,0)),"")</f>
        <v>ESTRUCTURA DE HORMIGÓN ARMADO</v>
      </c>
      <c r="L793" s="216">
        <f>IF(PLAN_ETAPA!$C$4="(TODOS)",SUMIFS(PPTO_GENERADOR!$E$4:$E$220,PPTO_GENERADOR!$Q$4:$Q$220,A793),SUMIFS(PPTO_GENERADOR!$E$4:$E$220,PPTO_GENERADOR!$Q$4:$Q$220,A793,PPTO_GENERADOR!$B$4:$B$220,PLAN_ETAPA!$C$4))</f>
        <v>0</v>
      </c>
      <c r="M793" s="216">
        <f>IFERROR(VLOOKUP(A793,PARTIDAS!$A$2:$F$269,6,FALSE()),1)</f>
        <v>1</v>
      </c>
      <c r="N793" s="216">
        <f>IFERROR(VLOOKUP(A793,PARTIDAS!$A$2:$I$269,9,FALSE()),1)</f>
        <v>1</v>
      </c>
      <c r="O793" s="217">
        <f t="shared" si="24"/>
        <v>0</v>
      </c>
      <c r="P793" s="216">
        <f>IF(O793=0,0,IF(B793="MAT",G793*(1+H793)*L793*PLAN_ETAPA!$C$5,IF(B793="MO",IF(M793=0,0,G793*L793*PLAN_ETAPA!$C$5*N793/M793),IF(B793="EQ",IF(M793=0,0,G793*L793*PLAN_ETAPA!$C$5/M793),0))))</f>
        <v>0</v>
      </c>
      <c r="Q793" s="218">
        <f t="shared" si="25"/>
        <v>0</v>
      </c>
    </row>
    <row r="794" spans="1:17" x14ac:dyDescent="0.35">
      <c r="A794" s="212" t="str">
        <f>COMPOSICIÓN!A794</f>
        <v>PTO-0303</v>
      </c>
      <c r="B794" s="212" t="str">
        <f>COMPOSICIÓN!B794</f>
        <v>EQ</v>
      </c>
      <c r="C794" s="212">
        <f>COMPOSICIÓN!C794</f>
        <v>0</v>
      </c>
      <c r="D794" s="212" t="str">
        <f>COMPOSICIÓN!D794</f>
        <v>EQ-PTO005</v>
      </c>
      <c r="E794" s="212" t="str">
        <f>COMPOSICIÓN!E794</f>
        <v>Herramientas y consumibles Tabique submuración - H35 (95 kg/m3 de hierro)</v>
      </c>
      <c r="F794" s="212">
        <f>COMPOSICIÓN!F794</f>
        <v>0</v>
      </c>
      <c r="G794" s="213">
        <f>COMPOSICIÓN!G794</f>
        <v>1</v>
      </c>
      <c r="H794" s="214">
        <f>COMPOSICIÓN!H794</f>
        <v>0</v>
      </c>
      <c r="I794" s="215">
        <f>COMPOSICIÓN!I794</f>
        <v>11395.701623995201</v>
      </c>
      <c r="J794" s="212" t="str">
        <f>IFERROR(VLOOKUP(A794,PARTIDAS!$A$2:$C$269,3,FALSE()),"")</f>
        <v>ESTRUCTURA DE HORMIGÓN ARMADO</v>
      </c>
      <c r="K794" s="212" t="str">
        <f>IFERROR(INDEX(PPTO_GENERADOR!$B$4:$B$220,MATCH(A794,PPTO_GENERADOR!$Q$4:$Q$220,0)),"")</f>
        <v>ESTRUCTURA DE HORMIGÓN ARMADO</v>
      </c>
      <c r="L794" s="216">
        <f>IF(PLAN_ETAPA!$C$4="(TODOS)",SUMIFS(PPTO_GENERADOR!$E$4:$E$220,PPTO_GENERADOR!$Q$4:$Q$220,A794),SUMIFS(PPTO_GENERADOR!$E$4:$E$220,PPTO_GENERADOR!$Q$4:$Q$220,A794,PPTO_GENERADOR!$B$4:$B$220,PLAN_ETAPA!$C$4))</f>
        <v>0</v>
      </c>
      <c r="M794" s="216">
        <f>IFERROR(VLOOKUP(A794,PARTIDAS!$A$2:$F$269,6,FALSE()),1)</f>
        <v>1</v>
      </c>
      <c r="N794" s="216">
        <f>IFERROR(VLOOKUP(A794,PARTIDAS!$A$2:$I$269,9,FALSE()),1)</f>
        <v>1</v>
      </c>
      <c r="O794" s="217">
        <f t="shared" si="24"/>
        <v>0</v>
      </c>
      <c r="P794" s="216">
        <f>IF(O794=0,0,IF(B794="MAT",G794*(1+H794)*L794*PLAN_ETAPA!$C$5,IF(B794="MO",IF(M794=0,0,G794*L794*PLAN_ETAPA!$C$5*N794/M794),IF(B794="EQ",IF(M794=0,0,G794*L794*PLAN_ETAPA!$C$5/M794),0))))</f>
        <v>0</v>
      </c>
      <c r="Q794" s="218">
        <f t="shared" si="25"/>
        <v>0</v>
      </c>
    </row>
    <row r="795" spans="1:17" x14ac:dyDescent="0.35">
      <c r="A795" s="212" t="str">
        <f>COMPOSICIÓN!A795</f>
        <v>PTO-0303</v>
      </c>
      <c r="B795" s="212" t="str">
        <f>COMPOSICIÓN!B795</f>
        <v>MAT</v>
      </c>
      <c r="C795" s="212" t="str">
        <f>COMPOSICIÓN!C795</f>
        <v>COR</v>
      </c>
      <c r="D795" s="212" t="str">
        <f>COMPOSICIÓN!D795</f>
        <v>OTR-PTO044</v>
      </c>
      <c r="E795" s="212" t="str">
        <f>COMPOSICIÓN!E795</f>
        <v>Tabique submuración - H35 (95 kg/m3 de hierro)</v>
      </c>
      <c r="F795" s="212" t="str">
        <f>COMPOSICIÓN!F795</f>
        <v>m3</v>
      </c>
      <c r="G795" s="213">
        <f>COMPOSICIÓN!G795</f>
        <v>1</v>
      </c>
      <c r="H795" s="214">
        <f>COMPOSICIÓN!H795</f>
        <v>0</v>
      </c>
      <c r="I795" s="215">
        <f>COMPOSICIÓN!I795</f>
        <v>402072.54172518197</v>
      </c>
      <c r="J795" s="212" t="str">
        <f>IFERROR(VLOOKUP(A795,PARTIDAS!$A$2:$C$269,3,FALSE()),"")</f>
        <v>ESTRUCTURA DE HORMIGÓN ARMADO</v>
      </c>
      <c r="K795" s="212" t="str">
        <f>IFERROR(INDEX(PPTO_GENERADOR!$B$4:$B$220,MATCH(A795,PPTO_GENERADOR!$Q$4:$Q$220,0)),"")</f>
        <v>ESTRUCTURA DE HORMIGÓN ARMADO</v>
      </c>
      <c r="L795" s="216">
        <f>IF(PLAN_ETAPA!$C$4="(TODOS)",SUMIFS(PPTO_GENERADOR!$E$4:$E$220,PPTO_GENERADOR!$Q$4:$Q$220,A795),SUMIFS(PPTO_GENERADOR!$E$4:$E$220,PPTO_GENERADOR!$Q$4:$Q$220,A795,PPTO_GENERADOR!$B$4:$B$220,PLAN_ETAPA!$C$4))</f>
        <v>0</v>
      </c>
      <c r="M795" s="216">
        <f>IFERROR(VLOOKUP(A795,PARTIDAS!$A$2:$F$269,6,FALSE()),1)</f>
        <v>1</v>
      </c>
      <c r="N795" s="216">
        <f>IFERROR(VLOOKUP(A795,PARTIDAS!$A$2:$I$269,9,FALSE()),1)</f>
        <v>1</v>
      </c>
      <c r="O795" s="217">
        <f t="shared" si="24"/>
        <v>0</v>
      </c>
      <c r="P795" s="216">
        <f>IF(O795=0,0,IF(B795="MAT",G795*(1+H795)*L795*PLAN_ETAPA!$C$5,IF(B795="MO",IF(M795=0,0,G795*L795*PLAN_ETAPA!$C$5*N795/M795),IF(B795="EQ",IF(M795=0,0,G795*L795*PLAN_ETAPA!$C$5/M795),0))))</f>
        <v>0</v>
      </c>
      <c r="Q795" s="218">
        <f t="shared" si="25"/>
        <v>0</v>
      </c>
    </row>
    <row r="796" spans="1:17" x14ac:dyDescent="0.35">
      <c r="A796" s="212" t="str">
        <f>COMPOSICIÓN!A796</f>
        <v>PTO-0303</v>
      </c>
      <c r="B796" s="212" t="str">
        <f>COMPOSICIÓN!B796</f>
        <v>MO</v>
      </c>
      <c r="C796" s="212" t="str">
        <f>COMPOSICIÓN!C796</f>
        <v>OTR</v>
      </c>
      <c r="D796" s="212" t="str">
        <f>COMPOSICIÓN!D796</f>
        <v>SUB-PTO008</v>
      </c>
      <c r="E796" s="212" t="str">
        <f>COMPOSICIÓN!E796</f>
        <v>MO Tabique submuración - H35 (95 kg/m3 de hierro)</v>
      </c>
      <c r="F796" s="212" t="str">
        <f>COMPOSICIÓN!F796</f>
        <v>j</v>
      </c>
      <c r="G796" s="213">
        <f>COMPOSICIÓN!G796</f>
        <v>1</v>
      </c>
      <c r="H796" s="214">
        <f>COMPOSICIÓN!H796</f>
        <v>0</v>
      </c>
      <c r="I796" s="215">
        <f>COMPOSICIÓN!I796</f>
        <v>357640.8998745</v>
      </c>
      <c r="J796" s="212" t="str">
        <f>IFERROR(VLOOKUP(A796,PARTIDAS!$A$2:$C$269,3,FALSE()),"")</f>
        <v>ESTRUCTURA DE HORMIGÓN ARMADO</v>
      </c>
      <c r="K796" s="212" t="str">
        <f>IFERROR(INDEX(PPTO_GENERADOR!$B$4:$B$220,MATCH(A796,PPTO_GENERADOR!$Q$4:$Q$220,0)),"")</f>
        <v>ESTRUCTURA DE HORMIGÓN ARMADO</v>
      </c>
      <c r="L796" s="216">
        <f>IF(PLAN_ETAPA!$C$4="(TODOS)",SUMIFS(PPTO_GENERADOR!$E$4:$E$220,PPTO_GENERADOR!$Q$4:$Q$220,A796),SUMIFS(PPTO_GENERADOR!$E$4:$E$220,PPTO_GENERADOR!$Q$4:$Q$220,A796,PPTO_GENERADOR!$B$4:$B$220,PLAN_ETAPA!$C$4))</f>
        <v>0</v>
      </c>
      <c r="M796" s="216">
        <f>IFERROR(VLOOKUP(A796,PARTIDAS!$A$2:$F$269,6,FALSE()),1)</f>
        <v>1</v>
      </c>
      <c r="N796" s="216">
        <f>IFERROR(VLOOKUP(A796,PARTIDAS!$A$2:$I$269,9,FALSE()),1)</f>
        <v>1</v>
      </c>
      <c r="O796" s="217">
        <f t="shared" si="24"/>
        <v>0</v>
      </c>
      <c r="P796" s="216">
        <f>IF(O796=0,0,IF(B796="MAT",G796*(1+H796)*L796*PLAN_ETAPA!$C$5,IF(B796="MO",IF(M796=0,0,G796*L796*PLAN_ETAPA!$C$5*N796/M796),IF(B796="EQ",IF(M796=0,0,G796*L796*PLAN_ETAPA!$C$5/M796),0))))</f>
        <v>0</v>
      </c>
      <c r="Q796" s="218">
        <f t="shared" si="25"/>
        <v>0</v>
      </c>
    </row>
    <row r="797" spans="1:17" x14ac:dyDescent="0.35">
      <c r="A797" s="212" t="str">
        <f>COMPOSICIÓN!A797</f>
        <v>PTO-0304</v>
      </c>
      <c r="B797" s="212" t="str">
        <f>COMPOSICIÓN!B797</f>
        <v>EQ</v>
      </c>
      <c r="C797" s="212">
        <f>COMPOSICIÓN!C797</f>
        <v>0</v>
      </c>
      <c r="D797" s="212" t="str">
        <f>COMPOSICIÓN!D797</f>
        <v>EQ-PTO006</v>
      </c>
      <c r="E797" s="212" t="str">
        <f>COMPOSICIÓN!E797</f>
        <v>Herramientas y consumibles Zapata corrida tabique - H35 (120 kg/m3 de hierro)</v>
      </c>
      <c r="F797" s="212">
        <f>COMPOSICIÓN!F797</f>
        <v>0</v>
      </c>
      <c r="G797" s="213">
        <f>COMPOSICIÓN!G797</f>
        <v>1</v>
      </c>
      <c r="H797" s="214">
        <f>COMPOSICIÓN!H797</f>
        <v>0</v>
      </c>
      <c r="I797" s="215">
        <f>COMPOSICIÓN!I797</f>
        <v>10647.458136473801</v>
      </c>
      <c r="J797" s="212" t="str">
        <f>IFERROR(VLOOKUP(A797,PARTIDAS!$A$2:$C$269,3,FALSE()),"")</f>
        <v>ESTRUCTURA DE HORMIGÓN ARMADO</v>
      </c>
      <c r="K797" s="212" t="str">
        <f>IFERROR(INDEX(PPTO_GENERADOR!$B$4:$B$220,MATCH(A797,PPTO_GENERADOR!$Q$4:$Q$220,0)),"")</f>
        <v>ESTRUCTURA DE HORMIGÓN ARMADO</v>
      </c>
      <c r="L797" s="216">
        <f>IF(PLAN_ETAPA!$C$4="(TODOS)",SUMIFS(PPTO_GENERADOR!$E$4:$E$220,PPTO_GENERADOR!$Q$4:$Q$220,A797),SUMIFS(PPTO_GENERADOR!$E$4:$E$220,PPTO_GENERADOR!$Q$4:$Q$220,A797,PPTO_GENERADOR!$B$4:$B$220,PLAN_ETAPA!$C$4))</f>
        <v>0</v>
      </c>
      <c r="M797" s="216">
        <f>IFERROR(VLOOKUP(A797,PARTIDAS!$A$2:$F$269,6,FALSE()),1)</f>
        <v>1</v>
      </c>
      <c r="N797" s="216">
        <f>IFERROR(VLOOKUP(A797,PARTIDAS!$A$2:$I$269,9,FALSE()),1)</f>
        <v>1</v>
      </c>
      <c r="O797" s="217">
        <f t="shared" si="24"/>
        <v>0</v>
      </c>
      <c r="P797" s="216">
        <f>IF(O797=0,0,IF(B797="MAT",G797*(1+H797)*L797*PLAN_ETAPA!$C$5,IF(B797="MO",IF(M797=0,0,G797*L797*PLAN_ETAPA!$C$5*N797/M797),IF(B797="EQ",IF(M797=0,0,G797*L797*PLAN_ETAPA!$C$5/M797),0))))</f>
        <v>0</v>
      </c>
      <c r="Q797" s="218">
        <f t="shared" si="25"/>
        <v>0</v>
      </c>
    </row>
    <row r="798" spans="1:17" x14ac:dyDescent="0.35">
      <c r="A798" s="212" t="str">
        <f>COMPOSICIÓN!A798</f>
        <v>PTO-0304</v>
      </c>
      <c r="B798" s="212" t="str">
        <f>COMPOSICIÓN!B798</f>
        <v>MAT</v>
      </c>
      <c r="C798" s="212" t="str">
        <f>COMPOSICIÓN!C798</f>
        <v>COR</v>
      </c>
      <c r="D798" s="212" t="str">
        <f>COMPOSICIÓN!D798</f>
        <v>OTR-PTO045</v>
      </c>
      <c r="E798" s="212" t="str">
        <f>COMPOSICIÓN!E798</f>
        <v>Zapata corrida tabique - H35 (120 kg/m3 de hierro)</v>
      </c>
      <c r="F798" s="212" t="str">
        <f>COMPOSICIÓN!F798</f>
        <v>m3</v>
      </c>
      <c r="G798" s="213">
        <f>COMPOSICIÓN!G798</f>
        <v>1</v>
      </c>
      <c r="H798" s="214">
        <f>COMPOSICIÓN!H798</f>
        <v>0</v>
      </c>
      <c r="I798" s="215">
        <f>COMPOSICIÓN!I798</f>
        <v>428196.58025620203</v>
      </c>
      <c r="J798" s="212" t="str">
        <f>IFERROR(VLOOKUP(A798,PARTIDAS!$A$2:$C$269,3,FALSE()),"")</f>
        <v>ESTRUCTURA DE HORMIGÓN ARMADO</v>
      </c>
      <c r="K798" s="212" t="str">
        <f>IFERROR(INDEX(PPTO_GENERADOR!$B$4:$B$220,MATCH(A798,PPTO_GENERADOR!$Q$4:$Q$220,0)),"")</f>
        <v>ESTRUCTURA DE HORMIGÓN ARMADO</v>
      </c>
      <c r="L798" s="216">
        <f>IF(PLAN_ETAPA!$C$4="(TODOS)",SUMIFS(PPTO_GENERADOR!$E$4:$E$220,PPTO_GENERADOR!$Q$4:$Q$220,A798),SUMIFS(PPTO_GENERADOR!$E$4:$E$220,PPTO_GENERADOR!$Q$4:$Q$220,A798,PPTO_GENERADOR!$B$4:$B$220,PLAN_ETAPA!$C$4))</f>
        <v>0</v>
      </c>
      <c r="M798" s="216">
        <f>IFERROR(VLOOKUP(A798,PARTIDAS!$A$2:$F$269,6,FALSE()),1)</f>
        <v>1</v>
      </c>
      <c r="N798" s="216">
        <f>IFERROR(VLOOKUP(A798,PARTIDAS!$A$2:$I$269,9,FALSE()),1)</f>
        <v>1</v>
      </c>
      <c r="O798" s="217">
        <f t="shared" si="24"/>
        <v>0</v>
      </c>
      <c r="P798" s="216">
        <f>IF(O798=0,0,IF(B798="MAT",G798*(1+H798)*L798*PLAN_ETAPA!$C$5,IF(B798="MO",IF(M798=0,0,G798*L798*PLAN_ETAPA!$C$5*N798/M798),IF(B798="EQ",IF(M798=0,0,G798*L798*PLAN_ETAPA!$C$5/M798),0))))</f>
        <v>0</v>
      </c>
      <c r="Q798" s="218">
        <f t="shared" si="25"/>
        <v>0</v>
      </c>
    </row>
    <row r="799" spans="1:17" x14ac:dyDescent="0.35">
      <c r="A799" s="212" t="str">
        <f>COMPOSICIÓN!A799</f>
        <v>PTO-0304</v>
      </c>
      <c r="B799" s="212" t="str">
        <f>COMPOSICIÓN!B799</f>
        <v>MO</v>
      </c>
      <c r="C799" s="212" t="str">
        <f>COMPOSICIÓN!C799</f>
        <v>OTR</v>
      </c>
      <c r="D799" s="212" t="str">
        <f>COMPOSICIÓN!D799</f>
        <v>SUB-PTO009</v>
      </c>
      <c r="E799" s="212" t="str">
        <f>COMPOSICIÓN!E799</f>
        <v>MO Zapata corrida tabique - H35 (120 kg/m3 de hierro)</v>
      </c>
      <c r="F799" s="212" t="str">
        <f>COMPOSICIÓN!F799</f>
        <v>j</v>
      </c>
      <c r="G799" s="213">
        <f>COMPOSICIÓN!G799</f>
        <v>1</v>
      </c>
      <c r="H799" s="214">
        <f>COMPOSICIÓN!H799</f>
        <v>0</v>
      </c>
      <c r="I799" s="215">
        <f>COMPOSICIÓN!I799</f>
        <v>281633.96217538603</v>
      </c>
      <c r="J799" s="212" t="str">
        <f>IFERROR(VLOOKUP(A799,PARTIDAS!$A$2:$C$269,3,FALSE()),"")</f>
        <v>ESTRUCTURA DE HORMIGÓN ARMADO</v>
      </c>
      <c r="K799" s="212" t="str">
        <f>IFERROR(INDEX(PPTO_GENERADOR!$B$4:$B$220,MATCH(A799,PPTO_GENERADOR!$Q$4:$Q$220,0)),"")</f>
        <v>ESTRUCTURA DE HORMIGÓN ARMADO</v>
      </c>
      <c r="L799" s="216">
        <f>IF(PLAN_ETAPA!$C$4="(TODOS)",SUMIFS(PPTO_GENERADOR!$E$4:$E$220,PPTO_GENERADOR!$Q$4:$Q$220,A799),SUMIFS(PPTO_GENERADOR!$E$4:$E$220,PPTO_GENERADOR!$Q$4:$Q$220,A799,PPTO_GENERADOR!$B$4:$B$220,PLAN_ETAPA!$C$4))</f>
        <v>0</v>
      </c>
      <c r="M799" s="216">
        <f>IFERROR(VLOOKUP(A799,PARTIDAS!$A$2:$F$269,6,FALSE()),1)</f>
        <v>1</v>
      </c>
      <c r="N799" s="216">
        <f>IFERROR(VLOOKUP(A799,PARTIDAS!$A$2:$I$269,9,FALSE()),1)</f>
        <v>1</v>
      </c>
      <c r="O799" s="217">
        <f t="shared" si="24"/>
        <v>0</v>
      </c>
      <c r="P799" s="216">
        <f>IF(O799=0,0,IF(B799="MAT",G799*(1+H799)*L799*PLAN_ETAPA!$C$5,IF(B799="MO",IF(M799=0,0,G799*L799*PLAN_ETAPA!$C$5*N799/M799),IF(B799="EQ",IF(M799=0,0,G799*L799*PLAN_ETAPA!$C$5/M799),0))))</f>
        <v>0</v>
      </c>
      <c r="Q799" s="218">
        <f t="shared" si="25"/>
        <v>0</v>
      </c>
    </row>
    <row r="800" spans="1:17" x14ac:dyDescent="0.35">
      <c r="A800" s="212" t="str">
        <f>COMPOSICIÓN!A800</f>
        <v>PTO-0305</v>
      </c>
      <c r="B800" s="212" t="str">
        <f>COMPOSICIÓN!B800</f>
        <v>EQ</v>
      </c>
      <c r="C800" s="212">
        <f>COMPOSICIÓN!C800</f>
        <v>0</v>
      </c>
      <c r="D800" s="212" t="str">
        <f>COMPOSICIÓN!D800</f>
        <v>EQ-PTO007</v>
      </c>
      <c r="E800" s="212" t="str">
        <f>COMPOSICIÓN!E800</f>
        <v>Herramientas y consumibles Platea - H35 (95 kg/m3 de hierro)</v>
      </c>
      <c r="F800" s="212">
        <f>COMPOSICIÓN!F800</f>
        <v>0</v>
      </c>
      <c r="G800" s="213">
        <f>COMPOSICIÓN!G800</f>
        <v>1</v>
      </c>
      <c r="H800" s="214">
        <f>COMPOSICIÓN!H800</f>
        <v>0</v>
      </c>
      <c r="I800" s="215">
        <f>COMPOSICIÓN!I800</f>
        <v>7920.4190953709203</v>
      </c>
      <c r="J800" s="212" t="str">
        <f>IFERROR(VLOOKUP(A800,PARTIDAS!$A$2:$C$269,3,FALSE()),"")</f>
        <v>ESTRUCTURA DE HORMIGÓN ARMADO</v>
      </c>
      <c r="K800" s="212" t="str">
        <f>IFERROR(INDEX(PPTO_GENERADOR!$B$4:$B$220,MATCH(A800,PPTO_GENERADOR!$Q$4:$Q$220,0)),"")</f>
        <v>ESTRUCTURA DE HORMIGÓN ARMADO</v>
      </c>
      <c r="L800" s="216">
        <f>IF(PLAN_ETAPA!$C$4="(TODOS)",SUMIFS(PPTO_GENERADOR!$E$4:$E$220,PPTO_GENERADOR!$Q$4:$Q$220,A800),SUMIFS(PPTO_GENERADOR!$E$4:$E$220,PPTO_GENERADOR!$Q$4:$Q$220,A800,PPTO_GENERADOR!$B$4:$B$220,PLAN_ETAPA!$C$4))</f>
        <v>0</v>
      </c>
      <c r="M800" s="216">
        <f>IFERROR(VLOOKUP(A800,PARTIDAS!$A$2:$F$269,6,FALSE()),1)</f>
        <v>1</v>
      </c>
      <c r="N800" s="216">
        <f>IFERROR(VLOOKUP(A800,PARTIDAS!$A$2:$I$269,9,FALSE()),1)</f>
        <v>1</v>
      </c>
      <c r="O800" s="217">
        <f t="shared" si="24"/>
        <v>0</v>
      </c>
      <c r="P800" s="216">
        <f>IF(O800=0,0,IF(B800="MAT",G800*(1+H800)*L800*PLAN_ETAPA!$C$5,IF(B800="MO",IF(M800=0,0,G800*L800*PLAN_ETAPA!$C$5*N800/M800),IF(B800="EQ",IF(M800=0,0,G800*L800*PLAN_ETAPA!$C$5/M800),0))))</f>
        <v>0</v>
      </c>
      <c r="Q800" s="218">
        <f t="shared" si="25"/>
        <v>0</v>
      </c>
    </row>
    <row r="801" spans="1:17" x14ac:dyDescent="0.35">
      <c r="A801" s="212" t="str">
        <f>COMPOSICIÓN!A801</f>
        <v>PTO-0305</v>
      </c>
      <c r="B801" s="212" t="str">
        <f>COMPOSICIÓN!B801</f>
        <v>MAT</v>
      </c>
      <c r="C801" s="212" t="str">
        <f>COMPOSICIÓN!C801</f>
        <v>COR</v>
      </c>
      <c r="D801" s="212" t="str">
        <f>COMPOSICIÓN!D801</f>
        <v>OTR-PTO046</v>
      </c>
      <c r="E801" s="212" t="str">
        <f>COMPOSICIÓN!E801</f>
        <v>Platea - H35 (95 kg/m3 de hierro)</v>
      </c>
      <c r="F801" s="212" t="str">
        <f>COMPOSICIÓN!F801</f>
        <v>m3</v>
      </c>
      <c r="G801" s="213">
        <f>COMPOSICIÓN!G801</f>
        <v>1</v>
      </c>
      <c r="H801" s="214">
        <f>COMPOSICIÓN!H801</f>
        <v>0</v>
      </c>
      <c r="I801" s="215">
        <f>COMPOSICIÓN!I801</f>
        <v>333700.50579037803</v>
      </c>
      <c r="J801" s="212" t="str">
        <f>IFERROR(VLOOKUP(A801,PARTIDAS!$A$2:$C$269,3,FALSE()),"")</f>
        <v>ESTRUCTURA DE HORMIGÓN ARMADO</v>
      </c>
      <c r="K801" s="212" t="str">
        <f>IFERROR(INDEX(PPTO_GENERADOR!$B$4:$B$220,MATCH(A801,PPTO_GENERADOR!$Q$4:$Q$220,0)),"")</f>
        <v>ESTRUCTURA DE HORMIGÓN ARMADO</v>
      </c>
      <c r="L801" s="216">
        <f>IF(PLAN_ETAPA!$C$4="(TODOS)",SUMIFS(PPTO_GENERADOR!$E$4:$E$220,PPTO_GENERADOR!$Q$4:$Q$220,A801),SUMIFS(PPTO_GENERADOR!$E$4:$E$220,PPTO_GENERADOR!$Q$4:$Q$220,A801,PPTO_GENERADOR!$B$4:$B$220,PLAN_ETAPA!$C$4))</f>
        <v>0</v>
      </c>
      <c r="M801" s="216">
        <f>IFERROR(VLOOKUP(A801,PARTIDAS!$A$2:$F$269,6,FALSE()),1)</f>
        <v>1</v>
      </c>
      <c r="N801" s="216">
        <f>IFERROR(VLOOKUP(A801,PARTIDAS!$A$2:$I$269,9,FALSE()),1)</f>
        <v>1</v>
      </c>
      <c r="O801" s="217">
        <f t="shared" si="24"/>
        <v>0</v>
      </c>
      <c r="P801" s="216">
        <f>IF(O801=0,0,IF(B801="MAT",G801*(1+H801)*L801*PLAN_ETAPA!$C$5,IF(B801="MO",IF(M801=0,0,G801*L801*PLAN_ETAPA!$C$5*N801/M801),IF(B801="EQ",IF(M801=0,0,G801*L801*PLAN_ETAPA!$C$5/M801),0))))</f>
        <v>0</v>
      </c>
      <c r="Q801" s="218">
        <f t="shared" si="25"/>
        <v>0</v>
      </c>
    </row>
    <row r="802" spans="1:17" x14ac:dyDescent="0.35">
      <c r="A802" s="212" t="str">
        <f>COMPOSICIÓN!A802</f>
        <v>PTO-0305</v>
      </c>
      <c r="B802" s="212" t="str">
        <f>COMPOSICIÓN!B802</f>
        <v>MO</v>
      </c>
      <c r="C802" s="212" t="str">
        <f>COMPOSICIÓN!C802</f>
        <v>OTR</v>
      </c>
      <c r="D802" s="212" t="str">
        <f>COMPOSICIÓN!D802</f>
        <v>SUB-PTO010</v>
      </c>
      <c r="E802" s="212" t="str">
        <f>COMPOSICIÓN!E802</f>
        <v>MO Platea - H35 (95 kg/m3 de hierro)</v>
      </c>
      <c r="F802" s="212" t="str">
        <f>COMPOSICIÓN!F802</f>
        <v>j</v>
      </c>
      <c r="G802" s="213">
        <f>COMPOSICIÓN!G802</f>
        <v>1</v>
      </c>
      <c r="H802" s="214">
        <f>COMPOSICIÓN!H802</f>
        <v>0</v>
      </c>
      <c r="I802" s="215">
        <f>COMPOSICIÓN!I802</f>
        <v>194327.43390101599</v>
      </c>
      <c r="J802" s="212" t="str">
        <f>IFERROR(VLOOKUP(A802,PARTIDAS!$A$2:$C$269,3,FALSE()),"")</f>
        <v>ESTRUCTURA DE HORMIGÓN ARMADO</v>
      </c>
      <c r="K802" s="212" t="str">
        <f>IFERROR(INDEX(PPTO_GENERADOR!$B$4:$B$220,MATCH(A802,PPTO_GENERADOR!$Q$4:$Q$220,0)),"")</f>
        <v>ESTRUCTURA DE HORMIGÓN ARMADO</v>
      </c>
      <c r="L802" s="216">
        <f>IF(PLAN_ETAPA!$C$4="(TODOS)",SUMIFS(PPTO_GENERADOR!$E$4:$E$220,PPTO_GENERADOR!$Q$4:$Q$220,A802),SUMIFS(PPTO_GENERADOR!$E$4:$E$220,PPTO_GENERADOR!$Q$4:$Q$220,A802,PPTO_GENERADOR!$B$4:$B$220,PLAN_ETAPA!$C$4))</f>
        <v>0</v>
      </c>
      <c r="M802" s="216">
        <f>IFERROR(VLOOKUP(A802,PARTIDAS!$A$2:$F$269,6,FALSE()),1)</f>
        <v>1</v>
      </c>
      <c r="N802" s="216">
        <f>IFERROR(VLOOKUP(A802,PARTIDAS!$A$2:$I$269,9,FALSE()),1)</f>
        <v>1</v>
      </c>
      <c r="O802" s="217">
        <f t="shared" si="24"/>
        <v>0</v>
      </c>
      <c r="P802" s="216">
        <f>IF(O802=0,0,IF(B802="MAT",G802*(1+H802)*L802*PLAN_ETAPA!$C$5,IF(B802="MO",IF(M802=0,0,G802*L802*PLAN_ETAPA!$C$5*N802/M802),IF(B802="EQ",IF(M802=0,0,G802*L802*PLAN_ETAPA!$C$5/M802),0))))</f>
        <v>0</v>
      </c>
      <c r="Q802" s="218">
        <f t="shared" si="25"/>
        <v>0</v>
      </c>
    </row>
    <row r="803" spans="1:17" x14ac:dyDescent="0.35">
      <c r="A803" s="212" t="str">
        <f>COMPOSICIÓN!A803</f>
        <v>PTO-0306</v>
      </c>
      <c r="B803" s="212" t="str">
        <f>COMPOSICIÓN!B803</f>
        <v>EQ</v>
      </c>
      <c r="C803" s="212">
        <f>COMPOSICIÓN!C803</f>
        <v>0</v>
      </c>
      <c r="D803" s="212" t="str">
        <f>COMPOSICIÓN!D803</f>
        <v>EQ-PTO008</v>
      </c>
      <c r="E803" s="212" t="str">
        <f>COMPOSICIÓN!E803</f>
        <v>Herramientas y consumibles Bases aisladas - (60 kg/m3 de hierro)</v>
      </c>
      <c r="F803" s="212">
        <f>COMPOSICIÓN!F803</f>
        <v>0</v>
      </c>
      <c r="G803" s="213">
        <f>COMPOSICIÓN!G803</f>
        <v>1</v>
      </c>
      <c r="H803" s="214">
        <f>COMPOSICIÓN!H803</f>
        <v>0</v>
      </c>
      <c r="I803" s="215">
        <f>COMPOSICIÓN!I803</f>
        <v>7040.5471828709196</v>
      </c>
      <c r="J803" s="212" t="str">
        <f>IFERROR(VLOOKUP(A803,PARTIDAS!$A$2:$C$269,3,FALSE()),"")</f>
        <v>ESTRUCTURA DE HORMIGÓN ARMADO</v>
      </c>
      <c r="K803" s="212" t="str">
        <f>IFERROR(INDEX(PPTO_GENERADOR!$B$4:$B$220,MATCH(A803,PPTO_GENERADOR!$Q$4:$Q$220,0)),"")</f>
        <v>ESTRUCTURA DE HORMIGÓN ARMADO</v>
      </c>
      <c r="L803" s="216">
        <f>IF(PLAN_ETAPA!$C$4="(TODOS)",SUMIFS(PPTO_GENERADOR!$E$4:$E$220,PPTO_GENERADOR!$Q$4:$Q$220,A803),SUMIFS(PPTO_GENERADOR!$E$4:$E$220,PPTO_GENERADOR!$Q$4:$Q$220,A803,PPTO_GENERADOR!$B$4:$B$220,PLAN_ETAPA!$C$4))</f>
        <v>0</v>
      </c>
      <c r="M803" s="216">
        <f>IFERROR(VLOOKUP(A803,PARTIDAS!$A$2:$F$269,6,FALSE()),1)</f>
        <v>1</v>
      </c>
      <c r="N803" s="216">
        <f>IFERROR(VLOOKUP(A803,PARTIDAS!$A$2:$I$269,9,FALSE()),1)</f>
        <v>1</v>
      </c>
      <c r="O803" s="217">
        <f t="shared" si="24"/>
        <v>0</v>
      </c>
      <c r="P803" s="216">
        <f>IF(O803=0,0,IF(B803="MAT",G803*(1+H803)*L803*PLAN_ETAPA!$C$5,IF(B803="MO",IF(M803=0,0,G803*L803*PLAN_ETAPA!$C$5*N803/M803),IF(B803="EQ",IF(M803=0,0,G803*L803*PLAN_ETAPA!$C$5/M803),0))))</f>
        <v>0</v>
      </c>
      <c r="Q803" s="218">
        <f t="shared" si="25"/>
        <v>0</v>
      </c>
    </row>
    <row r="804" spans="1:17" x14ac:dyDescent="0.35">
      <c r="A804" s="212" t="str">
        <f>COMPOSICIÓN!A804</f>
        <v>PTO-0306</v>
      </c>
      <c r="B804" s="212" t="str">
        <f>COMPOSICIÓN!B804</f>
        <v>MAT</v>
      </c>
      <c r="C804" s="212" t="str">
        <f>COMPOSICIÓN!C804</f>
        <v>COR</v>
      </c>
      <c r="D804" s="212" t="str">
        <f>COMPOSICIÓN!D804</f>
        <v>OTR-PTO047</v>
      </c>
      <c r="E804" s="212" t="str">
        <f>COMPOSICIÓN!E804</f>
        <v>Bases aisladas - (60 kg/m3 de hierro)</v>
      </c>
      <c r="F804" s="212" t="str">
        <f>COMPOSICIÓN!F804</f>
        <v>m3</v>
      </c>
      <c r="G804" s="213">
        <f>COMPOSICIÓN!G804</f>
        <v>1</v>
      </c>
      <c r="H804" s="214">
        <f>COMPOSICIÓN!H804</f>
        <v>0</v>
      </c>
      <c r="I804" s="215">
        <f>COMPOSICIÓN!I804</f>
        <v>275042.37829037802</v>
      </c>
      <c r="J804" s="212" t="str">
        <f>IFERROR(VLOOKUP(A804,PARTIDAS!$A$2:$C$269,3,FALSE()),"")</f>
        <v>ESTRUCTURA DE HORMIGÓN ARMADO</v>
      </c>
      <c r="K804" s="212" t="str">
        <f>IFERROR(INDEX(PPTO_GENERADOR!$B$4:$B$220,MATCH(A804,PPTO_GENERADOR!$Q$4:$Q$220,0)),"")</f>
        <v>ESTRUCTURA DE HORMIGÓN ARMADO</v>
      </c>
      <c r="L804" s="216">
        <f>IF(PLAN_ETAPA!$C$4="(TODOS)",SUMIFS(PPTO_GENERADOR!$E$4:$E$220,PPTO_GENERADOR!$Q$4:$Q$220,A804),SUMIFS(PPTO_GENERADOR!$E$4:$E$220,PPTO_GENERADOR!$Q$4:$Q$220,A804,PPTO_GENERADOR!$B$4:$B$220,PLAN_ETAPA!$C$4))</f>
        <v>0</v>
      </c>
      <c r="M804" s="216">
        <f>IFERROR(VLOOKUP(A804,PARTIDAS!$A$2:$F$269,6,FALSE()),1)</f>
        <v>1</v>
      </c>
      <c r="N804" s="216">
        <f>IFERROR(VLOOKUP(A804,PARTIDAS!$A$2:$I$269,9,FALSE()),1)</f>
        <v>1</v>
      </c>
      <c r="O804" s="217">
        <f t="shared" si="24"/>
        <v>0</v>
      </c>
      <c r="P804" s="216">
        <f>IF(O804=0,0,IF(B804="MAT",G804*(1+H804)*L804*PLAN_ETAPA!$C$5,IF(B804="MO",IF(M804=0,0,G804*L804*PLAN_ETAPA!$C$5*N804/M804),IF(B804="EQ",IF(M804=0,0,G804*L804*PLAN_ETAPA!$C$5/M804),0))))</f>
        <v>0</v>
      </c>
      <c r="Q804" s="218">
        <f t="shared" si="25"/>
        <v>0</v>
      </c>
    </row>
    <row r="805" spans="1:17" x14ac:dyDescent="0.35">
      <c r="A805" s="212" t="str">
        <f>COMPOSICIÓN!A805</f>
        <v>PTO-0306</v>
      </c>
      <c r="B805" s="212" t="str">
        <f>COMPOSICIÓN!B805</f>
        <v>MO</v>
      </c>
      <c r="C805" s="212" t="str">
        <f>COMPOSICIÓN!C805</f>
        <v>OTR</v>
      </c>
      <c r="D805" s="212" t="str">
        <f>COMPOSICIÓN!D805</f>
        <v>SUB-PTO011</v>
      </c>
      <c r="E805" s="212" t="str">
        <f>COMPOSICIÓN!E805</f>
        <v>MO Bases aisladas - (60 kg/m3 de hierro)</v>
      </c>
      <c r="F805" s="212" t="str">
        <f>COMPOSICIÓN!F805</f>
        <v>j</v>
      </c>
      <c r="G805" s="213">
        <f>COMPOSICIÓN!G805</f>
        <v>1</v>
      </c>
      <c r="H805" s="214">
        <f>COMPOSICIÓN!H805</f>
        <v>0</v>
      </c>
      <c r="I805" s="215">
        <f>COMPOSICIÓN!I805</f>
        <v>194327.43390101599</v>
      </c>
      <c r="J805" s="212" t="str">
        <f>IFERROR(VLOOKUP(A805,PARTIDAS!$A$2:$C$269,3,FALSE()),"")</f>
        <v>ESTRUCTURA DE HORMIGÓN ARMADO</v>
      </c>
      <c r="K805" s="212" t="str">
        <f>IFERROR(INDEX(PPTO_GENERADOR!$B$4:$B$220,MATCH(A805,PPTO_GENERADOR!$Q$4:$Q$220,0)),"")</f>
        <v>ESTRUCTURA DE HORMIGÓN ARMADO</v>
      </c>
      <c r="L805" s="216">
        <f>IF(PLAN_ETAPA!$C$4="(TODOS)",SUMIFS(PPTO_GENERADOR!$E$4:$E$220,PPTO_GENERADOR!$Q$4:$Q$220,A805),SUMIFS(PPTO_GENERADOR!$E$4:$E$220,PPTO_GENERADOR!$Q$4:$Q$220,A805,PPTO_GENERADOR!$B$4:$B$220,PLAN_ETAPA!$C$4))</f>
        <v>0</v>
      </c>
      <c r="M805" s="216">
        <f>IFERROR(VLOOKUP(A805,PARTIDAS!$A$2:$F$269,6,FALSE()),1)</f>
        <v>1</v>
      </c>
      <c r="N805" s="216">
        <f>IFERROR(VLOOKUP(A805,PARTIDAS!$A$2:$I$269,9,FALSE()),1)</f>
        <v>1</v>
      </c>
      <c r="O805" s="217">
        <f t="shared" si="24"/>
        <v>0</v>
      </c>
      <c r="P805" s="216">
        <f>IF(O805=0,0,IF(B805="MAT",G805*(1+H805)*L805*PLAN_ETAPA!$C$5,IF(B805="MO",IF(M805=0,0,G805*L805*PLAN_ETAPA!$C$5*N805/M805),IF(B805="EQ",IF(M805=0,0,G805*L805*PLAN_ETAPA!$C$5/M805),0))))</f>
        <v>0</v>
      </c>
      <c r="Q805" s="218">
        <f t="shared" si="25"/>
        <v>0</v>
      </c>
    </row>
    <row r="806" spans="1:17" x14ac:dyDescent="0.35">
      <c r="A806" s="212" t="str">
        <f>COMPOSICIÓN!A806</f>
        <v>PTO-0307</v>
      </c>
      <c r="B806" s="212" t="str">
        <f>COMPOSICIÓN!B806</f>
        <v>EQ</v>
      </c>
      <c r="C806" s="212">
        <f>COMPOSICIÓN!C806</f>
        <v>0</v>
      </c>
      <c r="D806" s="212" t="str">
        <f>COMPOSICIÓN!D806</f>
        <v>EQ-PTO009</v>
      </c>
      <c r="E806" s="212" t="str">
        <f>COMPOSICIÓN!E806</f>
        <v>Herramientas y consumibles Troncos de columnas - H35 (240 kg/m3 de hierro)</v>
      </c>
      <c r="F806" s="212">
        <f>COMPOSICIÓN!F806</f>
        <v>0</v>
      </c>
      <c r="G806" s="213">
        <f>COMPOSICIÓN!G806</f>
        <v>1</v>
      </c>
      <c r="H806" s="214">
        <f>COMPOSICIÓN!H806</f>
        <v>0</v>
      </c>
      <c r="I806" s="215">
        <f>COMPOSICIÓN!I806</f>
        <v>14296.601471079201</v>
      </c>
      <c r="J806" s="212" t="str">
        <f>IFERROR(VLOOKUP(A806,PARTIDAS!$A$2:$C$269,3,FALSE()),"")</f>
        <v>ESTRUCTURA DE HORMIGÓN ARMADO</v>
      </c>
      <c r="K806" s="212" t="str">
        <f>IFERROR(INDEX(PPTO_GENERADOR!$B$4:$B$220,MATCH(A806,PPTO_GENERADOR!$Q$4:$Q$220,0)),"")</f>
        <v>ESTRUCTURA DE HORMIGÓN ARMADO</v>
      </c>
      <c r="L806" s="216">
        <f>IF(PLAN_ETAPA!$C$4="(TODOS)",SUMIFS(PPTO_GENERADOR!$E$4:$E$220,PPTO_GENERADOR!$Q$4:$Q$220,A806),SUMIFS(PPTO_GENERADOR!$E$4:$E$220,PPTO_GENERADOR!$Q$4:$Q$220,A806,PPTO_GENERADOR!$B$4:$B$220,PLAN_ETAPA!$C$4))</f>
        <v>0</v>
      </c>
      <c r="M806" s="216">
        <f>IFERROR(VLOOKUP(A806,PARTIDAS!$A$2:$F$269,6,FALSE()),1)</f>
        <v>1</v>
      </c>
      <c r="N806" s="216">
        <f>IFERROR(VLOOKUP(A806,PARTIDAS!$A$2:$I$269,9,FALSE()),1)</f>
        <v>1</v>
      </c>
      <c r="O806" s="217">
        <f t="shared" si="24"/>
        <v>0</v>
      </c>
      <c r="P806" s="216">
        <f>IF(O806=0,0,IF(B806="MAT",G806*(1+H806)*L806*PLAN_ETAPA!$C$5,IF(B806="MO",IF(M806=0,0,G806*L806*PLAN_ETAPA!$C$5*N806/M806),IF(B806="EQ",IF(M806=0,0,G806*L806*PLAN_ETAPA!$C$5/M806),0))))</f>
        <v>0</v>
      </c>
      <c r="Q806" s="218">
        <f t="shared" si="25"/>
        <v>0</v>
      </c>
    </row>
    <row r="807" spans="1:17" x14ac:dyDescent="0.35">
      <c r="A807" s="212" t="str">
        <f>COMPOSICIÓN!A807</f>
        <v>PTO-0307</v>
      </c>
      <c r="B807" s="212" t="str">
        <f>COMPOSICIÓN!B807</f>
        <v>MAT</v>
      </c>
      <c r="C807" s="212" t="str">
        <f>COMPOSICIÓN!C807</f>
        <v>COR</v>
      </c>
      <c r="D807" s="212" t="str">
        <f>COMPOSICIÓN!D807</f>
        <v>OTR-PTO048</v>
      </c>
      <c r="E807" s="212" t="str">
        <f>COMPOSICIÓN!E807</f>
        <v>Troncos de columnas - H35 (240 kg/m3 de hierro)</v>
      </c>
      <c r="F807" s="212" t="str">
        <f>COMPOSICIÓN!F807</f>
        <v>m3</v>
      </c>
      <c r="G807" s="213">
        <f>COMPOSICIÓN!G807</f>
        <v>1</v>
      </c>
      <c r="H807" s="214">
        <f>COMPOSICIÓN!H807</f>
        <v>0</v>
      </c>
      <c r="I807" s="215">
        <f>COMPOSICIÓN!I807</f>
        <v>635192.71722613997</v>
      </c>
      <c r="J807" s="212" t="str">
        <f>IFERROR(VLOOKUP(A807,PARTIDAS!$A$2:$C$269,3,FALSE()),"")</f>
        <v>ESTRUCTURA DE HORMIGÓN ARMADO</v>
      </c>
      <c r="K807" s="212" t="str">
        <f>IFERROR(INDEX(PPTO_GENERADOR!$B$4:$B$220,MATCH(A807,PPTO_GENERADOR!$Q$4:$Q$220,0)),"")</f>
        <v>ESTRUCTURA DE HORMIGÓN ARMADO</v>
      </c>
      <c r="L807" s="216">
        <f>IF(PLAN_ETAPA!$C$4="(TODOS)",SUMIFS(PPTO_GENERADOR!$E$4:$E$220,PPTO_GENERADOR!$Q$4:$Q$220,A807),SUMIFS(PPTO_GENERADOR!$E$4:$E$220,PPTO_GENERADOR!$Q$4:$Q$220,A807,PPTO_GENERADOR!$B$4:$B$220,PLAN_ETAPA!$C$4))</f>
        <v>0</v>
      </c>
      <c r="M807" s="216">
        <f>IFERROR(VLOOKUP(A807,PARTIDAS!$A$2:$F$269,6,FALSE()),1)</f>
        <v>1</v>
      </c>
      <c r="N807" s="216">
        <f>IFERROR(VLOOKUP(A807,PARTIDAS!$A$2:$I$269,9,FALSE()),1)</f>
        <v>1</v>
      </c>
      <c r="O807" s="217">
        <f t="shared" si="24"/>
        <v>0</v>
      </c>
      <c r="P807" s="216">
        <f>IF(O807=0,0,IF(B807="MAT",G807*(1+H807)*L807*PLAN_ETAPA!$C$5,IF(B807="MO",IF(M807=0,0,G807*L807*PLAN_ETAPA!$C$5*N807/M807),IF(B807="EQ",IF(M807=0,0,G807*L807*PLAN_ETAPA!$C$5/M807),0))))</f>
        <v>0</v>
      </c>
      <c r="Q807" s="218">
        <f t="shared" si="25"/>
        <v>0</v>
      </c>
    </row>
    <row r="808" spans="1:17" x14ac:dyDescent="0.35">
      <c r="A808" s="212" t="str">
        <f>COMPOSICIÓN!A808</f>
        <v>PTO-0307</v>
      </c>
      <c r="B808" s="212" t="str">
        <f>COMPOSICIÓN!B808</f>
        <v>MO</v>
      </c>
      <c r="C808" s="212" t="str">
        <f>COMPOSICIÓN!C808</f>
        <v>OTR</v>
      </c>
      <c r="D808" s="212" t="str">
        <f>COMPOSICIÓN!D808</f>
        <v>SUB-PTO012</v>
      </c>
      <c r="E808" s="212" t="str">
        <f>COMPOSICIÓN!E808</f>
        <v>MO Troncos de columnas - H35 (240 kg/m3 de hierro)</v>
      </c>
      <c r="F808" s="212" t="str">
        <f>COMPOSICIÓN!F808</f>
        <v>j</v>
      </c>
      <c r="G808" s="213">
        <f>COMPOSICIÓN!G808</f>
        <v>1</v>
      </c>
      <c r="H808" s="214">
        <f>COMPOSICIÓN!H808</f>
        <v>0</v>
      </c>
      <c r="I808" s="215">
        <f>COMPOSICIÓN!I808</f>
        <v>317914.04751247499</v>
      </c>
      <c r="J808" s="212" t="str">
        <f>IFERROR(VLOOKUP(A808,PARTIDAS!$A$2:$C$269,3,FALSE()),"")</f>
        <v>ESTRUCTURA DE HORMIGÓN ARMADO</v>
      </c>
      <c r="K808" s="212" t="str">
        <f>IFERROR(INDEX(PPTO_GENERADOR!$B$4:$B$220,MATCH(A808,PPTO_GENERADOR!$Q$4:$Q$220,0)),"")</f>
        <v>ESTRUCTURA DE HORMIGÓN ARMADO</v>
      </c>
      <c r="L808" s="216">
        <f>IF(PLAN_ETAPA!$C$4="(TODOS)",SUMIFS(PPTO_GENERADOR!$E$4:$E$220,PPTO_GENERADOR!$Q$4:$Q$220,A808),SUMIFS(PPTO_GENERADOR!$E$4:$E$220,PPTO_GENERADOR!$Q$4:$Q$220,A808,PPTO_GENERADOR!$B$4:$B$220,PLAN_ETAPA!$C$4))</f>
        <v>0</v>
      </c>
      <c r="M808" s="216">
        <f>IFERROR(VLOOKUP(A808,PARTIDAS!$A$2:$F$269,6,FALSE()),1)</f>
        <v>1</v>
      </c>
      <c r="N808" s="216">
        <f>IFERROR(VLOOKUP(A808,PARTIDAS!$A$2:$I$269,9,FALSE()),1)</f>
        <v>1</v>
      </c>
      <c r="O808" s="217">
        <f t="shared" si="24"/>
        <v>0</v>
      </c>
      <c r="P808" s="216">
        <f>IF(O808=0,0,IF(B808="MAT",G808*(1+H808)*L808*PLAN_ETAPA!$C$5,IF(B808="MO",IF(M808=0,0,G808*L808*PLAN_ETAPA!$C$5*N808/M808),IF(B808="EQ",IF(M808=0,0,G808*L808*PLAN_ETAPA!$C$5/M808),0))))</f>
        <v>0</v>
      </c>
      <c r="Q808" s="218">
        <f t="shared" si="25"/>
        <v>0</v>
      </c>
    </row>
    <row r="809" spans="1:17" x14ac:dyDescent="0.35">
      <c r="A809" s="212" t="str">
        <f>COMPOSICIÓN!A809</f>
        <v>PTO-0308</v>
      </c>
      <c r="B809" s="212" t="str">
        <f>COMPOSICIÓN!B809</f>
        <v>EQ</v>
      </c>
      <c r="C809" s="212">
        <f>COMPOSICIÓN!C809</f>
        <v>0</v>
      </c>
      <c r="D809" s="212" t="str">
        <f>COMPOSICIÓN!D809</f>
        <v>EQ-PTO010</v>
      </c>
      <c r="E809" s="212" t="str">
        <f>COMPOSICIÓN!E809</f>
        <v>Herramientas y consumibles Viga de encadenado - H35 (180 kg/m3 de hierro)</v>
      </c>
      <c r="F809" s="212">
        <f>COMPOSICIÓN!F809</f>
        <v>0</v>
      </c>
      <c r="G809" s="213">
        <f>COMPOSICIÓN!G809</f>
        <v>1</v>
      </c>
      <c r="H809" s="214">
        <f>COMPOSICIÓN!H809</f>
        <v>0</v>
      </c>
      <c r="I809" s="215">
        <f>COMPOSICIÓN!I809</f>
        <v>12155.8099864738</v>
      </c>
      <c r="J809" s="212" t="str">
        <f>IFERROR(VLOOKUP(A809,PARTIDAS!$A$2:$C$269,3,FALSE()),"")</f>
        <v>ESTRUCTURA DE HORMIGÓN ARMADO</v>
      </c>
      <c r="K809" s="212" t="str">
        <f>IFERROR(INDEX(PPTO_GENERADOR!$B$4:$B$220,MATCH(A809,PPTO_GENERADOR!$Q$4:$Q$220,0)),"")</f>
        <v>ESTRUCTURA DE HORMIGÓN ARMADO</v>
      </c>
      <c r="L809" s="216">
        <f>IF(PLAN_ETAPA!$C$4="(TODOS)",SUMIFS(PPTO_GENERADOR!$E$4:$E$220,PPTO_GENERADOR!$Q$4:$Q$220,A809),SUMIFS(PPTO_GENERADOR!$E$4:$E$220,PPTO_GENERADOR!$Q$4:$Q$220,A809,PPTO_GENERADOR!$B$4:$B$220,PLAN_ETAPA!$C$4))</f>
        <v>0</v>
      </c>
      <c r="M809" s="216">
        <f>IFERROR(VLOOKUP(A809,PARTIDAS!$A$2:$F$269,6,FALSE()),1)</f>
        <v>1</v>
      </c>
      <c r="N809" s="216">
        <f>IFERROR(VLOOKUP(A809,PARTIDAS!$A$2:$I$269,9,FALSE()),1)</f>
        <v>1</v>
      </c>
      <c r="O809" s="217">
        <f t="shared" si="24"/>
        <v>0</v>
      </c>
      <c r="P809" s="216">
        <f>IF(O809=0,0,IF(B809="MAT",G809*(1+H809)*L809*PLAN_ETAPA!$C$5,IF(B809="MO",IF(M809=0,0,G809*L809*PLAN_ETAPA!$C$5*N809/M809),IF(B809="EQ",IF(M809=0,0,G809*L809*PLAN_ETAPA!$C$5/M809),0))))</f>
        <v>0</v>
      </c>
      <c r="Q809" s="218">
        <f t="shared" si="25"/>
        <v>0</v>
      </c>
    </row>
    <row r="810" spans="1:17" x14ac:dyDescent="0.35">
      <c r="A810" s="212" t="str">
        <f>COMPOSICIÓN!A810</f>
        <v>PTO-0308</v>
      </c>
      <c r="B810" s="212" t="str">
        <f>COMPOSICIÓN!B810</f>
        <v>MAT</v>
      </c>
      <c r="C810" s="212" t="str">
        <f>COMPOSICIÓN!C810</f>
        <v>COR</v>
      </c>
      <c r="D810" s="212" t="str">
        <f>COMPOSICIÓN!D810</f>
        <v>OTR-PTO049</v>
      </c>
      <c r="E810" s="212" t="str">
        <f>COMPOSICIÓN!E810</f>
        <v>Viga de encadenado - H35 (180 kg/m3 de hierro)</v>
      </c>
      <c r="F810" s="212" t="str">
        <f>COMPOSICIÓN!F810</f>
        <v>m3</v>
      </c>
      <c r="G810" s="213">
        <f>COMPOSICIÓN!G810</f>
        <v>1</v>
      </c>
      <c r="H810" s="214">
        <f>COMPOSICIÓN!H810</f>
        <v>0</v>
      </c>
      <c r="I810" s="215">
        <f>COMPOSICIÓN!I810</f>
        <v>528753.37025620299</v>
      </c>
      <c r="J810" s="212" t="str">
        <f>IFERROR(VLOOKUP(A810,PARTIDAS!$A$2:$C$269,3,FALSE()),"")</f>
        <v>ESTRUCTURA DE HORMIGÓN ARMADO</v>
      </c>
      <c r="K810" s="212" t="str">
        <f>IFERROR(INDEX(PPTO_GENERADOR!$B$4:$B$220,MATCH(A810,PPTO_GENERADOR!$Q$4:$Q$220,0)),"")</f>
        <v>ESTRUCTURA DE HORMIGÓN ARMADO</v>
      </c>
      <c r="L810" s="216">
        <f>IF(PLAN_ETAPA!$C$4="(TODOS)",SUMIFS(PPTO_GENERADOR!$E$4:$E$220,PPTO_GENERADOR!$Q$4:$Q$220,A810),SUMIFS(PPTO_GENERADOR!$E$4:$E$220,PPTO_GENERADOR!$Q$4:$Q$220,A810,PPTO_GENERADOR!$B$4:$B$220,PLAN_ETAPA!$C$4))</f>
        <v>0</v>
      </c>
      <c r="M810" s="216">
        <f>IFERROR(VLOOKUP(A810,PARTIDAS!$A$2:$F$269,6,FALSE()),1)</f>
        <v>1</v>
      </c>
      <c r="N810" s="216">
        <f>IFERROR(VLOOKUP(A810,PARTIDAS!$A$2:$I$269,9,FALSE()),1)</f>
        <v>1</v>
      </c>
      <c r="O810" s="217">
        <f t="shared" si="24"/>
        <v>0</v>
      </c>
      <c r="P810" s="216">
        <f>IF(O810=0,0,IF(B810="MAT",G810*(1+H810)*L810*PLAN_ETAPA!$C$5,IF(B810="MO",IF(M810=0,0,G810*L810*PLAN_ETAPA!$C$5*N810/M810),IF(B810="EQ",IF(M810=0,0,G810*L810*PLAN_ETAPA!$C$5/M810),0))))</f>
        <v>0</v>
      </c>
      <c r="Q810" s="218">
        <f t="shared" si="25"/>
        <v>0</v>
      </c>
    </row>
    <row r="811" spans="1:17" x14ac:dyDescent="0.35">
      <c r="A811" s="212" t="str">
        <f>COMPOSICIÓN!A811</f>
        <v>PTO-0308</v>
      </c>
      <c r="B811" s="212" t="str">
        <f>COMPOSICIÓN!B811</f>
        <v>MO</v>
      </c>
      <c r="C811" s="212" t="str">
        <f>COMPOSICIÓN!C811</f>
        <v>OTR</v>
      </c>
      <c r="D811" s="212" t="str">
        <f>COMPOSICIÓN!D811</f>
        <v>SUB-PTO013</v>
      </c>
      <c r="E811" s="212" t="str">
        <f>COMPOSICIÓN!E811</f>
        <v>MO Viga de encadenado - H35 (180 kg/m3 de hierro)</v>
      </c>
      <c r="F811" s="212" t="str">
        <f>COMPOSICIÓN!F811</f>
        <v>j</v>
      </c>
      <c r="G811" s="213">
        <f>COMPOSICIÓN!G811</f>
        <v>1</v>
      </c>
      <c r="H811" s="214">
        <f>COMPOSICIÓN!H811</f>
        <v>0</v>
      </c>
      <c r="I811" s="215">
        <f>COMPOSICIÓN!I811</f>
        <v>281633.96217538603</v>
      </c>
      <c r="J811" s="212" t="str">
        <f>IFERROR(VLOOKUP(A811,PARTIDAS!$A$2:$C$269,3,FALSE()),"")</f>
        <v>ESTRUCTURA DE HORMIGÓN ARMADO</v>
      </c>
      <c r="K811" s="212" t="str">
        <f>IFERROR(INDEX(PPTO_GENERADOR!$B$4:$B$220,MATCH(A811,PPTO_GENERADOR!$Q$4:$Q$220,0)),"")</f>
        <v>ESTRUCTURA DE HORMIGÓN ARMADO</v>
      </c>
      <c r="L811" s="216">
        <f>IF(PLAN_ETAPA!$C$4="(TODOS)",SUMIFS(PPTO_GENERADOR!$E$4:$E$220,PPTO_GENERADOR!$Q$4:$Q$220,A811),SUMIFS(PPTO_GENERADOR!$E$4:$E$220,PPTO_GENERADOR!$Q$4:$Q$220,A811,PPTO_GENERADOR!$B$4:$B$220,PLAN_ETAPA!$C$4))</f>
        <v>0</v>
      </c>
      <c r="M811" s="216">
        <f>IFERROR(VLOOKUP(A811,PARTIDAS!$A$2:$F$269,6,FALSE()),1)</f>
        <v>1</v>
      </c>
      <c r="N811" s="216">
        <f>IFERROR(VLOOKUP(A811,PARTIDAS!$A$2:$I$269,9,FALSE()),1)</f>
        <v>1</v>
      </c>
      <c r="O811" s="217">
        <f t="shared" si="24"/>
        <v>0</v>
      </c>
      <c r="P811" s="216">
        <f>IF(O811=0,0,IF(B811="MAT",G811*(1+H811)*L811*PLAN_ETAPA!$C$5,IF(B811="MO",IF(M811=0,0,G811*L811*PLAN_ETAPA!$C$5*N811/M811),IF(B811="EQ",IF(M811=0,0,G811*L811*PLAN_ETAPA!$C$5/M811),0))))</f>
        <v>0</v>
      </c>
      <c r="Q811" s="218">
        <f t="shared" si="25"/>
        <v>0</v>
      </c>
    </row>
    <row r="812" spans="1:17" x14ac:dyDescent="0.35">
      <c r="A812" s="212" t="str">
        <f>COMPOSICIÓN!A812</f>
        <v>PTO-0309</v>
      </c>
      <c r="B812" s="212" t="str">
        <f>COMPOSICIÓN!B812</f>
        <v>EQ</v>
      </c>
      <c r="C812" s="212">
        <f>COMPOSICIÓN!C812</f>
        <v>0</v>
      </c>
      <c r="D812" s="212" t="str">
        <f>COMPOSICIÓN!D812</f>
        <v>EQ-PTO011</v>
      </c>
      <c r="E812" s="212" t="str">
        <f>COMPOSICIÓN!E812</f>
        <v>Herramientas y consumibles Losa maciza - H35 (100 kg/m3 de hierro)</v>
      </c>
      <c r="F812" s="212">
        <f>COMPOSICIÓN!F812</f>
        <v>0</v>
      </c>
      <c r="G812" s="213">
        <f>COMPOSICIÓN!G812</f>
        <v>1</v>
      </c>
      <c r="H812" s="214">
        <f>COMPOSICIÓN!H812</f>
        <v>0</v>
      </c>
      <c r="I812" s="215">
        <f>COMPOSICIÓN!I812</f>
        <v>8915.6268732254393</v>
      </c>
      <c r="J812" s="212" t="str">
        <f>IFERROR(VLOOKUP(A812,PARTIDAS!$A$2:$C$269,3,FALSE()),"")</f>
        <v>ESTRUCTURA DE HORMIGÓN ARMADO</v>
      </c>
      <c r="K812" s="212" t="str">
        <f>IFERROR(INDEX(PPTO_GENERADOR!$B$4:$B$220,MATCH(A812,PPTO_GENERADOR!$Q$4:$Q$220,0)),"")</f>
        <v>ESTRUCTURA DE HORMIGÓN ARMADO</v>
      </c>
      <c r="L812" s="216">
        <f>IF(PLAN_ETAPA!$C$4="(TODOS)",SUMIFS(PPTO_GENERADOR!$E$4:$E$220,PPTO_GENERADOR!$Q$4:$Q$220,A812),SUMIFS(PPTO_GENERADOR!$E$4:$E$220,PPTO_GENERADOR!$Q$4:$Q$220,A812,PPTO_GENERADOR!$B$4:$B$220,PLAN_ETAPA!$C$4))</f>
        <v>0</v>
      </c>
      <c r="M812" s="216">
        <f>IFERROR(VLOOKUP(A812,PARTIDAS!$A$2:$F$269,6,FALSE()),1)</f>
        <v>1</v>
      </c>
      <c r="N812" s="216">
        <f>IFERROR(VLOOKUP(A812,PARTIDAS!$A$2:$I$269,9,FALSE()),1)</f>
        <v>1</v>
      </c>
      <c r="O812" s="217">
        <f t="shared" si="24"/>
        <v>0</v>
      </c>
      <c r="P812" s="216">
        <f>IF(O812=0,0,IF(B812="MAT",G812*(1+H812)*L812*PLAN_ETAPA!$C$5,IF(B812="MO",IF(M812=0,0,G812*L812*PLAN_ETAPA!$C$5*N812/M812),IF(B812="EQ",IF(M812=0,0,G812*L812*PLAN_ETAPA!$C$5/M812),0))))</f>
        <v>0</v>
      </c>
      <c r="Q812" s="218">
        <f t="shared" si="25"/>
        <v>0</v>
      </c>
    </row>
    <row r="813" spans="1:17" x14ac:dyDescent="0.35">
      <c r="A813" s="212" t="str">
        <f>COMPOSICIÓN!A813</f>
        <v>PTO-0309</v>
      </c>
      <c r="B813" s="212" t="str">
        <f>COMPOSICIÓN!B813</f>
        <v>MAT</v>
      </c>
      <c r="C813" s="212" t="str">
        <f>COMPOSICIÓN!C813</f>
        <v>COR</v>
      </c>
      <c r="D813" s="212" t="str">
        <f>COMPOSICIÓN!D813</f>
        <v>OTR-PTO050</v>
      </c>
      <c r="E813" s="212" t="str">
        <f>COMPOSICIÓN!E813</f>
        <v>Losa maciza - H35 (100 kg/m3 de hierro)</v>
      </c>
      <c r="F813" s="212" t="str">
        <f>COMPOSICIÓN!F813</f>
        <v>m3</v>
      </c>
      <c r="G813" s="213">
        <f>COMPOSICIÓN!G813</f>
        <v>1</v>
      </c>
      <c r="H813" s="214">
        <f>COMPOSICIÓN!H813</f>
        <v>0</v>
      </c>
      <c r="I813" s="215">
        <f>COMPOSICIÓN!I813</f>
        <v>372584.32994905498</v>
      </c>
      <c r="J813" s="212" t="str">
        <f>IFERROR(VLOOKUP(A813,PARTIDAS!$A$2:$C$269,3,FALSE()),"")</f>
        <v>ESTRUCTURA DE HORMIGÓN ARMADO</v>
      </c>
      <c r="K813" s="212" t="str">
        <f>IFERROR(INDEX(PPTO_GENERADOR!$B$4:$B$220,MATCH(A813,PPTO_GENERADOR!$Q$4:$Q$220,0)),"")</f>
        <v>ESTRUCTURA DE HORMIGÓN ARMADO</v>
      </c>
      <c r="L813" s="216">
        <f>IF(PLAN_ETAPA!$C$4="(TODOS)",SUMIFS(PPTO_GENERADOR!$E$4:$E$220,PPTO_GENERADOR!$Q$4:$Q$220,A813),SUMIFS(PPTO_GENERADOR!$E$4:$E$220,PPTO_GENERADOR!$Q$4:$Q$220,A813,PPTO_GENERADOR!$B$4:$B$220,PLAN_ETAPA!$C$4))</f>
        <v>0</v>
      </c>
      <c r="M813" s="216">
        <f>IFERROR(VLOOKUP(A813,PARTIDAS!$A$2:$F$269,6,FALSE()),1)</f>
        <v>1</v>
      </c>
      <c r="N813" s="216">
        <f>IFERROR(VLOOKUP(A813,PARTIDAS!$A$2:$I$269,9,FALSE()),1)</f>
        <v>1</v>
      </c>
      <c r="O813" s="217">
        <f t="shared" si="24"/>
        <v>0</v>
      </c>
      <c r="P813" s="216">
        <f>IF(O813=0,0,IF(B813="MAT",G813*(1+H813)*L813*PLAN_ETAPA!$C$5,IF(B813="MO",IF(M813=0,0,G813*L813*PLAN_ETAPA!$C$5*N813/M813),IF(B813="EQ",IF(M813=0,0,G813*L813*PLAN_ETAPA!$C$5/M813),0))))</f>
        <v>0</v>
      </c>
      <c r="Q813" s="218">
        <f t="shared" si="25"/>
        <v>0</v>
      </c>
    </row>
    <row r="814" spans="1:17" x14ac:dyDescent="0.35">
      <c r="A814" s="212" t="str">
        <f>COMPOSICIÓN!A814</f>
        <v>PTO-0309</v>
      </c>
      <c r="B814" s="212" t="str">
        <f>COMPOSICIÓN!B814</f>
        <v>MO</v>
      </c>
      <c r="C814" s="212" t="str">
        <f>COMPOSICIÓN!C814</f>
        <v>OTR</v>
      </c>
      <c r="D814" s="212" t="str">
        <f>COMPOSICIÓN!D814</f>
        <v>SUB-PTO014</v>
      </c>
      <c r="E814" s="212" t="str">
        <f>COMPOSICIÓN!E814</f>
        <v>MO Losa maciza - H35 (100 kg/m3 de hierro)</v>
      </c>
      <c r="F814" s="212" t="str">
        <f>COMPOSICIÓN!F814</f>
        <v>j</v>
      </c>
      <c r="G814" s="213">
        <f>COMPOSICIÓN!G814</f>
        <v>1</v>
      </c>
      <c r="H814" s="214">
        <f>COMPOSICIÓN!H814</f>
        <v>0</v>
      </c>
      <c r="I814" s="215">
        <f>COMPOSICIÓN!I814</f>
        <v>221790.794932641</v>
      </c>
      <c r="J814" s="212" t="str">
        <f>IFERROR(VLOOKUP(A814,PARTIDAS!$A$2:$C$269,3,FALSE()),"")</f>
        <v>ESTRUCTURA DE HORMIGÓN ARMADO</v>
      </c>
      <c r="K814" s="212" t="str">
        <f>IFERROR(INDEX(PPTO_GENERADOR!$B$4:$B$220,MATCH(A814,PPTO_GENERADOR!$Q$4:$Q$220,0)),"")</f>
        <v>ESTRUCTURA DE HORMIGÓN ARMADO</v>
      </c>
      <c r="L814" s="216">
        <f>IF(PLAN_ETAPA!$C$4="(TODOS)",SUMIFS(PPTO_GENERADOR!$E$4:$E$220,PPTO_GENERADOR!$Q$4:$Q$220,A814),SUMIFS(PPTO_GENERADOR!$E$4:$E$220,PPTO_GENERADOR!$Q$4:$Q$220,A814,PPTO_GENERADOR!$B$4:$B$220,PLAN_ETAPA!$C$4))</f>
        <v>0</v>
      </c>
      <c r="M814" s="216">
        <f>IFERROR(VLOOKUP(A814,PARTIDAS!$A$2:$F$269,6,FALSE()),1)</f>
        <v>1</v>
      </c>
      <c r="N814" s="216">
        <f>IFERROR(VLOOKUP(A814,PARTIDAS!$A$2:$I$269,9,FALSE()),1)</f>
        <v>1</v>
      </c>
      <c r="O814" s="217">
        <f t="shared" si="24"/>
        <v>0</v>
      </c>
      <c r="P814" s="216">
        <f>IF(O814=0,0,IF(B814="MAT",G814*(1+H814)*L814*PLAN_ETAPA!$C$5,IF(B814="MO",IF(M814=0,0,G814*L814*PLAN_ETAPA!$C$5*N814/M814),IF(B814="EQ",IF(M814=0,0,G814*L814*PLAN_ETAPA!$C$5/M814),0))))</f>
        <v>0</v>
      </c>
      <c r="Q814" s="218">
        <f t="shared" si="25"/>
        <v>0</v>
      </c>
    </row>
    <row r="815" spans="1:17" x14ac:dyDescent="0.35">
      <c r="A815" s="212" t="str">
        <f>COMPOSICIÓN!A815</f>
        <v>PTO-0310</v>
      </c>
      <c r="B815" s="212" t="str">
        <f>COMPOSICIÓN!B815</f>
        <v>EQ</v>
      </c>
      <c r="C815" s="212">
        <f>COMPOSICIÓN!C815</f>
        <v>0</v>
      </c>
      <c r="D815" s="212" t="str">
        <f>COMPOSICIÓN!D815</f>
        <v>EQ-PTO012</v>
      </c>
      <c r="E815" s="212" t="str">
        <f>COMPOSICIÓN!E815</f>
        <v>Herramientas y consumibles Losa maciza de Hº visto - H35 (100 kg/m3 de hierro</v>
      </c>
      <c r="F815" s="212">
        <f>COMPOSICIÓN!F815</f>
        <v>0</v>
      </c>
      <c r="G815" s="213">
        <f>COMPOSICIÓN!G815</f>
        <v>1</v>
      </c>
      <c r="H815" s="214">
        <f>COMPOSICIÓN!H815</f>
        <v>0</v>
      </c>
      <c r="I815" s="215">
        <f>COMPOSICIÓN!I815</f>
        <v>9854.9599131873692</v>
      </c>
      <c r="J815" s="212" t="str">
        <f>IFERROR(VLOOKUP(A815,PARTIDAS!$A$2:$C$269,3,FALSE()),"")</f>
        <v>ESTRUCTURA DE HORMIGÓN ARMADO</v>
      </c>
      <c r="K815" s="212" t="str">
        <f>IFERROR(INDEX(PPTO_GENERADOR!$B$4:$B$220,MATCH(A815,PPTO_GENERADOR!$Q$4:$Q$220,0)),"")</f>
        <v>ESTRUCTURA DE HORMIGÓN ARMADO</v>
      </c>
      <c r="L815" s="216">
        <f>IF(PLAN_ETAPA!$C$4="(TODOS)",SUMIFS(PPTO_GENERADOR!$E$4:$E$220,PPTO_GENERADOR!$Q$4:$Q$220,A815),SUMIFS(PPTO_GENERADOR!$E$4:$E$220,PPTO_GENERADOR!$Q$4:$Q$220,A815,PPTO_GENERADOR!$B$4:$B$220,PLAN_ETAPA!$C$4))</f>
        <v>0</v>
      </c>
      <c r="M815" s="216">
        <f>IFERROR(VLOOKUP(A815,PARTIDAS!$A$2:$F$269,6,FALSE()),1)</f>
        <v>1</v>
      </c>
      <c r="N815" s="216">
        <f>IFERROR(VLOOKUP(A815,PARTIDAS!$A$2:$I$269,9,FALSE()),1)</f>
        <v>1</v>
      </c>
      <c r="O815" s="217">
        <f t="shared" si="24"/>
        <v>0</v>
      </c>
      <c r="P815" s="216">
        <f>IF(O815=0,0,IF(B815="MAT",G815*(1+H815)*L815*PLAN_ETAPA!$C$5,IF(B815="MO",IF(M815=0,0,G815*L815*PLAN_ETAPA!$C$5*N815/M815),IF(B815="EQ",IF(M815=0,0,G815*L815*PLAN_ETAPA!$C$5/M815),0))))</f>
        <v>0</v>
      </c>
      <c r="Q815" s="218">
        <f t="shared" si="25"/>
        <v>0</v>
      </c>
    </row>
    <row r="816" spans="1:17" x14ac:dyDescent="0.35">
      <c r="A816" s="212" t="str">
        <f>COMPOSICIÓN!A816</f>
        <v>PTO-0310</v>
      </c>
      <c r="B816" s="212" t="str">
        <f>COMPOSICIÓN!B816</f>
        <v>MAT</v>
      </c>
      <c r="C816" s="212" t="str">
        <f>COMPOSICIÓN!C816</f>
        <v>COR</v>
      </c>
      <c r="D816" s="212" t="str">
        <f>COMPOSICIÓN!D816</f>
        <v>OTR-PTO051</v>
      </c>
      <c r="E816" s="212" t="str">
        <f>COMPOSICIÓN!E816</f>
        <v xml:space="preserve">Losa maciza de Hº visto - H35 (100 kg/m3 de hierro) </v>
      </c>
      <c r="F816" s="212" t="str">
        <f>COMPOSICIÓN!F816</f>
        <v>m3</v>
      </c>
      <c r="G816" s="213">
        <f>COMPOSICIÓN!G816</f>
        <v>1</v>
      </c>
      <c r="H816" s="214">
        <f>COMPOSICIÓN!H816</f>
        <v>0</v>
      </c>
      <c r="I816" s="215">
        <f>COMPOSICIÓN!I816</f>
        <v>379758.83388002298</v>
      </c>
      <c r="J816" s="212" t="str">
        <f>IFERROR(VLOOKUP(A816,PARTIDAS!$A$2:$C$269,3,FALSE()),"")</f>
        <v>ESTRUCTURA DE HORMIGÓN ARMADO</v>
      </c>
      <c r="K816" s="212" t="str">
        <f>IFERROR(INDEX(PPTO_GENERADOR!$B$4:$B$220,MATCH(A816,PPTO_GENERADOR!$Q$4:$Q$220,0)),"")</f>
        <v>ESTRUCTURA DE HORMIGÓN ARMADO</v>
      </c>
      <c r="L816" s="216">
        <f>IF(PLAN_ETAPA!$C$4="(TODOS)",SUMIFS(PPTO_GENERADOR!$E$4:$E$220,PPTO_GENERADOR!$Q$4:$Q$220,A816),SUMIFS(PPTO_GENERADOR!$E$4:$E$220,PPTO_GENERADOR!$Q$4:$Q$220,A816,PPTO_GENERADOR!$B$4:$B$220,PLAN_ETAPA!$C$4))</f>
        <v>0</v>
      </c>
      <c r="M816" s="216">
        <f>IFERROR(VLOOKUP(A816,PARTIDAS!$A$2:$F$269,6,FALSE()),1)</f>
        <v>1</v>
      </c>
      <c r="N816" s="216">
        <f>IFERROR(VLOOKUP(A816,PARTIDAS!$A$2:$I$269,9,FALSE()),1)</f>
        <v>1</v>
      </c>
      <c r="O816" s="217">
        <f t="shared" si="24"/>
        <v>0</v>
      </c>
      <c r="P816" s="216">
        <f>IF(O816=0,0,IF(B816="MAT",G816*(1+H816)*L816*PLAN_ETAPA!$C$5,IF(B816="MO",IF(M816=0,0,G816*L816*PLAN_ETAPA!$C$5*N816/M816),IF(B816="EQ",IF(M816=0,0,G816*L816*PLAN_ETAPA!$C$5/M816),0))))</f>
        <v>0</v>
      </c>
      <c r="Q816" s="218">
        <f t="shared" si="25"/>
        <v>0</v>
      </c>
    </row>
    <row r="817" spans="1:17" x14ac:dyDescent="0.35">
      <c r="A817" s="212" t="str">
        <f>COMPOSICIÓN!A817</f>
        <v>PTO-0310</v>
      </c>
      <c r="B817" s="212" t="str">
        <f>COMPOSICIÓN!B817</f>
        <v>MO</v>
      </c>
      <c r="C817" s="212" t="str">
        <f>COMPOSICIÓN!C817</f>
        <v>OTR</v>
      </c>
      <c r="D817" s="212" t="str">
        <f>COMPOSICIÓN!D817</f>
        <v>SUB-PTO015</v>
      </c>
      <c r="E817" s="212" t="str">
        <f>COMPOSICIÓN!E817</f>
        <v xml:space="preserve">MO Losa maciza de Hº visto - H35 (100 kg/m3 de hierro) </v>
      </c>
      <c r="F817" s="212" t="str">
        <f>COMPOSICIÓN!F817</f>
        <v>j</v>
      </c>
      <c r="G817" s="213">
        <f>COMPOSICIÓN!G817</f>
        <v>1</v>
      </c>
      <c r="H817" s="214">
        <f>COMPOSICIÓN!H817</f>
        <v>0</v>
      </c>
      <c r="I817" s="215">
        <f>COMPOSICIÓN!I817</f>
        <v>277238.49366580101</v>
      </c>
      <c r="J817" s="212" t="str">
        <f>IFERROR(VLOOKUP(A817,PARTIDAS!$A$2:$C$269,3,FALSE()),"")</f>
        <v>ESTRUCTURA DE HORMIGÓN ARMADO</v>
      </c>
      <c r="K817" s="212" t="str">
        <f>IFERROR(INDEX(PPTO_GENERADOR!$B$4:$B$220,MATCH(A817,PPTO_GENERADOR!$Q$4:$Q$220,0)),"")</f>
        <v>ESTRUCTURA DE HORMIGÓN ARMADO</v>
      </c>
      <c r="L817" s="216">
        <f>IF(PLAN_ETAPA!$C$4="(TODOS)",SUMIFS(PPTO_GENERADOR!$E$4:$E$220,PPTO_GENERADOR!$Q$4:$Q$220,A817),SUMIFS(PPTO_GENERADOR!$E$4:$E$220,PPTO_GENERADOR!$Q$4:$Q$220,A817,PPTO_GENERADOR!$B$4:$B$220,PLAN_ETAPA!$C$4))</f>
        <v>0</v>
      </c>
      <c r="M817" s="216">
        <f>IFERROR(VLOOKUP(A817,PARTIDAS!$A$2:$F$269,6,FALSE()),1)</f>
        <v>1</v>
      </c>
      <c r="N817" s="216">
        <f>IFERROR(VLOOKUP(A817,PARTIDAS!$A$2:$I$269,9,FALSE()),1)</f>
        <v>1</v>
      </c>
      <c r="O817" s="217">
        <f t="shared" si="24"/>
        <v>0</v>
      </c>
      <c r="P817" s="216">
        <f>IF(O817=0,0,IF(B817="MAT",G817*(1+H817)*L817*PLAN_ETAPA!$C$5,IF(B817="MO",IF(M817=0,0,G817*L817*PLAN_ETAPA!$C$5*N817/M817),IF(B817="EQ",IF(M817=0,0,G817*L817*PLAN_ETAPA!$C$5/M817),0))))</f>
        <v>0</v>
      </c>
      <c r="Q817" s="218">
        <f t="shared" si="25"/>
        <v>0</v>
      </c>
    </row>
    <row r="818" spans="1:17" x14ac:dyDescent="0.35">
      <c r="A818" s="212" t="str">
        <f>COMPOSICIÓN!A818</f>
        <v>PTO-0311</v>
      </c>
      <c r="B818" s="212" t="str">
        <f>COMPOSICIÓN!B818</f>
        <v>EQ</v>
      </c>
      <c r="C818" s="212">
        <f>COMPOSICIÓN!C818</f>
        <v>0</v>
      </c>
      <c r="D818" s="212" t="str">
        <f>COMPOSICIÓN!D818</f>
        <v>EQ-PTO013</v>
      </c>
      <c r="E818" s="212" t="str">
        <f>COMPOSICIÓN!E818</f>
        <v>Herramientas y consumibles Vigas - H35 (180 kg/m3 de hierro)</v>
      </c>
      <c r="F818" s="212">
        <f>COMPOSICIÓN!F818</f>
        <v>0</v>
      </c>
      <c r="G818" s="213">
        <f>COMPOSICIÓN!G818</f>
        <v>1</v>
      </c>
      <c r="H818" s="214">
        <f>COMPOSICIÓN!H818</f>
        <v>0</v>
      </c>
      <c r="I818" s="215">
        <f>COMPOSICIÓN!I818</f>
        <v>16574.254700785801</v>
      </c>
      <c r="J818" s="212" t="str">
        <f>IFERROR(VLOOKUP(A818,PARTIDAS!$A$2:$C$269,3,FALSE()),"")</f>
        <v>ESTRUCTURA DE HORMIGÓN ARMADO</v>
      </c>
      <c r="K818" s="212" t="str">
        <f>IFERROR(INDEX(PPTO_GENERADOR!$B$4:$B$220,MATCH(A818,PPTO_GENERADOR!$Q$4:$Q$220,0)),"")</f>
        <v>ESTRUCTURA DE HORMIGÓN ARMADO</v>
      </c>
      <c r="L818" s="216">
        <f>IF(PLAN_ETAPA!$C$4="(TODOS)",SUMIFS(PPTO_GENERADOR!$E$4:$E$220,PPTO_GENERADOR!$Q$4:$Q$220,A818),SUMIFS(PPTO_GENERADOR!$E$4:$E$220,PPTO_GENERADOR!$Q$4:$Q$220,A818,PPTO_GENERADOR!$B$4:$B$220,PLAN_ETAPA!$C$4))</f>
        <v>0</v>
      </c>
      <c r="M818" s="216">
        <f>IFERROR(VLOOKUP(A818,PARTIDAS!$A$2:$F$269,6,FALSE()),1)</f>
        <v>1</v>
      </c>
      <c r="N818" s="216">
        <f>IFERROR(VLOOKUP(A818,PARTIDAS!$A$2:$I$269,9,FALSE()),1)</f>
        <v>1</v>
      </c>
      <c r="O818" s="217">
        <f t="shared" si="24"/>
        <v>0</v>
      </c>
      <c r="P818" s="216">
        <f>IF(O818=0,0,IF(B818="MAT",G818*(1+H818)*L818*PLAN_ETAPA!$C$5,IF(B818="MO",IF(M818=0,0,G818*L818*PLAN_ETAPA!$C$5*N818/M818),IF(B818="EQ",IF(M818=0,0,G818*L818*PLAN_ETAPA!$C$5/M818),0))))</f>
        <v>0</v>
      </c>
      <c r="Q818" s="218">
        <f t="shared" si="25"/>
        <v>0</v>
      </c>
    </row>
    <row r="819" spans="1:17" x14ac:dyDescent="0.35">
      <c r="A819" s="212" t="str">
        <f>COMPOSICIÓN!A819</f>
        <v>PTO-0311</v>
      </c>
      <c r="B819" s="212" t="str">
        <f>COMPOSICIÓN!B819</f>
        <v>MAT</v>
      </c>
      <c r="C819" s="212" t="str">
        <f>COMPOSICIÓN!C819</f>
        <v>COR</v>
      </c>
      <c r="D819" s="212" t="str">
        <f>COMPOSICIÓN!D819</f>
        <v>OTR-PTO052</v>
      </c>
      <c r="E819" s="212" t="str">
        <f>COMPOSICIÓN!E819</f>
        <v>Vigas - H35 (180 kg/m3 de hierro)</v>
      </c>
      <c r="F819" s="212" t="str">
        <f>COMPOSICIÓN!F819</f>
        <v>m3</v>
      </c>
      <c r="G819" s="213">
        <f>COMPOSICIÓN!G819</f>
        <v>1</v>
      </c>
      <c r="H819" s="214">
        <f>COMPOSICIÓN!H819</f>
        <v>0</v>
      </c>
      <c r="I819" s="215">
        <f>COMPOSICIÓN!I819</f>
        <v>567913.50664448505</v>
      </c>
      <c r="J819" s="212" t="str">
        <f>IFERROR(VLOOKUP(A819,PARTIDAS!$A$2:$C$269,3,FALSE()),"")</f>
        <v>ESTRUCTURA DE HORMIGÓN ARMADO</v>
      </c>
      <c r="K819" s="212" t="str">
        <f>IFERROR(INDEX(PPTO_GENERADOR!$B$4:$B$220,MATCH(A819,PPTO_GENERADOR!$Q$4:$Q$220,0)),"")</f>
        <v>ESTRUCTURA DE HORMIGÓN ARMADO</v>
      </c>
      <c r="L819" s="216">
        <f>IF(PLAN_ETAPA!$C$4="(TODOS)",SUMIFS(PPTO_GENERADOR!$E$4:$E$220,PPTO_GENERADOR!$Q$4:$Q$220,A819),SUMIFS(PPTO_GENERADOR!$E$4:$E$220,PPTO_GENERADOR!$Q$4:$Q$220,A819,PPTO_GENERADOR!$B$4:$B$220,PLAN_ETAPA!$C$4))</f>
        <v>0</v>
      </c>
      <c r="M819" s="216">
        <f>IFERROR(VLOOKUP(A819,PARTIDAS!$A$2:$F$269,6,FALSE()),1)</f>
        <v>1</v>
      </c>
      <c r="N819" s="216">
        <f>IFERROR(VLOOKUP(A819,PARTIDAS!$A$2:$I$269,9,FALSE()),1)</f>
        <v>1</v>
      </c>
      <c r="O819" s="217">
        <f t="shared" si="24"/>
        <v>0</v>
      </c>
      <c r="P819" s="216">
        <f>IF(O819=0,0,IF(B819="MAT",G819*(1+H819)*L819*PLAN_ETAPA!$C$5,IF(B819="MO",IF(M819=0,0,G819*L819*PLAN_ETAPA!$C$5*N819/M819),IF(B819="EQ",IF(M819=0,0,G819*L819*PLAN_ETAPA!$C$5/M819),0))))</f>
        <v>0</v>
      </c>
      <c r="Q819" s="218">
        <f t="shared" si="25"/>
        <v>0</v>
      </c>
    </row>
    <row r="820" spans="1:17" x14ac:dyDescent="0.35">
      <c r="A820" s="212" t="str">
        <f>COMPOSICIÓN!A820</f>
        <v>PTO-0311</v>
      </c>
      <c r="B820" s="212" t="str">
        <f>COMPOSICIÓN!B820</f>
        <v>MO</v>
      </c>
      <c r="C820" s="212" t="str">
        <f>COMPOSICIÓN!C820</f>
        <v>OTR</v>
      </c>
      <c r="D820" s="212" t="str">
        <f>COMPOSICIÓN!D820</f>
        <v>SUB-PTO016</v>
      </c>
      <c r="E820" s="212" t="str">
        <f>COMPOSICIÓN!E820</f>
        <v>MO Vigas - H35 (180 kg/m3 de hierro)</v>
      </c>
      <c r="F820" s="212" t="str">
        <f>COMPOSICIÓN!F820</f>
        <v>j</v>
      </c>
      <c r="G820" s="213">
        <f>COMPOSICIÓN!G820</f>
        <v>1</v>
      </c>
      <c r="H820" s="214">
        <f>COMPOSICIÓN!H820</f>
        <v>0</v>
      </c>
      <c r="I820" s="215">
        <f>COMPOSICIÓN!I820</f>
        <v>537036.80674123298</v>
      </c>
      <c r="J820" s="212" t="str">
        <f>IFERROR(VLOOKUP(A820,PARTIDAS!$A$2:$C$269,3,FALSE()),"")</f>
        <v>ESTRUCTURA DE HORMIGÓN ARMADO</v>
      </c>
      <c r="K820" s="212" t="str">
        <f>IFERROR(INDEX(PPTO_GENERADOR!$B$4:$B$220,MATCH(A820,PPTO_GENERADOR!$Q$4:$Q$220,0)),"")</f>
        <v>ESTRUCTURA DE HORMIGÓN ARMADO</v>
      </c>
      <c r="L820" s="216">
        <f>IF(PLAN_ETAPA!$C$4="(TODOS)",SUMIFS(PPTO_GENERADOR!$E$4:$E$220,PPTO_GENERADOR!$Q$4:$Q$220,A820),SUMIFS(PPTO_GENERADOR!$E$4:$E$220,PPTO_GENERADOR!$Q$4:$Q$220,A820,PPTO_GENERADOR!$B$4:$B$220,PLAN_ETAPA!$C$4))</f>
        <v>0</v>
      </c>
      <c r="M820" s="216">
        <f>IFERROR(VLOOKUP(A820,PARTIDAS!$A$2:$F$269,6,FALSE()),1)</f>
        <v>1</v>
      </c>
      <c r="N820" s="216">
        <f>IFERROR(VLOOKUP(A820,PARTIDAS!$A$2:$I$269,9,FALSE()),1)</f>
        <v>1</v>
      </c>
      <c r="O820" s="217">
        <f t="shared" si="24"/>
        <v>0</v>
      </c>
      <c r="P820" s="216">
        <f>IF(O820=0,0,IF(B820="MAT",G820*(1+H820)*L820*PLAN_ETAPA!$C$5,IF(B820="MO",IF(M820=0,0,G820*L820*PLAN_ETAPA!$C$5*N820/M820),IF(B820="EQ",IF(M820=0,0,G820*L820*PLAN_ETAPA!$C$5/M820),0))))</f>
        <v>0</v>
      </c>
      <c r="Q820" s="218">
        <f t="shared" si="25"/>
        <v>0</v>
      </c>
    </row>
    <row r="821" spans="1:17" x14ac:dyDescent="0.35">
      <c r="A821" s="212" t="str">
        <f>COMPOSICIÓN!A821</f>
        <v>PTO-0312</v>
      </c>
      <c r="B821" s="212" t="str">
        <f>COMPOSICIÓN!B821</f>
        <v>EQ</v>
      </c>
      <c r="C821" s="212">
        <f>COMPOSICIÓN!C821</f>
        <v>0</v>
      </c>
      <c r="D821" s="212" t="str">
        <f>COMPOSICIÓN!D821</f>
        <v>EQ-PTO014</v>
      </c>
      <c r="E821" s="212" t="str">
        <f>COMPOSICIÓN!E821</f>
        <v xml:space="preserve">Herramientas y consumibles Vigas de H° visto - H35 (180 kg/m3 de hierro) </v>
      </c>
      <c r="F821" s="212">
        <f>COMPOSICIÓN!F821</f>
        <v>0</v>
      </c>
      <c r="G821" s="213">
        <f>COMPOSICIÓN!G821</f>
        <v>1</v>
      </c>
      <c r="H821" s="214">
        <f>COMPOSICIÓN!H821</f>
        <v>0</v>
      </c>
      <c r="I821" s="215">
        <f>COMPOSICIÓN!I821</f>
        <v>18555.793102383701</v>
      </c>
      <c r="J821" s="212" t="str">
        <f>IFERROR(VLOOKUP(A821,PARTIDAS!$A$2:$C$269,3,FALSE()),"")</f>
        <v>ESTRUCTURA DE HORMIGÓN ARMADO</v>
      </c>
      <c r="K821" s="212" t="str">
        <f>IFERROR(INDEX(PPTO_GENERADOR!$B$4:$B$220,MATCH(A821,PPTO_GENERADOR!$Q$4:$Q$220,0)),"")</f>
        <v>ESTRUCTURA DE HORMIGÓN ARMADO</v>
      </c>
      <c r="L821" s="216">
        <f>IF(PLAN_ETAPA!$C$4="(TODOS)",SUMIFS(PPTO_GENERADOR!$E$4:$E$220,PPTO_GENERADOR!$Q$4:$Q$220,A821),SUMIFS(PPTO_GENERADOR!$E$4:$E$220,PPTO_GENERADOR!$Q$4:$Q$220,A821,PPTO_GENERADOR!$B$4:$B$220,PLAN_ETAPA!$C$4))</f>
        <v>0</v>
      </c>
      <c r="M821" s="216">
        <f>IFERROR(VLOOKUP(A821,PARTIDAS!$A$2:$F$269,6,FALSE()),1)</f>
        <v>1</v>
      </c>
      <c r="N821" s="216">
        <f>IFERROR(VLOOKUP(A821,PARTIDAS!$A$2:$I$269,9,FALSE()),1)</f>
        <v>1</v>
      </c>
      <c r="O821" s="217">
        <f t="shared" si="24"/>
        <v>0</v>
      </c>
      <c r="P821" s="216">
        <f>IF(O821=0,0,IF(B821="MAT",G821*(1+H821)*L821*PLAN_ETAPA!$C$5,IF(B821="MO",IF(M821=0,0,G821*L821*PLAN_ETAPA!$C$5*N821/M821),IF(B821="EQ",IF(M821=0,0,G821*L821*PLAN_ETAPA!$C$5/M821),0))))</f>
        <v>0</v>
      </c>
      <c r="Q821" s="218">
        <f t="shared" si="25"/>
        <v>0</v>
      </c>
    </row>
    <row r="822" spans="1:17" x14ac:dyDescent="0.35">
      <c r="A822" s="212" t="str">
        <f>COMPOSICIÓN!A822</f>
        <v>PTO-0312</v>
      </c>
      <c r="B822" s="212" t="str">
        <f>COMPOSICIÓN!B822</f>
        <v>MAT</v>
      </c>
      <c r="C822" s="212" t="str">
        <f>COMPOSICIÓN!C822</f>
        <v>COR</v>
      </c>
      <c r="D822" s="212" t="str">
        <f>COMPOSICIÓN!D822</f>
        <v>OTR-PTO053</v>
      </c>
      <c r="E822" s="212" t="str">
        <f>COMPOSICIÓN!E822</f>
        <v xml:space="preserve">Vigas de H° visto - H35 (180 kg/m3 de hierro) </v>
      </c>
      <c r="F822" s="212" t="str">
        <f>COMPOSICIÓN!F822</f>
        <v>m3</v>
      </c>
      <c r="G822" s="213">
        <f>COMPOSICIÓN!G822</f>
        <v>1</v>
      </c>
      <c r="H822" s="214">
        <f>COMPOSICIÓN!H822</f>
        <v>0</v>
      </c>
      <c r="I822" s="215">
        <f>COMPOSICIÓN!I822</f>
        <v>565756.86506570596</v>
      </c>
      <c r="J822" s="212" t="str">
        <f>IFERROR(VLOOKUP(A822,PARTIDAS!$A$2:$C$269,3,FALSE()),"")</f>
        <v>ESTRUCTURA DE HORMIGÓN ARMADO</v>
      </c>
      <c r="K822" s="212" t="str">
        <f>IFERROR(INDEX(PPTO_GENERADOR!$B$4:$B$220,MATCH(A822,PPTO_GENERADOR!$Q$4:$Q$220,0)),"")</f>
        <v>ESTRUCTURA DE HORMIGÓN ARMADO</v>
      </c>
      <c r="L822" s="216">
        <f>IF(PLAN_ETAPA!$C$4="(TODOS)",SUMIFS(PPTO_GENERADOR!$E$4:$E$220,PPTO_GENERADOR!$Q$4:$Q$220,A822),SUMIFS(PPTO_GENERADOR!$E$4:$E$220,PPTO_GENERADOR!$Q$4:$Q$220,A822,PPTO_GENERADOR!$B$4:$B$220,PLAN_ETAPA!$C$4))</f>
        <v>0</v>
      </c>
      <c r="M822" s="216">
        <f>IFERROR(VLOOKUP(A822,PARTIDAS!$A$2:$F$269,6,FALSE()),1)</f>
        <v>1</v>
      </c>
      <c r="N822" s="216">
        <f>IFERROR(VLOOKUP(A822,PARTIDAS!$A$2:$I$269,9,FALSE()),1)</f>
        <v>1</v>
      </c>
      <c r="O822" s="217">
        <f t="shared" si="24"/>
        <v>0</v>
      </c>
      <c r="P822" s="216">
        <f>IF(O822=0,0,IF(B822="MAT",G822*(1+H822)*L822*PLAN_ETAPA!$C$5,IF(B822="MO",IF(M822=0,0,G822*L822*PLAN_ETAPA!$C$5*N822/M822),IF(B822="EQ",IF(M822=0,0,G822*L822*PLAN_ETAPA!$C$5/M822),0))))</f>
        <v>0</v>
      </c>
      <c r="Q822" s="218">
        <f t="shared" si="25"/>
        <v>0</v>
      </c>
    </row>
    <row r="823" spans="1:17" x14ac:dyDescent="0.35">
      <c r="A823" s="212" t="str">
        <f>COMPOSICIÓN!A823</f>
        <v>PTO-0312</v>
      </c>
      <c r="B823" s="212" t="str">
        <f>COMPOSICIÓN!B823</f>
        <v>MO</v>
      </c>
      <c r="C823" s="212" t="str">
        <f>COMPOSICIÓN!C823</f>
        <v>OTR</v>
      </c>
      <c r="D823" s="212" t="str">
        <f>COMPOSICIÓN!D823</f>
        <v>SUB-PTO017</v>
      </c>
      <c r="E823" s="212" t="str">
        <f>COMPOSICIÓN!E823</f>
        <v xml:space="preserve">MO Vigas de H° visto - H35 (180 kg/m3 de hierro) </v>
      </c>
      <c r="F823" s="212" t="str">
        <f>COMPOSICIÓN!F823</f>
        <v>j</v>
      </c>
      <c r="G823" s="213">
        <f>COMPOSICIÓN!G823</f>
        <v>1</v>
      </c>
      <c r="H823" s="214">
        <f>COMPOSICIÓN!H823</f>
        <v>0</v>
      </c>
      <c r="I823" s="215">
        <f>COMPOSICIÓN!I823</f>
        <v>671296.008426541</v>
      </c>
      <c r="J823" s="212" t="str">
        <f>IFERROR(VLOOKUP(A823,PARTIDAS!$A$2:$C$269,3,FALSE()),"")</f>
        <v>ESTRUCTURA DE HORMIGÓN ARMADO</v>
      </c>
      <c r="K823" s="212" t="str">
        <f>IFERROR(INDEX(PPTO_GENERADOR!$B$4:$B$220,MATCH(A823,PPTO_GENERADOR!$Q$4:$Q$220,0)),"")</f>
        <v>ESTRUCTURA DE HORMIGÓN ARMADO</v>
      </c>
      <c r="L823" s="216">
        <f>IF(PLAN_ETAPA!$C$4="(TODOS)",SUMIFS(PPTO_GENERADOR!$E$4:$E$220,PPTO_GENERADOR!$Q$4:$Q$220,A823),SUMIFS(PPTO_GENERADOR!$E$4:$E$220,PPTO_GENERADOR!$Q$4:$Q$220,A823,PPTO_GENERADOR!$B$4:$B$220,PLAN_ETAPA!$C$4))</f>
        <v>0</v>
      </c>
      <c r="M823" s="216">
        <f>IFERROR(VLOOKUP(A823,PARTIDAS!$A$2:$F$269,6,FALSE()),1)</f>
        <v>1</v>
      </c>
      <c r="N823" s="216">
        <f>IFERROR(VLOOKUP(A823,PARTIDAS!$A$2:$I$269,9,FALSE()),1)</f>
        <v>1</v>
      </c>
      <c r="O823" s="217">
        <f t="shared" si="24"/>
        <v>0</v>
      </c>
      <c r="P823" s="216">
        <f>IF(O823=0,0,IF(B823="MAT",G823*(1+H823)*L823*PLAN_ETAPA!$C$5,IF(B823="MO",IF(M823=0,0,G823*L823*PLAN_ETAPA!$C$5*N823/M823),IF(B823="EQ",IF(M823=0,0,G823*L823*PLAN_ETAPA!$C$5/M823),0))))</f>
        <v>0</v>
      </c>
      <c r="Q823" s="218">
        <f t="shared" si="25"/>
        <v>0</v>
      </c>
    </row>
    <row r="824" spans="1:17" x14ac:dyDescent="0.35">
      <c r="A824" s="212" t="str">
        <f>COMPOSICIÓN!A824</f>
        <v>PTO-0313</v>
      </c>
      <c r="B824" s="212" t="str">
        <f>COMPOSICIÓN!B824</f>
        <v>EQ</v>
      </c>
      <c r="C824" s="212">
        <f>COMPOSICIÓN!C824</f>
        <v>0</v>
      </c>
      <c r="D824" s="212" t="str">
        <f>COMPOSICIÓN!D824</f>
        <v>EQ-PTO015</v>
      </c>
      <c r="E824" s="212" t="str">
        <f>COMPOSICIÓN!E824</f>
        <v>Herramientas y consumibles Tabiques - H35 (100 kg/m3 de hierro)</v>
      </c>
      <c r="F824" s="212">
        <f>COMPOSICIÓN!F824</f>
        <v>0</v>
      </c>
      <c r="G824" s="213">
        <f>COMPOSICIÓN!G824</f>
        <v>1</v>
      </c>
      <c r="H824" s="214">
        <f>COMPOSICIÓN!H824</f>
        <v>0</v>
      </c>
      <c r="I824" s="215">
        <f>COMPOSICIÓN!I824</f>
        <v>11521.3976114952</v>
      </c>
      <c r="J824" s="212" t="str">
        <f>IFERROR(VLOOKUP(A824,PARTIDAS!$A$2:$C$269,3,FALSE()),"")</f>
        <v>ESTRUCTURA DE HORMIGÓN ARMADO</v>
      </c>
      <c r="K824" s="212" t="str">
        <f>IFERROR(INDEX(PPTO_GENERADOR!$B$4:$B$220,MATCH(A824,PPTO_GENERADOR!$Q$4:$Q$220,0)),"")</f>
        <v>ESTRUCTURA DE HORMIGÓN ARMADO</v>
      </c>
      <c r="L824" s="216">
        <f>IF(PLAN_ETAPA!$C$4="(TODOS)",SUMIFS(PPTO_GENERADOR!$E$4:$E$220,PPTO_GENERADOR!$Q$4:$Q$220,A824),SUMIFS(PPTO_GENERADOR!$E$4:$E$220,PPTO_GENERADOR!$Q$4:$Q$220,A824,PPTO_GENERADOR!$B$4:$B$220,PLAN_ETAPA!$C$4))</f>
        <v>0</v>
      </c>
      <c r="M824" s="216">
        <f>IFERROR(VLOOKUP(A824,PARTIDAS!$A$2:$F$269,6,FALSE()),1)</f>
        <v>1</v>
      </c>
      <c r="N824" s="216">
        <f>IFERROR(VLOOKUP(A824,PARTIDAS!$A$2:$I$269,9,FALSE()),1)</f>
        <v>1</v>
      </c>
      <c r="O824" s="217">
        <f t="shared" si="24"/>
        <v>0</v>
      </c>
      <c r="P824" s="216">
        <f>IF(O824=0,0,IF(B824="MAT",G824*(1+H824)*L824*PLAN_ETAPA!$C$5,IF(B824="MO",IF(M824=0,0,G824*L824*PLAN_ETAPA!$C$5*N824/M824),IF(B824="EQ",IF(M824=0,0,G824*L824*PLAN_ETAPA!$C$5/M824),0))))</f>
        <v>0</v>
      </c>
      <c r="Q824" s="218">
        <f t="shared" si="25"/>
        <v>0</v>
      </c>
    </row>
    <row r="825" spans="1:17" x14ac:dyDescent="0.35">
      <c r="A825" s="212" t="str">
        <f>COMPOSICIÓN!A825</f>
        <v>PTO-0313</v>
      </c>
      <c r="B825" s="212" t="str">
        <f>COMPOSICIÓN!B825</f>
        <v>MAT</v>
      </c>
      <c r="C825" s="212" t="str">
        <f>COMPOSICIÓN!C825</f>
        <v>COR</v>
      </c>
      <c r="D825" s="212" t="str">
        <f>COMPOSICIÓN!D825</f>
        <v>OTR-PTO054</v>
      </c>
      <c r="E825" s="212" t="str">
        <f>COMPOSICIÓN!E825</f>
        <v>Tabiques - H35 (100 kg/m3 de hierro)</v>
      </c>
      <c r="F825" s="212" t="str">
        <f>COMPOSICIÓN!F825</f>
        <v>m3</v>
      </c>
      <c r="G825" s="213">
        <f>COMPOSICIÓN!G825</f>
        <v>1</v>
      </c>
      <c r="H825" s="214">
        <f>COMPOSICIÓN!H825</f>
        <v>0</v>
      </c>
      <c r="I825" s="215">
        <f>COMPOSICIÓN!I825</f>
        <v>410452.27422518202</v>
      </c>
      <c r="J825" s="212" t="str">
        <f>IFERROR(VLOOKUP(A825,PARTIDAS!$A$2:$C$269,3,FALSE()),"")</f>
        <v>ESTRUCTURA DE HORMIGÓN ARMADO</v>
      </c>
      <c r="K825" s="212" t="str">
        <f>IFERROR(INDEX(PPTO_GENERADOR!$B$4:$B$220,MATCH(A825,PPTO_GENERADOR!$Q$4:$Q$220,0)),"")</f>
        <v>ESTRUCTURA DE HORMIGÓN ARMADO</v>
      </c>
      <c r="L825" s="216">
        <f>IF(PLAN_ETAPA!$C$4="(TODOS)",SUMIFS(PPTO_GENERADOR!$E$4:$E$220,PPTO_GENERADOR!$Q$4:$Q$220,A825),SUMIFS(PPTO_GENERADOR!$E$4:$E$220,PPTO_GENERADOR!$Q$4:$Q$220,A825,PPTO_GENERADOR!$B$4:$B$220,PLAN_ETAPA!$C$4))</f>
        <v>0</v>
      </c>
      <c r="M825" s="216">
        <f>IFERROR(VLOOKUP(A825,PARTIDAS!$A$2:$F$269,6,FALSE()),1)</f>
        <v>1</v>
      </c>
      <c r="N825" s="216">
        <f>IFERROR(VLOOKUP(A825,PARTIDAS!$A$2:$I$269,9,FALSE()),1)</f>
        <v>1</v>
      </c>
      <c r="O825" s="217">
        <f t="shared" si="24"/>
        <v>0</v>
      </c>
      <c r="P825" s="216">
        <f>IF(O825=0,0,IF(B825="MAT",G825*(1+H825)*L825*PLAN_ETAPA!$C$5,IF(B825="MO",IF(M825=0,0,G825*L825*PLAN_ETAPA!$C$5*N825/M825),IF(B825="EQ",IF(M825=0,0,G825*L825*PLAN_ETAPA!$C$5/M825),0))))</f>
        <v>0</v>
      </c>
      <c r="Q825" s="218">
        <f t="shared" si="25"/>
        <v>0</v>
      </c>
    </row>
    <row r="826" spans="1:17" x14ac:dyDescent="0.35">
      <c r="A826" s="212" t="str">
        <f>COMPOSICIÓN!A826</f>
        <v>PTO-0313</v>
      </c>
      <c r="B826" s="212" t="str">
        <f>COMPOSICIÓN!B826</f>
        <v>MO</v>
      </c>
      <c r="C826" s="212" t="str">
        <f>COMPOSICIÓN!C826</f>
        <v>OTR</v>
      </c>
      <c r="D826" s="212" t="str">
        <f>COMPOSICIÓN!D826</f>
        <v>SUB-PTO018</v>
      </c>
      <c r="E826" s="212" t="str">
        <f>COMPOSICIÓN!E826</f>
        <v>MO Tabiques - H35 (100 kg/m3 de hierro)</v>
      </c>
      <c r="F826" s="212" t="str">
        <f>COMPOSICIÓN!F826</f>
        <v>j</v>
      </c>
      <c r="G826" s="213">
        <f>COMPOSICIÓN!G826</f>
        <v>1</v>
      </c>
      <c r="H826" s="214">
        <f>COMPOSICIÓN!H826</f>
        <v>0</v>
      </c>
      <c r="I826" s="215">
        <f>COMPOSICIÓN!I826</f>
        <v>357640.8998745</v>
      </c>
      <c r="J826" s="212" t="str">
        <f>IFERROR(VLOOKUP(A826,PARTIDAS!$A$2:$C$269,3,FALSE()),"")</f>
        <v>ESTRUCTURA DE HORMIGÓN ARMADO</v>
      </c>
      <c r="K826" s="212" t="str">
        <f>IFERROR(INDEX(PPTO_GENERADOR!$B$4:$B$220,MATCH(A826,PPTO_GENERADOR!$Q$4:$Q$220,0)),"")</f>
        <v>ESTRUCTURA DE HORMIGÓN ARMADO</v>
      </c>
      <c r="L826" s="216">
        <f>IF(PLAN_ETAPA!$C$4="(TODOS)",SUMIFS(PPTO_GENERADOR!$E$4:$E$220,PPTO_GENERADOR!$Q$4:$Q$220,A826),SUMIFS(PPTO_GENERADOR!$E$4:$E$220,PPTO_GENERADOR!$Q$4:$Q$220,A826,PPTO_GENERADOR!$B$4:$B$220,PLAN_ETAPA!$C$4))</f>
        <v>0</v>
      </c>
      <c r="M826" s="216">
        <f>IFERROR(VLOOKUP(A826,PARTIDAS!$A$2:$F$269,6,FALSE()),1)</f>
        <v>1</v>
      </c>
      <c r="N826" s="216">
        <f>IFERROR(VLOOKUP(A826,PARTIDAS!$A$2:$I$269,9,FALSE()),1)</f>
        <v>1</v>
      </c>
      <c r="O826" s="217">
        <f t="shared" si="24"/>
        <v>0</v>
      </c>
      <c r="P826" s="216">
        <f>IF(O826=0,0,IF(B826="MAT",G826*(1+H826)*L826*PLAN_ETAPA!$C$5,IF(B826="MO",IF(M826=0,0,G826*L826*PLAN_ETAPA!$C$5*N826/M826),IF(B826="EQ",IF(M826=0,0,G826*L826*PLAN_ETAPA!$C$5/M826),0))))</f>
        <v>0</v>
      </c>
      <c r="Q826" s="218">
        <f t="shared" si="25"/>
        <v>0</v>
      </c>
    </row>
    <row r="827" spans="1:17" x14ac:dyDescent="0.35">
      <c r="A827" s="212" t="str">
        <f>COMPOSICIÓN!A827</f>
        <v>PTO-0314</v>
      </c>
      <c r="B827" s="212" t="str">
        <f>COMPOSICIÓN!B827</f>
        <v>EQ</v>
      </c>
      <c r="C827" s="212">
        <f>COMPOSICIÓN!C827</f>
        <v>0</v>
      </c>
      <c r="D827" s="212" t="str">
        <f>COMPOSICIÓN!D827</f>
        <v>EQ-PTO016</v>
      </c>
      <c r="E827" s="212" t="str">
        <f>COMPOSICIÓN!E827</f>
        <v>Herramientas y consumibles Columna - H35 (180 Kg/m3 de hierro)</v>
      </c>
      <c r="F827" s="212">
        <f>COMPOSICIÓN!F827</f>
        <v>0</v>
      </c>
      <c r="G827" s="213">
        <f>COMPOSICIÓN!G827</f>
        <v>1</v>
      </c>
      <c r="H827" s="214">
        <f>COMPOSICIÓN!H827</f>
        <v>0</v>
      </c>
      <c r="I827" s="215">
        <f>COMPOSICIÓN!I827</f>
        <v>12788.2496210792</v>
      </c>
      <c r="J827" s="212" t="str">
        <f>IFERROR(VLOOKUP(A827,PARTIDAS!$A$2:$C$269,3,FALSE()),"")</f>
        <v>ESTRUCTURA DE HORMIGÓN ARMADO</v>
      </c>
      <c r="K827" s="212" t="str">
        <f>IFERROR(INDEX(PPTO_GENERADOR!$B$4:$B$220,MATCH(A827,PPTO_GENERADOR!$Q$4:$Q$220,0)),"")</f>
        <v>ESTRUCTURA DE HORMIGÓN ARMADO</v>
      </c>
      <c r="L827" s="216">
        <f>IF(PLAN_ETAPA!$C$4="(TODOS)",SUMIFS(PPTO_GENERADOR!$E$4:$E$220,PPTO_GENERADOR!$Q$4:$Q$220,A827),SUMIFS(PPTO_GENERADOR!$E$4:$E$220,PPTO_GENERADOR!$Q$4:$Q$220,A827,PPTO_GENERADOR!$B$4:$B$220,PLAN_ETAPA!$C$4))</f>
        <v>0</v>
      </c>
      <c r="M827" s="216">
        <f>IFERROR(VLOOKUP(A827,PARTIDAS!$A$2:$F$269,6,FALSE()),1)</f>
        <v>1</v>
      </c>
      <c r="N827" s="216">
        <f>IFERROR(VLOOKUP(A827,PARTIDAS!$A$2:$I$269,9,FALSE()),1)</f>
        <v>1</v>
      </c>
      <c r="O827" s="217">
        <f t="shared" si="24"/>
        <v>0</v>
      </c>
      <c r="P827" s="216">
        <f>IF(O827=0,0,IF(B827="MAT",G827*(1+H827)*L827*PLAN_ETAPA!$C$5,IF(B827="MO",IF(M827=0,0,G827*L827*PLAN_ETAPA!$C$5*N827/M827),IF(B827="EQ",IF(M827=0,0,G827*L827*PLAN_ETAPA!$C$5/M827),0))))</f>
        <v>0</v>
      </c>
      <c r="Q827" s="218">
        <f t="shared" si="25"/>
        <v>0</v>
      </c>
    </row>
    <row r="828" spans="1:17" x14ac:dyDescent="0.35">
      <c r="A828" s="212" t="str">
        <f>COMPOSICIÓN!A828</f>
        <v>PTO-0314</v>
      </c>
      <c r="B828" s="212" t="str">
        <f>COMPOSICIÓN!B828</f>
        <v>MAT</v>
      </c>
      <c r="C828" s="212" t="str">
        <f>COMPOSICIÓN!C828</f>
        <v>COR</v>
      </c>
      <c r="D828" s="212" t="str">
        <f>COMPOSICIÓN!D828</f>
        <v>OTR-PTO055</v>
      </c>
      <c r="E828" s="212" t="str">
        <f>COMPOSICIÓN!E828</f>
        <v>Columna - H35 (180 Kg/m3 de hierro)</v>
      </c>
      <c r="F828" s="212" t="str">
        <f>COMPOSICIÓN!F828</f>
        <v>m3</v>
      </c>
      <c r="G828" s="213">
        <f>COMPOSICIÓN!G828</f>
        <v>1</v>
      </c>
      <c r="H828" s="214">
        <f>COMPOSICIÓN!H828</f>
        <v>0</v>
      </c>
      <c r="I828" s="215">
        <f>COMPOSICIÓN!I828</f>
        <v>534635.92722614005</v>
      </c>
      <c r="J828" s="212" t="str">
        <f>IFERROR(VLOOKUP(A828,PARTIDAS!$A$2:$C$269,3,FALSE()),"")</f>
        <v>ESTRUCTURA DE HORMIGÓN ARMADO</v>
      </c>
      <c r="K828" s="212" t="str">
        <f>IFERROR(INDEX(PPTO_GENERADOR!$B$4:$B$220,MATCH(A828,PPTO_GENERADOR!$Q$4:$Q$220,0)),"")</f>
        <v>ESTRUCTURA DE HORMIGÓN ARMADO</v>
      </c>
      <c r="L828" s="216">
        <f>IF(PLAN_ETAPA!$C$4="(TODOS)",SUMIFS(PPTO_GENERADOR!$E$4:$E$220,PPTO_GENERADOR!$Q$4:$Q$220,A828),SUMIFS(PPTO_GENERADOR!$E$4:$E$220,PPTO_GENERADOR!$Q$4:$Q$220,A828,PPTO_GENERADOR!$B$4:$B$220,PLAN_ETAPA!$C$4))</f>
        <v>0</v>
      </c>
      <c r="M828" s="216">
        <f>IFERROR(VLOOKUP(A828,PARTIDAS!$A$2:$F$269,6,FALSE()),1)</f>
        <v>1</v>
      </c>
      <c r="N828" s="216">
        <f>IFERROR(VLOOKUP(A828,PARTIDAS!$A$2:$I$269,9,FALSE()),1)</f>
        <v>1</v>
      </c>
      <c r="O828" s="217">
        <f t="shared" si="24"/>
        <v>0</v>
      </c>
      <c r="P828" s="216">
        <f>IF(O828=0,0,IF(B828="MAT",G828*(1+H828)*L828*PLAN_ETAPA!$C$5,IF(B828="MO",IF(M828=0,0,G828*L828*PLAN_ETAPA!$C$5*N828/M828),IF(B828="EQ",IF(M828=0,0,G828*L828*PLAN_ETAPA!$C$5/M828),0))))</f>
        <v>0</v>
      </c>
      <c r="Q828" s="218">
        <f t="shared" si="25"/>
        <v>0</v>
      </c>
    </row>
    <row r="829" spans="1:17" x14ac:dyDescent="0.35">
      <c r="A829" s="212" t="str">
        <f>COMPOSICIÓN!A829</f>
        <v>PTO-0314</v>
      </c>
      <c r="B829" s="212" t="str">
        <f>COMPOSICIÓN!B829</f>
        <v>MO</v>
      </c>
      <c r="C829" s="212" t="str">
        <f>COMPOSICIÓN!C829</f>
        <v>OTR</v>
      </c>
      <c r="D829" s="212" t="str">
        <f>COMPOSICIÓN!D829</f>
        <v>SUB-PTO019</v>
      </c>
      <c r="E829" s="212" t="str">
        <f>COMPOSICIÓN!E829</f>
        <v>MO Columna - H35 (180 Kg/m3 de hierro)</v>
      </c>
      <c r="F829" s="212" t="str">
        <f>COMPOSICIÓN!F829</f>
        <v>j</v>
      </c>
      <c r="G829" s="213">
        <f>COMPOSICIÓN!G829</f>
        <v>1</v>
      </c>
      <c r="H829" s="214">
        <f>COMPOSICIÓN!H829</f>
        <v>0</v>
      </c>
      <c r="I829" s="215">
        <f>COMPOSICIÓN!I829</f>
        <v>317914.04751247499</v>
      </c>
      <c r="J829" s="212" t="str">
        <f>IFERROR(VLOOKUP(A829,PARTIDAS!$A$2:$C$269,3,FALSE()),"")</f>
        <v>ESTRUCTURA DE HORMIGÓN ARMADO</v>
      </c>
      <c r="K829" s="212" t="str">
        <f>IFERROR(INDEX(PPTO_GENERADOR!$B$4:$B$220,MATCH(A829,PPTO_GENERADOR!$Q$4:$Q$220,0)),"")</f>
        <v>ESTRUCTURA DE HORMIGÓN ARMADO</v>
      </c>
      <c r="L829" s="216">
        <f>IF(PLAN_ETAPA!$C$4="(TODOS)",SUMIFS(PPTO_GENERADOR!$E$4:$E$220,PPTO_GENERADOR!$Q$4:$Q$220,A829),SUMIFS(PPTO_GENERADOR!$E$4:$E$220,PPTO_GENERADOR!$Q$4:$Q$220,A829,PPTO_GENERADOR!$B$4:$B$220,PLAN_ETAPA!$C$4))</f>
        <v>0</v>
      </c>
      <c r="M829" s="216">
        <f>IFERROR(VLOOKUP(A829,PARTIDAS!$A$2:$F$269,6,FALSE()),1)</f>
        <v>1</v>
      </c>
      <c r="N829" s="216">
        <f>IFERROR(VLOOKUP(A829,PARTIDAS!$A$2:$I$269,9,FALSE()),1)</f>
        <v>1</v>
      </c>
      <c r="O829" s="217">
        <f t="shared" si="24"/>
        <v>0</v>
      </c>
      <c r="P829" s="216">
        <f>IF(O829=0,0,IF(B829="MAT",G829*(1+H829)*L829*PLAN_ETAPA!$C$5,IF(B829="MO",IF(M829=0,0,G829*L829*PLAN_ETAPA!$C$5*N829/M829),IF(B829="EQ",IF(M829=0,0,G829*L829*PLAN_ETAPA!$C$5/M829),0))))</f>
        <v>0</v>
      </c>
      <c r="Q829" s="218">
        <f t="shared" si="25"/>
        <v>0</v>
      </c>
    </row>
    <row r="830" spans="1:17" x14ac:dyDescent="0.35">
      <c r="A830" s="212" t="str">
        <f>COMPOSICIÓN!A830</f>
        <v>PTO-0316</v>
      </c>
      <c r="B830" s="212" t="str">
        <f>COMPOSICIÓN!B830</f>
        <v>MAT</v>
      </c>
      <c r="C830" s="212" t="str">
        <f>COMPOSICIÓN!C830</f>
        <v>COR</v>
      </c>
      <c r="D830" s="212" t="str">
        <f>COMPOSICIÓN!D830</f>
        <v>OTR-PTO056</v>
      </c>
      <c r="E830" s="212" t="str">
        <f>COMPOSICIÓN!E830</f>
        <v>Columna vista- H35 (180 Kg/m3 de hierro)</v>
      </c>
      <c r="F830" s="212" t="str">
        <f>COMPOSICIÓN!F830</f>
        <v>m3</v>
      </c>
      <c r="G830" s="213">
        <f>COMPOSICIÓN!G830</f>
        <v>1</v>
      </c>
      <c r="H830" s="214">
        <f>COMPOSICIÓN!H830</f>
        <v>0</v>
      </c>
      <c r="I830" s="215">
        <f>COMPOSICIÓN!I830</f>
        <v>543657.96059143299</v>
      </c>
      <c r="J830" s="212" t="str">
        <f>IFERROR(VLOOKUP(A830,PARTIDAS!$A$2:$C$269,3,FALSE()),"")</f>
        <v>ESTRUCTURA DE HORMIGÓN ARMADO</v>
      </c>
      <c r="K830" s="212" t="str">
        <f>IFERROR(INDEX(PPTO_GENERADOR!$B$4:$B$220,MATCH(A830,PPTO_GENERADOR!$Q$4:$Q$220,0)),"")</f>
        <v>ESTRUCTURA DE HORMIGÓN ARMADO</v>
      </c>
      <c r="L830" s="216">
        <f>IF(PLAN_ETAPA!$C$4="(TODOS)",SUMIFS(PPTO_GENERADOR!$E$4:$E$220,PPTO_GENERADOR!$Q$4:$Q$220,A830),SUMIFS(PPTO_GENERADOR!$E$4:$E$220,PPTO_GENERADOR!$Q$4:$Q$220,A830,PPTO_GENERADOR!$B$4:$B$220,PLAN_ETAPA!$C$4))</f>
        <v>0</v>
      </c>
      <c r="M830" s="216">
        <f>IFERROR(VLOOKUP(A830,PARTIDAS!$A$2:$F$269,6,FALSE()),1)</f>
        <v>1</v>
      </c>
      <c r="N830" s="216">
        <f>IFERROR(VLOOKUP(A830,PARTIDAS!$A$2:$I$269,9,FALSE()),1)</f>
        <v>1</v>
      </c>
      <c r="O830" s="217">
        <f t="shared" si="24"/>
        <v>0</v>
      </c>
      <c r="P830" s="216">
        <f>IF(O830=0,0,IF(B830="MAT",G830*(1+H830)*L830*PLAN_ETAPA!$C$5,IF(B830="MO",IF(M830=0,0,G830*L830*PLAN_ETAPA!$C$5*N830/M830),IF(B830="EQ",IF(M830=0,0,G830*L830*PLAN_ETAPA!$C$5/M830),0))))</f>
        <v>0</v>
      </c>
      <c r="Q830" s="218">
        <f t="shared" si="25"/>
        <v>0</v>
      </c>
    </row>
    <row r="831" spans="1:17" x14ac:dyDescent="0.35">
      <c r="A831" s="212" t="str">
        <f>COMPOSICIÓN!A831</f>
        <v>PTO-0316</v>
      </c>
      <c r="B831" s="212" t="str">
        <f>COMPOSICIÓN!B831</f>
        <v>MO</v>
      </c>
      <c r="C831" s="212" t="str">
        <f>COMPOSICIÓN!C831</f>
        <v>OTR</v>
      </c>
      <c r="D831" s="212" t="str">
        <f>COMPOSICIÓN!D831</f>
        <v>SUB-PTO020</v>
      </c>
      <c r="E831" s="212" t="str">
        <f>COMPOSICIÓN!E831</f>
        <v>MO Columna vista- H35 (180 Kg/m3 de hierro)</v>
      </c>
      <c r="F831" s="212" t="str">
        <f>COMPOSICIÓN!F831</f>
        <v>j</v>
      </c>
      <c r="G831" s="213">
        <f>COMPOSICIÓN!G831</f>
        <v>1</v>
      </c>
      <c r="H831" s="214">
        <f>COMPOSICIÓN!H831</f>
        <v>0</v>
      </c>
      <c r="I831" s="215">
        <f>COMPOSICIÓN!I831</f>
        <v>397392.55939059303</v>
      </c>
      <c r="J831" s="212" t="str">
        <f>IFERROR(VLOOKUP(A831,PARTIDAS!$A$2:$C$269,3,FALSE()),"")</f>
        <v>ESTRUCTURA DE HORMIGÓN ARMADO</v>
      </c>
      <c r="K831" s="212" t="str">
        <f>IFERROR(INDEX(PPTO_GENERADOR!$B$4:$B$220,MATCH(A831,PPTO_GENERADOR!$Q$4:$Q$220,0)),"")</f>
        <v>ESTRUCTURA DE HORMIGÓN ARMADO</v>
      </c>
      <c r="L831" s="216">
        <f>IF(PLAN_ETAPA!$C$4="(TODOS)",SUMIFS(PPTO_GENERADOR!$E$4:$E$220,PPTO_GENERADOR!$Q$4:$Q$220,A831),SUMIFS(PPTO_GENERADOR!$E$4:$E$220,PPTO_GENERADOR!$Q$4:$Q$220,A831,PPTO_GENERADOR!$B$4:$B$220,PLAN_ETAPA!$C$4))</f>
        <v>0</v>
      </c>
      <c r="M831" s="216">
        <f>IFERROR(VLOOKUP(A831,PARTIDAS!$A$2:$F$269,6,FALSE()),1)</f>
        <v>1</v>
      </c>
      <c r="N831" s="216">
        <f>IFERROR(VLOOKUP(A831,PARTIDAS!$A$2:$I$269,9,FALSE()),1)</f>
        <v>1</v>
      </c>
      <c r="O831" s="217">
        <f t="shared" si="24"/>
        <v>0</v>
      </c>
      <c r="P831" s="216">
        <f>IF(O831=0,0,IF(B831="MAT",G831*(1+H831)*L831*PLAN_ETAPA!$C$5,IF(B831="MO",IF(M831=0,0,G831*L831*PLAN_ETAPA!$C$5*N831/M831),IF(B831="EQ",IF(M831=0,0,G831*L831*PLAN_ETAPA!$C$5/M831),0))))</f>
        <v>0</v>
      </c>
      <c r="Q831" s="218">
        <f t="shared" si="25"/>
        <v>0</v>
      </c>
    </row>
    <row r="832" spans="1:17" x14ac:dyDescent="0.35">
      <c r="A832" s="212" t="str">
        <f>COMPOSICIÓN!A832</f>
        <v>PTO-0317</v>
      </c>
      <c r="B832" s="212" t="str">
        <f>COMPOSICIÓN!B832</f>
        <v>EQ</v>
      </c>
      <c r="C832" s="212">
        <f>COMPOSICIÓN!C832</f>
        <v>0</v>
      </c>
      <c r="D832" s="212" t="str">
        <f>COMPOSICIÓN!D832</f>
        <v>EQ-PTO017</v>
      </c>
      <c r="E832" s="212" t="str">
        <f>COMPOSICIÓN!E832</f>
        <v>Herramientas y consumibles Escaleras de Hº visto - H35 (105 kg/m3 de hierro)</v>
      </c>
      <c r="F832" s="212">
        <f>COMPOSICIÓN!F832</f>
        <v>0</v>
      </c>
      <c r="G832" s="213">
        <f>COMPOSICIÓN!G832</f>
        <v>1</v>
      </c>
      <c r="H832" s="214">
        <f>COMPOSICIÓN!H832</f>
        <v>0</v>
      </c>
      <c r="I832" s="215">
        <f>COMPOSICIÓN!I832</f>
        <v>12325.562186123399</v>
      </c>
      <c r="J832" s="212" t="str">
        <f>IFERROR(VLOOKUP(A832,PARTIDAS!$A$2:$C$269,3,FALSE()),"")</f>
        <v>ESTRUCTURA DE HORMIGÓN ARMADO</v>
      </c>
      <c r="K832" s="212" t="str">
        <f>IFERROR(INDEX(PPTO_GENERADOR!$B$4:$B$220,MATCH(A832,PPTO_GENERADOR!$Q$4:$Q$220,0)),"")</f>
        <v>ESTRUCTURA DE HORMIGÓN ARMADO</v>
      </c>
      <c r="L832" s="216">
        <f>IF(PLAN_ETAPA!$C$4="(TODOS)",SUMIFS(PPTO_GENERADOR!$E$4:$E$220,PPTO_GENERADOR!$Q$4:$Q$220,A832),SUMIFS(PPTO_GENERADOR!$E$4:$E$220,PPTO_GENERADOR!$Q$4:$Q$220,A832,PPTO_GENERADOR!$B$4:$B$220,PLAN_ETAPA!$C$4))</f>
        <v>0</v>
      </c>
      <c r="M832" s="216">
        <f>IFERROR(VLOOKUP(A832,PARTIDAS!$A$2:$F$269,6,FALSE()),1)</f>
        <v>1</v>
      </c>
      <c r="N832" s="216">
        <f>IFERROR(VLOOKUP(A832,PARTIDAS!$A$2:$I$269,9,FALSE()),1)</f>
        <v>1</v>
      </c>
      <c r="O832" s="217">
        <f t="shared" si="24"/>
        <v>0</v>
      </c>
      <c r="P832" s="216">
        <f>IF(O832=0,0,IF(B832="MAT",G832*(1+H832)*L832*PLAN_ETAPA!$C$5,IF(B832="MO",IF(M832=0,0,G832*L832*PLAN_ETAPA!$C$5*N832/M832),IF(B832="EQ",IF(M832=0,0,G832*L832*PLAN_ETAPA!$C$5/M832),0))))</f>
        <v>0</v>
      </c>
      <c r="Q832" s="218">
        <f t="shared" si="25"/>
        <v>0</v>
      </c>
    </row>
    <row r="833" spans="1:17" x14ac:dyDescent="0.35">
      <c r="A833" s="212" t="str">
        <f>COMPOSICIÓN!A833</f>
        <v>PTO-0317</v>
      </c>
      <c r="B833" s="212" t="str">
        <f>COMPOSICIÓN!B833</f>
        <v>MAT</v>
      </c>
      <c r="C833" s="212" t="str">
        <f>COMPOSICIÓN!C833</f>
        <v>COR</v>
      </c>
      <c r="D833" s="212" t="str">
        <f>COMPOSICIÓN!D833</f>
        <v>OTR-PTO057</v>
      </c>
      <c r="E833" s="212" t="str">
        <f>COMPOSICIÓN!E833</f>
        <v>Escaleras de Hº visto - H35 (105 kg/m3 de hierro)</v>
      </c>
      <c r="F833" s="212" t="str">
        <f>COMPOSICIÓN!F833</f>
        <v>m3</v>
      </c>
      <c r="G833" s="213">
        <f>COMPOSICIÓN!G833</f>
        <v>1</v>
      </c>
      <c r="H833" s="214">
        <f>COMPOSICIÓN!H833</f>
        <v>0</v>
      </c>
      <c r="I833" s="215">
        <f>COMPOSICIÓN!I833</f>
        <v>416173.60204176803</v>
      </c>
      <c r="J833" s="212" t="str">
        <f>IFERROR(VLOOKUP(A833,PARTIDAS!$A$2:$C$269,3,FALSE()),"")</f>
        <v>ESTRUCTURA DE HORMIGÓN ARMADO</v>
      </c>
      <c r="K833" s="212" t="str">
        <f>IFERROR(INDEX(PPTO_GENERADOR!$B$4:$B$220,MATCH(A833,PPTO_GENERADOR!$Q$4:$Q$220,0)),"")</f>
        <v>ESTRUCTURA DE HORMIGÓN ARMADO</v>
      </c>
      <c r="L833" s="216">
        <f>IF(PLAN_ETAPA!$C$4="(TODOS)",SUMIFS(PPTO_GENERADOR!$E$4:$E$220,PPTO_GENERADOR!$Q$4:$Q$220,A833),SUMIFS(PPTO_GENERADOR!$E$4:$E$220,PPTO_GENERADOR!$Q$4:$Q$220,A833,PPTO_GENERADOR!$B$4:$B$220,PLAN_ETAPA!$C$4))</f>
        <v>0</v>
      </c>
      <c r="M833" s="216">
        <f>IFERROR(VLOOKUP(A833,PARTIDAS!$A$2:$F$269,6,FALSE()),1)</f>
        <v>1</v>
      </c>
      <c r="N833" s="216">
        <f>IFERROR(VLOOKUP(A833,PARTIDAS!$A$2:$I$269,9,FALSE()),1)</f>
        <v>1</v>
      </c>
      <c r="O833" s="217">
        <f t="shared" si="24"/>
        <v>0</v>
      </c>
      <c r="P833" s="216">
        <f>IF(O833=0,0,IF(B833="MAT",G833*(1+H833)*L833*PLAN_ETAPA!$C$5,IF(B833="MO",IF(M833=0,0,G833*L833*PLAN_ETAPA!$C$5*N833/M833),IF(B833="EQ",IF(M833=0,0,G833*L833*PLAN_ETAPA!$C$5/M833),0))))</f>
        <v>0</v>
      </c>
      <c r="Q833" s="218">
        <f t="shared" si="25"/>
        <v>0</v>
      </c>
    </row>
    <row r="834" spans="1:17" x14ac:dyDescent="0.35">
      <c r="A834" s="212" t="str">
        <f>COMPOSICIÓN!A834</f>
        <v>PTO-0317</v>
      </c>
      <c r="B834" s="212" t="str">
        <f>COMPOSICIÓN!B834</f>
        <v>MO</v>
      </c>
      <c r="C834" s="212" t="str">
        <f>COMPOSICIÓN!C834</f>
        <v>OTR</v>
      </c>
      <c r="D834" s="212" t="str">
        <f>COMPOSICIÓN!D834</f>
        <v>SUB-PTO021</v>
      </c>
      <c r="E834" s="212" t="str">
        <f>COMPOSICIÓN!E834</f>
        <v>MO Escaleras de Hº visto - H35 (105 kg/m3 de hierro)</v>
      </c>
      <c r="F834" s="212" t="str">
        <f>COMPOSICIÓN!F834</f>
        <v>j</v>
      </c>
      <c r="G834" s="213">
        <f>COMPOSICIÓN!G834</f>
        <v>1</v>
      </c>
      <c r="H834" s="214">
        <f>COMPOSICIÓN!H834</f>
        <v>0</v>
      </c>
      <c r="I834" s="215">
        <f>COMPOSICIÓN!I834</f>
        <v>405530.54369979398</v>
      </c>
      <c r="J834" s="212" t="str">
        <f>IFERROR(VLOOKUP(A834,PARTIDAS!$A$2:$C$269,3,FALSE()),"")</f>
        <v>ESTRUCTURA DE HORMIGÓN ARMADO</v>
      </c>
      <c r="K834" s="212" t="str">
        <f>IFERROR(INDEX(PPTO_GENERADOR!$B$4:$B$220,MATCH(A834,PPTO_GENERADOR!$Q$4:$Q$220,0)),"")</f>
        <v>ESTRUCTURA DE HORMIGÓN ARMADO</v>
      </c>
      <c r="L834" s="216">
        <f>IF(PLAN_ETAPA!$C$4="(TODOS)",SUMIFS(PPTO_GENERADOR!$E$4:$E$220,PPTO_GENERADOR!$Q$4:$Q$220,A834),SUMIFS(PPTO_GENERADOR!$E$4:$E$220,PPTO_GENERADOR!$Q$4:$Q$220,A834,PPTO_GENERADOR!$B$4:$B$220,PLAN_ETAPA!$C$4))</f>
        <v>0</v>
      </c>
      <c r="M834" s="216">
        <f>IFERROR(VLOOKUP(A834,PARTIDAS!$A$2:$F$269,6,FALSE()),1)</f>
        <v>1</v>
      </c>
      <c r="N834" s="216">
        <f>IFERROR(VLOOKUP(A834,PARTIDAS!$A$2:$I$269,9,FALSE()),1)</f>
        <v>1</v>
      </c>
      <c r="O834" s="217">
        <f t="shared" ref="O834:O897" si="26">IF(L834&gt;0,1,0)</f>
        <v>0</v>
      </c>
      <c r="P834" s="216">
        <f>IF(O834=0,0,IF(B834="MAT",G834*(1+H834)*L834*PLAN_ETAPA!$C$5,IF(B834="MO",IF(M834=0,0,G834*L834*PLAN_ETAPA!$C$5*N834/M834),IF(B834="EQ",IF(M834=0,0,G834*L834*PLAN_ETAPA!$C$5/M834),0))))</f>
        <v>0</v>
      </c>
      <c r="Q834" s="218">
        <f t="shared" ref="Q834:Q897" si="27">P834*I834</f>
        <v>0</v>
      </c>
    </row>
    <row r="835" spans="1:17" x14ac:dyDescent="0.35">
      <c r="A835" s="212" t="str">
        <f>COMPOSICIÓN!A835</f>
        <v>PTO-0318</v>
      </c>
      <c r="B835" s="212" t="str">
        <f>COMPOSICIÓN!B835</f>
        <v>EQ</v>
      </c>
      <c r="C835" s="212">
        <f>COMPOSICIÓN!C835</f>
        <v>0</v>
      </c>
      <c r="D835" s="212" t="str">
        <f>COMPOSICIÓN!D835</f>
        <v>EQ-PTO018</v>
      </c>
      <c r="E835" s="212" t="str">
        <f>COMPOSICIÓN!E835</f>
        <v>Herramientas y consumibles Tanques de HºAº - H35 (100 kg/m3 de hierro) - Tanq</v>
      </c>
      <c r="F835" s="212">
        <f>COMPOSICIÓN!F835</f>
        <v>0</v>
      </c>
      <c r="G835" s="213">
        <f>COMPOSICIÓN!G835</f>
        <v>1</v>
      </c>
      <c r="H835" s="214">
        <f>COMPOSICIÓN!H835</f>
        <v>0</v>
      </c>
      <c r="I835" s="215">
        <f>COMPOSICIÓN!I835</f>
        <v>11521.3976114952</v>
      </c>
      <c r="J835" s="212" t="str">
        <f>IFERROR(VLOOKUP(A835,PARTIDAS!$A$2:$C$269,3,FALSE()),"")</f>
        <v>ESTRUCTURA DE HORMIGÓN ARMADO</v>
      </c>
      <c r="K835" s="212" t="str">
        <f>IFERROR(INDEX(PPTO_GENERADOR!$B$4:$B$220,MATCH(A835,PPTO_GENERADOR!$Q$4:$Q$220,0)),"")</f>
        <v>ESTRUCTURA DE HORMIGÓN ARMADO</v>
      </c>
      <c r="L835" s="216">
        <f>IF(PLAN_ETAPA!$C$4="(TODOS)",SUMIFS(PPTO_GENERADOR!$E$4:$E$220,PPTO_GENERADOR!$Q$4:$Q$220,A835),SUMIFS(PPTO_GENERADOR!$E$4:$E$220,PPTO_GENERADOR!$Q$4:$Q$220,A835,PPTO_GENERADOR!$B$4:$B$220,PLAN_ETAPA!$C$4))</f>
        <v>0</v>
      </c>
      <c r="M835" s="216">
        <f>IFERROR(VLOOKUP(A835,PARTIDAS!$A$2:$F$269,6,FALSE()),1)</f>
        <v>1</v>
      </c>
      <c r="N835" s="216">
        <f>IFERROR(VLOOKUP(A835,PARTIDAS!$A$2:$I$269,9,FALSE()),1)</f>
        <v>1</v>
      </c>
      <c r="O835" s="217">
        <f t="shared" si="26"/>
        <v>0</v>
      </c>
      <c r="P835" s="216">
        <f>IF(O835=0,0,IF(B835="MAT",G835*(1+H835)*L835*PLAN_ETAPA!$C$5,IF(B835="MO",IF(M835=0,0,G835*L835*PLAN_ETAPA!$C$5*N835/M835),IF(B835="EQ",IF(M835=0,0,G835*L835*PLAN_ETAPA!$C$5/M835),0))))</f>
        <v>0</v>
      </c>
      <c r="Q835" s="218">
        <f t="shared" si="27"/>
        <v>0</v>
      </c>
    </row>
    <row r="836" spans="1:17" x14ac:dyDescent="0.35">
      <c r="A836" s="212" t="str">
        <f>COMPOSICIÓN!A836</f>
        <v>PTO-0318</v>
      </c>
      <c r="B836" s="212" t="str">
        <f>COMPOSICIÓN!B836</f>
        <v>MAT</v>
      </c>
      <c r="C836" s="212" t="str">
        <f>COMPOSICIÓN!C836</f>
        <v>COR</v>
      </c>
      <c r="D836" s="212" t="str">
        <f>COMPOSICIÓN!D836</f>
        <v>OTR-PTO058</v>
      </c>
      <c r="E836" s="212" t="str">
        <f>COMPOSICIÓN!E836</f>
        <v>Tanques de HºAº - H35 (100 kg/m3 de hierro) - Tanque de reserva</v>
      </c>
      <c r="F836" s="212" t="str">
        <f>COMPOSICIÓN!F836</f>
        <v>m3</v>
      </c>
      <c r="G836" s="213">
        <f>COMPOSICIÓN!G836</f>
        <v>1</v>
      </c>
      <c r="H836" s="214">
        <f>COMPOSICIÓN!H836</f>
        <v>0</v>
      </c>
      <c r="I836" s="215">
        <f>COMPOSICIÓN!I836</f>
        <v>410452.27422518202</v>
      </c>
      <c r="J836" s="212" t="str">
        <f>IFERROR(VLOOKUP(A836,PARTIDAS!$A$2:$C$269,3,FALSE()),"")</f>
        <v>ESTRUCTURA DE HORMIGÓN ARMADO</v>
      </c>
      <c r="K836" s="212" t="str">
        <f>IFERROR(INDEX(PPTO_GENERADOR!$B$4:$B$220,MATCH(A836,PPTO_GENERADOR!$Q$4:$Q$220,0)),"")</f>
        <v>ESTRUCTURA DE HORMIGÓN ARMADO</v>
      </c>
      <c r="L836" s="216">
        <f>IF(PLAN_ETAPA!$C$4="(TODOS)",SUMIFS(PPTO_GENERADOR!$E$4:$E$220,PPTO_GENERADOR!$Q$4:$Q$220,A836),SUMIFS(PPTO_GENERADOR!$E$4:$E$220,PPTO_GENERADOR!$Q$4:$Q$220,A836,PPTO_GENERADOR!$B$4:$B$220,PLAN_ETAPA!$C$4))</f>
        <v>0</v>
      </c>
      <c r="M836" s="216">
        <f>IFERROR(VLOOKUP(A836,PARTIDAS!$A$2:$F$269,6,FALSE()),1)</f>
        <v>1</v>
      </c>
      <c r="N836" s="216">
        <f>IFERROR(VLOOKUP(A836,PARTIDAS!$A$2:$I$269,9,FALSE()),1)</f>
        <v>1</v>
      </c>
      <c r="O836" s="217">
        <f t="shared" si="26"/>
        <v>0</v>
      </c>
      <c r="P836" s="216">
        <f>IF(O836=0,0,IF(B836="MAT",G836*(1+H836)*L836*PLAN_ETAPA!$C$5,IF(B836="MO",IF(M836=0,0,G836*L836*PLAN_ETAPA!$C$5*N836/M836),IF(B836="EQ",IF(M836=0,0,G836*L836*PLAN_ETAPA!$C$5/M836),0))))</f>
        <v>0</v>
      </c>
      <c r="Q836" s="218">
        <f t="shared" si="27"/>
        <v>0</v>
      </c>
    </row>
    <row r="837" spans="1:17" x14ac:dyDescent="0.35">
      <c r="A837" s="212" t="str">
        <f>COMPOSICIÓN!A837</f>
        <v>PTO-0318</v>
      </c>
      <c r="B837" s="212" t="str">
        <f>COMPOSICIÓN!B837</f>
        <v>MO</v>
      </c>
      <c r="C837" s="212" t="str">
        <f>COMPOSICIÓN!C837</f>
        <v>OTR</v>
      </c>
      <c r="D837" s="212" t="str">
        <f>COMPOSICIÓN!D837</f>
        <v>SUB-PTO022</v>
      </c>
      <c r="E837" s="212" t="str">
        <f>COMPOSICIÓN!E837</f>
        <v>MO Tanques de HºAº - H35 (100 kg/m3 de hierro) - Tanque de reserva</v>
      </c>
      <c r="F837" s="212" t="str">
        <f>COMPOSICIÓN!F837</f>
        <v>j</v>
      </c>
      <c r="G837" s="213">
        <f>COMPOSICIÓN!G837</f>
        <v>1</v>
      </c>
      <c r="H837" s="214">
        <f>COMPOSICIÓN!H837</f>
        <v>0</v>
      </c>
      <c r="I837" s="215">
        <f>COMPOSICIÓN!I837</f>
        <v>357640.8998745</v>
      </c>
      <c r="J837" s="212" t="str">
        <f>IFERROR(VLOOKUP(A837,PARTIDAS!$A$2:$C$269,3,FALSE()),"")</f>
        <v>ESTRUCTURA DE HORMIGÓN ARMADO</v>
      </c>
      <c r="K837" s="212" t="str">
        <f>IFERROR(INDEX(PPTO_GENERADOR!$B$4:$B$220,MATCH(A837,PPTO_GENERADOR!$Q$4:$Q$220,0)),"")</f>
        <v>ESTRUCTURA DE HORMIGÓN ARMADO</v>
      </c>
      <c r="L837" s="216">
        <f>IF(PLAN_ETAPA!$C$4="(TODOS)",SUMIFS(PPTO_GENERADOR!$E$4:$E$220,PPTO_GENERADOR!$Q$4:$Q$220,A837),SUMIFS(PPTO_GENERADOR!$E$4:$E$220,PPTO_GENERADOR!$Q$4:$Q$220,A837,PPTO_GENERADOR!$B$4:$B$220,PLAN_ETAPA!$C$4))</f>
        <v>0</v>
      </c>
      <c r="M837" s="216">
        <f>IFERROR(VLOOKUP(A837,PARTIDAS!$A$2:$F$269,6,FALSE()),1)</f>
        <v>1</v>
      </c>
      <c r="N837" s="216">
        <f>IFERROR(VLOOKUP(A837,PARTIDAS!$A$2:$I$269,9,FALSE()),1)</f>
        <v>1</v>
      </c>
      <c r="O837" s="217">
        <f t="shared" si="26"/>
        <v>0</v>
      </c>
      <c r="P837" s="216">
        <f>IF(O837=0,0,IF(B837="MAT",G837*(1+H837)*L837*PLAN_ETAPA!$C$5,IF(B837="MO",IF(M837=0,0,G837*L837*PLAN_ETAPA!$C$5*N837/M837),IF(B837="EQ",IF(M837=0,0,G837*L837*PLAN_ETAPA!$C$5/M837),0))))</f>
        <v>0</v>
      </c>
      <c r="Q837" s="218">
        <f t="shared" si="27"/>
        <v>0</v>
      </c>
    </row>
    <row r="838" spans="1:17" x14ac:dyDescent="0.35">
      <c r="A838" s="212" t="str">
        <f>COMPOSICIÓN!A838</f>
        <v>PTO-0319</v>
      </c>
      <c r="B838" s="212" t="str">
        <f>COMPOSICIÓN!B838</f>
        <v>EQ</v>
      </c>
      <c r="C838" s="212">
        <f>COMPOSICIÓN!C838</f>
        <v>0</v>
      </c>
      <c r="D838" s="212" t="str">
        <f>COMPOSICIÓN!D838</f>
        <v>EQ-PTO019</v>
      </c>
      <c r="E838" s="212" t="str">
        <f>COMPOSICIÓN!E838</f>
        <v>EQ Sistema de apuntalamiento y reapuntalamiento [ENCOFRADO]</v>
      </c>
      <c r="F838" s="212">
        <f>COMPOSICIÓN!F838</f>
        <v>0</v>
      </c>
      <c r="G838" s="213">
        <f>COMPOSICIÓN!G838</f>
        <v>1</v>
      </c>
      <c r="H838" s="214">
        <f>COMPOSICIÓN!H838</f>
        <v>0</v>
      </c>
      <c r="I838" s="215">
        <f>COMPOSICIÓN!I838</f>
        <v>8458556.625</v>
      </c>
      <c r="J838" s="212" t="str">
        <f>IFERROR(VLOOKUP(A838,PARTIDAS!$A$2:$C$269,3,FALSE()),"")</f>
        <v>ESTRUCTURA DE HORMIGÓN ARMADO</v>
      </c>
      <c r="K838" s="212" t="str">
        <f>IFERROR(INDEX(PPTO_GENERADOR!$B$4:$B$220,MATCH(A838,PPTO_GENERADOR!$Q$4:$Q$220,0)),"")</f>
        <v>ESTRUCTURA DE HORMIGÓN ARMADO</v>
      </c>
      <c r="L838" s="216">
        <f>IF(PLAN_ETAPA!$C$4="(TODOS)",SUMIFS(PPTO_GENERADOR!$E$4:$E$220,PPTO_GENERADOR!$Q$4:$Q$220,A838),SUMIFS(PPTO_GENERADOR!$E$4:$E$220,PPTO_GENERADOR!$Q$4:$Q$220,A838,PPTO_GENERADOR!$B$4:$B$220,PLAN_ETAPA!$C$4))</f>
        <v>0</v>
      </c>
      <c r="M838" s="216">
        <f>IFERROR(VLOOKUP(A838,PARTIDAS!$A$2:$F$269,6,FALSE()),1)</f>
        <v>1</v>
      </c>
      <c r="N838" s="216">
        <f>IFERROR(VLOOKUP(A838,PARTIDAS!$A$2:$I$269,9,FALSE()),1)</f>
        <v>1</v>
      </c>
      <c r="O838" s="217">
        <f t="shared" si="26"/>
        <v>0</v>
      </c>
      <c r="P838" s="216">
        <f>IF(O838=0,0,IF(B838="MAT",G838*(1+H838)*L838*PLAN_ETAPA!$C$5,IF(B838="MO",IF(M838=0,0,G838*L838*PLAN_ETAPA!$C$5*N838/M838),IF(B838="EQ",IF(M838=0,0,G838*L838*PLAN_ETAPA!$C$5/M838),0))))</f>
        <v>0</v>
      </c>
      <c r="Q838" s="218">
        <f t="shared" si="27"/>
        <v>0</v>
      </c>
    </row>
    <row r="839" spans="1:17" x14ac:dyDescent="0.35">
      <c r="A839" s="212" t="str">
        <f>COMPOSICIÓN!A839</f>
        <v>PTO-0320</v>
      </c>
      <c r="B839" s="212" t="str">
        <f>COMPOSICIÓN!B839</f>
        <v>MO</v>
      </c>
      <c r="C839" s="212" t="str">
        <f>COMPOSICIÓN!C839</f>
        <v>OTR</v>
      </c>
      <c r="D839" s="212" t="str">
        <f>COMPOSICIÓN!D839</f>
        <v>SUB-PTO023</v>
      </c>
      <c r="E839" s="212" t="str">
        <f>COMPOSICIÓN!E839</f>
        <v xml:space="preserve">MO Ensayos de hormigon por etapas de hormigonado </v>
      </c>
      <c r="F839" s="212" t="str">
        <f>COMPOSICIÓN!F839</f>
        <v>j</v>
      </c>
      <c r="G839" s="213">
        <f>COMPOSICIÓN!G839</f>
        <v>1</v>
      </c>
      <c r="H839" s="214">
        <f>COMPOSICIÓN!H839</f>
        <v>0</v>
      </c>
      <c r="I839" s="215">
        <f>COMPOSICIÓN!I839</f>
        <v>228712</v>
      </c>
      <c r="J839" s="212" t="str">
        <f>IFERROR(VLOOKUP(A839,PARTIDAS!$A$2:$C$269,3,FALSE()),"")</f>
        <v>ESTRUCTURA DE HORMIGÓN ARMADO</v>
      </c>
      <c r="K839" s="212" t="str">
        <f>IFERROR(INDEX(PPTO_GENERADOR!$B$4:$B$220,MATCH(A839,PPTO_GENERADOR!$Q$4:$Q$220,0)),"")</f>
        <v>ESTRUCTURA DE HORMIGÓN ARMADO</v>
      </c>
      <c r="L839" s="216">
        <f>IF(PLAN_ETAPA!$C$4="(TODOS)",SUMIFS(PPTO_GENERADOR!$E$4:$E$220,PPTO_GENERADOR!$Q$4:$Q$220,A839),SUMIFS(PPTO_GENERADOR!$E$4:$E$220,PPTO_GENERADOR!$Q$4:$Q$220,A839,PPTO_GENERADOR!$B$4:$B$220,PLAN_ETAPA!$C$4))</f>
        <v>0</v>
      </c>
      <c r="M839" s="216">
        <f>IFERROR(VLOOKUP(A839,PARTIDAS!$A$2:$F$269,6,FALSE()),1)</f>
        <v>1</v>
      </c>
      <c r="N839" s="216">
        <f>IFERROR(VLOOKUP(A839,PARTIDAS!$A$2:$I$269,9,FALSE()),1)</f>
        <v>1</v>
      </c>
      <c r="O839" s="217">
        <f t="shared" si="26"/>
        <v>0</v>
      </c>
      <c r="P839" s="216">
        <f>IF(O839=0,0,IF(B839="MAT",G839*(1+H839)*L839*PLAN_ETAPA!$C$5,IF(B839="MO",IF(M839=0,0,G839*L839*PLAN_ETAPA!$C$5*N839/M839),IF(B839="EQ",IF(M839=0,0,G839*L839*PLAN_ETAPA!$C$5/M839),0))))</f>
        <v>0</v>
      </c>
      <c r="Q839" s="218">
        <f t="shared" si="27"/>
        <v>0</v>
      </c>
    </row>
    <row r="840" spans="1:17" x14ac:dyDescent="0.35">
      <c r="A840" s="212" t="str">
        <f>COMPOSICIÓN!A840</f>
        <v>PTO-0321</v>
      </c>
      <c r="B840" s="212" t="str">
        <f>COMPOSICIÓN!B840</f>
        <v>MAT</v>
      </c>
      <c r="C840" s="212" t="str">
        <f>COMPOSICIÓN!C840</f>
        <v>OTR</v>
      </c>
      <c r="D840" s="212" t="str">
        <f>COMPOSICIÓN!D840</f>
        <v>OTR-PTO059</v>
      </c>
      <c r="E840" s="212" t="str">
        <f>COMPOSICIÓN!E840</f>
        <v>Permiso de estacionamiento de bomba de hormigón a contramano</v>
      </c>
      <c r="F840" s="212" t="str">
        <f>COMPOSICIÓN!F840</f>
        <v>gl</v>
      </c>
      <c r="G840" s="213">
        <f>COMPOSICIÓN!G840</f>
        <v>1</v>
      </c>
      <c r="H840" s="214">
        <f>COMPOSICIÓN!H840</f>
        <v>0</v>
      </c>
      <c r="I840" s="215">
        <f>COMPOSICIÓN!I840</f>
        <v>51239.669421487597</v>
      </c>
      <c r="J840" s="212" t="str">
        <f>IFERROR(VLOOKUP(A840,PARTIDAS!$A$2:$C$269,3,FALSE()),"")</f>
        <v>ESTRUCTURA DE HORMIGÓN ARMADO</v>
      </c>
      <c r="K840" s="212" t="str">
        <f>IFERROR(INDEX(PPTO_GENERADOR!$B$4:$B$220,MATCH(A840,PPTO_GENERADOR!$Q$4:$Q$220,0)),"")</f>
        <v>ESTRUCTURA DE HORMIGÓN ARMADO</v>
      </c>
      <c r="L840" s="216">
        <f>IF(PLAN_ETAPA!$C$4="(TODOS)",SUMIFS(PPTO_GENERADOR!$E$4:$E$220,PPTO_GENERADOR!$Q$4:$Q$220,A840),SUMIFS(PPTO_GENERADOR!$E$4:$E$220,PPTO_GENERADOR!$Q$4:$Q$220,A840,PPTO_GENERADOR!$B$4:$B$220,PLAN_ETAPA!$C$4))</f>
        <v>0</v>
      </c>
      <c r="M840" s="216">
        <f>IFERROR(VLOOKUP(A840,PARTIDAS!$A$2:$F$269,6,FALSE()),1)</f>
        <v>1</v>
      </c>
      <c r="N840" s="216">
        <f>IFERROR(VLOOKUP(A840,PARTIDAS!$A$2:$I$269,9,FALSE()),1)</f>
        <v>1</v>
      </c>
      <c r="O840" s="217">
        <f t="shared" si="26"/>
        <v>0</v>
      </c>
      <c r="P840" s="216">
        <f>IF(O840=0,0,IF(B840="MAT",G840*(1+H840)*L840*PLAN_ETAPA!$C$5,IF(B840="MO",IF(M840=0,0,G840*L840*PLAN_ETAPA!$C$5*N840/M840),IF(B840="EQ",IF(M840=0,0,G840*L840*PLAN_ETAPA!$C$5/M840),0))))</f>
        <v>0</v>
      </c>
      <c r="Q840" s="218">
        <f t="shared" si="27"/>
        <v>0</v>
      </c>
    </row>
    <row r="841" spans="1:17" x14ac:dyDescent="0.35">
      <c r="A841" s="212" t="str">
        <f>COMPOSICIÓN!A841</f>
        <v>PTO-0322</v>
      </c>
      <c r="B841" s="212" t="str">
        <f>COMPOSICIÓN!B841</f>
        <v>EQ</v>
      </c>
      <c r="C841" s="212">
        <f>COMPOSICIÓN!C841</f>
        <v>0</v>
      </c>
      <c r="D841" s="212" t="str">
        <f>COMPOSICIÓN!D841</f>
        <v>EQ-PTO037</v>
      </c>
      <c r="E841" s="212" t="str">
        <f>COMPOSICIÓN!E841</f>
        <v>Herramientas menores y consumibles - Picado de medianeras para columnas y vigas - Cotiz</v>
      </c>
      <c r="F841" s="212">
        <f>COMPOSICIÓN!F841</f>
        <v>0</v>
      </c>
      <c r="G841" s="213">
        <f>COMPOSICIÓN!G841</f>
        <v>1</v>
      </c>
      <c r="H841" s="214">
        <f>COMPOSICIÓN!H841</f>
        <v>0</v>
      </c>
      <c r="I841" s="215">
        <f>COMPOSICIÓN!I841</f>
        <v>373.21801708038703</v>
      </c>
      <c r="J841" s="212" t="str">
        <f>IFERROR(VLOOKUP(A841,PARTIDAS!$A$2:$C$269,3,FALSE()),"")</f>
        <v>ESTRUCTURA DE HORMIGÓN ARMADO</v>
      </c>
      <c r="K841" s="212" t="str">
        <f>IFERROR(INDEX(PPTO_GENERADOR!$B$4:$B$220,MATCH(A841,PPTO_GENERADOR!$Q$4:$Q$220,0)),"")</f>
        <v>ESTRUCTURA DE HORMIGÓN ARMADO</v>
      </c>
      <c r="L841" s="216">
        <f>IF(PLAN_ETAPA!$C$4="(TODOS)",SUMIFS(PPTO_GENERADOR!$E$4:$E$220,PPTO_GENERADOR!$Q$4:$Q$220,A841),SUMIFS(PPTO_GENERADOR!$E$4:$E$220,PPTO_GENERADOR!$Q$4:$Q$220,A841,PPTO_GENERADOR!$B$4:$B$220,PLAN_ETAPA!$C$4))</f>
        <v>0</v>
      </c>
      <c r="M841" s="216">
        <f>IFERROR(VLOOKUP(A841,PARTIDAS!$A$2:$F$269,6,FALSE()),1)</f>
        <v>1</v>
      </c>
      <c r="N841" s="216">
        <f>IFERROR(VLOOKUP(A841,PARTIDAS!$A$2:$I$269,9,FALSE()),1)</f>
        <v>1</v>
      </c>
      <c r="O841" s="217">
        <f t="shared" si="26"/>
        <v>0</v>
      </c>
      <c r="P841" s="216">
        <f>IF(O841=0,0,IF(B841="MAT",G841*(1+H841)*L841*PLAN_ETAPA!$C$5,IF(B841="MO",IF(M841=0,0,G841*L841*PLAN_ETAPA!$C$5*N841/M841),IF(B841="EQ",IF(M841=0,0,G841*L841*PLAN_ETAPA!$C$5/M841),0))))</f>
        <v>0</v>
      </c>
      <c r="Q841" s="218">
        <f t="shared" si="27"/>
        <v>0</v>
      </c>
    </row>
    <row r="842" spans="1:17" x14ac:dyDescent="0.35">
      <c r="A842" s="212" t="str">
        <f>COMPOSICIÓN!A842</f>
        <v>PTO-0322</v>
      </c>
      <c r="B842" s="212" t="str">
        <f>COMPOSICIÓN!B842</f>
        <v>MAT</v>
      </c>
      <c r="C842" s="212" t="str">
        <f>COMPOSICIÓN!C842</f>
        <v>COR</v>
      </c>
      <c r="D842" s="212" t="str">
        <f>COMPOSICIÓN!D842</f>
        <v>MAT-CONS</v>
      </c>
      <c r="E842" s="212" t="str">
        <f>COMPOSICIÓN!E842</f>
        <v>Consumibles</v>
      </c>
      <c r="F842" s="212" t="str">
        <f>COMPOSICIÓN!F842</f>
        <v>gl</v>
      </c>
      <c r="G842" s="213">
        <f>COMPOSICIÓN!G842</f>
        <v>1923.0769230799999</v>
      </c>
      <c r="H842" s="214">
        <f>COMPOSICIÓN!H842</f>
        <v>0</v>
      </c>
      <c r="I842" s="215">
        <f>COMPOSICIÓN!I842</f>
        <v>1</v>
      </c>
      <c r="J842" s="212" t="str">
        <f>IFERROR(VLOOKUP(A842,PARTIDAS!$A$2:$C$269,3,FALSE()),"")</f>
        <v>ESTRUCTURA DE HORMIGÓN ARMADO</v>
      </c>
      <c r="K842" s="212" t="str">
        <f>IFERROR(INDEX(PPTO_GENERADOR!$B$4:$B$220,MATCH(A842,PPTO_GENERADOR!$Q$4:$Q$220,0)),"")</f>
        <v>ESTRUCTURA DE HORMIGÓN ARMADO</v>
      </c>
      <c r="L842" s="216">
        <f>IF(PLAN_ETAPA!$C$4="(TODOS)",SUMIFS(PPTO_GENERADOR!$E$4:$E$220,PPTO_GENERADOR!$Q$4:$Q$220,A842),SUMIFS(PPTO_GENERADOR!$E$4:$E$220,PPTO_GENERADOR!$Q$4:$Q$220,A842,PPTO_GENERADOR!$B$4:$B$220,PLAN_ETAPA!$C$4))</f>
        <v>0</v>
      </c>
      <c r="M842" s="216">
        <f>IFERROR(VLOOKUP(A842,PARTIDAS!$A$2:$F$269,6,FALSE()),1)</f>
        <v>1</v>
      </c>
      <c r="N842" s="216">
        <f>IFERROR(VLOOKUP(A842,PARTIDAS!$A$2:$I$269,9,FALSE()),1)</f>
        <v>1</v>
      </c>
      <c r="O842" s="217">
        <f t="shared" si="26"/>
        <v>0</v>
      </c>
      <c r="P842" s="216">
        <f>IF(O842=0,0,IF(B842="MAT",G842*(1+H842)*L842*PLAN_ETAPA!$C$5,IF(B842="MO",IF(M842=0,0,G842*L842*PLAN_ETAPA!$C$5*N842/M842),IF(B842="EQ",IF(M842=0,0,G842*L842*PLAN_ETAPA!$C$5/M842),0))))</f>
        <v>0</v>
      </c>
      <c r="Q842" s="218">
        <f t="shared" si="27"/>
        <v>0</v>
      </c>
    </row>
    <row r="843" spans="1:17" x14ac:dyDescent="0.35">
      <c r="A843" s="212" t="str">
        <f>COMPOSICIÓN!A843</f>
        <v>PTO-0322</v>
      </c>
      <c r="B843" s="212" t="str">
        <f>COMPOSICIÓN!B843</f>
        <v>MAT</v>
      </c>
      <c r="C843" s="212" t="str">
        <f>COMPOSICIÓN!C843</f>
        <v>OTR</v>
      </c>
      <c r="D843" s="212" t="str">
        <f>COMPOSICIÓN!D843</f>
        <v>OTR-PTO061</v>
      </c>
      <c r="E843" s="212" t="str">
        <f>COMPOSICIÓN!E843</f>
        <v>Volquetes</v>
      </c>
      <c r="F843" s="212" t="str">
        <f>COMPOSICIÓN!F843</f>
        <v>u</v>
      </c>
      <c r="G843" s="213">
        <f>COMPOSICIÓN!G843</f>
        <v>5.1282051282051301E-2</v>
      </c>
      <c r="H843" s="214">
        <f>COMPOSICIÓN!H843</f>
        <v>0</v>
      </c>
      <c r="I843" s="215">
        <f>COMPOSICIÓN!I843</f>
        <v>100000</v>
      </c>
      <c r="J843" s="212" t="str">
        <f>IFERROR(VLOOKUP(A843,PARTIDAS!$A$2:$C$269,3,FALSE()),"")</f>
        <v>ESTRUCTURA DE HORMIGÓN ARMADO</v>
      </c>
      <c r="K843" s="212" t="str">
        <f>IFERROR(INDEX(PPTO_GENERADOR!$B$4:$B$220,MATCH(A843,PPTO_GENERADOR!$Q$4:$Q$220,0)),"")</f>
        <v>ESTRUCTURA DE HORMIGÓN ARMADO</v>
      </c>
      <c r="L843" s="216">
        <f>IF(PLAN_ETAPA!$C$4="(TODOS)",SUMIFS(PPTO_GENERADOR!$E$4:$E$220,PPTO_GENERADOR!$Q$4:$Q$220,A843),SUMIFS(PPTO_GENERADOR!$E$4:$E$220,PPTO_GENERADOR!$Q$4:$Q$220,A843,PPTO_GENERADOR!$B$4:$B$220,PLAN_ETAPA!$C$4))</f>
        <v>0</v>
      </c>
      <c r="M843" s="216">
        <f>IFERROR(VLOOKUP(A843,PARTIDAS!$A$2:$F$269,6,FALSE()),1)</f>
        <v>1</v>
      </c>
      <c r="N843" s="216">
        <f>IFERROR(VLOOKUP(A843,PARTIDAS!$A$2:$I$269,9,FALSE()),1)</f>
        <v>1</v>
      </c>
      <c r="O843" s="217">
        <f t="shared" si="26"/>
        <v>0</v>
      </c>
      <c r="P843" s="216">
        <f>IF(O843=0,0,IF(B843="MAT",G843*(1+H843)*L843*PLAN_ETAPA!$C$5,IF(B843="MO",IF(M843=0,0,G843*L843*PLAN_ETAPA!$C$5*N843/M843),IF(B843="EQ",IF(M843=0,0,G843*L843*PLAN_ETAPA!$C$5/M843),0))))</f>
        <v>0</v>
      </c>
      <c r="Q843" s="218">
        <f t="shared" si="27"/>
        <v>0</v>
      </c>
    </row>
    <row r="844" spans="1:17" x14ac:dyDescent="0.35">
      <c r="A844" s="212" t="str">
        <f>COMPOSICIÓN!A844</f>
        <v>PTO-0322</v>
      </c>
      <c r="B844" s="212" t="str">
        <f>COMPOSICIÓN!B844</f>
        <v>MO</v>
      </c>
      <c r="C844" s="212" t="str">
        <f>COMPOSICIÓN!C844</f>
        <v>ALB</v>
      </c>
      <c r="D844" s="212" t="str">
        <f>COMPOSICIÓN!D844</f>
        <v>MO-EAYUD</v>
      </c>
      <c r="E844" s="212" t="str">
        <f>COMPOSICIÓN!E844</f>
        <v>AYUDANTE</v>
      </c>
      <c r="F844" s="212" t="str">
        <f>COMPOSICIÓN!F844</f>
        <v>j</v>
      </c>
      <c r="G844" s="213">
        <f>COMPOSICIÓN!G844</f>
        <v>0.17948717948717999</v>
      </c>
      <c r="H844" s="214">
        <f>COMPOSICIÓN!H844</f>
        <v>0</v>
      </c>
      <c r="I844" s="215">
        <f>COMPOSICIÓN!I844</f>
        <v>60860.580776572002</v>
      </c>
      <c r="J844" s="212" t="str">
        <f>IFERROR(VLOOKUP(A844,PARTIDAS!$A$2:$C$269,3,FALSE()),"")</f>
        <v>ESTRUCTURA DE HORMIGÓN ARMADO</v>
      </c>
      <c r="K844" s="212" t="str">
        <f>IFERROR(INDEX(PPTO_GENERADOR!$B$4:$B$220,MATCH(A844,PPTO_GENERADOR!$Q$4:$Q$220,0)),"")</f>
        <v>ESTRUCTURA DE HORMIGÓN ARMADO</v>
      </c>
      <c r="L844" s="216">
        <f>IF(PLAN_ETAPA!$C$4="(TODOS)",SUMIFS(PPTO_GENERADOR!$E$4:$E$220,PPTO_GENERADOR!$Q$4:$Q$220,A844),SUMIFS(PPTO_GENERADOR!$E$4:$E$220,PPTO_GENERADOR!$Q$4:$Q$220,A844,PPTO_GENERADOR!$B$4:$B$220,PLAN_ETAPA!$C$4))</f>
        <v>0</v>
      </c>
      <c r="M844" s="216">
        <f>IFERROR(VLOOKUP(A844,PARTIDAS!$A$2:$F$269,6,FALSE()),1)</f>
        <v>1</v>
      </c>
      <c r="N844" s="216">
        <f>IFERROR(VLOOKUP(A844,PARTIDAS!$A$2:$I$269,9,FALSE()),1)</f>
        <v>1</v>
      </c>
      <c r="O844" s="217">
        <f t="shared" si="26"/>
        <v>0</v>
      </c>
      <c r="P844" s="216">
        <f>IF(O844=0,0,IF(B844="MAT",G844*(1+H844)*L844*PLAN_ETAPA!$C$5,IF(B844="MO",IF(M844=0,0,G844*L844*PLAN_ETAPA!$C$5*N844/M844),IF(B844="EQ",IF(M844=0,0,G844*L844*PLAN_ETAPA!$C$5/M844),0))))</f>
        <v>0</v>
      </c>
      <c r="Q844" s="218">
        <f t="shared" si="27"/>
        <v>0</v>
      </c>
    </row>
    <row r="845" spans="1:17" x14ac:dyDescent="0.35">
      <c r="A845" s="212" t="str">
        <f>COMPOSICIÓN!A845</f>
        <v>PTO-0322</v>
      </c>
      <c r="B845" s="212" t="str">
        <f>COMPOSICIÓN!B845</f>
        <v>MO</v>
      </c>
      <c r="C845" s="212" t="str">
        <f>COMPOSICIÓN!C845</f>
        <v>ALB</v>
      </c>
      <c r="D845" s="212" t="str">
        <f>COMPOSICIÓN!D845</f>
        <v>MO-EOFIC</v>
      </c>
      <c r="E845" s="212" t="str">
        <f>COMPOSICIÓN!E845</f>
        <v>OFICIAL</v>
      </c>
      <c r="F845" s="212" t="str">
        <f>COMPOSICIÓN!F845</f>
        <v>j</v>
      </c>
      <c r="G845" s="213">
        <f>COMPOSICIÓN!G845</f>
        <v>8.9743589743589702E-2</v>
      </c>
      <c r="H845" s="214">
        <f>COMPOSICIÓN!H845</f>
        <v>0</v>
      </c>
      <c r="I845" s="215">
        <f>COMPOSICIÓN!I845</f>
        <v>76955.079706571996</v>
      </c>
      <c r="J845" s="212" t="str">
        <f>IFERROR(VLOOKUP(A845,PARTIDAS!$A$2:$C$269,3,FALSE()),"")</f>
        <v>ESTRUCTURA DE HORMIGÓN ARMADO</v>
      </c>
      <c r="K845" s="212" t="str">
        <f>IFERROR(INDEX(PPTO_GENERADOR!$B$4:$B$220,MATCH(A845,PPTO_GENERADOR!$Q$4:$Q$220,0)),"")</f>
        <v>ESTRUCTURA DE HORMIGÓN ARMADO</v>
      </c>
      <c r="L845" s="216">
        <f>IF(PLAN_ETAPA!$C$4="(TODOS)",SUMIFS(PPTO_GENERADOR!$E$4:$E$220,PPTO_GENERADOR!$Q$4:$Q$220,A845),SUMIFS(PPTO_GENERADOR!$E$4:$E$220,PPTO_GENERADOR!$Q$4:$Q$220,A845,PPTO_GENERADOR!$B$4:$B$220,PLAN_ETAPA!$C$4))</f>
        <v>0</v>
      </c>
      <c r="M845" s="216">
        <f>IFERROR(VLOOKUP(A845,PARTIDAS!$A$2:$F$269,6,FALSE()),1)</f>
        <v>1</v>
      </c>
      <c r="N845" s="216">
        <f>IFERROR(VLOOKUP(A845,PARTIDAS!$A$2:$I$269,9,FALSE()),1)</f>
        <v>1</v>
      </c>
      <c r="O845" s="217">
        <f t="shared" si="26"/>
        <v>0</v>
      </c>
      <c r="P845" s="216">
        <f>IF(O845=0,0,IF(B845="MAT",G845*(1+H845)*L845*PLAN_ETAPA!$C$5,IF(B845="MO",IF(M845=0,0,G845*L845*PLAN_ETAPA!$C$5*N845/M845),IF(B845="EQ",IF(M845=0,0,G845*L845*PLAN_ETAPA!$C$5/M845),0))))</f>
        <v>0</v>
      </c>
      <c r="Q845" s="218">
        <f t="shared" si="27"/>
        <v>0</v>
      </c>
    </row>
    <row r="846" spans="1:17" x14ac:dyDescent="0.35">
      <c r="A846" s="212" t="str">
        <f>COMPOSICIÓN!A846</f>
        <v>PTO-0401</v>
      </c>
      <c r="B846" s="212" t="str">
        <f>COMPOSICIÓN!B846</f>
        <v>EQ</v>
      </c>
      <c r="C846" s="212">
        <f>COMPOSICIÓN!C846</f>
        <v>0</v>
      </c>
      <c r="D846" s="212" t="str">
        <f>COMPOSICIÓN!D846</f>
        <v>EQ-ANDAM0</v>
      </c>
      <c r="E846" s="212" t="str">
        <f>COMPOSICIÓN!E846</f>
        <v>ANDAMIO TUBULAR DE UNO A TRES CUERPOS</v>
      </c>
      <c r="F846" s="212">
        <f>COMPOSICIÓN!F846</f>
        <v>0</v>
      </c>
      <c r="G846" s="213">
        <f>COMPOSICIÓN!G846</f>
        <v>0.5</v>
      </c>
      <c r="H846" s="214">
        <f>COMPOSICIÓN!H846</f>
        <v>0</v>
      </c>
      <c r="I846" s="215">
        <f>COMPOSICIÓN!I846</f>
        <v>571.1794909807611</v>
      </c>
      <c r="J846" s="212" t="str">
        <f>IFERROR(VLOOKUP(A846,PARTIDAS!$A$2:$C$269,3,FALSE()),"")</f>
        <v>MAMPOSTERÍA</v>
      </c>
      <c r="K846" s="212" t="str">
        <f>IFERROR(INDEX(PPTO_GENERADOR!$B$4:$B$220,MATCH(A846,PPTO_GENERADOR!$Q$4:$Q$220,0)),"")</f>
        <v/>
      </c>
      <c r="L846" s="216">
        <f>IF(PLAN_ETAPA!$C$4="(TODOS)",SUMIFS(PPTO_GENERADOR!$E$4:$E$220,PPTO_GENERADOR!$Q$4:$Q$220,A846),SUMIFS(PPTO_GENERADOR!$E$4:$E$220,PPTO_GENERADOR!$Q$4:$Q$220,A846,PPTO_GENERADOR!$B$4:$B$220,PLAN_ETAPA!$C$4))</f>
        <v>0</v>
      </c>
      <c r="M846" s="216">
        <f>IFERROR(VLOOKUP(A846,PARTIDAS!$A$2:$F$269,6,FALSE()),1)</f>
        <v>15</v>
      </c>
      <c r="N846" s="216">
        <f>IFERROR(VLOOKUP(A846,PARTIDAS!$A$2:$I$269,9,FALSE()),1)</f>
        <v>1</v>
      </c>
      <c r="O846" s="217">
        <f t="shared" si="26"/>
        <v>0</v>
      </c>
      <c r="P846" s="216">
        <f>IF(O846=0,0,IF(B846="MAT",G846*(1+H846)*L846*PLAN_ETAPA!$C$5,IF(B846="MO",IF(M846=0,0,G846*L846*PLAN_ETAPA!$C$5*N846/M846),IF(B846="EQ",IF(M846=0,0,G846*L846*PLAN_ETAPA!$C$5/M846),0))))</f>
        <v>0</v>
      </c>
      <c r="Q846" s="218">
        <f t="shared" si="27"/>
        <v>0</v>
      </c>
    </row>
    <row r="847" spans="1:17" x14ac:dyDescent="0.35">
      <c r="A847" s="212" t="str">
        <f>COMPOSICIÓN!A847</f>
        <v>PTO-0401</v>
      </c>
      <c r="B847" s="212" t="str">
        <f>COMPOSICIÓN!B847</f>
        <v>EQ</v>
      </c>
      <c r="C847" s="212">
        <f>COMPOSICIÓN!C847</f>
        <v>0</v>
      </c>
      <c r="D847" s="212" t="str">
        <f>COMPOSICIÓN!D847</f>
        <v>EQ-EQALBA</v>
      </c>
      <c r="E847" s="212" t="str">
        <f>COMPOSICIÓN!E847</f>
        <v>EQUIPO DE ALBAÑILERIA, carpetas, ladrillo</v>
      </c>
      <c r="F847" s="212">
        <f>COMPOSICIÓN!F847</f>
        <v>0</v>
      </c>
      <c r="G847" s="213">
        <f>COMPOSICIÓN!G847</f>
        <v>1</v>
      </c>
      <c r="H847" s="214">
        <f>COMPOSICIÓN!H847</f>
        <v>0</v>
      </c>
      <c r="I847" s="215">
        <f>COMPOSICIÓN!I847</f>
        <v>2287.1357450968057</v>
      </c>
      <c r="J847" s="212" t="str">
        <f>IFERROR(VLOOKUP(A847,PARTIDAS!$A$2:$C$269,3,FALSE()),"")</f>
        <v>MAMPOSTERÍA</v>
      </c>
      <c r="K847" s="212" t="str">
        <f>IFERROR(INDEX(PPTO_GENERADOR!$B$4:$B$220,MATCH(A847,PPTO_GENERADOR!$Q$4:$Q$220,0)),"")</f>
        <v/>
      </c>
      <c r="L847" s="216">
        <f>IF(PLAN_ETAPA!$C$4="(TODOS)",SUMIFS(PPTO_GENERADOR!$E$4:$E$220,PPTO_GENERADOR!$Q$4:$Q$220,A847),SUMIFS(PPTO_GENERADOR!$E$4:$E$220,PPTO_GENERADOR!$Q$4:$Q$220,A847,PPTO_GENERADOR!$B$4:$B$220,PLAN_ETAPA!$C$4))</f>
        <v>0</v>
      </c>
      <c r="M847" s="216">
        <f>IFERROR(VLOOKUP(A847,PARTIDAS!$A$2:$F$269,6,FALSE()),1)</f>
        <v>15</v>
      </c>
      <c r="N847" s="216">
        <f>IFERROR(VLOOKUP(A847,PARTIDAS!$A$2:$I$269,9,FALSE()),1)</f>
        <v>1</v>
      </c>
      <c r="O847" s="217">
        <f t="shared" si="26"/>
        <v>0</v>
      </c>
      <c r="P847" s="216">
        <f>IF(O847=0,0,IF(B847="MAT",G847*(1+H847)*L847*PLAN_ETAPA!$C$5,IF(B847="MO",IF(M847=0,0,G847*L847*PLAN_ETAPA!$C$5*N847/M847),IF(B847="EQ",IF(M847=0,0,G847*L847*PLAN_ETAPA!$C$5/M847),0))))</f>
        <v>0</v>
      </c>
      <c r="Q847" s="218">
        <f t="shared" si="27"/>
        <v>0</v>
      </c>
    </row>
    <row r="848" spans="1:17" x14ac:dyDescent="0.35">
      <c r="A848" s="212" t="str">
        <f>COMPOSICIÓN!A848</f>
        <v>PTO-0401</v>
      </c>
      <c r="B848" s="212" t="str">
        <f>COMPOSICIÓN!B848</f>
        <v>EQ</v>
      </c>
      <c r="C848" s="212">
        <f>COMPOSICIÓN!C848</f>
        <v>0</v>
      </c>
      <c r="D848" s="212" t="str">
        <f>COMPOSICIÓN!D848</f>
        <v>EQ-TROMPO</v>
      </c>
      <c r="E848" s="212" t="str">
        <f>COMPOSICIÓN!E848</f>
        <v>Hormigonera De 150 Litros 1hp Con Rueda Maciza</v>
      </c>
      <c r="F848" s="212">
        <f>COMPOSICIÓN!F848</f>
        <v>0</v>
      </c>
      <c r="G848" s="213">
        <f>COMPOSICIÓN!G848</f>
        <v>1</v>
      </c>
      <c r="H848" s="214">
        <f>COMPOSICIÓN!H848</f>
        <v>0</v>
      </c>
      <c r="I848" s="215">
        <f>COMPOSICIÓN!I848</f>
        <v>957.25319614994726</v>
      </c>
      <c r="J848" s="212" t="str">
        <f>IFERROR(VLOOKUP(A848,PARTIDAS!$A$2:$C$269,3,FALSE()),"")</f>
        <v>MAMPOSTERÍA</v>
      </c>
      <c r="K848" s="212" t="str">
        <f>IFERROR(INDEX(PPTO_GENERADOR!$B$4:$B$220,MATCH(A848,PPTO_GENERADOR!$Q$4:$Q$220,0)),"")</f>
        <v/>
      </c>
      <c r="L848" s="216">
        <f>IF(PLAN_ETAPA!$C$4="(TODOS)",SUMIFS(PPTO_GENERADOR!$E$4:$E$220,PPTO_GENERADOR!$Q$4:$Q$220,A848),SUMIFS(PPTO_GENERADOR!$E$4:$E$220,PPTO_GENERADOR!$Q$4:$Q$220,A848,PPTO_GENERADOR!$B$4:$B$220,PLAN_ETAPA!$C$4))</f>
        <v>0</v>
      </c>
      <c r="M848" s="216">
        <f>IFERROR(VLOOKUP(A848,PARTIDAS!$A$2:$F$269,6,FALSE()),1)</f>
        <v>15</v>
      </c>
      <c r="N848" s="216">
        <f>IFERROR(VLOOKUP(A848,PARTIDAS!$A$2:$I$269,9,FALSE()),1)</f>
        <v>1</v>
      </c>
      <c r="O848" s="217">
        <f t="shared" si="26"/>
        <v>0</v>
      </c>
      <c r="P848" s="216">
        <f>IF(O848=0,0,IF(B848="MAT",G848*(1+H848)*L848*PLAN_ETAPA!$C$5,IF(B848="MO",IF(M848=0,0,G848*L848*PLAN_ETAPA!$C$5*N848/M848),IF(B848="EQ",IF(M848=0,0,G848*L848*PLAN_ETAPA!$C$5/M848),0))))</f>
        <v>0</v>
      </c>
      <c r="Q848" s="218">
        <f t="shared" si="27"/>
        <v>0</v>
      </c>
    </row>
    <row r="849" spans="1:17" x14ac:dyDescent="0.35">
      <c r="A849" s="212" t="str">
        <f>COMPOSICIÓN!A849</f>
        <v>PTO-0401</v>
      </c>
      <c r="B849" s="212" t="str">
        <f>COMPOSICIÓN!B849</f>
        <v>MAT</v>
      </c>
      <c r="C849" s="212" t="str">
        <f>COMPOSICIÓN!C849</f>
        <v>OTR</v>
      </c>
      <c r="D849" s="212" t="str">
        <f>COMPOSICIÓN!D849</f>
        <v>ACE-001</v>
      </c>
      <c r="E849" s="212" t="str">
        <f>COMPOSICIÓN!E849</f>
        <v>Barra de Acero Aleteado - 6mm x 12m</v>
      </c>
      <c r="F849" s="212" t="str">
        <f>COMPOSICIÓN!F849</f>
        <v>u</v>
      </c>
      <c r="G849" s="213">
        <f>COMPOSICIÓN!G849</f>
        <v>0.17</v>
      </c>
      <c r="H849" s="214">
        <f>COMPOSICIÓN!H849</f>
        <v>0.1</v>
      </c>
      <c r="I849" s="215">
        <f>COMPOSICIÓN!I849</f>
        <v>3424.53</v>
      </c>
      <c r="J849" s="212" t="str">
        <f>IFERROR(VLOOKUP(A849,PARTIDAS!$A$2:$C$269,3,FALSE()),"")</f>
        <v>MAMPOSTERÍA</v>
      </c>
      <c r="K849" s="212" t="str">
        <f>IFERROR(INDEX(PPTO_GENERADOR!$B$4:$B$220,MATCH(A849,PPTO_GENERADOR!$Q$4:$Q$220,0)),"")</f>
        <v/>
      </c>
      <c r="L849" s="216">
        <f>IF(PLAN_ETAPA!$C$4="(TODOS)",SUMIFS(PPTO_GENERADOR!$E$4:$E$220,PPTO_GENERADOR!$Q$4:$Q$220,A849),SUMIFS(PPTO_GENERADOR!$E$4:$E$220,PPTO_GENERADOR!$Q$4:$Q$220,A849,PPTO_GENERADOR!$B$4:$B$220,PLAN_ETAPA!$C$4))</f>
        <v>0</v>
      </c>
      <c r="M849" s="216">
        <f>IFERROR(VLOOKUP(A849,PARTIDAS!$A$2:$F$269,6,FALSE()),1)</f>
        <v>15</v>
      </c>
      <c r="N849" s="216">
        <f>IFERROR(VLOOKUP(A849,PARTIDAS!$A$2:$I$269,9,FALSE()),1)</f>
        <v>1</v>
      </c>
      <c r="O849" s="217">
        <f t="shared" si="26"/>
        <v>0</v>
      </c>
      <c r="P849" s="216">
        <f>IF(O849=0,0,IF(B849="MAT",G849*(1+H849)*L849*PLAN_ETAPA!$C$5,IF(B849="MO",IF(M849=0,0,G849*L849*PLAN_ETAPA!$C$5*N849/M849),IF(B849="EQ",IF(M849=0,0,G849*L849*PLAN_ETAPA!$C$5/M849),0))))</f>
        <v>0</v>
      </c>
      <c r="Q849" s="218">
        <f t="shared" si="27"/>
        <v>0</v>
      </c>
    </row>
    <row r="850" spans="1:17" x14ac:dyDescent="0.35">
      <c r="A850" s="212" t="str">
        <f>COMPOSICIÓN!A850</f>
        <v>PTO-0401</v>
      </c>
      <c r="B850" s="212" t="str">
        <f>COMPOSICIÓN!B850</f>
        <v>MAT</v>
      </c>
      <c r="C850" s="212" t="str">
        <f>COMPOSICIÓN!C850</f>
        <v>OTR</v>
      </c>
      <c r="D850" s="212" t="str">
        <f>COMPOSICIÓN!D850</f>
        <v>AGR-001</v>
      </c>
      <c r="E850" s="212" t="str">
        <f>COMPOSICIÓN!E850</f>
        <v>ARENA LAVADA</v>
      </c>
      <c r="F850" s="212" t="str">
        <f>COMPOSICIÓN!F850</f>
        <v>m3</v>
      </c>
      <c r="G850" s="213">
        <f>COMPOSICIÓN!G850</f>
        <v>1.2E-2</v>
      </c>
      <c r="H850" s="214">
        <f>COMPOSICIÓN!H850</f>
        <v>0.1</v>
      </c>
      <c r="I850" s="215">
        <f>COMPOSICIÓN!I850</f>
        <v>32399.77</v>
      </c>
      <c r="J850" s="212" t="str">
        <f>IFERROR(VLOOKUP(A850,PARTIDAS!$A$2:$C$269,3,FALSE()),"")</f>
        <v>MAMPOSTERÍA</v>
      </c>
      <c r="K850" s="212" t="str">
        <f>IFERROR(INDEX(PPTO_GENERADOR!$B$4:$B$220,MATCH(A850,PPTO_GENERADOR!$Q$4:$Q$220,0)),"")</f>
        <v/>
      </c>
      <c r="L850" s="216">
        <f>IF(PLAN_ETAPA!$C$4="(TODOS)",SUMIFS(PPTO_GENERADOR!$E$4:$E$220,PPTO_GENERADOR!$Q$4:$Q$220,A850),SUMIFS(PPTO_GENERADOR!$E$4:$E$220,PPTO_GENERADOR!$Q$4:$Q$220,A850,PPTO_GENERADOR!$B$4:$B$220,PLAN_ETAPA!$C$4))</f>
        <v>0</v>
      </c>
      <c r="M850" s="216">
        <f>IFERROR(VLOOKUP(A850,PARTIDAS!$A$2:$F$269,6,FALSE()),1)</f>
        <v>15</v>
      </c>
      <c r="N850" s="216">
        <f>IFERROR(VLOOKUP(A850,PARTIDAS!$A$2:$I$269,9,FALSE()),1)</f>
        <v>1</v>
      </c>
      <c r="O850" s="217">
        <f t="shared" si="26"/>
        <v>0</v>
      </c>
      <c r="P850" s="216">
        <f>IF(O850=0,0,IF(B850="MAT",G850*(1+H850)*L850*PLAN_ETAPA!$C$5,IF(B850="MO",IF(M850=0,0,G850*L850*PLAN_ETAPA!$C$5*N850/M850),IF(B850="EQ",IF(M850=0,0,G850*L850*PLAN_ETAPA!$C$5/M850),0))))</f>
        <v>0</v>
      </c>
      <c r="Q850" s="218">
        <f t="shared" si="27"/>
        <v>0</v>
      </c>
    </row>
    <row r="851" spans="1:17" x14ac:dyDescent="0.35">
      <c r="A851" s="212" t="str">
        <f>COMPOSICIÓN!A851</f>
        <v>PTO-0401</v>
      </c>
      <c r="B851" s="212" t="str">
        <f>COMPOSICIÓN!B851</f>
        <v>MAT</v>
      </c>
      <c r="C851" s="212" t="str">
        <f>COMPOSICIÓN!C851</f>
        <v>OTR</v>
      </c>
      <c r="D851" s="212" t="str">
        <f>COMPOSICIÓN!D851</f>
        <v>AGR-004</v>
      </c>
      <c r="E851" s="212" t="str">
        <f>COMPOSICIÓN!E851</f>
        <v>Cemento Portland x 50kg</v>
      </c>
      <c r="F851" s="212" t="str">
        <f>COMPOSICIÓN!F851</f>
        <v>Bol</v>
      </c>
      <c r="G851" s="213">
        <f>COMPOSICIÓN!G851</f>
        <v>0.05</v>
      </c>
      <c r="H851" s="214">
        <f>COMPOSICIÓN!H851</f>
        <v>0.1</v>
      </c>
      <c r="I851" s="215">
        <f>COMPOSICIÓN!I851</f>
        <v>7809.48</v>
      </c>
      <c r="J851" s="212" t="str">
        <f>IFERROR(VLOOKUP(A851,PARTIDAS!$A$2:$C$269,3,FALSE()),"")</f>
        <v>MAMPOSTERÍA</v>
      </c>
      <c r="K851" s="212" t="str">
        <f>IFERROR(INDEX(PPTO_GENERADOR!$B$4:$B$220,MATCH(A851,PPTO_GENERADOR!$Q$4:$Q$220,0)),"")</f>
        <v/>
      </c>
      <c r="L851" s="216">
        <f>IF(PLAN_ETAPA!$C$4="(TODOS)",SUMIFS(PPTO_GENERADOR!$E$4:$E$220,PPTO_GENERADOR!$Q$4:$Q$220,A851),SUMIFS(PPTO_GENERADOR!$E$4:$E$220,PPTO_GENERADOR!$Q$4:$Q$220,A851,PPTO_GENERADOR!$B$4:$B$220,PLAN_ETAPA!$C$4))</f>
        <v>0</v>
      </c>
      <c r="M851" s="216">
        <f>IFERROR(VLOOKUP(A851,PARTIDAS!$A$2:$F$269,6,FALSE()),1)</f>
        <v>15</v>
      </c>
      <c r="N851" s="216">
        <f>IFERROR(VLOOKUP(A851,PARTIDAS!$A$2:$I$269,9,FALSE()),1)</f>
        <v>1</v>
      </c>
      <c r="O851" s="217">
        <f t="shared" si="26"/>
        <v>0</v>
      </c>
      <c r="P851" s="216">
        <f>IF(O851=0,0,IF(B851="MAT",G851*(1+H851)*L851*PLAN_ETAPA!$C$5,IF(B851="MO",IF(M851=0,0,G851*L851*PLAN_ETAPA!$C$5*N851/M851),IF(B851="EQ",IF(M851=0,0,G851*L851*PLAN_ETAPA!$C$5/M851),0))))</f>
        <v>0</v>
      </c>
      <c r="Q851" s="218">
        <f t="shared" si="27"/>
        <v>0</v>
      </c>
    </row>
    <row r="852" spans="1:17" x14ac:dyDescent="0.35">
      <c r="A852" s="212" t="str">
        <f>COMPOSICIÓN!A852</f>
        <v>PTO-0401</v>
      </c>
      <c r="B852" s="212" t="str">
        <f>COMPOSICIÓN!B852</f>
        <v>MAT</v>
      </c>
      <c r="C852" s="212" t="str">
        <f>COMPOSICIÓN!C852</f>
        <v>OTR</v>
      </c>
      <c r="D852" s="212" t="str">
        <f>COMPOSICIÓN!D852</f>
        <v>AGR-005</v>
      </c>
      <c r="E852" s="212" t="str">
        <f>COMPOSICIÓN!E852</f>
        <v>Cal Comun x 25kg</v>
      </c>
      <c r="F852" s="212" t="str">
        <f>COMPOSICIÓN!F852</f>
        <v>bol</v>
      </c>
      <c r="G852" s="213">
        <f>COMPOSICIÓN!G852</f>
        <v>0.1</v>
      </c>
      <c r="H852" s="214">
        <f>COMPOSICIÓN!H852</f>
        <v>0.1</v>
      </c>
      <c r="I852" s="215">
        <f>COMPOSICIÓN!I852</f>
        <v>3837.96</v>
      </c>
      <c r="J852" s="212" t="str">
        <f>IFERROR(VLOOKUP(A852,PARTIDAS!$A$2:$C$269,3,FALSE()),"")</f>
        <v>MAMPOSTERÍA</v>
      </c>
      <c r="K852" s="212" t="str">
        <f>IFERROR(INDEX(PPTO_GENERADOR!$B$4:$B$220,MATCH(A852,PPTO_GENERADOR!$Q$4:$Q$220,0)),"")</f>
        <v/>
      </c>
      <c r="L852" s="216">
        <f>IF(PLAN_ETAPA!$C$4="(TODOS)",SUMIFS(PPTO_GENERADOR!$E$4:$E$220,PPTO_GENERADOR!$Q$4:$Q$220,A852),SUMIFS(PPTO_GENERADOR!$E$4:$E$220,PPTO_GENERADOR!$Q$4:$Q$220,A852,PPTO_GENERADOR!$B$4:$B$220,PLAN_ETAPA!$C$4))</f>
        <v>0</v>
      </c>
      <c r="M852" s="216">
        <f>IFERROR(VLOOKUP(A852,PARTIDAS!$A$2:$F$269,6,FALSE()),1)</f>
        <v>15</v>
      </c>
      <c r="N852" s="216">
        <f>IFERROR(VLOOKUP(A852,PARTIDAS!$A$2:$I$269,9,FALSE()),1)</f>
        <v>1</v>
      </c>
      <c r="O852" s="217">
        <f t="shared" si="26"/>
        <v>0</v>
      </c>
      <c r="P852" s="216">
        <f>IF(O852=0,0,IF(B852="MAT",G852*(1+H852)*L852*PLAN_ETAPA!$C$5,IF(B852="MO",IF(M852=0,0,G852*L852*PLAN_ETAPA!$C$5*N852/M852),IF(B852="EQ",IF(M852=0,0,G852*L852*PLAN_ETAPA!$C$5/M852),0))))</f>
        <v>0</v>
      </c>
      <c r="Q852" s="218">
        <f t="shared" si="27"/>
        <v>0</v>
      </c>
    </row>
    <row r="853" spans="1:17" x14ac:dyDescent="0.35">
      <c r="A853" s="212" t="str">
        <f>COMPOSICIÓN!A853</f>
        <v>PTO-0401</v>
      </c>
      <c r="B853" s="212" t="str">
        <f>COMPOSICIÓN!B853</f>
        <v>MAT</v>
      </c>
      <c r="C853" s="212" t="str">
        <f>COMPOSICIÓN!C853</f>
        <v>OTR</v>
      </c>
      <c r="D853" s="212" t="str">
        <f>COMPOSICIÓN!D853</f>
        <v>CER-002</v>
      </c>
      <c r="E853" s="212" t="str">
        <f>COMPOSICIÓN!E853</f>
        <v>LADRILLO CERAMICO 8 x 18 x 33 cm</v>
      </c>
      <c r="F853" s="212" t="str">
        <f>COMPOSICIÓN!F853</f>
        <v>u</v>
      </c>
      <c r="G853" s="213">
        <f>COMPOSICIÓN!G853</f>
        <v>15</v>
      </c>
      <c r="H853" s="214">
        <f>COMPOSICIÓN!H853</f>
        <v>0.05</v>
      </c>
      <c r="I853" s="215">
        <f>COMPOSICIÓN!I853</f>
        <v>292.32</v>
      </c>
      <c r="J853" s="212" t="str">
        <f>IFERROR(VLOOKUP(A853,PARTIDAS!$A$2:$C$269,3,FALSE()),"")</f>
        <v>MAMPOSTERÍA</v>
      </c>
      <c r="K853" s="212" t="str">
        <f>IFERROR(INDEX(PPTO_GENERADOR!$B$4:$B$220,MATCH(A853,PPTO_GENERADOR!$Q$4:$Q$220,0)),"")</f>
        <v/>
      </c>
      <c r="L853" s="216">
        <f>IF(PLAN_ETAPA!$C$4="(TODOS)",SUMIFS(PPTO_GENERADOR!$E$4:$E$220,PPTO_GENERADOR!$Q$4:$Q$220,A853),SUMIFS(PPTO_GENERADOR!$E$4:$E$220,PPTO_GENERADOR!$Q$4:$Q$220,A853,PPTO_GENERADOR!$B$4:$B$220,PLAN_ETAPA!$C$4))</f>
        <v>0</v>
      </c>
      <c r="M853" s="216">
        <f>IFERROR(VLOOKUP(A853,PARTIDAS!$A$2:$F$269,6,FALSE()),1)</f>
        <v>15</v>
      </c>
      <c r="N853" s="216">
        <f>IFERROR(VLOOKUP(A853,PARTIDAS!$A$2:$I$269,9,FALSE()),1)</f>
        <v>1</v>
      </c>
      <c r="O853" s="217">
        <f t="shared" si="26"/>
        <v>0</v>
      </c>
      <c r="P853" s="216">
        <f>IF(O853=0,0,IF(B853="MAT",G853*(1+H853)*L853*PLAN_ETAPA!$C$5,IF(B853="MO",IF(M853=0,0,G853*L853*PLAN_ETAPA!$C$5*N853/M853),IF(B853="EQ",IF(M853=0,0,G853*L853*PLAN_ETAPA!$C$5/M853),0))))</f>
        <v>0</v>
      </c>
      <c r="Q853" s="218">
        <f t="shared" si="27"/>
        <v>0</v>
      </c>
    </row>
    <row r="854" spans="1:17" x14ac:dyDescent="0.35">
      <c r="A854" s="212" t="str">
        <f>COMPOSICIÓN!A854</f>
        <v>PTO-0401</v>
      </c>
      <c r="B854" s="212" t="str">
        <f>COMPOSICIÓN!B854</f>
        <v>MO</v>
      </c>
      <c r="C854" s="212" t="str">
        <f>COMPOSICIÓN!C854</f>
        <v>ALB</v>
      </c>
      <c r="D854" s="212" t="str">
        <f>COMPOSICIÓN!D854</f>
        <v>MO-EAYUD</v>
      </c>
      <c r="E854" s="212" t="str">
        <f>COMPOSICIÓN!E854</f>
        <v>AYUDANTE</v>
      </c>
      <c r="F854" s="212" t="str">
        <f>COMPOSICIÓN!F854</f>
        <v>j</v>
      </c>
      <c r="G854" s="213">
        <f>COMPOSICIÓN!G854</f>
        <v>1</v>
      </c>
      <c r="H854" s="214">
        <f>COMPOSICIÓN!H854</f>
        <v>0</v>
      </c>
      <c r="I854" s="215">
        <f>COMPOSICIÓN!I854</f>
        <v>60860.580776572002</v>
      </c>
      <c r="J854" s="212" t="str">
        <f>IFERROR(VLOOKUP(A854,PARTIDAS!$A$2:$C$269,3,FALSE()),"")</f>
        <v>MAMPOSTERÍA</v>
      </c>
      <c r="K854" s="212" t="str">
        <f>IFERROR(INDEX(PPTO_GENERADOR!$B$4:$B$220,MATCH(A854,PPTO_GENERADOR!$Q$4:$Q$220,0)),"")</f>
        <v/>
      </c>
      <c r="L854" s="216">
        <f>IF(PLAN_ETAPA!$C$4="(TODOS)",SUMIFS(PPTO_GENERADOR!$E$4:$E$220,PPTO_GENERADOR!$Q$4:$Q$220,A854),SUMIFS(PPTO_GENERADOR!$E$4:$E$220,PPTO_GENERADOR!$Q$4:$Q$220,A854,PPTO_GENERADOR!$B$4:$B$220,PLAN_ETAPA!$C$4))</f>
        <v>0</v>
      </c>
      <c r="M854" s="216">
        <f>IFERROR(VLOOKUP(A854,PARTIDAS!$A$2:$F$269,6,FALSE()),1)</f>
        <v>15</v>
      </c>
      <c r="N854" s="216">
        <f>IFERROR(VLOOKUP(A854,PARTIDAS!$A$2:$I$269,9,FALSE()),1)</f>
        <v>1</v>
      </c>
      <c r="O854" s="217">
        <f t="shared" si="26"/>
        <v>0</v>
      </c>
      <c r="P854" s="216">
        <f>IF(O854=0,0,IF(B854="MAT",G854*(1+H854)*L854*PLAN_ETAPA!$C$5,IF(B854="MO",IF(M854=0,0,G854*L854*PLAN_ETAPA!$C$5*N854/M854),IF(B854="EQ",IF(M854=0,0,G854*L854*PLAN_ETAPA!$C$5/M854),0))))</f>
        <v>0</v>
      </c>
      <c r="Q854" s="218">
        <f t="shared" si="27"/>
        <v>0</v>
      </c>
    </row>
    <row r="855" spans="1:17" x14ac:dyDescent="0.35">
      <c r="A855" s="212" t="str">
        <f>COMPOSICIÓN!A855</f>
        <v>PTO-0401</v>
      </c>
      <c r="B855" s="212" t="str">
        <f>COMPOSICIÓN!B855</f>
        <v>MO</v>
      </c>
      <c r="C855" s="212" t="str">
        <f>COMPOSICIÓN!C855</f>
        <v>ALB</v>
      </c>
      <c r="D855" s="212" t="str">
        <f>COMPOSICIÓN!D855</f>
        <v>MO-EESPE</v>
      </c>
      <c r="E855" s="212" t="str">
        <f>COMPOSICIÓN!E855</f>
        <v>ESPECIALIZADO</v>
      </c>
      <c r="F855" s="212" t="str">
        <f>COMPOSICIÓN!F855</f>
        <v>j</v>
      </c>
      <c r="G855" s="213">
        <f>COMPOSICIÓN!G855</f>
        <v>1</v>
      </c>
      <c r="H855" s="214">
        <f>COMPOSICIÓN!H855</f>
        <v>0</v>
      </c>
      <c r="I855" s="215">
        <f>COMPOSICIÓN!I855</f>
        <v>85927.097156571996</v>
      </c>
      <c r="J855" s="212" t="str">
        <f>IFERROR(VLOOKUP(A855,PARTIDAS!$A$2:$C$269,3,FALSE()),"")</f>
        <v>MAMPOSTERÍA</v>
      </c>
      <c r="K855" s="212" t="str">
        <f>IFERROR(INDEX(PPTO_GENERADOR!$B$4:$B$220,MATCH(A855,PPTO_GENERADOR!$Q$4:$Q$220,0)),"")</f>
        <v/>
      </c>
      <c r="L855" s="216">
        <f>IF(PLAN_ETAPA!$C$4="(TODOS)",SUMIFS(PPTO_GENERADOR!$E$4:$E$220,PPTO_GENERADOR!$Q$4:$Q$220,A855),SUMIFS(PPTO_GENERADOR!$E$4:$E$220,PPTO_GENERADOR!$Q$4:$Q$220,A855,PPTO_GENERADOR!$B$4:$B$220,PLAN_ETAPA!$C$4))</f>
        <v>0</v>
      </c>
      <c r="M855" s="216">
        <f>IFERROR(VLOOKUP(A855,PARTIDAS!$A$2:$F$269,6,FALSE()),1)</f>
        <v>15</v>
      </c>
      <c r="N855" s="216">
        <f>IFERROR(VLOOKUP(A855,PARTIDAS!$A$2:$I$269,9,FALSE()),1)</f>
        <v>1</v>
      </c>
      <c r="O855" s="217">
        <f t="shared" si="26"/>
        <v>0</v>
      </c>
      <c r="P855" s="216">
        <f>IF(O855=0,0,IF(B855="MAT",G855*(1+H855)*L855*PLAN_ETAPA!$C$5,IF(B855="MO",IF(M855=0,0,G855*L855*PLAN_ETAPA!$C$5*N855/M855),IF(B855="EQ",IF(M855=0,0,G855*L855*PLAN_ETAPA!$C$5/M855),0))))</f>
        <v>0</v>
      </c>
      <c r="Q855" s="218">
        <f t="shared" si="27"/>
        <v>0</v>
      </c>
    </row>
    <row r="856" spans="1:17" x14ac:dyDescent="0.35">
      <c r="A856" s="212" t="str">
        <f>COMPOSICIÓN!A856</f>
        <v>PTO-0402</v>
      </c>
      <c r="B856" s="212" t="str">
        <f>COMPOSICIÓN!B856</f>
        <v>EQ</v>
      </c>
      <c r="C856" s="212">
        <f>COMPOSICIÓN!C856</f>
        <v>0</v>
      </c>
      <c r="D856" s="212" t="str">
        <f>COMPOSICIÓN!D856</f>
        <v>EQ-ANDAM0</v>
      </c>
      <c r="E856" s="212" t="str">
        <f>COMPOSICIÓN!E856</f>
        <v>ANDAMIO TUBULAR DE UNO A TRES CUERPOS</v>
      </c>
      <c r="F856" s="212">
        <f>COMPOSICIÓN!F856</f>
        <v>0</v>
      </c>
      <c r="G856" s="213">
        <f>COMPOSICIÓN!G856</f>
        <v>0.5</v>
      </c>
      <c r="H856" s="214">
        <f>COMPOSICIÓN!H856</f>
        <v>0</v>
      </c>
      <c r="I856" s="215">
        <f>COMPOSICIÓN!I856</f>
        <v>571.1794909807611</v>
      </c>
      <c r="J856" s="212" t="str">
        <f>IFERROR(VLOOKUP(A856,PARTIDAS!$A$2:$C$269,3,FALSE()),"")</f>
        <v>MAMPOSTERÍA</v>
      </c>
      <c r="K856" s="212" t="str">
        <f>IFERROR(INDEX(PPTO_GENERADOR!$B$4:$B$220,MATCH(A856,PPTO_GENERADOR!$Q$4:$Q$220,0)),"")</f>
        <v/>
      </c>
      <c r="L856" s="216">
        <f>IF(PLAN_ETAPA!$C$4="(TODOS)",SUMIFS(PPTO_GENERADOR!$E$4:$E$220,PPTO_GENERADOR!$Q$4:$Q$220,A856),SUMIFS(PPTO_GENERADOR!$E$4:$E$220,PPTO_GENERADOR!$Q$4:$Q$220,A856,PPTO_GENERADOR!$B$4:$B$220,PLAN_ETAPA!$C$4))</f>
        <v>0</v>
      </c>
      <c r="M856" s="216">
        <f>IFERROR(VLOOKUP(A856,PARTIDAS!$A$2:$F$269,6,FALSE()),1)</f>
        <v>15</v>
      </c>
      <c r="N856" s="216">
        <f>IFERROR(VLOOKUP(A856,PARTIDAS!$A$2:$I$269,9,FALSE()),1)</f>
        <v>1</v>
      </c>
      <c r="O856" s="217">
        <f t="shared" si="26"/>
        <v>0</v>
      </c>
      <c r="P856" s="216">
        <f>IF(O856=0,0,IF(B856="MAT",G856*(1+H856)*L856*PLAN_ETAPA!$C$5,IF(B856="MO",IF(M856=0,0,G856*L856*PLAN_ETAPA!$C$5*N856/M856),IF(B856="EQ",IF(M856=0,0,G856*L856*PLAN_ETAPA!$C$5/M856),0))))</f>
        <v>0</v>
      </c>
      <c r="Q856" s="218">
        <f t="shared" si="27"/>
        <v>0</v>
      </c>
    </row>
    <row r="857" spans="1:17" x14ac:dyDescent="0.35">
      <c r="A857" s="212" t="str">
        <f>COMPOSICIÓN!A857</f>
        <v>PTO-0402</v>
      </c>
      <c r="B857" s="212" t="str">
        <f>COMPOSICIÓN!B857</f>
        <v>EQ</v>
      </c>
      <c r="C857" s="212">
        <f>COMPOSICIÓN!C857</f>
        <v>0</v>
      </c>
      <c r="D857" s="212" t="str">
        <f>COMPOSICIÓN!D857</f>
        <v>EQ-EQALBA</v>
      </c>
      <c r="E857" s="212" t="str">
        <f>COMPOSICIÓN!E857</f>
        <v>EQUIPO DE ALBAÑILERIA, carpetas, ladrillo</v>
      </c>
      <c r="F857" s="212">
        <f>COMPOSICIÓN!F857</f>
        <v>0</v>
      </c>
      <c r="G857" s="213">
        <f>COMPOSICIÓN!G857</f>
        <v>1</v>
      </c>
      <c r="H857" s="214">
        <f>COMPOSICIÓN!H857</f>
        <v>0</v>
      </c>
      <c r="I857" s="215">
        <f>COMPOSICIÓN!I857</f>
        <v>2287.1357450968057</v>
      </c>
      <c r="J857" s="212" t="str">
        <f>IFERROR(VLOOKUP(A857,PARTIDAS!$A$2:$C$269,3,FALSE()),"")</f>
        <v>MAMPOSTERÍA</v>
      </c>
      <c r="K857" s="212" t="str">
        <f>IFERROR(INDEX(PPTO_GENERADOR!$B$4:$B$220,MATCH(A857,PPTO_GENERADOR!$Q$4:$Q$220,0)),"")</f>
        <v/>
      </c>
      <c r="L857" s="216">
        <f>IF(PLAN_ETAPA!$C$4="(TODOS)",SUMIFS(PPTO_GENERADOR!$E$4:$E$220,PPTO_GENERADOR!$Q$4:$Q$220,A857),SUMIFS(PPTO_GENERADOR!$E$4:$E$220,PPTO_GENERADOR!$Q$4:$Q$220,A857,PPTO_GENERADOR!$B$4:$B$220,PLAN_ETAPA!$C$4))</f>
        <v>0</v>
      </c>
      <c r="M857" s="216">
        <f>IFERROR(VLOOKUP(A857,PARTIDAS!$A$2:$F$269,6,FALSE()),1)</f>
        <v>15</v>
      </c>
      <c r="N857" s="216">
        <f>IFERROR(VLOOKUP(A857,PARTIDAS!$A$2:$I$269,9,FALSE()),1)</f>
        <v>1</v>
      </c>
      <c r="O857" s="217">
        <f t="shared" si="26"/>
        <v>0</v>
      </c>
      <c r="P857" s="216">
        <f>IF(O857=0,0,IF(B857="MAT",G857*(1+H857)*L857*PLAN_ETAPA!$C$5,IF(B857="MO",IF(M857=0,0,G857*L857*PLAN_ETAPA!$C$5*N857/M857),IF(B857="EQ",IF(M857=0,0,G857*L857*PLAN_ETAPA!$C$5/M857),0))))</f>
        <v>0</v>
      </c>
      <c r="Q857" s="218">
        <f t="shared" si="27"/>
        <v>0</v>
      </c>
    </row>
    <row r="858" spans="1:17" x14ac:dyDescent="0.35">
      <c r="A858" s="212" t="str">
        <f>COMPOSICIÓN!A858</f>
        <v>PTO-0402</v>
      </c>
      <c r="B858" s="212" t="str">
        <f>COMPOSICIÓN!B858</f>
        <v>EQ</v>
      </c>
      <c r="C858" s="212">
        <f>COMPOSICIÓN!C858</f>
        <v>0</v>
      </c>
      <c r="D858" s="212" t="str">
        <f>COMPOSICIÓN!D858</f>
        <v>EQ-TROMPO</v>
      </c>
      <c r="E858" s="212" t="str">
        <f>COMPOSICIÓN!E858</f>
        <v>Hormigonera De 150 Litros 1hp Con Rueda Maciza</v>
      </c>
      <c r="F858" s="212">
        <f>COMPOSICIÓN!F858</f>
        <v>0</v>
      </c>
      <c r="G858" s="213">
        <f>COMPOSICIÓN!G858</f>
        <v>1</v>
      </c>
      <c r="H858" s="214">
        <f>COMPOSICIÓN!H858</f>
        <v>0</v>
      </c>
      <c r="I858" s="215">
        <f>COMPOSICIÓN!I858</f>
        <v>957.25319614994726</v>
      </c>
      <c r="J858" s="212" t="str">
        <f>IFERROR(VLOOKUP(A858,PARTIDAS!$A$2:$C$269,3,FALSE()),"")</f>
        <v>MAMPOSTERÍA</v>
      </c>
      <c r="K858" s="212" t="str">
        <f>IFERROR(INDEX(PPTO_GENERADOR!$B$4:$B$220,MATCH(A858,PPTO_GENERADOR!$Q$4:$Q$220,0)),"")</f>
        <v/>
      </c>
      <c r="L858" s="216">
        <f>IF(PLAN_ETAPA!$C$4="(TODOS)",SUMIFS(PPTO_GENERADOR!$E$4:$E$220,PPTO_GENERADOR!$Q$4:$Q$220,A858),SUMIFS(PPTO_GENERADOR!$E$4:$E$220,PPTO_GENERADOR!$Q$4:$Q$220,A858,PPTO_GENERADOR!$B$4:$B$220,PLAN_ETAPA!$C$4))</f>
        <v>0</v>
      </c>
      <c r="M858" s="216">
        <f>IFERROR(VLOOKUP(A858,PARTIDAS!$A$2:$F$269,6,FALSE()),1)</f>
        <v>15</v>
      </c>
      <c r="N858" s="216">
        <f>IFERROR(VLOOKUP(A858,PARTIDAS!$A$2:$I$269,9,FALSE()),1)</f>
        <v>1</v>
      </c>
      <c r="O858" s="217">
        <f t="shared" si="26"/>
        <v>0</v>
      </c>
      <c r="P858" s="216">
        <f>IF(O858=0,0,IF(B858="MAT",G858*(1+H858)*L858*PLAN_ETAPA!$C$5,IF(B858="MO",IF(M858=0,0,G858*L858*PLAN_ETAPA!$C$5*N858/M858),IF(B858="EQ",IF(M858=0,0,G858*L858*PLAN_ETAPA!$C$5/M858),0))))</f>
        <v>0</v>
      </c>
      <c r="Q858" s="218">
        <f t="shared" si="27"/>
        <v>0</v>
      </c>
    </row>
    <row r="859" spans="1:17" x14ac:dyDescent="0.35">
      <c r="A859" s="212" t="str">
        <f>COMPOSICIÓN!A859</f>
        <v>PTO-0402</v>
      </c>
      <c r="B859" s="212" t="str">
        <f>COMPOSICIÓN!B859</f>
        <v>MAT</v>
      </c>
      <c r="C859" s="212" t="str">
        <f>COMPOSICIÓN!C859</f>
        <v>OTR</v>
      </c>
      <c r="D859" s="212" t="str">
        <f>COMPOSICIÓN!D859</f>
        <v>ACE-001</v>
      </c>
      <c r="E859" s="212" t="str">
        <f>COMPOSICIÓN!E859</f>
        <v>Barra de Acero Aleteado - 6mm x 12m</v>
      </c>
      <c r="F859" s="212" t="str">
        <f>COMPOSICIÓN!F859</f>
        <v>u</v>
      </c>
      <c r="G859" s="213">
        <f>COMPOSICIÓN!G859</f>
        <v>0.17</v>
      </c>
      <c r="H859" s="214">
        <f>COMPOSICIÓN!H859</f>
        <v>0.1</v>
      </c>
      <c r="I859" s="215">
        <f>COMPOSICIÓN!I859</f>
        <v>3424.53</v>
      </c>
      <c r="J859" s="212" t="str">
        <f>IFERROR(VLOOKUP(A859,PARTIDAS!$A$2:$C$269,3,FALSE()),"")</f>
        <v>MAMPOSTERÍA</v>
      </c>
      <c r="K859" s="212" t="str">
        <f>IFERROR(INDEX(PPTO_GENERADOR!$B$4:$B$220,MATCH(A859,PPTO_GENERADOR!$Q$4:$Q$220,0)),"")</f>
        <v/>
      </c>
      <c r="L859" s="216">
        <f>IF(PLAN_ETAPA!$C$4="(TODOS)",SUMIFS(PPTO_GENERADOR!$E$4:$E$220,PPTO_GENERADOR!$Q$4:$Q$220,A859),SUMIFS(PPTO_GENERADOR!$E$4:$E$220,PPTO_GENERADOR!$Q$4:$Q$220,A859,PPTO_GENERADOR!$B$4:$B$220,PLAN_ETAPA!$C$4))</f>
        <v>0</v>
      </c>
      <c r="M859" s="216">
        <f>IFERROR(VLOOKUP(A859,PARTIDAS!$A$2:$F$269,6,FALSE()),1)</f>
        <v>15</v>
      </c>
      <c r="N859" s="216">
        <f>IFERROR(VLOOKUP(A859,PARTIDAS!$A$2:$I$269,9,FALSE()),1)</f>
        <v>1</v>
      </c>
      <c r="O859" s="217">
        <f t="shared" si="26"/>
        <v>0</v>
      </c>
      <c r="P859" s="216">
        <f>IF(O859=0,0,IF(B859="MAT",G859*(1+H859)*L859*PLAN_ETAPA!$C$5,IF(B859="MO",IF(M859=0,0,G859*L859*PLAN_ETAPA!$C$5*N859/M859),IF(B859="EQ",IF(M859=0,0,G859*L859*PLAN_ETAPA!$C$5/M859),0))))</f>
        <v>0</v>
      </c>
      <c r="Q859" s="218">
        <f t="shared" si="27"/>
        <v>0</v>
      </c>
    </row>
    <row r="860" spans="1:17" x14ac:dyDescent="0.35">
      <c r="A860" s="212" t="str">
        <f>COMPOSICIÓN!A860</f>
        <v>PTO-0402</v>
      </c>
      <c r="B860" s="212" t="str">
        <f>COMPOSICIÓN!B860</f>
        <v>MAT</v>
      </c>
      <c r="C860" s="212" t="str">
        <f>COMPOSICIÓN!C860</f>
        <v>OTR</v>
      </c>
      <c r="D860" s="212" t="str">
        <f>COMPOSICIÓN!D860</f>
        <v>AGR-001</v>
      </c>
      <c r="E860" s="212" t="str">
        <f>COMPOSICIÓN!E860</f>
        <v>ARENA LAVADA</v>
      </c>
      <c r="F860" s="212" t="str">
        <f>COMPOSICIÓN!F860</f>
        <v>m3</v>
      </c>
      <c r="G860" s="213">
        <f>COMPOSICIÓN!G860</f>
        <v>1.7999999999999999E-2</v>
      </c>
      <c r="H860" s="214">
        <f>COMPOSICIÓN!H860</f>
        <v>0.1</v>
      </c>
      <c r="I860" s="215">
        <f>COMPOSICIÓN!I860</f>
        <v>32399.77</v>
      </c>
      <c r="J860" s="212" t="str">
        <f>IFERROR(VLOOKUP(A860,PARTIDAS!$A$2:$C$269,3,FALSE()),"")</f>
        <v>MAMPOSTERÍA</v>
      </c>
      <c r="K860" s="212" t="str">
        <f>IFERROR(INDEX(PPTO_GENERADOR!$B$4:$B$220,MATCH(A860,PPTO_GENERADOR!$Q$4:$Q$220,0)),"")</f>
        <v/>
      </c>
      <c r="L860" s="216">
        <f>IF(PLAN_ETAPA!$C$4="(TODOS)",SUMIFS(PPTO_GENERADOR!$E$4:$E$220,PPTO_GENERADOR!$Q$4:$Q$220,A860),SUMIFS(PPTO_GENERADOR!$E$4:$E$220,PPTO_GENERADOR!$Q$4:$Q$220,A860,PPTO_GENERADOR!$B$4:$B$220,PLAN_ETAPA!$C$4))</f>
        <v>0</v>
      </c>
      <c r="M860" s="216">
        <f>IFERROR(VLOOKUP(A860,PARTIDAS!$A$2:$F$269,6,FALSE()),1)</f>
        <v>15</v>
      </c>
      <c r="N860" s="216">
        <f>IFERROR(VLOOKUP(A860,PARTIDAS!$A$2:$I$269,9,FALSE()),1)</f>
        <v>1</v>
      </c>
      <c r="O860" s="217">
        <f t="shared" si="26"/>
        <v>0</v>
      </c>
      <c r="P860" s="216">
        <f>IF(O860=0,0,IF(B860="MAT",G860*(1+H860)*L860*PLAN_ETAPA!$C$5,IF(B860="MO",IF(M860=0,0,G860*L860*PLAN_ETAPA!$C$5*N860/M860),IF(B860="EQ",IF(M860=0,0,G860*L860*PLAN_ETAPA!$C$5/M860),0))))</f>
        <v>0</v>
      </c>
      <c r="Q860" s="218">
        <f t="shared" si="27"/>
        <v>0</v>
      </c>
    </row>
    <row r="861" spans="1:17" x14ac:dyDescent="0.35">
      <c r="A861" s="212" t="str">
        <f>COMPOSICIÓN!A861</f>
        <v>PTO-0402</v>
      </c>
      <c r="B861" s="212" t="str">
        <f>COMPOSICIÓN!B861</f>
        <v>MAT</v>
      </c>
      <c r="C861" s="212" t="str">
        <f>COMPOSICIÓN!C861</f>
        <v>OTR</v>
      </c>
      <c r="D861" s="212" t="str">
        <f>COMPOSICIÓN!D861</f>
        <v>AGR-004</v>
      </c>
      <c r="E861" s="212" t="str">
        <f>COMPOSICIÓN!E861</f>
        <v>Cemento Portland x 50kg</v>
      </c>
      <c r="F861" s="212" t="str">
        <f>COMPOSICIÓN!F861</f>
        <v>Bol</v>
      </c>
      <c r="G861" s="213">
        <f>COMPOSICIÓN!G861</f>
        <v>7.4999999999999997E-2</v>
      </c>
      <c r="H861" s="214">
        <f>COMPOSICIÓN!H861</f>
        <v>0.1</v>
      </c>
      <c r="I861" s="215">
        <f>COMPOSICIÓN!I861</f>
        <v>7809.48</v>
      </c>
      <c r="J861" s="212" t="str">
        <f>IFERROR(VLOOKUP(A861,PARTIDAS!$A$2:$C$269,3,FALSE()),"")</f>
        <v>MAMPOSTERÍA</v>
      </c>
      <c r="K861" s="212" t="str">
        <f>IFERROR(INDEX(PPTO_GENERADOR!$B$4:$B$220,MATCH(A861,PPTO_GENERADOR!$Q$4:$Q$220,0)),"")</f>
        <v/>
      </c>
      <c r="L861" s="216">
        <f>IF(PLAN_ETAPA!$C$4="(TODOS)",SUMIFS(PPTO_GENERADOR!$E$4:$E$220,PPTO_GENERADOR!$Q$4:$Q$220,A861),SUMIFS(PPTO_GENERADOR!$E$4:$E$220,PPTO_GENERADOR!$Q$4:$Q$220,A861,PPTO_GENERADOR!$B$4:$B$220,PLAN_ETAPA!$C$4))</f>
        <v>0</v>
      </c>
      <c r="M861" s="216">
        <f>IFERROR(VLOOKUP(A861,PARTIDAS!$A$2:$F$269,6,FALSE()),1)</f>
        <v>15</v>
      </c>
      <c r="N861" s="216">
        <f>IFERROR(VLOOKUP(A861,PARTIDAS!$A$2:$I$269,9,FALSE()),1)</f>
        <v>1</v>
      </c>
      <c r="O861" s="217">
        <f t="shared" si="26"/>
        <v>0</v>
      </c>
      <c r="P861" s="216">
        <f>IF(O861=0,0,IF(B861="MAT",G861*(1+H861)*L861*PLAN_ETAPA!$C$5,IF(B861="MO",IF(M861=0,0,G861*L861*PLAN_ETAPA!$C$5*N861/M861),IF(B861="EQ",IF(M861=0,0,G861*L861*PLAN_ETAPA!$C$5/M861),0))))</f>
        <v>0</v>
      </c>
      <c r="Q861" s="218">
        <f t="shared" si="27"/>
        <v>0</v>
      </c>
    </row>
    <row r="862" spans="1:17" x14ac:dyDescent="0.35">
      <c r="A862" s="212" t="str">
        <f>COMPOSICIÓN!A862</f>
        <v>PTO-0402</v>
      </c>
      <c r="B862" s="212" t="str">
        <f>COMPOSICIÓN!B862</f>
        <v>MAT</v>
      </c>
      <c r="C862" s="212" t="str">
        <f>COMPOSICIÓN!C862</f>
        <v>OTR</v>
      </c>
      <c r="D862" s="212" t="str">
        <f>COMPOSICIÓN!D862</f>
        <v>AGR-005</v>
      </c>
      <c r="E862" s="212" t="str">
        <f>COMPOSICIÓN!E862</f>
        <v>Cal Comun x 25kg</v>
      </c>
      <c r="F862" s="212" t="str">
        <f>COMPOSICIÓN!F862</f>
        <v>bol</v>
      </c>
      <c r="G862" s="213">
        <f>COMPOSICIÓN!G862</f>
        <v>0.15</v>
      </c>
      <c r="H862" s="214">
        <f>COMPOSICIÓN!H862</f>
        <v>0.1</v>
      </c>
      <c r="I862" s="215">
        <f>COMPOSICIÓN!I862</f>
        <v>3837.96</v>
      </c>
      <c r="J862" s="212" t="str">
        <f>IFERROR(VLOOKUP(A862,PARTIDAS!$A$2:$C$269,3,FALSE()),"")</f>
        <v>MAMPOSTERÍA</v>
      </c>
      <c r="K862" s="212" t="str">
        <f>IFERROR(INDEX(PPTO_GENERADOR!$B$4:$B$220,MATCH(A862,PPTO_GENERADOR!$Q$4:$Q$220,0)),"")</f>
        <v/>
      </c>
      <c r="L862" s="216">
        <f>IF(PLAN_ETAPA!$C$4="(TODOS)",SUMIFS(PPTO_GENERADOR!$E$4:$E$220,PPTO_GENERADOR!$Q$4:$Q$220,A862),SUMIFS(PPTO_GENERADOR!$E$4:$E$220,PPTO_GENERADOR!$Q$4:$Q$220,A862,PPTO_GENERADOR!$B$4:$B$220,PLAN_ETAPA!$C$4))</f>
        <v>0</v>
      </c>
      <c r="M862" s="216">
        <f>IFERROR(VLOOKUP(A862,PARTIDAS!$A$2:$F$269,6,FALSE()),1)</f>
        <v>15</v>
      </c>
      <c r="N862" s="216">
        <f>IFERROR(VLOOKUP(A862,PARTIDAS!$A$2:$I$269,9,FALSE()),1)</f>
        <v>1</v>
      </c>
      <c r="O862" s="217">
        <f t="shared" si="26"/>
        <v>0</v>
      </c>
      <c r="P862" s="216">
        <f>IF(O862=0,0,IF(B862="MAT",G862*(1+H862)*L862*PLAN_ETAPA!$C$5,IF(B862="MO",IF(M862=0,0,G862*L862*PLAN_ETAPA!$C$5*N862/M862),IF(B862="EQ",IF(M862=0,0,G862*L862*PLAN_ETAPA!$C$5/M862),0))))</f>
        <v>0</v>
      </c>
      <c r="Q862" s="218">
        <f t="shared" si="27"/>
        <v>0</v>
      </c>
    </row>
    <row r="863" spans="1:17" x14ac:dyDescent="0.35">
      <c r="A863" s="212" t="str">
        <f>COMPOSICIÓN!A863</f>
        <v>PTO-0402</v>
      </c>
      <c r="B863" s="212" t="str">
        <f>COMPOSICIÓN!B863</f>
        <v>MAT</v>
      </c>
      <c r="C863" s="212" t="str">
        <f>COMPOSICIÓN!C863</f>
        <v>OTR</v>
      </c>
      <c r="D863" s="212" t="str">
        <f>COMPOSICIÓN!D863</f>
        <v>CER-003</v>
      </c>
      <c r="E863" s="212" t="str">
        <f>COMPOSICIÓN!E863</f>
        <v>LADRILLO CERAMICO 12 x 18 x 33 cm</v>
      </c>
      <c r="F863" s="212" t="str">
        <f>COMPOSICIÓN!F863</f>
        <v>u</v>
      </c>
      <c r="G863" s="213">
        <f>COMPOSICIÓN!G863</f>
        <v>15</v>
      </c>
      <c r="H863" s="214">
        <f>COMPOSICIÓN!H863</f>
        <v>0.05</v>
      </c>
      <c r="I863" s="215">
        <f>COMPOSICIÓN!I863</f>
        <v>365.4</v>
      </c>
      <c r="J863" s="212" t="str">
        <f>IFERROR(VLOOKUP(A863,PARTIDAS!$A$2:$C$269,3,FALSE()),"")</f>
        <v>MAMPOSTERÍA</v>
      </c>
      <c r="K863" s="212" t="str">
        <f>IFERROR(INDEX(PPTO_GENERADOR!$B$4:$B$220,MATCH(A863,PPTO_GENERADOR!$Q$4:$Q$220,0)),"")</f>
        <v/>
      </c>
      <c r="L863" s="216">
        <f>IF(PLAN_ETAPA!$C$4="(TODOS)",SUMIFS(PPTO_GENERADOR!$E$4:$E$220,PPTO_GENERADOR!$Q$4:$Q$220,A863),SUMIFS(PPTO_GENERADOR!$E$4:$E$220,PPTO_GENERADOR!$Q$4:$Q$220,A863,PPTO_GENERADOR!$B$4:$B$220,PLAN_ETAPA!$C$4))</f>
        <v>0</v>
      </c>
      <c r="M863" s="216">
        <f>IFERROR(VLOOKUP(A863,PARTIDAS!$A$2:$F$269,6,FALSE()),1)</f>
        <v>15</v>
      </c>
      <c r="N863" s="216">
        <f>IFERROR(VLOOKUP(A863,PARTIDAS!$A$2:$I$269,9,FALSE()),1)</f>
        <v>1</v>
      </c>
      <c r="O863" s="217">
        <f t="shared" si="26"/>
        <v>0</v>
      </c>
      <c r="P863" s="216">
        <f>IF(O863=0,0,IF(B863="MAT",G863*(1+H863)*L863*PLAN_ETAPA!$C$5,IF(B863="MO",IF(M863=0,0,G863*L863*PLAN_ETAPA!$C$5*N863/M863),IF(B863="EQ",IF(M863=0,0,G863*L863*PLAN_ETAPA!$C$5/M863),0))))</f>
        <v>0</v>
      </c>
      <c r="Q863" s="218">
        <f t="shared" si="27"/>
        <v>0</v>
      </c>
    </row>
    <row r="864" spans="1:17" x14ac:dyDescent="0.35">
      <c r="A864" s="212" t="str">
        <f>COMPOSICIÓN!A864</f>
        <v>PTO-0402</v>
      </c>
      <c r="B864" s="212" t="str">
        <f>COMPOSICIÓN!B864</f>
        <v>MO</v>
      </c>
      <c r="C864" s="212" t="str">
        <f>COMPOSICIÓN!C864</f>
        <v>ALB</v>
      </c>
      <c r="D864" s="212" t="str">
        <f>COMPOSICIÓN!D864</f>
        <v>MO-EAYUD</v>
      </c>
      <c r="E864" s="212" t="str">
        <f>COMPOSICIÓN!E864</f>
        <v>AYUDANTE</v>
      </c>
      <c r="F864" s="212" t="str">
        <f>COMPOSICIÓN!F864</f>
        <v>j</v>
      </c>
      <c r="G864" s="213">
        <f>COMPOSICIÓN!G864</f>
        <v>1</v>
      </c>
      <c r="H864" s="214">
        <f>COMPOSICIÓN!H864</f>
        <v>0</v>
      </c>
      <c r="I864" s="215">
        <f>COMPOSICIÓN!I864</f>
        <v>60860.580776572002</v>
      </c>
      <c r="J864" s="212" t="str">
        <f>IFERROR(VLOOKUP(A864,PARTIDAS!$A$2:$C$269,3,FALSE()),"")</f>
        <v>MAMPOSTERÍA</v>
      </c>
      <c r="K864" s="212" t="str">
        <f>IFERROR(INDEX(PPTO_GENERADOR!$B$4:$B$220,MATCH(A864,PPTO_GENERADOR!$Q$4:$Q$220,0)),"")</f>
        <v/>
      </c>
      <c r="L864" s="216">
        <f>IF(PLAN_ETAPA!$C$4="(TODOS)",SUMIFS(PPTO_GENERADOR!$E$4:$E$220,PPTO_GENERADOR!$Q$4:$Q$220,A864),SUMIFS(PPTO_GENERADOR!$E$4:$E$220,PPTO_GENERADOR!$Q$4:$Q$220,A864,PPTO_GENERADOR!$B$4:$B$220,PLAN_ETAPA!$C$4))</f>
        <v>0</v>
      </c>
      <c r="M864" s="216">
        <f>IFERROR(VLOOKUP(A864,PARTIDAS!$A$2:$F$269,6,FALSE()),1)</f>
        <v>15</v>
      </c>
      <c r="N864" s="216">
        <f>IFERROR(VLOOKUP(A864,PARTIDAS!$A$2:$I$269,9,FALSE()),1)</f>
        <v>1</v>
      </c>
      <c r="O864" s="217">
        <f t="shared" si="26"/>
        <v>0</v>
      </c>
      <c r="P864" s="216">
        <f>IF(O864=0,0,IF(B864="MAT",G864*(1+H864)*L864*PLAN_ETAPA!$C$5,IF(B864="MO",IF(M864=0,0,G864*L864*PLAN_ETAPA!$C$5*N864/M864),IF(B864="EQ",IF(M864=0,0,G864*L864*PLAN_ETAPA!$C$5/M864),0))))</f>
        <v>0</v>
      </c>
      <c r="Q864" s="218">
        <f t="shared" si="27"/>
        <v>0</v>
      </c>
    </row>
    <row r="865" spans="1:17" x14ac:dyDescent="0.35">
      <c r="A865" s="212" t="str">
        <f>COMPOSICIÓN!A865</f>
        <v>PTO-0402</v>
      </c>
      <c r="B865" s="212" t="str">
        <f>COMPOSICIÓN!B865</f>
        <v>MO</v>
      </c>
      <c r="C865" s="212" t="str">
        <f>COMPOSICIÓN!C865</f>
        <v>ALB</v>
      </c>
      <c r="D865" s="212" t="str">
        <f>COMPOSICIÓN!D865</f>
        <v>MO-EESPE</v>
      </c>
      <c r="E865" s="212" t="str">
        <f>COMPOSICIÓN!E865</f>
        <v>ESPECIALIZADO</v>
      </c>
      <c r="F865" s="212" t="str">
        <f>COMPOSICIÓN!F865</f>
        <v>j</v>
      </c>
      <c r="G865" s="213">
        <f>COMPOSICIÓN!G865</f>
        <v>1</v>
      </c>
      <c r="H865" s="214">
        <f>COMPOSICIÓN!H865</f>
        <v>0</v>
      </c>
      <c r="I865" s="215">
        <f>COMPOSICIÓN!I865</f>
        <v>85927.097156571996</v>
      </c>
      <c r="J865" s="212" t="str">
        <f>IFERROR(VLOOKUP(A865,PARTIDAS!$A$2:$C$269,3,FALSE()),"")</f>
        <v>MAMPOSTERÍA</v>
      </c>
      <c r="K865" s="212" t="str">
        <f>IFERROR(INDEX(PPTO_GENERADOR!$B$4:$B$220,MATCH(A865,PPTO_GENERADOR!$Q$4:$Q$220,0)),"")</f>
        <v/>
      </c>
      <c r="L865" s="216">
        <f>IF(PLAN_ETAPA!$C$4="(TODOS)",SUMIFS(PPTO_GENERADOR!$E$4:$E$220,PPTO_GENERADOR!$Q$4:$Q$220,A865),SUMIFS(PPTO_GENERADOR!$E$4:$E$220,PPTO_GENERADOR!$Q$4:$Q$220,A865,PPTO_GENERADOR!$B$4:$B$220,PLAN_ETAPA!$C$4))</f>
        <v>0</v>
      </c>
      <c r="M865" s="216">
        <f>IFERROR(VLOOKUP(A865,PARTIDAS!$A$2:$F$269,6,FALSE()),1)</f>
        <v>15</v>
      </c>
      <c r="N865" s="216">
        <f>IFERROR(VLOOKUP(A865,PARTIDAS!$A$2:$I$269,9,FALSE()),1)</f>
        <v>1</v>
      </c>
      <c r="O865" s="217">
        <f t="shared" si="26"/>
        <v>0</v>
      </c>
      <c r="P865" s="216">
        <f>IF(O865=0,0,IF(B865="MAT",G865*(1+H865)*L865*PLAN_ETAPA!$C$5,IF(B865="MO",IF(M865=0,0,G865*L865*PLAN_ETAPA!$C$5*N865/M865),IF(B865="EQ",IF(M865=0,0,G865*L865*PLAN_ETAPA!$C$5/M865),0))))</f>
        <v>0</v>
      </c>
      <c r="Q865" s="218">
        <f t="shared" si="27"/>
        <v>0</v>
      </c>
    </row>
    <row r="866" spans="1:17" x14ac:dyDescent="0.35">
      <c r="A866" s="212" t="str">
        <f>COMPOSICIÓN!A866</f>
        <v>PTO-0403</v>
      </c>
      <c r="B866" s="212" t="str">
        <f>COMPOSICIÓN!B866</f>
        <v>EQ</v>
      </c>
      <c r="C866" s="212">
        <f>COMPOSICIÓN!C866</f>
        <v>0</v>
      </c>
      <c r="D866" s="212" t="str">
        <f>COMPOSICIÓN!D866</f>
        <v>EQ-ANDAM0</v>
      </c>
      <c r="E866" s="212" t="str">
        <f>COMPOSICIÓN!E866</f>
        <v>ANDAMIO TUBULAR DE UNO A TRES CUERPOS</v>
      </c>
      <c r="F866" s="212">
        <f>COMPOSICIÓN!F866</f>
        <v>0</v>
      </c>
      <c r="G866" s="213">
        <f>COMPOSICIÓN!G866</f>
        <v>0.5</v>
      </c>
      <c r="H866" s="214">
        <f>COMPOSICIÓN!H866</f>
        <v>0</v>
      </c>
      <c r="I866" s="215">
        <f>COMPOSICIÓN!I866</f>
        <v>571.1794909807611</v>
      </c>
      <c r="J866" s="212" t="str">
        <f>IFERROR(VLOOKUP(A866,PARTIDAS!$A$2:$C$269,3,FALSE()),"")</f>
        <v>MAMPOSTERÍA</v>
      </c>
      <c r="K866" s="212" t="str">
        <f>IFERROR(INDEX(PPTO_GENERADOR!$B$4:$B$220,MATCH(A866,PPTO_GENERADOR!$Q$4:$Q$220,0)),"")</f>
        <v>MAMPOSTERÍA</v>
      </c>
      <c r="L866" s="216">
        <f>IF(PLAN_ETAPA!$C$4="(TODOS)",SUMIFS(PPTO_GENERADOR!$E$4:$E$220,PPTO_GENERADOR!$Q$4:$Q$220,A866),SUMIFS(PPTO_GENERADOR!$E$4:$E$220,PPTO_GENERADOR!$Q$4:$Q$220,A866,PPTO_GENERADOR!$B$4:$B$220,PLAN_ETAPA!$C$4))</f>
        <v>56</v>
      </c>
      <c r="M866" s="216">
        <f>IFERROR(VLOOKUP(A866,PARTIDAS!$A$2:$F$269,6,FALSE()),1)</f>
        <v>7</v>
      </c>
      <c r="N866" s="216">
        <f>IFERROR(VLOOKUP(A866,PARTIDAS!$A$2:$I$269,9,FALSE()),1)</f>
        <v>1</v>
      </c>
      <c r="O866" s="217">
        <f t="shared" si="26"/>
        <v>1</v>
      </c>
      <c r="P866" s="216">
        <f>IF(O866=0,0,IF(B866="MAT",G866*(1+H866)*L866*PLAN_ETAPA!$C$5,IF(B866="MO",IF(M866=0,0,G866*L866*PLAN_ETAPA!$C$5*N866/M866),IF(B866="EQ",IF(M866=0,0,G866*L866*PLAN_ETAPA!$C$5/M866),0))))</f>
        <v>4</v>
      </c>
      <c r="Q866" s="218">
        <f t="shared" si="27"/>
        <v>2284.7179639230444</v>
      </c>
    </row>
    <row r="867" spans="1:17" x14ac:dyDescent="0.35">
      <c r="A867" s="212" t="str">
        <f>COMPOSICIÓN!A867</f>
        <v>PTO-0403</v>
      </c>
      <c r="B867" s="212" t="str">
        <f>COMPOSICIÓN!B867</f>
        <v>EQ</v>
      </c>
      <c r="C867" s="212">
        <f>COMPOSICIÓN!C867</f>
        <v>0</v>
      </c>
      <c r="D867" s="212" t="str">
        <f>COMPOSICIÓN!D867</f>
        <v>EQ-EQALBA</v>
      </c>
      <c r="E867" s="212" t="str">
        <f>COMPOSICIÓN!E867</f>
        <v>EQUIPO DE ALBAÑILERIA, carpetas, ladrillo</v>
      </c>
      <c r="F867" s="212">
        <f>COMPOSICIÓN!F867</f>
        <v>0</v>
      </c>
      <c r="G867" s="213">
        <f>COMPOSICIÓN!G867</f>
        <v>1</v>
      </c>
      <c r="H867" s="214">
        <f>COMPOSICIÓN!H867</f>
        <v>0</v>
      </c>
      <c r="I867" s="215">
        <f>COMPOSICIÓN!I867</f>
        <v>2287.1357450968057</v>
      </c>
      <c r="J867" s="212" t="str">
        <f>IFERROR(VLOOKUP(A867,PARTIDAS!$A$2:$C$269,3,FALSE()),"")</f>
        <v>MAMPOSTERÍA</v>
      </c>
      <c r="K867" s="212" t="str">
        <f>IFERROR(INDEX(PPTO_GENERADOR!$B$4:$B$220,MATCH(A867,PPTO_GENERADOR!$Q$4:$Q$220,0)),"")</f>
        <v>MAMPOSTERÍA</v>
      </c>
      <c r="L867" s="216">
        <f>IF(PLAN_ETAPA!$C$4="(TODOS)",SUMIFS(PPTO_GENERADOR!$E$4:$E$220,PPTO_GENERADOR!$Q$4:$Q$220,A867),SUMIFS(PPTO_GENERADOR!$E$4:$E$220,PPTO_GENERADOR!$Q$4:$Q$220,A867,PPTO_GENERADOR!$B$4:$B$220,PLAN_ETAPA!$C$4))</f>
        <v>56</v>
      </c>
      <c r="M867" s="216">
        <f>IFERROR(VLOOKUP(A867,PARTIDAS!$A$2:$F$269,6,FALSE()),1)</f>
        <v>7</v>
      </c>
      <c r="N867" s="216">
        <f>IFERROR(VLOOKUP(A867,PARTIDAS!$A$2:$I$269,9,FALSE()),1)</f>
        <v>1</v>
      </c>
      <c r="O867" s="217">
        <f t="shared" si="26"/>
        <v>1</v>
      </c>
      <c r="P867" s="216">
        <f>IF(O867=0,0,IF(B867="MAT",G867*(1+H867)*L867*PLAN_ETAPA!$C$5,IF(B867="MO",IF(M867=0,0,G867*L867*PLAN_ETAPA!$C$5*N867/M867),IF(B867="EQ",IF(M867=0,0,G867*L867*PLAN_ETAPA!$C$5/M867),0))))</f>
        <v>8</v>
      </c>
      <c r="Q867" s="218">
        <f t="shared" si="27"/>
        <v>18297.085960774446</v>
      </c>
    </row>
    <row r="868" spans="1:17" x14ac:dyDescent="0.35">
      <c r="A868" s="212" t="str">
        <f>COMPOSICIÓN!A868</f>
        <v>PTO-0403</v>
      </c>
      <c r="B868" s="212" t="str">
        <f>COMPOSICIÓN!B868</f>
        <v>EQ</v>
      </c>
      <c r="C868" s="212">
        <f>COMPOSICIÓN!C868</f>
        <v>0</v>
      </c>
      <c r="D868" s="212" t="str">
        <f>COMPOSICIÓN!D868</f>
        <v>EQ-TROMPO</v>
      </c>
      <c r="E868" s="212" t="str">
        <f>COMPOSICIÓN!E868</f>
        <v>Hormigonera De 150 Litros 1hp Con Rueda Maciza</v>
      </c>
      <c r="F868" s="212">
        <f>COMPOSICIÓN!F868</f>
        <v>0</v>
      </c>
      <c r="G868" s="213">
        <f>COMPOSICIÓN!G868</f>
        <v>1</v>
      </c>
      <c r="H868" s="214">
        <f>COMPOSICIÓN!H868</f>
        <v>0</v>
      </c>
      <c r="I868" s="215">
        <f>COMPOSICIÓN!I868</f>
        <v>957.25319614994726</v>
      </c>
      <c r="J868" s="212" t="str">
        <f>IFERROR(VLOOKUP(A868,PARTIDAS!$A$2:$C$269,3,FALSE()),"")</f>
        <v>MAMPOSTERÍA</v>
      </c>
      <c r="K868" s="212" t="str">
        <f>IFERROR(INDEX(PPTO_GENERADOR!$B$4:$B$220,MATCH(A868,PPTO_GENERADOR!$Q$4:$Q$220,0)),"")</f>
        <v>MAMPOSTERÍA</v>
      </c>
      <c r="L868" s="216">
        <f>IF(PLAN_ETAPA!$C$4="(TODOS)",SUMIFS(PPTO_GENERADOR!$E$4:$E$220,PPTO_GENERADOR!$Q$4:$Q$220,A868),SUMIFS(PPTO_GENERADOR!$E$4:$E$220,PPTO_GENERADOR!$Q$4:$Q$220,A868,PPTO_GENERADOR!$B$4:$B$220,PLAN_ETAPA!$C$4))</f>
        <v>56</v>
      </c>
      <c r="M868" s="216">
        <f>IFERROR(VLOOKUP(A868,PARTIDAS!$A$2:$F$269,6,FALSE()),1)</f>
        <v>7</v>
      </c>
      <c r="N868" s="216">
        <f>IFERROR(VLOOKUP(A868,PARTIDAS!$A$2:$I$269,9,FALSE()),1)</f>
        <v>1</v>
      </c>
      <c r="O868" s="217">
        <f t="shared" si="26"/>
        <v>1</v>
      </c>
      <c r="P868" s="216">
        <f>IF(O868=0,0,IF(B868="MAT",G868*(1+H868)*L868*PLAN_ETAPA!$C$5,IF(B868="MO",IF(M868=0,0,G868*L868*PLAN_ETAPA!$C$5*N868/M868),IF(B868="EQ",IF(M868=0,0,G868*L868*PLAN_ETAPA!$C$5/M868),0))))</f>
        <v>8</v>
      </c>
      <c r="Q868" s="218">
        <f t="shared" si="27"/>
        <v>7658.0255691995781</v>
      </c>
    </row>
    <row r="869" spans="1:17" x14ac:dyDescent="0.35">
      <c r="A869" s="212" t="str">
        <f>COMPOSICIÓN!A869</f>
        <v>PTO-0403</v>
      </c>
      <c r="B869" s="212" t="str">
        <f>COMPOSICIÓN!B869</f>
        <v>MAT</v>
      </c>
      <c r="C869" s="212" t="str">
        <f>COMPOSICIÓN!C869</f>
        <v>OTR</v>
      </c>
      <c r="D869" s="212" t="str">
        <f>COMPOSICIÓN!D869</f>
        <v>ACE-001</v>
      </c>
      <c r="E869" s="212" t="str">
        <f>COMPOSICIÓN!E869</f>
        <v>Barra de Acero Aleteado - 6mm x 12m</v>
      </c>
      <c r="F869" s="212" t="str">
        <f>COMPOSICIÓN!F869</f>
        <v>u</v>
      </c>
      <c r="G869" s="213">
        <f>COMPOSICIÓN!G869</f>
        <v>8.5000000000000006E-2</v>
      </c>
      <c r="H869" s="214">
        <f>COMPOSICIÓN!H869</f>
        <v>0.1</v>
      </c>
      <c r="I869" s="215">
        <f>COMPOSICIÓN!I869</f>
        <v>3424.53</v>
      </c>
      <c r="J869" s="212" t="str">
        <f>IFERROR(VLOOKUP(A869,PARTIDAS!$A$2:$C$269,3,FALSE()),"")</f>
        <v>MAMPOSTERÍA</v>
      </c>
      <c r="K869" s="212" t="str">
        <f>IFERROR(INDEX(PPTO_GENERADOR!$B$4:$B$220,MATCH(A869,PPTO_GENERADOR!$Q$4:$Q$220,0)),"")</f>
        <v>MAMPOSTERÍA</v>
      </c>
      <c r="L869" s="216">
        <f>IF(PLAN_ETAPA!$C$4="(TODOS)",SUMIFS(PPTO_GENERADOR!$E$4:$E$220,PPTO_GENERADOR!$Q$4:$Q$220,A869),SUMIFS(PPTO_GENERADOR!$E$4:$E$220,PPTO_GENERADOR!$Q$4:$Q$220,A869,PPTO_GENERADOR!$B$4:$B$220,PLAN_ETAPA!$C$4))</f>
        <v>56</v>
      </c>
      <c r="M869" s="216">
        <f>IFERROR(VLOOKUP(A869,PARTIDAS!$A$2:$F$269,6,FALSE()),1)</f>
        <v>7</v>
      </c>
      <c r="N869" s="216">
        <f>IFERROR(VLOOKUP(A869,PARTIDAS!$A$2:$I$269,9,FALSE()),1)</f>
        <v>1</v>
      </c>
      <c r="O869" s="217">
        <f t="shared" si="26"/>
        <v>1</v>
      </c>
      <c r="P869" s="216">
        <f>IF(O869=0,0,IF(B869="MAT",G869*(1+H869)*L869*PLAN_ETAPA!$C$5,IF(B869="MO",IF(M869=0,0,G869*L869*PLAN_ETAPA!$C$5*N869/M869),IF(B869="EQ",IF(M869=0,0,G869*L869*PLAN_ETAPA!$C$5/M869),0))))</f>
        <v>5.2360000000000007</v>
      </c>
      <c r="Q869" s="218">
        <f t="shared" si="27"/>
        <v>17930.839080000002</v>
      </c>
    </row>
    <row r="870" spans="1:17" x14ac:dyDescent="0.35">
      <c r="A870" s="212" t="str">
        <f>COMPOSICIÓN!A870</f>
        <v>PTO-0403</v>
      </c>
      <c r="B870" s="212" t="str">
        <f>COMPOSICIÓN!B870</f>
        <v>MAT</v>
      </c>
      <c r="C870" s="212" t="str">
        <f>COMPOSICIÓN!C870</f>
        <v>OTR</v>
      </c>
      <c r="D870" s="212" t="str">
        <f>COMPOSICIÓN!D870</f>
        <v>AGR-001</v>
      </c>
      <c r="E870" s="212" t="str">
        <f>COMPOSICIÓN!E870</f>
        <v>ARENA LAVADA</v>
      </c>
      <c r="F870" s="212" t="str">
        <f>COMPOSICIÓN!F870</f>
        <v>m3</v>
      </c>
      <c r="G870" s="213">
        <f>COMPOSICIÓN!G870</f>
        <v>1.7500000000000002E-2</v>
      </c>
      <c r="H870" s="214">
        <f>COMPOSICIÓN!H870</f>
        <v>0.1</v>
      </c>
      <c r="I870" s="215">
        <f>COMPOSICIÓN!I870</f>
        <v>32399.77</v>
      </c>
      <c r="J870" s="212" t="str">
        <f>IFERROR(VLOOKUP(A870,PARTIDAS!$A$2:$C$269,3,FALSE()),"")</f>
        <v>MAMPOSTERÍA</v>
      </c>
      <c r="K870" s="212" t="str">
        <f>IFERROR(INDEX(PPTO_GENERADOR!$B$4:$B$220,MATCH(A870,PPTO_GENERADOR!$Q$4:$Q$220,0)),"")</f>
        <v>MAMPOSTERÍA</v>
      </c>
      <c r="L870" s="216">
        <f>IF(PLAN_ETAPA!$C$4="(TODOS)",SUMIFS(PPTO_GENERADOR!$E$4:$E$220,PPTO_GENERADOR!$Q$4:$Q$220,A870),SUMIFS(PPTO_GENERADOR!$E$4:$E$220,PPTO_GENERADOR!$Q$4:$Q$220,A870,PPTO_GENERADOR!$B$4:$B$220,PLAN_ETAPA!$C$4))</f>
        <v>56</v>
      </c>
      <c r="M870" s="216">
        <f>IFERROR(VLOOKUP(A870,PARTIDAS!$A$2:$F$269,6,FALSE()),1)</f>
        <v>7</v>
      </c>
      <c r="N870" s="216">
        <f>IFERROR(VLOOKUP(A870,PARTIDAS!$A$2:$I$269,9,FALSE()),1)</f>
        <v>1</v>
      </c>
      <c r="O870" s="217">
        <f t="shared" si="26"/>
        <v>1</v>
      </c>
      <c r="P870" s="216">
        <f>IF(O870=0,0,IF(B870="MAT",G870*(1+H870)*L870*PLAN_ETAPA!$C$5,IF(B870="MO",IF(M870=0,0,G870*L870*PLAN_ETAPA!$C$5*N870/M870),IF(B870="EQ",IF(M870=0,0,G870*L870*PLAN_ETAPA!$C$5/M870),0))))</f>
        <v>1.0780000000000003</v>
      </c>
      <c r="Q870" s="218">
        <f t="shared" si="27"/>
        <v>34926.952060000011</v>
      </c>
    </row>
    <row r="871" spans="1:17" x14ac:dyDescent="0.35">
      <c r="A871" s="212" t="str">
        <f>COMPOSICIÓN!A871</f>
        <v>PTO-0403</v>
      </c>
      <c r="B871" s="212" t="str">
        <f>COMPOSICIÓN!B871</f>
        <v>MAT</v>
      </c>
      <c r="C871" s="212" t="str">
        <f>COMPOSICIÓN!C871</f>
        <v>OTR</v>
      </c>
      <c r="D871" s="212" t="str">
        <f>COMPOSICIÓN!D871</f>
        <v>AGR-004</v>
      </c>
      <c r="E871" s="212" t="str">
        <f>COMPOSICIÓN!E871</f>
        <v>Cemento Portland x 50kg</v>
      </c>
      <c r="F871" s="212" t="str">
        <f>COMPOSICIÓN!F871</f>
        <v>Bol</v>
      </c>
      <c r="G871" s="213">
        <f>COMPOSICIÓN!G871</f>
        <v>7.4999999999999997E-2</v>
      </c>
      <c r="H871" s="214">
        <f>COMPOSICIÓN!H871</f>
        <v>0.1</v>
      </c>
      <c r="I871" s="215">
        <f>COMPOSICIÓN!I871</f>
        <v>7809.48</v>
      </c>
      <c r="J871" s="212" t="str">
        <f>IFERROR(VLOOKUP(A871,PARTIDAS!$A$2:$C$269,3,FALSE()),"")</f>
        <v>MAMPOSTERÍA</v>
      </c>
      <c r="K871" s="212" t="str">
        <f>IFERROR(INDEX(PPTO_GENERADOR!$B$4:$B$220,MATCH(A871,PPTO_GENERADOR!$Q$4:$Q$220,0)),"")</f>
        <v>MAMPOSTERÍA</v>
      </c>
      <c r="L871" s="216">
        <f>IF(PLAN_ETAPA!$C$4="(TODOS)",SUMIFS(PPTO_GENERADOR!$E$4:$E$220,PPTO_GENERADOR!$Q$4:$Q$220,A871),SUMIFS(PPTO_GENERADOR!$E$4:$E$220,PPTO_GENERADOR!$Q$4:$Q$220,A871,PPTO_GENERADOR!$B$4:$B$220,PLAN_ETAPA!$C$4))</f>
        <v>56</v>
      </c>
      <c r="M871" s="216">
        <f>IFERROR(VLOOKUP(A871,PARTIDAS!$A$2:$F$269,6,FALSE()),1)</f>
        <v>7</v>
      </c>
      <c r="N871" s="216">
        <f>IFERROR(VLOOKUP(A871,PARTIDAS!$A$2:$I$269,9,FALSE()),1)</f>
        <v>1</v>
      </c>
      <c r="O871" s="217">
        <f t="shared" si="26"/>
        <v>1</v>
      </c>
      <c r="P871" s="216">
        <f>IF(O871=0,0,IF(B871="MAT",G871*(1+H871)*L871*PLAN_ETAPA!$C$5,IF(B871="MO",IF(M871=0,0,G871*L871*PLAN_ETAPA!$C$5*N871/M871),IF(B871="EQ",IF(M871=0,0,G871*L871*PLAN_ETAPA!$C$5/M871),0))))</f>
        <v>4.62</v>
      </c>
      <c r="Q871" s="218">
        <f t="shared" si="27"/>
        <v>36079.797599999998</v>
      </c>
    </row>
    <row r="872" spans="1:17" x14ac:dyDescent="0.35">
      <c r="A872" s="212" t="str">
        <f>COMPOSICIÓN!A872</f>
        <v>PTO-0403</v>
      </c>
      <c r="B872" s="212" t="str">
        <f>COMPOSICIÓN!B872</f>
        <v>MAT</v>
      </c>
      <c r="C872" s="212" t="str">
        <f>COMPOSICIÓN!C872</f>
        <v>OTR</v>
      </c>
      <c r="D872" s="212" t="str">
        <f>COMPOSICIÓN!D872</f>
        <v>AGR-005</v>
      </c>
      <c r="E872" s="212" t="str">
        <f>COMPOSICIÓN!E872</f>
        <v>Cal Comun x 25kg</v>
      </c>
      <c r="F872" s="212" t="str">
        <f>COMPOSICIÓN!F872</f>
        <v>bol</v>
      </c>
      <c r="G872" s="213">
        <f>COMPOSICIÓN!G872</f>
        <v>0.15</v>
      </c>
      <c r="H872" s="214">
        <f>COMPOSICIÓN!H872</f>
        <v>0.1</v>
      </c>
      <c r="I872" s="215">
        <f>COMPOSICIÓN!I872</f>
        <v>3837.96</v>
      </c>
      <c r="J872" s="212" t="str">
        <f>IFERROR(VLOOKUP(A872,PARTIDAS!$A$2:$C$269,3,FALSE()),"")</f>
        <v>MAMPOSTERÍA</v>
      </c>
      <c r="K872" s="212" t="str">
        <f>IFERROR(INDEX(PPTO_GENERADOR!$B$4:$B$220,MATCH(A872,PPTO_GENERADOR!$Q$4:$Q$220,0)),"")</f>
        <v>MAMPOSTERÍA</v>
      </c>
      <c r="L872" s="216">
        <f>IF(PLAN_ETAPA!$C$4="(TODOS)",SUMIFS(PPTO_GENERADOR!$E$4:$E$220,PPTO_GENERADOR!$Q$4:$Q$220,A872),SUMIFS(PPTO_GENERADOR!$E$4:$E$220,PPTO_GENERADOR!$Q$4:$Q$220,A872,PPTO_GENERADOR!$B$4:$B$220,PLAN_ETAPA!$C$4))</f>
        <v>56</v>
      </c>
      <c r="M872" s="216">
        <f>IFERROR(VLOOKUP(A872,PARTIDAS!$A$2:$F$269,6,FALSE()),1)</f>
        <v>7</v>
      </c>
      <c r="N872" s="216">
        <f>IFERROR(VLOOKUP(A872,PARTIDAS!$A$2:$I$269,9,FALSE()),1)</f>
        <v>1</v>
      </c>
      <c r="O872" s="217">
        <f t="shared" si="26"/>
        <v>1</v>
      </c>
      <c r="P872" s="216">
        <f>IF(O872=0,0,IF(B872="MAT",G872*(1+H872)*L872*PLAN_ETAPA!$C$5,IF(B872="MO",IF(M872=0,0,G872*L872*PLAN_ETAPA!$C$5*N872/M872),IF(B872="EQ",IF(M872=0,0,G872*L872*PLAN_ETAPA!$C$5/M872),0))))</f>
        <v>9.24</v>
      </c>
      <c r="Q872" s="218">
        <f t="shared" si="27"/>
        <v>35462.750400000004</v>
      </c>
    </row>
    <row r="873" spans="1:17" x14ac:dyDescent="0.35">
      <c r="A873" s="212" t="str">
        <f>COMPOSICIÓN!A873</f>
        <v>PTO-0403</v>
      </c>
      <c r="B873" s="212" t="str">
        <f>COMPOSICIÓN!B873</f>
        <v>MAT</v>
      </c>
      <c r="C873" s="212" t="str">
        <f>COMPOSICIÓN!C873</f>
        <v>OTR</v>
      </c>
      <c r="D873" s="212" t="str">
        <f>COMPOSICIÓN!D873</f>
        <v>CER-005</v>
      </c>
      <c r="E873" s="212" t="str">
        <f>COMPOSICIÓN!E873</f>
        <v>Ladrillo Comun 12.5 x 5.5 x 25</v>
      </c>
      <c r="F873" s="212" t="str">
        <f>COMPOSICIÓN!F873</f>
        <v>u</v>
      </c>
      <c r="G873" s="213">
        <f>COMPOSICIÓN!G873</f>
        <v>30</v>
      </c>
      <c r="H873" s="214">
        <f>COMPOSICIÓN!H873</f>
        <v>0.05</v>
      </c>
      <c r="I873" s="215">
        <f>COMPOSICIÓN!I873</f>
        <v>132.30000000000001</v>
      </c>
      <c r="J873" s="212" t="str">
        <f>IFERROR(VLOOKUP(A873,PARTIDAS!$A$2:$C$269,3,FALSE()),"")</f>
        <v>MAMPOSTERÍA</v>
      </c>
      <c r="K873" s="212" t="str">
        <f>IFERROR(INDEX(PPTO_GENERADOR!$B$4:$B$220,MATCH(A873,PPTO_GENERADOR!$Q$4:$Q$220,0)),"")</f>
        <v>MAMPOSTERÍA</v>
      </c>
      <c r="L873" s="216">
        <f>IF(PLAN_ETAPA!$C$4="(TODOS)",SUMIFS(PPTO_GENERADOR!$E$4:$E$220,PPTO_GENERADOR!$Q$4:$Q$220,A873),SUMIFS(PPTO_GENERADOR!$E$4:$E$220,PPTO_GENERADOR!$Q$4:$Q$220,A873,PPTO_GENERADOR!$B$4:$B$220,PLAN_ETAPA!$C$4))</f>
        <v>56</v>
      </c>
      <c r="M873" s="216">
        <f>IFERROR(VLOOKUP(A873,PARTIDAS!$A$2:$F$269,6,FALSE()),1)</f>
        <v>7</v>
      </c>
      <c r="N873" s="216">
        <f>IFERROR(VLOOKUP(A873,PARTIDAS!$A$2:$I$269,9,FALSE()),1)</f>
        <v>1</v>
      </c>
      <c r="O873" s="217">
        <f t="shared" si="26"/>
        <v>1</v>
      </c>
      <c r="P873" s="216">
        <f>IF(O873=0,0,IF(B873="MAT",G873*(1+H873)*L873*PLAN_ETAPA!$C$5,IF(B873="MO",IF(M873=0,0,G873*L873*PLAN_ETAPA!$C$5*N873/M873),IF(B873="EQ",IF(M873=0,0,G873*L873*PLAN_ETAPA!$C$5/M873),0))))</f>
        <v>1764</v>
      </c>
      <c r="Q873" s="218">
        <f t="shared" si="27"/>
        <v>233377.2</v>
      </c>
    </row>
    <row r="874" spans="1:17" x14ac:dyDescent="0.35">
      <c r="A874" s="212" t="str">
        <f>COMPOSICIÓN!A874</f>
        <v>PTO-0403</v>
      </c>
      <c r="B874" s="212" t="str">
        <f>COMPOSICIÓN!B874</f>
        <v>MAT</v>
      </c>
      <c r="C874" s="212" t="str">
        <f>COMPOSICIÓN!C874</f>
        <v>OTR</v>
      </c>
      <c r="D874" s="212" t="str">
        <f>COMPOSICIÓN!D874</f>
        <v>MAT-CONS</v>
      </c>
      <c r="E874" s="212" t="str">
        <f>COMPOSICIÓN!E874</f>
        <v>Consumibles</v>
      </c>
      <c r="F874" s="212" t="str">
        <f>COMPOSICIÓN!F874</f>
        <v>gl</v>
      </c>
      <c r="G874" s="213">
        <f>COMPOSICIÓN!G874</f>
        <v>65.805511663250002</v>
      </c>
      <c r="H874" s="214">
        <f>COMPOSICIÓN!H874</f>
        <v>0</v>
      </c>
      <c r="I874" s="215">
        <f>COMPOSICIÓN!I874</f>
        <v>1</v>
      </c>
      <c r="J874" s="212" t="str">
        <f>IFERROR(VLOOKUP(A874,PARTIDAS!$A$2:$C$269,3,FALSE()),"")</f>
        <v>MAMPOSTERÍA</v>
      </c>
      <c r="K874" s="212" t="str">
        <f>IFERROR(INDEX(PPTO_GENERADOR!$B$4:$B$220,MATCH(A874,PPTO_GENERADOR!$Q$4:$Q$220,0)),"")</f>
        <v>MAMPOSTERÍA</v>
      </c>
      <c r="L874" s="216">
        <f>IF(PLAN_ETAPA!$C$4="(TODOS)",SUMIFS(PPTO_GENERADOR!$E$4:$E$220,PPTO_GENERADOR!$Q$4:$Q$220,A874),SUMIFS(PPTO_GENERADOR!$E$4:$E$220,PPTO_GENERADOR!$Q$4:$Q$220,A874,PPTO_GENERADOR!$B$4:$B$220,PLAN_ETAPA!$C$4))</f>
        <v>56</v>
      </c>
      <c r="M874" s="216">
        <f>IFERROR(VLOOKUP(A874,PARTIDAS!$A$2:$F$269,6,FALSE()),1)</f>
        <v>7</v>
      </c>
      <c r="N874" s="216">
        <f>IFERROR(VLOOKUP(A874,PARTIDAS!$A$2:$I$269,9,FALSE()),1)</f>
        <v>1</v>
      </c>
      <c r="O874" s="217">
        <f t="shared" si="26"/>
        <v>1</v>
      </c>
      <c r="P874" s="216">
        <f>IF(O874=0,0,IF(B874="MAT",G874*(1+H874)*L874*PLAN_ETAPA!$C$5,IF(B874="MO",IF(M874=0,0,G874*L874*PLAN_ETAPA!$C$5*N874/M874),IF(B874="EQ",IF(M874=0,0,G874*L874*PLAN_ETAPA!$C$5/M874),0))))</f>
        <v>3685.1086531420001</v>
      </c>
      <c r="Q874" s="218">
        <f t="shared" si="27"/>
        <v>3685.1086531420001</v>
      </c>
    </row>
    <row r="875" spans="1:17" x14ac:dyDescent="0.35">
      <c r="A875" s="212" t="str">
        <f>COMPOSICIÓN!A875</f>
        <v>PTO-0403</v>
      </c>
      <c r="B875" s="212" t="str">
        <f>COMPOSICIÓN!B875</f>
        <v>MO</v>
      </c>
      <c r="C875" s="212" t="str">
        <f>COMPOSICIÓN!C875</f>
        <v>ALB</v>
      </c>
      <c r="D875" s="212" t="str">
        <f>COMPOSICIÓN!D875</f>
        <v>MO-EAYUD</v>
      </c>
      <c r="E875" s="212" t="str">
        <f>COMPOSICIÓN!E875</f>
        <v>AYUDANTE</v>
      </c>
      <c r="F875" s="212" t="str">
        <f>COMPOSICIÓN!F875</f>
        <v>j</v>
      </c>
      <c r="G875" s="213">
        <f>COMPOSICIÓN!G875</f>
        <v>0.5</v>
      </c>
      <c r="H875" s="214">
        <f>COMPOSICIÓN!H875</f>
        <v>0</v>
      </c>
      <c r="I875" s="215">
        <f>COMPOSICIÓN!I875</f>
        <v>60860.580776572002</v>
      </c>
      <c r="J875" s="212" t="str">
        <f>IFERROR(VLOOKUP(A875,PARTIDAS!$A$2:$C$269,3,FALSE()),"")</f>
        <v>MAMPOSTERÍA</v>
      </c>
      <c r="K875" s="212" t="str">
        <f>IFERROR(INDEX(PPTO_GENERADOR!$B$4:$B$220,MATCH(A875,PPTO_GENERADOR!$Q$4:$Q$220,0)),"")</f>
        <v>MAMPOSTERÍA</v>
      </c>
      <c r="L875" s="216">
        <f>IF(PLAN_ETAPA!$C$4="(TODOS)",SUMIFS(PPTO_GENERADOR!$E$4:$E$220,PPTO_GENERADOR!$Q$4:$Q$220,A875),SUMIFS(PPTO_GENERADOR!$E$4:$E$220,PPTO_GENERADOR!$Q$4:$Q$220,A875,PPTO_GENERADOR!$B$4:$B$220,PLAN_ETAPA!$C$4))</f>
        <v>56</v>
      </c>
      <c r="M875" s="216">
        <f>IFERROR(VLOOKUP(A875,PARTIDAS!$A$2:$F$269,6,FALSE()),1)</f>
        <v>7</v>
      </c>
      <c r="N875" s="216">
        <f>IFERROR(VLOOKUP(A875,PARTIDAS!$A$2:$I$269,9,FALSE()),1)</f>
        <v>1</v>
      </c>
      <c r="O875" s="217">
        <f t="shared" si="26"/>
        <v>1</v>
      </c>
      <c r="P875" s="216">
        <f>IF(O875=0,0,IF(B875="MAT",G875*(1+H875)*L875*PLAN_ETAPA!$C$5,IF(B875="MO",IF(M875=0,0,G875*L875*PLAN_ETAPA!$C$5*N875/M875),IF(B875="EQ",IF(M875=0,0,G875*L875*PLAN_ETAPA!$C$5/M875),0))))</f>
        <v>4</v>
      </c>
      <c r="Q875" s="218">
        <f t="shared" si="27"/>
        <v>243442.32310628801</v>
      </c>
    </row>
    <row r="876" spans="1:17" x14ac:dyDescent="0.35">
      <c r="A876" s="212" t="str">
        <f>COMPOSICIÓN!A876</f>
        <v>PTO-0403</v>
      </c>
      <c r="B876" s="212" t="str">
        <f>COMPOSICIÓN!B876</f>
        <v>MO</v>
      </c>
      <c r="C876" s="212" t="str">
        <f>COMPOSICIÓN!C876</f>
        <v>ALB</v>
      </c>
      <c r="D876" s="212" t="str">
        <f>COMPOSICIÓN!D876</f>
        <v>MO-EESPE</v>
      </c>
      <c r="E876" s="212" t="str">
        <f>COMPOSICIÓN!E876</f>
        <v>ESPECIALIZADO</v>
      </c>
      <c r="F876" s="212" t="str">
        <f>COMPOSICIÓN!F876</f>
        <v>j</v>
      </c>
      <c r="G876" s="213">
        <f>COMPOSICIÓN!G876</f>
        <v>0.5</v>
      </c>
      <c r="H876" s="214">
        <f>COMPOSICIÓN!H876</f>
        <v>0</v>
      </c>
      <c r="I876" s="215">
        <f>COMPOSICIÓN!I876</f>
        <v>85927.097156571996</v>
      </c>
      <c r="J876" s="212" t="str">
        <f>IFERROR(VLOOKUP(A876,PARTIDAS!$A$2:$C$269,3,FALSE()),"")</f>
        <v>MAMPOSTERÍA</v>
      </c>
      <c r="K876" s="212" t="str">
        <f>IFERROR(INDEX(PPTO_GENERADOR!$B$4:$B$220,MATCH(A876,PPTO_GENERADOR!$Q$4:$Q$220,0)),"")</f>
        <v>MAMPOSTERÍA</v>
      </c>
      <c r="L876" s="216">
        <f>IF(PLAN_ETAPA!$C$4="(TODOS)",SUMIFS(PPTO_GENERADOR!$E$4:$E$220,PPTO_GENERADOR!$Q$4:$Q$220,A876),SUMIFS(PPTO_GENERADOR!$E$4:$E$220,PPTO_GENERADOR!$Q$4:$Q$220,A876,PPTO_GENERADOR!$B$4:$B$220,PLAN_ETAPA!$C$4))</f>
        <v>56</v>
      </c>
      <c r="M876" s="216">
        <f>IFERROR(VLOOKUP(A876,PARTIDAS!$A$2:$F$269,6,FALSE()),1)</f>
        <v>7</v>
      </c>
      <c r="N876" s="216">
        <f>IFERROR(VLOOKUP(A876,PARTIDAS!$A$2:$I$269,9,FALSE()),1)</f>
        <v>1</v>
      </c>
      <c r="O876" s="217">
        <f t="shared" si="26"/>
        <v>1</v>
      </c>
      <c r="P876" s="216">
        <f>IF(O876=0,0,IF(B876="MAT",G876*(1+H876)*L876*PLAN_ETAPA!$C$5,IF(B876="MO",IF(M876=0,0,G876*L876*PLAN_ETAPA!$C$5*N876/M876),IF(B876="EQ",IF(M876=0,0,G876*L876*PLAN_ETAPA!$C$5/M876),0))))</f>
        <v>4</v>
      </c>
      <c r="Q876" s="218">
        <f t="shared" si="27"/>
        <v>343708.38862628798</v>
      </c>
    </row>
    <row r="877" spans="1:17" x14ac:dyDescent="0.35">
      <c r="A877" s="212" t="str">
        <f>COMPOSICIÓN!A877</f>
        <v>PTO-0404</v>
      </c>
      <c r="B877" s="212" t="str">
        <f>COMPOSICIÓN!B877</f>
        <v>EQ</v>
      </c>
      <c r="C877" s="212">
        <f>COMPOSICIÓN!C877</f>
        <v>0</v>
      </c>
      <c r="D877" s="212" t="str">
        <f>COMPOSICIÓN!D877</f>
        <v>EQ-ANDAM0</v>
      </c>
      <c r="E877" s="212" t="str">
        <f>COMPOSICIÓN!E877</f>
        <v>ANDAMIO TUBULAR DE UNO A TRES CUERPOS</v>
      </c>
      <c r="F877" s="212">
        <f>COMPOSICIÓN!F877</f>
        <v>0</v>
      </c>
      <c r="G877" s="213">
        <f>COMPOSICIÓN!G877</f>
        <v>0.5</v>
      </c>
      <c r="H877" s="214">
        <f>COMPOSICIÓN!H877</f>
        <v>0</v>
      </c>
      <c r="I877" s="215">
        <f>COMPOSICIÓN!I877</f>
        <v>571.1794909807611</v>
      </c>
      <c r="J877" s="212" t="str">
        <f>IFERROR(VLOOKUP(A877,PARTIDAS!$A$2:$C$269,3,FALSE()),"")</f>
        <v>MAMPOSTERÍA</v>
      </c>
      <c r="K877" s="212" t="str">
        <f>IFERROR(INDEX(PPTO_GENERADOR!$B$4:$B$220,MATCH(A877,PPTO_GENERADOR!$Q$4:$Q$220,0)),"")</f>
        <v/>
      </c>
      <c r="L877" s="216">
        <f>IF(PLAN_ETAPA!$C$4="(TODOS)",SUMIFS(PPTO_GENERADOR!$E$4:$E$220,PPTO_GENERADOR!$Q$4:$Q$220,A877),SUMIFS(PPTO_GENERADOR!$E$4:$E$220,PPTO_GENERADOR!$Q$4:$Q$220,A877,PPTO_GENERADOR!$B$4:$B$220,PLAN_ETAPA!$C$4))</f>
        <v>0</v>
      </c>
      <c r="M877" s="216">
        <f>IFERROR(VLOOKUP(A877,PARTIDAS!$A$2:$F$269,6,FALSE()),1)</f>
        <v>15</v>
      </c>
      <c r="N877" s="216">
        <f>IFERROR(VLOOKUP(A877,PARTIDAS!$A$2:$I$269,9,FALSE()),1)</f>
        <v>1</v>
      </c>
      <c r="O877" s="217">
        <f t="shared" si="26"/>
        <v>0</v>
      </c>
      <c r="P877" s="216">
        <f>IF(O877=0,0,IF(B877="MAT",G877*(1+H877)*L877*PLAN_ETAPA!$C$5,IF(B877="MO",IF(M877=0,0,G877*L877*PLAN_ETAPA!$C$5*N877/M877),IF(B877="EQ",IF(M877=0,0,G877*L877*PLAN_ETAPA!$C$5/M877),0))))</f>
        <v>0</v>
      </c>
      <c r="Q877" s="218">
        <f t="shared" si="27"/>
        <v>0</v>
      </c>
    </row>
    <row r="878" spans="1:17" x14ac:dyDescent="0.35">
      <c r="A878" s="212" t="str">
        <f>COMPOSICIÓN!A878</f>
        <v>PTO-0404</v>
      </c>
      <c r="B878" s="212" t="str">
        <f>COMPOSICIÓN!B878</f>
        <v>EQ</v>
      </c>
      <c r="C878" s="212">
        <f>COMPOSICIÓN!C878</f>
        <v>0</v>
      </c>
      <c r="D878" s="212" t="str">
        <f>COMPOSICIÓN!D878</f>
        <v>EQ-EQALBA</v>
      </c>
      <c r="E878" s="212" t="str">
        <f>COMPOSICIÓN!E878</f>
        <v>EQUIPO DE ALBAÑILERIA, carpetas, ladrillo</v>
      </c>
      <c r="F878" s="212">
        <f>COMPOSICIÓN!F878</f>
        <v>0</v>
      </c>
      <c r="G878" s="213">
        <f>COMPOSICIÓN!G878</f>
        <v>1</v>
      </c>
      <c r="H878" s="214">
        <f>COMPOSICIÓN!H878</f>
        <v>0</v>
      </c>
      <c r="I878" s="215">
        <f>COMPOSICIÓN!I878</f>
        <v>2287.1357450968057</v>
      </c>
      <c r="J878" s="212" t="str">
        <f>IFERROR(VLOOKUP(A878,PARTIDAS!$A$2:$C$269,3,FALSE()),"")</f>
        <v>MAMPOSTERÍA</v>
      </c>
      <c r="K878" s="212" t="str">
        <f>IFERROR(INDEX(PPTO_GENERADOR!$B$4:$B$220,MATCH(A878,PPTO_GENERADOR!$Q$4:$Q$220,0)),"")</f>
        <v/>
      </c>
      <c r="L878" s="216">
        <f>IF(PLAN_ETAPA!$C$4="(TODOS)",SUMIFS(PPTO_GENERADOR!$E$4:$E$220,PPTO_GENERADOR!$Q$4:$Q$220,A878),SUMIFS(PPTO_GENERADOR!$E$4:$E$220,PPTO_GENERADOR!$Q$4:$Q$220,A878,PPTO_GENERADOR!$B$4:$B$220,PLAN_ETAPA!$C$4))</f>
        <v>0</v>
      </c>
      <c r="M878" s="216">
        <f>IFERROR(VLOOKUP(A878,PARTIDAS!$A$2:$F$269,6,FALSE()),1)</f>
        <v>15</v>
      </c>
      <c r="N878" s="216">
        <f>IFERROR(VLOOKUP(A878,PARTIDAS!$A$2:$I$269,9,FALSE()),1)</f>
        <v>1</v>
      </c>
      <c r="O878" s="217">
        <f t="shared" si="26"/>
        <v>0</v>
      </c>
      <c r="P878" s="216">
        <f>IF(O878=0,0,IF(B878="MAT",G878*(1+H878)*L878*PLAN_ETAPA!$C$5,IF(B878="MO",IF(M878=0,0,G878*L878*PLAN_ETAPA!$C$5*N878/M878),IF(B878="EQ",IF(M878=0,0,G878*L878*PLAN_ETAPA!$C$5/M878),0))))</f>
        <v>0</v>
      </c>
      <c r="Q878" s="218">
        <f t="shared" si="27"/>
        <v>0</v>
      </c>
    </row>
    <row r="879" spans="1:17" x14ac:dyDescent="0.35">
      <c r="A879" s="212" t="str">
        <f>COMPOSICIÓN!A879</f>
        <v>PTO-0404</v>
      </c>
      <c r="B879" s="212" t="str">
        <f>COMPOSICIÓN!B879</f>
        <v>EQ</v>
      </c>
      <c r="C879" s="212">
        <f>COMPOSICIÓN!C879</f>
        <v>0</v>
      </c>
      <c r="D879" s="212" t="str">
        <f>COMPOSICIÓN!D879</f>
        <v>EQ-TROMPO</v>
      </c>
      <c r="E879" s="212" t="str">
        <f>COMPOSICIÓN!E879</f>
        <v>Hormigonera De 150 Litros 1hp Con Rueda Maciza</v>
      </c>
      <c r="F879" s="212">
        <f>COMPOSICIÓN!F879</f>
        <v>0</v>
      </c>
      <c r="G879" s="213">
        <f>COMPOSICIÓN!G879</f>
        <v>1</v>
      </c>
      <c r="H879" s="214">
        <f>COMPOSICIÓN!H879</f>
        <v>0</v>
      </c>
      <c r="I879" s="215">
        <f>COMPOSICIÓN!I879</f>
        <v>957.25319614994726</v>
      </c>
      <c r="J879" s="212" t="str">
        <f>IFERROR(VLOOKUP(A879,PARTIDAS!$A$2:$C$269,3,FALSE()),"")</f>
        <v>MAMPOSTERÍA</v>
      </c>
      <c r="K879" s="212" t="str">
        <f>IFERROR(INDEX(PPTO_GENERADOR!$B$4:$B$220,MATCH(A879,PPTO_GENERADOR!$Q$4:$Q$220,0)),"")</f>
        <v/>
      </c>
      <c r="L879" s="216">
        <f>IF(PLAN_ETAPA!$C$4="(TODOS)",SUMIFS(PPTO_GENERADOR!$E$4:$E$220,PPTO_GENERADOR!$Q$4:$Q$220,A879),SUMIFS(PPTO_GENERADOR!$E$4:$E$220,PPTO_GENERADOR!$Q$4:$Q$220,A879,PPTO_GENERADOR!$B$4:$B$220,PLAN_ETAPA!$C$4))</f>
        <v>0</v>
      </c>
      <c r="M879" s="216">
        <f>IFERROR(VLOOKUP(A879,PARTIDAS!$A$2:$F$269,6,FALSE()),1)</f>
        <v>15</v>
      </c>
      <c r="N879" s="216">
        <f>IFERROR(VLOOKUP(A879,PARTIDAS!$A$2:$I$269,9,FALSE()),1)</f>
        <v>1</v>
      </c>
      <c r="O879" s="217">
        <f t="shared" si="26"/>
        <v>0</v>
      </c>
      <c r="P879" s="216">
        <f>IF(O879=0,0,IF(B879="MAT",G879*(1+H879)*L879*PLAN_ETAPA!$C$5,IF(B879="MO",IF(M879=0,0,G879*L879*PLAN_ETAPA!$C$5*N879/M879),IF(B879="EQ",IF(M879=0,0,G879*L879*PLAN_ETAPA!$C$5/M879),0))))</f>
        <v>0</v>
      </c>
      <c r="Q879" s="218">
        <f t="shared" si="27"/>
        <v>0</v>
      </c>
    </row>
    <row r="880" spans="1:17" x14ac:dyDescent="0.35">
      <c r="A880" s="212" t="str">
        <f>COMPOSICIÓN!A880</f>
        <v>PTO-0404</v>
      </c>
      <c r="B880" s="212" t="str">
        <f>COMPOSICIÓN!B880</f>
        <v>MAT</v>
      </c>
      <c r="C880" s="212" t="str">
        <f>COMPOSICIÓN!C880</f>
        <v>OTR</v>
      </c>
      <c r="D880" s="212" t="str">
        <f>COMPOSICIÓN!D880</f>
        <v>ACE-001</v>
      </c>
      <c r="E880" s="212" t="str">
        <f>COMPOSICIÓN!E880</f>
        <v>Barra de Acero Aleteado - 6mm x 12m</v>
      </c>
      <c r="F880" s="212" t="str">
        <f>COMPOSICIÓN!F880</f>
        <v>u</v>
      </c>
      <c r="G880" s="213">
        <f>COMPOSICIÓN!G880</f>
        <v>0.17</v>
      </c>
      <c r="H880" s="214">
        <f>COMPOSICIÓN!H880</f>
        <v>0.1</v>
      </c>
      <c r="I880" s="215">
        <f>COMPOSICIÓN!I880</f>
        <v>3424.53</v>
      </c>
      <c r="J880" s="212" t="str">
        <f>IFERROR(VLOOKUP(A880,PARTIDAS!$A$2:$C$269,3,FALSE()),"")</f>
        <v>MAMPOSTERÍA</v>
      </c>
      <c r="K880" s="212" t="str">
        <f>IFERROR(INDEX(PPTO_GENERADOR!$B$4:$B$220,MATCH(A880,PPTO_GENERADOR!$Q$4:$Q$220,0)),"")</f>
        <v/>
      </c>
      <c r="L880" s="216">
        <f>IF(PLAN_ETAPA!$C$4="(TODOS)",SUMIFS(PPTO_GENERADOR!$E$4:$E$220,PPTO_GENERADOR!$Q$4:$Q$220,A880),SUMIFS(PPTO_GENERADOR!$E$4:$E$220,PPTO_GENERADOR!$Q$4:$Q$220,A880,PPTO_GENERADOR!$B$4:$B$220,PLAN_ETAPA!$C$4))</f>
        <v>0</v>
      </c>
      <c r="M880" s="216">
        <f>IFERROR(VLOOKUP(A880,PARTIDAS!$A$2:$F$269,6,FALSE()),1)</f>
        <v>15</v>
      </c>
      <c r="N880" s="216">
        <f>IFERROR(VLOOKUP(A880,PARTIDAS!$A$2:$I$269,9,FALSE()),1)</f>
        <v>1</v>
      </c>
      <c r="O880" s="217">
        <f t="shared" si="26"/>
        <v>0</v>
      </c>
      <c r="P880" s="216">
        <f>IF(O880=0,0,IF(B880="MAT",G880*(1+H880)*L880*PLAN_ETAPA!$C$5,IF(B880="MO",IF(M880=0,0,G880*L880*PLAN_ETAPA!$C$5*N880/M880),IF(B880="EQ",IF(M880=0,0,G880*L880*PLAN_ETAPA!$C$5/M880),0))))</f>
        <v>0</v>
      </c>
      <c r="Q880" s="218">
        <f t="shared" si="27"/>
        <v>0</v>
      </c>
    </row>
    <row r="881" spans="1:17" x14ac:dyDescent="0.35">
      <c r="A881" s="212" t="str">
        <f>COMPOSICIÓN!A881</f>
        <v>PTO-0404</v>
      </c>
      <c r="B881" s="212" t="str">
        <f>COMPOSICIÓN!B881</f>
        <v>MAT</v>
      </c>
      <c r="C881" s="212" t="str">
        <f>COMPOSICIÓN!C881</f>
        <v>OTR</v>
      </c>
      <c r="D881" s="212" t="str">
        <f>COMPOSICIÓN!D881</f>
        <v>AGR-001</v>
      </c>
      <c r="E881" s="212" t="str">
        <f>COMPOSICIÓN!E881</f>
        <v>ARENA LAVADA</v>
      </c>
      <c r="F881" s="212" t="str">
        <f>COMPOSICIÓN!F881</f>
        <v>m3</v>
      </c>
      <c r="G881" s="213">
        <f>COMPOSICIÓN!G881</f>
        <v>1.7999999999999999E-2</v>
      </c>
      <c r="H881" s="214">
        <f>COMPOSICIÓN!H881</f>
        <v>0.1</v>
      </c>
      <c r="I881" s="215">
        <f>COMPOSICIÓN!I881</f>
        <v>32399.77</v>
      </c>
      <c r="J881" s="212" t="str">
        <f>IFERROR(VLOOKUP(A881,PARTIDAS!$A$2:$C$269,3,FALSE()),"")</f>
        <v>MAMPOSTERÍA</v>
      </c>
      <c r="K881" s="212" t="str">
        <f>IFERROR(INDEX(PPTO_GENERADOR!$B$4:$B$220,MATCH(A881,PPTO_GENERADOR!$Q$4:$Q$220,0)),"")</f>
        <v/>
      </c>
      <c r="L881" s="216">
        <f>IF(PLAN_ETAPA!$C$4="(TODOS)",SUMIFS(PPTO_GENERADOR!$E$4:$E$220,PPTO_GENERADOR!$Q$4:$Q$220,A881),SUMIFS(PPTO_GENERADOR!$E$4:$E$220,PPTO_GENERADOR!$Q$4:$Q$220,A881,PPTO_GENERADOR!$B$4:$B$220,PLAN_ETAPA!$C$4))</f>
        <v>0</v>
      </c>
      <c r="M881" s="216">
        <f>IFERROR(VLOOKUP(A881,PARTIDAS!$A$2:$F$269,6,FALSE()),1)</f>
        <v>15</v>
      </c>
      <c r="N881" s="216">
        <f>IFERROR(VLOOKUP(A881,PARTIDAS!$A$2:$I$269,9,FALSE()),1)</f>
        <v>1</v>
      </c>
      <c r="O881" s="217">
        <f t="shared" si="26"/>
        <v>0</v>
      </c>
      <c r="P881" s="216">
        <f>IF(O881=0,0,IF(B881="MAT",G881*(1+H881)*L881*PLAN_ETAPA!$C$5,IF(B881="MO",IF(M881=0,0,G881*L881*PLAN_ETAPA!$C$5*N881/M881),IF(B881="EQ",IF(M881=0,0,G881*L881*PLAN_ETAPA!$C$5/M881),0))))</f>
        <v>0</v>
      </c>
      <c r="Q881" s="218">
        <f t="shared" si="27"/>
        <v>0</v>
      </c>
    </row>
    <row r="882" spans="1:17" x14ac:dyDescent="0.35">
      <c r="A882" s="212" t="str">
        <f>COMPOSICIÓN!A882</f>
        <v>PTO-0404</v>
      </c>
      <c r="B882" s="212" t="str">
        <f>COMPOSICIÓN!B882</f>
        <v>MAT</v>
      </c>
      <c r="C882" s="212" t="str">
        <f>COMPOSICIÓN!C882</f>
        <v>OTR</v>
      </c>
      <c r="D882" s="212" t="str">
        <f>COMPOSICIÓN!D882</f>
        <v>AGR-004</v>
      </c>
      <c r="E882" s="212" t="str">
        <f>COMPOSICIÓN!E882</f>
        <v>Cemento Portland x 50kg</v>
      </c>
      <c r="F882" s="212" t="str">
        <f>COMPOSICIÓN!F882</f>
        <v>Bol</v>
      </c>
      <c r="G882" s="213">
        <f>COMPOSICIÓN!G882</f>
        <v>7.4999999999999997E-2</v>
      </c>
      <c r="H882" s="214">
        <f>COMPOSICIÓN!H882</f>
        <v>0.1</v>
      </c>
      <c r="I882" s="215">
        <f>COMPOSICIÓN!I882</f>
        <v>7809.48</v>
      </c>
      <c r="J882" s="212" t="str">
        <f>IFERROR(VLOOKUP(A882,PARTIDAS!$A$2:$C$269,3,FALSE()),"")</f>
        <v>MAMPOSTERÍA</v>
      </c>
      <c r="K882" s="212" t="str">
        <f>IFERROR(INDEX(PPTO_GENERADOR!$B$4:$B$220,MATCH(A882,PPTO_GENERADOR!$Q$4:$Q$220,0)),"")</f>
        <v/>
      </c>
      <c r="L882" s="216">
        <f>IF(PLAN_ETAPA!$C$4="(TODOS)",SUMIFS(PPTO_GENERADOR!$E$4:$E$220,PPTO_GENERADOR!$Q$4:$Q$220,A882),SUMIFS(PPTO_GENERADOR!$E$4:$E$220,PPTO_GENERADOR!$Q$4:$Q$220,A882,PPTO_GENERADOR!$B$4:$B$220,PLAN_ETAPA!$C$4))</f>
        <v>0</v>
      </c>
      <c r="M882" s="216">
        <f>IFERROR(VLOOKUP(A882,PARTIDAS!$A$2:$F$269,6,FALSE()),1)</f>
        <v>15</v>
      </c>
      <c r="N882" s="216">
        <f>IFERROR(VLOOKUP(A882,PARTIDAS!$A$2:$I$269,9,FALSE()),1)</f>
        <v>1</v>
      </c>
      <c r="O882" s="217">
        <f t="shared" si="26"/>
        <v>0</v>
      </c>
      <c r="P882" s="216">
        <f>IF(O882=0,0,IF(B882="MAT",G882*(1+H882)*L882*PLAN_ETAPA!$C$5,IF(B882="MO",IF(M882=0,0,G882*L882*PLAN_ETAPA!$C$5*N882/M882),IF(B882="EQ",IF(M882=0,0,G882*L882*PLAN_ETAPA!$C$5/M882),0))))</f>
        <v>0</v>
      </c>
      <c r="Q882" s="218">
        <f t="shared" si="27"/>
        <v>0</v>
      </c>
    </row>
    <row r="883" spans="1:17" x14ac:dyDescent="0.35">
      <c r="A883" s="212" t="str">
        <f>COMPOSICIÓN!A883</f>
        <v>PTO-0404</v>
      </c>
      <c r="B883" s="212" t="str">
        <f>COMPOSICIÓN!B883</f>
        <v>MAT</v>
      </c>
      <c r="C883" s="212" t="str">
        <f>COMPOSICIÓN!C883</f>
        <v>OTR</v>
      </c>
      <c r="D883" s="212" t="str">
        <f>COMPOSICIÓN!D883</f>
        <v>AGR-005</v>
      </c>
      <c r="E883" s="212" t="str">
        <f>COMPOSICIÓN!E883</f>
        <v>Cal Comun x 25kg</v>
      </c>
      <c r="F883" s="212" t="str">
        <f>COMPOSICIÓN!F883</f>
        <v>bol</v>
      </c>
      <c r="G883" s="213">
        <f>COMPOSICIÓN!G883</f>
        <v>0.15</v>
      </c>
      <c r="H883" s="214">
        <f>COMPOSICIÓN!H883</f>
        <v>0.1</v>
      </c>
      <c r="I883" s="215">
        <f>COMPOSICIÓN!I883</f>
        <v>3837.96</v>
      </c>
      <c r="J883" s="212" t="str">
        <f>IFERROR(VLOOKUP(A883,PARTIDAS!$A$2:$C$269,3,FALSE()),"")</f>
        <v>MAMPOSTERÍA</v>
      </c>
      <c r="K883" s="212" t="str">
        <f>IFERROR(INDEX(PPTO_GENERADOR!$B$4:$B$220,MATCH(A883,PPTO_GENERADOR!$Q$4:$Q$220,0)),"")</f>
        <v/>
      </c>
      <c r="L883" s="216">
        <f>IF(PLAN_ETAPA!$C$4="(TODOS)",SUMIFS(PPTO_GENERADOR!$E$4:$E$220,PPTO_GENERADOR!$Q$4:$Q$220,A883),SUMIFS(PPTO_GENERADOR!$E$4:$E$220,PPTO_GENERADOR!$Q$4:$Q$220,A883,PPTO_GENERADOR!$B$4:$B$220,PLAN_ETAPA!$C$4))</f>
        <v>0</v>
      </c>
      <c r="M883" s="216">
        <f>IFERROR(VLOOKUP(A883,PARTIDAS!$A$2:$F$269,6,FALSE()),1)</f>
        <v>15</v>
      </c>
      <c r="N883" s="216">
        <f>IFERROR(VLOOKUP(A883,PARTIDAS!$A$2:$I$269,9,FALSE()),1)</f>
        <v>1</v>
      </c>
      <c r="O883" s="217">
        <f t="shared" si="26"/>
        <v>0</v>
      </c>
      <c r="P883" s="216">
        <f>IF(O883=0,0,IF(B883="MAT",G883*(1+H883)*L883*PLAN_ETAPA!$C$5,IF(B883="MO",IF(M883=0,0,G883*L883*PLAN_ETAPA!$C$5*N883/M883),IF(B883="EQ",IF(M883=0,0,G883*L883*PLAN_ETAPA!$C$5/M883),0))))</f>
        <v>0</v>
      </c>
      <c r="Q883" s="218">
        <f t="shared" si="27"/>
        <v>0</v>
      </c>
    </row>
    <row r="884" spans="1:17" x14ac:dyDescent="0.35">
      <c r="A884" s="212" t="str">
        <f>COMPOSICIÓN!A884</f>
        <v>PTO-0404</v>
      </c>
      <c r="B884" s="212" t="str">
        <f>COMPOSICIÓN!B884</f>
        <v>MAT</v>
      </c>
      <c r="C884" s="212" t="str">
        <f>COMPOSICIÓN!C884</f>
        <v>OTR</v>
      </c>
      <c r="D884" s="212" t="str">
        <f>COMPOSICIÓN!D884</f>
        <v>CER-006</v>
      </c>
      <c r="E884" s="212" t="str">
        <f>COMPOSICIÓN!E884</f>
        <v>Ladrillo hueco ceramico 12x19x33 - Portante</v>
      </c>
      <c r="F884" s="212" t="str">
        <f>COMPOSICIÓN!F884</f>
        <v>u</v>
      </c>
      <c r="G884" s="213">
        <f>COMPOSICIÓN!G884</f>
        <v>15</v>
      </c>
      <c r="H884" s="214">
        <f>COMPOSICIÓN!H884</f>
        <v>0.05</v>
      </c>
      <c r="I884" s="215">
        <f>COMPOSICIÓN!I884</f>
        <v>563.22</v>
      </c>
      <c r="J884" s="212" t="str">
        <f>IFERROR(VLOOKUP(A884,PARTIDAS!$A$2:$C$269,3,FALSE()),"")</f>
        <v>MAMPOSTERÍA</v>
      </c>
      <c r="K884" s="212" t="str">
        <f>IFERROR(INDEX(PPTO_GENERADOR!$B$4:$B$220,MATCH(A884,PPTO_GENERADOR!$Q$4:$Q$220,0)),"")</f>
        <v/>
      </c>
      <c r="L884" s="216">
        <f>IF(PLAN_ETAPA!$C$4="(TODOS)",SUMIFS(PPTO_GENERADOR!$E$4:$E$220,PPTO_GENERADOR!$Q$4:$Q$220,A884),SUMIFS(PPTO_GENERADOR!$E$4:$E$220,PPTO_GENERADOR!$Q$4:$Q$220,A884,PPTO_GENERADOR!$B$4:$B$220,PLAN_ETAPA!$C$4))</f>
        <v>0</v>
      </c>
      <c r="M884" s="216">
        <f>IFERROR(VLOOKUP(A884,PARTIDAS!$A$2:$F$269,6,FALSE()),1)</f>
        <v>15</v>
      </c>
      <c r="N884" s="216">
        <f>IFERROR(VLOOKUP(A884,PARTIDAS!$A$2:$I$269,9,FALSE()),1)</f>
        <v>1</v>
      </c>
      <c r="O884" s="217">
        <f t="shared" si="26"/>
        <v>0</v>
      </c>
      <c r="P884" s="216">
        <f>IF(O884=0,0,IF(B884="MAT",G884*(1+H884)*L884*PLAN_ETAPA!$C$5,IF(B884="MO",IF(M884=0,0,G884*L884*PLAN_ETAPA!$C$5*N884/M884),IF(B884="EQ",IF(M884=0,0,G884*L884*PLAN_ETAPA!$C$5/M884),0))))</f>
        <v>0</v>
      </c>
      <c r="Q884" s="218">
        <f t="shared" si="27"/>
        <v>0</v>
      </c>
    </row>
    <row r="885" spans="1:17" x14ac:dyDescent="0.35">
      <c r="A885" s="212" t="str">
        <f>COMPOSICIÓN!A885</f>
        <v>PTO-0404</v>
      </c>
      <c r="B885" s="212" t="str">
        <f>COMPOSICIÓN!B885</f>
        <v>MO</v>
      </c>
      <c r="C885" s="212" t="str">
        <f>COMPOSICIÓN!C885</f>
        <v>ALB</v>
      </c>
      <c r="D885" s="212" t="str">
        <f>COMPOSICIÓN!D885</f>
        <v>MO-EAYUD</v>
      </c>
      <c r="E885" s="212" t="str">
        <f>COMPOSICIÓN!E885</f>
        <v>AYUDANTE</v>
      </c>
      <c r="F885" s="212" t="str">
        <f>COMPOSICIÓN!F885</f>
        <v>j</v>
      </c>
      <c r="G885" s="213">
        <f>COMPOSICIÓN!G885</f>
        <v>1</v>
      </c>
      <c r="H885" s="214">
        <f>COMPOSICIÓN!H885</f>
        <v>0</v>
      </c>
      <c r="I885" s="215">
        <f>COMPOSICIÓN!I885</f>
        <v>60860.580776572002</v>
      </c>
      <c r="J885" s="212" t="str">
        <f>IFERROR(VLOOKUP(A885,PARTIDAS!$A$2:$C$269,3,FALSE()),"")</f>
        <v>MAMPOSTERÍA</v>
      </c>
      <c r="K885" s="212" t="str">
        <f>IFERROR(INDEX(PPTO_GENERADOR!$B$4:$B$220,MATCH(A885,PPTO_GENERADOR!$Q$4:$Q$220,0)),"")</f>
        <v/>
      </c>
      <c r="L885" s="216">
        <f>IF(PLAN_ETAPA!$C$4="(TODOS)",SUMIFS(PPTO_GENERADOR!$E$4:$E$220,PPTO_GENERADOR!$Q$4:$Q$220,A885),SUMIFS(PPTO_GENERADOR!$E$4:$E$220,PPTO_GENERADOR!$Q$4:$Q$220,A885,PPTO_GENERADOR!$B$4:$B$220,PLAN_ETAPA!$C$4))</f>
        <v>0</v>
      </c>
      <c r="M885" s="216">
        <f>IFERROR(VLOOKUP(A885,PARTIDAS!$A$2:$F$269,6,FALSE()),1)</f>
        <v>15</v>
      </c>
      <c r="N885" s="216">
        <f>IFERROR(VLOOKUP(A885,PARTIDAS!$A$2:$I$269,9,FALSE()),1)</f>
        <v>1</v>
      </c>
      <c r="O885" s="217">
        <f t="shared" si="26"/>
        <v>0</v>
      </c>
      <c r="P885" s="216">
        <f>IF(O885=0,0,IF(B885="MAT",G885*(1+H885)*L885*PLAN_ETAPA!$C$5,IF(B885="MO",IF(M885=0,0,G885*L885*PLAN_ETAPA!$C$5*N885/M885),IF(B885="EQ",IF(M885=0,0,G885*L885*PLAN_ETAPA!$C$5/M885),0))))</f>
        <v>0</v>
      </c>
      <c r="Q885" s="218">
        <f t="shared" si="27"/>
        <v>0</v>
      </c>
    </row>
    <row r="886" spans="1:17" x14ac:dyDescent="0.35">
      <c r="A886" s="212" t="str">
        <f>COMPOSICIÓN!A886</f>
        <v>PTO-0404</v>
      </c>
      <c r="B886" s="212" t="str">
        <f>COMPOSICIÓN!B886</f>
        <v>MO</v>
      </c>
      <c r="C886" s="212" t="str">
        <f>COMPOSICIÓN!C886</f>
        <v>ALB</v>
      </c>
      <c r="D886" s="212" t="str">
        <f>COMPOSICIÓN!D886</f>
        <v>MO-EESPE</v>
      </c>
      <c r="E886" s="212" t="str">
        <f>COMPOSICIÓN!E886</f>
        <v>ESPECIALIZADO</v>
      </c>
      <c r="F886" s="212" t="str">
        <f>COMPOSICIÓN!F886</f>
        <v>j</v>
      </c>
      <c r="G886" s="213">
        <f>COMPOSICIÓN!G886</f>
        <v>1</v>
      </c>
      <c r="H886" s="214">
        <f>COMPOSICIÓN!H886</f>
        <v>0</v>
      </c>
      <c r="I886" s="215">
        <f>COMPOSICIÓN!I886</f>
        <v>85927.097156571996</v>
      </c>
      <c r="J886" s="212" t="str">
        <f>IFERROR(VLOOKUP(A886,PARTIDAS!$A$2:$C$269,3,FALSE()),"")</f>
        <v>MAMPOSTERÍA</v>
      </c>
      <c r="K886" s="212" t="str">
        <f>IFERROR(INDEX(PPTO_GENERADOR!$B$4:$B$220,MATCH(A886,PPTO_GENERADOR!$Q$4:$Q$220,0)),"")</f>
        <v/>
      </c>
      <c r="L886" s="216">
        <f>IF(PLAN_ETAPA!$C$4="(TODOS)",SUMIFS(PPTO_GENERADOR!$E$4:$E$220,PPTO_GENERADOR!$Q$4:$Q$220,A886),SUMIFS(PPTO_GENERADOR!$E$4:$E$220,PPTO_GENERADOR!$Q$4:$Q$220,A886,PPTO_GENERADOR!$B$4:$B$220,PLAN_ETAPA!$C$4))</f>
        <v>0</v>
      </c>
      <c r="M886" s="216">
        <f>IFERROR(VLOOKUP(A886,PARTIDAS!$A$2:$F$269,6,FALSE()),1)</f>
        <v>15</v>
      </c>
      <c r="N886" s="216">
        <f>IFERROR(VLOOKUP(A886,PARTIDAS!$A$2:$I$269,9,FALSE()),1)</f>
        <v>1</v>
      </c>
      <c r="O886" s="217">
        <f t="shared" si="26"/>
        <v>0</v>
      </c>
      <c r="P886" s="216">
        <f>IF(O886=0,0,IF(B886="MAT",G886*(1+H886)*L886*PLAN_ETAPA!$C$5,IF(B886="MO",IF(M886=0,0,G886*L886*PLAN_ETAPA!$C$5*N886/M886),IF(B886="EQ",IF(M886=0,0,G886*L886*PLAN_ETAPA!$C$5/M886),0))))</f>
        <v>0</v>
      </c>
      <c r="Q886" s="218">
        <f t="shared" si="27"/>
        <v>0</v>
      </c>
    </row>
    <row r="887" spans="1:17" x14ac:dyDescent="0.35">
      <c r="A887" s="212" t="str">
        <f>COMPOSICIÓN!A887</f>
        <v>PTO-0405</v>
      </c>
      <c r="B887" s="212" t="str">
        <f>COMPOSICIÓN!B887</f>
        <v>EQ</v>
      </c>
      <c r="C887" s="212">
        <f>COMPOSICIÓN!C887</f>
        <v>0</v>
      </c>
      <c r="D887" s="212" t="str">
        <f>COMPOSICIÓN!D887</f>
        <v>EQ-PTO038</v>
      </c>
      <c r="E887" s="212" t="str">
        <f>COMPOSICIÓN!E887</f>
        <v>Herramientas menores y consumibles - Muro tipo 5 - Bloque HCCA e: 7,5 cm</v>
      </c>
      <c r="F887" s="212">
        <f>COMPOSICIÓN!F887</f>
        <v>0</v>
      </c>
      <c r="G887" s="213">
        <f>COMPOSICIÓN!G887</f>
        <v>1</v>
      </c>
      <c r="H887" s="214">
        <f>COMPOSICIÓN!H887</f>
        <v>0</v>
      </c>
      <c r="I887" s="215">
        <f>COMPOSICIÓN!I887</f>
        <v>409.54162235694002</v>
      </c>
      <c r="J887" s="212" t="str">
        <f>IFERROR(VLOOKUP(A887,PARTIDAS!$A$2:$C$269,3,FALSE()),"")</f>
        <v>MAMPOSTERÍA</v>
      </c>
      <c r="K887" s="212" t="str">
        <f>IFERROR(INDEX(PPTO_GENERADOR!$B$4:$B$220,MATCH(A887,PPTO_GENERADOR!$Q$4:$Q$220,0)),"")</f>
        <v>MAMPOSTERÍA</v>
      </c>
      <c r="L887" s="216">
        <f>IF(PLAN_ETAPA!$C$4="(TODOS)",SUMIFS(PPTO_GENERADOR!$E$4:$E$220,PPTO_GENERADOR!$Q$4:$Q$220,A887),SUMIFS(PPTO_GENERADOR!$E$4:$E$220,PPTO_GENERADOR!$Q$4:$Q$220,A887,PPTO_GENERADOR!$B$4:$B$220,PLAN_ETAPA!$C$4))</f>
        <v>70</v>
      </c>
      <c r="M887" s="216">
        <f>IFERROR(VLOOKUP(A887,PARTIDAS!$A$2:$F$269,6,FALSE()),1)</f>
        <v>1</v>
      </c>
      <c r="N887" s="216">
        <f>IFERROR(VLOOKUP(A887,PARTIDAS!$A$2:$I$269,9,FALSE()),1)</f>
        <v>1</v>
      </c>
      <c r="O887" s="217">
        <f t="shared" si="26"/>
        <v>1</v>
      </c>
      <c r="P887" s="216">
        <f>IF(O887=0,0,IF(B887="MAT",G887*(1+H887)*L887*PLAN_ETAPA!$C$5,IF(B887="MO",IF(M887=0,0,G887*L887*PLAN_ETAPA!$C$5*N887/M887),IF(B887="EQ",IF(M887=0,0,G887*L887*PLAN_ETAPA!$C$5/M887),0))))</f>
        <v>70</v>
      </c>
      <c r="Q887" s="218">
        <f t="shared" si="27"/>
        <v>28667.9135649858</v>
      </c>
    </row>
    <row r="888" spans="1:17" x14ac:dyDescent="0.35">
      <c r="A888" s="212" t="str">
        <f>COMPOSICIÓN!A888</f>
        <v>PTO-0405</v>
      </c>
      <c r="B888" s="212" t="str">
        <f>COMPOSICIÓN!B888</f>
        <v>MAT</v>
      </c>
      <c r="C888" s="212" t="str">
        <f>COMPOSICIÓN!C888</f>
        <v>COR</v>
      </c>
      <c r="D888" s="212" t="str">
        <f>COMPOSICIÓN!D888</f>
        <v>BLO-004</v>
      </c>
      <c r="E888" s="212" t="str">
        <f>COMPOSICIÓN!E888</f>
        <v>Bloque HCCA Brimax 7,5 x 20 x 60</v>
      </c>
      <c r="F888" s="212" t="str">
        <f>COMPOSICIÓN!F888</f>
        <v>u</v>
      </c>
      <c r="G888" s="213">
        <f>COMPOSICIÓN!G888</f>
        <v>8.5</v>
      </c>
      <c r="H888" s="214">
        <f>COMPOSICIÓN!H888</f>
        <v>0</v>
      </c>
      <c r="I888" s="215">
        <f>COMPOSICIÓN!I888</f>
        <v>1516.11</v>
      </c>
      <c r="J888" s="212" t="str">
        <f>IFERROR(VLOOKUP(A888,PARTIDAS!$A$2:$C$269,3,FALSE()),"")</f>
        <v>MAMPOSTERÍA</v>
      </c>
      <c r="K888" s="212" t="str">
        <f>IFERROR(INDEX(PPTO_GENERADOR!$B$4:$B$220,MATCH(A888,PPTO_GENERADOR!$Q$4:$Q$220,0)),"")</f>
        <v>MAMPOSTERÍA</v>
      </c>
      <c r="L888" s="216">
        <f>IF(PLAN_ETAPA!$C$4="(TODOS)",SUMIFS(PPTO_GENERADOR!$E$4:$E$220,PPTO_GENERADOR!$Q$4:$Q$220,A888),SUMIFS(PPTO_GENERADOR!$E$4:$E$220,PPTO_GENERADOR!$Q$4:$Q$220,A888,PPTO_GENERADOR!$B$4:$B$220,PLAN_ETAPA!$C$4))</f>
        <v>70</v>
      </c>
      <c r="M888" s="216">
        <f>IFERROR(VLOOKUP(A888,PARTIDAS!$A$2:$F$269,6,FALSE()),1)</f>
        <v>1</v>
      </c>
      <c r="N888" s="216">
        <f>IFERROR(VLOOKUP(A888,PARTIDAS!$A$2:$I$269,9,FALSE()),1)</f>
        <v>1</v>
      </c>
      <c r="O888" s="217">
        <f t="shared" si="26"/>
        <v>1</v>
      </c>
      <c r="P888" s="216">
        <f>IF(O888=0,0,IF(B888="MAT",G888*(1+H888)*L888*PLAN_ETAPA!$C$5,IF(B888="MO",IF(M888=0,0,G888*L888*PLAN_ETAPA!$C$5*N888/M888),IF(B888="EQ",IF(M888=0,0,G888*L888*PLAN_ETAPA!$C$5/M888),0))))</f>
        <v>595</v>
      </c>
      <c r="Q888" s="218">
        <f t="shared" si="27"/>
        <v>902085.45</v>
      </c>
    </row>
    <row r="889" spans="1:17" x14ac:dyDescent="0.35">
      <c r="A889" s="212" t="str">
        <f>COMPOSICIÓN!A889</f>
        <v>PTO-0405</v>
      </c>
      <c r="B889" s="212" t="str">
        <f>COMPOSICIÓN!B889</f>
        <v>MAT</v>
      </c>
      <c r="C889" s="212" t="str">
        <f>COMPOSICIÓN!C889</f>
        <v>COR</v>
      </c>
      <c r="D889" s="212" t="str">
        <f>COMPOSICIÓN!D889</f>
        <v>MAT-CONS</v>
      </c>
      <c r="E889" s="212" t="str">
        <f>COMPOSICIÓN!E889</f>
        <v>Consumibles</v>
      </c>
      <c r="F889" s="212" t="str">
        <f>COMPOSICIÓN!F889</f>
        <v>gl</v>
      </c>
      <c r="G889" s="213">
        <f>COMPOSICIÓN!G889</f>
        <v>2660.95511429</v>
      </c>
      <c r="H889" s="214">
        <f>COMPOSICIÓN!H889</f>
        <v>0</v>
      </c>
      <c r="I889" s="215">
        <f>COMPOSICIÓN!I889</f>
        <v>1</v>
      </c>
      <c r="J889" s="212" t="str">
        <f>IFERROR(VLOOKUP(A889,PARTIDAS!$A$2:$C$269,3,FALSE()),"")</f>
        <v>MAMPOSTERÍA</v>
      </c>
      <c r="K889" s="212" t="str">
        <f>IFERROR(INDEX(PPTO_GENERADOR!$B$4:$B$220,MATCH(A889,PPTO_GENERADOR!$Q$4:$Q$220,0)),"")</f>
        <v>MAMPOSTERÍA</v>
      </c>
      <c r="L889" s="216">
        <f>IF(PLAN_ETAPA!$C$4="(TODOS)",SUMIFS(PPTO_GENERADOR!$E$4:$E$220,PPTO_GENERADOR!$Q$4:$Q$220,A889),SUMIFS(PPTO_GENERADOR!$E$4:$E$220,PPTO_GENERADOR!$Q$4:$Q$220,A889,PPTO_GENERADOR!$B$4:$B$220,PLAN_ETAPA!$C$4))</f>
        <v>70</v>
      </c>
      <c r="M889" s="216">
        <f>IFERROR(VLOOKUP(A889,PARTIDAS!$A$2:$F$269,6,FALSE()),1)</f>
        <v>1</v>
      </c>
      <c r="N889" s="216">
        <f>IFERROR(VLOOKUP(A889,PARTIDAS!$A$2:$I$269,9,FALSE()),1)</f>
        <v>1</v>
      </c>
      <c r="O889" s="217">
        <f t="shared" si="26"/>
        <v>1</v>
      </c>
      <c r="P889" s="216">
        <f>IF(O889=0,0,IF(B889="MAT",G889*(1+H889)*L889*PLAN_ETAPA!$C$5,IF(B889="MO",IF(M889=0,0,G889*L889*PLAN_ETAPA!$C$5*N889/M889),IF(B889="EQ",IF(M889=0,0,G889*L889*PLAN_ETAPA!$C$5/M889),0))))</f>
        <v>186266.85800030001</v>
      </c>
      <c r="Q889" s="218">
        <f t="shared" si="27"/>
        <v>186266.85800030001</v>
      </c>
    </row>
    <row r="890" spans="1:17" x14ac:dyDescent="0.35">
      <c r="A890" s="212" t="str">
        <f>COMPOSICIÓN!A890</f>
        <v>PTO-0405</v>
      </c>
      <c r="B890" s="212" t="str">
        <f>COMPOSICIÓN!B890</f>
        <v>MAT</v>
      </c>
      <c r="C890" s="212" t="str">
        <f>COMPOSICIÓN!C890</f>
        <v>COR</v>
      </c>
      <c r="D890" s="212" t="str">
        <f>COMPOSICIÓN!D890</f>
        <v>OTR-PTO042</v>
      </c>
      <c r="E890" s="212" t="str">
        <f>COMPOSICIÓN!E890</f>
        <v>Hierro del 6</v>
      </c>
      <c r="F890" s="212" t="str">
        <f>COMPOSICIÓN!F890</f>
        <v>kg</v>
      </c>
      <c r="G890" s="213">
        <f>COMPOSICIÓN!G890</f>
        <v>0.17142857142857101</v>
      </c>
      <c r="H890" s="214">
        <f>COMPOSICIÓN!H890</f>
        <v>0</v>
      </c>
      <c r="I890" s="215">
        <f>COMPOSICIÓN!I890</f>
        <v>1704.41</v>
      </c>
      <c r="J890" s="212" t="str">
        <f>IFERROR(VLOOKUP(A890,PARTIDAS!$A$2:$C$269,3,FALSE()),"")</f>
        <v>MAMPOSTERÍA</v>
      </c>
      <c r="K890" s="212" t="str">
        <f>IFERROR(INDEX(PPTO_GENERADOR!$B$4:$B$220,MATCH(A890,PPTO_GENERADOR!$Q$4:$Q$220,0)),"")</f>
        <v>MAMPOSTERÍA</v>
      </c>
      <c r="L890" s="216">
        <f>IF(PLAN_ETAPA!$C$4="(TODOS)",SUMIFS(PPTO_GENERADOR!$E$4:$E$220,PPTO_GENERADOR!$Q$4:$Q$220,A890),SUMIFS(PPTO_GENERADOR!$E$4:$E$220,PPTO_GENERADOR!$Q$4:$Q$220,A890,PPTO_GENERADOR!$B$4:$B$220,PLAN_ETAPA!$C$4))</f>
        <v>70</v>
      </c>
      <c r="M890" s="216">
        <f>IFERROR(VLOOKUP(A890,PARTIDAS!$A$2:$F$269,6,FALSE()),1)</f>
        <v>1</v>
      </c>
      <c r="N890" s="216">
        <f>IFERROR(VLOOKUP(A890,PARTIDAS!$A$2:$I$269,9,FALSE()),1)</f>
        <v>1</v>
      </c>
      <c r="O890" s="217">
        <f t="shared" si="26"/>
        <v>1</v>
      </c>
      <c r="P890" s="216">
        <f>IF(O890=0,0,IF(B890="MAT",G890*(1+H890)*L890*PLAN_ETAPA!$C$5,IF(B890="MO",IF(M890=0,0,G890*L890*PLAN_ETAPA!$C$5*N890/M890),IF(B890="EQ",IF(M890=0,0,G890*L890*PLAN_ETAPA!$C$5/M890),0))))</f>
        <v>11.999999999999972</v>
      </c>
      <c r="Q890" s="218">
        <f t="shared" si="27"/>
        <v>20452.919999999951</v>
      </c>
    </row>
    <row r="891" spans="1:17" x14ac:dyDescent="0.35">
      <c r="A891" s="212" t="str">
        <f>COMPOSICIÓN!A891</f>
        <v>PTO-0405</v>
      </c>
      <c r="B891" s="212" t="str">
        <f>COMPOSICIÓN!B891</f>
        <v>MAT</v>
      </c>
      <c r="C891" s="212" t="str">
        <f>COMPOSICIÓN!C891</f>
        <v>COR</v>
      </c>
      <c r="D891" s="212" t="str">
        <f>COMPOSICIÓN!D891</f>
        <v>OTR-PTO062</v>
      </c>
      <c r="E891" s="212" t="str">
        <f>COMPOSICIÓN!E891</f>
        <v>Weber celublock x 30 kg</v>
      </c>
      <c r="F891" s="212" t="str">
        <f>COMPOSICIÓN!F891</f>
        <v>bol</v>
      </c>
      <c r="G891" s="213">
        <f>COMPOSICIÓN!G891</f>
        <v>0.1</v>
      </c>
      <c r="H891" s="214">
        <f>COMPOSICIÓN!H891</f>
        <v>0</v>
      </c>
      <c r="I891" s="215">
        <f>COMPOSICIÓN!I891</f>
        <v>9778.66</v>
      </c>
      <c r="J891" s="212" t="str">
        <f>IFERROR(VLOOKUP(A891,PARTIDAS!$A$2:$C$269,3,FALSE()),"")</f>
        <v>MAMPOSTERÍA</v>
      </c>
      <c r="K891" s="212" t="str">
        <f>IFERROR(INDEX(PPTO_GENERADOR!$B$4:$B$220,MATCH(A891,PPTO_GENERADOR!$Q$4:$Q$220,0)),"")</f>
        <v>MAMPOSTERÍA</v>
      </c>
      <c r="L891" s="216">
        <f>IF(PLAN_ETAPA!$C$4="(TODOS)",SUMIFS(PPTO_GENERADOR!$E$4:$E$220,PPTO_GENERADOR!$Q$4:$Q$220,A891),SUMIFS(PPTO_GENERADOR!$E$4:$E$220,PPTO_GENERADOR!$Q$4:$Q$220,A891,PPTO_GENERADOR!$B$4:$B$220,PLAN_ETAPA!$C$4))</f>
        <v>70</v>
      </c>
      <c r="M891" s="216">
        <f>IFERROR(VLOOKUP(A891,PARTIDAS!$A$2:$F$269,6,FALSE()),1)</f>
        <v>1</v>
      </c>
      <c r="N891" s="216">
        <f>IFERROR(VLOOKUP(A891,PARTIDAS!$A$2:$I$269,9,FALSE()),1)</f>
        <v>1</v>
      </c>
      <c r="O891" s="217">
        <f t="shared" si="26"/>
        <v>1</v>
      </c>
      <c r="P891" s="216">
        <f>IF(O891=0,0,IF(B891="MAT",G891*(1+H891)*L891*PLAN_ETAPA!$C$5,IF(B891="MO",IF(M891=0,0,G891*L891*PLAN_ETAPA!$C$5*N891/M891),IF(B891="EQ",IF(M891=0,0,G891*L891*PLAN_ETAPA!$C$5/M891),0))))</f>
        <v>7</v>
      </c>
      <c r="Q891" s="218">
        <f t="shared" si="27"/>
        <v>68450.62</v>
      </c>
    </row>
    <row r="892" spans="1:17" x14ac:dyDescent="0.35">
      <c r="A892" s="212" t="str">
        <f>COMPOSICIÓN!A892</f>
        <v>PTO-0405</v>
      </c>
      <c r="B892" s="212" t="str">
        <f>COMPOSICIÓN!B892</f>
        <v>MO</v>
      </c>
      <c r="C892" s="212" t="str">
        <f>COMPOSICIÓN!C892</f>
        <v>ALB</v>
      </c>
      <c r="D892" s="212" t="str">
        <f>COMPOSICIÓN!D892</f>
        <v>MO-EAYUD</v>
      </c>
      <c r="E892" s="212" t="str">
        <f>COMPOSICIÓN!E892</f>
        <v>AYUDANTE</v>
      </c>
      <c r="F892" s="212" t="str">
        <f>COMPOSICIÓN!F892</f>
        <v>j</v>
      </c>
      <c r="G892" s="213">
        <f>COMPOSICIÓN!G892</f>
        <v>7.1428571428571397E-2</v>
      </c>
      <c r="H892" s="214">
        <f>COMPOSICIÓN!H892</f>
        <v>0</v>
      </c>
      <c r="I892" s="215">
        <f>COMPOSICIÓN!I892</f>
        <v>60860.580776572002</v>
      </c>
      <c r="J892" s="212" t="str">
        <f>IFERROR(VLOOKUP(A892,PARTIDAS!$A$2:$C$269,3,FALSE()),"")</f>
        <v>MAMPOSTERÍA</v>
      </c>
      <c r="K892" s="212" t="str">
        <f>IFERROR(INDEX(PPTO_GENERADOR!$B$4:$B$220,MATCH(A892,PPTO_GENERADOR!$Q$4:$Q$220,0)),"")</f>
        <v>MAMPOSTERÍA</v>
      </c>
      <c r="L892" s="216">
        <f>IF(PLAN_ETAPA!$C$4="(TODOS)",SUMIFS(PPTO_GENERADOR!$E$4:$E$220,PPTO_GENERADOR!$Q$4:$Q$220,A892),SUMIFS(PPTO_GENERADOR!$E$4:$E$220,PPTO_GENERADOR!$Q$4:$Q$220,A892,PPTO_GENERADOR!$B$4:$B$220,PLAN_ETAPA!$C$4))</f>
        <v>70</v>
      </c>
      <c r="M892" s="216">
        <f>IFERROR(VLOOKUP(A892,PARTIDAS!$A$2:$F$269,6,FALSE()),1)</f>
        <v>1</v>
      </c>
      <c r="N892" s="216">
        <f>IFERROR(VLOOKUP(A892,PARTIDAS!$A$2:$I$269,9,FALSE()),1)</f>
        <v>1</v>
      </c>
      <c r="O892" s="217">
        <f t="shared" si="26"/>
        <v>1</v>
      </c>
      <c r="P892" s="216">
        <f>IF(O892=0,0,IF(B892="MAT",G892*(1+H892)*L892*PLAN_ETAPA!$C$5,IF(B892="MO",IF(M892=0,0,G892*L892*PLAN_ETAPA!$C$5*N892/M892),IF(B892="EQ",IF(M892=0,0,G892*L892*PLAN_ETAPA!$C$5/M892),0))))</f>
        <v>4.9999999999999982</v>
      </c>
      <c r="Q892" s="218">
        <f t="shared" si="27"/>
        <v>304302.90388285992</v>
      </c>
    </row>
    <row r="893" spans="1:17" x14ac:dyDescent="0.35">
      <c r="A893" s="212" t="str">
        <f>COMPOSICIÓN!A893</f>
        <v>PTO-0405</v>
      </c>
      <c r="B893" s="212" t="str">
        <f>COMPOSICIÓN!B893</f>
        <v>MO</v>
      </c>
      <c r="C893" s="212" t="str">
        <f>COMPOSICIÓN!C893</f>
        <v>ALB</v>
      </c>
      <c r="D893" s="212" t="str">
        <f>COMPOSICIÓN!D893</f>
        <v>MO-EESPE</v>
      </c>
      <c r="E893" s="212" t="str">
        <f>COMPOSICIÓN!E893</f>
        <v>ESPECIALIZADO</v>
      </c>
      <c r="F893" s="212" t="str">
        <f>COMPOSICIÓN!F893</f>
        <v>j</v>
      </c>
      <c r="G893" s="213">
        <f>COMPOSICIÓN!G893</f>
        <v>7.1428571428571397E-2</v>
      </c>
      <c r="H893" s="214">
        <f>COMPOSICIÓN!H893</f>
        <v>0</v>
      </c>
      <c r="I893" s="215">
        <f>COMPOSICIÓN!I893</f>
        <v>85927.097156571996</v>
      </c>
      <c r="J893" s="212" t="str">
        <f>IFERROR(VLOOKUP(A893,PARTIDAS!$A$2:$C$269,3,FALSE()),"")</f>
        <v>MAMPOSTERÍA</v>
      </c>
      <c r="K893" s="212" t="str">
        <f>IFERROR(INDEX(PPTO_GENERADOR!$B$4:$B$220,MATCH(A893,PPTO_GENERADOR!$Q$4:$Q$220,0)),"")</f>
        <v>MAMPOSTERÍA</v>
      </c>
      <c r="L893" s="216">
        <f>IF(PLAN_ETAPA!$C$4="(TODOS)",SUMIFS(PPTO_GENERADOR!$E$4:$E$220,PPTO_GENERADOR!$Q$4:$Q$220,A893),SUMIFS(PPTO_GENERADOR!$E$4:$E$220,PPTO_GENERADOR!$Q$4:$Q$220,A893,PPTO_GENERADOR!$B$4:$B$220,PLAN_ETAPA!$C$4))</f>
        <v>70</v>
      </c>
      <c r="M893" s="216">
        <f>IFERROR(VLOOKUP(A893,PARTIDAS!$A$2:$F$269,6,FALSE()),1)</f>
        <v>1</v>
      </c>
      <c r="N893" s="216">
        <f>IFERROR(VLOOKUP(A893,PARTIDAS!$A$2:$I$269,9,FALSE()),1)</f>
        <v>1</v>
      </c>
      <c r="O893" s="217">
        <f t="shared" si="26"/>
        <v>1</v>
      </c>
      <c r="P893" s="216">
        <f>IF(O893=0,0,IF(B893="MAT",G893*(1+H893)*L893*PLAN_ETAPA!$C$5,IF(B893="MO",IF(M893=0,0,G893*L893*PLAN_ETAPA!$C$5*N893/M893),IF(B893="EQ",IF(M893=0,0,G893*L893*PLAN_ETAPA!$C$5/M893),0))))</f>
        <v>4.9999999999999982</v>
      </c>
      <c r="Q893" s="218">
        <f t="shared" si="27"/>
        <v>429635.48578285985</v>
      </c>
    </row>
    <row r="894" spans="1:17" x14ac:dyDescent="0.35">
      <c r="A894" s="212" t="str">
        <f>COMPOSICIÓN!A894</f>
        <v>PTO-0406</v>
      </c>
      <c r="B894" s="212" t="str">
        <f>COMPOSICIÓN!B894</f>
        <v>EQ</v>
      </c>
      <c r="C894" s="212">
        <f>COMPOSICIÓN!C894</f>
        <v>0</v>
      </c>
      <c r="D894" s="212" t="str">
        <f>COMPOSICIÓN!D894</f>
        <v>EQ-ANDAM0</v>
      </c>
      <c r="E894" s="212" t="str">
        <f>COMPOSICIÓN!E894</f>
        <v>ANDAMIO TUBULAR DE UNO A TRES CUERPOS</v>
      </c>
      <c r="F894" s="212">
        <f>COMPOSICIÓN!F894</f>
        <v>0</v>
      </c>
      <c r="G894" s="213">
        <f>COMPOSICIÓN!G894</f>
        <v>0.5</v>
      </c>
      <c r="H894" s="214">
        <f>COMPOSICIÓN!H894</f>
        <v>0</v>
      </c>
      <c r="I894" s="215">
        <f>COMPOSICIÓN!I894</f>
        <v>571.1794909807611</v>
      </c>
      <c r="J894" s="212" t="str">
        <f>IFERROR(VLOOKUP(A894,PARTIDAS!$A$2:$C$269,3,FALSE()),"")</f>
        <v>MAMPOSTERÍA</v>
      </c>
      <c r="K894" s="212" t="str">
        <f>IFERROR(INDEX(PPTO_GENERADOR!$B$4:$B$220,MATCH(A894,PPTO_GENERADOR!$Q$4:$Q$220,0)),"")</f>
        <v/>
      </c>
      <c r="L894" s="216">
        <f>IF(PLAN_ETAPA!$C$4="(TODOS)",SUMIFS(PPTO_GENERADOR!$E$4:$E$220,PPTO_GENERADOR!$Q$4:$Q$220,A894),SUMIFS(PPTO_GENERADOR!$E$4:$E$220,PPTO_GENERADOR!$Q$4:$Q$220,A894,PPTO_GENERADOR!$B$4:$B$220,PLAN_ETAPA!$C$4))</f>
        <v>0</v>
      </c>
      <c r="M894" s="216">
        <f>IFERROR(VLOOKUP(A894,PARTIDAS!$A$2:$F$269,6,FALSE()),1)</f>
        <v>15</v>
      </c>
      <c r="N894" s="216">
        <f>IFERROR(VLOOKUP(A894,PARTIDAS!$A$2:$I$269,9,FALSE()),1)</f>
        <v>1</v>
      </c>
      <c r="O894" s="217">
        <f t="shared" si="26"/>
        <v>0</v>
      </c>
      <c r="P894" s="216">
        <f>IF(O894=0,0,IF(B894="MAT",G894*(1+H894)*L894*PLAN_ETAPA!$C$5,IF(B894="MO",IF(M894=0,0,G894*L894*PLAN_ETAPA!$C$5*N894/M894),IF(B894="EQ",IF(M894=0,0,G894*L894*PLAN_ETAPA!$C$5/M894),0))))</f>
        <v>0</v>
      </c>
      <c r="Q894" s="218">
        <f t="shared" si="27"/>
        <v>0</v>
      </c>
    </row>
    <row r="895" spans="1:17" x14ac:dyDescent="0.35">
      <c r="A895" s="212" t="str">
        <f>COMPOSICIÓN!A895</f>
        <v>PTO-0406</v>
      </c>
      <c r="B895" s="212" t="str">
        <f>COMPOSICIÓN!B895</f>
        <v>EQ</v>
      </c>
      <c r="C895" s="212">
        <f>COMPOSICIÓN!C895</f>
        <v>0</v>
      </c>
      <c r="D895" s="212" t="str">
        <f>COMPOSICIÓN!D895</f>
        <v>EQ-EQALBA</v>
      </c>
      <c r="E895" s="212" t="str">
        <f>COMPOSICIÓN!E895</f>
        <v>EQUIPO DE ALBAÑILERIA, carpetas, ladrillo</v>
      </c>
      <c r="F895" s="212">
        <f>COMPOSICIÓN!F895</f>
        <v>0</v>
      </c>
      <c r="G895" s="213">
        <f>COMPOSICIÓN!G895</f>
        <v>1</v>
      </c>
      <c r="H895" s="214">
        <f>COMPOSICIÓN!H895</f>
        <v>0</v>
      </c>
      <c r="I895" s="215">
        <f>COMPOSICIÓN!I895</f>
        <v>2287.1357450968057</v>
      </c>
      <c r="J895" s="212" t="str">
        <f>IFERROR(VLOOKUP(A895,PARTIDAS!$A$2:$C$269,3,FALSE()),"")</f>
        <v>MAMPOSTERÍA</v>
      </c>
      <c r="K895" s="212" t="str">
        <f>IFERROR(INDEX(PPTO_GENERADOR!$B$4:$B$220,MATCH(A895,PPTO_GENERADOR!$Q$4:$Q$220,0)),"")</f>
        <v/>
      </c>
      <c r="L895" s="216">
        <f>IF(PLAN_ETAPA!$C$4="(TODOS)",SUMIFS(PPTO_GENERADOR!$E$4:$E$220,PPTO_GENERADOR!$Q$4:$Q$220,A895),SUMIFS(PPTO_GENERADOR!$E$4:$E$220,PPTO_GENERADOR!$Q$4:$Q$220,A895,PPTO_GENERADOR!$B$4:$B$220,PLAN_ETAPA!$C$4))</f>
        <v>0</v>
      </c>
      <c r="M895" s="216">
        <f>IFERROR(VLOOKUP(A895,PARTIDAS!$A$2:$F$269,6,FALSE()),1)</f>
        <v>15</v>
      </c>
      <c r="N895" s="216">
        <f>IFERROR(VLOOKUP(A895,PARTIDAS!$A$2:$I$269,9,FALSE()),1)</f>
        <v>1</v>
      </c>
      <c r="O895" s="217">
        <f t="shared" si="26"/>
        <v>0</v>
      </c>
      <c r="P895" s="216">
        <f>IF(O895=0,0,IF(B895="MAT",G895*(1+H895)*L895*PLAN_ETAPA!$C$5,IF(B895="MO",IF(M895=0,0,G895*L895*PLAN_ETAPA!$C$5*N895/M895),IF(B895="EQ",IF(M895=0,0,G895*L895*PLAN_ETAPA!$C$5/M895),0))))</f>
        <v>0</v>
      </c>
      <c r="Q895" s="218">
        <f t="shared" si="27"/>
        <v>0</v>
      </c>
    </row>
    <row r="896" spans="1:17" x14ac:dyDescent="0.35">
      <c r="A896" s="212" t="str">
        <f>COMPOSICIÓN!A896</f>
        <v>PTO-0406</v>
      </c>
      <c r="B896" s="212" t="str">
        <f>COMPOSICIÓN!B896</f>
        <v>EQ</v>
      </c>
      <c r="C896" s="212">
        <f>COMPOSICIÓN!C896</f>
        <v>0</v>
      </c>
      <c r="D896" s="212" t="str">
        <f>COMPOSICIÓN!D896</f>
        <v>EQ-TROMPO</v>
      </c>
      <c r="E896" s="212" t="str">
        <f>COMPOSICIÓN!E896</f>
        <v>Hormigonera De 150 Litros 1hp Con Rueda Maciza</v>
      </c>
      <c r="F896" s="212">
        <f>COMPOSICIÓN!F896</f>
        <v>0</v>
      </c>
      <c r="G896" s="213">
        <f>COMPOSICIÓN!G896</f>
        <v>1</v>
      </c>
      <c r="H896" s="214">
        <f>COMPOSICIÓN!H896</f>
        <v>0</v>
      </c>
      <c r="I896" s="215">
        <f>COMPOSICIÓN!I896</f>
        <v>957.25319614994726</v>
      </c>
      <c r="J896" s="212" t="str">
        <f>IFERROR(VLOOKUP(A896,PARTIDAS!$A$2:$C$269,3,FALSE()),"")</f>
        <v>MAMPOSTERÍA</v>
      </c>
      <c r="K896" s="212" t="str">
        <f>IFERROR(INDEX(PPTO_GENERADOR!$B$4:$B$220,MATCH(A896,PPTO_GENERADOR!$Q$4:$Q$220,0)),"")</f>
        <v/>
      </c>
      <c r="L896" s="216">
        <f>IF(PLAN_ETAPA!$C$4="(TODOS)",SUMIFS(PPTO_GENERADOR!$E$4:$E$220,PPTO_GENERADOR!$Q$4:$Q$220,A896),SUMIFS(PPTO_GENERADOR!$E$4:$E$220,PPTO_GENERADOR!$Q$4:$Q$220,A896,PPTO_GENERADOR!$B$4:$B$220,PLAN_ETAPA!$C$4))</f>
        <v>0</v>
      </c>
      <c r="M896" s="216">
        <f>IFERROR(VLOOKUP(A896,PARTIDAS!$A$2:$F$269,6,FALSE()),1)</f>
        <v>15</v>
      </c>
      <c r="N896" s="216">
        <f>IFERROR(VLOOKUP(A896,PARTIDAS!$A$2:$I$269,9,FALSE()),1)</f>
        <v>1</v>
      </c>
      <c r="O896" s="217">
        <f t="shared" si="26"/>
        <v>0</v>
      </c>
      <c r="P896" s="216">
        <f>IF(O896=0,0,IF(B896="MAT",G896*(1+H896)*L896*PLAN_ETAPA!$C$5,IF(B896="MO",IF(M896=0,0,G896*L896*PLAN_ETAPA!$C$5*N896/M896),IF(B896="EQ",IF(M896=0,0,G896*L896*PLAN_ETAPA!$C$5/M896),0))))</f>
        <v>0</v>
      </c>
      <c r="Q896" s="218">
        <f t="shared" si="27"/>
        <v>0</v>
      </c>
    </row>
    <row r="897" spans="1:17" x14ac:dyDescent="0.35">
      <c r="A897" s="212" t="str">
        <f>COMPOSICIÓN!A897</f>
        <v>PTO-0406</v>
      </c>
      <c r="B897" s="212" t="str">
        <f>COMPOSICIÓN!B897</f>
        <v>MAT</v>
      </c>
      <c r="C897" s="212" t="str">
        <f>COMPOSICIÓN!C897</f>
        <v>OTR</v>
      </c>
      <c r="D897" s="212" t="str">
        <f>COMPOSICIÓN!D897</f>
        <v>ACE-001</v>
      </c>
      <c r="E897" s="212" t="str">
        <f>COMPOSICIÓN!E897</f>
        <v>Barra de Acero Aleteado - 6mm x 12m</v>
      </c>
      <c r="F897" s="212" t="str">
        <f>COMPOSICIÓN!F897</f>
        <v>u</v>
      </c>
      <c r="G897" s="213">
        <f>COMPOSICIÓN!G897</f>
        <v>0.17</v>
      </c>
      <c r="H897" s="214">
        <f>COMPOSICIÓN!H897</f>
        <v>0.1</v>
      </c>
      <c r="I897" s="215">
        <f>COMPOSICIÓN!I897</f>
        <v>3424.53</v>
      </c>
      <c r="J897" s="212" t="str">
        <f>IFERROR(VLOOKUP(A897,PARTIDAS!$A$2:$C$269,3,FALSE()),"")</f>
        <v>MAMPOSTERÍA</v>
      </c>
      <c r="K897" s="212" t="str">
        <f>IFERROR(INDEX(PPTO_GENERADOR!$B$4:$B$220,MATCH(A897,PPTO_GENERADOR!$Q$4:$Q$220,0)),"")</f>
        <v/>
      </c>
      <c r="L897" s="216">
        <f>IF(PLAN_ETAPA!$C$4="(TODOS)",SUMIFS(PPTO_GENERADOR!$E$4:$E$220,PPTO_GENERADOR!$Q$4:$Q$220,A897),SUMIFS(PPTO_GENERADOR!$E$4:$E$220,PPTO_GENERADOR!$Q$4:$Q$220,A897,PPTO_GENERADOR!$B$4:$B$220,PLAN_ETAPA!$C$4))</f>
        <v>0</v>
      </c>
      <c r="M897" s="216">
        <f>IFERROR(VLOOKUP(A897,PARTIDAS!$A$2:$F$269,6,FALSE()),1)</f>
        <v>15</v>
      </c>
      <c r="N897" s="216">
        <f>IFERROR(VLOOKUP(A897,PARTIDAS!$A$2:$I$269,9,FALSE()),1)</f>
        <v>1</v>
      </c>
      <c r="O897" s="217">
        <f t="shared" si="26"/>
        <v>0</v>
      </c>
      <c r="P897" s="216">
        <f>IF(O897=0,0,IF(B897="MAT",G897*(1+H897)*L897*PLAN_ETAPA!$C$5,IF(B897="MO",IF(M897=0,0,G897*L897*PLAN_ETAPA!$C$5*N897/M897),IF(B897="EQ",IF(M897=0,0,G897*L897*PLAN_ETAPA!$C$5/M897),0))))</f>
        <v>0</v>
      </c>
      <c r="Q897" s="218">
        <f t="shared" si="27"/>
        <v>0</v>
      </c>
    </row>
    <row r="898" spans="1:17" x14ac:dyDescent="0.35">
      <c r="A898" s="212" t="str">
        <f>COMPOSICIÓN!A898</f>
        <v>PTO-0406</v>
      </c>
      <c r="B898" s="212" t="str">
        <f>COMPOSICIÓN!B898</f>
        <v>MAT</v>
      </c>
      <c r="C898" s="212" t="str">
        <f>COMPOSICIÓN!C898</f>
        <v>OTR</v>
      </c>
      <c r="D898" s="212" t="str">
        <f>COMPOSICIÓN!D898</f>
        <v>AGR-001</v>
      </c>
      <c r="E898" s="212" t="str">
        <f>COMPOSICIÓN!E898</f>
        <v>ARENA LAVADA</v>
      </c>
      <c r="F898" s="212" t="str">
        <f>COMPOSICIÓN!F898</f>
        <v>m3</v>
      </c>
      <c r="G898" s="213">
        <f>COMPOSICIÓN!G898</f>
        <v>2.4E-2</v>
      </c>
      <c r="H898" s="214">
        <f>COMPOSICIÓN!H898</f>
        <v>0.1</v>
      </c>
      <c r="I898" s="215">
        <f>COMPOSICIÓN!I898</f>
        <v>32399.77</v>
      </c>
      <c r="J898" s="212" t="str">
        <f>IFERROR(VLOOKUP(A898,PARTIDAS!$A$2:$C$269,3,FALSE()),"")</f>
        <v>MAMPOSTERÍA</v>
      </c>
      <c r="K898" s="212" t="str">
        <f>IFERROR(INDEX(PPTO_GENERADOR!$B$4:$B$220,MATCH(A898,PPTO_GENERADOR!$Q$4:$Q$220,0)),"")</f>
        <v/>
      </c>
      <c r="L898" s="216">
        <f>IF(PLAN_ETAPA!$C$4="(TODOS)",SUMIFS(PPTO_GENERADOR!$E$4:$E$220,PPTO_GENERADOR!$Q$4:$Q$220,A898),SUMIFS(PPTO_GENERADOR!$E$4:$E$220,PPTO_GENERADOR!$Q$4:$Q$220,A898,PPTO_GENERADOR!$B$4:$B$220,PLAN_ETAPA!$C$4))</f>
        <v>0</v>
      </c>
      <c r="M898" s="216">
        <f>IFERROR(VLOOKUP(A898,PARTIDAS!$A$2:$F$269,6,FALSE()),1)</f>
        <v>15</v>
      </c>
      <c r="N898" s="216">
        <f>IFERROR(VLOOKUP(A898,PARTIDAS!$A$2:$I$269,9,FALSE()),1)</f>
        <v>1</v>
      </c>
      <c r="O898" s="217">
        <f t="shared" ref="O898:O961" si="28">IF(L898&gt;0,1,0)</f>
        <v>0</v>
      </c>
      <c r="P898" s="216">
        <f>IF(O898=0,0,IF(B898="MAT",G898*(1+H898)*L898*PLAN_ETAPA!$C$5,IF(B898="MO",IF(M898=0,0,G898*L898*PLAN_ETAPA!$C$5*N898/M898),IF(B898="EQ",IF(M898=0,0,G898*L898*PLAN_ETAPA!$C$5/M898),0))))</f>
        <v>0</v>
      </c>
      <c r="Q898" s="218">
        <f t="shared" ref="Q898:Q961" si="29">P898*I898</f>
        <v>0</v>
      </c>
    </row>
    <row r="899" spans="1:17" x14ac:dyDescent="0.35">
      <c r="A899" s="212" t="str">
        <f>COMPOSICIÓN!A899</f>
        <v>PTO-0406</v>
      </c>
      <c r="B899" s="212" t="str">
        <f>COMPOSICIÓN!B899</f>
        <v>MAT</v>
      </c>
      <c r="C899" s="212" t="str">
        <f>COMPOSICIÓN!C899</f>
        <v>OTR</v>
      </c>
      <c r="D899" s="212" t="str">
        <f>COMPOSICIÓN!D899</f>
        <v>AGR-004</v>
      </c>
      <c r="E899" s="212" t="str">
        <f>COMPOSICIÓN!E899</f>
        <v>Cemento Portland x 50kg</v>
      </c>
      <c r="F899" s="212" t="str">
        <f>COMPOSICIÓN!F899</f>
        <v>Bol</v>
      </c>
      <c r="G899" s="213">
        <f>COMPOSICIÓN!G899</f>
        <v>0.1</v>
      </c>
      <c r="H899" s="214">
        <f>COMPOSICIÓN!H899</f>
        <v>0.1</v>
      </c>
      <c r="I899" s="215">
        <f>COMPOSICIÓN!I899</f>
        <v>7809.48</v>
      </c>
      <c r="J899" s="212" t="str">
        <f>IFERROR(VLOOKUP(A899,PARTIDAS!$A$2:$C$269,3,FALSE()),"")</f>
        <v>MAMPOSTERÍA</v>
      </c>
      <c r="K899" s="212" t="str">
        <f>IFERROR(INDEX(PPTO_GENERADOR!$B$4:$B$220,MATCH(A899,PPTO_GENERADOR!$Q$4:$Q$220,0)),"")</f>
        <v/>
      </c>
      <c r="L899" s="216">
        <f>IF(PLAN_ETAPA!$C$4="(TODOS)",SUMIFS(PPTO_GENERADOR!$E$4:$E$220,PPTO_GENERADOR!$Q$4:$Q$220,A899),SUMIFS(PPTO_GENERADOR!$E$4:$E$220,PPTO_GENERADOR!$Q$4:$Q$220,A899,PPTO_GENERADOR!$B$4:$B$220,PLAN_ETAPA!$C$4))</f>
        <v>0</v>
      </c>
      <c r="M899" s="216">
        <f>IFERROR(VLOOKUP(A899,PARTIDAS!$A$2:$F$269,6,FALSE()),1)</f>
        <v>15</v>
      </c>
      <c r="N899" s="216">
        <f>IFERROR(VLOOKUP(A899,PARTIDAS!$A$2:$I$269,9,FALSE()),1)</f>
        <v>1</v>
      </c>
      <c r="O899" s="217">
        <f t="shared" si="28"/>
        <v>0</v>
      </c>
      <c r="P899" s="216">
        <f>IF(O899=0,0,IF(B899="MAT",G899*(1+H899)*L899*PLAN_ETAPA!$C$5,IF(B899="MO",IF(M899=0,0,G899*L899*PLAN_ETAPA!$C$5*N899/M899),IF(B899="EQ",IF(M899=0,0,G899*L899*PLAN_ETAPA!$C$5/M899),0))))</f>
        <v>0</v>
      </c>
      <c r="Q899" s="218">
        <f t="shared" si="29"/>
        <v>0</v>
      </c>
    </row>
    <row r="900" spans="1:17" x14ac:dyDescent="0.35">
      <c r="A900" s="212" t="str">
        <f>COMPOSICIÓN!A900</f>
        <v>PTO-0406</v>
      </c>
      <c r="B900" s="212" t="str">
        <f>COMPOSICIÓN!B900</f>
        <v>MAT</v>
      </c>
      <c r="C900" s="212" t="str">
        <f>COMPOSICIÓN!C900</f>
        <v>OTR</v>
      </c>
      <c r="D900" s="212" t="str">
        <f>COMPOSICIÓN!D900</f>
        <v>AGR-005</v>
      </c>
      <c r="E900" s="212" t="str">
        <f>COMPOSICIÓN!E900</f>
        <v>Cal Comun x 25kg</v>
      </c>
      <c r="F900" s="212" t="str">
        <f>COMPOSICIÓN!F900</f>
        <v>bol</v>
      </c>
      <c r="G900" s="213">
        <f>COMPOSICIÓN!G900</f>
        <v>0.2</v>
      </c>
      <c r="H900" s="214">
        <f>COMPOSICIÓN!H900</f>
        <v>0.1</v>
      </c>
      <c r="I900" s="215">
        <f>COMPOSICIÓN!I900</f>
        <v>3837.96</v>
      </c>
      <c r="J900" s="212" t="str">
        <f>IFERROR(VLOOKUP(A900,PARTIDAS!$A$2:$C$269,3,FALSE()),"")</f>
        <v>MAMPOSTERÍA</v>
      </c>
      <c r="K900" s="212" t="str">
        <f>IFERROR(INDEX(PPTO_GENERADOR!$B$4:$B$220,MATCH(A900,PPTO_GENERADOR!$Q$4:$Q$220,0)),"")</f>
        <v/>
      </c>
      <c r="L900" s="216">
        <f>IF(PLAN_ETAPA!$C$4="(TODOS)",SUMIFS(PPTO_GENERADOR!$E$4:$E$220,PPTO_GENERADOR!$Q$4:$Q$220,A900),SUMIFS(PPTO_GENERADOR!$E$4:$E$220,PPTO_GENERADOR!$Q$4:$Q$220,A900,PPTO_GENERADOR!$B$4:$B$220,PLAN_ETAPA!$C$4))</f>
        <v>0</v>
      </c>
      <c r="M900" s="216">
        <f>IFERROR(VLOOKUP(A900,PARTIDAS!$A$2:$F$269,6,FALSE()),1)</f>
        <v>15</v>
      </c>
      <c r="N900" s="216">
        <f>IFERROR(VLOOKUP(A900,PARTIDAS!$A$2:$I$269,9,FALSE()),1)</f>
        <v>1</v>
      </c>
      <c r="O900" s="217">
        <f t="shared" si="28"/>
        <v>0</v>
      </c>
      <c r="P900" s="216">
        <f>IF(O900=0,0,IF(B900="MAT",G900*(1+H900)*L900*PLAN_ETAPA!$C$5,IF(B900="MO",IF(M900=0,0,G900*L900*PLAN_ETAPA!$C$5*N900/M900),IF(B900="EQ",IF(M900=0,0,G900*L900*PLAN_ETAPA!$C$5/M900),0))))</f>
        <v>0</v>
      </c>
      <c r="Q900" s="218">
        <f t="shared" si="29"/>
        <v>0</v>
      </c>
    </row>
    <row r="901" spans="1:17" x14ac:dyDescent="0.35">
      <c r="A901" s="212" t="str">
        <f>COMPOSICIÓN!A901</f>
        <v>PTO-0406</v>
      </c>
      <c r="B901" s="212" t="str">
        <f>COMPOSICIÓN!B901</f>
        <v>MAT</v>
      </c>
      <c r="C901" s="212" t="str">
        <f>COMPOSICIÓN!C901</f>
        <v>OTR</v>
      </c>
      <c r="D901" s="212" t="str">
        <f>COMPOSICIÓN!D901</f>
        <v>CER-004</v>
      </c>
      <c r="E901" s="212" t="str">
        <f>COMPOSICIÓN!E901</f>
        <v>LADRILLO CERAMICO 18 x 18 x 33 cm</v>
      </c>
      <c r="F901" s="212" t="str">
        <f>COMPOSICIÓN!F901</f>
        <v>u</v>
      </c>
      <c r="G901" s="213">
        <f>COMPOSICIÓN!G901</f>
        <v>15</v>
      </c>
      <c r="H901" s="214">
        <f>COMPOSICIÓN!H901</f>
        <v>0.05</v>
      </c>
      <c r="I901" s="215">
        <f>COMPOSICIÓN!I901</f>
        <v>519.12</v>
      </c>
      <c r="J901" s="212" t="str">
        <f>IFERROR(VLOOKUP(A901,PARTIDAS!$A$2:$C$269,3,FALSE()),"")</f>
        <v>MAMPOSTERÍA</v>
      </c>
      <c r="K901" s="212" t="str">
        <f>IFERROR(INDEX(PPTO_GENERADOR!$B$4:$B$220,MATCH(A901,PPTO_GENERADOR!$Q$4:$Q$220,0)),"")</f>
        <v/>
      </c>
      <c r="L901" s="216">
        <f>IF(PLAN_ETAPA!$C$4="(TODOS)",SUMIFS(PPTO_GENERADOR!$E$4:$E$220,PPTO_GENERADOR!$Q$4:$Q$220,A901),SUMIFS(PPTO_GENERADOR!$E$4:$E$220,PPTO_GENERADOR!$Q$4:$Q$220,A901,PPTO_GENERADOR!$B$4:$B$220,PLAN_ETAPA!$C$4))</f>
        <v>0</v>
      </c>
      <c r="M901" s="216">
        <f>IFERROR(VLOOKUP(A901,PARTIDAS!$A$2:$F$269,6,FALSE()),1)</f>
        <v>15</v>
      </c>
      <c r="N901" s="216">
        <f>IFERROR(VLOOKUP(A901,PARTIDAS!$A$2:$I$269,9,FALSE()),1)</f>
        <v>1</v>
      </c>
      <c r="O901" s="217">
        <f t="shared" si="28"/>
        <v>0</v>
      </c>
      <c r="P901" s="216">
        <f>IF(O901=0,0,IF(B901="MAT",G901*(1+H901)*L901*PLAN_ETAPA!$C$5,IF(B901="MO",IF(M901=0,0,G901*L901*PLAN_ETAPA!$C$5*N901/M901),IF(B901="EQ",IF(M901=0,0,G901*L901*PLAN_ETAPA!$C$5/M901),0))))</f>
        <v>0</v>
      </c>
      <c r="Q901" s="218">
        <f t="shared" si="29"/>
        <v>0</v>
      </c>
    </row>
    <row r="902" spans="1:17" x14ac:dyDescent="0.35">
      <c r="A902" s="212" t="str">
        <f>COMPOSICIÓN!A902</f>
        <v>PTO-0406</v>
      </c>
      <c r="B902" s="212" t="str">
        <f>COMPOSICIÓN!B902</f>
        <v>MO</v>
      </c>
      <c r="C902" s="212" t="str">
        <f>COMPOSICIÓN!C902</f>
        <v>ALB</v>
      </c>
      <c r="D902" s="212" t="str">
        <f>COMPOSICIÓN!D902</f>
        <v>MO-EAYUD</v>
      </c>
      <c r="E902" s="212" t="str">
        <f>COMPOSICIÓN!E902</f>
        <v>AYUDANTE</v>
      </c>
      <c r="F902" s="212" t="str">
        <f>COMPOSICIÓN!F902</f>
        <v>j</v>
      </c>
      <c r="G902" s="213">
        <f>COMPOSICIÓN!G902</f>
        <v>1</v>
      </c>
      <c r="H902" s="214">
        <f>COMPOSICIÓN!H902</f>
        <v>0</v>
      </c>
      <c r="I902" s="215">
        <f>COMPOSICIÓN!I902</f>
        <v>60860.580776572002</v>
      </c>
      <c r="J902" s="212" t="str">
        <f>IFERROR(VLOOKUP(A902,PARTIDAS!$A$2:$C$269,3,FALSE()),"")</f>
        <v>MAMPOSTERÍA</v>
      </c>
      <c r="K902" s="212" t="str">
        <f>IFERROR(INDEX(PPTO_GENERADOR!$B$4:$B$220,MATCH(A902,PPTO_GENERADOR!$Q$4:$Q$220,0)),"")</f>
        <v/>
      </c>
      <c r="L902" s="216">
        <f>IF(PLAN_ETAPA!$C$4="(TODOS)",SUMIFS(PPTO_GENERADOR!$E$4:$E$220,PPTO_GENERADOR!$Q$4:$Q$220,A902),SUMIFS(PPTO_GENERADOR!$E$4:$E$220,PPTO_GENERADOR!$Q$4:$Q$220,A902,PPTO_GENERADOR!$B$4:$B$220,PLAN_ETAPA!$C$4))</f>
        <v>0</v>
      </c>
      <c r="M902" s="216">
        <f>IFERROR(VLOOKUP(A902,PARTIDAS!$A$2:$F$269,6,FALSE()),1)</f>
        <v>15</v>
      </c>
      <c r="N902" s="216">
        <f>IFERROR(VLOOKUP(A902,PARTIDAS!$A$2:$I$269,9,FALSE()),1)</f>
        <v>1</v>
      </c>
      <c r="O902" s="217">
        <f t="shared" si="28"/>
        <v>0</v>
      </c>
      <c r="P902" s="216">
        <f>IF(O902=0,0,IF(B902="MAT",G902*(1+H902)*L902*PLAN_ETAPA!$C$5,IF(B902="MO",IF(M902=0,0,G902*L902*PLAN_ETAPA!$C$5*N902/M902),IF(B902="EQ",IF(M902=0,0,G902*L902*PLAN_ETAPA!$C$5/M902),0))))</f>
        <v>0</v>
      </c>
      <c r="Q902" s="218">
        <f t="shared" si="29"/>
        <v>0</v>
      </c>
    </row>
    <row r="903" spans="1:17" x14ac:dyDescent="0.35">
      <c r="A903" s="212" t="str">
        <f>COMPOSICIÓN!A903</f>
        <v>PTO-0406</v>
      </c>
      <c r="B903" s="212" t="str">
        <f>COMPOSICIÓN!B903</f>
        <v>MO</v>
      </c>
      <c r="C903" s="212" t="str">
        <f>COMPOSICIÓN!C903</f>
        <v>ALB</v>
      </c>
      <c r="D903" s="212" t="str">
        <f>COMPOSICIÓN!D903</f>
        <v>MO-EESPE</v>
      </c>
      <c r="E903" s="212" t="str">
        <f>COMPOSICIÓN!E903</f>
        <v>ESPECIALIZADO</v>
      </c>
      <c r="F903" s="212" t="str">
        <f>COMPOSICIÓN!F903</f>
        <v>j</v>
      </c>
      <c r="G903" s="213">
        <f>COMPOSICIÓN!G903</f>
        <v>1</v>
      </c>
      <c r="H903" s="214">
        <f>COMPOSICIÓN!H903</f>
        <v>0</v>
      </c>
      <c r="I903" s="215">
        <f>COMPOSICIÓN!I903</f>
        <v>85927.097156571996</v>
      </c>
      <c r="J903" s="212" t="str">
        <f>IFERROR(VLOOKUP(A903,PARTIDAS!$A$2:$C$269,3,FALSE()),"")</f>
        <v>MAMPOSTERÍA</v>
      </c>
      <c r="K903" s="212" t="str">
        <f>IFERROR(INDEX(PPTO_GENERADOR!$B$4:$B$220,MATCH(A903,PPTO_GENERADOR!$Q$4:$Q$220,0)),"")</f>
        <v/>
      </c>
      <c r="L903" s="216">
        <f>IF(PLAN_ETAPA!$C$4="(TODOS)",SUMIFS(PPTO_GENERADOR!$E$4:$E$220,PPTO_GENERADOR!$Q$4:$Q$220,A903),SUMIFS(PPTO_GENERADOR!$E$4:$E$220,PPTO_GENERADOR!$Q$4:$Q$220,A903,PPTO_GENERADOR!$B$4:$B$220,PLAN_ETAPA!$C$4))</f>
        <v>0</v>
      </c>
      <c r="M903" s="216">
        <f>IFERROR(VLOOKUP(A903,PARTIDAS!$A$2:$F$269,6,FALSE()),1)</f>
        <v>15</v>
      </c>
      <c r="N903" s="216">
        <f>IFERROR(VLOOKUP(A903,PARTIDAS!$A$2:$I$269,9,FALSE()),1)</f>
        <v>1</v>
      </c>
      <c r="O903" s="217">
        <f t="shared" si="28"/>
        <v>0</v>
      </c>
      <c r="P903" s="216">
        <f>IF(O903=0,0,IF(B903="MAT",G903*(1+H903)*L903*PLAN_ETAPA!$C$5,IF(B903="MO",IF(M903=0,0,G903*L903*PLAN_ETAPA!$C$5*N903/M903),IF(B903="EQ",IF(M903=0,0,G903*L903*PLAN_ETAPA!$C$5/M903),0))))</f>
        <v>0</v>
      </c>
      <c r="Q903" s="218">
        <f t="shared" si="29"/>
        <v>0</v>
      </c>
    </row>
    <row r="904" spans="1:17" x14ac:dyDescent="0.35">
      <c r="A904" s="212" t="str">
        <f>COMPOSICIÓN!A904</f>
        <v>PTO-0407</v>
      </c>
      <c r="B904" s="212" t="str">
        <f>COMPOSICIÓN!B904</f>
        <v>EQ</v>
      </c>
      <c r="C904" s="212">
        <f>COMPOSICIÓN!C904</f>
        <v>0</v>
      </c>
      <c r="D904" s="212" t="str">
        <f>COMPOSICIÓN!D904</f>
        <v>EQ-ANDAM0</v>
      </c>
      <c r="E904" s="212" t="str">
        <f>COMPOSICIÓN!E904</f>
        <v>ANDAMIO TUBULAR DE UNO A TRES CUERPOS</v>
      </c>
      <c r="F904" s="212">
        <f>COMPOSICIÓN!F904</f>
        <v>0</v>
      </c>
      <c r="G904" s="213">
        <f>COMPOSICIÓN!G904</f>
        <v>0.25</v>
      </c>
      <c r="H904" s="214">
        <f>COMPOSICIÓN!H904</f>
        <v>0</v>
      </c>
      <c r="I904" s="215">
        <f>COMPOSICIÓN!I904</f>
        <v>571.1794909807611</v>
      </c>
      <c r="J904" s="212" t="str">
        <f>IFERROR(VLOOKUP(A904,PARTIDAS!$A$2:$C$269,3,FALSE()),"")</f>
        <v>MAMPOSTERÍA</v>
      </c>
      <c r="K904" s="212" t="str">
        <f>IFERROR(INDEX(PPTO_GENERADOR!$B$4:$B$220,MATCH(A904,PPTO_GENERADOR!$Q$4:$Q$220,0)),"")</f>
        <v>MAMPOSTERÍA</v>
      </c>
      <c r="L904" s="216">
        <f>IF(PLAN_ETAPA!$C$4="(TODOS)",SUMIFS(PPTO_GENERADOR!$E$4:$E$220,PPTO_GENERADOR!$Q$4:$Q$220,A904),SUMIFS(PPTO_GENERADOR!$E$4:$E$220,PPTO_GENERADOR!$Q$4:$Q$220,A904,PPTO_GENERADOR!$B$4:$B$220,PLAN_ETAPA!$C$4))</f>
        <v>193</v>
      </c>
      <c r="M904" s="216">
        <f>IFERROR(VLOOKUP(A904,PARTIDAS!$A$2:$F$269,6,FALSE()),1)</f>
        <v>7</v>
      </c>
      <c r="N904" s="216">
        <f>IFERROR(VLOOKUP(A904,PARTIDAS!$A$2:$I$269,9,FALSE()),1)</f>
        <v>1</v>
      </c>
      <c r="O904" s="217">
        <f t="shared" si="28"/>
        <v>1</v>
      </c>
      <c r="P904" s="216">
        <f>IF(O904=0,0,IF(B904="MAT",G904*(1+H904)*L904*PLAN_ETAPA!$C$5,IF(B904="MO",IF(M904=0,0,G904*L904*PLAN_ETAPA!$C$5*N904/M904),IF(B904="EQ",IF(M904=0,0,G904*L904*PLAN_ETAPA!$C$5/M904),0))))</f>
        <v>6.8928571428571432</v>
      </c>
      <c r="Q904" s="218">
        <f t="shared" si="29"/>
        <v>3937.0586342602464</v>
      </c>
    </row>
    <row r="905" spans="1:17" x14ac:dyDescent="0.35">
      <c r="A905" s="212" t="str">
        <f>COMPOSICIÓN!A905</f>
        <v>PTO-0407</v>
      </c>
      <c r="B905" s="212" t="str">
        <f>COMPOSICIÓN!B905</f>
        <v>EQ</v>
      </c>
      <c r="C905" s="212">
        <f>COMPOSICIÓN!C905</f>
        <v>0</v>
      </c>
      <c r="D905" s="212" t="str">
        <f>COMPOSICIÓN!D905</f>
        <v>EQ-EQALBA</v>
      </c>
      <c r="E905" s="212" t="str">
        <f>COMPOSICIÓN!E905</f>
        <v>EQUIPO DE ALBAÑILERIA, carpetas, ladrillo</v>
      </c>
      <c r="F905" s="212">
        <f>COMPOSICIÓN!F905</f>
        <v>0</v>
      </c>
      <c r="G905" s="213">
        <f>COMPOSICIÓN!G905</f>
        <v>0.5</v>
      </c>
      <c r="H905" s="214">
        <f>COMPOSICIÓN!H905</f>
        <v>0</v>
      </c>
      <c r="I905" s="215">
        <f>COMPOSICIÓN!I905</f>
        <v>2287.1357450968057</v>
      </c>
      <c r="J905" s="212" t="str">
        <f>IFERROR(VLOOKUP(A905,PARTIDAS!$A$2:$C$269,3,FALSE()),"")</f>
        <v>MAMPOSTERÍA</v>
      </c>
      <c r="K905" s="212" t="str">
        <f>IFERROR(INDEX(PPTO_GENERADOR!$B$4:$B$220,MATCH(A905,PPTO_GENERADOR!$Q$4:$Q$220,0)),"")</f>
        <v>MAMPOSTERÍA</v>
      </c>
      <c r="L905" s="216">
        <f>IF(PLAN_ETAPA!$C$4="(TODOS)",SUMIFS(PPTO_GENERADOR!$E$4:$E$220,PPTO_GENERADOR!$Q$4:$Q$220,A905),SUMIFS(PPTO_GENERADOR!$E$4:$E$220,PPTO_GENERADOR!$Q$4:$Q$220,A905,PPTO_GENERADOR!$B$4:$B$220,PLAN_ETAPA!$C$4))</f>
        <v>193</v>
      </c>
      <c r="M905" s="216">
        <f>IFERROR(VLOOKUP(A905,PARTIDAS!$A$2:$F$269,6,FALSE()),1)</f>
        <v>7</v>
      </c>
      <c r="N905" s="216">
        <f>IFERROR(VLOOKUP(A905,PARTIDAS!$A$2:$I$269,9,FALSE()),1)</f>
        <v>1</v>
      </c>
      <c r="O905" s="217">
        <f t="shared" si="28"/>
        <v>1</v>
      </c>
      <c r="P905" s="216">
        <f>IF(O905=0,0,IF(B905="MAT",G905*(1+H905)*L905*PLAN_ETAPA!$C$5,IF(B905="MO",IF(M905=0,0,G905*L905*PLAN_ETAPA!$C$5*N905/M905),IF(B905="EQ",IF(M905=0,0,G905*L905*PLAN_ETAPA!$C$5/M905),0))))</f>
        <v>13.785714285714286</v>
      </c>
      <c r="Q905" s="218">
        <f t="shared" si="29"/>
        <v>31529.799914548825</v>
      </c>
    </row>
    <row r="906" spans="1:17" x14ac:dyDescent="0.35">
      <c r="A906" s="212" t="str">
        <f>COMPOSICIÓN!A906</f>
        <v>PTO-0407</v>
      </c>
      <c r="B906" s="212" t="str">
        <f>COMPOSICIÓN!B906</f>
        <v>EQ</v>
      </c>
      <c r="C906" s="212">
        <f>COMPOSICIÓN!C906</f>
        <v>0</v>
      </c>
      <c r="D906" s="212" t="str">
        <f>COMPOSICIÓN!D906</f>
        <v>EQ-TROMPO</v>
      </c>
      <c r="E906" s="212" t="str">
        <f>COMPOSICIÓN!E906</f>
        <v>Hormigonera De 150 Litros 1hp Con Rueda Maciza</v>
      </c>
      <c r="F906" s="212">
        <f>COMPOSICIÓN!F906</f>
        <v>0</v>
      </c>
      <c r="G906" s="213">
        <f>COMPOSICIÓN!G906</f>
        <v>0.5</v>
      </c>
      <c r="H906" s="214">
        <f>COMPOSICIÓN!H906</f>
        <v>0</v>
      </c>
      <c r="I906" s="215">
        <f>COMPOSICIÓN!I906</f>
        <v>957.25319614994726</v>
      </c>
      <c r="J906" s="212" t="str">
        <f>IFERROR(VLOOKUP(A906,PARTIDAS!$A$2:$C$269,3,FALSE()),"")</f>
        <v>MAMPOSTERÍA</v>
      </c>
      <c r="K906" s="212" t="str">
        <f>IFERROR(INDEX(PPTO_GENERADOR!$B$4:$B$220,MATCH(A906,PPTO_GENERADOR!$Q$4:$Q$220,0)),"")</f>
        <v>MAMPOSTERÍA</v>
      </c>
      <c r="L906" s="216">
        <f>IF(PLAN_ETAPA!$C$4="(TODOS)",SUMIFS(PPTO_GENERADOR!$E$4:$E$220,PPTO_GENERADOR!$Q$4:$Q$220,A906),SUMIFS(PPTO_GENERADOR!$E$4:$E$220,PPTO_GENERADOR!$Q$4:$Q$220,A906,PPTO_GENERADOR!$B$4:$B$220,PLAN_ETAPA!$C$4))</f>
        <v>193</v>
      </c>
      <c r="M906" s="216">
        <f>IFERROR(VLOOKUP(A906,PARTIDAS!$A$2:$F$269,6,FALSE()),1)</f>
        <v>7</v>
      </c>
      <c r="N906" s="216">
        <f>IFERROR(VLOOKUP(A906,PARTIDAS!$A$2:$I$269,9,FALSE()),1)</f>
        <v>1</v>
      </c>
      <c r="O906" s="217">
        <f t="shared" si="28"/>
        <v>1</v>
      </c>
      <c r="P906" s="216">
        <f>IF(O906=0,0,IF(B906="MAT",G906*(1+H906)*L906*PLAN_ETAPA!$C$5,IF(B906="MO",IF(M906=0,0,G906*L906*PLAN_ETAPA!$C$5*N906/M906),IF(B906="EQ",IF(M906=0,0,G906*L906*PLAN_ETAPA!$C$5/M906),0))))</f>
        <v>13.785714285714286</v>
      </c>
      <c r="Q906" s="218">
        <f t="shared" si="29"/>
        <v>13196.419061209988</v>
      </c>
    </row>
    <row r="907" spans="1:17" x14ac:dyDescent="0.35">
      <c r="A907" s="212" t="str">
        <f>COMPOSICIÓN!A907</f>
        <v>PTO-0407</v>
      </c>
      <c r="B907" s="212" t="str">
        <f>COMPOSICIÓN!B907</f>
        <v>MAT</v>
      </c>
      <c r="C907" s="212" t="str">
        <f>COMPOSICIÓN!C907</f>
        <v>OTR</v>
      </c>
      <c r="D907" s="212" t="str">
        <f>COMPOSICIÓN!D907</f>
        <v>ACE-001</v>
      </c>
      <c r="E907" s="212" t="str">
        <f>COMPOSICIÓN!E907</f>
        <v>Barra de Acero Aleteado - 6mm x 12m</v>
      </c>
      <c r="F907" s="212" t="str">
        <f>COMPOSICIÓN!F907</f>
        <v>u</v>
      </c>
      <c r="G907" s="213">
        <f>COMPOSICIÓN!G907</f>
        <v>4.2500000000000003E-2</v>
      </c>
      <c r="H907" s="214">
        <f>COMPOSICIÓN!H907</f>
        <v>0.1</v>
      </c>
      <c r="I907" s="215">
        <f>COMPOSICIÓN!I907</f>
        <v>3424.53</v>
      </c>
      <c r="J907" s="212" t="str">
        <f>IFERROR(VLOOKUP(A907,PARTIDAS!$A$2:$C$269,3,FALSE()),"")</f>
        <v>MAMPOSTERÍA</v>
      </c>
      <c r="K907" s="212" t="str">
        <f>IFERROR(INDEX(PPTO_GENERADOR!$B$4:$B$220,MATCH(A907,PPTO_GENERADOR!$Q$4:$Q$220,0)),"")</f>
        <v>MAMPOSTERÍA</v>
      </c>
      <c r="L907" s="216">
        <f>IF(PLAN_ETAPA!$C$4="(TODOS)",SUMIFS(PPTO_GENERADOR!$E$4:$E$220,PPTO_GENERADOR!$Q$4:$Q$220,A907),SUMIFS(PPTO_GENERADOR!$E$4:$E$220,PPTO_GENERADOR!$Q$4:$Q$220,A907,PPTO_GENERADOR!$B$4:$B$220,PLAN_ETAPA!$C$4))</f>
        <v>193</v>
      </c>
      <c r="M907" s="216">
        <f>IFERROR(VLOOKUP(A907,PARTIDAS!$A$2:$F$269,6,FALSE()),1)</f>
        <v>7</v>
      </c>
      <c r="N907" s="216">
        <f>IFERROR(VLOOKUP(A907,PARTIDAS!$A$2:$I$269,9,FALSE()),1)</f>
        <v>1</v>
      </c>
      <c r="O907" s="217">
        <f t="shared" si="28"/>
        <v>1</v>
      </c>
      <c r="P907" s="216">
        <f>IF(O907=0,0,IF(B907="MAT",G907*(1+H907)*L907*PLAN_ETAPA!$C$5,IF(B907="MO",IF(M907=0,0,G907*L907*PLAN_ETAPA!$C$5*N907/M907),IF(B907="EQ",IF(M907=0,0,G907*L907*PLAN_ETAPA!$C$5/M907),0))))</f>
        <v>9.022750000000002</v>
      </c>
      <c r="Q907" s="218">
        <f t="shared" si="29"/>
        <v>30898.678057500008</v>
      </c>
    </row>
    <row r="908" spans="1:17" x14ac:dyDescent="0.35">
      <c r="A908" s="212" t="str">
        <f>COMPOSICIÓN!A908</f>
        <v>PTO-0407</v>
      </c>
      <c r="B908" s="212" t="str">
        <f>COMPOSICIÓN!B908</f>
        <v>MAT</v>
      </c>
      <c r="C908" s="212" t="str">
        <f>COMPOSICIÓN!C908</f>
        <v>OTR</v>
      </c>
      <c r="D908" s="212" t="str">
        <f>COMPOSICIÓN!D908</f>
        <v>AGR-001</v>
      </c>
      <c r="E908" s="212" t="str">
        <f>COMPOSICIÓN!E908</f>
        <v>ARENA LAVADA</v>
      </c>
      <c r="F908" s="212" t="str">
        <f>COMPOSICIÓN!F908</f>
        <v>m3</v>
      </c>
      <c r="G908" s="213">
        <f>COMPOSICIÓN!G908</f>
        <v>8.7500000000000008E-3</v>
      </c>
      <c r="H908" s="214">
        <f>COMPOSICIÓN!H908</f>
        <v>0.1</v>
      </c>
      <c r="I908" s="215">
        <f>COMPOSICIÓN!I908</f>
        <v>32399.77</v>
      </c>
      <c r="J908" s="212" t="str">
        <f>IFERROR(VLOOKUP(A908,PARTIDAS!$A$2:$C$269,3,FALSE()),"")</f>
        <v>MAMPOSTERÍA</v>
      </c>
      <c r="K908" s="212" t="str">
        <f>IFERROR(INDEX(PPTO_GENERADOR!$B$4:$B$220,MATCH(A908,PPTO_GENERADOR!$Q$4:$Q$220,0)),"")</f>
        <v>MAMPOSTERÍA</v>
      </c>
      <c r="L908" s="216">
        <f>IF(PLAN_ETAPA!$C$4="(TODOS)",SUMIFS(PPTO_GENERADOR!$E$4:$E$220,PPTO_GENERADOR!$Q$4:$Q$220,A908),SUMIFS(PPTO_GENERADOR!$E$4:$E$220,PPTO_GENERADOR!$Q$4:$Q$220,A908,PPTO_GENERADOR!$B$4:$B$220,PLAN_ETAPA!$C$4))</f>
        <v>193</v>
      </c>
      <c r="M908" s="216">
        <f>IFERROR(VLOOKUP(A908,PARTIDAS!$A$2:$F$269,6,FALSE()),1)</f>
        <v>7</v>
      </c>
      <c r="N908" s="216">
        <f>IFERROR(VLOOKUP(A908,PARTIDAS!$A$2:$I$269,9,FALSE()),1)</f>
        <v>1</v>
      </c>
      <c r="O908" s="217">
        <f t="shared" si="28"/>
        <v>1</v>
      </c>
      <c r="P908" s="216">
        <f>IF(O908=0,0,IF(B908="MAT",G908*(1+H908)*L908*PLAN_ETAPA!$C$5,IF(B908="MO",IF(M908=0,0,G908*L908*PLAN_ETAPA!$C$5*N908/M908),IF(B908="EQ",IF(M908=0,0,G908*L908*PLAN_ETAPA!$C$5/M908),0))))</f>
        <v>1.8576250000000003</v>
      </c>
      <c r="Q908" s="218">
        <f t="shared" si="29"/>
        <v>60186.62274625001</v>
      </c>
    </row>
    <row r="909" spans="1:17" x14ac:dyDescent="0.35">
      <c r="A909" s="212" t="str">
        <f>COMPOSICIÓN!A909</f>
        <v>PTO-0407</v>
      </c>
      <c r="B909" s="212" t="str">
        <f>COMPOSICIÓN!B909</f>
        <v>MAT</v>
      </c>
      <c r="C909" s="212" t="str">
        <f>COMPOSICIÓN!C909</f>
        <v>OTR</v>
      </c>
      <c r="D909" s="212" t="str">
        <f>COMPOSICIÓN!D909</f>
        <v>AGR-004</v>
      </c>
      <c r="E909" s="212" t="str">
        <f>COMPOSICIÓN!E909</f>
        <v>Cemento Portland x 50kg</v>
      </c>
      <c r="F909" s="212" t="str">
        <f>COMPOSICIÓN!F909</f>
        <v>Bol</v>
      </c>
      <c r="G909" s="213">
        <f>COMPOSICIÓN!G909</f>
        <v>3.7499999999999999E-2</v>
      </c>
      <c r="H909" s="214">
        <f>COMPOSICIÓN!H909</f>
        <v>0.1</v>
      </c>
      <c r="I909" s="215">
        <f>COMPOSICIÓN!I909</f>
        <v>7809.48</v>
      </c>
      <c r="J909" s="212" t="str">
        <f>IFERROR(VLOOKUP(A909,PARTIDAS!$A$2:$C$269,3,FALSE()),"")</f>
        <v>MAMPOSTERÍA</v>
      </c>
      <c r="K909" s="212" t="str">
        <f>IFERROR(INDEX(PPTO_GENERADOR!$B$4:$B$220,MATCH(A909,PPTO_GENERADOR!$Q$4:$Q$220,0)),"")</f>
        <v>MAMPOSTERÍA</v>
      </c>
      <c r="L909" s="216">
        <f>IF(PLAN_ETAPA!$C$4="(TODOS)",SUMIFS(PPTO_GENERADOR!$E$4:$E$220,PPTO_GENERADOR!$Q$4:$Q$220,A909),SUMIFS(PPTO_GENERADOR!$E$4:$E$220,PPTO_GENERADOR!$Q$4:$Q$220,A909,PPTO_GENERADOR!$B$4:$B$220,PLAN_ETAPA!$C$4))</f>
        <v>193</v>
      </c>
      <c r="M909" s="216">
        <f>IFERROR(VLOOKUP(A909,PARTIDAS!$A$2:$F$269,6,FALSE()),1)</f>
        <v>7</v>
      </c>
      <c r="N909" s="216">
        <f>IFERROR(VLOOKUP(A909,PARTIDAS!$A$2:$I$269,9,FALSE()),1)</f>
        <v>1</v>
      </c>
      <c r="O909" s="217">
        <f t="shared" si="28"/>
        <v>1</v>
      </c>
      <c r="P909" s="216">
        <f>IF(O909=0,0,IF(B909="MAT",G909*(1+H909)*L909*PLAN_ETAPA!$C$5,IF(B909="MO",IF(M909=0,0,G909*L909*PLAN_ETAPA!$C$5*N909/M909),IF(B909="EQ",IF(M909=0,0,G909*L909*PLAN_ETAPA!$C$5/M909),0))))</f>
        <v>7.9612500000000006</v>
      </c>
      <c r="Q909" s="218">
        <f t="shared" si="29"/>
        <v>62173.222650000003</v>
      </c>
    </row>
    <row r="910" spans="1:17" x14ac:dyDescent="0.35">
      <c r="A910" s="212" t="str">
        <f>COMPOSICIÓN!A910</f>
        <v>PTO-0407</v>
      </c>
      <c r="B910" s="212" t="str">
        <f>COMPOSICIÓN!B910</f>
        <v>MAT</v>
      </c>
      <c r="C910" s="212" t="str">
        <f>COMPOSICIÓN!C910</f>
        <v>OTR</v>
      </c>
      <c r="D910" s="212" t="str">
        <f>COMPOSICIÓN!D910</f>
        <v>AGR-005</v>
      </c>
      <c r="E910" s="212" t="str">
        <f>COMPOSICIÓN!E910</f>
        <v>Cal Comun x 25kg</v>
      </c>
      <c r="F910" s="212" t="str">
        <f>COMPOSICIÓN!F910</f>
        <v>bol</v>
      </c>
      <c r="G910" s="213">
        <f>COMPOSICIÓN!G910</f>
        <v>7.4999999999999997E-2</v>
      </c>
      <c r="H910" s="214">
        <f>COMPOSICIÓN!H910</f>
        <v>0.1</v>
      </c>
      <c r="I910" s="215">
        <f>COMPOSICIÓN!I910</f>
        <v>3837.96</v>
      </c>
      <c r="J910" s="212" t="str">
        <f>IFERROR(VLOOKUP(A910,PARTIDAS!$A$2:$C$269,3,FALSE()),"")</f>
        <v>MAMPOSTERÍA</v>
      </c>
      <c r="K910" s="212" t="str">
        <f>IFERROR(INDEX(PPTO_GENERADOR!$B$4:$B$220,MATCH(A910,PPTO_GENERADOR!$Q$4:$Q$220,0)),"")</f>
        <v>MAMPOSTERÍA</v>
      </c>
      <c r="L910" s="216">
        <f>IF(PLAN_ETAPA!$C$4="(TODOS)",SUMIFS(PPTO_GENERADOR!$E$4:$E$220,PPTO_GENERADOR!$Q$4:$Q$220,A910),SUMIFS(PPTO_GENERADOR!$E$4:$E$220,PPTO_GENERADOR!$Q$4:$Q$220,A910,PPTO_GENERADOR!$B$4:$B$220,PLAN_ETAPA!$C$4))</f>
        <v>193</v>
      </c>
      <c r="M910" s="216">
        <f>IFERROR(VLOOKUP(A910,PARTIDAS!$A$2:$F$269,6,FALSE()),1)</f>
        <v>7</v>
      </c>
      <c r="N910" s="216">
        <f>IFERROR(VLOOKUP(A910,PARTIDAS!$A$2:$I$269,9,FALSE()),1)</f>
        <v>1</v>
      </c>
      <c r="O910" s="217">
        <f t="shared" si="28"/>
        <v>1</v>
      </c>
      <c r="P910" s="216">
        <f>IF(O910=0,0,IF(B910="MAT",G910*(1+H910)*L910*PLAN_ETAPA!$C$5,IF(B910="MO",IF(M910=0,0,G910*L910*PLAN_ETAPA!$C$5*N910/M910),IF(B910="EQ",IF(M910=0,0,G910*L910*PLAN_ETAPA!$C$5/M910),0))))</f>
        <v>15.922500000000001</v>
      </c>
      <c r="Q910" s="218">
        <f t="shared" si="29"/>
        <v>61109.918100000003</v>
      </c>
    </row>
    <row r="911" spans="1:17" x14ac:dyDescent="0.35">
      <c r="A911" s="212" t="str">
        <f>COMPOSICIÓN!A911</f>
        <v>PTO-0407</v>
      </c>
      <c r="B911" s="212" t="str">
        <f>COMPOSICIÓN!B911</f>
        <v>MAT</v>
      </c>
      <c r="C911" s="212" t="str">
        <f>COMPOSICIÓN!C911</f>
        <v>OTR</v>
      </c>
      <c r="D911" s="212" t="str">
        <f>COMPOSICIÓN!D911</f>
        <v>CER-005</v>
      </c>
      <c r="E911" s="212" t="str">
        <f>COMPOSICIÓN!E911</f>
        <v>Ladrillo Comun 12.5 x 5.5 x 25</v>
      </c>
      <c r="F911" s="212" t="str">
        <f>COMPOSICIÓN!F911</f>
        <v>u</v>
      </c>
      <c r="G911" s="213">
        <f>COMPOSICIÓN!G911</f>
        <v>15</v>
      </c>
      <c r="H911" s="214">
        <f>COMPOSICIÓN!H911</f>
        <v>0.05</v>
      </c>
      <c r="I911" s="215">
        <f>COMPOSICIÓN!I911</f>
        <v>132.30000000000001</v>
      </c>
      <c r="J911" s="212" t="str">
        <f>IFERROR(VLOOKUP(A911,PARTIDAS!$A$2:$C$269,3,FALSE()),"")</f>
        <v>MAMPOSTERÍA</v>
      </c>
      <c r="K911" s="212" t="str">
        <f>IFERROR(INDEX(PPTO_GENERADOR!$B$4:$B$220,MATCH(A911,PPTO_GENERADOR!$Q$4:$Q$220,0)),"")</f>
        <v>MAMPOSTERÍA</v>
      </c>
      <c r="L911" s="216">
        <f>IF(PLAN_ETAPA!$C$4="(TODOS)",SUMIFS(PPTO_GENERADOR!$E$4:$E$220,PPTO_GENERADOR!$Q$4:$Q$220,A911),SUMIFS(PPTO_GENERADOR!$E$4:$E$220,PPTO_GENERADOR!$Q$4:$Q$220,A911,PPTO_GENERADOR!$B$4:$B$220,PLAN_ETAPA!$C$4))</f>
        <v>193</v>
      </c>
      <c r="M911" s="216">
        <f>IFERROR(VLOOKUP(A911,PARTIDAS!$A$2:$F$269,6,FALSE()),1)</f>
        <v>7</v>
      </c>
      <c r="N911" s="216">
        <f>IFERROR(VLOOKUP(A911,PARTIDAS!$A$2:$I$269,9,FALSE()),1)</f>
        <v>1</v>
      </c>
      <c r="O911" s="217">
        <f t="shared" si="28"/>
        <v>1</v>
      </c>
      <c r="P911" s="216">
        <f>IF(O911=0,0,IF(B911="MAT",G911*(1+H911)*L911*PLAN_ETAPA!$C$5,IF(B911="MO",IF(M911=0,0,G911*L911*PLAN_ETAPA!$C$5*N911/M911),IF(B911="EQ",IF(M911=0,0,G911*L911*PLAN_ETAPA!$C$5/M911),0))))</f>
        <v>3039.75</v>
      </c>
      <c r="Q911" s="218">
        <f t="shared" si="29"/>
        <v>402158.92500000005</v>
      </c>
    </row>
    <row r="912" spans="1:17" x14ac:dyDescent="0.35">
      <c r="A912" s="212" t="str">
        <f>COMPOSICIÓN!A912</f>
        <v>PTO-0407</v>
      </c>
      <c r="B912" s="212" t="str">
        <f>COMPOSICIÓN!B912</f>
        <v>MAT</v>
      </c>
      <c r="C912" s="212" t="str">
        <f>COMPOSICIÓN!C912</f>
        <v>OTR</v>
      </c>
      <c r="D912" s="212" t="str">
        <f>COMPOSICIÓN!D912</f>
        <v>MAT-CONS</v>
      </c>
      <c r="E912" s="212" t="str">
        <f>COMPOSICIÓN!E912</f>
        <v>Consumibles</v>
      </c>
      <c r="F912" s="212" t="str">
        <f>COMPOSICIÓN!F912</f>
        <v>gl</v>
      </c>
      <c r="G912" s="213">
        <f>COMPOSICIÓN!G912</f>
        <v>32.902755831625001</v>
      </c>
      <c r="H912" s="214">
        <f>COMPOSICIÓN!H912</f>
        <v>0</v>
      </c>
      <c r="I912" s="215">
        <f>COMPOSICIÓN!I912</f>
        <v>1</v>
      </c>
      <c r="J912" s="212" t="str">
        <f>IFERROR(VLOOKUP(A912,PARTIDAS!$A$2:$C$269,3,FALSE()),"")</f>
        <v>MAMPOSTERÍA</v>
      </c>
      <c r="K912" s="212" t="str">
        <f>IFERROR(INDEX(PPTO_GENERADOR!$B$4:$B$220,MATCH(A912,PPTO_GENERADOR!$Q$4:$Q$220,0)),"")</f>
        <v>MAMPOSTERÍA</v>
      </c>
      <c r="L912" s="216">
        <f>IF(PLAN_ETAPA!$C$4="(TODOS)",SUMIFS(PPTO_GENERADOR!$E$4:$E$220,PPTO_GENERADOR!$Q$4:$Q$220,A912),SUMIFS(PPTO_GENERADOR!$E$4:$E$220,PPTO_GENERADOR!$Q$4:$Q$220,A912,PPTO_GENERADOR!$B$4:$B$220,PLAN_ETAPA!$C$4))</f>
        <v>193</v>
      </c>
      <c r="M912" s="216">
        <f>IFERROR(VLOOKUP(A912,PARTIDAS!$A$2:$F$269,6,FALSE()),1)</f>
        <v>7</v>
      </c>
      <c r="N912" s="216">
        <f>IFERROR(VLOOKUP(A912,PARTIDAS!$A$2:$I$269,9,FALSE()),1)</f>
        <v>1</v>
      </c>
      <c r="O912" s="217">
        <f t="shared" si="28"/>
        <v>1</v>
      </c>
      <c r="P912" s="216">
        <f>IF(O912=0,0,IF(B912="MAT",G912*(1+H912)*L912*PLAN_ETAPA!$C$5,IF(B912="MO",IF(M912=0,0,G912*L912*PLAN_ETAPA!$C$5*N912/M912),IF(B912="EQ",IF(M912=0,0,G912*L912*PLAN_ETAPA!$C$5/M912),0))))</f>
        <v>6350.2318755036249</v>
      </c>
      <c r="Q912" s="218">
        <f t="shared" si="29"/>
        <v>6350.2318755036249</v>
      </c>
    </row>
    <row r="913" spans="1:17" x14ac:dyDescent="0.35">
      <c r="A913" s="212" t="str">
        <f>COMPOSICIÓN!A913</f>
        <v>PTO-0407</v>
      </c>
      <c r="B913" s="212" t="str">
        <f>COMPOSICIÓN!B913</f>
        <v>MO</v>
      </c>
      <c r="C913" s="212" t="str">
        <f>COMPOSICIÓN!C913</f>
        <v>ALB</v>
      </c>
      <c r="D913" s="212" t="str">
        <f>COMPOSICIÓN!D913</f>
        <v>MO-EAYUD</v>
      </c>
      <c r="E913" s="212" t="str">
        <f>COMPOSICIÓN!E913</f>
        <v>AYUDANTE</v>
      </c>
      <c r="F913" s="212" t="str">
        <f>COMPOSICIÓN!F913</f>
        <v>j</v>
      </c>
      <c r="G913" s="213">
        <f>COMPOSICIÓN!G913</f>
        <v>0.5</v>
      </c>
      <c r="H913" s="214">
        <f>COMPOSICIÓN!H913</f>
        <v>0</v>
      </c>
      <c r="I913" s="215">
        <f>COMPOSICIÓN!I913</f>
        <v>60860.580776572002</v>
      </c>
      <c r="J913" s="212" t="str">
        <f>IFERROR(VLOOKUP(A913,PARTIDAS!$A$2:$C$269,3,FALSE()),"")</f>
        <v>MAMPOSTERÍA</v>
      </c>
      <c r="K913" s="212" t="str">
        <f>IFERROR(INDEX(PPTO_GENERADOR!$B$4:$B$220,MATCH(A913,PPTO_GENERADOR!$Q$4:$Q$220,0)),"")</f>
        <v>MAMPOSTERÍA</v>
      </c>
      <c r="L913" s="216">
        <f>IF(PLAN_ETAPA!$C$4="(TODOS)",SUMIFS(PPTO_GENERADOR!$E$4:$E$220,PPTO_GENERADOR!$Q$4:$Q$220,A913),SUMIFS(PPTO_GENERADOR!$E$4:$E$220,PPTO_GENERADOR!$Q$4:$Q$220,A913,PPTO_GENERADOR!$B$4:$B$220,PLAN_ETAPA!$C$4))</f>
        <v>193</v>
      </c>
      <c r="M913" s="216">
        <f>IFERROR(VLOOKUP(A913,PARTIDAS!$A$2:$F$269,6,FALSE()),1)</f>
        <v>7</v>
      </c>
      <c r="N913" s="216">
        <f>IFERROR(VLOOKUP(A913,PARTIDAS!$A$2:$I$269,9,FALSE()),1)</f>
        <v>1</v>
      </c>
      <c r="O913" s="217">
        <f t="shared" si="28"/>
        <v>1</v>
      </c>
      <c r="P913" s="216">
        <f>IF(O913=0,0,IF(B913="MAT",G913*(1+H913)*L913*PLAN_ETAPA!$C$5,IF(B913="MO",IF(M913=0,0,G913*L913*PLAN_ETAPA!$C$5*N913/M913),IF(B913="EQ",IF(M913=0,0,G913*L913*PLAN_ETAPA!$C$5/M913),0))))</f>
        <v>13.785714285714286</v>
      </c>
      <c r="Q913" s="218">
        <f t="shared" si="29"/>
        <v>839006.57784845692</v>
      </c>
    </row>
    <row r="914" spans="1:17" x14ac:dyDescent="0.35">
      <c r="A914" s="212" t="str">
        <f>COMPOSICIÓN!A914</f>
        <v>PTO-0407</v>
      </c>
      <c r="B914" s="212" t="str">
        <f>COMPOSICIÓN!B914</f>
        <v>MO</v>
      </c>
      <c r="C914" s="212" t="str">
        <f>COMPOSICIÓN!C914</f>
        <v>ALB</v>
      </c>
      <c r="D914" s="212" t="str">
        <f>COMPOSICIÓN!D914</f>
        <v>MO-EESPE</v>
      </c>
      <c r="E914" s="212" t="str">
        <f>COMPOSICIÓN!E914</f>
        <v>ESPECIALIZADO</v>
      </c>
      <c r="F914" s="212" t="str">
        <f>COMPOSICIÓN!F914</f>
        <v>j</v>
      </c>
      <c r="G914" s="213">
        <f>COMPOSICIÓN!G914</f>
        <v>0.5</v>
      </c>
      <c r="H914" s="214">
        <f>COMPOSICIÓN!H914</f>
        <v>0</v>
      </c>
      <c r="I914" s="215">
        <f>COMPOSICIÓN!I914</f>
        <v>85927.097156571996</v>
      </c>
      <c r="J914" s="212" t="str">
        <f>IFERROR(VLOOKUP(A914,PARTIDAS!$A$2:$C$269,3,FALSE()),"")</f>
        <v>MAMPOSTERÍA</v>
      </c>
      <c r="K914" s="212" t="str">
        <f>IFERROR(INDEX(PPTO_GENERADOR!$B$4:$B$220,MATCH(A914,PPTO_GENERADOR!$Q$4:$Q$220,0)),"")</f>
        <v>MAMPOSTERÍA</v>
      </c>
      <c r="L914" s="216">
        <f>IF(PLAN_ETAPA!$C$4="(TODOS)",SUMIFS(PPTO_GENERADOR!$E$4:$E$220,PPTO_GENERADOR!$Q$4:$Q$220,A914),SUMIFS(PPTO_GENERADOR!$E$4:$E$220,PPTO_GENERADOR!$Q$4:$Q$220,A914,PPTO_GENERADOR!$B$4:$B$220,PLAN_ETAPA!$C$4))</f>
        <v>193</v>
      </c>
      <c r="M914" s="216">
        <f>IFERROR(VLOOKUP(A914,PARTIDAS!$A$2:$F$269,6,FALSE()),1)</f>
        <v>7</v>
      </c>
      <c r="N914" s="216">
        <f>IFERROR(VLOOKUP(A914,PARTIDAS!$A$2:$I$269,9,FALSE()),1)</f>
        <v>1</v>
      </c>
      <c r="O914" s="217">
        <f t="shared" si="28"/>
        <v>1</v>
      </c>
      <c r="P914" s="216">
        <f>IF(O914=0,0,IF(B914="MAT",G914*(1+H914)*L914*PLAN_ETAPA!$C$5,IF(B914="MO",IF(M914=0,0,G914*L914*PLAN_ETAPA!$C$5*N914/M914),IF(B914="EQ",IF(M914=0,0,G914*L914*PLAN_ETAPA!$C$5/M914),0))))</f>
        <v>13.785714285714286</v>
      </c>
      <c r="Q914" s="218">
        <f t="shared" si="29"/>
        <v>1184566.4108013141</v>
      </c>
    </row>
    <row r="915" spans="1:17" x14ac:dyDescent="0.35">
      <c r="A915" s="212" t="str">
        <f>COMPOSICIÓN!A915</f>
        <v>PTO-0408</v>
      </c>
      <c r="B915" s="212" t="str">
        <f>COMPOSICIÓN!B915</f>
        <v>EQ</v>
      </c>
      <c r="C915" s="212">
        <f>COMPOSICIÓN!C915</f>
        <v>0</v>
      </c>
      <c r="D915" s="212" t="str">
        <f>COMPOSICIÓN!D915</f>
        <v>EQ-PTO039</v>
      </c>
      <c r="E915" s="212" t="str">
        <f>COMPOSICIÓN!E915</f>
        <v>Herramientas menores y consumibles - Cordón de hormigón en umbrales carpinterías</v>
      </c>
      <c r="F915" s="212">
        <f>COMPOSICIÓN!F915</f>
        <v>0</v>
      </c>
      <c r="G915" s="213">
        <f>COMPOSICIÓN!G915</f>
        <v>1</v>
      </c>
      <c r="H915" s="214">
        <f>COMPOSICIÓN!H915</f>
        <v>0</v>
      </c>
      <c r="I915" s="215">
        <f>COMPOSICIÓN!I915</f>
        <v>316.88644749976697</v>
      </c>
      <c r="J915" s="212" t="str">
        <f>IFERROR(VLOOKUP(A915,PARTIDAS!$A$2:$C$269,3,FALSE()),"")</f>
        <v>MAMPOSTERÍA</v>
      </c>
      <c r="K915" s="212" t="str">
        <f>IFERROR(INDEX(PPTO_GENERADOR!$B$4:$B$220,MATCH(A915,PPTO_GENERADOR!$Q$4:$Q$220,0)),"")</f>
        <v>MAMPOSTERÍA</v>
      </c>
      <c r="L915" s="216">
        <f>IF(PLAN_ETAPA!$C$4="(TODOS)",SUMIFS(PPTO_GENERADOR!$E$4:$E$220,PPTO_GENERADOR!$Q$4:$Q$220,A915),SUMIFS(PPTO_GENERADOR!$E$4:$E$220,PPTO_GENERADOR!$Q$4:$Q$220,A915,PPTO_GENERADOR!$B$4:$B$220,PLAN_ETAPA!$C$4))</f>
        <v>61</v>
      </c>
      <c r="M915" s="216">
        <f>IFERROR(VLOOKUP(A915,PARTIDAS!$A$2:$F$269,6,FALSE()),1)</f>
        <v>1</v>
      </c>
      <c r="N915" s="216">
        <f>IFERROR(VLOOKUP(A915,PARTIDAS!$A$2:$I$269,9,FALSE()),1)</f>
        <v>1</v>
      </c>
      <c r="O915" s="217">
        <f t="shared" si="28"/>
        <v>1</v>
      </c>
      <c r="P915" s="216">
        <f>IF(O915=0,0,IF(B915="MAT",G915*(1+H915)*L915*PLAN_ETAPA!$C$5,IF(B915="MO",IF(M915=0,0,G915*L915*PLAN_ETAPA!$C$5*N915/M915),IF(B915="EQ",IF(M915=0,0,G915*L915*PLAN_ETAPA!$C$5/M915),0))))</f>
        <v>61</v>
      </c>
      <c r="Q915" s="218">
        <f t="shared" si="29"/>
        <v>19330.073297485786</v>
      </c>
    </row>
    <row r="916" spans="1:17" x14ac:dyDescent="0.35">
      <c r="A916" s="212" t="str">
        <f>COMPOSICIÓN!A916</f>
        <v>PTO-0408</v>
      </c>
      <c r="B916" s="212" t="str">
        <f>COMPOSICIÓN!B916</f>
        <v>MAT</v>
      </c>
      <c r="C916" s="212" t="str">
        <f>COMPOSICIÓN!C916</f>
        <v>COR</v>
      </c>
      <c r="D916" s="212" t="str">
        <f>COMPOSICIÓN!D916</f>
        <v>MAT-CONS</v>
      </c>
      <c r="E916" s="212" t="str">
        <f>COMPOSICIÓN!E916</f>
        <v>Consumibles</v>
      </c>
      <c r="F916" s="212" t="str">
        <f>COMPOSICIÓN!F916</f>
        <v>gl</v>
      </c>
      <c r="G916" s="213">
        <f>COMPOSICIÓN!G916</f>
        <v>1391.9845</v>
      </c>
      <c r="H916" s="214">
        <f>COMPOSICIÓN!H916</f>
        <v>0</v>
      </c>
      <c r="I916" s="215">
        <f>COMPOSICIÓN!I916</f>
        <v>1</v>
      </c>
      <c r="J916" s="212" t="str">
        <f>IFERROR(VLOOKUP(A916,PARTIDAS!$A$2:$C$269,3,FALSE()),"")</f>
        <v>MAMPOSTERÍA</v>
      </c>
      <c r="K916" s="212" t="str">
        <f>IFERROR(INDEX(PPTO_GENERADOR!$B$4:$B$220,MATCH(A916,PPTO_GENERADOR!$Q$4:$Q$220,0)),"")</f>
        <v>MAMPOSTERÍA</v>
      </c>
      <c r="L916" s="216">
        <f>IF(PLAN_ETAPA!$C$4="(TODOS)",SUMIFS(PPTO_GENERADOR!$E$4:$E$220,PPTO_GENERADOR!$Q$4:$Q$220,A916),SUMIFS(PPTO_GENERADOR!$E$4:$E$220,PPTO_GENERADOR!$Q$4:$Q$220,A916,PPTO_GENERADOR!$B$4:$B$220,PLAN_ETAPA!$C$4))</f>
        <v>61</v>
      </c>
      <c r="M916" s="216">
        <f>IFERROR(VLOOKUP(A916,PARTIDAS!$A$2:$F$269,6,FALSE()),1)</f>
        <v>1</v>
      </c>
      <c r="N916" s="216">
        <f>IFERROR(VLOOKUP(A916,PARTIDAS!$A$2:$I$269,9,FALSE()),1)</f>
        <v>1</v>
      </c>
      <c r="O916" s="217">
        <f t="shared" si="28"/>
        <v>1</v>
      </c>
      <c r="P916" s="216">
        <f>IF(O916=0,0,IF(B916="MAT",G916*(1+H916)*L916*PLAN_ETAPA!$C$5,IF(B916="MO",IF(M916=0,0,G916*L916*PLAN_ETAPA!$C$5*N916/M916),IF(B916="EQ",IF(M916=0,0,G916*L916*PLAN_ETAPA!$C$5/M916),0))))</f>
        <v>84911.054499999998</v>
      </c>
      <c r="Q916" s="218">
        <f t="shared" si="29"/>
        <v>84911.054499999998</v>
      </c>
    </row>
    <row r="917" spans="1:17" x14ac:dyDescent="0.35">
      <c r="A917" s="212" t="str">
        <f>COMPOSICIÓN!A917</f>
        <v>PTO-0408</v>
      </c>
      <c r="B917" s="212" t="str">
        <f>COMPOSICIÓN!B917</f>
        <v>MAT</v>
      </c>
      <c r="C917" s="212" t="str">
        <f>COMPOSICIÓN!C917</f>
        <v>OTR</v>
      </c>
      <c r="D917" s="212" t="str">
        <f>COMPOSICIÓN!D917</f>
        <v>OTR-PTO042</v>
      </c>
      <c r="E917" s="212" t="str">
        <f>COMPOSICIÓN!E917</f>
        <v>Hierro del 6</v>
      </c>
      <c r="F917" s="212" t="str">
        <f>COMPOSICIÓN!F917</f>
        <v>kg</v>
      </c>
      <c r="G917" s="213">
        <f>COMPOSICIÓN!G917</f>
        <v>0.9</v>
      </c>
      <c r="H917" s="214">
        <f>COMPOSICIÓN!H917</f>
        <v>0</v>
      </c>
      <c r="I917" s="215">
        <f>COMPOSICIÓN!I917</f>
        <v>1704.41</v>
      </c>
      <c r="J917" s="212" t="str">
        <f>IFERROR(VLOOKUP(A917,PARTIDAS!$A$2:$C$269,3,FALSE()),"")</f>
        <v>MAMPOSTERÍA</v>
      </c>
      <c r="K917" s="212" t="str">
        <f>IFERROR(INDEX(PPTO_GENERADOR!$B$4:$B$220,MATCH(A917,PPTO_GENERADOR!$Q$4:$Q$220,0)),"")</f>
        <v>MAMPOSTERÍA</v>
      </c>
      <c r="L917" s="216">
        <f>IF(PLAN_ETAPA!$C$4="(TODOS)",SUMIFS(PPTO_GENERADOR!$E$4:$E$220,PPTO_GENERADOR!$Q$4:$Q$220,A917),SUMIFS(PPTO_GENERADOR!$E$4:$E$220,PPTO_GENERADOR!$Q$4:$Q$220,A917,PPTO_GENERADOR!$B$4:$B$220,PLAN_ETAPA!$C$4))</f>
        <v>61</v>
      </c>
      <c r="M917" s="216">
        <f>IFERROR(VLOOKUP(A917,PARTIDAS!$A$2:$F$269,6,FALSE()),1)</f>
        <v>1</v>
      </c>
      <c r="N917" s="216">
        <f>IFERROR(VLOOKUP(A917,PARTIDAS!$A$2:$I$269,9,FALSE()),1)</f>
        <v>1</v>
      </c>
      <c r="O917" s="217">
        <f t="shared" si="28"/>
        <v>1</v>
      </c>
      <c r="P917" s="216">
        <f>IF(O917=0,0,IF(B917="MAT",G917*(1+H917)*L917*PLAN_ETAPA!$C$5,IF(B917="MO",IF(M917=0,0,G917*L917*PLAN_ETAPA!$C$5*N917/M917),IF(B917="EQ",IF(M917=0,0,G917*L917*PLAN_ETAPA!$C$5/M917),0))))</f>
        <v>54.9</v>
      </c>
      <c r="Q917" s="218">
        <f t="shared" si="29"/>
        <v>93572.108999999997</v>
      </c>
    </row>
    <row r="918" spans="1:17" x14ac:dyDescent="0.35">
      <c r="A918" s="212" t="str">
        <f>COMPOSICIÓN!A918</f>
        <v>PTO-0408</v>
      </c>
      <c r="B918" s="212" t="str">
        <f>COMPOSICIÓN!B918</f>
        <v>MAT</v>
      </c>
      <c r="C918" s="212" t="str">
        <f>COMPOSICIÓN!C918</f>
        <v>OTR</v>
      </c>
      <c r="D918" s="212" t="str">
        <f>COMPOSICIÓN!D918</f>
        <v>OTR-PTO063</v>
      </c>
      <c r="E918" s="212" t="str">
        <f>COMPOSICIÓN!E918</f>
        <v>H30 6.20</v>
      </c>
      <c r="F918" s="212" t="str">
        <f>COMPOSICIÓN!F918</f>
        <v>m3</v>
      </c>
      <c r="G918" s="213">
        <f>COMPOSICIÓN!G918</f>
        <v>0.01</v>
      </c>
      <c r="H918" s="214">
        <f>COMPOSICIÓN!H918</f>
        <v>0</v>
      </c>
      <c r="I918" s="215">
        <f>COMPOSICIÓN!I918</f>
        <v>125000</v>
      </c>
      <c r="J918" s="212" t="str">
        <f>IFERROR(VLOOKUP(A918,PARTIDAS!$A$2:$C$269,3,FALSE()),"")</f>
        <v>MAMPOSTERÍA</v>
      </c>
      <c r="K918" s="212" t="str">
        <f>IFERROR(INDEX(PPTO_GENERADOR!$B$4:$B$220,MATCH(A918,PPTO_GENERADOR!$Q$4:$Q$220,0)),"")</f>
        <v>MAMPOSTERÍA</v>
      </c>
      <c r="L918" s="216">
        <f>IF(PLAN_ETAPA!$C$4="(TODOS)",SUMIFS(PPTO_GENERADOR!$E$4:$E$220,PPTO_GENERADOR!$Q$4:$Q$220,A918),SUMIFS(PPTO_GENERADOR!$E$4:$E$220,PPTO_GENERADOR!$Q$4:$Q$220,A918,PPTO_GENERADOR!$B$4:$B$220,PLAN_ETAPA!$C$4))</f>
        <v>61</v>
      </c>
      <c r="M918" s="216">
        <f>IFERROR(VLOOKUP(A918,PARTIDAS!$A$2:$F$269,6,FALSE()),1)</f>
        <v>1</v>
      </c>
      <c r="N918" s="216">
        <f>IFERROR(VLOOKUP(A918,PARTIDAS!$A$2:$I$269,9,FALSE()),1)</f>
        <v>1</v>
      </c>
      <c r="O918" s="217">
        <f t="shared" si="28"/>
        <v>1</v>
      </c>
      <c r="P918" s="216">
        <f>IF(O918=0,0,IF(B918="MAT",G918*(1+H918)*L918*PLAN_ETAPA!$C$5,IF(B918="MO",IF(M918=0,0,G918*L918*PLAN_ETAPA!$C$5*N918/M918),IF(B918="EQ",IF(M918=0,0,G918*L918*PLAN_ETAPA!$C$5/M918),0))))</f>
        <v>0.61</v>
      </c>
      <c r="Q918" s="218">
        <f t="shared" si="29"/>
        <v>76250</v>
      </c>
    </row>
    <row r="919" spans="1:17" x14ac:dyDescent="0.35">
      <c r="A919" s="212" t="str">
        <f>COMPOSICIÓN!A919</f>
        <v>PTO-0408</v>
      </c>
      <c r="B919" s="212" t="str">
        <f>COMPOSICIÓN!B919</f>
        <v>MAT</v>
      </c>
      <c r="C919" s="212" t="str">
        <f>COMPOSICIÓN!C919</f>
        <v>OTR</v>
      </c>
      <c r="D919" s="212" t="str">
        <f>COMPOSICIÓN!D919</f>
        <v>OTR-PTO064</v>
      </c>
      <c r="E919" s="212" t="str">
        <f>COMPOSICIÓN!E919</f>
        <v>Taco quimico</v>
      </c>
      <c r="F919" s="212" t="str">
        <f>COMPOSICIÓN!F919</f>
        <v>u</v>
      </c>
      <c r="G919" s="213">
        <f>COMPOSICIÓN!G919</f>
        <v>8.1967213114754106E-2</v>
      </c>
      <c r="H919" s="214">
        <f>COMPOSICIÓN!H919</f>
        <v>0</v>
      </c>
      <c r="I919" s="215">
        <f>COMPOSICIÓN!I919</f>
        <v>60000</v>
      </c>
      <c r="J919" s="212" t="str">
        <f>IFERROR(VLOOKUP(A919,PARTIDAS!$A$2:$C$269,3,FALSE()),"")</f>
        <v>MAMPOSTERÍA</v>
      </c>
      <c r="K919" s="212" t="str">
        <f>IFERROR(INDEX(PPTO_GENERADOR!$B$4:$B$220,MATCH(A919,PPTO_GENERADOR!$Q$4:$Q$220,0)),"")</f>
        <v>MAMPOSTERÍA</v>
      </c>
      <c r="L919" s="216">
        <f>IF(PLAN_ETAPA!$C$4="(TODOS)",SUMIFS(PPTO_GENERADOR!$E$4:$E$220,PPTO_GENERADOR!$Q$4:$Q$220,A919),SUMIFS(PPTO_GENERADOR!$E$4:$E$220,PPTO_GENERADOR!$Q$4:$Q$220,A919,PPTO_GENERADOR!$B$4:$B$220,PLAN_ETAPA!$C$4))</f>
        <v>61</v>
      </c>
      <c r="M919" s="216">
        <f>IFERROR(VLOOKUP(A919,PARTIDAS!$A$2:$F$269,6,FALSE()),1)</f>
        <v>1</v>
      </c>
      <c r="N919" s="216">
        <f>IFERROR(VLOOKUP(A919,PARTIDAS!$A$2:$I$269,9,FALSE()),1)</f>
        <v>1</v>
      </c>
      <c r="O919" s="217">
        <f t="shared" si="28"/>
        <v>1</v>
      </c>
      <c r="P919" s="216">
        <f>IF(O919=0,0,IF(B919="MAT",G919*(1+H919)*L919*PLAN_ETAPA!$C$5,IF(B919="MO",IF(M919=0,0,G919*L919*PLAN_ETAPA!$C$5*N919/M919),IF(B919="EQ",IF(M919=0,0,G919*L919*PLAN_ETAPA!$C$5/M919),0))))</f>
        <v>5.0000000000000009</v>
      </c>
      <c r="Q919" s="218">
        <f t="shared" si="29"/>
        <v>300000.00000000006</v>
      </c>
    </row>
    <row r="920" spans="1:17" x14ac:dyDescent="0.35">
      <c r="A920" s="212" t="str">
        <f>COMPOSICIÓN!A920</f>
        <v>PTO-0408</v>
      </c>
      <c r="B920" s="212" t="str">
        <f>COMPOSICIÓN!B920</f>
        <v>MO</v>
      </c>
      <c r="C920" s="212" t="str">
        <f>COMPOSICIÓN!C920</f>
        <v>ALB</v>
      </c>
      <c r="D920" s="212" t="str">
        <f>COMPOSICIÓN!D920</f>
        <v>MO-EAYUD</v>
      </c>
      <c r="E920" s="212" t="str">
        <f>COMPOSICIÓN!E920</f>
        <v>AYUDANTE</v>
      </c>
      <c r="F920" s="212" t="str">
        <f>COMPOSICIÓN!F920</f>
        <v>j</v>
      </c>
      <c r="G920" s="213">
        <f>COMPOSICIÓN!G920</f>
        <v>8.1967213114754106E-2</v>
      </c>
      <c r="H920" s="214">
        <f>COMPOSICIÓN!H920</f>
        <v>0</v>
      </c>
      <c r="I920" s="215">
        <f>COMPOSICIÓN!I920</f>
        <v>60860.580776572002</v>
      </c>
      <c r="J920" s="212" t="str">
        <f>IFERROR(VLOOKUP(A920,PARTIDAS!$A$2:$C$269,3,FALSE()),"")</f>
        <v>MAMPOSTERÍA</v>
      </c>
      <c r="K920" s="212" t="str">
        <f>IFERROR(INDEX(PPTO_GENERADOR!$B$4:$B$220,MATCH(A920,PPTO_GENERADOR!$Q$4:$Q$220,0)),"")</f>
        <v>MAMPOSTERÍA</v>
      </c>
      <c r="L920" s="216">
        <f>IF(PLAN_ETAPA!$C$4="(TODOS)",SUMIFS(PPTO_GENERADOR!$E$4:$E$220,PPTO_GENERADOR!$Q$4:$Q$220,A920),SUMIFS(PPTO_GENERADOR!$E$4:$E$220,PPTO_GENERADOR!$Q$4:$Q$220,A920,PPTO_GENERADOR!$B$4:$B$220,PLAN_ETAPA!$C$4))</f>
        <v>61</v>
      </c>
      <c r="M920" s="216">
        <f>IFERROR(VLOOKUP(A920,PARTIDAS!$A$2:$F$269,6,FALSE()),1)</f>
        <v>1</v>
      </c>
      <c r="N920" s="216">
        <f>IFERROR(VLOOKUP(A920,PARTIDAS!$A$2:$I$269,9,FALSE()),1)</f>
        <v>1</v>
      </c>
      <c r="O920" s="217">
        <f t="shared" si="28"/>
        <v>1</v>
      </c>
      <c r="P920" s="216">
        <f>IF(O920=0,0,IF(B920="MAT",G920*(1+H920)*L920*PLAN_ETAPA!$C$5,IF(B920="MO",IF(M920=0,0,G920*L920*PLAN_ETAPA!$C$5*N920/M920),IF(B920="EQ",IF(M920=0,0,G920*L920*PLAN_ETAPA!$C$5/M920),0))))</f>
        <v>5.0000000000000009</v>
      </c>
      <c r="Q920" s="218">
        <f t="shared" si="29"/>
        <v>304302.90388286009</v>
      </c>
    </row>
    <row r="921" spans="1:17" x14ac:dyDescent="0.35">
      <c r="A921" s="212" t="str">
        <f>COMPOSICIÓN!A921</f>
        <v>PTO-0408</v>
      </c>
      <c r="B921" s="212" t="str">
        <f>COMPOSICIÓN!B921</f>
        <v>MO</v>
      </c>
      <c r="C921" s="212" t="str">
        <f>COMPOSICIÓN!C921</f>
        <v>ALB</v>
      </c>
      <c r="D921" s="212" t="str">
        <f>COMPOSICIÓN!D921</f>
        <v>MO-EESPE</v>
      </c>
      <c r="E921" s="212" t="str">
        <f>COMPOSICIÓN!E921</f>
        <v>ESPECIALIZADO</v>
      </c>
      <c r="F921" s="212" t="str">
        <f>COMPOSICIÓN!F921</f>
        <v>j</v>
      </c>
      <c r="G921" s="213">
        <f>COMPOSICIÓN!G921</f>
        <v>8.1967213114754106E-2</v>
      </c>
      <c r="H921" s="214">
        <f>COMPOSICIÓN!H921</f>
        <v>0</v>
      </c>
      <c r="I921" s="215">
        <f>COMPOSICIÓN!I921</f>
        <v>85927.097156571996</v>
      </c>
      <c r="J921" s="212" t="str">
        <f>IFERROR(VLOOKUP(A921,PARTIDAS!$A$2:$C$269,3,FALSE()),"")</f>
        <v>MAMPOSTERÍA</v>
      </c>
      <c r="K921" s="212" t="str">
        <f>IFERROR(INDEX(PPTO_GENERADOR!$B$4:$B$220,MATCH(A921,PPTO_GENERADOR!$Q$4:$Q$220,0)),"")</f>
        <v>MAMPOSTERÍA</v>
      </c>
      <c r="L921" s="216">
        <f>IF(PLAN_ETAPA!$C$4="(TODOS)",SUMIFS(PPTO_GENERADOR!$E$4:$E$220,PPTO_GENERADOR!$Q$4:$Q$220,A921),SUMIFS(PPTO_GENERADOR!$E$4:$E$220,PPTO_GENERADOR!$Q$4:$Q$220,A921,PPTO_GENERADOR!$B$4:$B$220,PLAN_ETAPA!$C$4))</f>
        <v>61</v>
      </c>
      <c r="M921" s="216">
        <f>IFERROR(VLOOKUP(A921,PARTIDAS!$A$2:$F$269,6,FALSE()),1)</f>
        <v>1</v>
      </c>
      <c r="N921" s="216">
        <f>IFERROR(VLOOKUP(A921,PARTIDAS!$A$2:$I$269,9,FALSE()),1)</f>
        <v>1</v>
      </c>
      <c r="O921" s="217">
        <f t="shared" si="28"/>
        <v>1</v>
      </c>
      <c r="P921" s="216">
        <f>IF(O921=0,0,IF(B921="MAT",G921*(1+H921)*L921*PLAN_ETAPA!$C$5,IF(B921="MO",IF(M921=0,0,G921*L921*PLAN_ETAPA!$C$5*N921/M921),IF(B921="EQ",IF(M921=0,0,G921*L921*PLAN_ETAPA!$C$5/M921),0))))</f>
        <v>5.0000000000000009</v>
      </c>
      <c r="Q921" s="218">
        <f t="shared" si="29"/>
        <v>429635.48578286008</v>
      </c>
    </row>
    <row r="922" spans="1:17" x14ac:dyDescent="0.35">
      <c r="A922" s="212" t="str">
        <f>COMPOSICIÓN!A922</f>
        <v>PTO-0409</v>
      </c>
      <c r="B922" s="212" t="str">
        <f>COMPOSICIÓN!B922</f>
        <v>EQ</v>
      </c>
      <c r="C922" s="212">
        <f>COMPOSICIÓN!C922</f>
        <v>0</v>
      </c>
      <c r="D922" s="212" t="str">
        <f>COMPOSICIÓN!D922</f>
        <v>EQ-PTO040</v>
      </c>
      <c r="E922" s="212" t="str">
        <f>COMPOSICIÓN!E922</f>
        <v xml:space="preserve">Herramientas menores y consumibles - Banquina Sala tanque de bombeo </v>
      </c>
      <c r="F922" s="212">
        <f>COMPOSICIÓN!F922</f>
        <v>0</v>
      </c>
      <c r="G922" s="213">
        <f>COMPOSICIÓN!G922</f>
        <v>1</v>
      </c>
      <c r="H922" s="214">
        <f>COMPOSICIÓN!H922</f>
        <v>0</v>
      </c>
      <c r="I922" s="215">
        <f>COMPOSICIÓN!I922</f>
        <v>3113.9806362981599</v>
      </c>
      <c r="J922" s="212" t="str">
        <f>IFERROR(VLOOKUP(A922,PARTIDAS!$A$2:$C$269,3,FALSE()),"")</f>
        <v>MAMPOSTERÍA</v>
      </c>
      <c r="K922" s="212" t="str">
        <f>IFERROR(INDEX(PPTO_GENERADOR!$B$4:$B$220,MATCH(A922,PPTO_GENERADOR!$Q$4:$Q$220,0)),"")</f>
        <v>MAMPOSTERÍA</v>
      </c>
      <c r="L922" s="216">
        <f>IF(PLAN_ETAPA!$C$4="(TODOS)",SUMIFS(PPTO_GENERADOR!$E$4:$E$220,PPTO_GENERADOR!$Q$4:$Q$220,A922),SUMIFS(PPTO_GENERADOR!$E$4:$E$220,PPTO_GENERADOR!$Q$4:$Q$220,A922,PPTO_GENERADOR!$B$4:$B$220,PLAN_ETAPA!$C$4))</f>
        <v>1</v>
      </c>
      <c r="M922" s="216">
        <f>IFERROR(VLOOKUP(A922,PARTIDAS!$A$2:$F$269,6,FALSE()),1)</f>
        <v>1</v>
      </c>
      <c r="N922" s="216">
        <f>IFERROR(VLOOKUP(A922,PARTIDAS!$A$2:$I$269,9,FALSE()),1)</f>
        <v>1</v>
      </c>
      <c r="O922" s="217">
        <f t="shared" si="28"/>
        <v>1</v>
      </c>
      <c r="P922" s="216">
        <f>IF(O922=0,0,IF(B922="MAT",G922*(1+H922)*L922*PLAN_ETAPA!$C$5,IF(B922="MO",IF(M922=0,0,G922*L922*PLAN_ETAPA!$C$5*N922/M922),IF(B922="EQ",IF(M922=0,0,G922*L922*PLAN_ETAPA!$C$5/M922),0))))</f>
        <v>1</v>
      </c>
      <c r="Q922" s="218">
        <f t="shared" si="29"/>
        <v>3113.9806362981599</v>
      </c>
    </row>
    <row r="923" spans="1:17" x14ac:dyDescent="0.35">
      <c r="A923" s="212" t="str">
        <f>COMPOSICIÓN!A923</f>
        <v>PTO-0409</v>
      </c>
      <c r="B923" s="212" t="str">
        <f>COMPOSICIÓN!B923</f>
        <v>MAT</v>
      </c>
      <c r="C923" s="212" t="str">
        <f>COMPOSICIÓN!C923</f>
        <v>COR</v>
      </c>
      <c r="D923" s="212" t="str">
        <f>COMPOSICIÓN!D923</f>
        <v>MAT-CONS</v>
      </c>
      <c r="E923" s="212" t="str">
        <f>COMPOSICIÓN!E923</f>
        <v>Consumibles</v>
      </c>
      <c r="F923" s="212" t="str">
        <f>COMPOSICIÓN!F923</f>
        <v>gl</v>
      </c>
      <c r="G923" s="213">
        <f>COMPOSICIÓN!G923</f>
        <v>10135.171858899999</v>
      </c>
      <c r="H923" s="214">
        <f>COMPOSICIÓN!H923</f>
        <v>0</v>
      </c>
      <c r="I923" s="215">
        <f>COMPOSICIÓN!I923</f>
        <v>1</v>
      </c>
      <c r="J923" s="212" t="str">
        <f>IFERROR(VLOOKUP(A923,PARTIDAS!$A$2:$C$269,3,FALSE()),"")</f>
        <v>MAMPOSTERÍA</v>
      </c>
      <c r="K923" s="212" t="str">
        <f>IFERROR(INDEX(PPTO_GENERADOR!$B$4:$B$220,MATCH(A923,PPTO_GENERADOR!$Q$4:$Q$220,0)),"")</f>
        <v>MAMPOSTERÍA</v>
      </c>
      <c r="L923" s="216">
        <f>IF(PLAN_ETAPA!$C$4="(TODOS)",SUMIFS(PPTO_GENERADOR!$E$4:$E$220,PPTO_GENERADOR!$Q$4:$Q$220,A923),SUMIFS(PPTO_GENERADOR!$E$4:$E$220,PPTO_GENERADOR!$Q$4:$Q$220,A923,PPTO_GENERADOR!$B$4:$B$220,PLAN_ETAPA!$C$4))</f>
        <v>1</v>
      </c>
      <c r="M923" s="216">
        <f>IFERROR(VLOOKUP(A923,PARTIDAS!$A$2:$F$269,6,FALSE()),1)</f>
        <v>1</v>
      </c>
      <c r="N923" s="216">
        <f>IFERROR(VLOOKUP(A923,PARTIDAS!$A$2:$I$269,9,FALSE()),1)</f>
        <v>1</v>
      </c>
      <c r="O923" s="217">
        <f t="shared" si="28"/>
        <v>1</v>
      </c>
      <c r="P923" s="216">
        <f>IF(O923=0,0,IF(B923="MAT",G923*(1+H923)*L923*PLAN_ETAPA!$C$5,IF(B923="MO",IF(M923=0,0,G923*L923*PLAN_ETAPA!$C$5*N923/M923),IF(B923="EQ",IF(M923=0,0,G923*L923*PLAN_ETAPA!$C$5/M923),0))))</f>
        <v>10135.171858899999</v>
      </c>
      <c r="Q923" s="218">
        <f t="shared" si="29"/>
        <v>10135.171858899999</v>
      </c>
    </row>
    <row r="924" spans="1:17" x14ac:dyDescent="0.35">
      <c r="A924" s="212" t="str">
        <f>COMPOSICIÓN!A924</f>
        <v>PTO-0409</v>
      </c>
      <c r="B924" s="212" t="str">
        <f>COMPOSICIÓN!B924</f>
        <v>MAT</v>
      </c>
      <c r="C924" s="212" t="str">
        <f>COMPOSICIÓN!C924</f>
        <v>COR</v>
      </c>
      <c r="D924" s="212" t="str">
        <f>COMPOSICIÓN!D924</f>
        <v>OTR-PTO065</v>
      </c>
      <c r="E924" s="212" t="str">
        <f>COMPOSICIÓN!E924</f>
        <v xml:space="preserve">Contrapiso </v>
      </c>
      <c r="F924" s="212" t="str">
        <f>COMPOSICIÓN!F924</f>
        <v>m3</v>
      </c>
      <c r="G924" s="213">
        <f>COMPOSICIÓN!G924</f>
        <v>0.5</v>
      </c>
      <c r="H924" s="214">
        <f>COMPOSICIÓN!H924</f>
        <v>0</v>
      </c>
      <c r="I924" s="215">
        <f>COMPOSICIÓN!I924</f>
        <v>67465.638888999994</v>
      </c>
      <c r="J924" s="212" t="str">
        <f>IFERROR(VLOOKUP(A924,PARTIDAS!$A$2:$C$269,3,FALSE()),"")</f>
        <v>MAMPOSTERÍA</v>
      </c>
      <c r="K924" s="212" t="str">
        <f>IFERROR(INDEX(PPTO_GENERADOR!$B$4:$B$220,MATCH(A924,PPTO_GENERADOR!$Q$4:$Q$220,0)),"")</f>
        <v>MAMPOSTERÍA</v>
      </c>
      <c r="L924" s="216">
        <f>IF(PLAN_ETAPA!$C$4="(TODOS)",SUMIFS(PPTO_GENERADOR!$E$4:$E$220,PPTO_GENERADOR!$Q$4:$Q$220,A924),SUMIFS(PPTO_GENERADOR!$E$4:$E$220,PPTO_GENERADOR!$Q$4:$Q$220,A924,PPTO_GENERADOR!$B$4:$B$220,PLAN_ETAPA!$C$4))</f>
        <v>1</v>
      </c>
      <c r="M924" s="216">
        <f>IFERROR(VLOOKUP(A924,PARTIDAS!$A$2:$F$269,6,FALSE()),1)</f>
        <v>1</v>
      </c>
      <c r="N924" s="216">
        <f>IFERROR(VLOOKUP(A924,PARTIDAS!$A$2:$I$269,9,FALSE()),1)</f>
        <v>1</v>
      </c>
      <c r="O924" s="217">
        <f t="shared" si="28"/>
        <v>1</v>
      </c>
      <c r="P924" s="216">
        <f>IF(O924=0,0,IF(B924="MAT",G924*(1+H924)*L924*PLAN_ETAPA!$C$5,IF(B924="MO",IF(M924=0,0,G924*L924*PLAN_ETAPA!$C$5*N924/M924),IF(B924="EQ",IF(M924=0,0,G924*L924*PLAN_ETAPA!$C$5/M924),0))))</f>
        <v>0.5</v>
      </c>
      <c r="Q924" s="218">
        <f t="shared" si="29"/>
        <v>33732.819444499997</v>
      </c>
    </row>
    <row r="925" spans="1:17" x14ac:dyDescent="0.35">
      <c r="A925" s="212" t="str">
        <f>COMPOSICIÓN!A925</f>
        <v>PTO-0409</v>
      </c>
      <c r="B925" s="212" t="str">
        <f>COMPOSICIÓN!B925</f>
        <v>MAT</v>
      </c>
      <c r="C925" s="212" t="str">
        <f>COMPOSICIÓN!C925</f>
        <v>COR</v>
      </c>
      <c r="D925" s="212" t="str">
        <f>COMPOSICIÓN!D925</f>
        <v>OTR-PTO066</v>
      </c>
      <c r="E925" s="212" t="str">
        <f>COMPOSICIÓN!E925</f>
        <v>Carpeta</v>
      </c>
      <c r="F925" s="212" t="str">
        <f>COMPOSICIÓN!F925</f>
        <v>m2</v>
      </c>
      <c r="G925" s="213">
        <f>COMPOSICIÓN!G925</f>
        <v>5</v>
      </c>
      <c r="H925" s="214">
        <f>COMPOSICIÓN!H925</f>
        <v>0</v>
      </c>
      <c r="I925" s="215">
        <f>COMPOSICIÓN!I925</f>
        <v>3388.60797</v>
      </c>
      <c r="J925" s="212" t="str">
        <f>IFERROR(VLOOKUP(A925,PARTIDAS!$A$2:$C$269,3,FALSE()),"")</f>
        <v>MAMPOSTERÍA</v>
      </c>
      <c r="K925" s="212" t="str">
        <f>IFERROR(INDEX(PPTO_GENERADOR!$B$4:$B$220,MATCH(A925,PPTO_GENERADOR!$Q$4:$Q$220,0)),"")</f>
        <v>MAMPOSTERÍA</v>
      </c>
      <c r="L925" s="216">
        <f>IF(PLAN_ETAPA!$C$4="(TODOS)",SUMIFS(PPTO_GENERADOR!$E$4:$E$220,PPTO_GENERADOR!$Q$4:$Q$220,A925),SUMIFS(PPTO_GENERADOR!$E$4:$E$220,PPTO_GENERADOR!$Q$4:$Q$220,A925,PPTO_GENERADOR!$B$4:$B$220,PLAN_ETAPA!$C$4))</f>
        <v>1</v>
      </c>
      <c r="M925" s="216">
        <f>IFERROR(VLOOKUP(A925,PARTIDAS!$A$2:$F$269,6,FALSE()),1)</f>
        <v>1</v>
      </c>
      <c r="N925" s="216">
        <f>IFERROR(VLOOKUP(A925,PARTIDAS!$A$2:$I$269,9,FALSE()),1)</f>
        <v>1</v>
      </c>
      <c r="O925" s="217">
        <f t="shared" si="28"/>
        <v>1</v>
      </c>
      <c r="P925" s="216">
        <f>IF(O925=0,0,IF(B925="MAT",G925*(1+H925)*L925*PLAN_ETAPA!$C$5,IF(B925="MO",IF(M925=0,0,G925*L925*PLAN_ETAPA!$C$5*N925/M925),IF(B925="EQ",IF(M925=0,0,G925*L925*PLAN_ETAPA!$C$5/M925),0))))</f>
        <v>5</v>
      </c>
      <c r="Q925" s="218">
        <f t="shared" si="29"/>
        <v>16943.039850000001</v>
      </c>
    </row>
    <row r="926" spans="1:17" x14ac:dyDescent="0.35">
      <c r="A926" s="212" t="str">
        <f>COMPOSICIÓN!A926</f>
        <v>PTO-0409</v>
      </c>
      <c r="B926" s="212" t="str">
        <f>COMPOSICIÓN!B926</f>
        <v>MO</v>
      </c>
      <c r="C926" s="212" t="str">
        <f>COMPOSICIÓN!C926</f>
        <v>ALB</v>
      </c>
      <c r="D926" s="212" t="str">
        <f>COMPOSICIÓN!D926</f>
        <v>MO-EAYUD</v>
      </c>
      <c r="E926" s="212" t="str">
        <f>COMPOSICIÓN!E926</f>
        <v>AYUDANTE</v>
      </c>
      <c r="F926" s="212" t="str">
        <f>COMPOSICIÓN!F926</f>
        <v>j</v>
      </c>
      <c r="G926" s="213">
        <f>COMPOSICIÓN!G926</f>
        <v>1</v>
      </c>
      <c r="H926" s="214">
        <f>COMPOSICIÓN!H926</f>
        <v>0</v>
      </c>
      <c r="I926" s="215">
        <f>COMPOSICIÓN!I926</f>
        <v>60860.580776572002</v>
      </c>
      <c r="J926" s="212" t="str">
        <f>IFERROR(VLOOKUP(A926,PARTIDAS!$A$2:$C$269,3,FALSE()),"")</f>
        <v>MAMPOSTERÍA</v>
      </c>
      <c r="K926" s="212" t="str">
        <f>IFERROR(INDEX(PPTO_GENERADOR!$B$4:$B$220,MATCH(A926,PPTO_GENERADOR!$Q$4:$Q$220,0)),"")</f>
        <v>MAMPOSTERÍA</v>
      </c>
      <c r="L926" s="216">
        <f>IF(PLAN_ETAPA!$C$4="(TODOS)",SUMIFS(PPTO_GENERADOR!$E$4:$E$220,PPTO_GENERADOR!$Q$4:$Q$220,A926),SUMIFS(PPTO_GENERADOR!$E$4:$E$220,PPTO_GENERADOR!$Q$4:$Q$220,A926,PPTO_GENERADOR!$B$4:$B$220,PLAN_ETAPA!$C$4))</f>
        <v>1</v>
      </c>
      <c r="M926" s="216">
        <f>IFERROR(VLOOKUP(A926,PARTIDAS!$A$2:$F$269,6,FALSE()),1)</f>
        <v>1</v>
      </c>
      <c r="N926" s="216">
        <f>IFERROR(VLOOKUP(A926,PARTIDAS!$A$2:$I$269,9,FALSE()),1)</f>
        <v>1</v>
      </c>
      <c r="O926" s="217">
        <f t="shared" si="28"/>
        <v>1</v>
      </c>
      <c r="P926" s="216">
        <f>IF(O926=0,0,IF(B926="MAT",G926*(1+H926)*L926*PLAN_ETAPA!$C$5,IF(B926="MO",IF(M926=0,0,G926*L926*PLAN_ETAPA!$C$5*N926/M926),IF(B926="EQ",IF(M926=0,0,G926*L926*PLAN_ETAPA!$C$5/M926),0))))</f>
        <v>1</v>
      </c>
      <c r="Q926" s="218">
        <f t="shared" si="29"/>
        <v>60860.580776572002</v>
      </c>
    </row>
    <row r="927" spans="1:17" x14ac:dyDescent="0.35">
      <c r="A927" s="212" t="str">
        <f>COMPOSICIÓN!A927</f>
        <v>PTO-0409</v>
      </c>
      <c r="B927" s="212" t="str">
        <f>COMPOSICIÓN!B927</f>
        <v>MO</v>
      </c>
      <c r="C927" s="212" t="str">
        <f>COMPOSICIÓN!C927</f>
        <v>ALB</v>
      </c>
      <c r="D927" s="212" t="str">
        <f>COMPOSICIÓN!D927</f>
        <v>MO-EESPE</v>
      </c>
      <c r="E927" s="212" t="str">
        <f>COMPOSICIÓN!E927</f>
        <v>ESPECIALIZADO</v>
      </c>
      <c r="F927" s="212" t="str">
        <f>COMPOSICIÓN!F927</f>
        <v>j</v>
      </c>
      <c r="G927" s="213">
        <f>COMPOSICIÓN!G927</f>
        <v>1</v>
      </c>
      <c r="H927" s="214">
        <f>COMPOSICIÓN!H927</f>
        <v>0</v>
      </c>
      <c r="I927" s="215">
        <f>COMPOSICIÓN!I927</f>
        <v>85927.097156571996</v>
      </c>
      <c r="J927" s="212" t="str">
        <f>IFERROR(VLOOKUP(A927,PARTIDAS!$A$2:$C$269,3,FALSE()),"")</f>
        <v>MAMPOSTERÍA</v>
      </c>
      <c r="K927" s="212" t="str">
        <f>IFERROR(INDEX(PPTO_GENERADOR!$B$4:$B$220,MATCH(A927,PPTO_GENERADOR!$Q$4:$Q$220,0)),"")</f>
        <v>MAMPOSTERÍA</v>
      </c>
      <c r="L927" s="216">
        <f>IF(PLAN_ETAPA!$C$4="(TODOS)",SUMIFS(PPTO_GENERADOR!$E$4:$E$220,PPTO_GENERADOR!$Q$4:$Q$220,A927),SUMIFS(PPTO_GENERADOR!$E$4:$E$220,PPTO_GENERADOR!$Q$4:$Q$220,A927,PPTO_GENERADOR!$B$4:$B$220,PLAN_ETAPA!$C$4))</f>
        <v>1</v>
      </c>
      <c r="M927" s="216">
        <f>IFERROR(VLOOKUP(A927,PARTIDAS!$A$2:$F$269,6,FALSE()),1)</f>
        <v>1</v>
      </c>
      <c r="N927" s="216">
        <f>IFERROR(VLOOKUP(A927,PARTIDAS!$A$2:$I$269,9,FALSE()),1)</f>
        <v>1</v>
      </c>
      <c r="O927" s="217">
        <f t="shared" si="28"/>
        <v>1</v>
      </c>
      <c r="P927" s="216">
        <f>IF(O927=0,0,IF(B927="MAT",G927*(1+H927)*L927*PLAN_ETAPA!$C$5,IF(B927="MO",IF(M927=0,0,G927*L927*PLAN_ETAPA!$C$5*N927/M927),IF(B927="EQ",IF(M927=0,0,G927*L927*PLAN_ETAPA!$C$5/M927),0))))</f>
        <v>1</v>
      </c>
      <c r="Q927" s="218">
        <f t="shared" si="29"/>
        <v>85927.097156571996</v>
      </c>
    </row>
    <row r="928" spans="1:17" x14ac:dyDescent="0.35">
      <c r="A928" s="212" t="str">
        <f>COMPOSICIÓN!A928</f>
        <v>PTO-0410</v>
      </c>
      <c r="B928" s="212" t="str">
        <f>COMPOSICIÓN!B928</f>
        <v>EQ</v>
      </c>
      <c r="C928" s="212">
        <f>COMPOSICIÓN!C928</f>
        <v>0</v>
      </c>
      <c r="D928" s="212" t="str">
        <f>COMPOSICIÓN!D928</f>
        <v>EQ-PTO041</v>
      </c>
      <c r="E928" s="212" t="str">
        <f>COMPOSICIÓN!E928</f>
        <v>Herramientas menores y consumibles - Banquina en parrillas</v>
      </c>
      <c r="F928" s="212">
        <f>COMPOSICIÓN!F928</f>
        <v>0</v>
      </c>
      <c r="G928" s="213">
        <f>COMPOSICIÓN!G928</f>
        <v>1</v>
      </c>
      <c r="H928" s="214">
        <f>COMPOSICIÓN!H928</f>
        <v>0</v>
      </c>
      <c r="I928" s="215">
        <f>COMPOSICIÓN!I928</f>
        <v>8884.4798329444802</v>
      </c>
      <c r="J928" s="212" t="str">
        <f>IFERROR(VLOOKUP(A928,PARTIDAS!$A$2:$C$269,3,FALSE()),"")</f>
        <v>MAMPOSTERÍA</v>
      </c>
      <c r="K928" s="212" t="str">
        <f>IFERROR(INDEX(PPTO_GENERADOR!$B$4:$B$220,MATCH(A928,PPTO_GENERADOR!$Q$4:$Q$220,0)),"")</f>
        <v>MAMPOSTERÍA</v>
      </c>
      <c r="L928" s="216">
        <f>IF(PLAN_ETAPA!$C$4="(TODOS)",SUMIFS(PPTO_GENERADOR!$E$4:$E$220,PPTO_GENERADOR!$Q$4:$Q$220,A928),SUMIFS(PPTO_GENERADOR!$E$4:$E$220,PPTO_GENERADOR!$Q$4:$Q$220,A928,PPTO_GENERADOR!$B$4:$B$220,PLAN_ETAPA!$C$4))</f>
        <v>1</v>
      </c>
      <c r="M928" s="216">
        <f>IFERROR(VLOOKUP(A928,PARTIDAS!$A$2:$F$269,6,FALSE()),1)</f>
        <v>1</v>
      </c>
      <c r="N928" s="216">
        <f>IFERROR(VLOOKUP(A928,PARTIDAS!$A$2:$I$269,9,FALSE()),1)</f>
        <v>1</v>
      </c>
      <c r="O928" s="217">
        <f t="shared" si="28"/>
        <v>1</v>
      </c>
      <c r="P928" s="216">
        <f>IF(O928=0,0,IF(B928="MAT",G928*(1+H928)*L928*PLAN_ETAPA!$C$5,IF(B928="MO",IF(M928=0,0,G928*L928*PLAN_ETAPA!$C$5*N928/M928),IF(B928="EQ",IF(M928=0,0,G928*L928*PLAN_ETAPA!$C$5/M928),0))))</f>
        <v>1</v>
      </c>
      <c r="Q928" s="218">
        <f t="shared" si="29"/>
        <v>8884.4798329444802</v>
      </c>
    </row>
    <row r="929" spans="1:17" x14ac:dyDescent="0.35">
      <c r="A929" s="212" t="str">
        <f>COMPOSICIÓN!A929</f>
        <v>PTO-0410</v>
      </c>
      <c r="B929" s="212" t="str">
        <f>COMPOSICIÓN!B929</f>
        <v>MAT</v>
      </c>
      <c r="C929" s="212" t="str">
        <f>COMPOSICIÓN!C929</f>
        <v>COR</v>
      </c>
      <c r="D929" s="212" t="str">
        <f>COMPOSICIÓN!D929</f>
        <v>MAT-CONS</v>
      </c>
      <c r="E929" s="212" t="str">
        <f>COMPOSICIÓN!E929</f>
        <v>Consumibles</v>
      </c>
      <c r="F929" s="212" t="str">
        <f>COMPOSICIÓN!F929</f>
        <v>gl</v>
      </c>
      <c r="G929" s="213">
        <f>COMPOSICIÓN!G929</f>
        <v>50645.2072434</v>
      </c>
      <c r="H929" s="214">
        <f>COMPOSICIÓN!H929</f>
        <v>0</v>
      </c>
      <c r="I929" s="215">
        <f>COMPOSICIÓN!I929</f>
        <v>1</v>
      </c>
      <c r="J929" s="212" t="str">
        <f>IFERROR(VLOOKUP(A929,PARTIDAS!$A$2:$C$269,3,FALSE()),"")</f>
        <v>MAMPOSTERÍA</v>
      </c>
      <c r="K929" s="212" t="str">
        <f>IFERROR(INDEX(PPTO_GENERADOR!$B$4:$B$220,MATCH(A929,PPTO_GENERADOR!$Q$4:$Q$220,0)),"")</f>
        <v>MAMPOSTERÍA</v>
      </c>
      <c r="L929" s="216">
        <f>IF(PLAN_ETAPA!$C$4="(TODOS)",SUMIFS(PPTO_GENERADOR!$E$4:$E$220,PPTO_GENERADOR!$Q$4:$Q$220,A929),SUMIFS(PPTO_GENERADOR!$E$4:$E$220,PPTO_GENERADOR!$Q$4:$Q$220,A929,PPTO_GENERADOR!$B$4:$B$220,PLAN_ETAPA!$C$4))</f>
        <v>1</v>
      </c>
      <c r="M929" s="216">
        <f>IFERROR(VLOOKUP(A929,PARTIDAS!$A$2:$F$269,6,FALSE()),1)</f>
        <v>1</v>
      </c>
      <c r="N929" s="216">
        <f>IFERROR(VLOOKUP(A929,PARTIDAS!$A$2:$I$269,9,FALSE()),1)</f>
        <v>1</v>
      </c>
      <c r="O929" s="217">
        <f t="shared" si="28"/>
        <v>1</v>
      </c>
      <c r="P929" s="216">
        <f>IF(O929=0,0,IF(B929="MAT",G929*(1+H929)*L929*PLAN_ETAPA!$C$5,IF(B929="MO",IF(M929=0,0,G929*L929*PLAN_ETAPA!$C$5*N929/M929),IF(B929="EQ",IF(M929=0,0,G929*L929*PLAN_ETAPA!$C$5/M929),0))))</f>
        <v>50645.2072434</v>
      </c>
      <c r="Q929" s="218">
        <f t="shared" si="29"/>
        <v>50645.2072434</v>
      </c>
    </row>
    <row r="930" spans="1:17" x14ac:dyDescent="0.35">
      <c r="A930" s="212" t="str">
        <f>COMPOSICIÓN!A930</f>
        <v>PTO-0410</v>
      </c>
      <c r="B930" s="212" t="str">
        <f>COMPOSICIÓN!B930</f>
        <v>MAT</v>
      </c>
      <c r="C930" s="212" t="str">
        <f>COMPOSICIÓN!C930</f>
        <v>COR</v>
      </c>
      <c r="D930" s="212" t="str">
        <f>COMPOSICIÓN!D930</f>
        <v>OTR-PTO065</v>
      </c>
      <c r="E930" s="212" t="str">
        <f>COMPOSICIÓN!E930</f>
        <v xml:space="preserve">Contrapiso </v>
      </c>
      <c r="F930" s="212" t="str">
        <f>COMPOSICIÓN!F930</f>
        <v>m3</v>
      </c>
      <c r="G930" s="213">
        <f>COMPOSICIÓN!G930</f>
        <v>1.2</v>
      </c>
      <c r="H930" s="214">
        <f>COMPOSICIÓN!H930</f>
        <v>0</v>
      </c>
      <c r="I930" s="215">
        <f>COMPOSICIÓN!I930</f>
        <v>67465.638888999994</v>
      </c>
      <c r="J930" s="212" t="str">
        <f>IFERROR(VLOOKUP(A930,PARTIDAS!$A$2:$C$269,3,FALSE()),"")</f>
        <v>MAMPOSTERÍA</v>
      </c>
      <c r="K930" s="212" t="str">
        <f>IFERROR(INDEX(PPTO_GENERADOR!$B$4:$B$220,MATCH(A930,PPTO_GENERADOR!$Q$4:$Q$220,0)),"")</f>
        <v>MAMPOSTERÍA</v>
      </c>
      <c r="L930" s="216">
        <f>IF(PLAN_ETAPA!$C$4="(TODOS)",SUMIFS(PPTO_GENERADOR!$E$4:$E$220,PPTO_GENERADOR!$Q$4:$Q$220,A930),SUMIFS(PPTO_GENERADOR!$E$4:$E$220,PPTO_GENERADOR!$Q$4:$Q$220,A930,PPTO_GENERADOR!$B$4:$B$220,PLAN_ETAPA!$C$4))</f>
        <v>1</v>
      </c>
      <c r="M930" s="216">
        <f>IFERROR(VLOOKUP(A930,PARTIDAS!$A$2:$F$269,6,FALSE()),1)</f>
        <v>1</v>
      </c>
      <c r="N930" s="216">
        <f>IFERROR(VLOOKUP(A930,PARTIDAS!$A$2:$I$269,9,FALSE()),1)</f>
        <v>1</v>
      </c>
      <c r="O930" s="217">
        <f t="shared" si="28"/>
        <v>1</v>
      </c>
      <c r="P930" s="216">
        <f>IF(O930=0,0,IF(B930="MAT",G930*(1+H930)*L930*PLAN_ETAPA!$C$5,IF(B930="MO",IF(M930=0,0,G930*L930*PLAN_ETAPA!$C$5*N930/M930),IF(B930="EQ",IF(M930=0,0,G930*L930*PLAN_ETAPA!$C$5/M930),0))))</f>
        <v>1.2</v>
      </c>
      <c r="Q930" s="218">
        <f t="shared" si="29"/>
        <v>80958.766666799987</v>
      </c>
    </row>
    <row r="931" spans="1:17" x14ac:dyDescent="0.35">
      <c r="A931" s="212" t="str">
        <f>COMPOSICIÓN!A931</f>
        <v>PTO-0410</v>
      </c>
      <c r="B931" s="212" t="str">
        <f>COMPOSICIÓN!B931</f>
        <v>MAT</v>
      </c>
      <c r="C931" s="212" t="str">
        <f>COMPOSICIÓN!C931</f>
        <v>COR</v>
      </c>
      <c r="D931" s="212" t="str">
        <f>COMPOSICIÓN!D931</f>
        <v>OTR-PTO066</v>
      </c>
      <c r="E931" s="212" t="str">
        <f>COMPOSICIÓN!E931</f>
        <v>Carpeta</v>
      </c>
      <c r="F931" s="212" t="str">
        <f>COMPOSICIÓN!F931</f>
        <v>m2</v>
      </c>
      <c r="G931" s="213">
        <f>COMPOSICIÓN!G931</f>
        <v>6</v>
      </c>
      <c r="H931" s="214">
        <f>COMPOSICIÓN!H931</f>
        <v>0</v>
      </c>
      <c r="I931" s="215">
        <f>COMPOSICIÓN!I931</f>
        <v>3388.60797</v>
      </c>
      <c r="J931" s="212" t="str">
        <f>IFERROR(VLOOKUP(A931,PARTIDAS!$A$2:$C$269,3,FALSE()),"")</f>
        <v>MAMPOSTERÍA</v>
      </c>
      <c r="K931" s="212" t="str">
        <f>IFERROR(INDEX(PPTO_GENERADOR!$B$4:$B$220,MATCH(A931,PPTO_GENERADOR!$Q$4:$Q$220,0)),"")</f>
        <v>MAMPOSTERÍA</v>
      </c>
      <c r="L931" s="216">
        <f>IF(PLAN_ETAPA!$C$4="(TODOS)",SUMIFS(PPTO_GENERADOR!$E$4:$E$220,PPTO_GENERADOR!$Q$4:$Q$220,A931),SUMIFS(PPTO_GENERADOR!$E$4:$E$220,PPTO_GENERADOR!$Q$4:$Q$220,A931,PPTO_GENERADOR!$B$4:$B$220,PLAN_ETAPA!$C$4))</f>
        <v>1</v>
      </c>
      <c r="M931" s="216">
        <f>IFERROR(VLOOKUP(A931,PARTIDAS!$A$2:$F$269,6,FALSE()),1)</f>
        <v>1</v>
      </c>
      <c r="N931" s="216">
        <f>IFERROR(VLOOKUP(A931,PARTIDAS!$A$2:$I$269,9,FALSE()),1)</f>
        <v>1</v>
      </c>
      <c r="O931" s="217">
        <f t="shared" si="28"/>
        <v>1</v>
      </c>
      <c r="P931" s="216">
        <f>IF(O931=0,0,IF(B931="MAT",G931*(1+H931)*L931*PLAN_ETAPA!$C$5,IF(B931="MO",IF(M931=0,0,G931*L931*PLAN_ETAPA!$C$5*N931/M931),IF(B931="EQ",IF(M931=0,0,G931*L931*PLAN_ETAPA!$C$5/M931),0))))</f>
        <v>6</v>
      </c>
      <c r="Q931" s="218">
        <f t="shared" si="29"/>
        <v>20331.647819999998</v>
      </c>
    </row>
    <row r="932" spans="1:17" x14ac:dyDescent="0.35">
      <c r="A932" s="212" t="str">
        <f>COMPOSICIÓN!A932</f>
        <v>PTO-0410</v>
      </c>
      <c r="B932" s="212" t="str">
        <f>COMPOSICIÓN!B932</f>
        <v>MO</v>
      </c>
      <c r="C932" s="212" t="str">
        <f>COMPOSICIÓN!C932</f>
        <v>ALB</v>
      </c>
      <c r="D932" s="212" t="str">
        <f>COMPOSICIÓN!D932</f>
        <v>MO-EAYUD</v>
      </c>
      <c r="E932" s="212" t="str">
        <f>COMPOSICIÓN!E932</f>
        <v>AYUDANTE</v>
      </c>
      <c r="F932" s="212" t="str">
        <f>COMPOSICIÓN!F932</f>
        <v>j</v>
      </c>
      <c r="G932" s="213">
        <f>COMPOSICIÓN!G932</f>
        <v>3</v>
      </c>
      <c r="H932" s="214">
        <f>COMPOSICIÓN!H932</f>
        <v>0</v>
      </c>
      <c r="I932" s="215">
        <f>COMPOSICIÓN!I932</f>
        <v>60860.580776572002</v>
      </c>
      <c r="J932" s="212" t="str">
        <f>IFERROR(VLOOKUP(A932,PARTIDAS!$A$2:$C$269,3,FALSE()),"")</f>
        <v>MAMPOSTERÍA</v>
      </c>
      <c r="K932" s="212" t="str">
        <f>IFERROR(INDEX(PPTO_GENERADOR!$B$4:$B$220,MATCH(A932,PPTO_GENERADOR!$Q$4:$Q$220,0)),"")</f>
        <v>MAMPOSTERÍA</v>
      </c>
      <c r="L932" s="216">
        <f>IF(PLAN_ETAPA!$C$4="(TODOS)",SUMIFS(PPTO_GENERADOR!$E$4:$E$220,PPTO_GENERADOR!$Q$4:$Q$220,A932),SUMIFS(PPTO_GENERADOR!$E$4:$E$220,PPTO_GENERADOR!$Q$4:$Q$220,A932,PPTO_GENERADOR!$B$4:$B$220,PLAN_ETAPA!$C$4))</f>
        <v>1</v>
      </c>
      <c r="M932" s="216">
        <f>IFERROR(VLOOKUP(A932,PARTIDAS!$A$2:$F$269,6,FALSE()),1)</f>
        <v>1</v>
      </c>
      <c r="N932" s="216">
        <f>IFERROR(VLOOKUP(A932,PARTIDAS!$A$2:$I$269,9,FALSE()),1)</f>
        <v>1</v>
      </c>
      <c r="O932" s="217">
        <f t="shared" si="28"/>
        <v>1</v>
      </c>
      <c r="P932" s="216">
        <f>IF(O932=0,0,IF(B932="MAT",G932*(1+H932)*L932*PLAN_ETAPA!$C$5,IF(B932="MO",IF(M932=0,0,G932*L932*PLAN_ETAPA!$C$5*N932/M932),IF(B932="EQ",IF(M932=0,0,G932*L932*PLAN_ETAPA!$C$5/M932),0))))</f>
        <v>3</v>
      </c>
      <c r="Q932" s="218">
        <f t="shared" si="29"/>
        <v>182581.74232971601</v>
      </c>
    </row>
    <row r="933" spans="1:17" x14ac:dyDescent="0.35">
      <c r="A933" s="212" t="str">
        <f>COMPOSICIÓN!A933</f>
        <v>PTO-0410</v>
      </c>
      <c r="B933" s="212" t="str">
        <f>COMPOSICIÓN!B933</f>
        <v>MO</v>
      </c>
      <c r="C933" s="212" t="str">
        <f>COMPOSICIÓN!C933</f>
        <v>ALB</v>
      </c>
      <c r="D933" s="212" t="str">
        <f>COMPOSICIÓN!D933</f>
        <v>MO-EESPE</v>
      </c>
      <c r="E933" s="212" t="str">
        <f>COMPOSICIÓN!E933</f>
        <v>ESPECIALIZADO</v>
      </c>
      <c r="F933" s="212" t="str">
        <f>COMPOSICIÓN!F933</f>
        <v>j</v>
      </c>
      <c r="G933" s="213">
        <f>COMPOSICIÓN!G933</f>
        <v>3</v>
      </c>
      <c r="H933" s="214">
        <f>COMPOSICIÓN!H933</f>
        <v>0</v>
      </c>
      <c r="I933" s="215">
        <f>COMPOSICIÓN!I933</f>
        <v>85927.097156571996</v>
      </c>
      <c r="J933" s="212" t="str">
        <f>IFERROR(VLOOKUP(A933,PARTIDAS!$A$2:$C$269,3,FALSE()),"")</f>
        <v>MAMPOSTERÍA</v>
      </c>
      <c r="K933" s="212" t="str">
        <f>IFERROR(INDEX(PPTO_GENERADOR!$B$4:$B$220,MATCH(A933,PPTO_GENERADOR!$Q$4:$Q$220,0)),"")</f>
        <v>MAMPOSTERÍA</v>
      </c>
      <c r="L933" s="216">
        <f>IF(PLAN_ETAPA!$C$4="(TODOS)",SUMIFS(PPTO_GENERADOR!$E$4:$E$220,PPTO_GENERADOR!$Q$4:$Q$220,A933),SUMIFS(PPTO_GENERADOR!$E$4:$E$220,PPTO_GENERADOR!$Q$4:$Q$220,A933,PPTO_GENERADOR!$B$4:$B$220,PLAN_ETAPA!$C$4))</f>
        <v>1</v>
      </c>
      <c r="M933" s="216">
        <f>IFERROR(VLOOKUP(A933,PARTIDAS!$A$2:$F$269,6,FALSE()),1)</f>
        <v>1</v>
      </c>
      <c r="N933" s="216">
        <f>IFERROR(VLOOKUP(A933,PARTIDAS!$A$2:$I$269,9,FALSE()),1)</f>
        <v>1</v>
      </c>
      <c r="O933" s="217">
        <f t="shared" si="28"/>
        <v>1</v>
      </c>
      <c r="P933" s="216">
        <f>IF(O933=0,0,IF(B933="MAT",G933*(1+H933)*L933*PLAN_ETAPA!$C$5,IF(B933="MO",IF(M933=0,0,G933*L933*PLAN_ETAPA!$C$5*N933/M933),IF(B933="EQ",IF(M933=0,0,G933*L933*PLAN_ETAPA!$C$5/M933),0))))</f>
        <v>3</v>
      </c>
      <c r="Q933" s="218">
        <f t="shared" si="29"/>
        <v>257781.291469716</v>
      </c>
    </row>
    <row r="934" spans="1:17" x14ac:dyDescent="0.35">
      <c r="A934" s="212" t="str">
        <f>COMPOSICIÓN!A934</f>
        <v>PTO-0411</v>
      </c>
      <c r="B934" s="212" t="str">
        <f>COMPOSICIÓN!B934</f>
        <v>EQ</v>
      </c>
      <c r="C934" s="212">
        <f>COMPOSICIÓN!C934</f>
        <v>0</v>
      </c>
      <c r="D934" s="212" t="str">
        <f>COMPOSICIÓN!D934</f>
        <v>EQ-PTO042</v>
      </c>
      <c r="E934" s="212" t="str">
        <f>COMPOSICIÓN!E934</f>
        <v>Herramientas menores y consumibles - Excavación y amurado con Hº tanque de recuperación</v>
      </c>
      <c r="F934" s="212">
        <f>COMPOSICIÓN!F934</f>
        <v>0</v>
      </c>
      <c r="G934" s="213">
        <f>COMPOSICIÓN!G934</f>
        <v>1</v>
      </c>
      <c r="H934" s="214">
        <f>COMPOSICIÓN!H934</f>
        <v>0</v>
      </c>
      <c r="I934" s="215">
        <f>COMPOSICIÓN!I934</f>
        <v>5824.1957555443196</v>
      </c>
      <c r="J934" s="212" t="str">
        <f>IFERROR(VLOOKUP(A934,PARTIDAS!$A$2:$C$269,3,FALSE()),"")</f>
        <v>MAMPOSTERÍA</v>
      </c>
      <c r="K934" s="212" t="str">
        <f>IFERROR(INDEX(PPTO_GENERADOR!$B$4:$B$220,MATCH(A934,PPTO_GENERADOR!$Q$4:$Q$220,0)),"")</f>
        <v>MAMPOSTERÍA</v>
      </c>
      <c r="L934" s="216">
        <f>IF(PLAN_ETAPA!$C$4="(TODOS)",SUMIFS(PPTO_GENERADOR!$E$4:$E$220,PPTO_GENERADOR!$Q$4:$Q$220,A934),SUMIFS(PPTO_GENERADOR!$E$4:$E$220,PPTO_GENERADOR!$Q$4:$Q$220,A934,PPTO_GENERADOR!$B$4:$B$220,PLAN_ETAPA!$C$4))</f>
        <v>1</v>
      </c>
      <c r="M934" s="216">
        <f>IFERROR(VLOOKUP(A934,PARTIDAS!$A$2:$F$269,6,FALSE()),1)</f>
        <v>1</v>
      </c>
      <c r="N934" s="216">
        <f>IFERROR(VLOOKUP(A934,PARTIDAS!$A$2:$I$269,9,FALSE()),1)</f>
        <v>1</v>
      </c>
      <c r="O934" s="217">
        <f t="shared" si="28"/>
        <v>1</v>
      </c>
      <c r="P934" s="216">
        <f>IF(O934=0,0,IF(B934="MAT",G934*(1+H934)*L934*PLAN_ETAPA!$C$5,IF(B934="MO",IF(M934=0,0,G934*L934*PLAN_ETAPA!$C$5*N934/M934),IF(B934="EQ",IF(M934=0,0,G934*L934*PLAN_ETAPA!$C$5/M934),0))))</f>
        <v>1</v>
      </c>
      <c r="Q934" s="218">
        <f t="shared" si="29"/>
        <v>5824.1957555443196</v>
      </c>
    </row>
    <row r="935" spans="1:17" x14ac:dyDescent="0.35">
      <c r="A935" s="212" t="str">
        <f>COMPOSICIÓN!A935</f>
        <v>PTO-0411</v>
      </c>
      <c r="B935" s="212" t="str">
        <f>COMPOSICIÓN!B935</f>
        <v>MAT</v>
      </c>
      <c r="C935" s="212" t="str">
        <f>COMPOSICIÓN!C935</f>
        <v>COR</v>
      </c>
      <c r="D935" s="212" t="str">
        <f>COMPOSICIÓN!D935</f>
        <v>OTR-PTO067</v>
      </c>
      <c r="E935" s="212" t="str">
        <f>COMPOSICIÓN!E935</f>
        <v>HªAª</v>
      </c>
      <c r="F935" s="212" t="str">
        <f>COMPOSICIÓN!F935</f>
        <v>m3</v>
      </c>
      <c r="G935" s="213">
        <f>COMPOSICIÓN!G935</f>
        <v>0.75</v>
      </c>
      <c r="H935" s="214">
        <f>COMPOSICIÓN!H935</f>
        <v>0</v>
      </c>
      <c r="I935" s="215">
        <f>COMPOSICIÓN!I935</f>
        <v>125000</v>
      </c>
      <c r="J935" s="212" t="str">
        <f>IFERROR(VLOOKUP(A935,PARTIDAS!$A$2:$C$269,3,FALSE()),"")</f>
        <v>MAMPOSTERÍA</v>
      </c>
      <c r="K935" s="212" t="str">
        <f>IFERROR(INDEX(PPTO_GENERADOR!$B$4:$B$220,MATCH(A935,PPTO_GENERADOR!$Q$4:$Q$220,0)),"")</f>
        <v>MAMPOSTERÍA</v>
      </c>
      <c r="L935" s="216">
        <f>IF(PLAN_ETAPA!$C$4="(TODOS)",SUMIFS(PPTO_GENERADOR!$E$4:$E$220,PPTO_GENERADOR!$Q$4:$Q$220,A935),SUMIFS(PPTO_GENERADOR!$E$4:$E$220,PPTO_GENERADOR!$Q$4:$Q$220,A935,PPTO_GENERADOR!$B$4:$B$220,PLAN_ETAPA!$C$4))</f>
        <v>1</v>
      </c>
      <c r="M935" s="216">
        <f>IFERROR(VLOOKUP(A935,PARTIDAS!$A$2:$F$269,6,FALSE()),1)</f>
        <v>1</v>
      </c>
      <c r="N935" s="216">
        <f>IFERROR(VLOOKUP(A935,PARTIDAS!$A$2:$I$269,9,FALSE()),1)</f>
        <v>1</v>
      </c>
      <c r="O935" s="217">
        <f t="shared" si="28"/>
        <v>1</v>
      </c>
      <c r="P935" s="216">
        <f>IF(O935=0,0,IF(B935="MAT",G935*(1+H935)*L935*PLAN_ETAPA!$C$5,IF(B935="MO",IF(M935=0,0,G935*L935*PLAN_ETAPA!$C$5*N935/M935),IF(B935="EQ",IF(M935=0,0,G935*L935*PLAN_ETAPA!$C$5/M935),0))))</f>
        <v>0.75</v>
      </c>
      <c r="Q935" s="218">
        <f t="shared" si="29"/>
        <v>93750</v>
      </c>
    </row>
    <row r="936" spans="1:17" x14ac:dyDescent="0.35">
      <c r="A936" s="212" t="str">
        <f>COMPOSICIÓN!A936</f>
        <v>PTO-0411</v>
      </c>
      <c r="B936" s="212" t="str">
        <f>COMPOSICIÓN!B936</f>
        <v>MAT</v>
      </c>
      <c r="C936" s="212" t="str">
        <f>COMPOSICIÓN!C936</f>
        <v>COR</v>
      </c>
      <c r="D936" s="212" t="str">
        <f>COMPOSICIÓN!D936</f>
        <v>OTR-PTO068</v>
      </c>
      <c r="E936" s="212" t="str">
        <f>COMPOSICIÓN!E936</f>
        <v xml:space="preserve">Malla </v>
      </c>
      <c r="F936" s="212" t="str">
        <f>COMPOSICIÓN!F936</f>
        <v>u</v>
      </c>
      <c r="G936" s="213">
        <f>COMPOSICIÓN!G936</f>
        <v>0.5</v>
      </c>
      <c r="H936" s="214">
        <f>COMPOSICIÓN!H936</f>
        <v>0</v>
      </c>
      <c r="I936" s="215">
        <f>COMPOSICIÓN!I936</f>
        <v>69985.789999999994</v>
      </c>
      <c r="J936" s="212" t="str">
        <f>IFERROR(VLOOKUP(A936,PARTIDAS!$A$2:$C$269,3,FALSE()),"")</f>
        <v>MAMPOSTERÍA</v>
      </c>
      <c r="K936" s="212" t="str">
        <f>IFERROR(INDEX(PPTO_GENERADOR!$B$4:$B$220,MATCH(A936,PPTO_GENERADOR!$Q$4:$Q$220,0)),"")</f>
        <v>MAMPOSTERÍA</v>
      </c>
      <c r="L936" s="216">
        <f>IF(PLAN_ETAPA!$C$4="(TODOS)",SUMIFS(PPTO_GENERADOR!$E$4:$E$220,PPTO_GENERADOR!$Q$4:$Q$220,A936),SUMIFS(PPTO_GENERADOR!$E$4:$E$220,PPTO_GENERADOR!$Q$4:$Q$220,A936,PPTO_GENERADOR!$B$4:$B$220,PLAN_ETAPA!$C$4))</f>
        <v>1</v>
      </c>
      <c r="M936" s="216">
        <f>IFERROR(VLOOKUP(A936,PARTIDAS!$A$2:$F$269,6,FALSE()),1)</f>
        <v>1</v>
      </c>
      <c r="N936" s="216">
        <f>IFERROR(VLOOKUP(A936,PARTIDAS!$A$2:$I$269,9,FALSE()),1)</f>
        <v>1</v>
      </c>
      <c r="O936" s="217">
        <f t="shared" si="28"/>
        <v>1</v>
      </c>
      <c r="P936" s="216">
        <f>IF(O936=0,0,IF(B936="MAT",G936*(1+H936)*L936*PLAN_ETAPA!$C$5,IF(B936="MO",IF(M936=0,0,G936*L936*PLAN_ETAPA!$C$5*N936/M936),IF(B936="EQ",IF(M936=0,0,G936*L936*PLAN_ETAPA!$C$5/M936),0))))</f>
        <v>0.5</v>
      </c>
      <c r="Q936" s="218">
        <f t="shared" si="29"/>
        <v>34992.894999999997</v>
      </c>
    </row>
    <row r="937" spans="1:17" x14ac:dyDescent="0.35">
      <c r="A937" s="212" t="str">
        <f>COMPOSICIÓN!A937</f>
        <v>PTO-0411</v>
      </c>
      <c r="B937" s="212" t="str">
        <f>COMPOSICIÓN!B937</f>
        <v>MO</v>
      </c>
      <c r="C937" s="212" t="str">
        <f>COMPOSICIÓN!C937</f>
        <v>ALB</v>
      </c>
      <c r="D937" s="212" t="str">
        <f>COMPOSICIÓN!D937</f>
        <v>MO-EAYUD</v>
      </c>
      <c r="E937" s="212" t="str">
        <f>COMPOSICIÓN!E937</f>
        <v>AYUDANTE</v>
      </c>
      <c r="F937" s="212" t="str">
        <f>COMPOSICIÓN!F937</f>
        <v>j</v>
      </c>
      <c r="G937" s="213">
        <f>COMPOSICIÓN!G937</f>
        <v>3</v>
      </c>
      <c r="H937" s="214">
        <f>COMPOSICIÓN!H937</f>
        <v>0</v>
      </c>
      <c r="I937" s="215">
        <f>COMPOSICIÓN!I937</f>
        <v>60860.580776572002</v>
      </c>
      <c r="J937" s="212" t="str">
        <f>IFERROR(VLOOKUP(A937,PARTIDAS!$A$2:$C$269,3,FALSE()),"")</f>
        <v>MAMPOSTERÍA</v>
      </c>
      <c r="K937" s="212" t="str">
        <f>IFERROR(INDEX(PPTO_GENERADOR!$B$4:$B$220,MATCH(A937,PPTO_GENERADOR!$Q$4:$Q$220,0)),"")</f>
        <v>MAMPOSTERÍA</v>
      </c>
      <c r="L937" s="216">
        <f>IF(PLAN_ETAPA!$C$4="(TODOS)",SUMIFS(PPTO_GENERADOR!$E$4:$E$220,PPTO_GENERADOR!$Q$4:$Q$220,A937),SUMIFS(PPTO_GENERADOR!$E$4:$E$220,PPTO_GENERADOR!$Q$4:$Q$220,A937,PPTO_GENERADOR!$B$4:$B$220,PLAN_ETAPA!$C$4))</f>
        <v>1</v>
      </c>
      <c r="M937" s="216">
        <f>IFERROR(VLOOKUP(A937,PARTIDAS!$A$2:$F$269,6,FALSE()),1)</f>
        <v>1</v>
      </c>
      <c r="N937" s="216">
        <f>IFERROR(VLOOKUP(A937,PARTIDAS!$A$2:$I$269,9,FALSE()),1)</f>
        <v>1</v>
      </c>
      <c r="O937" s="217">
        <f t="shared" si="28"/>
        <v>1</v>
      </c>
      <c r="P937" s="216">
        <f>IF(O937=0,0,IF(B937="MAT",G937*(1+H937)*L937*PLAN_ETAPA!$C$5,IF(B937="MO",IF(M937=0,0,G937*L937*PLAN_ETAPA!$C$5*N937/M937),IF(B937="EQ",IF(M937=0,0,G937*L937*PLAN_ETAPA!$C$5/M937),0))))</f>
        <v>3</v>
      </c>
      <c r="Q937" s="218">
        <f t="shared" si="29"/>
        <v>182581.74232971601</v>
      </c>
    </row>
    <row r="938" spans="1:17" x14ac:dyDescent="0.35">
      <c r="A938" s="212" t="str">
        <f>COMPOSICIÓN!A938</f>
        <v>PTO-0411</v>
      </c>
      <c r="B938" s="212" t="str">
        <f>COMPOSICIÓN!B938</f>
        <v>MO</v>
      </c>
      <c r="C938" s="212" t="str">
        <f>COMPOSICIÓN!C938</f>
        <v>ALB</v>
      </c>
      <c r="D938" s="212" t="str">
        <f>COMPOSICIÓN!D938</f>
        <v>MO-EOFIC</v>
      </c>
      <c r="E938" s="212" t="str">
        <f>COMPOSICIÓN!E938</f>
        <v>OFICIAL</v>
      </c>
      <c r="F938" s="212" t="str">
        <f>COMPOSICIÓN!F938</f>
        <v>j</v>
      </c>
      <c r="G938" s="213">
        <f>COMPOSICIÓN!G938</f>
        <v>1</v>
      </c>
      <c r="H938" s="214">
        <f>COMPOSICIÓN!H938</f>
        <v>0</v>
      </c>
      <c r="I938" s="215">
        <f>COMPOSICIÓN!I938</f>
        <v>76955.079706571996</v>
      </c>
      <c r="J938" s="212" t="str">
        <f>IFERROR(VLOOKUP(A938,PARTIDAS!$A$2:$C$269,3,FALSE()),"")</f>
        <v>MAMPOSTERÍA</v>
      </c>
      <c r="K938" s="212" t="str">
        <f>IFERROR(INDEX(PPTO_GENERADOR!$B$4:$B$220,MATCH(A938,PPTO_GENERADOR!$Q$4:$Q$220,0)),"")</f>
        <v>MAMPOSTERÍA</v>
      </c>
      <c r="L938" s="216">
        <f>IF(PLAN_ETAPA!$C$4="(TODOS)",SUMIFS(PPTO_GENERADOR!$E$4:$E$220,PPTO_GENERADOR!$Q$4:$Q$220,A938),SUMIFS(PPTO_GENERADOR!$E$4:$E$220,PPTO_GENERADOR!$Q$4:$Q$220,A938,PPTO_GENERADOR!$B$4:$B$220,PLAN_ETAPA!$C$4))</f>
        <v>1</v>
      </c>
      <c r="M938" s="216">
        <f>IFERROR(VLOOKUP(A938,PARTIDAS!$A$2:$F$269,6,FALSE()),1)</f>
        <v>1</v>
      </c>
      <c r="N938" s="216">
        <f>IFERROR(VLOOKUP(A938,PARTIDAS!$A$2:$I$269,9,FALSE()),1)</f>
        <v>1</v>
      </c>
      <c r="O938" s="217">
        <f t="shared" si="28"/>
        <v>1</v>
      </c>
      <c r="P938" s="216">
        <f>IF(O938=0,0,IF(B938="MAT",G938*(1+H938)*L938*PLAN_ETAPA!$C$5,IF(B938="MO",IF(M938=0,0,G938*L938*PLAN_ETAPA!$C$5*N938/M938),IF(B938="EQ",IF(M938=0,0,G938*L938*PLAN_ETAPA!$C$5/M938),0))))</f>
        <v>1</v>
      </c>
      <c r="Q938" s="218">
        <f t="shared" si="29"/>
        <v>76955.079706571996</v>
      </c>
    </row>
    <row r="939" spans="1:17" x14ac:dyDescent="0.35">
      <c r="A939" s="212" t="str">
        <f>COMPOSICIÓN!A939</f>
        <v>PTO-0412</v>
      </c>
      <c r="B939" s="212" t="str">
        <f>COMPOSICIÓN!B939</f>
        <v>EQ</v>
      </c>
      <c r="C939" s="212">
        <f>COMPOSICIÓN!C939</f>
        <v>0</v>
      </c>
      <c r="D939" s="212" t="str">
        <f>COMPOSICIÓN!D939</f>
        <v>EQ-PTO043</v>
      </c>
      <c r="E939" s="212" t="str">
        <f>COMPOSICIÓN!E939</f>
        <v>Herramientas menores y consumibles - Provisión y amurado de tapas de inspección para ta</v>
      </c>
      <c r="F939" s="212">
        <f>COMPOSICIÓN!F939</f>
        <v>0</v>
      </c>
      <c r="G939" s="213">
        <f>COMPOSICIÓN!G939</f>
        <v>1</v>
      </c>
      <c r="H939" s="214">
        <f>COMPOSICIÓN!H939</f>
        <v>0</v>
      </c>
      <c r="I939" s="215">
        <f>COMPOSICIÓN!I939</f>
        <v>2636.7249339025002</v>
      </c>
      <c r="J939" s="212" t="str">
        <f>IFERROR(VLOOKUP(A939,PARTIDAS!$A$2:$C$269,3,FALSE()),"")</f>
        <v>MAMPOSTERÍA</v>
      </c>
      <c r="K939" s="212" t="str">
        <f>IFERROR(INDEX(PPTO_GENERADOR!$B$4:$B$220,MATCH(A939,PPTO_GENERADOR!$Q$4:$Q$220,0)),"")</f>
        <v>MAMPOSTERÍA</v>
      </c>
      <c r="L939" s="216">
        <f>IF(PLAN_ETAPA!$C$4="(TODOS)",SUMIFS(PPTO_GENERADOR!$E$4:$E$220,PPTO_GENERADOR!$Q$4:$Q$220,A939),SUMIFS(PPTO_GENERADOR!$E$4:$E$220,PPTO_GENERADOR!$Q$4:$Q$220,A939,PPTO_GENERADOR!$B$4:$B$220,PLAN_ETAPA!$C$4))</f>
        <v>3</v>
      </c>
      <c r="M939" s="216">
        <f>IFERROR(VLOOKUP(A939,PARTIDAS!$A$2:$F$269,6,FALSE()),1)</f>
        <v>1</v>
      </c>
      <c r="N939" s="216">
        <f>IFERROR(VLOOKUP(A939,PARTIDAS!$A$2:$I$269,9,FALSE()),1)</f>
        <v>1</v>
      </c>
      <c r="O939" s="217">
        <f t="shared" si="28"/>
        <v>1</v>
      </c>
      <c r="P939" s="216">
        <f>IF(O939=0,0,IF(B939="MAT",G939*(1+H939)*L939*PLAN_ETAPA!$C$5,IF(B939="MO",IF(M939=0,0,G939*L939*PLAN_ETAPA!$C$5*N939/M939),IF(B939="EQ",IF(M939=0,0,G939*L939*PLAN_ETAPA!$C$5/M939),0))))</f>
        <v>3</v>
      </c>
      <c r="Q939" s="218">
        <f t="shared" si="29"/>
        <v>7910.1748017075006</v>
      </c>
    </row>
    <row r="940" spans="1:17" x14ac:dyDescent="0.35">
      <c r="A940" s="212" t="str">
        <f>COMPOSICIÓN!A940</f>
        <v>PTO-0412</v>
      </c>
      <c r="B940" s="212" t="str">
        <f>COMPOSICIÓN!B940</f>
        <v>MAT</v>
      </c>
      <c r="C940" s="212" t="str">
        <f>COMPOSICIÓN!C940</f>
        <v>OTR</v>
      </c>
      <c r="D940" s="212" t="str">
        <f>COMPOSICIÓN!D940</f>
        <v>OTR-PTO069</v>
      </c>
      <c r="E940" s="212" t="str">
        <f>COMPOSICIÓN!E940</f>
        <v>Tapa Y Marco Para Tanque De Hormigón Poliéster 52 X 52 Cm</v>
      </c>
      <c r="F940" s="212" t="str">
        <f>COMPOSICIÓN!F940</f>
        <v>u</v>
      </c>
      <c r="G940" s="213">
        <f>COMPOSICIÓN!G940</f>
        <v>1</v>
      </c>
      <c r="H940" s="214">
        <f>COMPOSICIÓN!H940</f>
        <v>0</v>
      </c>
      <c r="I940" s="215">
        <f>COMPOSICIÓN!I940</f>
        <v>121487.603305785</v>
      </c>
      <c r="J940" s="212" t="str">
        <f>IFERROR(VLOOKUP(A940,PARTIDAS!$A$2:$C$269,3,FALSE()),"")</f>
        <v>MAMPOSTERÍA</v>
      </c>
      <c r="K940" s="212" t="str">
        <f>IFERROR(INDEX(PPTO_GENERADOR!$B$4:$B$220,MATCH(A940,PPTO_GENERADOR!$Q$4:$Q$220,0)),"")</f>
        <v>MAMPOSTERÍA</v>
      </c>
      <c r="L940" s="216">
        <f>IF(PLAN_ETAPA!$C$4="(TODOS)",SUMIFS(PPTO_GENERADOR!$E$4:$E$220,PPTO_GENERADOR!$Q$4:$Q$220,A940),SUMIFS(PPTO_GENERADOR!$E$4:$E$220,PPTO_GENERADOR!$Q$4:$Q$220,A940,PPTO_GENERADOR!$B$4:$B$220,PLAN_ETAPA!$C$4))</f>
        <v>3</v>
      </c>
      <c r="M940" s="216">
        <f>IFERROR(VLOOKUP(A940,PARTIDAS!$A$2:$F$269,6,FALSE()),1)</f>
        <v>1</v>
      </c>
      <c r="N940" s="216">
        <f>IFERROR(VLOOKUP(A940,PARTIDAS!$A$2:$I$269,9,FALSE()),1)</f>
        <v>1</v>
      </c>
      <c r="O940" s="217">
        <f t="shared" si="28"/>
        <v>1</v>
      </c>
      <c r="P940" s="216">
        <f>IF(O940=0,0,IF(B940="MAT",G940*(1+H940)*L940*PLAN_ETAPA!$C$5,IF(B940="MO",IF(M940=0,0,G940*L940*PLAN_ETAPA!$C$5*N940/M940),IF(B940="EQ",IF(M940=0,0,G940*L940*PLAN_ETAPA!$C$5/M940),0))))</f>
        <v>3</v>
      </c>
      <c r="Q940" s="218">
        <f t="shared" si="29"/>
        <v>364462.80991735501</v>
      </c>
    </row>
    <row r="941" spans="1:17" x14ac:dyDescent="0.35">
      <c r="A941" s="212" t="str">
        <f>COMPOSICIÓN!A941</f>
        <v>PTO-0412</v>
      </c>
      <c r="B941" s="212" t="str">
        <f>COMPOSICIÓN!B941</f>
        <v>MO</v>
      </c>
      <c r="C941" s="212" t="str">
        <f>COMPOSICIÓN!C941</f>
        <v>ALB</v>
      </c>
      <c r="D941" s="212" t="str">
        <f>COMPOSICIÓN!D941</f>
        <v>MO-EESPE</v>
      </c>
      <c r="E941" s="212" t="str">
        <f>COMPOSICIÓN!E941</f>
        <v>ESPECIALIZADO</v>
      </c>
      <c r="F941" s="212" t="str">
        <f>COMPOSICIÓN!F941</f>
        <v>j</v>
      </c>
      <c r="G941" s="213">
        <f>COMPOSICIÓN!G941</f>
        <v>0.33333333333333298</v>
      </c>
      <c r="H941" s="214">
        <f>COMPOSICIÓN!H941</f>
        <v>0</v>
      </c>
      <c r="I941" s="215">
        <f>COMPOSICIÓN!I941</f>
        <v>85927.097156571996</v>
      </c>
      <c r="J941" s="212" t="str">
        <f>IFERROR(VLOOKUP(A941,PARTIDAS!$A$2:$C$269,3,FALSE()),"")</f>
        <v>MAMPOSTERÍA</v>
      </c>
      <c r="K941" s="212" t="str">
        <f>IFERROR(INDEX(PPTO_GENERADOR!$B$4:$B$220,MATCH(A941,PPTO_GENERADOR!$Q$4:$Q$220,0)),"")</f>
        <v>MAMPOSTERÍA</v>
      </c>
      <c r="L941" s="216">
        <f>IF(PLAN_ETAPA!$C$4="(TODOS)",SUMIFS(PPTO_GENERADOR!$E$4:$E$220,PPTO_GENERADOR!$Q$4:$Q$220,A941),SUMIFS(PPTO_GENERADOR!$E$4:$E$220,PPTO_GENERADOR!$Q$4:$Q$220,A941,PPTO_GENERADOR!$B$4:$B$220,PLAN_ETAPA!$C$4))</f>
        <v>3</v>
      </c>
      <c r="M941" s="216">
        <f>IFERROR(VLOOKUP(A941,PARTIDAS!$A$2:$F$269,6,FALSE()),1)</f>
        <v>1</v>
      </c>
      <c r="N941" s="216">
        <f>IFERROR(VLOOKUP(A941,PARTIDAS!$A$2:$I$269,9,FALSE()),1)</f>
        <v>1</v>
      </c>
      <c r="O941" s="217">
        <f t="shared" si="28"/>
        <v>1</v>
      </c>
      <c r="P941" s="216">
        <f>IF(O941=0,0,IF(B941="MAT",G941*(1+H941)*L941*PLAN_ETAPA!$C$5,IF(B941="MO",IF(M941=0,0,G941*L941*PLAN_ETAPA!$C$5*N941/M941),IF(B941="EQ",IF(M941=0,0,G941*L941*PLAN_ETAPA!$C$5/M941),0))))</f>
        <v>0.99999999999999889</v>
      </c>
      <c r="Q941" s="218">
        <f t="shared" si="29"/>
        <v>85927.097156571894</v>
      </c>
    </row>
    <row r="942" spans="1:17" x14ac:dyDescent="0.35">
      <c r="A942" s="212" t="str">
        <f>COMPOSICIÓN!A942</f>
        <v>PTO-0412</v>
      </c>
      <c r="B942" s="212" t="str">
        <f>COMPOSICIÓN!B942</f>
        <v>MO</v>
      </c>
      <c r="C942" s="212" t="str">
        <f>COMPOSICIÓN!C942</f>
        <v>ALB</v>
      </c>
      <c r="D942" s="212" t="str">
        <f>COMPOSICIÓN!D942</f>
        <v>MO-EOFIC</v>
      </c>
      <c r="E942" s="212" t="str">
        <f>COMPOSICIÓN!E942</f>
        <v>OFICIAL</v>
      </c>
      <c r="F942" s="212" t="str">
        <f>COMPOSICIÓN!F942</f>
        <v>j</v>
      </c>
      <c r="G942" s="213">
        <f>COMPOSICIÓN!G942</f>
        <v>0.33333333333333298</v>
      </c>
      <c r="H942" s="214">
        <f>COMPOSICIÓN!H942</f>
        <v>0</v>
      </c>
      <c r="I942" s="215">
        <f>COMPOSICIÓN!I942</f>
        <v>76955.079706571996</v>
      </c>
      <c r="J942" s="212" t="str">
        <f>IFERROR(VLOOKUP(A942,PARTIDAS!$A$2:$C$269,3,FALSE()),"")</f>
        <v>MAMPOSTERÍA</v>
      </c>
      <c r="K942" s="212" t="str">
        <f>IFERROR(INDEX(PPTO_GENERADOR!$B$4:$B$220,MATCH(A942,PPTO_GENERADOR!$Q$4:$Q$220,0)),"")</f>
        <v>MAMPOSTERÍA</v>
      </c>
      <c r="L942" s="216">
        <f>IF(PLAN_ETAPA!$C$4="(TODOS)",SUMIFS(PPTO_GENERADOR!$E$4:$E$220,PPTO_GENERADOR!$Q$4:$Q$220,A942),SUMIFS(PPTO_GENERADOR!$E$4:$E$220,PPTO_GENERADOR!$Q$4:$Q$220,A942,PPTO_GENERADOR!$B$4:$B$220,PLAN_ETAPA!$C$4))</f>
        <v>3</v>
      </c>
      <c r="M942" s="216">
        <f>IFERROR(VLOOKUP(A942,PARTIDAS!$A$2:$F$269,6,FALSE()),1)</f>
        <v>1</v>
      </c>
      <c r="N942" s="216">
        <f>IFERROR(VLOOKUP(A942,PARTIDAS!$A$2:$I$269,9,FALSE()),1)</f>
        <v>1</v>
      </c>
      <c r="O942" s="217">
        <f t="shared" si="28"/>
        <v>1</v>
      </c>
      <c r="P942" s="216">
        <f>IF(O942=0,0,IF(B942="MAT",G942*(1+H942)*L942*PLAN_ETAPA!$C$5,IF(B942="MO",IF(M942=0,0,G942*L942*PLAN_ETAPA!$C$5*N942/M942),IF(B942="EQ",IF(M942=0,0,G942*L942*PLAN_ETAPA!$C$5/M942),0))))</f>
        <v>0.99999999999999889</v>
      </c>
      <c r="Q942" s="218">
        <f t="shared" si="29"/>
        <v>76955.079706571909</v>
      </c>
    </row>
    <row r="943" spans="1:17" x14ac:dyDescent="0.35">
      <c r="A943" s="212" t="str">
        <f>COMPOSICIÓN!A943</f>
        <v>PTO-0413</v>
      </c>
      <c r="B943" s="212" t="str">
        <f>COMPOSICIÓN!B943</f>
        <v>EQ</v>
      </c>
      <c r="C943" s="212">
        <f>COMPOSICIÓN!C943</f>
        <v>0</v>
      </c>
      <c r="D943" s="212" t="str">
        <f>COMPOSICIÓN!D943</f>
        <v>EQ-PTO044</v>
      </c>
      <c r="E943" s="212" t="str">
        <f>COMPOSICIÓN!E943</f>
        <v>Herramientas menores y consumibles - Vigas de encadenado - Cuantía aprox. 60 kg/m3</v>
      </c>
      <c r="F943" s="212">
        <f>COMPOSICIÓN!F943</f>
        <v>0</v>
      </c>
      <c r="G943" s="213">
        <f>COMPOSICIÓN!G943</f>
        <v>1</v>
      </c>
      <c r="H943" s="214">
        <f>COMPOSICIÓN!H943</f>
        <v>0</v>
      </c>
      <c r="I943" s="215">
        <f>COMPOSICIÓN!I943</f>
        <v>1086.9845825454699</v>
      </c>
      <c r="J943" s="212" t="str">
        <f>IFERROR(VLOOKUP(A943,PARTIDAS!$A$2:$C$269,3,FALSE()),"")</f>
        <v>MAMPOSTERÍA</v>
      </c>
      <c r="K943" s="212" t="str">
        <f>IFERROR(INDEX(PPTO_GENERADOR!$B$4:$B$220,MATCH(A943,PPTO_GENERADOR!$Q$4:$Q$220,0)),"")</f>
        <v>MAMPOSTERÍA</v>
      </c>
      <c r="L943" s="216">
        <f>IF(PLAN_ETAPA!$C$4="(TODOS)",SUMIFS(PPTO_GENERADOR!$E$4:$E$220,PPTO_GENERADOR!$Q$4:$Q$220,A943),SUMIFS(PPTO_GENERADOR!$E$4:$E$220,PPTO_GENERADOR!$Q$4:$Q$220,A943,PPTO_GENERADOR!$B$4:$B$220,PLAN_ETAPA!$C$4))</f>
        <v>40</v>
      </c>
      <c r="M943" s="216">
        <f>IFERROR(VLOOKUP(A943,PARTIDAS!$A$2:$F$269,6,FALSE()),1)</f>
        <v>1</v>
      </c>
      <c r="N943" s="216">
        <f>IFERROR(VLOOKUP(A943,PARTIDAS!$A$2:$I$269,9,FALSE()),1)</f>
        <v>1</v>
      </c>
      <c r="O943" s="217">
        <f t="shared" si="28"/>
        <v>1</v>
      </c>
      <c r="P943" s="216">
        <f>IF(O943=0,0,IF(B943="MAT",G943*(1+H943)*L943*PLAN_ETAPA!$C$5,IF(B943="MO",IF(M943=0,0,G943*L943*PLAN_ETAPA!$C$5*N943/M943),IF(B943="EQ",IF(M943=0,0,G943*L943*PLAN_ETAPA!$C$5/M943),0))))</f>
        <v>40</v>
      </c>
      <c r="Q943" s="218">
        <f t="shared" si="29"/>
        <v>43479.383301818802</v>
      </c>
    </row>
    <row r="944" spans="1:17" x14ac:dyDescent="0.35">
      <c r="A944" s="212" t="str">
        <f>COMPOSICIÓN!A944</f>
        <v>PTO-0413</v>
      </c>
      <c r="B944" s="212" t="str">
        <f>COMPOSICIÓN!B944</f>
        <v>MAT</v>
      </c>
      <c r="C944" s="212" t="str">
        <f>COMPOSICIÓN!C944</f>
        <v>OTR</v>
      </c>
      <c r="D944" s="212" t="str">
        <f>COMPOSICIÓN!D944</f>
        <v>MAT-CONS</v>
      </c>
      <c r="E944" s="212" t="str">
        <f>COMPOSICIÓN!E944</f>
        <v>Consumibles</v>
      </c>
      <c r="F944" s="212" t="str">
        <f>COMPOSICIÓN!F944</f>
        <v>gl</v>
      </c>
      <c r="G944" s="213">
        <f>COMPOSICIÓN!G944</f>
        <v>3340.8074999999999</v>
      </c>
      <c r="H944" s="214">
        <f>COMPOSICIÓN!H944</f>
        <v>0</v>
      </c>
      <c r="I944" s="215">
        <f>COMPOSICIÓN!I944</f>
        <v>1</v>
      </c>
      <c r="J944" s="212" t="str">
        <f>IFERROR(VLOOKUP(A944,PARTIDAS!$A$2:$C$269,3,FALSE()),"")</f>
        <v>MAMPOSTERÍA</v>
      </c>
      <c r="K944" s="212" t="str">
        <f>IFERROR(INDEX(PPTO_GENERADOR!$B$4:$B$220,MATCH(A944,PPTO_GENERADOR!$Q$4:$Q$220,0)),"")</f>
        <v>MAMPOSTERÍA</v>
      </c>
      <c r="L944" s="216">
        <f>IF(PLAN_ETAPA!$C$4="(TODOS)",SUMIFS(PPTO_GENERADOR!$E$4:$E$220,PPTO_GENERADOR!$Q$4:$Q$220,A944),SUMIFS(PPTO_GENERADOR!$E$4:$E$220,PPTO_GENERADOR!$Q$4:$Q$220,A944,PPTO_GENERADOR!$B$4:$B$220,PLAN_ETAPA!$C$4))</f>
        <v>40</v>
      </c>
      <c r="M944" s="216">
        <f>IFERROR(VLOOKUP(A944,PARTIDAS!$A$2:$F$269,6,FALSE()),1)</f>
        <v>1</v>
      </c>
      <c r="N944" s="216">
        <f>IFERROR(VLOOKUP(A944,PARTIDAS!$A$2:$I$269,9,FALSE()),1)</f>
        <v>1</v>
      </c>
      <c r="O944" s="217">
        <f t="shared" si="28"/>
        <v>1</v>
      </c>
      <c r="P944" s="216">
        <f>IF(O944=0,0,IF(B944="MAT",G944*(1+H944)*L944*PLAN_ETAPA!$C$5,IF(B944="MO",IF(M944=0,0,G944*L944*PLAN_ETAPA!$C$5*N944/M944),IF(B944="EQ",IF(M944=0,0,G944*L944*PLAN_ETAPA!$C$5/M944),0))))</f>
        <v>133632.29999999999</v>
      </c>
      <c r="Q944" s="218">
        <f t="shared" si="29"/>
        <v>133632.29999999999</v>
      </c>
    </row>
    <row r="945" spans="1:17" x14ac:dyDescent="0.35">
      <c r="A945" s="212" t="str">
        <f>COMPOSICIÓN!A945</f>
        <v>PTO-0413</v>
      </c>
      <c r="B945" s="212" t="str">
        <f>COMPOSICIÓN!B945</f>
        <v>MAT</v>
      </c>
      <c r="C945" s="212" t="str">
        <f>COMPOSICIÓN!C945</f>
        <v>OTR</v>
      </c>
      <c r="D945" s="212" t="str">
        <f>COMPOSICIÓN!D945</f>
        <v>OTR-PTO042</v>
      </c>
      <c r="E945" s="212" t="str">
        <f>COMPOSICIÓN!E945</f>
        <v>Hierro del 6</v>
      </c>
      <c r="F945" s="212" t="str">
        <f>COMPOSICIÓN!F945</f>
        <v>kg</v>
      </c>
      <c r="G945" s="213">
        <f>COMPOSICIÓN!G945</f>
        <v>7.5</v>
      </c>
      <c r="H945" s="214">
        <f>COMPOSICIÓN!H945</f>
        <v>0</v>
      </c>
      <c r="I945" s="215">
        <f>COMPOSICIÓN!I945</f>
        <v>1704.41</v>
      </c>
      <c r="J945" s="212" t="str">
        <f>IFERROR(VLOOKUP(A945,PARTIDAS!$A$2:$C$269,3,FALSE()),"")</f>
        <v>MAMPOSTERÍA</v>
      </c>
      <c r="K945" s="212" t="str">
        <f>IFERROR(INDEX(PPTO_GENERADOR!$B$4:$B$220,MATCH(A945,PPTO_GENERADOR!$Q$4:$Q$220,0)),"")</f>
        <v>MAMPOSTERÍA</v>
      </c>
      <c r="L945" s="216">
        <f>IF(PLAN_ETAPA!$C$4="(TODOS)",SUMIFS(PPTO_GENERADOR!$E$4:$E$220,PPTO_GENERADOR!$Q$4:$Q$220,A945),SUMIFS(PPTO_GENERADOR!$E$4:$E$220,PPTO_GENERADOR!$Q$4:$Q$220,A945,PPTO_GENERADOR!$B$4:$B$220,PLAN_ETAPA!$C$4))</f>
        <v>40</v>
      </c>
      <c r="M945" s="216">
        <f>IFERROR(VLOOKUP(A945,PARTIDAS!$A$2:$F$269,6,FALSE()),1)</f>
        <v>1</v>
      </c>
      <c r="N945" s="216">
        <f>IFERROR(VLOOKUP(A945,PARTIDAS!$A$2:$I$269,9,FALSE()),1)</f>
        <v>1</v>
      </c>
      <c r="O945" s="217">
        <f t="shared" si="28"/>
        <v>1</v>
      </c>
      <c r="P945" s="216">
        <f>IF(O945=0,0,IF(B945="MAT",G945*(1+H945)*L945*PLAN_ETAPA!$C$5,IF(B945="MO",IF(M945=0,0,G945*L945*PLAN_ETAPA!$C$5*N945/M945),IF(B945="EQ",IF(M945=0,0,G945*L945*PLAN_ETAPA!$C$5/M945),0))))</f>
        <v>300</v>
      </c>
      <c r="Q945" s="218">
        <f t="shared" si="29"/>
        <v>511323</v>
      </c>
    </row>
    <row r="946" spans="1:17" x14ac:dyDescent="0.35">
      <c r="A946" s="212" t="str">
        <f>COMPOSICIÓN!A946</f>
        <v>PTO-0413</v>
      </c>
      <c r="B946" s="212" t="str">
        <f>COMPOSICIÓN!B946</f>
        <v>MAT</v>
      </c>
      <c r="C946" s="212" t="str">
        <f>COMPOSICIÓN!C946</f>
        <v>OTR</v>
      </c>
      <c r="D946" s="212" t="str">
        <f>COMPOSICIÓN!D946</f>
        <v>OTR-PTO063</v>
      </c>
      <c r="E946" s="212" t="str">
        <f>COMPOSICIÓN!E946</f>
        <v>H30 6.20</v>
      </c>
      <c r="F946" s="212" t="str">
        <f>COMPOSICIÓN!F946</f>
        <v>m3</v>
      </c>
      <c r="G946" s="213">
        <f>COMPOSICIÓN!G946</f>
        <v>0.125</v>
      </c>
      <c r="H946" s="214">
        <f>COMPOSICIÓN!H946</f>
        <v>0</v>
      </c>
      <c r="I946" s="215">
        <f>COMPOSICIÓN!I946</f>
        <v>125000</v>
      </c>
      <c r="J946" s="212" t="str">
        <f>IFERROR(VLOOKUP(A946,PARTIDAS!$A$2:$C$269,3,FALSE()),"")</f>
        <v>MAMPOSTERÍA</v>
      </c>
      <c r="K946" s="212" t="str">
        <f>IFERROR(INDEX(PPTO_GENERADOR!$B$4:$B$220,MATCH(A946,PPTO_GENERADOR!$Q$4:$Q$220,0)),"")</f>
        <v>MAMPOSTERÍA</v>
      </c>
      <c r="L946" s="216">
        <f>IF(PLAN_ETAPA!$C$4="(TODOS)",SUMIFS(PPTO_GENERADOR!$E$4:$E$220,PPTO_GENERADOR!$Q$4:$Q$220,A946),SUMIFS(PPTO_GENERADOR!$E$4:$E$220,PPTO_GENERADOR!$Q$4:$Q$220,A946,PPTO_GENERADOR!$B$4:$B$220,PLAN_ETAPA!$C$4))</f>
        <v>40</v>
      </c>
      <c r="M946" s="216">
        <f>IFERROR(VLOOKUP(A946,PARTIDAS!$A$2:$F$269,6,FALSE()),1)</f>
        <v>1</v>
      </c>
      <c r="N946" s="216">
        <f>IFERROR(VLOOKUP(A946,PARTIDAS!$A$2:$I$269,9,FALSE()),1)</f>
        <v>1</v>
      </c>
      <c r="O946" s="217">
        <f t="shared" si="28"/>
        <v>1</v>
      </c>
      <c r="P946" s="216">
        <f>IF(O946=0,0,IF(B946="MAT",G946*(1+H946)*L946*PLAN_ETAPA!$C$5,IF(B946="MO",IF(M946=0,0,G946*L946*PLAN_ETAPA!$C$5*N946/M946),IF(B946="EQ",IF(M946=0,0,G946*L946*PLAN_ETAPA!$C$5/M946),0))))</f>
        <v>5</v>
      </c>
      <c r="Q946" s="218">
        <f t="shared" si="29"/>
        <v>625000</v>
      </c>
    </row>
    <row r="947" spans="1:17" x14ac:dyDescent="0.35">
      <c r="A947" s="212" t="str">
        <f>COMPOSICIÓN!A947</f>
        <v>PTO-0413</v>
      </c>
      <c r="B947" s="212" t="str">
        <f>COMPOSICIÓN!B947</f>
        <v>MAT</v>
      </c>
      <c r="C947" s="212" t="str">
        <f>COMPOSICIÓN!C947</f>
        <v>OTR</v>
      </c>
      <c r="D947" s="212" t="str">
        <f>COMPOSICIÓN!D947</f>
        <v>OTR-PTO070</v>
      </c>
      <c r="E947" s="212" t="str">
        <f>COMPOSICIÓN!E947</f>
        <v>Volquete</v>
      </c>
      <c r="F947" s="212" t="str">
        <f>COMPOSICIÓN!F947</f>
        <v>u</v>
      </c>
      <c r="G947" s="213">
        <f>COMPOSICIÓN!G947</f>
        <v>0.05</v>
      </c>
      <c r="H947" s="214">
        <f>COMPOSICIÓN!H947</f>
        <v>0</v>
      </c>
      <c r="I947" s="215">
        <f>COMPOSICIÓN!I947</f>
        <v>100000</v>
      </c>
      <c r="J947" s="212" t="str">
        <f>IFERROR(VLOOKUP(A947,PARTIDAS!$A$2:$C$269,3,FALSE()),"")</f>
        <v>MAMPOSTERÍA</v>
      </c>
      <c r="K947" s="212" t="str">
        <f>IFERROR(INDEX(PPTO_GENERADOR!$B$4:$B$220,MATCH(A947,PPTO_GENERADOR!$Q$4:$Q$220,0)),"")</f>
        <v>MAMPOSTERÍA</v>
      </c>
      <c r="L947" s="216">
        <f>IF(PLAN_ETAPA!$C$4="(TODOS)",SUMIFS(PPTO_GENERADOR!$E$4:$E$220,PPTO_GENERADOR!$Q$4:$Q$220,A947),SUMIFS(PPTO_GENERADOR!$E$4:$E$220,PPTO_GENERADOR!$Q$4:$Q$220,A947,PPTO_GENERADOR!$B$4:$B$220,PLAN_ETAPA!$C$4))</f>
        <v>40</v>
      </c>
      <c r="M947" s="216">
        <f>IFERROR(VLOOKUP(A947,PARTIDAS!$A$2:$F$269,6,FALSE()),1)</f>
        <v>1</v>
      </c>
      <c r="N947" s="216">
        <f>IFERROR(VLOOKUP(A947,PARTIDAS!$A$2:$I$269,9,FALSE()),1)</f>
        <v>1</v>
      </c>
      <c r="O947" s="217">
        <f t="shared" si="28"/>
        <v>1</v>
      </c>
      <c r="P947" s="216">
        <f>IF(O947=0,0,IF(B947="MAT",G947*(1+H947)*L947*PLAN_ETAPA!$C$5,IF(B947="MO",IF(M947=0,0,G947*L947*PLAN_ETAPA!$C$5*N947/M947),IF(B947="EQ",IF(M947=0,0,G947*L947*PLAN_ETAPA!$C$5/M947),0))))</f>
        <v>2</v>
      </c>
      <c r="Q947" s="218">
        <f t="shared" si="29"/>
        <v>200000</v>
      </c>
    </row>
    <row r="948" spans="1:17" x14ac:dyDescent="0.35">
      <c r="A948" s="212" t="str">
        <f>COMPOSICIÓN!A948</f>
        <v>PTO-0413</v>
      </c>
      <c r="B948" s="212" t="str">
        <f>COMPOSICIÓN!B948</f>
        <v>MO</v>
      </c>
      <c r="C948" s="212" t="str">
        <f>COMPOSICIÓN!C948</f>
        <v>ALB</v>
      </c>
      <c r="D948" s="212" t="str">
        <f>COMPOSICIÓN!D948</f>
        <v>MO-EAYUD</v>
      </c>
      <c r="E948" s="212" t="str">
        <f>COMPOSICIÓN!E948</f>
        <v>AYUDANTE</v>
      </c>
      <c r="F948" s="212" t="str">
        <f>COMPOSICIÓN!F948</f>
        <v>j</v>
      </c>
      <c r="G948" s="213">
        <f>COMPOSICIÓN!G948</f>
        <v>0.375</v>
      </c>
      <c r="H948" s="214">
        <f>COMPOSICIÓN!H948</f>
        <v>0</v>
      </c>
      <c r="I948" s="215">
        <f>COMPOSICIÓN!I948</f>
        <v>60860.580776572002</v>
      </c>
      <c r="J948" s="212" t="str">
        <f>IFERROR(VLOOKUP(A948,PARTIDAS!$A$2:$C$269,3,FALSE()),"")</f>
        <v>MAMPOSTERÍA</v>
      </c>
      <c r="K948" s="212" t="str">
        <f>IFERROR(INDEX(PPTO_GENERADOR!$B$4:$B$220,MATCH(A948,PPTO_GENERADOR!$Q$4:$Q$220,0)),"")</f>
        <v>MAMPOSTERÍA</v>
      </c>
      <c r="L948" s="216">
        <f>IF(PLAN_ETAPA!$C$4="(TODOS)",SUMIFS(PPTO_GENERADOR!$E$4:$E$220,PPTO_GENERADOR!$Q$4:$Q$220,A948),SUMIFS(PPTO_GENERADOR!$E$4:$E$220,PPTO_GENERADOR!$Q$4:$Q$220,A948,PPTO_GENERADOR!$B$4:$B$220,PLAN_ETAPA!$C$4))</f>
        <v>40</v>
      </c>
      <c r="M948" s="216">
        <f>IFERROR(VLOOKUP(A948,PARTIDAS!$A$2:$F$269,6,FALSE()),1)</f>
        <v>1</v>
      </c>
      <c r="N948" s="216">
        <f>IFERROR(VLOOKUP(A948,PARTIDAS!$A$2:$I$269,9,FALSE()),1)</f>
        <v>1</v>
      </c>
      <c r="O948" s="217">
        <f t="shared" si="28"/>
        <v>1</v>
      </c>
      <c r="P948" s="216">
        <f>IF(O948=0,0,IF(B948="MAT",G948*(1+H948)*L948*PLAN_ETAPA!$C$5,IF(B948="MO",IF(M948=0,0,G948*L948*PLAN_ETAPA!$C$5*N948/M948),IF(B948="EQ",IF(M948=0,0,G948*L948*PLAN_ETAPA!$C$5/M948),0))))</f>
        <v>15</v>
      </c>
      <c r="Q948" s="218">
        <f t="shared" si="29"/>
        <v>912908.71164858004</v>
      </c>
    </row>
    <row r="949" spans="1:17" x14ac:dyDescent="0.35">
      <c r="A949" s="212" t="str">
        <f>COMPOSICIÓN!A949</f>
        <v>PTO-0413</v>
      </c>
      <c r="B949" s="212" t="str">
        <f>COMPOSICIÓN!B949</f>
        <v>MO</v>
      </c>
      <c r="C949" s="212" t="str">
        <f>COMPOSICIÓN!C949</f>
        <v>ALB</v>
      </c>
      <c r="D949" s="212" t="str">
        <f>COMPOSICIÓN!D949</f>
        <v>MO-EMEDI</v>
      </c>
      <c r="E949" s="212" t="str">
        <f>COMPOSICIÓN!E949</f>
        <v>MEDIO OFICIAL</v>
      </c>
      <c r="F949" s="212" t="str">
        <f>COMPOSICIÓN!F949</f>
        <v>j</v>
      </c>
      <c r="G949" s="213">
        <f>COMPOSICIÓN!G949</f>
        <v>0.05</v>
      </c>
      <c r="H949" s="214">
        <f>COMPOSICIÓN!H949</f>
        <v>0</v>
      </c>
      <c r="I949" s="215">
        <f>COMPOSICIÓN!I949</f>
        <v>65493.071636572</v>
      </c>
      <c r="J949" s="212" t="str">
        <f>IFERROR(VLOOKUP(A949,PARTIDAS!$A$2:$C$269,3,FALSE()),"")</f>
        <v>MAMPOSTERÍA</v>
      </c>
      <c r="K949" s="212" t="str">
        <f>IFERROR(INDEX(PPTO_GENERADOR!$B$4:$B$220,MATCH(A949,PPTO_GENERADOR!$Q$4:$Q$220,0)),"")</f>
        <v>MAMPOSTERÍA</v>
      </c>
      <c r="L949" s="216">
        <f>IF(PLAN_ETAPA!$C$4="(TODOS)",SUMIFS(PPTO_GENERADOR!$E$4:$E$220,PPTO_GENERADOR!$Q$4:$Q$220,A949),SUMIFS(PPTO_GENERADOR!$E$4:$E$220,PPTO_GENERADOR!$Q$4:$Q$220,A949,PPTO_GENERADOR!$B$4:$B$220,PLAN_ETAPA!$C$4))</f>
        <v>40</v>
      </c>
      <c r="M949" s="216">
        <f>IFERROR(VLOOKUP(A949,PARTIDAS!$A$2:$F$269,6,FALSE()),1)</f>
        <v>1</v>
      </c>
      <c r="N949" s="216">
        <f>IFERROR(VLOOKUP(A949,PARTIDAS!$A$2:$I$269,9,FALSE()),1)</f>
        <v>1</v>
      </c>
      <c r="O949" s="217">
        <f t="shared" si="28"/>
        <v>1</v>
      </c>
      <c r="P949" s="216">
        <f>IF(O949=0,0,IF(B949="MAT",G949*(1+H949)*L949*PLAN_ETAPA!$C$5,IF(B949="MO",IF(M949=0,0,G949*L949*PLAN_ETAPA!$C$5*N949/M949),IF(B949="EQ",IF(M949=0,0,G949*L949*PLAN_ETAPA!$C$5/M949),0))))</f>
        <v>2</v>
      </c>
      <c r="Q949" s="218">
        <f t="shared" si="29"/>
        <v>130986.143273144</v>
      </c>
    </row>
    <row r="950" spans="1:17" x14ac:dyDescent="0.35">
      <c r="A950" s="212" t="str">
        <f>COMPOSICIÓN!A950</f>
        <v>PTO-0413</v>
      </c>
      <c r="B950" s="212" t="str">
        <f>COMPOSICIÓN!B950</f>
        <v>MO</v>
      </c>
      <c r="C950" s="212" t="str">
        <f>COMPOSICIÓN!C950</f>
        <v>ALB</v>
      </c>
      <c r="D950" s="212" t="str">
        <f>COMPOSICIÓN!D950</f>
        <v>MO-EOFIC</v>
      </c>
      <c r="E950" s="212" t="str">
        <f>COMPOSICIÓN!E950</f>
        <v>OFICIAL</v>
      </c>
      <c r="F950" s="212" t="str">
        <f>COMPOSICIÓN!F950</f>
        <v>j</v>
      </c>
      <c r="G950" s="213">
        <f>COMPOSICIÓN!G950</f>
        <v>0.125</v>
      </c>
      <c r="H950" s="214">
        <f>COMPOSICIÓN!H950</f>
        <v>0</v>
      </c>
      <c r="I950" s="215">
        <f>COMPOSICIÓN!I950</f>
        <v>76955.079706571996</v>
      </c>
      <c r="J950" s="212" t="str">
        <f>IFERROR(VLOOKUP(A950,PARTIDAS!$A$2:$C$269,3,FALSE()),"")</f>
        <v>MAMPOSTERÍA</v>
      </c>
      <c r="K950" s="212" t="str">
        <f>IFERROR(INDEX(PPTO_GENERADOR!$B$4:$B$220,MATCH(A950,PPTO_GENERADOR!$Q$4:$Q$220,0)),"")</f>
        <v>MAMPOSTERÍA</v>
      </c>
      <c r="L950" s="216">
        <f>IF(PLAN_ETAPA!$C$4="(TODOS)",SUMIFS(PPTO_GENERADOR!$E$4:$E$220,PPTO_GENERADOR!$Q$4:$Q$220,A950),SUMIFS(PPTO_GENERADOR!$E$4:$E$220,PPTO_GENERADOR!$Q$4:$Q$220,A950,PPTO_GENERADOR!$B$4:$B$220,PLAN_ETAPA!$C$4))</f>
        <v>40</v>
      </c>
      <c r="M950" s="216">
        <f>IFERROR(VLOOKUP(A950,PARTIDAS!$A$2:$F$269,6,FALSE()),1)</f>
        <v>1</v>
      </c>
      <c r="N950" s="216">
        <f>IFERROR(VLOOKUP(A950,PARTIDAS!$A$2:$I$269,9,FALSE()),1)</f>
        <v>1</v>
      </c>
      <c r="O950" s="217">
        <f t="shared" si="28"/>
        <v>1</v>
      </c>
      <c r="P950" s="216">
        <f>IF(O950=0,0,IF(B950="MAT",G950*(1+H950)*L950*PLAN_ETAPA!$C$5,IF(B950="MO",IF(M950=0,0,G950*L950*PLAN_ETAPA!$C$5*N950/M950),IF(B950="EQ",IF(M950=0,0,G950*L950*PLAN_ETAPA!$C$5/M950),0))))</f>
        <v>5</v>
      </c>
      <c r="Q950" s="218">
        <f t="shared" si="29"/>
        <v>384775.39853285998</v>
      </c>
    </row>
    <row r="951" spans="1:17" x14ac:dyDescent="0.35">
      <c r="A951" s="212" t="str">
        <f>COMPOSICIÓN!A951</f>
        <v>PTO-0414</v>
      </c>
      <c r="B951" s="212" t="str">
        <f>COMPOSICIÓN!B951</f>
        <v>EQ</v>
      </c>
      <c r="C951" s="212">
        <f>COMPOSICIÓN!C951</f>
        <v>0</v>
      </c>
      <c r="D951" s="212" t="str">
        <f>COMPOSICIÓN!D951</f>
        <v>EQ-PTO045</v>
      </c>
      <c r="E951" s="212" t="str">
        <f>COMPOSICIÓN!E951</f>
        <v xml:space="preserve">Herramientas menores y consumibles - Amurado de bañera </v>
      </c>
      <c r="F951" s="212">
        <f>COMPOSICIÓN!F951</f>
        <v>0</v>
      </c>
      <c r="G951" s="213">
        <f>COMPOSICIÓN!G951</f>
        <v>1</v>
      </c>
      <c r="H951" s="214">
        <f>COMPOSICIÓN!H951</f>
        <v>0</v>
      </c>
      <c r="I951" s="215">
        <f>COMPOSICIÓN!I951</f>
        <v>1969.9744827858201</v>
      </c>
      <c r="J951" s="212" t="str">
        <f>IFERROR(VLOOKUP(A951,PARTIDAS!$A$2:$C$269,3,FALSE()),"")</f>
        <v>MAMPOSTERÍA</v>
      </c>
      <c r="K951" s="212" t="str">
        <f>IFERROR(INDEX(PPTO_GENERADOR!$B$4:$B$220,MATCH(A951,PPTO_GENERADOR!$Q$4:$Q$220,0)),"")</f>
        <v>MAMPOSTERÍA</v>
      </c>
      <c r="L951" s="216">
        <f>IF(PLAN_ETAPA!$C$4="(TODOS)",SUMIFS(PPTO_GENERADOR!$E$4:$E$220,PPTO_GENERADOR!$Q$4:$Q$220,A951),SUMIFS(PPTO_GENERADOR!$E$4:$E$220,PPTO_GENERADOR!$Q$4:$Q$220,A951,PPTO_GENERADOR!$B$4:$B$220,PLAN_ETAPA!$C$4))</f>
        <v>8</v>
      </c>
      <c r="M951" s="216">
        <f>IFERROR(VLOOKUP(A951,PARTIDAS!$A$2:$F$269,6,FALSE()),1)</f>
        <v>1</v>
      </c>
      <c r="N951" s="216">
        <f>IFERROR(VLOOKUP(A951,PARTIDAS!$A$2:$I$269,9,FALSE()),1)</f>
        <v>1</v>
      </c>
      <c r="O951" s="217">
        <f t="shared" si="28"/>
        <v>1</v>
      </c>
      <c r="P951" s="216">
        <f>IF(O951=0,0,IF(B951="MAT",G951*(1+H951)*L951*PLAN_ETAPA!$C$5,IF(B951="MO",IF(M951=0,0,G951*L951*PLAN_ETAPA!$C$5*N951/M951),IF(B951="EQ",IF(M951=0,0,G951*L951*PLAN_ETAPA!$C$5/M951),0))))</f>
        <v>8</v>
      </c>
      <c r="Q951" s="218">
        <f t="shared" si="29"/>
        <v>15759.795862286561</v>
      </c>
    </row>
    <row r="952" spans="1:17" x14ac:dyDescent="0.35">
      <c r="A952" s="212" t="str">
        <f>COMPOSICIÓN!A952</f>
        <v>PTO-0414</v>
      </c>
      <c r="B952" s="212" t="str">
        <f>COMPOSICIÓN!B952</f>
        <v>MAT</v>
      </c>
      <c r="C952" s="212" t="str">
        <f>COMPOSICIÓN!C952</f>
        <v>COR</v>
      </c>
      <c r="D952" s="212" t="str">
        <f>COMPOSICIÓN!D952</f>
        <v>MAT-CONS</v>
      </c>
      <c r="E952" s="212" t="str">
        <f>COMPOSICIÓN!E952</f>
        <v>Consumibles</v>
      </c>
      <c r="F952" s="212" t="str">
        <f>COMPOSICIÓN!F952</f>
        <v>gl</v>
      </c>
      <c r="G952" s="213">
        <f>COMPOSICIÓN!G952</f>
        <v>2176.93291735</v>
      </c>
      <c r="H952" s="214">
        <f>COMPOSICIÓN!H952</f>
        <v>0</v>
      </c>
      <c r="I952" s="215">
        <f>COMPOSICIÓN!I952</f>
        <v>1</v>
      </c>
      <c r="J952" s="212" t="str">
        <f>IFERROR(VLOOKUP(A952,PARTIDAS!$A$2:$C$269,3,FALSE()),"")</f>
        <v>MAMPOSTERÍA</v>
      </c>
      <c r="K952" s="212" t="str">
        <f>IFERROR(INDEX(PPTO_GENERADOR!$B$4:$B$220,MATCH(A952,PPTO_GENERADOR!$Q$4:$Q$220,0)),"")</f>
        <v>MAMPOSTERÍA</v>
      </c>
      <c r="L952" s="216">
        <f>IF(PLAN_ETAPA!$C$4="(TODOS)",SUMIFS(PPTO_GENERADOR!$E$4:$E$220,PPTO_GENERADOR!$Q$4:$Q$220,A952),SUMIFS(PPTO_GENERADOR!$E$4:$E$220,PPTO_GENERADOR!$Q$4:$Q$220,A952,PPTO_GENERADOR!$B$4:$B$220,PLAN_ETAPA!$C$4))</f>
        <v>8</v>
      </c>
      <c r="M952" s="216">
        <f>IFERROR(VLOOKUP(A952,PARTIDAS!$A$2:$F$269,6,FALSE()),1)</f>
        <v>1</v>
      </c>
      <c r="N952" s="216">
        <f>IFERROR(VLOOKUP(A952,PARTIDAS!$A$2:$I$269,9,FALSE()),1)</f>
        <v>1</v>
      </c>
      <c r="O952" s="217">
        <f t="shared" si="28"/>
        <v>1</v>
      </c>
      <c r="P952" s="216">
        <f>IF(O952=0,0,IF(B952="MAT",G952*(1+H952)*L952*PLAN_ETAPA!$C$5,IF(B952="MO",IF(M952=0,0,G952*L952*PLAN_ETAPA!$C$5*N952/M952),IF(B952="EQ",IF(M952=0,0,G952*L952*PLAN_ETAPA!$C$5/M952),0))))</f>
        <v>17415.4633388</v>
      </c>
      <c r="Q952" s="218">
        <f t="shared" si="29"/>
        <v>17415.4633388</v>
      </c>
    </row>
    <row r="953" spans="1:17" x14ac:dyDescent="0.35">
      <c r="A953" s="212" t="str">
        <f>COMPOSICIÓN!A953</f>
        <v>PTO-0414</v>
      </c>
      <c r="B953" s="212" t="str">
        <f>COMPOSICIÓN!B953</f>
        <v>MAT</v>
      </c>
      <c r="C953" s="212" t="str">
        <f>COMPOSICIÓN!C953</f>
        <v>COR</v>
      </c>
      <c r="D953" s="212" t="str">
        <f>COMPOSICIÓN!D953</f>
        <v>OTR-PTO071</v>
      </c>
      <c r="E953" s="212" t="str">
        <f>COMPOSICIÓN!E953</f>
        <v>Ladrillo del 8</v>
      </c>
      <c r="F953" s="212" t="str">
        <f>COMPOSICIÓN!F953</f>
        <v>m2</v>
      </c>
      <c r="G953" s="213">
        <f>COMPOSICIÓN!G953</f>
        <v>1.8</v>
      </c>
      <c r="H953" s="214">
        <f>COMPOSICIÓN!H953</f>
        <v>0</v>
      </c>
      <c r="I953" s="215">
        <f>COMPOSICIÓN!I953</f>
        <v>6590.9962250622002</v>
      </c>
      <c r="J953" s="212" t="str">
        <f>IFERROR(VLOOKUP(A953,PARTIDAS!$A$2:$C$269,3,FALSE()),"")</f>
        <v>MAMPOSTERÍA</v>
      </c>
      <c r="K953" s="212" t="str">
        <f>IFERROR(INDEX(PPTO_GENERADOR!$B$4:$B$220,MATCH(A953,PPTO_GENERADOR!$Q$4:$Q$220,0)),"")</f>
        <v>MAMPOSTERÍA</v>
      </c>
      <c r="L953" s="216">
        <f>IF(PLAN_ETAPA!$C$4="(TODOS)",SUMIFS(PPTO_GENERADOR!$E$4:$E$220,PPTO_GENERADOR!$Q$4:$Q$220,A953),SUMIFS(PPTO_GENERADOR!$E$4:$E$220,PPTO_GENERADOR!$Q$4:$Q$220,A953,PPTO_GENERADOR!$B$4:$B$220,PLAN_ETAPA!$C$4))</f>
        <v>8</v>
      </c>
      <c r="M953" s="216">
        <f>IFERROR(VLOOKUP(A953,PARTIDAS!$A$2:$F$269,6,FALSE()),1)</f>
        <v>1</v>
      </c>
      <c r="N953" s="216">
        <f>IFERROR(VLOOKUP(A953,PARTIDAS!$A$2:$I$269,9,FALSE()),1)</f>
        <v>1</v>
      </c>
      <c r="O953" s="217">
        <f t="shared" si="28"/>
        <v>1</v>
      </c>
      <c r="P953" s="216">
        <f>IF(O953=0,0,IF(B953="MAT",G953*(1+H953)*L953*PLAN_ETAPA!$C$5,IF(B953="MO",IF(M953=0,0,G953*L953*PLAN_ETAPA!$C$5*N953/M953),IF(B953="EQ",IF(M953=0,0,G953*L953*PLAN_ETAPA!$C$5/M953),0))))</f>
        <v>14.4</v>
      </c>
      <c r="Q953" s="218">
        <f t="shared" si="29"/>
        <v>94910.345640895684</v>
      </c>
    </row>
    <row r="954" spans="1:17" x14ac:dyDescent="0.35">
      <c r="A954" s="212" t="str">
        <f>COMPOSICIÓN!A954</f>
        <v>PTO-0414</v>
      </c>
      <c r="B954" s="212" t="str">
        <f>COMPOSICIÓN!B954</f>
        <v>MAT</v>
      </c>
      <c r="C954" s="212" t="str">
        <f>COMPOSICIÓN!C954</f>
        <v>COR</v>
      </c>
      <c r="D954" s="212" t="str">
        <f>COMPOSICIÓN!D954</f>
        <v>OTR-PTO072</v>
      </c>
      <c r="E954" s="212" t="str">
        <f>COMPOSICIÓN!E954</f>
        <v>Revoque grueso bajo revest.</v>
      </c>
      <c r="F954" s="212" t="str">
        <f>COMPOSICIÓN!F954</f>
        <v>m2</v>
      </c>
      <c r="G954" s="213">
        <f>COMPOSICIÓN!G954</f>
        <v>0.6</v>
      </c>
      <c r="H954" s="214">
        <f>COMPOSICIÓN!H954</f>
        <v>0</v>
      </c>
      <c r="I954" s="215">
        <f>COMPOSICIÓN!I954</f>
        <v>4009.2266140000002</v>
      </c>
      <c r="J954" s="212" t="str">
        <f>IFERROR(VLOOKUP(A954,PARTIDAS!$A$2:$C$269,3,FALSE()),"")</f>
        <v>MAMPOSTERÍA</v>
      </c>
      <c r="K954" s="212" t="str">
        <f>IFERROR(INDEX(PPTO_GENERADOR!$B$4:$B$220,MATCH(A954,PPTO_GENERADOR!$Q$4:$Q$220,0)),"")</f>
        <v>MAMPOSTERÍA</v>
      </c>
      <c r="L954" s="216">
        <f>IF(PLAN_ETAPA!$C$4="(TODOS)",SUMIFS(PPTO_GENERADOR!$E$4:$E$220,PPTO_GENERADOR!$Q$4:$Q$220,A954),SUMIFS(PPTO_GENERADOR!$E$4:$E$220,PPTO_GENERADOR!$Q$4:$Q$220,A954,PPTO_GENERADOR!$B$4:$B$220,PLAN_ETAPA!$C$4))</f>
        <v>8</v>
      </c>
      <c r="M954" s="216">
        <f>IFERROR(VLOOKUP(A954,PARTIDAS!$A$2:$F$269,6,FALSE()),1)</f>
        <v>1</v>
      </c>
      <c r="N954" s="216">
        <f>IFERROR(VLOOKUP(A954,PARTIDAS!$A$2:$I$269,9,FALSE()),1)</f>
        <v>1</v>
      </c>
      <c r="O954" s="217">
        <f t="shared" si="28"/>
        <v>1</v>
      </c>
      <c r="P954" s="216">
        <f>IF(O954=0,0,IF(B954="MAT",G954*(1+H954)*L954*PLAN_ETAPA!$C$5,IF(B954="MO",IF(M954=0,0,G954*L954*PLAN_ETAPA!$C$5*N954/M954),IF(B954="EQ",IF(M954=0,0,G954*L954*PLAN_ETAPA!$C$5/M954),0))))</f>
        <v>4.8</v>
      </c>
      <c r="Q954" s="218">
        <f t="shared" si="29"/>
        <v>19244.2877472</v>
      </c>
    </row>
    <row r="955" spans="1:17" x14ac:dyDescent="0.35">
      <c r="A955" s="212" t="str">
        <f>COMPOSICIÓN!A955</f>
        <v>PTO-0414</v>
      </c>
      <c r="B955" s="212" t="str">
        <f>COMPOSICIÓN!B955</f>
        <v>MAT</v>
      </c>
      <c r="C955" s="212" t="str">
        <f>COMPOSICIÓN!C955</f>
        <v>OTR</v>
      </c>
      <c r="D955" s="212" t="str">
        <f>COMPOSICIÓN!D955</f>
        <v>OTR-PTO073</v>
      </c>
      <c r="E955" s="212" t="str">
        <f>COMPOSICIÓN!E955</f>
        <v>Sellador / Silicona (2 bañeras)</v>
      </c>
      <c r="F955" s="212" t="str">
        <f>COMPOSICIÓN!F955</f>
        <v>u</v>
      </c>
      <c r="G955" s="213">
        <f>COMPOSICIÓN!G955</f>
        <v>0.5</v>
      </c>
      <c r="H955" s="214">
        <f>COMPOSICIÓN!H955</f>
        <v>0</v>
      </c>
      <c r="I955" s="215">
        <f>COMPOSICIÓN!I955</f>
        <v>15000</v>
      </c>
      <c r="J955" s="212" t="str">
        <f>IFERROR(VLOOKUP(A955,PARTIDAS!$A$2:$C$269,3,FALSE()),"")</f>
        <v>MAMPOSTERÍA</v>
      </c>
      <c r="K955" s="212" t="str">
        <f>IFERROR(INDEX(PPTO_GENERADOR!$B$4:$B$220,MATCH(A955,PPTO_GENERADOR!$Q$4:$Q$220,0)),"")</f>
        <v>MAMPOSTERÍA</v>
      </c>
      <c r="L955" s="216">
        <f>IF(PLAN_ETAPA!$C$4="(TODOS)",SUMIFS(PPTO_GENERADOR!$E$4:$E$220,PPTO_GENERADOR!$Q$4:$Q$220,A955),SUMIFS(PPTO_GENERADOR!$E$4:$E$220,PPTO_GENERADOR!$Q$4:$Q$220,A955,PPTO_GENERADOR!$B$4:$B$220,PLAN_ETAPA!$C$4))</f>
        <v>8</v>
      </c>
      <c r="M955" s="216">
        <f>IFERROR(VLOOKUP(A955,PARTIDAS!$A$2:$F$269,6,FALSE()),1)</f>
        <v>1</v>
      </c>
      <c r="N955" s="216">
        <f>IFERROR(VLOOKUP(A955,PARTIDAS!$A$2:$I$269,9,FALSE()),1)</f>
        <v>1</v>
      </c>
      <c r="O955" s="217">
        <f t="shared" si="28"/>
        <v>1</v>
      </c>
      <c r="P955" s="216">
        <f>IF(O955=0,0,IF(B955="MAT",G955*(1+H955)*L955*PLAN_ETAPA!$C$5,IF(B955="MO",IF(M955=0,0,G955*L955*PLAN_ETAPA!$C$5*N955/M955),IF(B955="EQ",IF(M955=0,0,G955*L955*PLAN_ETAPA!$C$5/M955),0))))</f>
        <v>4</v>
      </c>
      <c r="Q955" s="218">
        <f t="shared" si="29"/>
        <v>60000</v>
      </c>
    </row>
    <row r="956" spans="1:17" x14ac:dyDescent="0.35">
      <c r="A956" s="212" t="str">
        <f>COMPOSICIÓN!A956</f>
        <v>PTO-0414</v>
      </c>
      <c r="B956" s="212" t="str">
        <f>COMPOSICIÓN!B956</f>
        <v>MO</v>
      </c>
      <c r="C956" s="212" t="str">
        <f>COMPOSICIÓN!C956</f>
        <v>ALB</v>
      </c>
      <c r="D956" s="212" t="str">
        <f>COMPOSICIÓN!D956</f>
        <v>MO-EAYUD</v>
      </c>
      <c r="E956" s="212" t="str">
        <f>COMPOSICIÓN!E956</f>
        <v>AYUDANTE</v>
      </c>
      <c r="F956" s="212" t="str">
        <f>COMPOSICIÓN!F956</f>
        <v>j</v>
      </c>
      <c r="G956" s="213">
        <f>COMPOSICIÓN!G956</f>
        <v>0.5</v>
      </c>
      <c r="H956" s="214">
        <f>COMPOSICIÓN!H956</f>
        <v>0</v>
      </c>
      <c r="I956" s="215">
        <f>COMPOSICIÓN!I956</f>
        <v>60860.580776572002</v>
      </c>
      <c r="J956" s="212" t="str">
        <f>IFERROR(VLOOKUP(A956,PARTIDAS!$A$2:$C$269,3,FALSE()),"")</f>
        <v>MAMPOSTERÍA</v>
      </c>
      <c r="K956" s="212" t="str">
        <f>IFERROR(INDEX(PPTO_GENERADOR!$B$4:$B$220,MATCH(A956,PPTO_GENERADOR!$Q$4:$Q$220,0)),"")</f>
        <v>MAMPOSTERÍA</v>
      </c>
      <c r="L956" s="216">
        <f>IF(PLAN_ETAPA!$C$4="(TODOS)",SUMIFS(PPTO_GENERADOR!$E$4:$E$220,PPTO_GENERADOR!$Q$4:$Q$220,A956),SUMIFS(PPTO_GENERADOR!$E$4:$E$220,PPTO_GENERADOR!$Q$4:$Q$220,A956,PPTO_GENERADOR!$B$4:$B$220,PLAN_ETAPA!$C$4))</f>
        <v>8</v>
      </c>
      <c r="M956" s="216">
        <f>IFERROR(VLOOKUP(A956,PARTIDAS!$A$2:$F$269,6,FALSE()),1)</f>
        <v>1</v>
      </c>
      <c r="N956" s="216">
        <f>IFERROR(VLOOKUP(A956,PARTIDAS!$A$2:$I$269,9,FALSE()),1)</f>
        <v>1</v>
      </c>
      <c r="O956" s="217">
        <f t="shared" si="28"/>
        <v>1</v>
      </c>
      <c r="P956" s="216">
        <f>IF(O956=0,0,IF(B956="MAT",G956*(1+H956)*L956*PLAN_ETAPA!$C$5,IF(B956="MO",IF(M956=0,0,G956*L956*PLAN_ETAPA!$C$5*N956/M956),IF(B956="EQ",IF(M956=0,0,G956*L956*PLAN_ETAPA!$C$5/M956),0))))</f>
        <v>4</v>
      </c>
      <c r="Q956" s="218">
        <f t="shared" si="29"/>
        <v>243442.32310628801</v>
      </c>
    </row>
    <row r="957" spans="1:17" x14ac:dyDescent="0.35">
      <c r="A957" s="212" t="str">
        <f>COMPOSICIÓN!A957</f>
        <v>PTO-0414</v>
      </c>
      <c r="B957" s="212" t="str">
        <f>COMPOSICIÓN!B957</f>
        <v>MO</v>
      </c>
      <c r="C957" s="212" t="str">
        <f>COMPOSICIÓN!C957</f>
        <v>ALB</v>
      </c>
      <c r="D957" s="212" t="str">
        <f>COMPOSICIÓN!D957</f>
        <v>MO-EOFIC</v>
      </c>
      <c r="E957" s="212" t="str">
        <f>COMPOSICIÓN!E957</f>
        <v>OFICIAL</v>
      </c>
      <c r="F957" s="212" t="str">
        <f>COMPOSICIÓN!F957</f>
        <v>j</v>
      </c>
      <c r="G957" s="213">
        <f>COMPOSICIÓN!G957</f>
        <v>1</v>
      </c>
      <c r="H957" s="214">
        <f>COMPOSICIÓN!H957</f>
        <v>0</v>
      </c>
      <c r="I957" s="215">
        <f>COMPOSICIÓN!I957</f>
        <v>76955.079706571996</v>
      </c>
      <c r="J957" s="212" t="str">
        <f>IFERROR(VLOOKUP(A957,PARTIDAS!$A$2:$C$269,3,FALSE()),"")</f>
        <v>MAMPOSTERÍA</v>
      </c>
      <c r="K957" s="212" t="str">
        <f>IFERROR(INDEX(PPTO_GENERADOR!$B$4:$B$220,MATCH(A957,PPTO_GENERADOR!$Q$4:$Q$220,0)),"")</f>
        <v>MAMPOSTERÍA</v>
      </c>
      <c r="L957" s="216">
        <f>IF(PLAN_ETAPA!$C$4="(TODOS)",SUMIFS(PPTO_GENERADOR!$E$4:$E$220,PPTO_GENERADOR!$Q$4:$Q$220,A957),SUMIFS(PPTO_GENERADOR!$E$4:$E$220,PPTO_GENERADOR!$Q$4:$Q$220,A957,PPTO_GENERADOR!$B$4:$B$220,PLAN_ETAPA!$C$4))</f>
        <v>8</v>
      </c>
      <c r="M957" s="216">
        <f>IFERROR(VLOOKUP(A957,PARTIDAS!$A$2:$F$269,6,FALSE()),1)</f>
        <v>1</v>
      </c>
      <c r="N957" s="216">
        <f>IFERROR(VLOOKUP(A957,PARTIDAS!$A$2:$I$269,9,FALSE()),1)</f>
        <v>1</v>
      </c>
      <c r="O957" s="217">
        <f t="shared" si="28"/>
        <v>1</v>
      </c>
      <c r="P957" s="216">
        <f>IF(O957=0,0,IF(B957="MAT",G957*(1+H957)*L957*PLAN_ETAPA!$C$5,IF(B957="MO",IF(M957=0,0,G957*L957*PLAN_ETAPA!$C$5*N957/M957),IF(B957="EQ",IF(M957=0,0,G957*L957*PLAN_ETAPA!$C$5/M957),0))))</f>
        <v>8</v>
      </c>
      <c r="Q957" s="218">
        <f t="shared" si="29"/>
        <v>615640.63765257597</v>
      </c>
    </row>
    <row r="958" spans="1:17" x14ac:dyDescent="0.35">
      <c r="A958" s="212" t="str">
        <f>COMPOSICIÓN!A958</f>
        <v>PTO-0501</v>
      </c>
      <c r="B958" s="212" t="str">
        <f>COMPOSICIÓN!B958</f>
        <v>EQ</v>
      </c>
      <c r="C958" s="212">
        <f>COMPOSICIÓN!C958</f>
        <v>0</v>
      </c>
      <c r="D958" s="212" t="str">
        <f>COMPOSICIÓN!D958</f>
        <v>EQ-ANDAM0</v>
      </c>
      <c r="E958" s="212" t="str">
        <f>COMPOSICIÓN!E958</f>
        <v>ANDAMIO TUBULAR DE UNO A TRES CUERPOS</v>
      </c>
      <c r="F958" s="212">
        <f>COMPOSICIÓN!F958</f>
        <v>0</v>
      </c>
      <c r="G958" s="213">
        <f>COMPOSICIÓN!G958</f>
        <v>0.5</v>
      </c>
      <c r="H958" s="214">
        <f>COMPOSICIÓN!H958</f>
        <v>0</v>
      </c>
      <c r="I958" s="215">
        <f>COMPOSICIÓN!I958</f>
        <v>571.1794909807611</v>
      </c>
      <c r="J958" s="212" t="str">
        <f>IFERROR(VLOOKUP(A958,PARTIDAS!$A$2:$C$269,3,FALSE()),"")</f>
        <v>IMPERMEABILIZACIONES Y AISLACIONES</v>
      </c>
      <c r="K958" s="212" t="str">
        <f>IFERROR(INDEX(PPTO_GENERADOR!$B$4:$B$220,MATCH(A958,PPTO_GENERADOR!$Q$4:$Q$220,0)),"")</f>
        <v>IMPERMEABILIZACIONES Y AISLACIONES</v>
      </c>
      <c r="L958" s="216">
        <f>IF(PLAN_ETAPA!$C$4="(TODOS)",SUMIFS(PPTO_GENERADOR!$E$4:$E$220,PPTO_GENERADOR!$Q$4:$Q$220,A958),SUMIFS(PPTO_GENERADOR!$E$4:$E$220,PPTO_GENERADOR!$Q$4:$Q$220,A958,PPTO_GENERADOR!$B$4:$B$220,PLAN_ETAPA!$C$4))</f>
        <v>0</v>
      </c>
      <c r="M958" s="216">
        <f>IFERROR(VLOOKUP(A958,PARTIDAS!$A$2:$F$269,6,FALSE()),1)</f>
        <v>28</v>
      </c>
      <c r="N958" s="216">
        <f>IFERROR(VLOOKUP(A958,PARTIDAS!$A$2:$I$269,9,FALSE()),1)</f>
        <v>1</v>
      </c>
      <c r="O958" s="217">
        <f t="shared" si="28"/>
        <v>0</v>
      </c>
      <c r="P958" s="216">
        <f>IF(O958=0,0,IF(B958="MAT",G958*(1+H958)*L958*PLAN_ETAPA!$C$5,IF(B958="MO",IF(M958=0,0,G958*L958*PLAN_ETAPA!$C$5*N958/M958),IF(B958="EQ",IF(M958=0,0,G958*L958*PLAN_ETAPA!$C$5/M958),0))))</f>
        <v>0</v>
      </c>
      <c r="Q958" s="218">
        <f t="shared" si="29"/>
        <v>0</v>
      </c>
    </row>
    <row r="959" spans="1:17" x14ac:dyDescent="0.35">
      <c r="A959" s="212" t="str">
        <f>COMPOSICIÓN!A959</f>
        <v>PTO-0501</v>
      </c>
      <c r="B959" s="212" t="str">
        <f>COMPOSICIÓN!B959</f>
        <v>EQ</v>
      </c>
      <c r="C959" s="212">
        <f>COMPOSICIÓN!C959</f>
        <v>0</v>
      </c>
      <c r="D959" s="212" t="str">
        <f>COMPOSICIÓN!D959</f>
        <v>EQ-EQALBA</v>
      </c>
      <c r="E959" s="212" t="str">
        <f>COMPOSICIÓN!E959</f>
        <v>EQUIPO DE ALBAÑILERIA, carpetas, ladrillo</v>
      </c>
      <c r="F959" s="212">
        <f>COMPOSICIÓN!F959</f>
        <v>0</v>
      </c>
      <c r="G959" s="213">
        <f>COMPOSICIÓN!G959</f>
        <v>1</v>
      </c>
      <c r="H959" s="214">
        <f>COMPOSICIÓN!H959</f>
        <v>0</v>
      </c>
      <c r="I959" s="215">
        <f>COMPOSICIÓN!I959</f>
        <v>2287.1357450968057</v>
      </c>
      <c r="J959" s="212" t="str">
        <f>IFERROR(VLOOKUP(A959,PARTIDAS!$A$2:$C$269,3,FALSE()),"")</f>
        <v>IMPERMEABILIZACIONES Y AISLACIONES</v>
      </c>
      <c r="K959" s="212" t="str">
        <f>IFERROR(INDEX(PPTO_GENERADOR!$B$4:$B$220,MATCH(A959,PPTO_GENERADOR!$Q$4:$Q$220,0)),"")</f>
        <v>IMPERMEABILIZACIONES Y AISLACIONES</v>
      </c>
      <c r="L959" s="216">
        <f>IF(PLAN_ETAPA!$C$4="(TODOS)",SUMIFS(PPTO_GENERADOR!$E$4:$E$220,PPTO_GENERADOR!$Q$4:$Q$220,A959),SUMIFS(PPTO_GENERADOR!$E$4:$E$220,PPTO_GENERADOR!$Q$4:$Q$220,A959,PPTO_GENERADOR!$B$4:$B$220,PLAN_ETAPA!$C$4))</f>
        <v>0</v>
      </c>
      <c r="M959" s="216">
        <f>IFERROR(VLOOKUP(A959,PARTIDAS!$A$2:$F$269,6,FALSE()),1)</f>
        <v>28</v>
      </c>
      <c r="N959" s="216">
        <f>IFERROR(VLOOKUP(A959,PARTIDAS!$A$2:$I$269,9,FALSE()),1)</f>
        <v>1</v>
      </c>
      <c r="O959" s="217">
        <f t="shared" si="28"/>
        <v>0</v>
      </c>
      <c r="P959" s="216">
        <f>IF(O959=0,0,IF(B959="MAT",G959*(1+H959)*L959*PLAN_ETAPA!$C$5,IF(B959="MO",IF(M959=0,0,G959*L959*PLAN_ETAPA!$C$5*N959/M959),IF(B959="EQ",IF(M959=0,0,G959*L959*PLAN_ETAPA!$C$5/M959),0))))</f>
        <v>0</v>
      </c>
      <c r="Q959" s="218">
        <f t="shared" si="29"/>
        <v>0</v>
      </c>
    </row>
    <row r="960" spans="1:17" x14ac:dyDescent="0.35">
      <c r="A960" s="212" t="str">
        <f>COMPOSICIÓN!A960</f>
        <v>PTO-0501</v>
      </c>
      <c r="B960" s="212" t="str">
        <f>COMPOSICIÓN!B960</f>
        <v>EQ</v>
      </c>
      <c r="C960" s="212">
        <f>COMPOSICIÓN!C960</f>
        <v>0</v>
      </c>
      <c r="D960" s="212" t="str">
        <f>COMPOSICIÓN!D960</f>
        <v>EQ-TROMPO</v>
      </c>
      <c r="E960" s="212" t="str">
        <f>COMPOSICIÓN!E960</f>
        <v>Hormigonera De 150 Litros 1hp Con Rueda Maciza</v>
      </c>
      <c r="F960" s="212">
        <f>COMPOSICIÓN!F960</f>
        <v>0</v>
      </c>
      <c r="G960" s="213">
        <f>COMPOSICIÓN!G960</f>
        <v>1</v>
      </c>
      <c r="H960" s="214">
        <f>COMPOSICIÓN!H960</f>
        <v>0</v>
      </c>
      <c r="I960" s="215">
        <f>COMPOSICIÓN!I960</f>
        <v>957.25319614994726</v>
      </c>
      <c r="J960" s="212" t="str">
        <f>IFERROR(VLOOKUP(A960,PARTIDAS!$A$2:$C$269,3,FALSE()),"")</f>
        <v>IMPERMEABILIZACIONES Y AISLACIONES</v>
      </c>
      <c r="K960" s="212" t="str">
        <f>IFERROR(INDEX(PPTO_GENERADOR!$B$4:$B$220,MATCH(A960,PPTO_GENERADOR!$Q$4:$Q$220,0)),"")</f>
        <v>IMPERMEABILIZACIONES Y AISLACIONES</v>
      </c>
      <c r="L960" s="216">
        <f>IF(PLAN_ETAPA!$C$4="(TODOS)",SUMIFS(PPTO_GENERADOR!$E$4:$E$220,PPTO_GENERADOR!$Q$4:$Q$220,A960),SUMIFS(PPTO_GENERADOR!$E$4:$E$220,PPTO_GENERADOR!$Q$4:$Q$220,A960,PPTO_GENERADOR!$B$4:$B$220,PLAN_ETAPA!$C$4))</f>
        <v>0</v>
      </c>
      <c r="M960" s="216">
        <f>IFERROR(VLOOKUP(A960,PARTIDAS!$A$2:$F$269,6,FALSE()),1)</f>
        <v>28</v>
      </c>
      <c r="N960" s="216">
        <f>IFERROR(VLOOKUP(A960,PARTIDAS!$A$2:$I$269,9,FALSE()),1)</f>
        <v>1</v>
      </c>
      <c r="O960" s="217">
        <f t="shared" si="28"/>
        <v>0</v>
      </c>
      <c r="P960" s="216">
        <f>IF(O960=0,0,IF(B960="MAT",G960*(1+H960)*L960*PLAN_ETAPA!$C$5,IF(B960="MO",IF(M960=0,0,G960*L960*PLAN_ETAPA!$C$5*N960/M960),IF(B960="EQ",IF(M960=0,0,G960*L960*PLAN_ETAPA!$C$5/M960),0))))</f>
        <v>0</v>
      </c>
      <c r="Q960" s="218">
        <f t="shared" si="29"/>
        <v>0</v>
      </c>
    </row>
    <row r="961" spans="1:17" x14ac:dyDescent="0.35">
      <c r="A961" s="212" t="str">
        <f>COMPOSICIÓN!A961</f>
        <v>PTO-0501</v>
      </c>
      <c r="B961" s="212" t="str">
        <f>COMPOSICIÓN!B961</f>
        <v>MAT</v>
      </c>
      <c r="C961" s="212" t="str">
        <f>COMPOSICIÓN!C961</f>
        <v>OTR</v>
      </c>
      <c r="D961" s="212" t="str">
        <f>COMPOSICIÓN!D961</f>
        <v>AGR-001</v>
      </c>
      <c r="E961" s="212" t="str">
        <f>COMPOSICIÓN!E961</f>
        <v>ARENA LAVADA</v>
      </c>
      <c r="F961" s="212" t="str">
        <f>COMPOSICIÓN!F961</f>
        <v>m3</v>
      </c>
      <c r="G961" s="213">
        <f>COMPOSICIÓN!G961</f>
        <v>6.0000000000000001E-3</v>
      </c>
      <c r="H961" s="214">
        <f>COMPOSICIÓN!H961</f>
        <v>0.1</v>
      </c>
      <c r="I961" s="215">
        <f>COMPOSICIÓN!I961</f>
        <v>32399.77</v>
      </c>
      <c r="J961" s="212" t="str">
        <f>IFERROR(VLOOKUP(A961,PARTIDAS!$A$2:$C$269,3,FALSE()),"")</f>
        <v>IMPERMEABILIZACIONES Y AISLACIONES</v>
      </c>
      <c r="K961" s="212" t="str">
        <f>IFERROR(INDEX(PPTO_GENERADOR!$B$4:$B$220,MATCH(A961,PPTO_GENERADOR!$Q$4:$Q$220,0)),"")</f>
        <v>IMPERMEABILIZACIONES Y AISLACIONES</v>
      </c>
      <c r="L961" s="216">
        <f>IF(PLAN_ETAPA!$C$4="(TODOS)",SUMIFS(PPTO_GENERADOR!$E$4:$E$220,PPTO_GENERADOR!$Q$4:$Q$220,A961),SUMIFS(PPTO_GENERADOR!$E$4:$E$220,PPTO_GENERADOR!$Q$4:$Q$220,A961,PPTO_GENERADOR!$B$4:$B$220,PLAN_ETAPA!$C$4))</f>
        <v>0</v>
      </c>
      <c r="M961" s="216">
        <f>IFERROR(VLOOKUP(A961,PARTIDAS!$A$2:$F$269,6,FALSE()),1)</f>
        <v>28</v>
      </c>
      <c r="N961" s="216">
        <f>IFERROR(VLOOKUP(A961,PARTIDAS!$A$2:$I$269,9,FALSE()),1)</f>
        <v>1</v>
      </c>
      <c r="O961" s="217">
        <f t="shared" si="28"/>
        <v>0</v>
      </c>
      <c r="P961" s="216">
        <f>IF(O961=0,0,IF(B961="MAT",G961*(1+H961)*L961*PLAN_ETAPA!$C$5,IF(B961="MO",IF(M961=0,0,G961*L961*PLAN_ETAPA!$C$5*N961/M961),IF(B961="EQ",IF(M961=0,0,G961*L961*PLAN_ETAPA!$C$5/M961),0))))</f>
        <v>0</v>
      </c>
      <c r="Q961" s="218">
        <f t="shared" si="29"/>
        <v>0</v>
      </c>
    </row>
    <row r="962" spans="1:17" x14ac:dyDescent="0.35">
      <c r="A962" s="212" t="str">
        <f>COMPOSICIÓN!A962</f>
        <v>PTO-0501</v>
      </c>
      <c r="B962" s="212" t="str">
        <f>COMPOSICIÓN!B962</f>
        <v>MAT</v>
      </c>
      <c r="C962" s="212" t="str">
        <f>COMPOSICIÓN!C962</f>
        <v>OTR</v>
      </c>
      <c r="D962" s="212" t="str">
        <f>COMPOSICIÓN!D962</f>
        <v>AGR-004</v>
      </c>
      <c r="E962" s="212" t="str">
        <f>COMPOSICIÓN!E962</f>
        <v>Cemento Portland x 50kg</v>
      </c>
      <c r="F962" s="212" t="str">
        <f>COMPOSICIÓN!F962</f>
        <v>Bol</v>
      </c>
      <c r="G962" s="213">
        <f>COMPOSICIÓN!G962</f>
        <v>5.3999999999999999E-2</v>
      </c>
      <c r="H962" s="214">
        <f>COMPOSICIÓN!H962</f>
        <v>0.1</v>
      </c>
      <c r="I962" s="215">
        <f>COMPOSICIÓN!I962</f>
        <v>7809.48</v>
      </c>
      <c r="J962" s="212" t="str">
        <f>IFERROR(VLOOKUP(A962,PARTIDAS!$A$2:$C$269,3,FALSE()),"")</f>
        <v>IMPERMEABILIZACIONES Y AISLACIONES</v>
      </c>
      <c r="K962" s="212" t="str">
        <f>IFERROR(INDEX(PPTO_GENERADOR!$B$4:$B$220,MATCH(A962,PPTO_GENERADOR!$Q$4:$Q$220,0)),"")</f>
        <v>IMPERMEABILIZACIONES Y AISLACIONES</v>
      </c>
      <c r="L962" s="216">
        <f>IF(PLAN_ETAPA!$C$4="(TODOS)",SUMIFS(PPTO_GENERADOR!$E$4:$E$220,PPTO_GENERADOR!$Q$4:$Q$220,A962),SUMIFS(PPTO_GENERADOR!$E$4:$E$220,PPTO_GENERADOR!$Q$4:$Q$220,A962,PPTO_GENERADOR!$B$4:$B$220,PLAN_ETAPA!$C$4))</f>
        <v>0</v>
      </c>
      <c r="M962" s="216">
        <f>IFERROR(VLOOKUP(A962,PARTIDAS!$A$2:$F$269,6,FALSE()),1)</f>
        <v>28</v>
      </c>
      <c r="N962" s="216">
        <f>IFERROR(VLOOKUP(A962,PARTIDAS!$A$2:$I$269,9,FALSE()),1)</f>
        <v>1</v>
      </c>
      <c r="O962" s="217">
        <f t="shared" ref="O962:O1025" si="30">IF(L962&gt;0,1,0)</f>
        <v>0</v>
      </c>
      <c r="P962" s="216">
        <f>IF(O962=0,0,IF(B962="MAT",G962*(1+H962)*L962*PLAN_ETAPA!$C$5,IF(B962="MO",IF(M962=0,0,G962*L962*PLAN_ETAPA!$C$5*N962/M962),IF(B962="EQ",IF(M962=0,0,G962*L962*PLAN_ETAPA!$C$5/M962),0))))</f>
        <v>0</v>
      </c>
      <c r="Q962" s="218">
        <f t="shared" ref="Q962:Q1025" si="31">P962*I962</f>
        <v>0</v>
      </c>
    </row>
    <row r="963" spans="1:17" x14ac:dyDescent="0.35">
      <c r="A963" s="212" t="str">
        <f>COMPOSICIÓN!A963</f>
        <v>PTO-0501</v>
      </c>
      <c r="B963" s="212" t="str">
        <f>COMPOSICIÓN!B963</f>
        <v>MAT</v>
      </c>
      <c r="C963" s="212" t="str">
        <f>COMPOSICIÓN!C963</f>
        <v>OTR</v>
      </c>
      <c r="D963" s="212" t="str">
        <f>COMPOSICIÓN!D963</f>
        <v>AIS-001</v>
      </c>
      <c r="E963" s="212" t="str">
        <f>COMPOSICIÓN!E963</f>
        <v>Aditivo Hidrofugo en pasta - Ceresita x 1kg</v>
      </c>
      <c r="F963" s="212" t="str">
        <f>COMPOSICIÓN!F963</f>
        <v>kg</v>
      </c>
      <c r="G963" s="213">
        <f>COMPOSICIÓN!G963</f>
        <v>0.1</v>
      </c>
      <c r="H963" s="214">
        <f>COMPOSICIÓN!H963</f>
        <v>0.05</v>
      </c>
      <c r="I963" s="215">
        <f>COMPOSICIÓN!I963</f>
        <v>1256.1279999999999</v>
      </c>
      <c r="J963" s="212" t="str">
        <f>IFERROR(VLOOKUP(A963,PARTIDAS!$A$2:$C$269,3,FALSE()),"")</f>
        <v>IMPERMEABILIZACIONES Y AISLACIONES</v>
      </c>
      <c r="K963" s="212" t="str">
        <f>IFERROR(INDEX(PPTO_GENERADOR!$B$4:$B$220,MATCH(A963,PPTO_GENERADOR!$Q$4:$Q$220,0)),"")</f>
        <v>IMPERMEABILIZACIONES Y AISLACIONES</v>
      </c>
      <c r="L963" s="216">
        <f>IF(PLAN_ETAPA!$C$4="(TODOS)",SUMIFS(PPTO_GENERADOR!$E$4:$E$220,PPTO_GENERADOR!$Q$4:$Q$220,A963),SUMIFS(PPTO_GENERADOR!$E$4:$E$220,PPTO_GENERADOR!$Q$4:$Q$220,A963,PPTO_GENERADOR!$B$4:$B$220,PLAN_ETAPA!$C$4))</f>
        <v>0</v>
      </c>
      <c r="M963" s="216">
        <f>IFERROR(VLOOKUP(A963,PARTIDAS!$A$2:$F$269,6,FALSE()),1)</f>
        <v>28</v>
      </c>
      <c r="N963" s="216">
        <f>IFERROR(VLOOKUP(A963,PARTIDAS!$A$2:$I$269,9,FALSE()),1)</f>
        <v>1</v>
      </c>
      <c r="O963" s="217">
        <f t="shared" si="30"/>
        <v>0</v>
      </c>
      <c r="P963" s="216">
        <f>IF(O963=0,0,IF(B963="MAT",G963*(1+H963)*L963*PLAN_ETAPA!$C$5,IF(B963="MO",IF(M963=0,0,G963*L963*PLAN_ETAPA!$C$5*N963/M963),IF(B963="EQ",IF(M963=0,0,G963*L963*PLAN_ETAPA!$C$5/M963),0))))</f>
        <v>0</v>
      </c>
      <c r="Q963" s="218">
        <f t="shared" si="31"/>
        <v>0</v>
      </c>
    </row>
    <row r="964" spans="1:17" x14ac:dyDescent="0.35">
      <c r="A964" s="212" t="str">
        <f>COMPOSICIÓN!A964</f>
        <v>PTO-0501</v>
      </c>
      <c r="B964" s="212" t="str">
        <f>COMPOSICIÓN!B964</f>
        <v>MO</v>
      </c>
      <c r="C964" s="212" t="str">
        <f>COMPOSICIÓN!C964</f>
        <v>ALB</v>
      </c>
      <c r="D964" s="212" t="str">
        <f>COMPOSICIÓN!D964</f>
        <v>MO-EAYUD</v>
      </c>
      <c r="E964" s="212" t="str">
        <f>COMPOSICIÓN!E964</f>
        <v>AYUDANTE</v>
      </c>
      <c r="F964" s="212" t="str">
        <f>COMPOSICIÓN!F964</f>
        <v>j</v>
      </c>
      <c r="G964" s="213">
        <f>COMPOSICIÓN!G964</f>
        <v>0.4</v>
      </c>
      <c r="H964" s="214">
        <f>COMPOSICIÓN!H964</f>
        <v>0</v>
      </c>
      <c r="I964" s="215">
        <f>COMPOSICIÓN!I964</f>
        <v>60860.580776572002</v>
      </c>
      <c r="J964" s="212" t="str">
        <f>IFERROR(VLOOKUP(A964,PARTIDAS!$A$2:$C$269,3,FALSE()),"")</f>
        <v>IMPERMEABILIZACIONES Y AISLACIONES</v>
      </c>
      <c r="K964" s="212" t="str">
        <f>IFERROR(INDEX(PPTO_GENERADOR!$B$4:$B$220,MATCH(A964,PPTO_GENERADOR!$Q$4:$Q$220,0)),"")</f>
        <v>IMPERMEABILIZACIONES Y AISLACIONES</v>
      </c>
      <c r="L964" s="216">
        <f>IF(PLAN_ETAPA!$C$4="(TODOS)",SUMIFS(PPTO_GENERADOR!$E$4:$E$220,PPTO_GENERADOR!$Q$4:$Q$220,A964),SUMIFS(PPTO_GENERADOR!$E$4:$E$220,PPTO_GENERADOR!$Q$4:$Q$220,A964,PPTO_GENERADOR!$B$4:$B$220,PLAN_ETAPA!$C$4))</f>
        <v>0</v>
      </c>
      <c r="M964" s="216">
        <f>IFERROR(VLOOKUP(A964,PARTIDAS!$A$2:$F$269,6,FALSE()),1)</f>
        <v>28</v>
      </c>
      <c r="N964" s="216">
        <f>IFERROR(VLOOKUP(A964,PARTIDAS!$A$2:$I$269,9,FALSE()),1)</f>
        <v>1</v>
      </c>
      <c r="O964" s="217">
        <f t="shared" si="30"/>
        <v>0</v>
      </c>
      <c r="P964" s="216">
        <f>IF(O964=0,0,IF(B964="MAT",G964*(1+H964)*L964*PLAN_ETAPA!$C$5,IF(B964="MO",IF(M964=0,0,G964*L964*PLAN_ETAPA!$C$5*N964/M964),IF(B964="EQ",IF(M964=0,0,G964*L964*PLAN_ETAPA!$C$5/M964),0))))</f>
        <v>0</v>
      </c>
      <c r="Q964" s="218">
        <f t="shared" si="31"/>
        <v>0</v>
      </c>
    </row>
    <row r="965" spans="1:17" x14ac:dyDescent="0.35">
      <c r="A965" s="212" t="str">
        <f>COMPOSICIÓN!A965</f>
        <v>PTO-0501</v>
      </c>
      <c r="B965" s="212" t="str">
        <f>COMPOSICIÓN!B965</f>
        <v>MO</v>
      </c>
      <c r="C965" s="212" t="str">
        <f>COMPOSICIÓN!C965</f>
        <v>ALB</v>
      </c>
      <c r="D965" s="212" t="str">
        <f>COMPOSICIÓN!D965</f>
        <v>MO-EESPE</v>
      </c>
      <c r="E965" s="212" t="str">
        <f>COMPOSICIÓN!E965</f>
        <v>ESPECIALIZADO</v>
      </c>
      <c r="F965" s="212" t="str">
        <f>COMPOSICIÓN!F965</f>
        <v>j</v>
      </c>
      <c r="G965" s="213">
        <f>COMPOSICIÓN!G965</f>
        <v>1</v>
      </c>
      <c r="H965" s="214">
        <f>COMPOSICIÓN!H965</f>
        <v>0</v>
      </c>
      <c r="I965" s="215">
        <f>COMPOSICIÓN!I965</f>
        <v>85927.097156571996</v>
      </c>
      <c r="J965" s="212" t="str">
        <f>IFERROR(VLOOKUP(A965,PARTIDAS!$A$2:$C$269,3,FALSE()),"")</f>
        <v>IMPERMEABILIZACIONES Y AISLACIONES</v>
      </c>
      <c r="K965" s="212" t="str">
        <f>IFERROR(INDEX(PPTO_GENERADOR!$B$4:$B$220,MATCH(A965,PPTO_GENERADOR!$Q$4:$Q$220,0)),"")</f>
        <v>IMPERMEABILIZACIONES Y AISLACIONES</v>
      </c>
      <c r="L965" s="216">
        <f>IF(PLAN_ETAPA!$C$4="(TODOS)",SUMIFS(PPTO_GENERADOR!$E$4:$E$220,PPTO_GENERADOR!$Q$4:$Q$220,A965),SUMIFS(PPTO_GENERADOR!$E$4:$E$220,PPTO_GENERADOR!$Q$4:$Q$220,A965,PPTO_GENERADOR!$B$4:$B$220,PLAN_ETAPA!$C$4))</f>
        <v>0</v>
      </c>
      <c r="M965" s="216">
        <f>IFERROR(VLOOKUP(A965,PARTIDAS!$A$2:$F$269,6,FALSE()),1)</f>
        <v>28</v>
      </c>
      <c r="N965" s="216">
        <f>IFERROR(VLOOKUP(A965,PARTIDAS!$A$2:$I$269,9,FALSE()),1)</f>
        <v>1</v>
      </c>
      <c r="O965" s="217">
        <f t="shared" si="30"/>
        <v>0</v>
      </c>
      <c r="P965" s="216">
        <f>IF(O965=0,0,IF(B965="MAT",G965*(1+H965)*L965*PLAN_ETAPA!$C$5,IF(B965="MO",IF(M965=0,0,G965*L965*PLAN_ETAPA!$C$5*N965/M965),IF(B965="EQ",IF(M965=0,0,G965*L965*PLAN_ETAPA!$C$5/M965),0))))</f>
        <v>0</v>
      </c>
      <c r="Q965" s="218">
        <f t="shared" si="31"/>
        <v>0</v>
      </c>
    </row>
    <row r="966" spans="1:17" x14ac:dyDescent="0.35">
      <c r="A966" s="212" t="str">
        <f>COMPOSICIÓN!A966</f>
        <v>PTO-0502</v>
      </c>
      <c r="B966" s="212" t="str">
        <f>COMPOSICIÓN!B966</f>
        <v>EQ</v>
      </c>
      <c r="C966" s="212">
        <f>COMPOSICIÓN!C966</f>
        <v>0</v>
      </c>
      <c r="D966" s="212" t="str">
        <f>COMPOSICIÓN!D966</f>
        <v>EQ-SOLD00</v>
      </c>
      <c r="E966" s="212" t="str">
        <f>COMPOSICIÓN!E966</f>
        <v>Soldador Soplete A Gas Techista Membrana 10 Kg Boca 50mm</v>
      </c>
      <c r="F966" s="212">
        <f>COMPOSICIÓN!F966</f>
        <v>0</v>
      </c>
      <c r="G966" s="213">
        <f>COMPOSICIÓN!G966</f>
        <v>1</v>
      </c>
      <c r="H966" s="214">
        <f>COMPOSICIÓN!H966</f>
        <v>0</v>
      </c>
      <c r="I966" s="215">
        <f>COMPOSICIÓN!I966</f>
        <v>804.50568716120006</v>
      </c>
      <c r="J966" s="212" t="str">
        <f>IFERROR(VLOOKUP(A966,PARTIDAS!$A$2:$C$269,3,FALSE()),"")</f>
        <v>IMPERMEABILIZACIONES Y AISLACIONES</v>
      </c>
      <c r="K966" s="212" t="str">
        <f>IFERROR(INDEX(PPTO_GENERADOR!$B$4:$B$220,MATCH(A966,PPTO_GENERADOR!$Q$4:$Q$220,0)),"")</f>
        <v>IMPERMEABILIZACIONES Y AISLACIONES</v>
      </c>
      <c r="L966" s="216">
        <f>IF(PLAN_ETAPA!$C$4="(TODOS)",SUMIFS(PPTO_GENERADOR!$E$4:$E$220,PPTO_GENERADOR!$Q$4:$Q$220,A966),SUMIFS(PPTO_GENERADOR!$E$4:$E$220,PPTO_GENERADOR!$Q$4:$Q$220,A966,PPTO_GENERADOR!$B$4:$B$220,PLAN_ETAPA!$C$4))</f>
        <v>0</v>
      </c>
      <c r="M966" s="216">
        <f>IFERROR(VLOOKUP(A966,PARTIDAS!$A$2:$F$269,6,FALSE()),1)</f>
        <v>25</v>
      </c>
      <c r="N966" s="216">
        <f>IFERROR(VLOOKUP(A966,PARTIDAS!$A$2:$I$269,9,FALSE()),1)</f>
        <v>1</v>
      </c>
      <c r="O966" s="217">
        <f t="shared" si="30"/>
        <v>0</v>
      </c>
      <c r="P966" s="216">
        <f>IF(O966=0,0,IF(B966="MAT",G966*(1+H966)*L966*PLAN_ETAPA!$C$5,IF(B966="MO",IF(M966=0,0,G966*L966*PLAN_ETAPA!$C$5*N966/M966),IF(B966="EQ",IF(M966=0,0,G966*L966*PLAN_ETAPA!$C$5/M966),0))))</f>
        <v>0</v>
      </c>
      <c r="Q966" s="218">
        <f t="shared" si="31"/>
        <v>0</v>
      </c>
    </row>
    <row r="967" spans="1:17" x14ac:dyDescent="0.35">
      <c r="A967" s="212" t="str">
        <f>COMPOSICIÓN!A967</f>
        <v>PTO-0502</v>
      </c>
      <c r="B967" s="212" t="str">
        <f>COMPOSICIÓN!B967</f>
        <v>MAT</v>
      </c>
      <c r="C967" s="212" t="str">
        <f>COMPOSICIÓN!C967</f>
        <v>OTR</v>
      </c>
      <c r="D967" s="212" t="str">
        <f>COMPOSICIÓN!D967</f>
        <v>AIS-002</v>
      </c>
      <c r="E967" s="212" t="str">
        <f>COMPOSICIÓN!E967</f>
        <v>Membrana Geotextil Ormiflex 4mm - (35kg) x10m</v>
      </c>
      <c r="F967" s="212" t="str">
        <f>COMPOSICIÓN!F967</f>
        <v>u</v>
      </c>
      <c r="G967" s="213">
        <f>COMPOSICIÓN!G967</f>
        <v>0.1</v>
      </c>
      <c r="H967" s="214">
        <f>COMPOSICIÓN!H967</f>
        <v>0.1</v>
      </c>
      <c r="I967" s="215">
        <f>COMPOSICIÓN!I967</f>
        <v>70192.210000000006</v>
      </c>
      <c r="J967" s="212" t="str">
        <f>IFERROR(VLOOKUP(A967,PARTIDAS!$A$2:$C$269,3,FALSE()),"")</f>
        <v>IMPERMEABILIZACIONES Y AISLACIONES</v>
      </c>
      <c r="K967" s="212" t="str">
        <f>IFERROR(INDEX(PPTO_GENERADOR!$B$4:$B$220,MATCH(A967,PPTO_GENERADOR!$Q$4:$Q$220,0)),"")</f>
        <v>IMPERMEABILIZACIONES Y AISLACIONES</v>
      </c>
      <c r="L967" s="216">
        <f>IF(PLAN_ETAPA!$C$4="(TODOS)",SUMIFS(PPTO_GENERADOR!$E$4:$E$220,PPTO_GENERADOR!$Q$4:$Q$220,A967),SUMIFS(PPTO_GENERADOR!$E$4:$E$220,PPTO_GENERADOR!$Q$4:$Q$220,A967,PPTO_GENERADOR!$B$4:$B$220,PLAN_ETAPA!$C$4))</f>
        <v>0</v>
      </c>
      <c r="M967" s="216">
        <f>IFERROR(VLOOKUP(A967,PARTIDAS!$A$2:$F$269,6,FALSE()),1)</f>
        <v>25</v>
      </c>
      <c r="N967" s="216">
        <f>IFERROR(VLOOKUP(A967,PARTIDAS!$A$2:$I$269,9,FALSE()),1)</f>
        <v>1</v>
      </c>
      <c r="O967" s="217">
        <f t="shared" si="30"/>
        <v>0</v>
      </c>
      <c r="P967" s="216">
        <f>IF(O967=0,0,IF(B967="MAT",G967*(1+H967)*L967*PLAN_ETAPA!$C$5,IF(B967="MO",IF(M967=0,0,G967*L967*PLAN_ETAPA!$C$5*N967/M967),IF(B967="EQ",IF(M967=0,0,G967*L967*PLAN_ETAPA!$C$5/M967),0))))</f>
        <v>0</v>
      </c>
      <c r="Q967" s="218">
        <f t="shared" si="31"/>
        <v>0</v>
      </c>
    </row>
    <row r="968" spans="1:17" x14ac:dyDescent="0.35">
      <c r="A968" s="212" t="str">
        <f>COMPOSICIÓN!A968</f>
        <v>PTO-0502</v>
      </c>
      <c r="B968" s="212" t="str">
        <f>COMPOSICIÓN!B968</f>
        <v>MAT</v>
      </c>
      <c r="C968" s="212" t="str">
        <f>COMPOSICIÓN!C968</f>
        <v>OTR</v>
      </c>
      <c r="D968" s="212" t="str">
        <f>COMPOSICIÓN!D968</f>
        <v>OTR-022</v>
      </c>
      <c r="E968" s="212" t="str">
        <f>COMPOSICIÓN!E968</f>
        <v>Aguarras Hydrarras Hydra x 18lts</v>
      </c>
      <c r="F968" s="212" t="str">
        <f>COMPOSICIÓN!F968</f>
        <v>b</v>
      </c>
      <c r="G968" s="213">
        <f>COMPOSICIÓN!G968</f>
        <v>0.01</v>
      </c>
      <c r="H968" s="214">
        <f>COMPOSICIÓN!H968</f>
        <v>0.05</v>
      </c>
      <c r="I968" s="215">
        <f>COMPOSICIÓN!I968</f>
        <v>26907.33</v>
      </c>
      <c r="J968" s="212" t="str">
        <f>IFERROR(VLOOKUP(A968,PARTIDAS!$A$2:$C$269,3,FALSE()),"")</f>
        <v>IMPERMEABILIZACIONES Y AISLACIONES</v>
      </c>
      <c r="K968" s="212" t="str">
        <f>IFERROR(INDEX(PPTO_GENERADOR!$B$4:$B$220,MATCH(A968,PPTO_GENERADOR!$Q$4:$Q$220,0)),"")</f>
        <v>IMPERMEABILIZACIONES Y AISLACIONES</v>
      </c>
      <c r="L968" s="216">
        <f>IF(PLAN_ETAPA!$C$4="(TODOS)",SUMIFS(PPTO_GENERADOR!$E$4:$E$220,PPTO_GENERADOR!$Q$4:$Q$220,A968),SUMIFS(PPTO_GENERADOR!$E$4:$E$220,PPTO_GENERADOR!$Q$4:$Q$220,A968,PPTO_GENERADOR!$B$4:$B$220,PLAN_ETAPA!$C$4))</f>
        <v>0</v>
      </c>
      <c r="M968" s="216">
        <f>IFERROR(VLOOKUP(A968,PARTIDAS!$A$2:$F$269,6,FALSE()),1)</f>
        <v>25</v>
      </c>
      <c r="N968" s="216">
        <f>IFERROR(VLOOKUP(A968,PARTIDAS!$A$2:$I$269,9,FALSE()),1)</f>
        <v>1</v>
      </c>
      <c r="O968" s="217">
        <f t="shared" si="30"/>
        <v>0</v>
      </c>
      <c r="P968" s="216">
        <f>IF(O968=0,0,IF(B968="MAT",G968*(1+H968)*L968*PLAN_ETAPA!$C$5,IF(B968="MO",IF(M968=0,0,G968*L968*PLAN_ETAPA!$C$5*N968/M968),IF(B968="EQ",IF(M968=0,0,G968*L968*PLAN_ETAPA!$C$5/M968),0))))</f>
        <v>0</v>
      </c>
      <c r="Q968" s="218">
        <f t="shared" si="31"/>
        <v>0</v>
      </c>
    </row>
    <row r="969" spans="1:17" x14ac:dyDescent="0.35">
      <c r="A969" s="212" t="str">
        <f>COMPOSICIÓN!A969</f>
        <v>PTO-0502</v>
      </c>
      <c r="B969" s="212" t="str">
        <f>COMPOSICIÓN!B969</f>
        <v>MAT</v>
      </c>
      <c r="C969" s="212" t="str">
        <f>COMPOSICIÓN!C969</f>
        <v>OTR</v>
      </c>
      <c r="D969" s="212" t="str">
        <f>COMPOSICIÓN!D969</f>
        <v>OTR-025</v>
      </c>
      <c r="E969" s="212" t="str">
        <f>COMPOSICIÓN!E969</f>
        <v>Trapo</v>
      </c>
      <c r="F969" s="212" t="str">
        <f>COMPOSICIÓN!F969</f>
        <v>u</v>
      </c>
      <c r="G969" s="213">
        <f>COMPOSICIÓN!G969</f>
        <v>0.02</v>
      </c>
      <c r="H969" s="214">
        <f>COMPOSICIÓN!H969</f>
        <v>0.05</v>
      </c>
      <c r="I969" s="215">
        <f>COMPOSICIÓN!I969</f>
        <v>735.06</v>
      </c>
      <c r="J969" s="212" t="str">
        <f>IFERROR(VLOOKUP(A969,PARTIDAS!$A$2:$C$269,3,FALSE()),"")</f>
        <v>IMPERMEABILIZACIONES Y AISLACIONES</v>
      </c>
      <c r="K969" s="212" t="str">
        <f>IFERROR(INDEX(PPTO_GENERADOR!$B$4:$B$220,MATCH(A969,PPTO_GENERADOR!$Q$4:$Q$220,0)),"")</f>
        <v>IMPERMEABILIZACIONES Y AISLACIONES</v>
      </c>
      <c r="L969" s="216">
        <f>IF(PLAN_ETAPA!$C$4="(TODOS)",SUMIFS(PPTO_GENERADOR!$E$4:$E$220,PPTO_GENERADOR!$Q$4:$Q$220,A969),SUMIFS(PPTO_GENERADOR!$E$4:$E$220,PPTO_GENERADOR!$Q$4:$Q$220,A969,PPTO_GENERADOR!$B$4:$B$220,PLAN_ETAPA!$C$4))</f>
        <v>0</v>
      </c>
      <c r="M969" s="216">
        <f>IFERROR(VLOOKUP(A969,PARTIDAS!$A$2:$F$269,6,FALSE()),1)</f>
        <v>25</v>
      </c>
      <c r="N969" s="216">
        <f>IFERROR(VLOOKUP(A969,PARTIDAS!$A$2:$I$269,9,FALSE()),1)</f>
        <v>1</v>
      </c>
      <c r="O969" s="217">
        <f t="shared" si="30"/>
        <v>0</v>
      </c>
      <c r="P969" s="216">
        <f>IF(O969=0,0,IF(B969="MAT",G969*(1+H969)*L969*PLAN_ETAPA!$C$5,IF(B969="MO",IF(M969=0,0,G969*L969*PLAN_ETAPA!$C$5*N969/M969),IF(B969="EQ",IF(M969=0,0,G969*L969*PLAN_ETAPA!$C$5/M969),0))))</f>
        <v>0</v>
      </c>
      <c r="Q969" s="218">
        <f t="shared" si="31"/>
        <v>0</v>
      </c>
    </row>
    <row r="970" spans="1:17" x14ac:dyDescent="0.35">
      <c r="A970" s="212" t="str">
        <f>COMPOSICIÓN!A970</f>
        <v>PTO-0502</v>
      </c>
      <c r="B970" s="212" t="str">
        <f>COMPOSICIÓN!B970</f>
        <v>MAT</v>
      </c>
      <c r="C970" s="212" t="str">
        <f>COMPOSICIÓN!C970</f>
        <v>OTR</v>
      </c>
      <c r="D970" s="212" t="str">
        <f>COMPOSICIÓN!D970</f>
        <v>OTR-027</v>
      </c>
      <c r="E970" s="212" t="str">
        <f>COMPOSICIÓN!E970</f>
        <v>Rodillo de lana pelo largo N°22 - El Galgo</v>
      </c>
      <c r="F970" s="212" t="str">
        <f>COMPOSICIÓN!F970</f>
        <v>u</v>
      </c>
      <c r="G970" s="213">
        <f>COMPOSICIÓN!G970</f>
        <v>0.01</v>
      </c>
      <c r="H970" s="214">
        <f>COMPOSICIÓN!H970</f>
        <v>0.05</v>
      </c>
      <c r="I970" s="215">
        <f>COMPOSICIÓN!I970</f>
        <v>6678.36</v>
      </c>
      <c r="J970" s="212" t="str">
        <f>IFERROR(VLOOKUP(A970,PARTIDAS!$A$2:$C$269,3,FALSE()),"")</f>
        <v>IMPERMEABILIZACIONES Y AISLACIONES</v>
      </c>
      <c r="K970" s="212" t="str">
        <f>IFERROR(INDEX(PPTO_GENERADOR!$B$4:$B$220,MATCH(A970,PPTO_GENERADOR!$Q$4:$Q$220,0)),"")</f>
        <v>IMPERMEABILIZACIONES Y AISLACIONES</v>
      </c>
      <c r="L970" s="216">
        <f>IF(PLAN_ETAPA!$C$4="(TODOS)",SUMIFS(PPTO_GENERADOR!$E$4:$E$220,PPTO_GENERADOR!$Q$4:$Q$220,A970),SUMIFS(PPTO_GENERADOR!$E$4:$E$220,PPTO_GENERADOR!$Q$4:$Q$220,A970,PPTO_GENERADOR!$B$4:$B$220,PLAN_ETAPA!$C$4))</f>
        <v>0</v>
      </c>
      <c r="M970" s="216">
        <f>IFERROR(VLOOKUP(A970,PARTIDAS!$A$2:$F$269,6,FALSE()),1)</f>
        <v>25</v>
      </c>
      <c r="N970" s="216">
        <f>IFERROR(VLOOKUP(A970,PARTIDAS!$A$2:$I$269,9,FALSE()),1)</f>
        <v>1</v>
      </c>
      <c r="O970" s="217">
        <f t="shared" si="30"/>
        <v>0</v>
      </c>
      <c r="P970" s="216">
        <f>IF(O970=0,0,IF(B970="MAT",G970*(1+H970)*L970*PLAN_ETAPA!$C$5,IF(B970="MO",IF(M970=0,0,G970*L970*PLAN_ETAPA!$C$5*N970/M970),IF(B970="EQ",IF(M970=0,0,G970*L970*PLAN_ETAPA!$C$5/M970),0))))</f>
        <v>0</v>
      </c>
      <c r="Q970" s="218">
        <f t="shared" si="31"/>
        <v>0</v>
      </c>
    </row>
    <row r="971" spans="1:17" x14ac:dyDescent="0.35">
      <c r="A971" s="212" t="str">
        <f>COMPOSICIÓN!A971</f>
        <v>PTO-0502</v>
      </c>
      <c r="B971" s="212" t="str">
        <f>COMPOSICIÓN!B971</f>
        <v>MAT</v>
      </c>
      <c r="C971" s="212" t="str">
        <f>COMPOSICIÓN!C971</f>
        <v>OTR</v>
      </c>
      <c r="D971" s="212" t="str">
        <f>COMPOSICIÓN!D971</f>
        <v>OTR-028</v>
      </c>
      <c r="E971" s="212" t="str">
        <f>COMPOSICIÓN!E971</f>
        <v>Pincel N° 20 - El Galgo</v>
      </c>
      <c r="F971" s="212" t="str">
        <f>COMPOSICIÓN!F971</f>
        <v>u</v>
      </c>
      <c r="G971" s="213">
        <f>COMPOSICIÓN!G971</f>
        <v>0.02</v>
      </c>
      <c r="H971" s="214">
        <f>COMPOSICIÓN!H971</f>
        <v>0.05</v>
      </c>
      <c r="I971" s="215">
        <f>COMPOSICIÓN!I971</f>
        <v>5282.24</v>
      </c>
      <c r="J971" s="212" t="str">
        <f>IFERROR(VLOOKUP(A971,PARTIDAS!$A$2:$C$269,3,FALSE()),"")</f>
        <v>IMPERMEABILIZACIONES Y AISLACIONES</v>
      </c>
      <c r="K971" s="212" t="str">
        <f>IFERROR(INDEX(PPTO_GENERADOR!$B$4:$B$220,MATCH(A971,PPTO_GENERADOR!$Q$4:$Q$220,0)),"")</f>
        <v>IMPERMEABILIZACIONES Y AISLACIONES</v>
      </c>
      <c r="L971" s="216">
        <f>IF(PLAN_ETAPA!$C$4="(TODOS)",SUMIFS(PPTO_GENERADOR!$E$4:$E$220,PPTO_GENERADOR!$Q$4:$Q$220,A971),SUMIFS(PPTO_GENERADOR!$E$4:$E$220,PPTO_GENERADOR!$Q$4:$Q$220,A971,PPTO_GENERADOR!$B$4:$B$220,PLAN_ETAPA!$C$4))</f>
        <v>0</v>
      </c>
      <c r="M971" s="216">
        <f>IFERROR(VLOOKUP(A971,PARTIDAS!$A$2:$F$269,6,FALSE()),1)</f>
        <v>25</v>
      </c>
      <c r="N971" s="216">
        <f>IFERROR(VLOOKUP(A971,PARTIDAS!$A$2:$I$269,9,FALSE()),1)</f>
        <v>1</v>
      </c>
      <c r="O971" s="217">
        <f t="shared" si="30"/>
        <v>0</v>
      </c>
      <c r="P971" s="216">
        <f>IF(O971=0,0,IF(B971="MAT",G971*(1+H971)*L971*PLAN_ETAPA!$C$5,IF(B971="MO",IF(M971=0,0,G971*L971*PLAN_ETAPA!$C$5*N971/M971),IF(B971="EQ",IF(M971=0,0,G971*L971*PLAN_ETAPA!$C$5/M971),0))))</f>
        <v>0</v>
      </c>
      <c r="Q971" s="218">
        <f t="shared" si="31"/>
        <v>0</v>
      </c>
    </row>
    <row r="972" spans="1:17" x14ac:dyDescent="0.35">
      <c r="A972" s="212" t="str">
        <f>COMPOSICIÓN!A972</f>
        <v>PTO-0502</v>
      </c>
      <c r="B972" s="212" t="str">
        <f>COMPOSICIÓN!B972</f>
        <v>MAT</v>
      </c>
      <c r="C972" s="212" t="str">
        <f>COMPOSICIÓN!C972</f>
        <v>OTR</v>
      </c>
      <c r="D972" s="212" t="str">
        <f>COMPOSICIÓN!D972</f>
        <v>OTR-047</v>
      </c>
      <c r="E972" s="212" t="str">
        <f>COMPOSICIÓN!E972</f>
        <v>Guante Vaqueta Medio Paseo</v>
      </c>
      <c r="F972" s="212" t="str">
        <f>COMPOSICIÓN!F972</f>
        <v>par</v>
      </c>
      <c r="G972" s="213">
        <f>COMPOSICIÓN!G972</f>
        <v>0.06</v>
      </c>
      <c r="H972" s="214">
        <f>COMPOSICIÓN!H972</f>
        <v>0.05</v>
      </c>
      <c r="I972" s="215">
        <f>COMPOSICIÓN!I972</f>
        <v>4842</v>
      </c>
      <c r="J972" s="212" t="str">
        <f>IFERROR(VLOOKUP(A972,PARTIDAS!$A$2:$C$269,3,FALSE()),"")</f>
        <v>IMPERMEABILIZACIONES Y AISLACIONES</v>
      </c>
      <c r="K972" s="212" t="str">
        <f>IFERROR(INDEX(PPTO_GENERADOR!$B$4:$B$220,MATCH(A972,PPTO_GENERADOR!$Q$4:$Q$220,0)),"")</f>
        <v>IMPERMEABILIZACIONES Y AISLACIONES</v>
      </c>
      <c r="L972" s="216">
        <f>IF(PLAN_ETAPA!$C$4="(TODOS)",SUMIFS(PPTO_GENERADOR!$E$4:$E$220,PPTO_GENERADOR!$Q$4:$Q$220,A972),SUMIFS(PPTO_GENERADOR!$E$4:$E$220,PPTO_GENERADOR!$Q$4:$Q$220,A972,PPTO_GENERADOR!$B$4:$B$220,PLAN_ETAPA!$C$4))</f>
        <v>0</v>
      </c>
      <c r="M972" s="216">
        <f>IFERROR(VLOOKUP(A972,PARTIDAS!$A$2:$F$269,6,FALSE()),1)</f>
        <v>25</v>
      </c>
      <c r="N972" s="216">
        <f>IFERROR(VLOOKUP(A972,PARTIDAS!$A$2:$I$269,9,FALSE()),1)</f>
        <v>1</v>
      </c>
      <c r="O972" s="217">
        <f t="shared" si="30"/>
        <v>0</v>
      </c>
      <c r="P972" s="216">
        <f>IF(O972=0,0,IF(B972="MAT",G972*(1+H972)*L972*PLAN_ETAPA!$C$5,IF(B972="MO",IF(M972=0,0,G972*L972*PLAN_ETAPA!$C$5*N972/M972),IF(B972="EQ",IF(M972=0,0,G972*L972*PLAN_ETAPA!$C$5/M972),0))))</f>
        <v>0</v>
      </c>
      <c r="Q972" s="218">
        <f t="shared" si="31"/>
        <v>0</v>
      </c>
    </row>
    <row r="973" spans="1:17" x14ac:dyDescent="0.35">
      <c r="A973" s="212" t="str">
        <f>COMPOSICIÓN!A973</f>
        <v>PTO-0502</v>
      </c>
      <c r="B973" s="212" t="str">
        <f>COMPOSICIÓN!B973</f>
        <v>MAT</v>
      </c>
      <c r="C973" s="212" t="str">
        <f>COMPOSICIÓN!C973</f>
        <v>OTR</v>
      </c>
      <c r="D973" s="212" t="str">
        <f>COMPOSICIÓN!D973</f>
        <v>OTR-048</v>
      </c>
      <c r="E973" s="212" t="str">
        <f>COMPOSICIÓN!E973</f>
        <v>Recarga de garrafa</v>
      </c>
      <c r="F973" s="212" t="str">
        <f>COMPOSICIÓN!F973</f>
        <v>u</v>
      </c>
      <c r="G973" s="213">
        <f>COMPOSICIÓN!G973</f>
        <v>0.02</v>
      </c>
      <c r="H973" s="214">
        <f>COMPOSICIÓN!H973</f>
        <v>0.05</v>
      </c>
      <c r="I973" s="215">
        <f>COMPOSICIÓN!I973</f>
        <v>12396.694214876001</v>
      </c>
      <c r="J973" s="212" t="str">
        <f>IFERROR(VLOOKUP(A973,PARTIDAS!$A$2:$C$269,3,FALSE()),"")</f>
        <v>IMPERMEABILIZACIONES Y AISLACIONES</v>
      </c>
      <c r="K973" s="212" t="str">
        <f>IFERROR(INDEX(PPTO_GENERADOR!$B$4:$B$220,MATCH(A973,PPTO_GENERADOR!$Q$4:$Q$220,0)),"")</f>
        <v>IMPERMEABILIZACIONES Y AISLACIONES</v>
      </c>
      <c r="L973" s="216">
        <f>IF(PLAN_ETAPA!$C$4="(TODOS)",SUMIFS(PPTO_GENERADOR!$E$4:$E$220,PPTO_GENERADOR!$Q$4:$Q$220,A973),SUMIFS(PPTO_GENERADOR!$E$4:$E$220,PPTO_GENERADOR!$Q$4:$Q$220,A973,PPTO_GENERADOR!$B$4:$B$220,PLAN_ETAPA!$C$4))</f>
        <v>0</v>
      </c>
      <c r="M973" s="216">
        <f>IFERROR(VLOOKUP(A973,PARTIDAS!$A$2:$F$269,6,FALSE()),1)</f>
        <v>25</v>
      </c>
      <c r="N973" s="216">
        <f>IFERROR(VLOOKUP(A973,PARTIDAS!$A$2:$I$269,9,FALSE()),1)</f>
        <v>1</v>
      </c>
      <c r="O973" s="217">
        <f t="shared" si="30"/>
        <v>0</v>
      </c>
      <c r="P973" s="216">
        <f>IF(O973=0,0,IF(B973="MAT",G973*(1+H973)*L973*PLAN_ETAPA!$C$5,IF(B973="MO",IF(M973=0,0,G973*L973*PLAN_ETAPA!$C$5*N973/M973),IF(B973="EQ",IF(M973=0,0,G973*L973*PLAN_ETAPA!$C$5/M973),0))))</f>
        <v>0</v>
      </c>
      <c r="Q973" s="218">
        <f t="shared" si="31"/>
        <v>0</v>
      </c>
    </row>
    <row r="974" spans="1:17" x14ac:dyDescent="0.35">
      <c r="A974" s="212" t="str">
        <f>COMPOSICIÓN!A974</f>
        <v>PTO-0502</v>
      </c>
      <c r="B974" s="212" t="str">
        <f>COMPOSICIÓN!B974</f>
        <v>MAT</v>
      </c>
      <c r="C974" s="212" t="str">
        <f>COMPOSICIÓN!C974</f>
        <v>OTR</v>
      </c>
      <c r="D974" s="212" t="str">
        <f>COMPOSICIÓN!D974</f>
        <v>OTR-PTO145</v>
      </c>
      <c r="E974" s="212" t="str">
        <f>COMPOSICIÓN!E974</f>
        <v>Materiales adicionales s/MAT 35% - PTO-0502</v>
      </c>
      <c r="F974" s="212" t="str">
        <f>COMPOSICIÓN!F974</f>
        <v>m2</v>
      </c>
      <c r="G974" s="213">
        <f>COMPOSICIÓN!G974</f>
        <v>1</v>
      </c>
      <c r="H974" s="214">
        <f>COMPOSICIÓN!H974</f>
        <v>0</v>
      </c>
      <c r="I974" s="215">
        <f>COMPOSICIÓN!I974</f>
        <v>3419.20382267378</v>
      </c>
      <c r="J974" s="212" t="str">
        <f>IFERROR(VLOOKUP(A974,PARTIDAS!$A$2:$C$269,3,FALSE()),"")</f>
        <v>IMPERMEABILIZACIONES Y AISLACIONES</v>
      </c>
      <c r="K974" s="212" t="str">
        <f>IFERROR(INDEX(PPTO_GENERADOR!$B$4:$B$220,MATCH(A974,PPTO_GENERADOR!$Q$4:$Q$220,0)),"")</f>
        <v>IMPERMEABILIZACIONES Y AISLACIONES</v>
      </c>
      <c r="L974" s="216">
        <f>IF(PLAN_ETAPA!$C$4="(TODOS)",SUMIFS(PPTO_GENERADOR!$E$4:$E$220,PPTO_GENERADOR!$Q$4:$Q$220,A974),SUMIFS(PPTO_GENERADOR!$E$4:$E$220,PPTO_GENERADOR!$Q$4:$Q$220,A974,PPTO_GENERADOR!$B$4:$B$220,PLAN_ETAPA!$C$4))</f>
        <v>0</v>
      </c>
      <c r="M974" s="216">
        <f>IFERROR(VLOOKUP(A974,PARTIDAS!$A$2:$F$269,6,FALSE()),1)</f>
        <v>25</v>
      </c>
      <c r="N974" s="216">
        <f>IFERROR(VLOOKUP(A974,PARTIDAS!$A$2:$I$269,9,FALSE()),1)</f>
        <v>1</v>
      </c>
      <c r="O974" s="217">
        <f t="shared" si="30"/>
        <v>0</v>
      </c>
      <c r="P974" s="216">
        <f>IF(O974=0,0,IF(B974="MAT",G974*(1+H974)*L974*PLAN_ETAPA!$C$5,IF(B974="MO",IF(M974=0,0,G974*L974*PLAN_ETAPA!$C$5*N974/M974),IF(B974="EQ",IF(M974=0,0,G974*L974*PLAN_ETAPA!$C$5/M974),0))))</f>
        <v>0</v>
      </c>
      <c r="Q974" s="218">
        <f t="shared" si="31"/>
        <v>0</v>
      </c>
    </row>
    <row r="975" spans="1:17" x14ac:dyDescent="0.35">
      <c r="A975" s="212" t="str">
        <f>COMPOSICIÓN!A975</f>
        <v>PTO-0502</v>
      </c>
      <c r="B975" s="212" t="str">
        <f>COMPOSICIÓN!B975</f>
        <v>MAT</v>
      </c>
      <c r="C975" s="212" t="str">
        <f>COMPOSICIÓN!C975</f>
        <v>OTR</v>
      </c>
      <c r="D975" s="212" t="str">
        <f>COMPOSICIÓN!D975</f>
        <v>PIN-008</v>
      </c>
      <c r="E975" s="212" t="str">
        <f>COMPOSICIÓN!E975</f>
        <v>Pintura Asfaltica Asfasol x18ts</v>
      </c>
      <c r="F975" s="212" t="str">
        <f>COMPOSICIÓN!F975</f>
        <v>b</v>
      </c>
      <c r="G975" s="213">
        <f>COMPOSICIÓN!G975</f>
        <v>2.7777777777777801E-2</v>
      </c>
      <c r="H975" s="214">
        <f>COMPOSICIÓN!H975</f>
        <v>0.1</v>
      </c>
      <c r="I975" s="215">
        <f>COMPOSICIÓN!I975</f>
        <v>32845.78</v>
      </c>
      <c r="J975" s="212" t="str">
        <f>IFERROR(VLOOKUP(A975,PARTIDAS!$A$2:$C$269,3,FALSE()),"")</f>
        <v>IMPERMEABILIZACIONES Y AISLACIONES</v>
      </c>
      <c r="K975" s="212" t="str">
        <f>IFERROR(INDEX(PPTO_GENERADOR!$B$4:$B$220,MATCH(A975,PPTO_GENERADOR!$Q$4:$Q$220,0)),"")</f>
        <v>IMPERMEABILIZACIONES Y AISLACIONES</v>
      </c>
      <c r="L975" s="216">
        <f>IF(PLAN_ETAPA!$C$4="(TODOS)",SUMIFS(PPTO_GENERADOR!$E$4:$E$220,PPTO_GENERADOR!$Q$4:$Q$220,A975),SUMIFS(PPTO_GENERADOR!$E$4:$E$220,PPTO_GENERADOR!$Q$4:$Q$220,A975,PPTO_GENERADOR!$B$4:$B$220,PLAN_ETAPA!$C$4))</f>
        <v>0</v>
      </c>
      <c r="M975" s="216">
        <f>IFERROR(VLOOKUP(A975,PARTIDAS!$A$2:$F$269,6,FALSE()),1)</f>
        <v>25</v>
      </c>
      <c r="N975" s="216">
        <f>IFERROR(VLOOKUP(A975,PARTIDAS!$A$2:$I$269,9,FALSE()),1)</f>
        <v>1</v>
      </c>
      <c r="O975" s="217">
        <f t="shared" si="30"/>
        <v>0</v>
      </c>
      <c r="P975" s="216">
        <f>IF(O975=0,0,IF(B975="MAT",G975*(1+H975)*L975*PLAN_ETAPA!$C$5,IF(B975="MO",IF(M975=0,0,G975*L975*PLAN_ETAPA!$C$5*N975/M975),IF(B975="EQ",IF(M975=0,0,G975*L975*PLAN_ETAPA!$C$5/M975),0))))</f>
        <v>0</v>
      </c>
      <c r="Q975" s="218">
        <f t="shared" si="31"/>
        <v>0</v>
      </c>
    </row>
    <row r="976" spans="1:17" x14ac:dyDescent="0.35">
      <c r="A976" s="212" t="str">
        <f>COMPOSICIÓN!A976</f>
        <v>PTO-0502</v>
      </c>
      <c r="B976" s="212" t="str">
        <f>COMPOSICIÓN!B976</f>
        <v>MO</v>
      </c>
      <c r="C976" s="212" t="str">
        <f>COMPOSICIÓN!C976</f>
        <v>ALB</v>
      </c>
      <c r="D976" s="212" t="str">
        <f>COMPOSICIÓN!D976</f>
        <v>MO-EAYUD</v>
      </c>
      <c r="E976" s="212" t="str">
        <f>COMPOSICIÓN!E976</f>
        <v>AYUDANTE</v>
      </c>
      <c r="F976" s="212" t="str">
        <f>COMPOSICIÓN!F976</f>
        <v>j</v>
      </c>
      <c r="G976" s="213">
        <f>COMPOSICIÓN!G976</f>
        <v>1</v>
      </c>
      <c r="H976" s="214">
        <f>COMPOSICIÓN!H976</f>
        <v>0</v>
      </c>
      <c r="I976" s="215">
        <f>COMPOSICIÓN!I976</f>
        <v>60860.580776572002</v>
      </c>
      <c r="J976" s="212" t="str">
        <f>IFERROR(VLOOKUP(A976,PARTIDAS!$A$2:$C$269,3,FALSE()),"")</f>
        <v>IMPERMEABILIZACIONES Y AISLACIONES</v>
      </c>
      <c r="K976" s="212" t="str">
        <f>IFERROR(INDEX(PPTO_GENERADOR!$B$4:$B$220,MATCH(A976,PPTO_GENERADOR!$Q$4:$Q$220,0)),"")</f>
        <v>IMPERMEABILIZACIONES Y AISLACIONES</v>
      </c>
      <c r="L976" s="216">
        <f>IF(PLAN_ETAPA!$C$4="(TODOS)",SUMIFS(PPTO_GENERADOR!$E$4:$E$220,PPTO_GENERADOR!$Q$4:$Q$220,A976),SUMIFS(PPTO_GENERADOR!$E$4:$E$220,PPTO_GENERADOR!$Q$4:$Q$220,A976,PPTO_GENERADOR!$B$4:$B$220,PLAN_ETAPA!$C$4))</f>
        <v>0</v>
      </c>
      <c r="M976" s="216">
        <f>IFERROR(VLOOKUP(A976,PARTIDAS!$A$2:$F$269,6,FALSE()),1)</f>
        <v>25</v>
      </c>
      <c r="N976" s="216">
        <f>IFERROR(VLOOKUP(A976,PARTIDAS!$A$2:$I$269,9,FALSE()),1)</f>
        <v>1</v>
      </c>
      <c r="O976" s="217">
        <f t="shared" si="30"/>
        <v>0</v>
      </c>
      <c r="P976" s="216">
        <f>IF(O976=0,0,IF(B976="MAT",G976*(1+H976)*L976*PLAN_ETAPA!$C$5,IF(B976="MO",IF(M976=0,0,G976*L976*PLAN_ETAPA!$C$5*N976/M976),IF(B976="EQ",IF(M976=0,0,G976*L976*PLAN_ETAPA!$C$5/M976),0))))</f>
        <v>0</v>
      </c>
      <c r="Q976" s="218">
        <f t="shared" si="31"/>
        <v>0</v>
      </c>
    </row>
    <row r="977" spans="1:17" x14ac:dyDescent="0.35">
      <c r="A977" s="212" t="str">
        <f>COMPOSICIÓN!A977</f>
        <v>PTO-0502</v>
      </c>
      <c r="B977" s="212" t="str">
        <f>COMPOSICIÓN!B977</f>
        <v>MO</v>
      </c>
      <c r="C977" s="212" t="str">
        <f>COMPOSICIÓN!C977</f>
        <v>ALB</v>
      </c>
      <c r="D977" s="212" t="str">
        <f>COMPOSICIÓN!D977</f>
        <v>MO-EESPE</v>
      </c>
      <c r="E977" s="212" t="str">
        <f>COMPOSICIÓN!E977</f>
        <v>ESPECIALIZADO</v>
      </c>
      <c r="F977" s="212" t="str">
        <f>COMPOSICIÓN!F977</f>
        <v>j</v>
      </c>
      <c r="G977" s="213">
        <f>COMPOSICIÓN!G977</f>
        <v>1</v>
      </c>
      <c r="H977" s="214">
        <f>COMPOSICIÓN!H977</f>
        <v>0</v>
      </c>
      <c r="I977" s="215">
        <f>COMPOSICIÓN!I977</f>
        <v>85927.097156571996</v>
      </c>
      <c r="J977" s="212" t="str">
        <f>IFERROR(VLOOKUP(A977,PARTIDAS!$A$2:$C$269,3,FALSE()),"")</f>
        <v>IMPERMEABILIZACIONES Y AISLACIONES</v>
      </c>
      <c r="K977" s="212" t="str">
        <f>IFERROR(INDEX(PPTO_GENERADOR!$B$4:$B$220,MATCH(A977,PPTO_GENERADOR!$Q$4:$Q$220,0)),"")</f>
        <v>IMPERMEABILIZACIONES Y AISLACIONES</v>
      </c>
      <c r="L977" s="216">
        <f>IF(PLAN_ETAPA!$C$4="(TODOS)",SUMIFS(PPTO_GENERADOR!$E$4:$E$220,PPTO_GENERADOR!$Q$4:$Q$220,A977),SUMIFS(PPTO_GENERADOR!$E$4:$E$220,PPTO_GENERADOR!$Q$4:$Q$220,A977,PPTO_GENERADOR!$B$4:$B$220,PLAN_ETAPA!$C$4))</f>
        <v>0</v>
      </c>
      <c r="M977" s="216">
        <f>IFERROR(VLOOKUP(A977,PARTIDAS!$A$2:$F$269,6,FALSE()),1)</f>
        <v>25</v>
      </c>
      <c r="N977" s="216">
        <f>IFERROR(VLOOKUP(A977,PARTIDAS!$A$2:$I$269,9,FALSE()),1)</f>
        <v>1</v>
      </c>
      <c r="O977" s="217">
        <f t="shared" si="30"/>
        <v>0</v>
      </c>
      <c r="P977" s="216">
        <f>IF(O977=0,0,IF(B977="MAT",G977*(1+H977)*L977*PLAN_ETAPA!$C$5,IF(B977="MO",IF(M977=0,0,G977*L977*PLAN_ETAPA!$C$5*N977/M977),IF(B977="EQ",IF(M977=0,0,G977*L977*PLAN_ETAPA!$C$5/M977),0))))</f>
        <v>0</v>
      </c>
      <c r="Q977" s="218">
        <f t="shared" si="31"/>
        <v>0</v>
      </c>
    </row>
    <row r="978" spans="1:17" x14ac:dyDescent="0.35">
      <c r="A978" s="212" t="str">
        <f>COMPOSICIÓN!A978</f>
        <v>PTO-0502</v>
      </c>
      <c r="B978" s="212" t="str">
        <f>COMPOSICIÓN!B978</f>
        <v>MO</v>
      </c>
      <c r="C978" s="212" t="str">
        <f>COMPOSICIÓN!C978</f>
        <v>OTR</v>
      </c>
      <c r="D978" s="212" t="str">
        <f>COMPOSICIÓN!D978</f>
        <v>SUB-PTO082</v>
      </c>
      <c r="E978" s="212" t="str">
        <f>COMPOSICIÓN!E978</f>
        <v>MO adicional s/MO 100% - PTO-0502</v>
      </c>
      <c r="F978" s="212" t="str">
        <f>COMPOSICIÓN!F978</f>
        <v>j</v>
      </c>
      <c r="G978" s="213">
        <f>COMPOSICIÓN!G978</f>
        <v>1</v>
      </c>
      <c r="H978" s="214">
        <f>COMPOSICIÓN!H978</f>
        <v>0</v>
      </c>
      <c r="I978" s="215">
        <f>COMPOSICIÓN!I978</f>
        <v>146787.677933144</v>
      </c>
      <c r="J978" s="212" t="str">
        <f>IFERROR(VLOOKUP(A978,PARTIDAS!$A$2:$C$269,3,FALSE()),"")</f>
        <v>IMPERMEABILIZACIONES Y AISLACIONES</v>
      </c>
      <c r="K978" s="212" t="str">
        <f>IFERROR(INDEX(PPTO_GENERADOR!$B$4:$B$220,MATCH(A978,PPTO_GENERADOR!$Q$4:$Q$220,0)),"")</f>
        <v>IMPERMEABILIZACIONES Y AISLACIONES</v>
      </c>
      <c r="L978" s="216">
        <f>IF(PLAN_ETAPA!$C$4="(TODOS)",SUMIFS(PPTO_GENERADOR!$E$4:$E$220,PPTO_GENERADOR!$Q$4:$Q$220,A978),SUMIFS(PPTO_GENERADOR!$E$4:$E$220,PPTO_GENERADOR!$Q$4:$Q$220,A978,PPTO_GENERADOR!$B$4:$B$220,PLAN_ETAPA!$C$4))</f>
        <v>0</v>
      </c>
      <c r="M978" s="216">
        <f>IFERROR(VLOOKUP(A978,PARTIDAS!$A$2:$F$269,6,FALSE()),1)</f>
        <v>25</v>
      </c>
      <c r="N978" s="216">
        <f>IFERROR(VLOOKUP(A978,PARTIDAS!$A$2:$I$269,9,FALSE()),1)</f>
        <v>1</v>
      </c>
      <c r="O978" s="217">
        <f t="shared" si="30"/>
        <v>0</v>
      </c>
      <c r="P978" s="216">
        <f>IF(O978=0,0,IF(B978="MAT",G978*(1+H978)*L978*PLAN_ETAPA!$C$5,IF(B978="MO",IF(M978=0,0,G978*L978*PLAN_ETAPA!$C$5*N978/M978),IF(B978="EQ",IF(M978=0,0,G978*L978*PLAN_ETAPA!$C$5/M978),0))))</f>
        <v>0</v>
      </c>
      <c r="Q978" s="218">
        <f t="shared" si="31"/>
        <v>0</v>
      </c>
    </row>
    <row r="979" spans="1:17" x14ac:dyDescent="0.35">
      <c r="A979" s="212" t="str">
        <f>COMPOSICIÓN!A979</f>
        <v>PTO-0503</v>
      </c>
      <c r="B979" s="212" t="str">
        <f>COMPOSICIÓN!B979</f>
        <v>EQ</v>
      </c>
      <c r="C979" s="212">
        <f>COMPOSICIÓN!C979</f>
        <v>0</v>
      </c>
      <c r="D979" s="212" t="str">
        <f>COMPOSICIÓN!D979</f>
        <v>EQ-ANDAM0</v>
      </c>
      <c r="E979" s="212" t="str">
        <f>COMPOSICIÓN!E979</f>
        <v>ANDAMIO TUBULAR DE UNO A TRES CUERPOS</v>
      </c>
      <c r="F979" s="212">
        <f>COMPOSICIÓN!F979</f>
        <v>0</v>
      </c>
      <c r="G979" s="213">
        <f>COMPOSICIÓN!G979</f>
        <v>0.5</v>
      </c>
      <c r="H979" s="214">
        <f>COMPOSICIÓN!H979</f>
        <v>0</v>
      </c>
      <c r="I979" s="215">
        <f>COMPOSICIÓN!I979</f>
        <v>571.1794909807611</v>
      </c>
      <c r="J979" s="212" t="str">
        <f>IFERROR(VLOOKUP(A979,PARTIDAS!$A$2:$C$269,3,FALSE()),"")</f>
        <v>IMPERMEABILIZACIONES Y AISLACIONES</v>
      </c>
      <c r="K979" s="212" t="str">
        <f>IFERROR(INDEX(PPTO_GENERADOR!$B$4:$B$220,MATCH(A979,PPTO_GENERADOR!$Q$4:$Q$220,0)),"")</f>
        <v>IMPERMEABILIZACIONES Y AISLACIONES</v>
      </c>
      <c r="L979" s="216">
        <f>IF(PLAN_ETAPA!$C$4="(TODOS)",SUMIFS(PPTO_GENERADOR!$E$4:$E$220,PPTO_GENERADOR!$Q$4:$Q$220,A979),SUMIFS(PPTO_GENERADOR!$E$4:$E$220,PPTO_GENERADOR!$Q$4:$Q$220,A979,PPTO_GENERADOR!$B$4:$B$220,PLAN_ETAPA!$C$4))</f>
        <v>0</v>
      </c>
      <c r="M979" s="216">
        <f>IFERROR(VLOOKUP(A979,PARTIDAS!$A$2:$F$269,6,FALSE()),1)</f>
        <v>28</v>
      </c>
      <c r="N979" s="216">
        <f>IFERROR(VLOOKUP(A979,PARTIDAS!$A$2:$I$269,9,FALSE()),1)</f>
        <v>1</v>
      </c>
      <c r="O979" s="217">
        <f t="shared" si="30"/>
        <v>0</v>
      </c>
      <c r="P979" s="216">
        <f>IF(O979=0,0,IF(B979="MAT",G979*(1+H979)*L979*PLAN_ETAPA!$C$5,IF(B979="MO",IF(M979=0,0,G979*L979*PLAN_ETAPA!$C$5*N979/M979),IF(B979="EQ",IF(M979=0,0,G979*L979*PLAN_ETAPA!$C$5/M979),0))))</f>
        <v>0</v>
      </c>
      <c r="Q979" s="218">
        <f t="shared" si="31"/>
        <v>0</v>
      </c>
    </row>
    <row r="980" spans="1:17" x14ac:dyDescent="0.35">
      <c r="A980" s="212" t="str">
        <f>COMPOSICIÓN!A980</f>
        <v>PTO-0503</v>
      </c>
      <c r="B980" s="212" t="str">
        <f>COMPOSICIÓN!B980</f>
        <v>EQ</v>
      </c>
      <c r="C980" s="212">
        <f>COMPOSICIÓN!C980</f>
        <v>0</v>
      </c>
      <c r="D980" s="212" t="str">
        <f>COMPOSICIÓN!D980</f>
        <v>EQ-EQALBA</v>
      </c>
      <c r="E980" s="212" t="str">
        <f>COMPOSICIÓN!E980</f>
        <v>EQUIPO DE ALBAÑILERIA, carpetas, ladrillo</v>
      </c>
      <c r="F980" s="212">
        <f>COMPOSICIÓN!F980</f>
        <v>0</v>
      </c>
      <c r="G980" s="213">
        <f>COMPOSICIÓN!G980</f>
        <v>1</v>
      </c>
      <c r="H980" s="214">
        <f>COMPOSICIÓN!H980</f>
        <v>0</v>
      </c>
      <c r="I980" s="215">
        <f>COMPOSICIÓN!I980</f>
        <v>2287.1357450968057</v>
      </c>
      <c r="J980" s="212" t="str">
        <f>IFERROR(VLOOKUP(A980,PARTIDAS!$A$2:$C$269,3,FALSE()),"")</f>
        <v>IMPERMEABILIZACIONES Y AISLACIONES</v>
      </c>
      <c r="K980" s="212" t="str">
        <f>IFERROR(INDEX(PPTO_GENERADOR!$B$4:$B$220,MATCH(A980,PPTO_GENERADOR!$Q$4:$Q$220,0)),"")</f>
        <v>IMPERMEABILIZACIONES Y AISLACIONES</v>
      </c>
      <c r="L980" s="216">
        <f>IF(PLAN_ETAPA!$C$4="(TODOS)",SUMIFS(PPTO_GENERADOR!$E$4:$E$220,PPTO_GENERADOR!$Q$4:$Q$220,A980),SUMIFS(PPTO_GENERADOR!$E$4:$E$220,PPTO_GENERADOR!$Q$4:$Q$220,A980,PPTO_GENERADOR!$B$4:$B$220,PLAN_ETAPA!$C$4))</f>
        <v>0</v>
      </c>
      <c r="M980" s="216">
        <f>IFERROR(VLOOKUP(A980,PARTIDAS!$A$2:$F$269,6,FALSE()),1)</f>
        <v>28</v>
      </c>
      <c r="N980" s="216">
        <f>IFERROR(VLOOKUP(A980,PARTIDAS!$A$2:$I$269,9,FALSE()),1)</f>
        <v>1</v>
      </c>
      <c r="O980" s="217">
        <f t="shared" si="30"/>
        <v>0</v>
      </c>
      <c r="P980" s="216">
        <f>IF(O980=0,0,IF(B980="MAT",G980*(1+H980)*L980*PLAN_ETAPA!$C$5,IF(B980="MO",IF(M980=0,0,G980*L980*PLAN_ETAPA!$C$5*N980/M980),IF(B980="EQ",IF(M980=0,0,G980*L980*PLAN_ETAPA!$C$5/M980),0))))</f>
        <v>0</v>
      </c>
      <c r="Q980" s="218">
        <f t="shared" si="31"/>
        <v>0</v>
      </c>
    </row>
    <row r="981" spans="1:17" x14ac:dyDescent="0.35">
      <c r="A981" s="212" t="str">
        <f>COMPOSICIÓN!A981</f>
        <v>PTO-0503</v>
      </c>
      <c r="B981" s="212" t="str">
        <f>COMPOSICIÓN!B981</f>
        <v>EQ</v>
      </c>
      <c r="C981" s="212">
        <f>COMPOSICIÓN!C981</f>
        <v>0</v>
      </c>
      <c r="D981" s="212" t="str">
        <f>COMPOSICIÓN!D981</f>
        <v>EQ-TROMPO</v>
      </c>
      <c r="E981" s="212" t="str">
        <f>COMPOSICIÓN!E981</f>
        <v>Hormigonera De 150 Litros 1hp Con Rueda Maciza</v>
      </c>
      <c r="F981" s="212">
        <f>COMPOSICIÓN!F981</f>
        <v>0</v>
      </c>
      <c r="G981" s="213">
        <f>COMPOSICIÓN!G981</f>
        <v>1</v>
      </c>
      <c r="H981" s="214">
        <f>COMPOSICIÓN!H981</f>
        <v>0</v>
      </c>
      <c r="I981" s="215">
        <f>COMPOSICIÓN!I981</f>
        <v>957.25319614994726</v>
      </c>
      <c r="J981" s="212" t="str">
        <f>IFERROR(VLOOKUP(A981,PARTIDAS!$A$2:$C$269,3,FALSE()),"")</f>
        <v>IMPERMEABILIZACIONES Y AISLACIONES</v>
      </c>
      <c r="K981" s="212" t="str">
        <f>IFERROR(INDEX(PPTO_GENERADOR!$B$4:$B$220,MATCH(A981,PPTO_GENERADOR!$Q$4:$Q$220,0)),"")</f>
        <v>IMPERMEABILIZACIONES Y AISLACIONES</v>
      </c>
      <c r="L981" s="216">
        <f>IF(PLAN_ETAPA!$C$4="(TODOS)",SUMIFS(PPTO_GENERADOR!$E$4:$E$220,PPTO_GENERADOR!$Q$4:$Q$220,A981),SUMIFS(PPTO_GENERADOR!$E$4:$E$220,PPTO_GENERADOR!$Q$4:$Q$220,A981,PPTO_GENERADOR!$B$4:$B$220,PLAN_ETAPA!$C$4))</f>
        <v>0</v>
      </c>
      <c r="M981" s="216">
        <f>IFERROR(VLOOKUP(A981,PARTIDAS!$A$2:$F$269,6,FALSE()),1)</f>
        <v>28</v>
      </c>
      <c r="N981" s="216">
        <f>IFERROR(VLOOKUP(A981,PARTIDAS!$A$2:$I$269,9,FALSE()),1)</f>
        <v>1</v>
      </c>
      <c r="O981" s="217">
        <f t="shared" si="30"/>
        <v>0</v>
      </c>
      <c r="P981" s="216">
        <f>IF(O981=0,0,IF(B981="MAT",G981*(1+H981)*L981*PLAN_ETAPA!$C$5,IF(B981="MO",IF(M981=0,0,G981*L981*PLAN_ETAPA!$C$5*N981/M981),IF(B981="EQ",IF(M981=0,0,G981*L981*PLAN_ETAPA!$C$5/M981),0))))</f>
        <v>0</v>
      </c>
      <c r="Q981" s="218">
        <f t="shared" si="31"/>
        <v>0</v>
      </c>
    </row>
    <row r="982" spans="1:17" x14ac:dyDescent="0.35">
      <c r="A982" s="212" t="str">
        <f>COMPOSICIÓN!A982</f>
        <v>PTO-0503</v>
      </c>
      <c r="B982" s="212" t="str">
        <f>COMPOSICIÓN!B982</f>
        <v>MAT</v>
      </c>
      <c r="C982" s="212" t="str">
        <f>COMPOSICIÓN!C982</f>
        <v>OTR</v>
      </c>
      <c r="D982" s="212" t="str">
        <f>COMPOSICIÓN!D982</f>
        <v>AGR-001</v>
      </c>
      <c r="E982" s="212" t="str">
        <f>COMPOSICIÓN!E982</f>
        <v>ARENA LAVADA</v>
      </c>
      <c r="F982" s="212" t="str">
        <f>COMPOSICIÓN!F982</f>
        <v>m3</v>
      </c>
      <c r="G982" s="213">
        <f>COMPOSICIÓN!G982</f>
        <v>6.0000000000000001E-3</v>
      </c>
      <c r="H982" s="214">
        <f>COMPOSICIÓN!H982</f>
        <v>0.1</v>
      </c>
      <c r="I982" s="215">
        <f>COMPOSICIÓN!I982</f>
        <v>32399.77</v>
      </c>
      <c r="J982" s="212" t="str">
        <f>IFERROR(VLOOKUP(A982,PARTIDAS!$A$2:$C$269,3,FALSE()),"")</f>
        <v>IMPERMEABILIZACIONES Y AISLACIONES</v>
      </c>
      <c r="K982" s="212" t="str">
        <f>IFERROR(INDEX(PPTO_GENERADOR!$B$4:$B$220,MATCH(A982,PPTO_GENERADOR!$Q$4:$Q$220,0)),"")</f>
        <v>IMPERMEABILIZACIONES Y AISLACIONES</v>
      </c>
      <c r="L982" s="216">
        <f>IF(PLAN_ETAPA!$C$4="(TODOS)",SUMIFS(PPTO_GENERADOR!$E$4:$E$220,PPTO_GENERADOR!$Q$4:$Q$220,A982),SUMIFS(PPTO_GENERADOR!$E$4:$E$220,PPTO_GENERADOR!$Q$4:$Q$220,A982,PPTO_GENERADOR!$B$4:$B$220,PLAN_ETAPA!$C$4))</f>
        <v>0</v>
      </c>
      <c r="M982" s="216">
        <f>IFERROR(VLOOKUP(A982,PARTIDAS!$A$2:$F$269,6,FALSE()),1)</f>
        <v>28</v>
      </c>
      <c r="N982" s="216">
        <f>IFERROR(VLOOKUP(A982,PARTIDAS!$A$2:$I$269,9,FALSE()),1)</f>
        <v>1</v>
      </c>
      <c r="O982" s="217">
        <f t="shared" si="30"/>
        <v>0</v>
      </c>
      <c r="P982" s="216">
        <f>IF(O982=0,0,IF(B982="MAT",G982*(1+H982)*L982*PLAN_ETAPA!$C$5,IF(B982="MO",IF(M982=0,0,G982*L982*PLAN_ETAPA!$C$5*N982/M982),IF(B982="EQ",IF(M982=0,0,G982*L982*PLAN_ETAPA!$C$5/M982),0))))</f>
        <v>0</v>
      </c>
      <c r="Q982" s="218">
        <f t="shared" si="31"/>
        <v>0</v>
      </c>
    </row>
    <row r="983" spans="1:17" x14ac:dyDescent="0.35">
      <c r="A983" s="212" t="str">
        <f>COMPOSICIÓN!A983</f>
        <v>PTO-0503</v>
      </c>
      <c r="B983" s="212" t="str">
        <f>COMPOSICIÓN!B983</f>
        <v>MAT</v>
      </c>
      <c r="C983" s="212" t="str">
        <f>COMPOSICIÓN!C983</f>
        <v>OTR</v>
      </c>
      <c r="D983" s="212" t="str">
        <f>COMPOSICIÓN!D983</f>
        <v>AGR-004</v>
      </c>
      <c r="E983" s="212" t="str">
        <f>COMPOSICIÓN!E983</f>
        <v>Cemento Portland x 50kg</v>
      </c>
      <c r="F983" s="212" t="str">
        <f>COMPOSICIÓN!F983</f>
        <v>Bol</v>
      </c>
      <c r="G983" s="213">
        <f>COMPOSICIÓN!G983</f>
        <v>5.3999999999999999E-2</v>
      </c>
      <c r="H983" s="214">
        <f>COMPOSICIÓN!H983</f>
        <v>0.1</v>
      </c>
      <c r="I983" s="215">
        <f>COMPOSICIÓN!I983</f>
        <v>7809.48</v>
      </c>
      <c r="J983" s="212" t="str">
        <f>IFERROR(VLOOKUP(A983,PARTIDAS!$A$2:$C$269,3,FALSE()),"")</f>
        <v>IMPERMEABILIZACIONES Y AISLACIONES</v>
      </c>
      <c r="K983" s="212" t="str">
        <f>IFERROR(INDEX(PPTO_GENERADOR!$B$4:$B$220,MATCH(A983,PPTO_GENERADOR!$Q$4:$Q$220,0)),"")</f>
        <v>IMPERMEABILIZACIONES Y AISLACIONES</v>
      </c>
      <c r="L983" s="216">
        <f>IF(PLAN_ETAPA!$C$4="(TODOS)",SUMIFS(PPTO_GENERADOR!$E$4:$E$220,PPTO_GENERADOR!$Q$4:$Q$220,A983),SUMIFS(PPTO_GENERADOR!$E$4:$E$220,PPTO_GENERADOR!$Q$4:$Q$220,A983,PPTO_GENERADOR!$B$4:$B$220,PLAN_ETAPA!$C$4))</f>
        <v>0</v>
      </c>
      <c r="M983" s="216">
        <f>IFERROR(VLOOKUP(A983,PARTIDAS!$A$2:$F$269,6,FALSE()),1)</f>
        <v>28</v>
      </c>
      <c r="N983" s="216">
        <f>IFERROR(VLOOKUP(A983,PARTIDAS!$A$2:$I$269,9,FALSE()),1)</f>
        <v>1</v>
      </c>
      <c r="O983" s="217">
        <f t="shared" si="30"/>
        <v>0</v>
      </c>
      <c r="P983" s="216">
        <f>IF(O983=0,0,IF(B983="MAT",G983*(1+H983)*L983*PLAN_ETAPA!$C$5,IF(B983="MO",IF(M983=0,0,G983*L983*PLAN_ETAPA!$C$5*N983/M983),IF(B983="EQ",IF(M983=0,0,G983*L983*PLAN_ETAPA!$C$5/M983),0))))</f>
        <v>0</v>
      </c>
      <c r="Q983" s="218">
        <f t="shared" si="31"/>
        <v>0</v>
      </c>
    </row>
    <row r="984" spans="1:17" x14ac:dyDescent="0.35">
      <c r="A984" s="212" t="str">
        <f>COMPOSICIÓN!A984</f>
        <v>PTO-0503</v>
      </c>
      <c r="B984" s="212" t="str">
        <f>COMPOSICIÓN!B984</f>
        <v>MAT</v>
      </c>
      <c r="C984" s="212" t="str">
        <f>COMPOSICIÓN!C984</f>
        <v>OTR</v>
      </c>
      <c r="D984" s="212" t="str">
        <f>COMPOSICIÓN!D984</f>
        <v>AIS-001</v>
      </c>
      <c r="E984" s="212" t="str">
        <f>COMPOSICIÓN!E984</f>
        <v>Aditivo Hidrofugo en pasta - Ceresita x 1kg</v>
      </c>
      <c r="F984" s="212" t="str">
        <f>COMPOSICIÓN!F984</f>
        <v>kg</v>
      </c>
      <c r="G984" s="213">
        <f>COMPOSICIÓN!G984</f>
        <v>0.1</v>
      </c>
      <c r="H984" s="214">
        <f>COMPOSICIÓN!H984</f>
        <v>0.05</v>
      </c>
      <c r="I984" s="215">
        <f>COMPOSICIÓN!I984</f>
        <v>1256.1279999999999</v>
      </c>
      <c r="J984" s="212" t="str">
        <f>IFERROR(VLOOKUP(A984,PARTIDAS!$A$2:$C$269,3,FALSE()),"")</f>
        <v>IMPERMEABILIZACIONES Y AISLACIONES</v>
      </c>
      <c r="K984" s="212" t="str">
        <f>IFERROR(INDEX(PPTO_GENERADOR!$B$4:$B$220,MATCH(A984,PPTO_GENERADOR!$Q$4:$Q$220,0)),"")</f>
        <v>IMPERMEABILIZACIONES Y AISLACIONES</v>
      </c>
      <c r="L984" s="216">
        <f>IF(PLAN_ETAPA!$C$4="(TODOS)",SUMIFS(PPTO_GENERADOR!$E$4:$E$220,PPTO_GENERADOR!$Q$4:$Q$220,A984),SUMIFS(PPTO_GENERADOR!$E$4:$E$220,PPTO_GENERADOR!$Q$4:$Q$220,A984,PPTO_GENERADOR!$B$4:$B$220,PLAN_ETAPA!$C$4))</f>
        <v>0</v>
      </c>
      <c r="M984" s="216">
        <f>IFERROR(VLOOKUP(A984,PARTIDAS!$A$2:$F$269,6,FALSE()),1)</f>
        <v>28</v>
      </c>
      <c r="N984" s="216">
        <f>IFERROR(VLOOKUP(A984,PARTIDAS!$A$2:$I$269,9,FALSE()),1)</f>
        <v>1</v>
      </c>
      <c r="O984" s="217">
        <f t="shared" si="30"/>
        <v>0</v>
      </c>
      <c r="P984" s="216">
        <f>IF(O984=0,0,IF(B984="MAT",G984*(1+H984)*L984*PLAN_ETAPA!$C$5,IF(B984="MO",IF(M984=0,0,G984*L984*PLAN_ETAPA!$C$5*N984/M984),IF(B984="EQ",IF(M984=0,0,G984*L984*PLAN_ETAPA!$C$5/M984),0))))</f>
        <v>0</v>
      </c>
      <c r="Q984" s="218">
        <f t="shared" si="31"/>
        <v>0</v>
      </c>
    </row>
    <row r="985" spans="1:17" x14ac:dyDescent="0.35">
      <c r="A985" s="212" t="str">
        <f>COMPOSICIÓN!A985</f>
        <v>PTO-0503</v>
      </c>
      <c r="B985" s="212" t="str">
        <f>COMPOSICIÓN!B985</f>
        <v>MO</v>
      </c>
      <c r="C985" s="212" t="str">
        <f>COMPOSICIÓN!C985</f>
        <v>ALB</v>
      </c>
      <c r="D985" s="212" t="str">
        <f>COMPOSICIÓN!D985</f>
        <v>MO-EAYUD</v>
      </c>
      <c r="E985" s="212" t="str">
        <f>COMPOSICIÓN!E985</f>
        <v>AYUDANTE</v>
      </c>
      <c r="F985" s="212" t="str">
        <f>COMPOSICIÓN!F985</f>
        <v>j</v>
      </c>
      <c r="G985" s="213">
        <f>COMPOSICIÓN!G985</f>
        <v>0.4</v>
      </c>
      <c r="H985" s="214">
        <f>COMPOSICIÓN!H985</f>
        <v>0</v>
      </c>
      <c r="I985" s="215">
        <f>COMPOSICIÓN!I985</f>
        <v>60860.580776572002</v>
      </c>
      <c r="J985" s="212" t="str">
        <f>IFERROR(VLOOKUP(A985,PARTIDAS!$A$2:$C$269,3,FALSE()),"")</f>
        <v>IMPERMEABILIZACIONES Y AISLACIONES</v>
      </c>
      <c r="K985" s="212" t="str">
        <f>IFERROR(INDEX(PPTO_GENERADOR!$B$4:$B$220,MATCH(A985,PPTO_GENERADOR!$Q$4:$Q$220,0)),"")</f>
        <v>IMPERMEABILIZACIONES Y AISLACIONES</v>
      </c>
      <c r="L985" s="216">
        <f>IF(PLAN_ETAPA!$C$4="(TODOS)",SUMIFS(PPTO_GENERADOR!$E$4:$E$220,PPTO_GENERADOR!$Q$4:$Q$220,A985),SUMIFS(PPTO_GENERADOR!$E$4:$E$220,PPTO_GENERADOR!$Q$4:$Q$220,A985,PPTO_GENERADOR!$B$4:$B$220,PLAN_ETAPA!$C$4))</f>
        <v>0</v>
      </c>
      <c r="M985" s="216">
        <f>IFERROR(VLOOKUP(A985,PARTIDAS!$A$2:$F$269,6,FALSE()),1)</f>
        <v>28</v>
      </c>
      <c r="N985" s="216">
        <f>IFERROR(VLOOKUP(A985,PARTIDAS!$A$2:$I$269,9,FALSE()),1)</f>
        <v>1</v>
      </c>
      <c r="O985" s="217">
        <f t="shared" si="30"/>
        <v>0</v>
      </c>
      <c r="P985" s="216">
        <f>IF(O985=0,0,IF(B985="MAT",G985*(1+H985)*L985*PLAN_ETAPA!$C$5,IF(B985="MO",IF(M985=0,0,G985*L985*PLAN_ETAPA!$C$5*N985/M985),IF(B985="EQ",IF(M985=0,0,G985*L985*PLAN_ETAPA!$C$5/M985),0))))</f>
        <v>0</v>
      </c>
      <c r="Q985" s="218">
        <f t="shared" si="31"/>
        <v>0</v>
      </c>
    </row>
    <row r="986" spans="1:17" x14ac:dyDescent="0.35">
      <c r="A986" s="212" t="str">
        <f>COMPOSICIÓN!A986</f>
        <v>PTO-0503</v>
      </c>
      <c r="B986" s="212" t="str">
        <f>COMPOSICIÓN!B986</f>
        <v>MO</v>
      </c>
      <c r="C986" s="212" t="str">
        <f>COMPOSICIÓN!C986</f>
        <v>ALB</v>
      </c>
      <c r="D986" s="212" t="str">
        <f>COMPOSICIÓN!D986</f>
        <v>MO-EESPE</v>
      </c>
      <c r="E986" s="212" t="str">
        <f>COMPOSICIÓN!E986</f>
        <v>ESPECIALIZADO</v>
      </c>
      <c r="F986" s="212" t="str">
        <f>COMPOSICIÓN!F986</f>
        <v>j</v>
      </c>
      <c r="G986" s="213">
        <f>COMPOSICIÓN!G986</f>
        <v>1</v>
      </c>
      <c r="H986" s="214">
        <f>COMPOSICIÓN!H986</f>
        <v>0</v>
      </c>
      <c r="I986" s="215">
        <f>COMPOSICIÓN!I986</f>
        <v>85927.097156571996</v>
      </c>
      <c r="J986" s="212" t="str">
        <f>IFERROR(VLOOKUP(A986,PARTIDAS!$A$2:$C$269,3,FALSE()),"")</f>
        <v>IMPERMEABILIZACIONES Y AISLACIONES</v>
      </c>
      <c r="K986" s="212" t="str">
        <f>IFERROR(INDEX(PPTO_GENERADOR!$B$4:$B$220,MATCH(A986,PPTO_GENERADOR!$Q$4:$Q$220,0)),"")</f>
        <v>IMPERMEABILIZACIONES Y AISLACIONES</v>
      </c>
      <c r="L986" s="216">
        <f>IF(PLAN_ETAPA!$C$4="(TODOS)",SUMIFS(PPTO_GENERADOR!$E$4:$E$220,PPTO_GENERADOR!$Q$4:$Q$220,A986),SUMIFS(PPTO_GENERADOR!$E$4:$E$220,PPTO_GENERADOR!$Q$4:$Q$220,A986,PPTO_GENERADOR!$B$4:$B$220,PLAN_ETAPA!$C$4))</f>
        <v>0</v>
      </c>
      <c r="M986" s="216">
        <f>IFERROR(VLOOKUP(A986,PARTIDAS!$A$2:$F$269,6,FALSE()),1)</f>
        <v>28</v>
      </c>
      <c r="N986" s="216">
        <f>IFERROR(VLOOKUP(A986,PARTIDAS!$A$2:$I$269,9,FALSE()),1)</f>
        <v>1</v>
      </c>
      <c r="O986" s="217">
        <f t="shared" si="30"/>
        <v>0</v>
      </c>
      <c r="P986" s="216">
        <f>IF(O986=0,0,IF(B986="MAT",G986*(1+H986)*L986*PLAN_ETAPA!$C$5,IF(B986="MO",IF(M986=0,0,G986*L986*PLAN_ETAPA!$C$5*N986/M986),IF(B986="EQ",IF(M986=0,0,G986*L986*PLAN_ETAPA!$C$5/M986),0))))</f>
        <v>0</v>
      </c>
      <c r="Q986" s="218">
        <f t="shared" si="31"/>
        <v>0</v>
      </c>
    </row>
    <row r="987" spans="1:17" x14ac:dyDescent="0.35">
      <c r="A987" s="212" t="str">
        <f>COMPOSICIÓN!A987</f>
        <v>PTO-0504</v>
      </c>
      <c r="B987" s="212" t="str">
        <f>COMPOSICIÓN!B987</f>
        <v>MAT</v>
      </c>
      <c r="C987" s="212" t="str">
        <f>COMPOSICIÓN!C987</f>
        <v>OTR</v>
      </c>
      <c r="D987" s="212" t="str">
        <f>COMPOSICIÓN!D987</f>
        <v>OTR-PTO075</v>
      </c>
      <c r="E987" s="212" t="str">
        <f>COMPOSICIÓN!E987</f>
        <v>Telgopor 1 x 1 x 20 mm densidad 20 kg</v>
      </c>
      <c r="F987" s="212" t="str">
        <f>COMPOSICIÓN!F987</f>
        <v>u</v>
      </c>
      <c r="G987" s="213">
        <f>COMPOSICIÓN!G987</f>
        <v>1</v>
      </c>
      <c r="H987" s="214">
        <f>COMPOSICIÓN!H987</f>
        <v>0</v>
      </c>
      <c r="I987" s="215">
        <f>COMPOSICIÓN!I987</f>
        <v>3625.4</v>
      </c>
      <c r="J987" s="212" t="str">
        <f>IFERROR(VLOOKUP(A987,PARTIDAS!$A$2:$C$269,3,FALSE()),"")</f>
        <v>IMPERMEABILIZACIONES Y AISLACIONES</v>
      </c>
      <c r="K987" s="212" t="str">
        <f>IFERROR(INDEX(PPTO_GENERADOR!$B$4:$B$220,MATCH(A987,PPTO_GENERADOR!$Q$4:$Q$220,0)),"")</f>
        <v>IMPERMEABILIZACIONES Y AISLACIONES</v>
      </c>
      <c r="L987" s="216">
        <f>IF(PLAN_ETAPA!$C$4="(TODOS)",SUMIFS(PPTO_GENERADOR!$E$4:$E$220,PPTO_GENERADOR!$Q$4:$Q$220,A987),SUMIFS(PPTO_GENERADOR!$E$4:$E$220,PPTO_GENERADOR!$Q$4:$Q$220,A987,PPTO_GENERADOR!$B$4:$B$220,PLAN_ETAPA!$C$4))</f>
        <v>0</v>
      </c>
      <c r="M987" s="216">
        <f>IFERROR(VLOOKUP(A987,PARTIDAS!$A$2:$F$269,6,FALSE()),1)</f>
        <v>1</v>
      </c>
      <c r="N987" s="216">
        <f>IFERROR(VLOOKUP(A987,PARTIDAS!$A$2:$I$269,9,FALSE()),1)</f>
        <v>1</v>
      </c>
      <c r="O987" s="217">
        <f t="shared" si="30"/>
        <v>0</v>
      </c>
      <c r="P987" s="216">
        <f>IF(O987=0,0,IF(B987="MAT",G987*(1+H987)*L987*PLAN_ETAPA!$C$5,IF(B987="MO",IF(M987=0,0,G987*L987*PLAN_ETAPA!$C$5*N987/M987),IF(B987="EQ",IF(M987=0,0,G987*L987*PLAN_ETAPA!$C$5/M987),0))))</f>
        <v>0</v>
      </c>
      <c r="Q987" s="218">
        <f t="shared" si="31"/>
        <v>0</v>
      </c>
    </row>
    <row r="988" spans="1:17" x14ac:dyDescent="0.35">
      <c r="A988" s="212" t="str">
        <f>COMPOSICIÓN!A988</f>
        <v>PTO-0505</v>
      </c>
      <c r="B988" s="212" t="str">
        <f>COMPOSICIÓN!B988</f>
        <v>EQ</v>
      </c>
      <c r="C988" s="212">
        <f>COMPOSICIÓN!C988</f>
        <v>0</v>
      </c>
      <c r="D988" s="212" t="str">
        <f>COMPOSICIÓN!D988</f>
        <v>EQ-SOLD00</v>
      </c>
      <c r="E988" s="212" t="str">
        <f>COMPOSICIÓN!E988</f>
        <v>Soldador Soplete A Gas Techista Membrana 10 Kg Boca 50mm</v>
      </c>
      <c r="F988" s="212">
        <f>COMPOSICIÓN!F988</f>
        <v>0</v>
      </c>
      <c r="G988" s="213">
        <f>COMPOSICIÓN!G988</f>
        <v>1</v>
      </c>
      <c r="H988" s="214">
        <f>COMPOSICIÓN!H988</f>
        <v>0</v>
      </c>
      <c r="I988" s="215">
        <f>COMPOSICIÓN!I988</f>
        <v>804.50568716120006</v>
      </c>
      <c r="J988" s="212" t="str">
        <f>IFERROR(VLOOKUP(A988,PARTIDAS!$A$2:$C$269,3,FALSE()),"")</f>
        <v>IMPERMEABILIZACIONES Y AISLACIONES</v>
      </c>
      <c r="K988" s="212" t="str">
        <f>IFERROR(INDEX(PPTO_GENERADOR!$B$4:$B$220,MATCH(A988,PPTO_GENERADOR!$Q$4:$Q$220,0)),"")</f>
        <v/>
      </c>
      <c r="L988" s="216">
        <f>IF(PLAN_ETAPA!$C$4="(TODOS)",SUMIFS(PPTO_GENERADOR!$E$4:$E$220,PPTO_GENERADOR!$Q$4:$Q$220,A988),SUMIFS(PPTO_GENERADOR!$E$4:$E$220,PPTO_GENERADOR!$Q$4:$Q$220,A988,PPTO_GENERADOR!$B$4:$B$220,PLAN_ETAPA!$C$4))</f>
        <v>0</v>
      </c>
      <c r="M988" s="216">
        <f>IFERROR(VLOOKUP(A988,PARTIDAS!$A$2:$F$269,6,FALSE()),1)</f>
        <v>80</v>
      </c>
      <c r="N988" s="216">
        <f>IFERROR(VLOOKUP(A988,PARTIDAS!$A$2:$I$269,9,FALSE()),1)</f>
        <v>1</v>
      </c>
      <c r="O988" s="217">
        <f t="shared" si="30"/>
        <v>0</v>
      </c>
      <c r="P988" s="216">
        <f>IF(O988=0,0,IF(B988="MAT",G988*(1+H988)*L988*PLAN_ETAPA!$C$5,IF(B988="MO",IF(M988=0,0,G988*L988*PLAN_ETAPA!$C$5*N988/M988),IF(B988="EQ",IF(M988=0,0,G988*L988*PLAN_ETAPA!$C$5/M988),0))))</f>
        <v>0</v>
      </c>
      <c r="Q988" s="218">
        <f t="shared" si="31"/>
        <v>0</v>
      </c>
    </row>
    <row r="989" spans="1:17" x14ac:dyDescent="0.35">
      <c r="A989" s="212" t="str">
        <f>COMPOSICIÓN!A989</f>
        <v>PTO-0505</v>
      </c>
      <c r="B989" s="212" t="str">
        <f>COMPOSICIÓN!B989</f>
        <v>MAT</v>
      </c>
      <c r="C989" s="212" t="str">
        <f>COMPOSICIÓN!C989</f>
        <v>OTR</v>
      </c>
      <c r="D989" s="212" t="str">
        <f>COMPOSICIÓN!D989</f>
        <v>OTR-022</v>
      </c>
      <c r="E989" s="212" t="str">
        <f>COMPOSICIÓN!E989</f>
        <v>Aguarras Hydrarras Hydra x 18lts</v>
      </c>
      <c r="F989" s="212" t="str">
        <f>COMPOSICIÓN!F989</f>
        <v>b</v>
      </c>
      <c r="G989" s="213">
        <f>COMPOSICIÓN!G989</f>
        <v>2E-3</v>
      </c>
      <c r="H989" s="214">
        <f>COMPOSICIÓN!H989</f>
        <v>0.05</v>
      </c>
      <c r="I989" s="215">
        <f>COMPOSICIÓN!I989</f>
        <v>26907.33</v>
      </c>
      <c r="J989" s="212" t="str">
        <f>IFERROR(VLOOKUP(A989,PARTIDAS!$A$2:$C$269,3,FALSE()),"")</f>
        <v>IMPERMEABILIZACIONES Y AISLACIONES</v>
      </c>
      <c r="K989" s="212" t="str">
        <f>IFERROR(INDEX(PPTO_GENERADOR!$B$4:$B$220,MATCH(A989,PPTO_GENERADOR!$Q$4:$Q$220,0)),"")</f>
        <v/>
      </c>
      <c r="L989" s="216">
        <f>IF(PLAN_ETAPA!$C$4="(TODOS)",SUMIFS(PPTO_GENERADOR!$E$4:$E$220,PPTO_GENERADOR!$Q$4:$Q$220,A989),SUMIFS(PPTO_GENERADOR!$E$4:$E$220,PPTO_GENERADOR!$Q$4:$Q$220,A989,PPTO_GENERADOR!$B$4:$B$220,PLAN_ETAPA!$C$4))</f>
        <v>0</v>
      </c>
      <c r="M989" s="216">
        <f>IFERROR(VLOOKUP(A989,PARTIDAS!$A$2:$F$269,6,FALSE()),1)</f>
        <v>80</v>
      </c>
      <c r="N989" s="216">
        <f>IFERROR(VLOOKUP(A989,PARTIDAS!$A$2:$I$269,9,FALSE()),1)</f>
        <v>1</v>
      </c>
      <c r="O989" s="217">
        <f t="shared" si="30"/>
        <v>0</v>
      </c>
      <c r="P989" s="216">
        <f>IF(O989=0,0,IF(B989="MAT",G989*(1+H989)*L989*PLAN_ETAPA!$C$5,IF(B989="MO",IF(M989=0,0,G989*L989*PLAN_ETAPA!$C$5*N989/M989),IF(B989="EQ",IF(M989=0,0,G989*L989*PLAN_ETAPA!$C$5/M989),0))))</f>
        <v>0</v>
      </c>
      <c r="Q989" s="218">
        <f t="shared" si="31"/>
        <v>0</v>
      </c>
    </row>
    <row r="990" spans="1:17" x14ac:dyDescent="0.35">
      <c r="A990" s="212" t="str">
        <f>COMPOSICIÓN!A990</f>
        <v>PTO-0505</v>
      </c>
      <c r="B990" s="212" t="str">
        <f>COMPOSICIÓN!B990</f>
        <v>MAT</v>
      </c>
      <c r="C990" s="212" t="str">
        <f>COMPOSICIÓN!C990</f>
        <v>OTR</v>
      </c>
      <c r="D990" s="212" t="str">
        <f>COMPOSICIÓN!D990</f>
        <v>OTR-025</v>
      </c>
      <c r="E990" s="212" t="str">
        <f>COMPOSICIÓN!E990</f>
        <v>Trapo</v>
      </c>
      <c r="F990" s="212" t="str">
        <f>COMPOSICIÓN!F990</f>
        <v>u</v>
      </c>
      <c r="G990" s="213">
        <f>COMPOSICIÓN!G990</f>
        <v>0.02</v>
      </c>
      <c r="H990" s="214">
        <f>COMPOSICIÓN!H990</f>
        <v>0.05</v>
      </c>
      <c r="I990" s="215">
        <f>COMPOSICIÓN!I990</f>
        <v>735.06</v>
      </c>
      <c r="J990" s="212" t="str">
        <f>IFERROR(VLOOKUP(A990,PARTIDAS!$A$2:$C$269,3,FALSE()),"")</f>
        <v>IMPERMEABILIZACIONES Y AISLACIONES</v>
      </c>
      <c r="K990" s="212" t="str">
        <f>IFERROR(INDEX(PPTO_GENERADOR!$B$4:$B$220,MATCH(A990,PPTO_GENERADOR!$Q$4:$Q$220,0)),"")</f>
        <v/>
      </c>
      <c r="L990" s="216">
        <f>IF(PLAN_ETAPA!$C$4="(TODOS)",SUMIFS(PPTO_GENERADOR!$E$4:$E$220,PPTO_GENERADOR!$Q$4:$Q$220,A990),SUMIFS(PPTO_GENERADOR!$E$4:$E$220,PPTO_GENERADOR!$Q$4:$Q$220,A990,PPTO_GENERADOR!$B$4:$B$220,PLAN_ETAPA!$C$4))</f>
        <v>0</v>
      </c>
      <c r="M990" s="216">
        <f>IFERROR(VLOOKUP(A990,PARTIDAS!$A$2:$F$269,6,FALSE()),1)</f>
        <v>80</v>
      </c>
      <c r="N990" s="216">
        <f>IFERROR(VLOOKUP(A990,PARTIDAS!$A$2:$I$269,9,FALSE()),1)</f>
        <v>1</v>
      </c>
      <c r="O990" s="217">
        <f t="shared" si="30"/>
        <v>0</v>
      </c>
      <c r="P990" s="216">
        <f>IF(O990=0,0,IF(B990="MAT",G990*(1+H990)*L990*PLAN_ETAPA!$C$5,IF(B990="MO",IF(M990=0,0,G990*L990*PLAN_ETAPA!$C$5*N990/M990),IF(B990="EQ",IF(M990=0,0,G990*L990*PLAN_ETAPA!$C$5/M990),0))))</f>
        <v>0</v>
      </c>
      <c r="Q990" s="218">
        <f t="shared" si="31"/>
        <v>0</v>
      </c>
    </row>
    <row r="991" spans="1:17" x14ac:dyDescent="0.35">
      <c r="A991" s="212" t="str">
        <f>COMPOSICIÓN!A991</f>
        <v>PTO-0505</v>
      </c>
      <c r="B991" s="212" t="str">
        <f>COMPOSICIÓN!B991</f>
        <v>MAT</v>
      </c>
      <c r="C991" s="212" t="str">
        <f>COMPOSICIÓN!C991</f>
        <v>OTR</v>
      </c>
      <c r="D991" s="212" t="str">
        <f>COMPOSICIÓN!D991</f>
        <v>OTR-027</v>
      </c>
      <c r="E991" s="212" t="str">
        <f>COMPOSICIÓN!E991</f>
        <v>Rodillo de lana pelo largo N°22 - El Galgo</v>
      </c>
      <c r="F991" s="212" t="str">
        <f>COMPOSICIÓN!F991</f>
        <v>u</v>
      </c>
      <c r="G991" s="213">
        <f>COMPOSICIÓN!G991</f>
        <v>0.01</v>
      </c>
      <c r="H991" s="214">
        <f>COMPOSICIÓN!H991</f>
        <v>0.05</v>
      </c>
      <c r="I991" s="215">
        <f>COMPOSICIÓN!I991</f>
        <v>6678.36</v>
      </c>
      <c r="J991" s="212" t="str">
        <f>IFERROR(VLOOKUP(A991,PARTIDAS!$A$2:$C$269,3,FALSE()),"")</f>
        <v>IMPERMEABILIZACIONES Y AISLACIONES</v>
      </c>
      <c r="K991" s="212" t="str">
        <f>IFERROR(INDEX(PPTO_GENERADOR!$B$4:$B$220,MATCH(A991,PPTO_GENERADOR!$Q$4:$Q$220,0)),"")</f>
        <v/>
      </c>
      <c r="L991" s="216">
        <f>IF(PLAN_ETAPA!$C$4="(TODOS)",SUMIFS(PPTO_GENERADOR!$E$4:$E$220,PPTO_GENERADOR!$Q$4:$Q$220,A991),SUMIFS(PPTO_GENERADOR!$E$4:$E$220,PPTO_GENERADOR!$Q$4:$Q$220,A991,PPTO_GENERADOR!$B$4:$B$220,PLAN_ETAPA!$C$4))</f>
        <v>0</v>
      </c>
      <c r="M991" s="216">
        <f>IFERROR(VLOOKUP(A991,PARTIDAS!$A$2:$F$269,6,FALSE()),1)</f>
        <v>80</v>
      </c>
      <c r="N991" s="216">
        <f>IFERROR(VLOOKUP(A991,PARTIDAS!$A$2:$I$269,9,FALSE()),1)</f>
        <v>1</v>
      </c>
      <c r="O991" s="217">
        <f t="shared" si="30"/>
        <v>0</v>
      </c>
      <c r="P991" s="216">
        <f>IF(O991=0,0,IF(B991="MAT",G991*(1+H991)*L991*PLAN_ETAPA!$C$5,IF(B991="MO",IF(M991=0,0,G991*L991*PLAN_ETAPA!$C$5*N991/M991),IF(B991="EQ",IF(M991=0,0,G991*L991*PLAN_ETAPA!$C$5/M991),0))))</f>
        <v>0</v>
      </c>
      <c r="Q991" s="218">
        <f t="shared" si="31"/>
        <v>0</v>
      </c>
    </row>
    <row r="992" spans="1:17" x14ac:dyDescent="0.35">
      <c r="A992" s="212" t="str">
        <f>COMPOSICIÓN!A992</f>
        <v>PTO-0505</v>
      </c>
      <c r="B992" s="212" t="str">
        <f>COMPOSICIÓN!B992</f>
        <v>MAT</v>
      </c>
      <c r="C992" s="212" t="str">
        <f>COMPOSICIÓN!C992</f>
        <v>OTR</v>
      </c>
      <c r="D992" s="212" t="str">
        <f>COMPOSICIÓN!D992</f>
        <v>OTR-028</v>
      </c>
      <c r="E992" s="212" t="str">
        <f>COMPOSICIÓN!E992</f>
        <v>Pincel N° 20 - El Galgo</v>
      </c>
      <c r="F992" s="212" t="str">
        <f>COMPOSICIÓN!F992</f>
        <v>u</v>
      </c>
      <c r="G992" s="213">
        <f>COMPOSICIÓN!G992</f>
        <v>0.02</v>
      </c>
      <c r="H992" s="214">
        <f>COMPOSICIÓN!H992</f>
        <v>0.05</v>
      </c>
      <c r="I992" s="215">
        <f>COMPOSICIÓN!I992</f>
        <v>5282.24</v>
      </c>
      <c r="J992" s="212" t="str">
        <f>IFERROR(VLOOKUP(A992,PARTIDAS!$A$2:$C$269,3,FALSE()),"")</f>
        <v>IMPERMEABILIZACIONES Y AISLACIONES</v>
      </c>
      <c r="K992" s="212" t="str">
        <f>IFERROR(INDEX(PPTO_GENERADOR!$B$4:$B$220,MATCH(A992,PPTO_GENERADOR!$Q$4:$Q$220,0)),"")</f>
        <v/>
      </c>
      <c r="L992" s="216">
        <f>IF(PLAN_ETAPA!$C$4="(TODOS)",SUMIFS(PPTO_GENERADOR!$E$4:$E$220,PPTO_GENERADOR!$Q$4:$Q$220,A992),SUMIFS(PPTO_GENERADOR!$E$4:$E$220,PPTO_GENERADOR!$Q$4:$Q$220,A992,PPTO_GENERADOR!$B$4:$B$220,PLAN_ETAPA!$C$4))</f>
        <v>0</v>
      </c>
      <c r="M992" s="216">
        <f>IFERROR(VLOOKUP(A992,PARTIDAS!$A$2:$F$269,6,FALSE()),1)</f>
        <v>80</v>
      </c>
      <c r="N992" s="216">
        <f>IFERROR(VLOOKUP(A992,PARTIDAS!$A$2:$I$269,9,FALSE()),1)</f>
        <v>1</v>
      </c>
      <c r="O992" s="217">
        <f t="shared" si="30"/>
        <v>0</v>
      </c>
      <c r="P992" s="216">
        <f>IF(O992=0,0,IF(B992="MAT",G992*(1+H992)*L992*PLAN_ETAPA!$C$5,IF(B992="MO",IF(M992=0,0,G992*L992*PLAN_ETAPA!$C$5*N992/M992),IF(B992="EQ",IF(M992=0,0,G992*L992*PLAN_ETAPA!$C$5/M992),0))))</f>
        <v>0</v>
      </c>
      <c r="Q992" s="218">
        <f t="shared" si="31"/>
        <v>0</v>
      </c>
    </row>
    <row r="993" spans="1:17" x14ac:dyDescent="0.35">
      <c r="A993" s="212" t="str">
        <f>COMPOSICIÓN!A993</f>
        <v>PTO-0505</v>
      </c>
      <c r="B993" s="212" t="str">
        <f>COMPOSICIÓN!B993</f>
        <v>MAT</v>
      </c>
      <c r="C993" s="212" t="str">
        <f>COMPOSICIÓN!C993</f>
        <v>OTR</v>
      </c>
      <c r="D993" s="212" t="str">
        <f>COMPOSICIÓN!D993</f>
        <v>PIN-008</v>
      </c>
      <c r="E993" s="212" t="str">
        <f>COMPOSICIÓN!E993</f>
        <v>Pintura Asfaltica Asfasol x18ts</v>
      </c>
      <c r="F993" s="212" t="str">
        <f>COMPOSICIÓN!F993</f>
        <v>b</v>
      </c>
      <c r="G993" s="213">
        <f>COMPOSICIÓN!G993</f>
        <v>2.7777777777777801E-2</v>
      </c>
      <c r="H993" s="214">
        <f>COMPOSICIÓN!H993</f>
        <v>0.1</v>
      </c>
      <c r="I993" s="215">
        <f>COMPOSICIÓN!I993</f>
        <v>32845.78</v>
      </c>
      <c r="J993" s="212" t="str">
        <f>IFERROR(VLOOKUP(A993,PARTIDAS!$A$2:$C$269,3,FALSE()),"")</f>
        <v>IMPERMEABILIZACIONES Y AISLACIONES</v>
      </c>
      <c r="K993" s="212" t="str">
        <f>IFERROR(INDEX(PPTO_GENERADOR!$B$4:$B$220,MATCH(A993,PPTO_GENERADOR!$Q$4:$Q$220,0)),"")</f>
        <v/>
      </c>
      <c r="L993" s="216">
        <f>IF(PLAN_ETAPA!$C$4="(TODOS)",SUMIFS(PPTO_GENERADOR!$E$4:$E$220,PPTO_GENERADOR!$Q$4:$Q$220,A993),SUMIFS(PPTO_GENERADOR!$E$4:$E$220,PPTO_GENERADOR!$Q$4:$Q$220,A993,PPTO_GENERADOR!$B$4:$B$220,PLAN_ETAPA!$C$4))</f>
        <v>0</v>
      </c>
      <c r="M993" s="216">
        <f>IFERROR(VLOOKUP(A993,PARTIDAS!$A$2:$F$269,6,FALSE()),1)</f>
        <v>80</v>
      </c>
      <c r="N993" s="216">
        <f>IFERROR(VLOOKUP(A993,PARTIDAS!$A$2:$I$269,9,FALSE()),1)</f>
        <v>1</v>
      </c>
      <c r="O993" s="217">
        <f t="shared" si="30"/>
        <v>0</v>
      </c>
      <c r="P993" s="216">
        <f>IF(O993=0,0,IF(B993="MAT",G993*(1+H993)*L993*PLAN_ETAPA!$C$5,IF(B993="MO",IF(M993=0,0,G993*L993*PLAN_ETAPA!$C$5*N993/M993),IF(B993="EQ",IF(M993=0,0,G993*L993*PLAN_ETAPA!$C$5/M993),0))))</f>
        <v>0</v>
      </c>
      <c r="Q993" s="218">
        <f t="shared" si="31"/>
        <v>0</v>
      </c>
    </row>
    <row r="994" spans="1:17" x14ac:dyDescent="0.35">
      <c r="A994" s="212" t="str">
        <f>COMPOSICIÓN!A994</f>
        <v>PTO-0505</v>
      </c>
      <c r="B994" s="212" t="str">
        <f>COMPOSICIÓN!B994</f>
        <v>MO</v>
      </c>
      <c r="C994" s="212" t="str">
        <f>COMPOSICIÓN!C994</f>
        <v>ALB</v>
      </c>
      <c r="D994" s="212" t="str">
        <f>COMPOSICIÓN!D994</f>
        <v>MO-EAYUD</v>
      </c>
      <c r="E994" s="212" t="str">
        <f>COMPOSICIÓN!E994</f>
        <v>AYUDANTE</v>
      </c>
      <c r="F994" s="212" t="str">
        <f>COMPOSICIÓN!F994</f>
        <v>j</v>
      </c>
      <c r="G994" s="213">
        <f>COMPOSICIÓN!G994</f>
        <v>1</v>
      </c>
      <c r="H994" s="214">
        <f>COMPOSICIÓN!H994</f>
        <v>0</v>
      </c>
      <c r="I994" s="215">
        <f>COMPOSICIÓN!I994</f>
        <v>60860.580776572002</v>
      </c>
      <c r="J994" s="212" t="str">
        <f>IFERROR(VLOOKUP(A994,PARTIDAS!$A$2:$C$269,3,FALSE()),"")</f>
        <v>IMPERMEABILIZACIONES Y AISLACIONES</v>
      </c>
      <c r="K994" s="212" t="str">
        <f>IFERROR(INDEX(PPTO_GENERADOR!$B$4:$B$220,MATCH(A994,PPTO_GENERADOR!$Q$4:$Q$220,0)),"")</f>
        <v/>
      </c>
      <c r="L994" s="216">
        <f>IF(PLAN_ETAPA!$C$4="(TODOS)",SUMIFS(PPTO_GENERADOR!$E$4:$E$220,PPTO_GENERADOR!$Q$4:$Q$220,A994),SUMIFS(PPTO_GENERADOR!$E$4:$E$220,PPTO_GENERADOR!$Q$4:$Q$220,A994,PPTO_GENERADOR!$B$4:$B$220,PLAN_ETAPA!$C$4))</f>
        <v>0</v>
      </c>
      <c r="M994" s="216">
        <f>IFERROR(VLOOKUP(A994,PARTIDAS!$A$2:$F$269,6,FALSE()),1)</f>
        <v>80</v>
      </c>
      <c r="N994" s="216">
        <f>IFERROR(VLOOKUP(A994,PARTIDAS!$A$2:$I$269,9,FALSE()),1)</f>
        <v>1</v>
      </c>
      <c r="O994" s="217">
        <f t="shared" si="30"/>
        <v>0</v>
      </c>
      <c r="P994" s="216">
        <f>IF(O994=0,0,IF(B994="MAT",G994*(1+H994)*L994*PLAN_ETAPA!$C$5,IF(B994="MO",IF(M994=0,0,G994*L994*PLAN_ETAPA!$C$5*N994/M994),IF(B994="EQ",IF(M994=0,0,G994*L994*PLAN_ETAPA!$C$5/M994),0))))</f>
        <v>0</v>
      </c>
      <c r="Q994" s="218">
        <f t="shared" si="31"/>
        <v>0</v>
      </c>
    </row>
    <row r="995" spans="1:17" x14ac:dyDescent="0.35">
      <c r="A995" s="212" t="str">
        <f>COMPOSICIÓN!A995</f>
        <v>PTO-0505</v>
      </c>
      <c r="B995" s="212" t="str">
        <f>COMPOSICIÓN!B995</f>
        <v>MO</v>
      </c>
      <c r="C995" s="212" t="str">
        <f>COMPOSICIÓN!C995</f>
        <v>ALB</v>
      </c>
      <c r="D995" s="212" t="str">
        <f>COMPOSICIÓN!D995</f>
        <v>MO-EOFIC</v>
      </c>
      <c r="E995" s="212" t="str">
        <f>COMPOSICIÓN!E995</f>
        <v>OFICIAL</v>
      </c>
      <c r="F995" s="212" t="str">
        <f>COMPOSICIÓN!F995</f>
        <v>j</v>
      </c>
      <c r="G995" s="213">
        <f>COMPOSICIÓN!G995</f>
        <v>1</v>
      </c>
      <c r="H995" s="214">
        <f>COMPOSICIÓN!H995</f>
        <v>0</v>
      </c>
      <c r="I995" s="215">
        <f>COMPOSICIÓN!I995</f>
        <v>76955.079706571996</v>
      </c>
      <c r="J995" s="212" t="str">
        <f>IFERROR(VLOOKUP(A995,PARTIDAS!$A$2:$C$269,3,FALSE()),"")</f>
        <v>IMPERMEABILIZACIONES Y AISLACIONES</v>
      </c>
      <c r="K995" s="212" t="str">
        <f>IFERROR(INDEX(PPTO_GENERADOR!$B$4:$B$220,MATCH(A995,PPTO_GENERADOR!$Q$4:$Q$220,0)),"")</f>
        <v/>
      </c>
      <c r="L995" s="216">
        <f>IF(PLAN_ETAPA!$C$4="(TODOS)",SUMIFS(PPTO_GENERADOR!$E$4:$E$220,PPTO_GENERADOR!$Q$4:$Q$220,A995),SUMIFS(PPTO_GENERADOR!$E$4:$E$220,PPTO_GENERADOR!$Q$4:$Q$220,A995,PPTO_GENERADOR!$B$4:$B$220,PLAN_ETAPA!$C$4))</f>
        <v>0</v>
      </c>
      <c r="M995" s="216">
        <f>IFERROR(VLOOKUP(A995,PARTIDAS!$A$2:$F$269,6,FALSE()),1)</f>
        <v>80</v>
      </c>
      <c r="N995" s="216">
        <f>IFERROR(VLOOKUP(A995,PARTIDAS!$A$2:$I$269,9,FALSE()),1)</f>
        <v>1</v>
      </c>
      <c r="O995" s="217">
        <f t="shared" si="30"/>
        <v>0</v>
      </c>
      <c r="P995" s="216">
        <f>IF(O995=0,0,IF(B995="MAT",G995*(1+H995)*L995*PLAN_ETAPA!$C$5,IF(B995="MO",IF(M995=0,0,G995*L995*PLAN_ETAPA!$C$5*N995/M995),IF(B995="EQ",IF(M995=0,0,G995*L995*PLAN_ETAPA!$C$5/M995),0))))</f>
        <v>0</v>
      </c>
      <c r="Q995" s="218">
        <f t="shared" si="31"/>
        <v>0</v>
      </c>
    </row>
    <row r="996" spans="1:17" x14ac:dyDescent="0.35">
      <c r="A996" s="212" t="str">
        <f>COMPOSICIÓN!A996</f>
        <v>PTO-0506</v>
      </c>
      <c r="B996" s="212" t="str">
        <f>COMPOSICIÓN!B996</f>
        <v>EQ</v>
      </c>
      <c r="C996" s="212">
        <f>COMPOSICIÓN!C996</f>
        <v>0</v>
      </c>
      <c r="D996" s="212" t="str">
        <f>COMPOSICIÓN!D996</f>
        <v>EQ-SOLD00</v>
      </c>
      <c r="E996" s="212" t="str">
        <f>COMPOSICIÓN!E996</f>
        <v>Soldador Soplete A Gas Techista Membrana 10 Kg Boca 50mm</v>
      </c>
      <c r="F996" s="212">
        <f>COMPOSICIÓN!F996</f>
        <v>0</v>
      </c>
      <c r="G996" s="213">
        <f>COMPOSICIÓN!G996</f>
        <v>1</v>
      </c>
      <c r="H996" s="214">
        <f>COMPOSICIÓN!H996</f>
        <v>0</v>
      </c>
      <c r="I996" s="215">
        <f>COMPOSICIÓN!I996</f>
        <v>804.50568716120006</v>
      </c>
      <c r="J996" s="212" t="str">
        <f>IFERROR(VLOOKUP(A996,PARTIDAS!$A$2:$C$269,3,FALSE()),"")</f>
        <v>IMPERMEABILIZACIONES Y AISLACIONES</v>
      </c>
      <c r="K996" s="212" t="str">
        <f>IFERROR(INDEX(PPTO_GENERADOR!$B$4:$B$220,MATCH(A996,PPTO_GENERADOR!$Q$4:$Q$220,0)),"")</f>
        <v>IMPERMEABILIZACIONES Y AISLACIONES</v>
      </c>
      <c r="L996" s="216">
        <f>IF(PLAN_ETAPA!$C$4="(TODOS)",SUMIFS(PPTO_GENERADOR!$E$4:$E$220,PPTO_GENERADOR!$Q$4:$Q$220,A996),SUMIFS(PPTO_GENERADOR!$E$4:$E$220,PPTO_GENERADOR!$Q$4:$Q$220,A996,PPTO_GENERADOR!$B$4:$B$220,PLAN_ETAPA!$C$4))</f>
        <v>0</v>
      </c>
      <c r="M996" s="216">
        <f>IFERROR(VLOOKUP(A996,PARTIDAS!$A$2:$F$269,6,FALSE()),1)</f>
        <v>25</v>
      </c>
      <c r="N996" s="216">
        <f>IFERROR(VLOOKUP(A996,PARTIDAS!$A$2:$I$269,9,FALSE()),1)</f>
        <v>1</v>
      </c>
      <c r="O996" s="217">
        <f t="shared" si="30"/>
        <v>0</v>
      </c>
      <c r="P996" s="216">
        <f>IF(O996=0,0,IF(B996="MAT",G996*(1+H996)*L996*PLAN_ETAPA!$C$5,IF(B996="MO",IF(M996=0,0,G996*L996*PLAN_ETAPA!$C$5*N996/M996),IF(B996="EQ",IF(M996=0,0,G996*L996*PLAN_ETAPA!$C$5/M996),0))))</f>
        <v>0</v>
      </c>
      <c r="Q996" s="218">
        <f t="shared" si="31"/>
        <v>0</v>
      </c>
    </row>
    <row r="997" spans="1:17" x14ac:dyDescent="0.35">
      <c r="A997" s="212" t="str">
        <f>COMPOSICIÓN!A997</f>
        <v>PTO-0506</v>
      </c>
      <c r="B997" s="212" t="str">
        <f>COMPOSICIÓN!B997</f>
        <v>MAT</v>
      </c>
      <c r="C997" s="212" t="str">
        <f>COMPOSICIÓN!C997</f>
        <v>OTR</v>
      </c>
      <c r="D997" s="212" t="str">
        <f>COMPOSICIÓN!D997</f>
        <v>AIS-002</v>
      </c>
      <c r="E997" s="212" t="str">
        <f>COMPOSICIÓN!E997</f>
        <v>Membrana Geotextil Ormiflex 4mm - (35kg) x10m</v>
      </c>
      <c r="F997" s="212" t="str">
        <f>COMPOSICIÓN!F997</f>
        <v>u</v>
      </c>
      <c r="G997" s="213">
        <f>COMPOSICIÓN!G997</f>
        <v>0.1</v>
      </c>
      <c r="H997" s="214">
        <f>COMPOSICIÓN!H997</f>
        <v>0.1</v>
      </c>
      <c r="I997" s="215">
        <f>COMPOSICIÓN!I997</f>
        <v>70192.210000000006</v>
      </c>
      <c r="J997" s="212" t="str">
        <f>IFERROR(VLOOKUP(A997,PARTIDAS!$A$2:$C$269,3,FALSE()),"")</f>
        <v>IMPERMEABILIZACIONES Y AISLACIONES</v>
      </c>
      <c r="K997" s="212" t="str">
        <f>IFERROR(INDEX(PPTO_GENERADOR!$B$4:$B$220,MATCH(A997,PPTO_GENERADOR!$Q$4:$Q$220,0)),"")</f>
        <v>IMPERMEABILIZACIONES Y AISLACIONES</v>
      </c>
      <c r="L997" s="216">
        <f>IF(PLAN_ETAPA!$C$4="(TODOS)",SUMIFS(PPTO_GENERADOR!$E$4:$E$220,PPTO_GENERADOR!$Q$4:$Q$220,A997),SUMIFS(PPTO_GENERADOR!$E$4:$E$220,PPTO_GENERADOR!$Q$4:$Q$220,A997,PPTO_GENERADOR!$B$4:$B$220,PLAN_ETAPA!$C$4))</f>
        <v>0</v>
      </c>
      <c r="M997" s="216">
        <f>IFERROR(VLOOKUP(A997,PARTIDAS!$A$2:$F$269,6,FALSE()),1)</f>
        <v>25</v>
      </c>
      <c r="N997" s="216">
        <f>IFERROR(VLOOKUP(A997,PARTIDAS!$A$2:$I$269,9,FALSE()),1)</f>
        <v>1</v>
      </c>
      <c r="O997" s="217">
        <f t="shared" si="30"/>
        <v>0</v>
      </c>
      <c r="P997" s="216">
        <f>IF(O997=0,0,IF(B997="MAT",G997*(1+H997)*L997*PLAN_ETAPA!$C$5,IF(B997="MO",IF(M997=0,0,G997*L997*PLAN_ETAPA!$C$5*N997/M997),IF(B997="EQ",IF(M997=0,0,G997*L997*PLAN_ETAPA!$C$5/M997),0))))</f>
        <v>0</v>
      </c>
      <c r="Q997" s="218">
        <f t="shared" si="31"/>
        <v>0</v>
      </c>
    </row>
    <row r="998" spans="1:17" x14ac:dyDescent="0.35">
      <c r="A998" s="212" t="str">
        <f>COMPOSICIÓN!A998</f>
        <v>PTO-0506</v>
      </c>
      <c r="B998" s="212" t="str">
        <f>COMPOSICIÓN!B998</f>
        <v>MAT</v>
      </c>
      <c r="C998" s="212" t="str">
        <f>COMPOSICIÓN!C998</f>
        <v>OTR</v>
      </c>
      <c r="D998" s="212" t="str">
        <f>COMPOSICIÓN!D998</f>
        <v>OTR-022</v>
      </c>
      <c r="E998" s="212" t="str">
        <f>COMPOSICIÓN!E998</f>
        <v>Aguarras Hydrarras Hydra x 18lts</v>
      </c>
      <c r="F998" s="212" t="str">
        <f>COMPOSICIÓN!F998</f>
        <v>b</v>
      </c>
      <c r="G998" s="213">
        <f>COMPOSICIÓN!G998</f>
        <v>0.01</v>
      </c>
      <c r="H998" s="214">
        <f>COMPOSICIÓN!H998</f>
        <v>0.05</v>
      </c>
      <c r="I998" s="215">
        <f>COMPOSICIÓN!I998</f>
        <v>26907.33</v>
      </c>
      <c r="J998" s="212" t="str">
        <f>IFERROR(VLOOKUP(A998,PARTIDAS!$A$2:$C$269,3,FALSE()),"")</f>
        <v>IMPERMEABILIZACIONES Y AISLACIONES</v>
      </c>
      <c r="K998" s="212" t="str">
        <f>IFERROR(INDEX(PPTO_GENERADOR!$B$4:$B$220,MATCH(A998,PPTO_GENERADOR!$Q$4:$Q$220,0)),"")</f>
        <v>IMPERMEABILIZACIONES Y AISLACIONES</v>
      </c>
      <c r="L998" s="216">
        <f>IF(PLAN_ETAPA!$C$4="(TODOS)",SUMIFS(PPTO_GENERADOR!$E$4:$E$220,PPTO_GENERADOR!$Q$4:$Q$220,A998),SUMIFS(PPTO_GENERADOR!$E$4:$E$220,PPTO_GENERADOR!$Q$4:$Q$220,A998,PPTO_GENERADOR!$B$4:$B$220,PLAN_ETAPA!$C$4))</f>
        <v>0</v>
      </c>
      <c r="M998" s="216">
        <f>IFERROR(VLOOKUP(A998,PARTIDAS!$A$2:$F$269,6,FALSE()),1)</f>
        <v>25</v>
      </c>
      <c r="N998" s="216">
        <f>IFERROR(VLOOKUP(A998,PARTIDAS!$A$2:$I$269,9,FALSE()),1)</f>
        <v>1</v>
      </c>
      <c r="O998" s="217">
        <f t="shared" si="30"/>
        <v>0</v>
      </c>
      <c r="P998" s="216">
        <f>IF(O998=0,0,IF(B998="MAT",G998*(1+H998)*L998*PLAN_ETAPA!$C$5,IF(B998="MO",IF(M998=0,0,G998*L998*PLAN_ETAPA!$C$5*N998/M998),IF(B998="EQ",IF(M998=0,0,G998*L998*PLAN_ETAPA!$C$5/M998),0))))</f>
        <v>0</v>
      </c>
      <c r="Q998" s="218">
        <f t="shared" si="31"/>
        <v>0</v>
      </c>
    </row>
    <row r="999" spans="1:17" x14ac:dyDescent="0.35">
      <c r="A999" s="212" t="str">
        <f>COMPOSICIÓN!A999</f>
        <v>PTO-0506</v>
      </c>
      <c r="B999" s="212" t="str">
        <f>COMPOSICIÓN!B999</f>
        <v>MAT</v>
      </c>
      <c r="C999" s="212" t="str">
        <f>COMPOSICIÓN!C999</f>
        <v>OTR</v>
      </c>
      <c r="D999" s="212" t="str">
        <f>COMPOSICIÓN!D999</f>
        <v>OTR-025</v>
      </c>
      <c r="E999" s="212" t="str">
        <f>COMPOSICIÓN!E999</f>
        <v>Trapo</v>
      </c>
      <c r="F999" s="212" t="str">
        <f>COMPOSICIÓN!F999</f>
        <v>u</v>
      </c>
      <c r="G999" s="213">
        <f>COMPOSICIÓN!G999</f>
        <v>0.02</v>
      </c>
      <c r="H999" s="214">
        <f>COMPOSICIÓN!H999</f>
        <v>0.05</v>
      </c>
      <c r="I999" s="215">
        <f>COMPOSICIÓN!I999</f>
        <v>735.06</v>
      </c>
      <c r="J999" s="212" t="str">
        <f>IFERROR(VLOOKUP(A999,PARTIDAS!$A$2:$C$269,3,FALSE()),"")</f>
        <v>IMPERMEABILIZACIONES Y AISLACIONES</v>
      </c>
      <c r="K999" s="212" t="str">
        <f>IFERROR(INDEX(PPTO_GENERADOR!$B$4:$B$220,MATCH(A999,PPTO_GENERADOR!$Q$4:$Q$220,0)),"")</f>
        <v>IMPERMEABILIZACIONES Y AISLACIONES</v>
      </c>
      <c r="L999" s="216">
        <f>IF(PLAN_ETAPA!$C$4="(TODOS)",SUMIFS(PPTO_GENERADOR!$E$4:$E$220,PPTO_GENERADOR!$Q$4:$Q$220,A999),SUMIFS(PPTO_GENERADOR!$E$4:$E$220,PPTO_GENERADOR!$Q$4:$Q$220,A999,PPTO_GENERADOR!$B$4:$B$220,PLAN_ETAPA!$C$4))</f>
        <v>0</v>
      </c>
      <c r="M999" s="216">
        <f>IFERROR(VLOOKUP(A999,PARTIDAS!$A$2:$F$269,6,FALSE()),1)</f>
        <v>25</v>
      </c>
      <c r="N999" s="216">
        <f>IFERROR(VLOOKUP(A999,PARTIDAS!$A$2:$I$269,9,FALSE()),1)</f>
        <v>1</v>
      </c>
      <c r="O999" s="217">
        <f t="shared" si="30"/>
        <v>0</v>
      </c>
      <c r="P999" s="216">
        <f>IF(O999=0,0,IF(B999="MAT",G999*(1+H999)*L999*PLAN_ETAPA!$C$5,IF(B999="MO",IF(M999=0,0,G999*L999*PLAN_ETAPA!$C$5*N999/M999),IF(B999="EQ",IF(M999=0,0,G999*L999*PLAN_ETAPA!$C$5/M999),0))))</f>
        <v>0</v>
      </c>
      <c r="Q999" s="218">
        <f t="shared" si="31"/>
        <v>0</v>
      </c>
    </row>
    <row r="1000" spans="1:17" x14ac:dyDescent="0.35">
      <c r="A1000" s="212" t="str">
        <f>COMPOSICIÓN!A1000</f>
        <v>PTO-0506</v>
      </c>
      <c r="B1000" s="212" t="str">
        <f>COMPOSICIÓN!B1000</f>
        <v>MAT</v>
      </c>
      <c r="C1000" s="212" t="str">
        <f>COMPOSICIÓN!C1000</f>
        <v>OTR</v>
      </c>
      <c r="D1000" s="212" t="str">
        <f>COMPOSICIÓN!D1000</f>
        <v>OTR-027</v>
      </c>
      <c r="E1000" s="212" t="str">
        <f>COMPOSICIÓN!E1000</f>
        <v>Rodillo de lana pelo largo N°22 - El Galgo</v>
      </c>
      <c r="F1000" s="212" t="str">
        <f>COMPOSICIÓN!F1000</f>
        <v>u</v>
      </c>
      <c r="G1000" s="213">
        <f>COMPOSICIÓN!G1000</f>
        <v>0.01</v>
      </c>
      <c r="H1000" s="214">
        <f>COMPOSICIÓN!H1000</f>
        <v>0.05</v>
      </c>
      <c r="I1000" s="215">
        <f>COMPOSICIÓN!I1000</f>
        <v>6678.36</v>
      </c>
      <c r="J1000" s="212" t="str">
        <f>IFERROR(VLOOKUP(A1000,PARTIDAS!$A$2:$C$269,3,FALSE()),"")</f>
        <v>IMPERMEABILIZACIONES Y AISLACIONES</v>
      </c>
      <c r="K1000" s="212" t="str">
        <f>IFERROR(INDEX(PPTO_GENERADOR!$B$4:$B$220,MATCH(A1000,PPTO_GENERADOR!$Q$4:$Q$220,0)),"")</f>
        <v>IMPERMEABILIZACIONES Y AISLACIONES</v>
      </c>
      <c r="L1000" s="216">
        <f>IF(PLAN_ETAPA!$C$4="(TODOS)",SUMIFS(PPTO_GENERADOR!$E$4:$E$220,PPTO_GENERADOR!$Q$4:$Q$220,A1000),SUMIFS(PPTO_GENERADOR!$E$4:$E$220,PPTO_GENERADOR!$Q$4:$Q$220,A1000,PPTO_GENERADOR!$B$4:$B$220,PLAN_ETAPA!$C$4))</f>
        <v>0</v>
      </c>
      <c r="M1000" s="216">
        <f>IFERROR(VLOOKUP(A1000,PARTIDAS!$A$2:$F$269,6,FALSE()),1)</f>
        <v>25</v>
      </c>
      <c r="N1000" s="216">
        <f>IFERROR(VLOOKUP(A1000,PARTIDAS!$A$2:$I$269,9,FALSE()),1)</f>
        <v>1</v>
      </c>
      <c r="O1000" s="217">
        <f t="shared" si="30"/>
        <v>0</v>
      </c>
      <c r="P1000" s="216">
        <f>IF(O1000=0,0,IF(B1000="MAT",G1000*(1+H1000)*L1000*PLAN_ETAPA!$C$5,IF(B1000="MO",IF(M1000=0,0,G1000*L1000*PLAN_ETAPA!$C$5*N1000/M1000),IF(B1000="EQ",IF(M1000=0,0,G1000*L1000*PLAN_ETAPA!$C$5/M1000),0))))</f>
        <v>0</v>
      </c>
      <c r="Q1000" s="218">
        <f t="shared" si="31"/>
        <v>0</v>
      </c>
    </row>
    <row r="1001" spans="1:17" x14ac:dyDescent="0.35">
      <c r="A1001" s="212" t="str">
        <f>COMPOSICIÓN!A1001</f>
        <v>PTO-0506</v>
      </c>
      <c r="B1001" s="212" t="str">
        <f>COMPOSICIÓN!B1001</f>
        <v>MAT</v>
      </c>
      <c r="C1001" s="212" t="str">
        <f>COMPOSICIÓN!C1001</f>
        <v>OTR</v>
      </c>
      <c r="D1001" s="212" t="str">
        <f>COMPOSICIÓN!D1001</f>
        <v>OTR-028</v>
      </c>
      <c r="E1001" s="212" t="str">
        <f>COMPOSICIÓN!E1001</f>
        <v>Pincel N° 20 - El Galgo</v>
      </c>
      <c r="F1001" s="212" t="str">
        <f>COMPOSICIÓN!F1001</f>
        <v>u</v>
      </c>
      <c r="G1001" s="213">
        <f>COMPOSICIÓN!G1001</f>
        <v>0.02</v>
      </c>
      <c r="H1001" s="214">
        <f>COMPOSICIÓN!H1001</f>
        <v>0.05</v>
      </c>
      <c r="I1001" s="215">
        <f>COMPOSICIÓN!I1001</f>
        <v>5282.24</v>
      </c>
      <c r="J1001" s="212" t="str">
        <f>IFERROR(VLOOKUP(A1001,PARTIDAS!$A$2:$C$269,3,FALSE()),"")</f>
        <v>IMPERMEABILIZACIONES Y AISLACIONES</v>
      </c>
      <c r="K1001" s="212" t="str">
        <f>IFERROR(INDEX(PPTO_GENERADOR!$B$4:$B$220,MATCH(A1001,PPTO_GENERADOR!$Q$4:$Q$220,0)),"")</f>
        <v>IMPERMEABILIZACIONES Y AISLACIONES</v>
      </c>
      <c r="L1001" s="216">
        <f>IF(PLAN_ETAPA!$C$4="(TODOS)",SUMIFS(PPTO_GENERADOR!$E$4:$E$220,PPTO_GENERADOR!$Q$4:$Q$220,A1001),SUMIFS(PPTO_GENERADOR!$E$4:$E$220,PPTO_GENERADOR!$Q$4:$Q$220,A1001,PPTO_GENERADOR!$B$4:$B$220,PLAN_ETAPA!$C$4))</f>
        <v>0</v>
      </c>
      <c r="M1001" s="216">
        <f>IFERROR(VLOOKUP(A1001,PARTIDAS!$A$2:$F$269,6,FALSE()),1)</f>
        <v>25</v>
      </c>
      <c r="N1001" s="216">
        <f>IFERROR(VLOOKUP(A1001,PARTIDAS!$A$2:$I$269,9,FALSE()),1)</f>
        <v>1</v>
      </c>
      <c r="O1001" s="217">
        <f t="shared" si="30"/>
        <v>0</v>
      </c>
      <c r="P1001" s="216">
        <f>IF(O1001=0,0,IF(B1001="MAT",G1001*(1+H1001)*L1001*PLAN_ETAPA!$C$5,IF(B1001="MO",IF(M1001=0,0,G1001*L1001*PLAN_ETAPA!$C$5*N1001/M1001),IF(B1001="EQ",IF(M1001=0,0,G1001*L1001*PLAN_ETAPA!$C$5/M1001),0))))</f>
        <v>0</v>
      </c>
      <c r="Q1001" s="218">
        <f t="shared" si="31"/>
        <v>0</v>
      </c>
    </row>
    <row r="1002" spans="1:17" x14ac:dyDescent="0.35">
      <c r="A1002" s="212" t="str">
        <f>COMPOSICIÓN!A1002</f>
        <v>PTO-0506</v>
      </c>
      <c r="B1002" s="212" t="str">
        <f>COMPOSICIÓN!B1002</f>
        <v>MAT</v>
      </c>
      <c r="C1002" s="212" t="str">
        <f>COMPOSICIÓN!C1002</f>
        <v>OTR</v>
      </c>
      <c r="D1002" s="212" t="str">
        <f>COMPOSICIÓN!D1002</f>
        <v>OTR-047</v>
      </c>
      <c r="E1002" s="212" t="str">
        <f>COMPOSICIÓN!E1002</f>
        <v>Guante Vaqueta Medio Paseo</v>
      </c>
      <c r="F1002" s="212" t="str">
        <f>COMPOSICIÓN!F1002</f>
        <v>par</v>
      </c>
      <c r="G1002" s="213">
        <f>COMPOSICIÓN!G1002</f>
        <v>0.06</v>
      </c>
      <c r="H1002" s="214">
        <f>COMPOSICIÓN!H1002</f>
        <v>0.05</v>
      </c>
      <c r="I1002" s="215">
        <f>COMPOSICIÓN!I1002</f>
        <v>4842</v>
      </c>
      <c r="J1002" s="212" t="str">
        <f>IFERROR(VLOOKUP(A1002,PARTIDAS!$A$2:$C$269,3,FALSE()),"")</f>
        <v>IMPERMEABILIZACIONES Y AISLACIONES</v>
      </c>
      <c r="K1002" s="212" t="str">
        <f>IFERROR(INDEX(PPTO_GENERADOR!$B$4:$B$220,MATCH(A1002,PPTO_GENERADOR!$Q$4:$Q$220,0)),"")</f>
        <v>IMPERMEABILIZACIONES Y AISLACIONES</v>
      </c>
      <c r="L1002" s="216">
        <f>IF(PLAN_ETAPA!$C$4="(TODOS)",SUMIFS(PPTO_GENERADOR!$E$4:$E$220,PPTO_GENERADOR!$Q$4:$Q$220,A1002),SUMIFS(PPTO_GENERADOR!$E$4:$E$220,PPTO_GENERADOR!$Q$4:$Q$220,A1002,PPTO_GENERADOR!$B$4:$B$220,PLAN_ETAPA!$C$4))</f>
        <v>0</v>
      </c>
      <c r="M1002" s="216">
        <f>IFERROR(VLOOKUP(A1002,PARTIDAS!$A$2:$F$269,6,FALSE()),1)</f>
        <v>25</v>
      </c>
      <c r="N1002" s="216">
        <f>IFERROR(VLOOKUP(A1002,PARTIDAS!$A$2:$I$269,9,FALSE()),1)</f>
        <v>1</v>
      </c>
      <c r="O1002" s="217">
        <f t="shared" si="30"/>
        <v>0</v>
      </c>
      <c r="P1002" s="216">
        <f>IF(O1002=0,0,IF(B1002="MAT",G1002*(1+H1002)*L1002*PLAN_ETAPA!$C$5,IF(B1002="MO",IF(M1002=0,0,G1002*L1002*PLAN_ETAPA!$C$5*N1002/M1002),IF(B1002="EQ",IF(M1002=0,0,G1002*L1002*PLAN_ETAPA!$C$5/M1002),0))))</f>
        <v>0</v>
      </c>
      <c r="Q1002" s="218">
        <f t="shared" si="31"/>
        <v>0</v>
      </c>
    </row>
    <row r="1003" spans="1:17" x14ac:dyDescent="0.35">
      <c r="A1003" s="212" t="str">
        <f>COMPOSICIÓN!A1003</f>
        <v>PTO-0506</v>
      </c>
      <c r="B1003" s="212" t="str">
        <f>COMPOSICIÓN!B1003</f>
        <v>MAT</v>
      </c>
      <c r="C1003" s="212" t="str">
        <f>COMPOSICIÓN!C1003</f>
        <v>OTR</v>
      </c>
      <c r="D1003" s="212" t="str">
        <f>COMPOSICIÓN!D1003</f>
        <v>OTR-048</v>
      </c>
      <c r="E1003" s="212" t="str">
        <f>COMPOSICIÓN!E1003</f>
        <v>Recarga de garrafa</v>
      </c>
      <c r="F1003" s="212" t="str">
        <f>COMPOSICIÓN!F1003</f>
        <v>u</v>
      </c>
      <c r="G1003" s="213">
        <f>COMPOSICIÓN!G1003</f>
        <v>0.02</v>
      </c>
      <c r="H1003" s="214">
        <f>COMPOSICIÓN!H1003</f>
        <v>0.05</v>
      </c>
      <c r="I1003" s="215">
        <f>COMPOSICIÓN!I1003</f>
        <v>12396.694214876001</v>
      </c>
      <c r="J1003" s="212" t="str">
        <f>IFERROR(VLOOKUP(A1003,PARTIDAS!$A$2:$C$269,3,FALSE()),"")</f>
        <v>IMPERMEABILIZACIONES Y AISLACIONES</v>
      </c>
      <c r="K1003" s="212" t="str">
        <f>IFERROR(INDEX(PPTO_GENERADOR!$B$4:$B$220,MATCH(A1003,PPTO_GENERADOR!$Q$4:$Q$220,0)),"")</f>
        <v>IMPERMEABILIZACIONES Y AISLACIONES</v>
      </c>
      <c r="L1003" s="216">
        <f>IF(PLAN_ETAPA!$C$4="(TODOS)",SUMIFS(PPTO_GENERADOR!$E$4:$E$220,PPTO_GENERADOR!$Q$4:$Q$220,A1003),SUMIFS(PPTO_GENERADOR!$E$4:$E$220,PPTO_GENERADOR!$Q$4:$Q$220,A1003,PPTO_GENERADOR!$B$4:$B$220,PLAN_ETAPA!$C$4))</f>
        <v>0</v>
      </c>
      <c r="M1003" s="216">
        <f>IFERROR(VLOOKUP(A1003,PARTIDAS!$A$2:$F$269,6,FALSE()),1)</f>
        <v>25</v>
      </c>
      <c r="N1003" s="216">
        <f>IFERROR(VLOOKUP(A1003,PARTIDAS!$A$2:$I$269,9,FALSE()),1)</f>
        <v>1</v>
      </c>
      <c r="O1003" s="217">
        <f t="shared" si="30"/>
        <v>0</v>
      </c>
      <c r="P1003" s="216">
        <f>IF(O1003=0,0,IF(B1003="MAT",G1003*(1+H1003)*L1003*PLAN_ETAPA!$C$5,IF(B1003="MO",IF(M1003=0,0,G1003*L1003*PLAN_ETAPA!$C$5*N1003/M1003),IF(B1003="EQ",IF(M1003=0,0,G1003*L1003*PLAN_ETAPA!$C$5/M1003),0))))</f>
        <v>0</v>
      </c>
      <c r="Q1003" s="218">
        <f t="shared" si="31"/>
        <v>0</v>
      </c>
    </row>
    <row r="1004" spans="1:17" x14ac:dyDescent="0.35">
      <c r="A1004" s="212" t="str">
        <f>COMPOSICIÓN!A1004</f>
        <v>PTO-0506</v>
      </c>
      <c r="B1004" s="212" t="str">
        <f>COMPOSICIÓN!B1004</f>
        <v>MAT</v>
      </c>
      <c r="C1004" s="212" t="str">
        <f>COMPOSICIÓN!C1004</f>
        <v>OTR</v>
      </c>
      <c r="D1004" s="212" t="str">
        <f>COMPOSICIÓN!D1004</f>
        <v>OTR-PTO146</v>
      </c>
      <c r="E1004" s="212" t="str">
        <f>COMPOSICIÓN!E1004</f>
        <v>Materiales adicionales s/MAT 20% - PTO-0506</v>
      </c>
      <c r="F1004" s="212" t="str">
        <f>COMPOSICIÓN!F1004</f>
        <v>m2</v>
      </c>
      <c r="G1004" s="213">
        <f>COMPOSICIÓN!G1004</f>
        <v>1</v>
      </c>
      <c r="H1004" s="214">
        <f>COMPOSICIÓN!H1004</f>
        <v>0</v>
      </c>
      <c r="I1004" s="215">
        <f>COMPOSICIÓN!I1004</f>
        <v>1953.83075581359</v>
      </c>
      <c r="J1004" s="212" t="str">
        <f>IFERROR(VLOOKUP(A1004,PARTIDAS!$A$2:$C$269,3,FALSE()),"")</f>
        <v>IMPERMEABILIZACIONES Y AISLACIONES</v>
      </c>
      <c r="K1004" s="212" t="str">
        <f>IFERROR(INDEX(PPTO_GENERADOR!$B$4:$B$220,MATCH(A1004,PPTO_GENERADOR!$Q$4:$Q$220,0)),"")</f>
        <v>IMPERMEABILIZACIONES Y AISLACIONES</v>
      </c>
      <c r="L1004" s="216">
        <f>IF(PLAN_ETAPA!$C$4="(TODOS)",SUMIFS(PPTO_GENERADOR!$E$4:$E$220,PPTO_GENERADOR!$Q$4:$Q$220,A1004),SUMIFS(PPTO_GENERADOR!$E$4:$E$220,PPTO_GENERADOR!$Q$4:$Q$220,A1004,PPTO_GENERADOR!$B$4:$B$220,PLAN_ETAPA!$C$4))</f>
        <v>0</v>
      </c>
      <c r="M1004" s="216">
        <f>IFERROR(VLOOKUP(A1004,PARTIDAS!$A$2:$F$269,6,FALSE()),1)</f>
        <v>25</v>
      </c>
      <c r="N1004" s="216">
        <f>IFERROR(VLOOKUP(A1004,PARTIDAS!$A$2:$I$269,9,FALSE()),1)</f>
        <v>1</v>
      </c>
      <c r="O1004" s="217">
        <f t="shared" si="30"/>
        <v>0</v>
      </c>
      <c r="P1004" s="216">
        <f>IF(O1004=0,0,IF(B1004="MAT",G1004*(1+H1004)*L1004*PLAN_ETAPA!$C$5,IF(B1004="MO",IF(M1004=0,0,G1004*L1004*PLAN_ETAPA!$C$5*N1004/M1004),IF(B1004="EQ",IF(M1004=0,0,G1004*L1004*PLAN_ETAPA!$C$5/M1004),0))))</f>
        <v>0</v>
      </c>
      <c r="Q1004" s="218">
        <f t="shared" si="31"/>
        <v>0</v>
      </c>
    </row>
    <row r="1005" spans="1:17" x14ac:dyDescent="0.35">
      <c r="A1005" s="212" t="str">
        <f>COMPOSICIÓN!A1005</f>
        <v>PTO-0506</v>
      </c>
      <c r="B1005" s="212" t="str">
        <f>COMPOSICIÓN!B1005</f>
        <v>MAT</v>
      </c>
      <c r="C1005" s="212" t="str">
        <f>COMPOSICIÓN!C1005</f>
        <v>OTR</v>
      </c>
      <c r="D1005" s="212" t="str">
        <f>COMPOSICIÓN!D1005</f>
        <v>PIN-008</v>
      </c>
      <c r="E1005" s="212" t="str">
        <f>COMPOSICIÓN!E1005</f>
        <v>Pintura Asfaltica Asfasol x18ts</v>
      </c>
      <c r="F1005" s="212" t="str">
        <f>COMPOSICIÓN!F1005</f>
        <v>b</v>
      </c>
      <c r="G1005" s="213">
        <f>COMPOSICIÓN!G1005</f>
        <v>2.7777777777777801E-2</v>
      </c>
      <c r="H1005" s="214">
        <f>COMPOSICIÓN!H1005</f>
        <v>0.1</v>
      </c>
      <c r="I1005" s="215">
        <f>COMPOSICIÓN!I1005</f>
        <v>32845.78</v>
      </c>
      <c r="J1005" s="212" t="str">
        <f>IFERROR(VLOOKUP(A1005,PARTIDAS!$A$2:$C$269,3,FALSE()),"")</f>
        <v>IMPERMEABILIZACIONES Y AISLACIONES</v>
      </c>
      <c r="K1005" s="212" t="str">
        <f>IFERROR(INDEX(PPTO_GENERADOR!$B$4:$B$220,MATCH(A1005,PPTO_GENERADOR!$Q$4:$Q$220,0)),"")</f>
        <v>IMPERMEABILIZACIONES Y AISLACIONES</v>
      </c>
      <c r="L1005" s="216">
        <f>IF(PLAN_ETAPA!$C$4="(TODOS)",SUMIFS(PPTO_GENERADOR!$E$4:$E$220,PPTO_GENERADOR!$Q$4:$Q$220,A1005),SUMIFS(PPTO_GENERADOR!$E$4:$E$220,PPTO_GENERADOR!$Q$4:$Q$220,A1005,PPTO_GENERADOR!$B$4:$B$220,PLAN_ETAPA!$C$4))</f>
        <v>0</v>
      </c>
      <c r="M1005" s="216">
        <f>IFERROR(VLOOKUP(A1005,PARTIDAS!$A$2:$F$269,6,FALSE()),1)</f>
        <v>25</v>
      </c>
      <c r="N1005" s="216">
        <f>IFERROR(VLOOKUP(A1005,PARTIDAS!$A$2:$I$269,9,FALSE()),1)</f>
        <v>1</v>
      </c>
      <c r="O1005" s="217">
        <f t="shared" si="30"/>
        <v>0</v>
      </c>
      <c r="P1005" s="216">
        <f>IF(O1005=0,0,IF(B1005="MAT",G1005*(1+H1005)*L1005*PLAN_ETAPA!$C$5,IF(B1005="MO",IF(M1005=0,0,G1005*L1005*PLAN_ETAPA!$C$5*N1005/M1005),IF(B1005="EQ",IF(M1005=0,0,G1005*L1005*PLAN_ETAPA!$C$5/M1005),0))))</f>
        <v>0</v>
      </c>
      <c r="Q1005" s="218">
        <f t="shared" si="31"/>
        <v>0</v>
      </c>
    </row>
    <row r="1006" spans="1:17" x14ac:dyDescent="0.35">
      <c r="A1006" s="212" t="str">
        <f>COMPOSICIÓN!A1006</f>
        <v>PTO-0506</v>
      </c>
      <c r="B1006" s="212" t="str">
        <f>COMPOSICIÓN!B1006</f>
        <v>MO</v>
      </c>
      <c r="C1006" s="212" t="str">
        <f>COMPOSICIÓN!C1006</f>
        <v>ALB</v>
      </c>
      <c r="D1006" s="212" t="str">
        <f>COMPOSICIÓN!D1006</f>
        <v>MO-EAYUD</v>
      </c>
      <c r="E1006" s="212" t="str">
        <f>COMPOSICIÓN!E1006</f>
        <v>AYUDANTE</v>
      </c>
      <c r="F1006" s="212" t="str">
        <f>COMPOSICIÓN!F1006</f>
        <v>j</v>
      </c>
      <c r="G1006" s="213">
        <f>COMPOSICIÓN!G1006</f>
        <v>1</v>
      </c>
      <c r="H1006" s="214">
        <f>COMPOSICIÓN!H1006</f>
        <v>0</v>
      </c>
      <c r="I1006" s="215">
        <f>COMPOSICIÓN!I1006</f>
        <v>60860.580776572002</v>
      </c>
      <c r="J1006" s="212" t="str">
        <f>IFERROR(VLOOKUP(A1006,PARTIDAS!$A$2:$C$269,3,FALSE()),"")</f>
        <v>IMPERMEABILIZACIONES Y AISLACIONES</v>
      </c>
      <c r="K1006" s="212" t="str">
        <f>IFERROR(INDEX(PPTO_GENERADOR!$B$4:$B$220,MATCH(A1006,PPTO_GENERADOR!$Q$4:$Q$220,0)),"")</f>
        <v>IMPERMEABILIZACIONES Y AISLACIONES</v>
      </c>
      <c r="L1006" s="216">
        <f>IF(PLAN_ETAPA!$C$4="(TODOS)",SUMIFS(PPTO_GENERADOR!$E$4:$E$220,PPTO_GENERADOR!$Q$4:$Q$220,A1006),SUMIFS(PPTO_GENERADOR!$E$4:$E$220,PPTO_GENERADOR!$Q$4:$Q$220,A1006,PPTO_GENERADOR!$B$4:$B$220,PLAN_ETAPA!$C$4))</f>
        <v>0</v>
      </c>
      <c r="M1006" s="216">
        <f>IFERROR(VLOOKUP(A1006,PARTIDAS!$A$2:$F$269,6,FALSE()),1)</f>
        <v>25</v>
      </c>
      <c r="N1006" s="216">
        <f>IFERROR(VLOOKUP(A1006,PARTIDAS!$A$2:$I$269,9,FALSE()),1)</f>
        <v>1</v>
      </c>
      <c r="O1006" s="217">
        <f t="shared" si="30"/>
        <v>0</v>
      </c>
      <c r="P1006" s="216">
        <f>IF(O1006=0,0,IF(B1006="MAT",G1006*(1+H1006)*L1006*PLAN_ETAPA!$C$5,IF(B1006="MO",IF(M1006=0,0,G1006*L1006*PLAN_ETAPA!$C$5*N1006/M1006),IF(B1006="EQ",IF(M1006=0,0,G1006*L1006*PLAN_ETAPA!$C$5/M1006),0))))</f>
        <v>0</v>
      </c>
      <c r="Q1006" s="218">
        <f t="shared" si="31"/>
        <v>0</v>
      </c>
    </row>
    <row r="1007" spans="1:17" x14ac:dyDescent="0.35">
      <c r="A1007" s="212" t="str">
        <f>COMPOSICIÓN!A1007</f>
        <v>PTO-0506</v>
      </c>
      <c r="B1007" s="212" t="str">
        <f>COMPOSICIÓN!B1007</f>
        <v>MO</v>
      </c>
      <c r="C1007" s="212" t="str">
        <f>COMPOSICIÓN!C1007</f>
        <v>ALB</v>
      </c>
      <c r="D1007" s="212" t="str">
        <f>COMPOSICIÓN!D1007</f>
        <v>MO-EESPE</v>
      </c>
      <c r="E1007" s="212" t="str">
        <f>COMPOSICIÓN!E1007</f>
        <v>ESPECIALIZADO</v>
      </c>
      <c r="F1007" s="212" t="str">
        <f>COMPOSICIÓN!F1007</f>
        <v>j</v>
      </c>
      <c r="G1007" s="213">
        <f>COMPOSICIÓN!G1007</f>
        <v>1</v>
      </c>
      <c r="H1007" s="214">
        <f>COMPOSICIÓN!H1007</f>
        <v>0</v>
      </c>
      <c r="I1007" s="215">
        <f>COMPOSICIÓN!I1007</f>
        <v>85927.097156571996</v>
      </c>
      <c r="J1007" s="212" t="str">
        <f>IFERROR(VLOOKUP(A1007,PARTIDAS!$A$2:$C$269,3,FALSE()),"")</f>
        <v>IMPERMEABILIZACIONES Y AISLACIONES</v>
      </c>
      <c r="K1007" s="212" t="str">
        <f>IFERROR(INDEX(PPTO_GENERADOR!$B$4:$B$220,MATCH(A1007,PPTO_GENERADOR!$Q$4:$Q$220,0)),"")</f>
        <v>IMPERMEABILIZACIONES Y AISLACIONES</v>
      </c>
      <c r="L1007" s="216">
        <f>IF(PLAN_ETAPA!$C$4="(TODOS)",SUMIFS(PPTO_GENERADOR!$E$4:$E$220,PPTO_GENERADOR!$Q$4:$Q$220,A1007),SUMIFS(PPTO_GENERADOR!$E$4:$E$220,PPTO_GENERADOR!$Q$4:$Q$220,A1007,PPTO_GENERADOR!$B$4:$B$220,PLAN_ETAPA!$C$4))</f>
        <v>0</v>
      </c>
      <c r="M1007" s="216">
        <f>IFERROR(VLOOKUP(A1007,PARTIDAS!$A$2:$F$269,6,FALSE()),1)</f>
        <v>25</v>
      </c>
      <c r="N1007" s="216">
        <f>IFERROR(VLOOKUP(A1007,PARTIDAS!$A$2:$I$269,9,FALSE()),1)</f>
        <v>1</v>
      </c>
      <c r="O1007" s="217">
        <f t="shared" si="30"/>
        <v>0</v>
      </c>
      <c r="P1007" s="216">
        <f>IF(O1007=0,0,IF(B1007="MAT",G1007*(1+H1007)*L1007*PLAN_ETAPA!$C$5,IF(B1007="MO",IF(M1007=0,0,G1007*L1007*PLAN_ETAPA!$C$5*N1007/M1007),IF(B1007="EQ",IF(M1007=0,0,G1007*L1007*PLAN_ETAPA!$C$5/M1007),0))))</f>
        <v>0</v>
      </c>
      <c r="Q1007" s="218">
        <f t="shared" si="31"/>
        <v>0</v>
      </c>
    </row>
    <row r="1008" spans="1:17" x14ac:dyDescent="0.35">
      <c r="A1008" s="212" t="str">
        <f>COMPOSICIÓN!A1008</f>
        <v>PTO-0506</v>
      </c>
      <c r="B1008" s="212" t="str">
        <f>COMPOSICIÓN!B1008</f>
        <v>MO</v>
      </c>
      <c r="C1008" s="212" t="str">
        <f>COMPOSICIÓN!C1008</f>
        <v>OTR</v>
      </c>
      <c r="D1008" s="212" t="str">
        <f>COMPOSICIÓN!D1008</f>
        <v>SUB-PTO083</v>
      </c>
      <c r="E1008" s="212" t="str">
        <f>COMPOSICIÓN!E1008</f>
        <v>MO adicional s/MO 60% - PTO-0506</v>
      </c>
      <c r="F1008" s="212" t="str">
        <f>COMPOSICIÓN!F1008</f>
        <v>j</v>
      </c>
      <c r="G1008" s="213">
        <f>COMPOSICIÓN!G1008</f>
        <v>1</v>
      </c>
      <c r="H1008" s="214">
        <f>COMPOSICIÓN!H1008</f>
        <v>0</v>
      </c>
      <c r="I1008" s="215">
        <f>COMPOSICIÓN!I1008</f>
        <v>88072.606759886403</v>
      </c>
      <c r="J1008" s="212" t="str">
        <f>IFERROR(VLOOKUP(A1008,PARTIDAS!$A$2:$C$269,3,FALSE()),"")</f>
        <v>IMPERMEABILIZACIONES Y AISLACIONES</v>
      </c>
      <c r="K1008" s="212" t="str">
        <f>IFERROR(INDEX(PPTO_GENERADOR!$B$4:$B$220,MATCH(A1008,PPTO_GENERADOR!$Q$4:$Q$220,0)),"")</f>
        <v>IMPERMEABILIZACIONES Y AISLACIONES</v>
      </c>
      <c r="L1008" s="216">
        <f>IF(PLAN_ETAPA!$C$4="(TODOS)",SUMIFS(PPTO_GENERADOR!$E$4:$E$220,PPTO_GENERADOR!$Q$4:$Q$220,A1008),SUMIFS(PPTO_GENERADOR!$E$4:$E$220,PPTO_GENERADOR!$Q$4:$Q$220,A1008,PPTO_GENERADOR!$B$4:$B$220,PLAN_ETAPA!$C$4))</f>
        <v>0</v>
      </c>
      <c r="M1008" s="216">
        <f>IFERROR(VLOOKUP(A1008,PARTIDAS!$A$2:$F$269,6,FALSE()),1)</f>
        <v>25</v>
      </c>
      <c r="N1008" s="216">
        <f>IFERROR(VLOOKUP(A1008,PARTIDAS!$A$2:$I$269,9,FALSE()),1)</f>
        <v>1</v>
      </c>
      <c r="O1008" s="217">
        <f t="shared" si="30"/>
        <v>0</v>
      </c>
      <c r="P1008" s="216">
        <f>IF(O1008=0,0,IF(B1008="MAT",G1008*(1+H1008)*L1008*PLAN_ETAPA!$C$5,IF(B1008="MO",IF(M1008=0,0,G1008*L1008*PLAN_ETAPA!$C$5*N1008/M1008),IF(B1008="EQ",IF(M1008=0,0,G1008*L1008*PLAN_ETAPA!$C$5/M1008),0))))</f>
        <v>0</v>
      </c>
      <c r="Q1008" s="218">
        <f t="shared" si="31"/>
        <v>0</v>
      </c>
    </row>
    <row r="1009" spans="1:17" x14ac:dyDescent="0.35">
      <c r="A1009" s="212" t="str">
        <f>COMPOSICIÓN!A1009</f>
        <v>PTO-0507</v>
      </c>
      <c r="B1009" s="212" t="str">
        <f>COMPOSICIÓN!B1009</f>
        <v>MO</v>
      </c>
      <c r="C1009" s="212" t="str">
        <f>COMPOSICIÓN!C1009</f>
        <v>OTR</v>
      </c>
      <c r="D1009" s="212" t="str">
        <f>COMPOSICIÓN!D1009</f>
        <v>SUB-PTO024</v>
      </c>
      <c r="E1009" s="212" t="str">
        <f>COMPOSICIÓN!E1009</f>
        <v>MO Impermeabilización de tanque de reserva de HºAº [SUBCONTRATOS]</v>
      </c>
      <c r="F1009" s="212" t="str">
        <f>COMPOSICIÓN!F1009</f>
        <v>j</v>
      </c>
      <c r="G1009" s="213">
        <f>COMPOSICIÓN!G1009</f>
        <v>1</v>
      </c>
      <c r="H1009" s="214">
        <f>COMPOSICIÓN!H1009</f>
        <v>0</v>
      </c>
      <c r="I1009" s="215">
        <f>COMPOSICIÓN!I1009</f>
        <v>1829911.58844288</v>
      </c>
      <c r="J1009" s="212" t="str">
        <f>IFERROR(VLOOKUP(A1009,PARTIDAS!$A$2:$C$269,3,FALSE()),"")</f>
        <v>IMPERMEABILIZACIONES Y AISLACIONES</v>
      </c>
      <c r="K1009" s="212" t="str">
        <f>IFERROR(INDEX(PPTO_GENERADOR!$B$4:$B$220,MATCH(A1009,PPTO_GENERADOR!$Q$4:$Q$220,0)),"")</f>
        <v>IMPERMEABILIZACIONES Y AISLACIONES</v>
      </c>
      <c r="L1009" s="216">
        <f>IF(PLAN_ETAPA!$C$4="(TODOS)",SUMIFS(PPTO_GENERADOR!$E$4:$E$220,PPTO_GENERADOR!$Q$4:$Q$220,A1009),SUMIFS(PPTO_GENERADOR!$E$4:$E$220,PPTO_GENERADOR!$Q$4:$Q$220,A1009,PPTO_GENERADOR!$B$4:$B$220,PLAN_ETAPA!$C$4))</f>
        <v>0</v>
      </c>
      <c r="M1009" s="216">
        <f>IFERROR(VLOOKUP(A1009,PARTIDAS!$A$2:$F$269,6,FALSE()),1)</f>
        <v>1</v>
      </c>
      <c r="N1009" s="216">
        <f>IFERROR(VLOOKUP(A1009,PARTIDAS!$A$2:$I$269,9,FALSE()),1)</f>
        <v>1</v>
      </c>
      <c r="O1009" s="217">
        <f t="shared" si="30"/>
        <v>0</v>
      </c>
      <c r="P1009" s="216">
        <f>IF(O1009=0,0,IF(B1009="MAT",G1009*(1+H1009)*L1009*PLAN_ETAPA!$C$5,IF(B1009="MO",IF(M1009=0,0,G1009*L1009*PLAN_ETAPA!$C$5*N1009/M1009),IF(B1009="EQ",IF(M1009=0,0,G1009*L1009*PLAN_ETAPA!$C$5/M1009),0))))</f>
        <v>0</v>
      </c>
      <c r="Q1009" s="218">
        <f t="shared" si="31"/>
        <v>0</v>
      </c>
    </row>
    <row r="1010" spans="1:17" x14ac:dyDescent="0.35">
      <c r="A1010" s="212" t="str">
        <f>COMPOSICIÓN!A1010</f>
        <v>PTO-0602</v>
      </c>
      <c r="B1010" s="212" t="str">
        <f>COMPOSICIÓN!B1010</f>
        <v>EQ</v>
      </c>
      <c r="C1010" s="212">
        <f>COMPOSICIÓN!C1010</f>
        <v>0</v>
      </c>
      <c r="D1010" s="212" t="str">
        <f>COMPOSICIÓN!D1010</f>
        <v>EQ-PTO046</v>
      </c>
      <c r="E1010" s="212" t="str">
        <f>COMPOSICIÓN!E1010</f>
        <v>Herramientas menores y consumibles - Babeta de chapa galvanizada en medianeras</v>
      </c>
      <c r="F1010" s="212">
        <f>COMPOSICIÓN!F1010</f>
        <v>0</v>
      </c>
      <c r="G1010" s="213">
        <f>COMPOSICIÓN!G1010</f>
        <v>1</v>
      </c>
      <c r="H1010" s="214">
        <f>COMPOSICIÓN!H1010</f>
        <v>0</v>
      </c>
      <c r="I1010" s="215">
        <f>COMPOSICIÓN!I1010</f>
        <v>347.35203892992803</v>
      </c>
      <c r="J1010" s="212" t="str">
        <f>IFERROR(VLOOKUP(A1010,PARTIDAS!$A$2:$C$269,3,FALSE()),"")</f>
        <v>CUBIERTAS</v>
      </c>
      <c r="K1010" s="212" t="str">
        <f>IFERROR(INDEX(PPTO_GENERADOR!$B$4:$B$220,MATCH(A1010,PPTO_GENERADOR!$Q$4:$Q$220,0)),"")</f>
        <v>CUBIERTAS</v>
      </c>
      <c r="L1010" s="216">
        <f>IF(PLAN_ETAPA!$C$4="(TODOS)",SUMIFS(PPTO_GENERADOR!$E$4:$E$220,PPTO_GENERADOR!$Q$4:$Q$220,A1010),SUMIFS(PPTO_GENERADOR!$E$4:$E$220,PPTO_GENERADOR!$Q$4:$Q$220,A1010,PPTO_GENERADOR!$B$4:$B$220,PLAN_ETAPA!$C$4))</f>
        <v>0</v>
      </c>
      <c r="M1010" s="216">
        <f>IFERROR(VLOOKUP(A1010,PARTIDAS!$A$2:$F$269,6,FALSE()),1)</f>
        <v>1</v>
      </c>
      <c r="N1010" s="216">
        <f>IFERROR(VLOOKUP(A1010,PARTIDAS!$A$2:$I$269,9,FALSE()),1)</f>
        <v>1</v>
      </c>
      <c r="O1010" s="217">
        <f t="shared" si="30"/>
        <v>0</v>
      </c>
      <c r="P1010" s="216">
        <f>IF(O1010=0,0,IF(B1010="MAT",G1010*(1+H1010)*L1010*PLAN_ETAPA!$C$5,IF(B1010="MO",IF(M1010=0,0,G1010*L1010*PLAN_ETAPA!$C$5*N1010/M1010),IF(B1010="EQ",IF(M1010=0,0,G1010*L1010*PLAN_ETAPA!$C$5/M1010),0))))</f>
        <v>0</v>
      </c>
      <c r="Q1010" s="218">
        <f t="shared" si="31"/>
        <v>0</v>
      </c>
    </row>
    <row r="1011" spans="1:17" x14ac:dyDescent="0.35">
      <c r="A1011" s="212" t="str">
        <f>COMPOSICIÓN!A1011</f>
        <v>PTO-0602</v>
      </c>
      <c r="B1011" s="212" t="str">
        <f>COMPOSICIÓN!B1011</f>
        <v>MAT</v>
      </c>
      <c r="C1011" s="212" t="str">
        <f>COMPOSICIÓN!C1011</f>
        <v>OTR</v>
      </c>
      <c r="D1011" s="212" t="str">
        <f>COMPOSICIÓN!D1011</f>
        <v>MAT-CONS</v>
      </c>
      <c r="E1011" s="212" t="str">
        <f>COMPOSICIÓN!E1011</f>
        <v>Consumibles</v>
      </c>
      <c r="F1011" s="212" t="str">
        <f>COMPOSICIÓN!F1011</f>
        <v>gl</v>
      </c>
      <c r="G1011" s="213">
        <f>COMPOSICIÓN!G1011</f>
        <v>1354.32006011</v>
      </c>
      <c r="H1011" s="214">
        <f>COMPOSICIÓN!H1011</f>
        <v>0</v>
      </c>
      <c r="I1011" s="215">
        <f>COMPOSICIÓN!I1011</f>
        <v>1</v>
      </c>
      <c r="J1011" s="212" t="str">
        <f>IFERROR(VLOOKUP(A1011,PARTIDAS!$A$2:$C$269,3,FALSE()),"")</f>
        <v>CUBIERTAS</v>
      </c>
      <c r="K1011" s="212" t="str">
        <f>IFERROR(INDEX(PPTO_GENERADOR!$B$4:$B$220,MATCH(A1011,PPTO_GENERADOR!$Q$4:$Q$220,0)),"")</f>
        <v>CUBIERTAS</v>
      </c>
      <c r="L1011" s="216">
        <f>IF(PLAN_ETAPA!$C$4="(TODOS)",SUMIFS(PPTO_GENERADOR!$E$4:$E$220,PPTO_GENERADOR!$Q$4:$Q$220,A1011),SUMIFS(PPTO_GENERADOR!$E$4:$E$220,PPTO_GENERADOR!$Q$4:$Q$220,A1011,PPTO_GENERADOR!$B$4:$B$220,PLAN_ETAPA!$C$4))</f>
        <v>0</v>
      </c>
      <c r="M1011" s="216">
        <f>IFERROR(VLOOKUP(A1011,PARTIDAS!$A$2:$F$269,6,FALSE()),1)</f>
        <v>1</v>
      </c>
      <c r="N1011" s="216">
        <f>IFERROR(VLOOKUP(A1011,PARTIDAS!$A$2:$I$269,9,FALSE()),1)</f>
        <v>1</v>
      </c>
      <c r="O1011" s="217">
        <f t="shared" si="30"/>
        <v>0</v>
      </c>
      <c r="P1011" s="216">
        <f>IF(O1011=0,0,IF(B1011="MAT",G1011*(1+H1011)*L1011*PLAN_ETAPA!$C$5,IF(B1011="MO",IF(M1011=0,0,G1011*L1011*PLAN_ETAPA!$C$5*N1011/M1011),IF(B1011="EQ",IF(M1011=0,0,G1011*L1011*PLAN_ETAPA!$C$5/M1011),0))))</f>
        <v>0</v>
      </c>
      <c r="Q1011" s="218">
        <f t="shared" si="31"/>
        <v>0</v>
      </c>
    </row>
    <row r="1012" spans="1:17" x14ac:dyDescent="0.35">
      <c r="A1012" s="212" t="str">
        <f>COMPOSICIÓN!A1012</f>
        <v>PTO-0602</v>
      </c>
      <c r="B1012" s="212" t="str">
        <f>COMPOSICIÓN!B1012</f>
        <v>MAT</v>
      </c>
      <c r="C1012" s="212" t="str">
        <f>COMPOSICIÓN!C1012</f>
        <v>OTR</v>
      </c>
      <c r="D1012" s="212" t="str">
        <f>COMPOSICIÓN!D1012</f>
        <v>OTR-PTO076</v>
      </c>
      <c r="E1012" s="212" t="str">
        <f>COMPOSICIÓN!E1012</f>
        <v>Babeta de amure C25, des. 200 mm x 2,44 m</v>
      </c>
      <c r="F1012" s="212" t="str">
        <f>COMPOSICIÓN!F1012</f>
        <v>u</v>
      </c>
      <c r="G1012" s="213">
        <f>COMPOSICIÓN!G1012</f>
        <v>0.45454545454545497</v>
      </c>
      <c r="H1012" s="214">
        <f>COMPOSICIÓN!H1012</f>
        <v>0</v>
      </c>
      <c r="I1012" s="215">
        <f>COMPOSICIÓN!I1012</f>
        <v>18595.0413223141</v>
      </c>
      <c r="J1012" s="212" t="str">
        <f>IFERROR(VLOOKUP(A1012,PARTIDAS!$A$2:$C$269,3,FALSE()),"")</f>
        <v>CUBIERTAS</v>
      </c>
      <c r="K1012" s="212" t="str">
        <f>IFERROR(INDEX(PPTO_GENERADOR!$B$4:$B$220,MATCH(A1012,PPTO_GENERADOR!$Q$4:$Q$220,0)),"")</f>
        <v>CUBIERTAS</v>
      </c>
      <c r="L1012" s="216">
        <f>IF(PLAN_ETAPA!$C$4="(TODOS)",SUMIFS(PPTO_GENERADOR!$E$4:$E$220,PPTO_GENERADOR!$Q$4:$Q$220,A1012),SUMIFS(PPTO_GENERADOR!$E$4:$E$220,PPTO_GENERADOR!$Q$4:$Q$220,A1012,PPTO_GENERADOR!$B$4:$B$220,PLAN_ETAPA!$C$4))</f>
        <v>0</v>
      </c>
      <c r="M1012" s="216">
        <f>IFERROR(VLOOKUP(A1012,PARTIDAS!$A$2:$F$269,6,FALSE()),1)</f>
        <v>1</v>
      </c>
      <c r="N1012" s="216">
        <f>IFERROR(VLOOKUP(A1012,PARTIDAS!$A$2:$I$269,9,FALSE()),1)</f>
        <v>1</v>
      </c>
      <c r="O1012" s="217">
        <f t="shared" si="30"/>
        <v>0</v>
      </c>
      <c r="P1012" s="216">
        <f>IF(O1012=0,0,IF(B1012="MAT",G1012*(1+H1012)*L1012*PLAN_ETAPA!$C$5,IF(B1012="MO",IF(M1012=0,0,G1012*L1012*PLAN_ETAPA!$C$5*N1012/M1012),IF(B1012="EQ",IF(M1012=0,0,G1012*L1012*PLAN_ETAPA!$C$5/M1012),0))))</f>
        <v>0</v>
      </c>
      <c r="Q1012" s="218">
        <f t="shared" si="31"/>
        <v>0</v>
      </c>
    </row>
    <row r="1013" spans="1:17" x14ac:dyDescent="0.35">
      <c r="A1013" s="212" t="str">
        <f>COMPOSICIÓN!A1013</f>
        <v>PTO-0602</v>
      </c>
      <c r="B1013" s="212" t="str">
        <f>COMPOSICIÓN!B1013</f>
        <v>MAT</v>
      </c>
      <c r="C1013" s="212" t="str">
        <f>COMPOSICIÓN!C1013</f>
        <v>OTR</v>
      </c>
      <c r="D1013" s="212" t="str">
        <f>COMPOSICIÓN!D1013</f>
        <v>OTR-PTO077</v>
      </c>
      <c r="E1013" s="212" t="str">
        <f>COMPOSICIÓN!E1013</f>
        <v xml:space="preserve">Sellador / Silicona (rinde 5 mts) </v>
      </c>
      <c r="F1013" s="212" t="str">
        <f>COMPOSICIÓN!F1013</f>
        <v>u</v>
      </c>
      <c r="G1013" s="213">
        <f>COMPOSICIÓN!G1013</f>
        <v>0.2</v>
      </c>
      <c r="H1013" s="214">
        <f>COMPOSICIÓN!H1013</f>
        <v>0</v>
      </c>
      <c r="I1013" s="215">
        <f>COMPOSICIÓN!I1013</f>
        <v>25454.5454545455</v>
      </c>
      <c r="J1013" s="212" t="str">
        <f>IFERROR(VLOOKUP(A1013,PARTIDAS!$A$2:$C$269,3,FALSE()),"")</f>
        <v>CUBIERTAS</v>
      </c>
      <c r="K1013" s="212" t="str">
        <f>IFERROR(INDEX(PPTO_GENERADOR!$B$4:$B$220,MATCH(A1013,PPTO_GENERADOR!$Q$4:$Q$220,0)),"")</f>
        <v>CUBIERTAS</v>
      </c>
      <c r="L1013" s="216">
        <f>IF(PLAN_ETAPA!$C$4="(TODOS)",SUMIFS(PPTO_GENERADOR!$E$4:$E$220,PPTO_GENERADOR!$Q$4:$Q$220,A1013),SUMIFS(PPTO_GENERADOR!$E$4:$E$220,PPTO_GENERADOR!$Q$4:$Q$220,A1013,PPTO_GENERADOR!$B$4:$B$220,PLAN_ETAPA!$C$4))</f>
        <v>0</v>
      </c>
      <c r="M1013" s="216">
        <f>IFERROR(VLOOKUP(A1013,PARTIDAS!$A$2:$F$269,6,FALSE()),1)</f>
        <v>1</v>
      </c>
      <c r="N1013" s="216">
        <f>IFERROR(VLOOKUP(A1013,PARTIDAS!$A$2:$I$269,9,FALSE()),1)</f>
        <v>1</v>
      </c>
      <c r="O1013" s="217">
        <f t="shared" si="30"/>
        <v>0</v>
      </c>
      <c r="P1013" s="216">
        <f>IF(O1013=0,0,IF(B1013="MAT",G1013*(1+H1013)*L1013*PLAN_ETAPA!$C$5,IF(B1013="MO",IF(M1013=0,0,G1013*L1013*PLAN_ETAPA!$C$5*N1013/M1013),IF(B1013="EQ",IF(M1013=0,0,G1013*L1013*PLAN_ETAPA!$C$5/M1013),0))))</f>
        <v>0</v>
      </c>
      <c r="Q1013" s="218">
        <f t="shared" si="31"/>
        <v>0</v>
      </c>
    </row>
    <row r="1014" spans="1:17" x14ac:dyDescent="0.35">
      <c r="A1014" s="212" t="str">
        <f>COMPOSICIÓN!A1014</f>
        <v>PTO-0602</v>
      </c>
      <c r="B1014" s="212" t="str">
        <f>COMPOSICIÓN!B1014</f>
        <v>MO</v>
      </c>
      <c r="C1014" s="212" t="str">
        <f>COMPOSICIÓN!C1014</f>
        <v>ALB</v>
      </c>
      <c r="D1014" s="212" t="str">
        <f>COMPOSICIÓN!D1014</f>
        <v>MO-EESPE</v>
      </c>
      <c r="E1014" s="212" t="str">
        <f>COMPOSICIÓN!E1014</f>
        <v>ESPECIALIZADO</v>
      </c>
      <c r="F1014" s="212" t="str">
        <f>COMPOSICIÓN!F1014</f>
        <v>j</v>
      </c>
      <c r="G1014" s="213">
        <f>COMPOSICIÓN!G1014</f>
        <v>5.4545454545454501E-2</v>
      </c>
      <c r="H1014" s="214">
        <f>COMPOSICIÓN!H1014</f>
        <v>0</v>
      </c>
      <c r="I1014" s="215">
        <f>COMPOSICIÓN!I1014</f>
        <v>85927.097156571996</v>
      </c>
      <c r="J1014" s="212" t="str">
        <f>IFERROR(VLOOKUP(A1014,PARTIDAS!$A$2:$C$269,3,FALSE()),"")</f>
        <v>CUBIERTAS</v>
      </c>
      <c r="K1014" s="212" t="str">
        <f>IFERROR(INDEX(PPTO_GENERADOR!$B$4:$B$220,MATCH(A1014,PPTO_GENERADOR!$Q$4:$Q$220,0)),"")</f>
        <v>CUBIERTAS</v>
      </c>
      <c r="L1014" s="216">
        <f>IF(PLAN_ETAPA!$C$4="(TODOS)",SUMIFS(PPTO_GENERADOR!$E$4:$E$220,PPTO_GENERADOR!$Q$4:$Q$220,A1014),SUMIFS(PPTO_GENERADOR!$E$4:$E$220,PPTO_GENERADOR!$Q$4:$Q$220,A1014,PPTO_GENERADOR!$B$4:$B$220,PLAN_ETAPA!$C$4))</f>
        <v>0</v>
      </c>
      <c r="M1014" s="216">
        <f>IFERROR(VLOOKUP(A1014,PARTIDAS!$A$2:$F$269,6,FALSE()),1)</f>
        <v>1</v>
      </c>
      <c r="N1014" s="216">
        <f>IFERROR(VLOOKUP(A1014,PARTIDAS!$A$2:$I$269,9,FALSE()),1)</f>
        <v>1</v>
      </c>
      <c r="O1014" s="217">
        <f t="shared" si="30"/>
        <v>0</v>
      </c>
      <c r="P1014" s="216">
        <f>IF(O1014=0,0,IF(B1014="MAT",G1014*(1+H1014)*L1014*PLAN_ETAPA!$C$5,IF(B1014="MO",IF(M1014=0,0,G1014*L1014*PLAN_ETAPA!$C$5*N1014/M1014),IF(B1014="EQ",IF(M1014=0,0,G1014*L1014*PLAN_ETAPA!$C$5/M1014),0))))</f>
        <v>0</v>
      </c>
      <c r="Q1014" s="218">
        <f t="shared" si="31"/>
        <v>0</v>
      </c>
    </row>
    <row r="1015" spans="1:17" x14ac:dyDescent="0.35">
      <c r="A1015" s="212" t="str">
        <f>COMPOSICIÓN!A1015</f>
        <v>PTO-0602</v>
      </c>
      <c r="B1015" s="212" t="str">
        <f>COMPOSICIÓN!B1015</f>
        <v>MO</v>
      </c>
      <c r="C1015" s="212" t="str">
        <f>COMPOSICIÓN!C1015</f>
        <v>ALB</v>
      </c>
      <c r="D1015" s="212" t="str">
        <f>COMPOSICIÓN!D1015</f>
        <v>MO-EMEDI</v>
      </c>
      <c r="E1015" s="212" t="str">
        <f>COMPOSICIÓN!E1015</f>
        <v>MEDIO OFICIAL</v>
      </c>
      <c r="F1015" s="212" t="str">
        <f>COMPOSICIÓN!F1015</f>
        <v>j</v>
      </c>
      <c r="G1015" s="213">
        <f>COMPOSICIÓN!G1015</f>
        <v>5.4545454545454501E-2</v>
      </c>
      <c r="H1015" s="214">
        <f>COMPOSICIÓN!H1015</f>
        <v>0</v>
      </c>
      <c r="I1015" s="215">
        <f>COMPOSICIÓN!I1015</f>
        <v>65493.071636572</v>
      </c>
      <c r="J1015" s="212" t="str">
        <f>IFERROR(VLOOKUP(A1015,PARTIDAS!$A$2:$C$269,3,FALSE()),"")</f>
        <v>CUBIERTAS</v>
      </c>
      <c r="K1015" s="212" t="str">
        <f>IFERROR(INDEX(PPTO_GENERADOR!$B$4:$B$220,MATCH(A1015,PPTO_GENERADOR!$Q$4:$Q$220,0)),"")</f>
        <v>CUBIERTAS</v>
      </c>
      <c r="L1015" s="216">
        <f>IF(PLAN_ETAPA!$C$4="(TODOS)",SUMIFS(PPTO_GENERADOR!$E$4:$E$220,PPTO_GENERADOR!$Q$4:$Q$220,A1015),SUMIFS(PPTO_GENERADOR!$E$4:$E$220,PPTO_GENERADOR!$Q$4:$Q$220,A1015,PPTO_GENERADOR!$B$4:$B$220,PLAN_ETAPA!$C$4))</f>
        <v>0</v>
      </c>
      <c r="M1015" s="216">
        <f>IFERROR(VLOOKUP(A1015,PARTIDAS!$A$2:$F$269,6,FALSE()),1)</f>
        <v>1</v>
      </c>
      <c r="N1015" s="216">
        <f>IFERROR(VLOOKUP(A1015,PARTIDAS!$A$2:$I$269,9,FALSE()),1)</f>
        <v>1</v>
      </c>
      <c r="O1015" s="217">
        <f t="shared" si="30"/>
        <v>0</v>
      </c>
      <c r="P1015" s="216">
        <f>IF(O1015=0,0,IF(B1015="MAT",G1015*(1+H1015)*L1015*PLAN_ETAPA!$C$5,IF(B1015="MO",IF(M1015=0,0,G1015*L1015*PLAN_ETAPA!$C$5*N1015/M1015),IF(B1015="EQ",IF(M1015=0,0,G1015*L1015*PLAN_ETAPA!$C$5/M1015),0))))</f>
        <v>0</v>
      </c>
      <c r="Q1015" s="218">
        <f t="shared" si="31"/>
        <v>0</v>
      </c>
    </row>
    <row r="1016" spans="1:17" x14ac:dyDescent="0.35">
      <c r="A1016" s="212" t="str">
        <f>COMPOSICIÓN!A1016</f>
        <v>PTO-0701</v>
      </c>
      <c r="B1016" s="212" t="str">
        <f>COMPOSICIÓN!B1016</f>
        <v>EQ</v>
      </c>
      <c r="C1016" s="212">
        <f>COMPOSICIÓN!C1016</f>
        <v>0</v>
      </c>
      <c r="D1016" s="212" t="str">
        <f>COMPOSICIÓN!D1016</f>
        <v>EQ-ANDAM0</v>
      </c>
      <c r="E1016" s="212" t="str">
        <f>COMPOSICIÓN!E1016</f>
        <v>ANDAMIO TUBULAR DE UNO A TRES CUERPOS</v>
      </c>
      <c r="F1016" s="212">
        <f>COMPOSICIÓN!F1016</f>
        <v>0</v>
      </c>
      <c r="G1016" s="213">
        <f>COMPOSICIÓN!G1016</f>
        <v>0.5</v>
      </c>
      <c r="H1016" s="214">
        <f>COMPOSICIÓN!H1016</f>
        <v>0</v>
      </c>
      <c r="I1016" s="215">
        <f>COMPOSICIÓN!I1016</f>
        <v>571.1794909807611</v>
      </c>
      <c r="J1016" s="212" t="str">
        <f>IFERROR(VLOOKUP(A1016,PARTIDAS!$A$2:$C$269,3,FALSE()),"")</f>
        <v>REVOQUES</v>
      </c>
      <c r="K1016" s="212" t="str">
        <f>IFERROR(INDEX(PPTO_GENERADOR!$B$4:$B$220,MATCH(A1016,PPTO_GENERADOR!$Q$4:$Q$220,0)),"")</f>
        <v/>
      </c>
      <c r="L1016" s="216">
        <f>IF(PLAN_ETAPA!$C$4="(TODOS)",SUMIFS(PPTO_GENERADOR!$E$4:$E$220,PPTO_GENERADOR!$Q$4:$Q$220,A1016),SUMIFS(PPTO_GENERADOR!$E$4:$E$220,PPTO_GENERADOR!$Q$4:$Q$220,A1016,PPTO_GENERADOR!$B$4:$B$220,PLAN_ETAPA!$C$4))</f>
        <v>0</v>
      </c>
      <c r="M1016" s="216">
        <f>IFERROR(VLOOKUP(A1016,PARTIDAS!$A$2:$F$269,6,FALSE()),1)</f>
        <v>11.5</v>
      </c>
      <c r="N1016" s="216">
        <f>IFERROR(VLOOKUP(A1016,PARTIDAS!$A$2:$I$269,9,FALSE()),1)</f>
        <v>1</v>
      </c>
      <c r="O1016" s="217">
        <f t="shared" si="30"/>
        <v>0</v>
      </c>
      <c r="P1016" s="216">
        <f>IF(O1016=0,0,IF(B1016="MAT",G1016*(1+H1016)*L1016*PLAN_ETAPA!$C$5,IF(B1016="MO",IF(M1016=0,0,G1016*L1016*PLAN_ETAPA!$C$5*N1016/M1016),IF(B1016="EQ",IF(M1016=0,0,G1016*L1016*PLAN_ETAPA!$C$5/M1016),0))))</f>
        <v>0</v>
      </c>
      <c r="Q1016" s="218">
        <f t="shared" si="31"/>
        <v>0</v>
      </c>
    </row>
    <row r="1017" spans="1:17" x14ac:dyDescent="0.35">
      <c r="A1017" s="212" t="str">
        <f>COMPOSICIÓN!A1017</f>
        <v>PTO-0701</v>
      </c>
      <c r="B1017" s="212" t="str">
        <f>COMPOSICIÓN!B1017</f>
        <v>EQ</v>
      </c>
      <c r="C1017" s="212">
        <f>COMPOSICIÓN!C1017</f>
        <v>0</v>
      </c>
      <c r="D1017" s="212" t="str">
        <f>COMPOSICIÓN!D1017</f>
        <v>EQ-EQALBA</v>
      </c>
      <c r="E1017" s="212" t="str">
        <f>COMPOSICIÓN!E1017</f>
        <v>EQUIPO DE ALBAÑILERIA, carpetas, ladrillo</v>
      </c>
      <c r="F1017" s="212">
        <f>COMPOSICIÓN!F1017</f>
        <v>0</v>
      </c>
      <c r="G1017" s="213">
        <f>COMPOSICIÓN!G1017</f>
        <v>1</v>
      </c>
      <c r="H1017" s="214">
        <f>COMPOSICIÓN!H1017</f>
        <v>0</v>
      </c>
      <c r="I1017" s="215">
        <f>COMPOSICIÓN!I1017</f>
        <v>2287.1357450968057</v>
      </c>
      <c r="J1017" s="212" t="str">
        <f>IFERROR(VLOOKUP(A1017,PARTIDAS!$A$2:$C$269,3,FALSE()),"")</f>
        <v>REVOQUES</v>
      </c>
      <c r="K1017" s="212" t="str">
        <f>IFERROR(INDEX(PPTO_GENERADOR!$B$4:$B$220,MATCH(A1017,PPTO_GENERADOR!$Q$4:$Q$220,0)),"")</f>
        <v/>
      </c>
      <c r="L1017" s="216">
        <f>IF(PLAN_ETAPA!$C$4="(TODOS)",SUMIFS(PPTO_GENERADOR!$E$4:$E$220,PPTO_GENERADOR!$Q$4:$Q$220,A1017),SUMIFS(PPTO_GENERADOR!$E$4:$E$220,PPTO_GENERADOR!$Q$4:$Q$220,A1017,PPTO_GENERADOR!$B$4:$B$220,PLAN_ETAPA!$C$4))</f>
        <v>0</v>
      </c>
      <c r="M1017" s="216">
        <f>IFERROR(VLOOKUP(A1017,PARTIDAS!$A$2:$F$269,6,FALSE()),1)</f>
        <v>11.5</v>
      </c>
      <c r="N1017" s="216">
        <f>IFERROR(VLOOKUP(A1017,PARTIDAS!$A$2:$I$269,9,FALSE()),1)</f>
        <v>1</v>
      </c>
      <c r="O1017" s="217">
        <f t="shared" si="30"/>
        <v>0</v>
      </c>
      <c r="P1017" s="216">
        <f>IF(O1017=0,0,IF(B1017="MAT",G1017*(1+H1017)*L1017*PLAN_ETAPA!$C$5,IF(B1017="MO",IF(M1017=0,0,G1017*L1017*PLAN_ETAPA!$C$5*N1017/M1017),IF(B1017="EQ",IF(M1017=0,0,G1017*L1017*PLAN_ETAPA!$C$5/M1017),0))))</f>
        <v>0</v>
      </c>
      <c r="Q1017" s="218">
        <f t="shared" si="31"/>
        <v>0</v>
      </c>
    </row>
    <row r="1018" spans="1:17" x14ac:dyDescent="0.35">
      <c r="A1018" s="212" t="str">
        <f>COMPOSICIÓN!A1018</f>
        <v>PTO-0701</v>
      </c>
      <c r="B1018" s="212" t="str">
        <f>COMPOSICIÓN!B1018</f>
        <v>EQ</v>
      </c>
      <c r="C1018" s="212">
        <f>COMPOSICIÓN!C1018</f>
        <v>0</v>
      </c>
      <c r="D1018" s="212" t="str">
        <f>COMPOSICIÓN!D1018</f>
        <v>EQ-TROMPO</v>
      </c>
      <c r="E1018" s="212" t="str">
        <f>COMPOSICIÓN!E1018</f>
        <v>Hormigonera De 150 Litros 1hp Con Rueda Maciza</v>
      </c>
      <c r="F1018" s="212">
        <f>COMPOSICIÓN!F1018</f>
        <v>0</v>
      </c>
      <c r="G1018" s="213">
        <f>COMPOSICIÓN!G1018</f>
        <v>1</v>
      </c>
      <c r="H1018" s="214">
        <f>COMPOSICIÓN!H1018</f>
        <v>0</v>
      </c>
      <c r="I1018" s="215">
        <f>COMPOSICIÓN!I1018</f>
        <v>957.25319614994726</v>
      </c>
      <c r="J1018" s="212" t="str">
        <f>IFERROR(VLOOKUP(A1018,PARTIDAS!$A$2:$C$269,3,FALSE()),"")</f>
        <v>REVOQUES</v>
      </c>
      <c r="K1018" s="212" t="str">
        <f>IFERROR(INDEX(PPTO_GENERADOR!$B$4:$B$220,MATCH(A1018,PPTO_GENERADOR!$Q$4:$Q$220,0)),"")</f>
        <v/>
      </c>
      <c r="L1018" s="216">
        <f>IF(PLAN_ETAPA!$C$4="(TODOS)",SUMIFS(PPTO_GENERADOR!$E$4:$E$220,PPTO_GENERADOR!$Q$4:$Q$220,A1018),SUMIFS(PPTO_GENERADOR!$E$4:$E$220,PPTO_GENERADOR!$Q$4:$Q$220,A1018,PPTO_GENERADOR!$B$4:$B$220,PLAN_ETAPA!$C$4))</f>
        <v>0</v>
      </c>
      <c r="M1018" s="216">
        <f>IFERROR(VLOOKUP(A1018,PARTIDAS!$A$2:$F$269,6,FALSE()),1)</f>
        <v>11.5</v>
      </c>
      <c r="N1018" s="216">
        <f>IFERROR(VLOOKUP(A1018,PARTIDAS!$A$2:$I$269,9,FALSE()),1)</f>
        <v>1</v>
      </c>
      <c r="O1018" s="217">
        <f t="shared" si="30"/>
        <v>0</v>
      </c>
      <c r="P1018" s="216">
        <f>IF(O1018=0,0,IF(B1018="MAT",G1018*(1+H1018)*L1018*PLAN_ETAPA!$C$5,IF(B1018="MO",IF(M1018=0,0,G1018*L1018*PLAN_ETAPA!$C$5*N1018/M1018),IF(B1018="EQ",IF(M1018=0,0,G1018*L1018*PLAN_ETAPA!$C$5/M1018),0))))</f>
        <v>0</v>
      </c>
      <c r="Q1018" s="218">
        <f t="shared" si="31"/>
        <v>0</v>
      </c>
    </row>
    <row r="1019" spans="1:17" x14ac:dyDescent="0.35">
      <c r="A1019" s="212" t="str">
        <f>COMPOSICIÓN!A1019</f>
        <v>PTO-0701</v>
      </c>
      <c r="B1019" s="212" t="str">
        <f>COMPOSICIÓN!B1019</f>
        <v>MAT</v>
      </c>
      <c r="C1019" s="212" t="str">
        <f>COMPOSICIÓN!C1019</f>
        <v>OTR</v>
      </c>
      <c r="D1019" s="212" t="str">
        <f>COMPOSICIÓN!D1019</f>
        <v>AGR-001</v>
      </c>
      <c r="E1019" s="212" t="str">
        <f>COMPOSICIÓN!E1019</f>
        <v>ARENA LAVADA</v>
      </c>
      <c r="F1019" s="212" t="str">
        <f>COMPOSICIÓN!F1019</f>
        <v>m3</v>
      </c>
      <c r="G1019" s="213">
        <f>COMPOSICIÓN!G1019</f>
        <v>2.5999999999999999E-2</v>
      </c>
      <c r="H1019" s="214">
        <f>COMPOSICIÓN!H1019</f>
        <v>0.1</v>
      </c>
      <c r="I1019" s="215">
        <f>COMPOSICIÓN!I1019</f>
        <v>32399.77</v>
      </c>
      <c r="J1019" s="212" t="str">
        <f>IFERROR(VLOOKUP(A1019,PARTIDAS!$A$2:$C$269,3,FALSE()),"")</f>
        <v>REVOQUES</v>
      </c>
      <c r="K1019" s="212" t="str">
        <f>IFERROR(INDEX(PPTO_GENERADOR!$B$4:$B$220,MATCH(A1019,PPTO_GENERADOR!$Q$4:$Q$220,0)),"")</f>
        <v/>
      </c>
      <c r="L1019" s="216">
        <f>IF(PLAN_ETAPA!$C$4="(TODOS)",SUMIFS(PPTO_GENERADOR!$E$4:$E$220,PPTO_GENERADOR!$Q$4:$Q$220,A1019),SUMIFS(PPTO_GENERADOR!$E$4:$E$220,PPTO_GENERADOR!$Q$4:$Q$220,A1019,PPTO_GENERADOR!$B$4:$B$220,PLAN_ETAPA!$C$4))</f>
        <v>0</v>
      </c>
      <c r="M1019" s="216">
        <f>IFERROR(VLOOKUP(A1019,PARTIDAS!$A$2:$F$269,6,FALSE()),1)</f>
        <v>11.5</v>
      </c>
      <c r="N1019" s="216">
        <f>IFERROR(VLOOKUP(A1019,PARTIDAS!$A$2:$I$269,9,FALSE()),1)</f>
        <v>1</v>
      </c>
      <c r="O1019" s="217">
        <f t="shared" si="30"/>
        <v>0</v>
      </c>
      <c r="P1019" s="216">
        <f>IF(O1019=0,0,IF(B1019="MAT",G1019*(1+H1019)*L1019*PLAN_ETAPA!$C$5,IF(B1019="MO",IF(M1019=0,0,G1019*L1019*PLAN_ETAPA!$C$5*N1019/M1019),IF(B1019="EQ",IF(M1019=0,0,G1019*L1019*PLAN_ETAPA!$C$5/M1019),0))))</f>
        <v>0</v>
      </c>
      <c r="Q1019" s="218">
        <f t="shared" si="31"/>
        <v>0</v>
      </c>
    </row>
    <row r="1020" spans="1:17" x14ac:dyDescent="0.35">
      <c r="A1020" s="212" t="str">
        <f>COMPOSICIÓN!A1020</f>
        <v>PTO-0701</v>
      </c>
      <c r="B1020" s="212" t="str">
        <f>COMPOSICIÓN!B1020</f>
        <v>MAT</v>
      </c>
      <c r="C1020" s="212" t="str">
        <f>COMPOSICIÓN!C1020</f>
        <v>OTR</v>
      </c>
      <c r="D1020" s="212" t="str">
        <f>COMPOSICIÓN!D1020</f>
        <v>AGR-004</v>
      </c>
      <c r="E1020" s="212" t="str">
        <f>COMPOSICIÓN!E1020</f>
        <v>Cemento Portland x 50kg</v>
      </c>
      <c r="F1020" s="212" t="str">
        <f>COMPOSICIÓN!F1020</f>
        <v>Bol</v>
      </c>
      <c r="G1020" s="213">
        <f>COMPOSICIÓN!G1020</f>
        <v>0.314</v>
      </c>
      <c r="H1020" s="214">
        <f>COMPOSICIÓN!H1020</f>
        <v>0.1</v>
      </c>
      <c r="I1020" s="215">
        <f>COMPOSICIÓN!I1020</f>
        <v>7809.48</v>
      </c>
      <c r="J1020" s="212" t="str">
        <f>IFERROR(VLOOKUP(A1020,PARTIDAS!$A$2:$C$269,3,FALSE()),"")</f>
        <v>REVOQUES</v>
      </c>
      <c r="K1020" s="212" t="str">
        <f>IFERROR(INDEX(PPTO_GENERADOR!$B$4:$B$220,MATCH(A1020,PPTO_GENERADOR!$Q$4:$Q$220,0)),"")</f>
        <v/>
      </c>
      <c r="L1020" s="216">
        <f>IF(PLAN_ETAPA!$C$4="(TODOS)",SUMIFS(PPTO_GENERADOR!$E$4:$E$220,PPTO_GENERADOR!$Q$4:$Q$220,A1020),SUMIFS(PPTO_GENERADOR!$E$4:$E$220,PPTO_GENERADOR!$Q$4:$Q$220,A1020,PPTO_GENERADOR!$B$4:$B$220,PLAN_ETAPA!$C$4))</f>
        <v>0</v>
      </c>
      <c r="M1020" s="216">
        <f>IFERROR(VLOOKUP(A1020,PARTIDAS!$A$2:$F$269,6,FALSE()),1)</f>
        <v>11.5</v>
      </c>
      <c r="N1020" s="216">
        <f>IFERROR(VLOOKUP(A1020,PARTIDAS!$A$2:$I$269,9,FALSE()),1)</f>
        <v>1</v>
      </c>
      <c r="O1020" s="217">
        <f t="shared" si="30"/>
        <v>0</v>
      </c>
      <c r="P1020" s="216">
        <f>IF(O1020=0,0,IF(B1020="MAT",G1020*(1+H1020)*L1020*PLAN_ETAPA!$C$5,IF(B1020="MO",IF(M1020=0,0,G1020*L1020*PLAN_ETAPA!$C$5*N1020/M1020),IF(B1020="EQ",IF(M1020=0,0,G1020*L1020*PLAN_ETAPA!$C$5/M1020),0))))</f>
        <v>0</v>
      </c>
      <c r="Q1020" s="218">
        <f t="shared" si="31"/>
        <v>0</v>
      </c>
    </row>
    <row r="1021" spans="1:17" x14ac:dyDescent="0.35">
      <c r="A1021" s="212" t="str">
        <f>COMPOSICIÓN!A1021</f>
        <v>PTO-0701</v>
      </c>
      <c r="B1021" s="212" t="str">
        <f>COMPOSICIÓN!B1021</f>
        <v>MAT</v>
      </c>
      <c r="C1021" s="212" t="str">
        <f>COMPOSICIÓN!C1021</f>
        <v>OTR</v>
      </c>
      <c r="D1021" s="212" t="str">
        <f>COMPOSICIÓN!D1021</f>
        <v>AGR-005</v>
      </c>
      <c r="E1021" s="212" t="str">
        <f>COMPOSICIÓN!E1021</f>
        <v>Cal Comun x 25kg</v>
      </c>
      <c r="F1021" s="212" t="str">
        <f>COMPOSICIÓN!F1021</f>
        <v>bol</v>
      </c>
      <c r="G1021" s="213">
        <f>COMPOSICIÓN!G1021</f>
        <v>0.06</v>
      </c>
      <c r="H1021" s="214">
        <f>COMPOSICIÓN!H1021</f>
        <v>0.1</v>
      </c>
      <c r="I1021" s="215">
        <f>COMPOSICIÓN!I1021</f>
        <v>3837.96</v>
      </c>
      <c r="J1021" s="212" t="str">
        <f>IFERROR(VLOOKUP(A1021,PARTIDAS!$A$2:$C$269,3,FALSE()),"")</f>
        <v>REVOQUES</v>
      </c>
      <c r="K1021" s="212" t="str">
        <f>IFERROR(INDEX(PPTO_GENERADOR!$B$4:$B$220,MATCH(A1021,PPTO_GENERADOR!$Q$4:$Q$220,0)),"")</f>
        <v/>
      </c>
      <c r="L1021" s="216">
        <f>IF(PLAN_ETAPA!$C$4="(TODOS)",SUMIFS(PPTO_GENERADOR!$E$4:$E$220,PPTO_GENERADOR!$Q$4:$Q$220,A1021),SUMIFS(PPTO_GENERADOR!$E$4:$E$220,PPTO_GENERADOR!$Q$4:$Q$220,A1021,PPTO_GENERADOR!$B$4:$B$220,PLAN_ETAPA!$C$4))</f>
        <v>0</v>
      </c>
      <c r="M1021" s="216">
        <f>IFERROR(VLOOKUP(A1021,PARTIDAS!$A$2:$F$269,6,FALSE()),1)</f>
        <v>11.5</v>
      </c>
      <c r="N1021" s="216">
        <f>IFERROR(VLOOKUP(A1021,PARTIDAS!$A$2:$I$269,9,FALSE()),1)</f>
        <v>1</v>
      </c>
      <c r="O1021" s="217">
        <f t="shared" si="30"/>
        <v>0</v>
      </c>
      <c r="P1021" s="216">
        <f>IF(O1021=0,0,IF(B1021="MAT",G1021*(1+H1021)*L1021*PLAN_ETAPA!$C$5,IF(B1021="MO",IF(M1021=0,0,G1021*L1021*PLAN_ETAPA!$C$5*N1021/M1021),IF(B1021="EQ",IF(M1021=0,0,G1021*L1021*PLAN_ETAPA!$C$5/M1021),0))))</f>
        <v>0</v>
      </c>
      <c r="Q1021" s="218">
        <f t="shared" si="31"/>
        <v>0</v>
      </c>
    </row>
    <row r="1022" spans="1:17" x14ac:dyDescent="0.35">
      <c r="A1022" s="212" t="str">
        <f>COMPOSICIÓN!A1022</f>
        <v>PTO-0701</v>
      </c>
      <c r="B1022" s="212" t="str">
        <f>COMPOSICIÓN!B1022</f>
        <v>MAT</v>
      </c>
      <c r="C1022" s="212" t="str">
        <f>COMPOSICIÓN!C1022</f>
        <v>OTR</v>
      </c>
      <c r="D1022" s="212" t="str">
        <f>COMPOSICIÓN!D1022</f>
        <v>AIS-001</v>
      </c>
      <c r="E1022" s="212" t="str">
        <f>COMPOSICIÓN!E1022</f>
        <v>Aditivo Hidrofugo en pasta - Ceresita x 1kg</v>
      </c>
      <c r="F1022" s="212" t="str">
        <f>COMPOSICIÓN!F1022</f>
        <v>kg</v>
      </c>
      <c r="G1022" s="213">
        <f>COMPOSICIÓN!G1022</f>
        <v>0.1</v>
      </c>
      <c r="H1022" s="214">
        <f>COMPOSICIÓN!H1022</f>
        <v>0.05</v>
      </c>
      <c r="I1022" s="215">
        <f>COMPOSICIÓN!I1022</f>
        <v>1256.1279999999999</v>
      </c>
      <c r="J1022" s="212" t="str">
        <f>IFERROR(VLOOKUP(A1022,PARTIDAS!$A$2:$C$269,3,FALSE()),"")</f>
        <v>REVOQUES</v>
      </c>
      <c r="K1022" s="212" t="str">
        <f>IFERROR(INDEX(PPTO_GENERADOR!$B$4:$B$220,MATCH(A1022,PPTO_GENERADOR!$Q$4:$Q$220,0)),"")</f>
        <v/>
      </c>
      <c r="L1022" s="216">
        <f>IF(PLAN_ETAPA!$C$4="(TODOS)",SUMIFS(PPTO_GENERADOR!$E$4:$E$220,PPTO_GENERADOR!$Q$4:$Q$220,A1022),SUMIFS(PPTO_GENERADOR!$E$4:$E$220,PPTO_GENERADOR!$Q$4:$Q$220,A1022,PPTO_GENERADOR!$B$4:$B$220,PLAN_ETAPA!$C$4))</f>
        <v>0</v>
      </c>
      <c r="M1022" s="216">
        <f>IFERROR(VLOOKUP(A1022,PARTIDAS!$A$2:$F$269,6,FALSE()),1)</f>
        <v>11.5</v>
      </c>
      <c r="N1022" s="216">
        <f>IFERROR(VLOOKUP(A1022,PARTIDAS!$A$2:$I$269,9,FALSE()),1)</f>
        <v>1</v>
      </c>
      <c r="O1022" s="217">
        <f t="shared" si="30"/>
        <v>0</v>
      </c>
      <c r="P1022" s="216">
        <f>IF(O1022=0,0,IF(B1022="MAT",G1022*(1+H1022)*L1022*PLAN_ETAPA!$C$5,IF(B1022="MO",IF(M1022=0,0,G1022*L1022*PLAN_ETAPA!$C$5*N1022/M1022),IF(B1022="EQ",IF(M1022=0,0,G1022*L1022*PLAN_ETAPA!$C$5/M1022),0))))</f>
        <v>0</v>
      </c>
      <c r="Q1022" s="218">
        <f t="shared" si="31"/>
        <v>0</v>
      </c>
    </row>
    <row r="1023" spans="1:17" x14ac:dyDescent="0.35">
      <c r="A1023" s="212" t="str">
        <f>COMPOSICIÓN!A1023</f>
        <v>PTO-0701</v>
      </c>
      <c r="B1023" s="212" t="str">
        <f>COMPOSICIÓN!B1023</f>
        <v>MO</v>
      </c>
      <c r="C1023" s="212" t="str">
        <f>COMPOSICIÓN!C1023</f>
        <v>ALB</v>
      </c>
      <c r="D1023" s="212" t="str">
        <f>COMPOSICIÓN!D1023</f>
        <v>MO-EAYUD</v>
      </c>
      <c r="E1023" s="212" t="str">
        <f>COMPOSICIÓN!E1023</f>
        <v>AYUDANTE</v>
      </c>
      <c r="F1023" s="212" t="str">
        <f>COMPOSICIÓN!F1023</f>
        <v>j</v>
      </c>
      <c r="G1023" s="213">
        <f>COMPOSICIÓN!G1023</f>
        <v>0.6</v>
      </c>
      <c r="H1023" s="214">
        <f>COMPOSICIÓN!H1023</f>
        <v>0</v>
      </c>
      <c r="I1023" s="215">
        <f>COMPOSICIÓN!I1023</f>
        <v>60860.580776572002</v>
      </c>
      <c r="J1023" s="212" t="str">
        <f>IFERROR(VLOOKUP(A1023,PARTIDAS!$A$2:$C$269,3,FALSE()),"")</f>
        <v>REVOQUES</v>
      </c>
      <c r="K1023" s="212" t="str">
        <f>IFERROR(INDEX(PPTO_GENERADOR!$B$4:$B$220,MATCH(A1023,PPTO_GENERADOR!$Q$4:$Q$220,0)),"")</f>
        <v/>
      </c>
      <c r="L1023" s="216">
        <f>IF(PLAN_ETAPA!$C$4="(TODOS)",SUMIFS(PPTO_GENERADOR!$E$4:$E$220,PPTO_GENERADOR!$Q$4:$Q$220,A1023),SUMIFS(PPTO_GENERADOR!$E$4:$E$220,PPTO_GENERADOR!$Q$4:$Q$220,A1023,PPTO_GENERADOR!$B$4:$B$220,PLAN_ETAPA!$C$4))</f>
        <v>0</v>
      </c>
      <c r="M1023" s="216">
        <f>IFERROR(VLOOKUP(A1023,PARTIDAS!$A$2:$F$269,6,FALSE()),1)</f>
        <v>11.5</v>
      </c>
      <c r="N1023" s="216">
        <f>IFERROR(VLOOKUP(A1023,PARTIDAS!$A$2:$I$269,9,FALSE()),1)</f>
        <v>1</v>
      </c>
      <c r="O1023" s="217">
        <f t="shared" si="30"/>
        <v>0</v>
      </c>
      <c r="P1023" s="216">
        <f>IF(O1023=0,0,IF(B1023="MAT",G1023*(1+H1023)*L1023*PLAN_ETAPA!$C$5,IF(B1023="MO",IF(M1023=0,0,G1023*L1023*PLAN_ETAPA!$C$5*N1023/M1023),IF(B1023="EQ",IF(M1023=0,0,G1023*L1023*PLAN_ETAPA!$C$5/M1023),0))))</f>
        <v>0</v>
      </c>
      <c r="Q1023" s="218">
        <f t="shared" si="31"/>
        <v>0</v>
      </c>
    </row>
    <row r="1024" spans="1:17" x14ac:dyDescent="0.35">
      <c r="A1024" s="212" t="str">
        <f>COMPOSICIÓN!A1024</f>
        <v>PTO-0701</v>
      </c>
      <c r="B1024" s="212" t="str">
        <f>COMPOSICIÓN!B1024</f>
        <v>MO</v>
      </c>
      <c r="C1024" s="212" t="str">
        <f>COMPOSICIÓN!C1024</f>
        <v>ALB</v>
      </c>
      <c r="D1024" s="212" t="str">
        <f>COMPOSICIÓN!D1024</f>
        <v>MO-EESPE</v>
      </c>
      <c r="E1024" s="212" t="str">
        <f>COMPOSICIÓN!E1024</f>
        <v>ESPECIALIZADO</v>
      </c>
      <c r="F1024" s="212" t="str">
        <f>COMPOSICIÓN!F1024</f>
        <v>j</v>
      </c>
      <c r="G1024" s="213">
        <f>COMPOSICIÓN!G1024</f>
        <v>1</v>
      </c>
      <c r="H1024" s="214">
        <f>COMPOSICIÓN!H1024</f>
        <v>0</v>
      </c>
      <c r="I1024" s="215">
        <f>COMPOSICIÓN!I1024</f>
        <v>85927.097156571996</v>
      </c>
      <c r="J1024" s="212" t="str">
        <f>IFERROR(VLOOKUP(A1024,PARTIDAS!$A$2:$C$269,3,FALSE()),"")</f>
        <v>REVOQUES</v>
      </c>
      <c r="K1024" s="212" t="str">
        <f>IFERROR(INDEX(PPTO_GENERADOR!$B$4:$B$220,MATCH(A1024,PPTO_GENERADOR!$Q$4:$Q$220,0)),"")</f>
        <v/>
      </c>
      <c r="L1024" s="216">
        <f>IF(PLAN_ETAPA!$C$4="(TODOS)",SUMIFS(PPTO_GENERADOR!$E$4:$E$220,PPTO_GENERADOR!$Q$4:$Q$220,A1024),SUMIFS(PPTO_GENERADOR!$E$4:$E$220,PPTO_GENERADOR!$Q$4:$Q$220,A1024,PPTO_GENERADOR!$B$4:$B$220,PLAN_ETAPA!$C$4))</f>
        <v>0</v>
      </c>
      <c r="M1024" s="216">
        <f>IFERROR(VLOOKUP(A1024,PARTIDAS!$A$2:$F$269,6,FALSE()),1)</f>
        <v>11.5</v>
      </c>
      <c r="N1024" s="216">
        <f>IFERROR(VLOOKUP(A1024,PARTIDAS!$A$2:$I$269,9,FALSE()),1)</f>
        <v>1</v>
      </c>
      <c r="O1024" s="217">
        <f t="shared" si="30"/>
        <v>0</v>
      </c>
      <c r="P1024" s="216">
        <f>IF(O1024=0,0,IF(B1024="MAT",G1024*(1+H1024)*L1024*PLAN_ETAPA!$C$5,IF(B1024="MO",IF(M1024=0,0,G1024*L1024*PLAN_ETAPA!$C$5*N1024/M1024),IF(B1024="EQ",IF(M1024=0,0,G1024*L1024*PLAN_ETAPA!$C$5/M1024),0))))</f>
        <v>0</v>
      </c>
      <c r="Q1024" s="218">
        <f t="shared" si="31"/>
        <v>0</v>
      </c>
    </row>
    <row r="1025" spans="1:17" x14ac:dyDescent="0.35">
      <c r="A1025" s="212" t="str">
        <f>COMPOSICIÓN!A1025</f>
        <v>PTO-0702</v>
      </c>
      <c r="B1025" s="212" t="str">
        <f>COMPOSICIÓN!B1025</f>
        <v>EQ</v>
      </c>
      <c r="C1025" s="212">
        <f>COMPOSICIÓN!C1025</f>
        <v>0</v>
      </c>
      <c r="D1025" s="212" t="str">
        <f>COMPOSICIÓN!D1025</f>
        <v>EQ-BALANC</v>
      </c>
      <c r="E1025" s="212" t="str">
        <f>COMPOSICIÓN!E1025</f>
        <v>Balancin</v>
      </c>
      <c r="F1025" s="212">
        <f>COMPOSICIÓN!F1025</f>
        <v>0</v>
      </c>
      <c r="G1025" s="213">
        <f>COMPOSICIÓN!G1025</f>
        <v>1</v>
      </c>
      <c r="H1025" s="214">
        <f>COMPOSICIÓN!H1025</f>
        <v>0</v>
      </c>
      <c r="I1025" s="215">
        <f>COMPOSICIÓN!I1025</f>
        <v>2910.133166666667</v>
      </c>
      <c r="J1025" s="212" t="str">
        <f>IFERROR(VLOOKUP(A1025,PARTIDAS!$A$2:$C$269,3,FALSE()),"")</f>
        <v>REVOQUES</v>
      </c>
      <c r="K1025" s="212" t="str">
        <f>IFERROR(INDEX(PPTO_GENERADOR!$B$4:$B$220,MATCH(A1025,PPTO_GENERADOR!$Q$4:$Q$220,0)),"")</f>
        <v>REVOQUES</v>
      </c>
      <c r="L1025" s="216">
        <f>IF(PLAN_ETAPA!$C$4="(TODOS)",SUMIFS(PPTO_GENERADOR!$E$4:$E$220,PPTO_GENERADOR!$Q$4:$Q$220,A1025),SUMIFS(PPTO_GENERADOR!$E$4:$E$220,PPTO_GENERADOR!$Q$4:$Q$220,A1025,PPTO_GENERADOR!$B$4:$B$220,PLAN_ETAPA!$C$4))</f>
        <v>0</v>
      </c>
      <c r="M1025" s="216">
        <f>IFERROR(VLOOKUP(A1025,PARTIDAS!$A$2:$F$269,6,FALSE()),1)</f>
        <v>8</v>
      </c>
      <c r="N1025" s="216">
        <f>IFERROR(VLOOKUP(A1025,PARTIDAS!$A$2:$I$269,9,FALSE()),1)</f>
        <v>1</v>
      </c>
      <c r="O1025" s="217">
        <f t="shared" si="30"/>
        <v>0</v>
      </c>
      <c r="P1025" s="216">
        <f>IF(O1025=0,0,IF(B1025="MAT",G1025*(1+H1025)*L1025*PLAN_ETAPA!$C$5,IF(B1025="MO",IF(M1025=0,0,G1025*L1025*PLAN_ETAPA!$C$5*N1025/M1025),IF(B1025="EQ",IF(M1025=0,0,G1025*L1025*PLAN_ETAPA!$C$5/M1025),0))))</f>
        <v>0</v>
      </c>
      <c r="Q1025" s="218">
        <f t="shared" si="31"/>
        <v>0</v>
      </c>
    </row>
    <row r="1026" spans="1:17" x14ac:dyDescent="0.35">
      <c r="A1026" s="212" t="str">
        <f>COMPOSICIÓN!A1026</f>
        <v>PTO-0702</v>
      </c>
      <c r="B1026" s="212" t="str">
        <f>COMPOSICIÓN!B1026</f>
        <v>EQ</v>
      </c>
      <c r="C1026" s="212">
        <f>COMPOSICIÓN!C1026</f>
        <v>0</v>
      </c>
      <c r="D1026" s="212" t="str">
        <f>COMPOSICIÓN!D1026</f>
        <v>EQ-EQALBA</v>
      </c>
      <c r="E1026" s="212" t="str">
        <f>COMPOSICIÓN!E1026</f>
        <v>EQUIPO DE ALBAÑILERIA, carpetas, ladrillo</v>
      </c>
      <c r="F1026" s="212">
        <f>COMPOSICIÓN!F1026</f>
        <v>0</v>
      </c>
      <c r="G1026" s="213">
        <f>COMPOSICIÓN!G1026</f>
        <v>1</v>
      </c>
      <c r="H1026" s="214">
        <f>COMPOSICIÓN!H1026</f>
        <v>0</v>
      </c>
      <c r="I1026" s="215">
        <f>COMPOSICIÓN!I1026</f>
        <v>2287.1357450968057</v>
      </c>
      <c r="J1026" s="212" t="str">
        <f>IFERROR(VLOOKUP(A1026,PARTIDAS!$A$2:$C$269,3,FALSE()),"")</f>
        <v>REVOQUES</v>
      </c>
      <c r="K1026" s="212" t="str">
        <f>IFERROR(INDEX(PPTO_GENERADOR!$B$4:$B$220,MATCH(A1026,PPTO_GENERADOR!$Q$4:$Q$220,0)),"")</f>
        <v>REVOQUES</v>
      </c>
      <c r="L1026" s="216">
        <f>IF(PLAN_ETAPA!$C$4="(TODOS)",SUMIFS(PPTO_GENERADOR!$E$4:$E$220,PPTO_GENERADOR!$Q$4:$Q$220,A1026),SUMIFS(PPTO_GENERADOR!$E$4:$E$220,PPTO_GENERADOR!$Q$4:$Q$220,A1026,PPTO_GENERADOR!$B$4:$B$220,PLAN_ETAPA!$C$4))</f>
        <v>0</v>
      </c>
      <c r="M1026" s="216">
        <f>IFERROR(VLOOKUP(A1026,PARTIDAS!$A$2:$F$269,6,FALSE()),1)</f>
        <v>8</v>
      </c>
      <c r="N1026" s="216">
        <f>IFERROR(VLOOKUP(A1026,PARTIDAS!$A$2:$I$269,9,FALSE()),1)</f>
        <v>1</v>
      </c>
      <c r="O1026" s="217">
        <f t="shared" ref="O1026:O1089" si="32">IF(L1026&gt;0,1,0)</f>
        <v>0</v>
      </c>
      <c r="P1026" s="216">
        <f>IF(O1026=0,0,IF(B1026="MAT",G1026*(1+H1026)*L1026*PLAN_ETAPA!$C$5,IF(B1026="MO",IF(M1026=0,0,G1026*L1026*PLAN_ETAPA!$C$5*N1026/M1026),IF(B1026="EQ",IF(M1026=0,0,G1026*L1026*PLAN_ETAPA!$C$5/M1026),0))))</f>
        <v>0</v>
      </c>
      <c r="Q1026" s="218">
        <f t="shared" ref="Q1026:Q1089" si="33">P1026*I1026</f>
        <v>0</v>
      </c>
    </row>
    <row r="1027" spans="1:17" x14ac:dyDescent="0.35">
      <c r="A1027" s="212" t="str">
        <f>COMPOSICIÓN!A1027</f>
        <v>PTO-0702</v>
      </c>
      <c r="B1027" s="212" t="str">
        <f>COMPOSICIÓN!B1027</f>
        <v>EQ</v>
      </c>
      <c r="C1027" s="212">
        <f>COMPOSICIÓN!C1027</f>
        <v>0</v>
      </c>
      <c r="D1027" s="212" t="str">
        <f>COMPOSICIÓN!D1027</f>
        <v>EQ-TROMPO</v>
      </c>
      <c r="E1027" s="212" t="str">
        <f>COMPOSICIÓN!E1027</f>
        <v>Hormigonera De 150 Litros 1hp Con Rueda Maciza</v>
      </c>
      <c r="F1027" s="212">
        <f>COMPOSICIÓN!F1027</f>
        <v>0</v>
      </c>
      <c r="G1027" s="213">
        <f>COMPOSICIÓN!G1027</f>
        <v>1</v>
      </c>
      <c r="H1027" s="214">
        <f>COMPOSICIÓN!H1027</f>
        <v>0</v>
      </c>
      <c r="I1027" s="215">
        <f>COMPOSICIÓN!I1027</f>
        <v>957.25319614994726</v>
      </c>
      <c r="J1027" s="212" t="str">
        <f>IFERROR(VLOOKUP(A1027,PARTIDAS!$A$2:$C$269,3,FALSE()),"")</f>
        <v>REVOQUES</v>
      </c>
      <c r="K1027" s="212" t="str">
        <f>IFERROR(INDEX(PPTO_GENERADOR!$B$4:$B$220,MATCH(A1027,PPTO_GENERADOR!$Q$4:$Q$220,0)),"")</f>
        <v>REVOQUES</v>
      </c>
      <c r="L1027" s="216">
        <f>IF(PLAN_ETAPA!$C$4="(TODOS)",SUMIFS(PPTO_GENERADOR!$E$4:$E$220,PPTO_GENERADOR!$Q$4:$Q$220,A1027),SUMIFS(PPTO_GENERADOR!$E$4:$E$220,PPTO_GENERADOR!$Q$4:$Q$220,A1027,PPTO_GENERADOR!$B$4:$B$220,PLAN_ETAPA!$C$4))</f>
        <v>0</v>
      </c>
      <c r="M1027" s="216">
        <f>IFERROR(VLOOKUP(A1027,PARTIDAS!$A$2:$F$269,6,FALSE()),1)</f>
        <v>8</v>
      </c>
      <c r="N1027" s="216">
        <f>IFERROR(VLOOKUP(A1027,PARTIDAS!$A$2:$I$269,9,FALSE()),1)</f>
        <v>1</v>
      </c>
      <c r="O1027" s="217">
        <f t="shared" si="32"/>
        <v>0</v>
      </c>
      <c r="P1027" s="216">
        <f>IF(O1027=0,0,IF(B1027="MAT",G1027*(1+H1027)*L1027*PLAN_ETAPA!$C$5,IF(B1027="MO",IF(M1027=0,0,G1027*L1027*PLAN_ETAPA!$C$5*N1027/M1027),IF(B1027="EQ",IF(M1027=0,0,G1027*L1027*PLAN_ETAPA!$C$5/M1027),0))))</f>
        <v>0</v>
      </c>
      <c r="Q1027" s="218">
        <f t="shared" si="33"/>
        <v>0</v>
      </c>
    </row>
    <row r="1028" spans="1:17" x14ac:dyDescent="0.35">
      <c r="A1028" s="212" t="str">
        <f>COMPOSICIÓN!A1028</f>
        <v>PTO-0702</v>
      </c>
      <c r="B1028" s="212" t="str">
        <f>COMPOSICIÓN!B1028</f>
        <v>MAT</v>
      </c>
      <c r="C1028" s="212" t="str">
        <f>COMPOSICIÓN!C1028</f>
        <v>OTR</v>
      </c>
      <c r="D1028" s="212" t="str">
        <f>COMPOSICIÓN!D1028</f>
        <v>AGR-001</v>
      </c>
      <c r="E1028" s="212" t="str">
        <f>COMPOSICIÓN!E1028</f>
        <v>ARENA LAVADA</v>
      </c>
      <c r="F1028" s="212" t="str">
        <f>COMPOSICIÓN!F1028</f>
        <v>m3</v>
      </c>
      <c r="G1028" s="213">
        <f>COMPOSICIÓN!G1028</f>
        <v>2.5999999999999999E-2</v>
      </c>
      <c r="H1028" s="214">
        <f>COMPOSICIÓN!H1028</f>
        <v>0.1</v>
      </c>
      <c r="I1028" s="215">
        <f>COMPOSICIÓN!I1028</f>
        <v>32399.77</v>
      </c>
      <c r="J1028" s="212" t="str">
        <f>IFERROR(VLOOKUP(A1028,PARTIDAS!$A$2:$C$269,3,FALSE()),"")</f>
        <v>REVOQUES</v>
      </c>
      <c r="K1028" s="212" t="str">
        <f>IFERROR(INDEX(PPTO_GENERADOR!$B$4:$B$220,MATCH(A1028,PPTO_GENERADOR!$Q$4:$Q$220,0)),"")</f>
        <v>REVOQUES</v>
      </c>
      <c r="L1028" s="216">
        <f>IF(PLAN_ETAPA!$C$4="(TODOS)",SUMIFS(PPTO_GENERADOR!$E$4:$E$220,PPTO_GENERADOR!$Q$4:$Q$220,A1028),SUMIFS(PPTO_GENERADOR!$E$4:$E$220,PPTO_GENERADOR!$Q$4:$Q$220,A1028,PPTO_GENERADOR!$B$4:$B$220,PLAN_ETAPA!$C$4))</f>
        <v>0</v>
      </c>
      <c r="M1028" s="216">
        <f>IFERROR(VLOOKUP(A1028,PARTIDAS!$A$2:$F$269,6,FALSE()),1)</f>
        <v>8</v>
      </c>
      <c r="N1028" s="216">
        <f>IFERROR(VLOOKUP(A1028,PARTIDAS!$A$2:$I$269,9,FALSE()),1)</f>
        <v>1</v>
      </c>
      <c r="O1028" s="217">
        <f t="shared" si="32"/>
        <v>0</v>
      </c>
      <c r="P1028" s="216">
        <f>IF(O1028=0,0,IF(B1028="MAT",G1028*(1+H1028)*L1028*PLAN_ETAPA!$C$5,IF(B1028="MO",IF(M1028=0,0,G1028*L1028*PLAN_ETAPA!$C$5*N1028/M1028),IF(B1028="EQ",IF(M1028=0,0,G1028*L1028*PLAN_ETAPA!$C$5/M1028),0))))</f>
        <v>0</v>
      </c>
      <c r="Q1028" s="218">
        <f t="shared" si="33"/>
        <v>0</v>
      </c>
    </row>
    <row r="1029" spans="1:17" x14ac:dyDescent="0.35">
      <c r="A1029" s="212" t="str">
        <f>COMPOSICIÓN!A1029</f>
        <v>PTO-0702</v>
      </c>
      <c r="B1029" s="212" t="str">
        <f>COMPOSICIÓN!B1029</f>
        <v>MAT</v>
      </c>
      <c r="C1029" s="212" t="str">
        <f>COMPOSICIÓN!C1029</f>
        <v>OTR</v>
      </c>
      <c r="D1029" s="212" t="str">
        <f>COMPOSICIÓN!D1029</f>
        <v>AGR-004</v>
      </c>
      <c r="E1029" s="212" t="str">
        <f>COMPOSICIÓN!E1029</f>
        <v>Cemento Portland x 50kg</v>
      </c>
      <c r="F1029" s="212" t="str">
        <f>COMPOSICIÓN!F1029</f>
        <v>Bol</v>
      </c>
      <c r="G1029" s="213">
        <f>COMPOSICIÓN!G1029</f>
        <v>0.314</v>
      </c>
      <c r="H1029" s="214">
        <f>COMPOSICIÓN!H1029</f>
        <v>0.1</v>
      </c>
      <c r="I1029" s="215">
        <f>COMPOSICIÓN!I1029</f>
        <v>7809.48</v>
      </c>
      <c r="J1029" s="212" t="str">
        <f>IFERROR(VLOOKUP(A1029,PARTIDAS!$A$2:$C$269,3,FALSE()),"")</f>
        <v>REVOQUES</v>
      </c>
      <c r="K1029" s="212" t="str">
        <f>IFERROR(INDEX(PPTO_GENERADOR!$B$4:$B$220,MATCH(A1029,PPTO_GENERADOR!$Q$4:$Q$220,0)),"")</f>
        <v>REVOQUES</v>
      </c>
      <c r="L1029" s="216">
        <f>IF(PLAN_ETAPA!$C$4="(TODOS)",SUMIFS(PPTO_GENERADOR!$E$4:$E$220,PPTO_GENERADOR!$Q$4:$Q$220,A1029),SUMIFS(PPTO_GENERADOR!$E$4:$E$220,PPTO_GENERADOR!$Q$4:$Q$220,A1029,PPTO_GENERADOR!$B$4:$B$220,PLAN_ETAPA!$C$4))</f>
        <v>0</v>
      </c>
      <c r="M1029" s="216">
        <f>IFERROR(VLOOKUP(A1029,PARTIDAS!$A$2:$F$269,6,FALSE()),1)</f>
        <v>8</v>
      </c>
      <c r="N1029" s="216">
        <f>IFERROR(VLOOKUP(A1029,PARTIDAS!$A$2:$I$269,9,FALSE()),1)</f>
        <v>1</v>
      </c>
      <c r="O1029" s="217">
        <f t="shared" si="32"/>
        <v>0</v>
      </c>
      <c r="P1029" s="216">
        <f>IF(O1029=0,0,IF(B1029="MAT",G1029*(1+H1029)*L1029*PLAN_ETAPA!$C$5,IF(B1029="MO",IF(M1029=0,0,G1029*L1029*PLAN_ETAPA!$C$5*N1029/M1029),IF(B1029="EQ",IF(M1029=0,0,G1029*L1029*PLAN_ETAPA!$C$5/M1029),0))))</f>
        <v>0</v>
      </c>
      <c r="Q1029" s="218">
        <f t="shared" si="33"/>
        <v>0</v>
      </c>
    </row>
    <row r="1030" spans="1:17" x14ac:dyDescent="0.35">
      <c r="A1030" s="212" t="str">
        <f>COMPOSICIÓN!A1030</f>
        <v>PTO-0702</v>
      </c>
      <c r="B1030" s="212" t="str">
        <f>COMPOSICIÓN!B1030</f>
        <v>MAT</v>
      </c>
      <c r="C1030" s="212" t="str">
        <f>COMPOSICIÓN!C1030</f>
        <v>OTR</v>
      </c>
      <c r="D1030" s="212" t="str">
        <f>COMPOSICIÓN!D1030</f>
        <v>AGR-005</v>
      </c>
      <c r="E1030" s="212" t="str">
        <f>COMPOSICIÓN!E1030</f>
        <v>Cal Comun x 25kg</v>
      </c>
      <c r="F1030" s="212" t="str">
        <f>COMPOSICIÓN!F1030</f>
        <v>bol</v>
      </c>
      <c r="G1030" s="213">
        <f>COMPOSICIÓN!G1030</f>
        <v>0.06</v>
      </c>
      <c r="H1030" s="214">
        <f>COMPOSICIÓN!H1030</f>
        <v>0.1</v>
      </c>
      <c r="I1030" s="215">
        <f>COMPOSICIÓN!I1030</f>
        <v>3837.96</v>
      </c>
      <c r="J1030" s="212" t="str">
        <f>IFERROR(VLOOKUP(A1030,PARTIDAS!$A$2:$C$269,3,FALSE()),"")</f>
        <v>REVOQUES</v>
      </c>
      <c r="K1030" s="212" t="str">
        <f>IFERROR(INDEX(PPTO_GENERADOR!$B$4:$B$220,MATCH(A1030,PPTO_GENERADOR!$Q$4:$Q$220,0)),"")</f>
        <v>REVOQUES</v>
      </c>
      <c r="L1030" s="216">
        <f>IF(PLAN_ETAPA!$C$4="(TODOS)",SUMIFS(PPTO_GENERADOR!$E$4:$E$220,PPTO_GENERADOR!$Q$4:$Q$220,A1030),SUMIFS(PPTO_GENERADOR!$E$4:$E$220,PPTO_GENERADOR!$Q$4:$Q$220,A1030,PPTO_GENERADOR!$B$4:$B$220,PLAN_ETAPA!$C$4))</f>
        <v>0</v>
      </c>
      <c r="M1030" s="216">
        <f>IFERROR(VLOOKUP(A1030,PARTIDAS!$A$2:$F$269,6,FALSE()),1)</f>
        <v>8</v>
      </c>
      <c r="N1030" s="216">
        <f>IFERROR(VLOOKUP(A1030,PARTIDAS!$A$2:$I$269,9,FALSE()),1)</f>
        <v>1</v>
      </c>
      <c r="O1030" s="217">
        <f t="shared" si="32"/>
        <v>0</v>
      </c>
      <c r="P1030" s="216">
        <f>IF(O1030=0,0,IF(B1030="MAT",G1030*(1+H1030)*L1030*PLAN_ETAPA!$C$5,IF(B1030="MO",IF(M1030=0,0,G1030*L1030*PLAN_ETAPA!$C$5*N1030/M1030),IF(B1030="EQ",IF(M1030=0,0,G1030*L1030*PLAN_ETAPA!$C$5/M1030),0))))</f>
        <v>0</v>
      </c>
      <c r="Q1030" s="218">
        <f t="shared" si="33"/>
        <v>0</v>
      </c>
    </row>
    <row r="1031" spans="1:17" x14ac:dyDescent="0.35">
      <c r="A1031" s="212" t="str">
        <f>COMPOSICIÓN!A1031</f>
        <v>PTO-0702</v>
      </c>
      <c r="B1031" s="212" t="str">
        <f>COMPOSICIÓN!B1031</f>
        <v>MAT</v>
      </c>
      <c r="C1031" s="212" t="str">
        <f>COMPOSICIÓN!C1031</f>
        <v>OTR</v>
      </c>
      <c r="D1031" s="212" t="str">
        <f>COMPOSICIÓN!D1031</f>
        <v>AIS-001</v>
      </c>
      <c r="E1031" s="212" t="str">
        <f>COMPOSICIÓN!E1031</f>
        <v>Aditivo Hidrofugo en pasta - Ceresita x 1kg</v>
      </c>
      <c r="F1031" s="212" t="str">
        <f>COMPOSICIÓN!F1031</f>
        <v>kg</v>
      </c>
      <c r="G1031" s="213">
        <f>COMPOSICIÓN!G1031</f>
        <v>0.1</v>
      </c>
      <c r="H1031" s="214">
        <f>COMPOSICIÓN!H1031</f>
        <v>0.05</v>
      </c>
      <c r="I1031" s="215">
        <f>COMPOSICIÓN!I1031</f>
        <v>1256.1279999999999</v>
      </c>
      <c r="J1031" s="212" t="str">
        <f>IFERROR(VLOOKUP(A1031,PARTIDAS!$A$2:$C$269,3,FALSE()),"")</f>
        <v>REVOQUES</v>
      </c>
      <c r="K1031" s="212" t="str">
        <f>IFERROR(INDEX(PPTO_GENERADOR!$B$4:$B$220,MATCH(A1031,PPTO_GENERADOR!$Q$4:$Q$220,0)),"")</f>
        <v>REVOQUES</v>
      </c>
      <c r="L1031" s="216">
        <f>IF(PLAN_ETAPA!$C$4="(TODOS)",SUMIFS(PPTO_GENERADOR!$E$4:$E$220,PPTO_GENERADOR!$Q$4:$Q$220,A1031),SUMIFS(PPTO_GENERADOR!$E$4:$E$220,PPTO_GENERADOR!$Q$4:$Q$220,A1031,PPTO_GENERADOR!$B$4:$B$220,PLAN_ETAPA!$C$4))</f>
        <v>0</v>
      </c>
      <c r="M1031" s="216">
        <f>IFERROR(VLOOKUP(A1031,PARTIDAS!$A$2:$F$269,6,FALSE()),1)</f>
        <v>8</v>
      </c>
      <c r="N1031" s="216">
        <f>IFERROR(VLOOKUP(A1031,PARTIDAS!$A$2:$I$269,9,FALSE()),1)</f>
        <v>1</v>
      </c>
      <c r="O1031" s="217">
        <f t="shared" si="32"/>
        <v>0</v>
      </c>
      <c r="P1031" s="216">
        <f>IF(O1031=0,0,IF(B1031="MAT",G1031*(1+H1031)*L1031*PLAN_ETAPA!$C$5,IF(B1031="MO",IF(M1031=0,0,G1031*L1031*PLAN_ETAPA!$C$5*N1031/M1031),IF(B1031="EQ",IF(M1031=0,0,G1031*L1031*PLAN_ETAPA!$C$5/M1031),0))))</f>
        <v>0</v>
      </c>
      <c r="Q1031" s="218">
        <f t="shared" si="33"/>
        <v>0</v>
      </c>
    </row>
    <row r="1032" spans="1:17" x14ac:dyDescent="0.35">
      <c r="A1032" s="212" t="str">
        <f>COMPOSICIÓN!A1032</f>
        <v>PTO-0702</v>
      </c>
      <c r="B1032" s="212" t="str">
        <f>COMPOSICIÓN!B1032</f>
        <v>MO</v>
      </c>
      <c r="C1032" s="212" t="str">
        <f>COMPOSICIÓN!C1032</f>
        <v>ALB</v>
      </c>
      <c r="D1032" s="212" t="str">
        <f>COMPOSICIÓN!D1032</f>
        <v>MO-EAYUD</v>
      </c>
      <c r="E1032" s="212" t="str">
        <f>COMPOSICIÓN!E1032</f>
        <v>AYUDANTE</v>
      </c>
      <c r="F1032" s="212" t="str">
        <f>COMPOSICIÓN!F1032</f>
        <v>j</v>
      </c>
      <c r="G1032" s="213">
        <f>COMPOSICIÓN!G1032</f>
        <v>0.6</v>
      </c>
      <c r="H1032" s="214">
        <f>COMPOSICIÓN!H1032</f>
        <v>0</v>
      </c>
      <c r="I1032" s="215">
        <f>COMPOSICIÓN!I1032</f>
        <v>60860.580776572002</v>
      </c>
      <c r="J1032" s="212" t="str">
        <f>IFERROR(VLOOKUP(A1032,PARTIDAS!$A$2:$C$269,3,FALSE()),"")</f>
        <v>REVOQUES</v>
      </c>
      <c r="K1032" s="212" t="str">
        <f>IFERROR(INDEX(PPTO_GENERADOR!$B$4:$B$220,MATCH(A1032,PPTO_GENERADOR!$Q$4:$Q$220,0)),"")</f>
        <v>REVOQUES</v>
      </c>
      <c r="L1032" s="216">
        <f>IF(PLAN_ETAPA!$C$4="(TODOS)",SUMIFS(PPTO_GENERADOR!$E$4:$E$220,PPTO_GENERADOR!$Q$4:$Q$220,A1032),SUMIFS(PPTO_GENERADOR!$E$4:$E$220,PPTO_GENERADOR!$Q$4:$Q$220,A1032,PPTO_GENERADOR!$B$4:$B$220,PLAN_ETAPA!$C$4))</f>
        <v>0</v>
      </c>
      <c r="M1032" s="216">
        <f>IFERROR(VLOOKUP(A1032,PARTIDAS!$A$2:$F$269,6,FALSE()),1)</f>
        <v>8</v>
      </c>
      <c r="N1032" s="216">
        <f>IFERROR(VLOOKUP(A1032,PARTIDAS!$A$2:$I$269,9,FALSE()),1)</f>
        <v>1</v>
      </c>
      <c r="O1032" s="217">
        <f t="shared" si="32"/>
        <v>0</v>
      </c>
      <c r="P1032" s="216">
        <f>IF(O1032=0,0,IF(B1032="MAT",G1032*(1+H1032)*L1032*PLAN_ETAPA!$C$5,IF(B1032="MO",IF(M1032=0,0,G1032*L1032*PLAN_ETAPA!$C$5*N1032/M1032),IF(B1032="EQ",IF(M1032=0,0,G1032*L1032*PLAN_ETAPA!$C$5/M1032),0))))</f>
        <v>0</v>
      </c>
      <c r="Q1032" s="218">
        <f t="shared" si="33"/>
        <v>0</v>
      </c>
    </row>
    <row r="1033" spans="1:17" x14ac:dyDescent="0.35">
      <c r="A1033" s="212" t="str">
        <f>COMPOSICIÓN!A1033</f>
        <v>PTO-0702</v>
      </c>
      <c r="B1033" s="212" t="str">
        <f>COMPOSICIÓN!B1033</f>
        <v>MO</v>
      </c>
      <c r="C1033" s="212" t="str">
        <f>COMPOSICIÓN!C1033</f>
        <v>ALB</v>
      </c>
      <c r="D1033" s="212" t="str">
        <f>COMPOSICIÓN!D1033</f>
        <v>MO-EESPE</v>
      </c>
      <c r="E1033" s="212" t="str">
        <f>COMPOSICIÓN!E1033</f>
        <v>ESPECIALIZADO</v>
      </c>
      <c r="F1033" s="212" t="str">
        <f>COMPOSICIÓN!F1033</f>
        <v>j</v>
      </c>
      <c r="G1033" s="213">
        <f>COMPOSICIÓN!G1033</f>
        <v>1</v>
      </c>
      <c r="H1033" s="214">
        <f>COMPOSICIÓN!H1033</f>
        <v>0</v>
      </c>
      <c r="I1033" s="215">
        <f>COMPOSICIÓN!I1033</f>
        <v>85927.097156571996</v>
      </c>
      <c r="J1033" s="212" t="str">
        <f>IFERROR(VLOOKUP(A1033,PARTIDAS!$A$2:$C$269,3,FALSE()),"")</f>
        <v>REVOQUES</v>
      </c>
      <c r="K1033" s="212" t="str">
        <f>IFERROR(INDEX(PPTO_GENERADOR!$B$4:$B$220,MATCH(A1033,PPTO_GENERADOR!$Q$4:$Q$220,0)),"")</f>
        <v>REVOQUES</v>
      </c>
      <c r="L1033" s="216">
        <f>IF(PLAN_ETAPA!$C$4="(TODOS)",SUMIFS(PPTO_GENERADOR!$E$4:$E$220,PPTO_GENERADOR!$Q$4:$Q$220,A1033),SUMIFS(PPTO_GENERADOR!$E$4:$E$220,PPTO_GENERADOR!$Q$4:$Q$220,A1033,PPTO_GENERADOR!$B$4:$B$220,PLAN_ETAPA!$C$4))</f>
        <v>0</v>
      </c>
      <c r="M1033" s="216">
        <f>IFERROR(VLOOKUP(A1033,PARTIDAS!$A$2:$F$269,6,FALSE()),1)</f>
        <v>8</v>
      </c>
      <c r="N1033" s="216">
        <f>IFERROR(VLOOKUP(A1033,PARTIDAS!$A$2:$I$269,9,FALSE()),1)</f>
        <v>1</v>
      </c>
      <c r="O1033" s="217">
        <f t="shared" si="32"/>
        <v>0</v>
      </c>
      <c r="P1033" s="216">
        <f>IF(O1033=0,0,IF(B1033="MAT",G1033*(1+H1033)*L1033*PLAN_ETAPA!$C$5,IF(B1033="MO",IF(M1033=0,0,G1033*L1033*PLAN_ETAPA!$C$5*N1033/M1033),IF(B1033="EQ",IF(M1033=0,0,G1033*L1033*PLAN_ETAPA!$C$5/M1033),0))))</f>
        <v>0</v>
      </c>
      <c r="Q1033" s="218">
        <f t="shared" si="33"/>
        <v>0</v>
      </c>
    </row>
    <row r="1034" spans="1:17" x14ac:dyDescent="0.35">
      <c r="A1034" s="212" t="str">
        <f>COMPOSICIÓN!A1034</f>
        <v>PTO-0703</v>
      </c>
      <c r="B1034" s="212" t="str">
        <f>COMPOSICIÓN!B1034</f>
        <v>EQ</v>
      </c>
      <c r="C1034" s="212">
        <f>COMPOSICIÓN!C1034</f>
        <v>0</v>
      </c>
      <c r="D1034" s="212" t="str">
        <f>COMPOSICIÓN!D1034</f>
        <v>EQ-PTO047</v>
      </c>
      <c r="E1034" s="212" t="str">
        <f>COMPOSICIÓN!E1034</f>
        <v>Herramientas menores y consumibles - Yeso interior</v>
      </c>
      <c r="F1034" s="212">
        <f>COMPOSICIÓN!F1034</f>
        <v>0</v>
      </c>
      <c r="G1034" s="213">
        <f>COMPOSICIÓN!G1034</f>
        <v>1</v>
      </c>
      <c r="H1034" s="214">
        <f>COMPOSICIÓN!H1034</f>
        <v>0</v>
      </c>
      <c r="I1034" s="215">
        <f>COMPOSICIÓN!I1034</f>
        <v>254.63084667573</v>
      </c>
      <c r="J1034" s="212" t="str">
        <f>IFERROR(VLOOKUP(A1034,PARTIDAS!$A$2:$C$269,3,FALSE()),"")</f>
        <v>REVOQUES</v>
      </c>
      <c r="K1034" s="212" t="str">
        <f>IFERROR(INDEX(PPTO_GENERADOR!$B$4:$B$220,MATCH(A1034,PPTO_GENERADOR!$Q$4:$Q$220,0)),"")</f>
        <v>REVOQUES</v>
      </c>
      <c r="L1034" s="216">
        <f>IF(PLAN_ETAPA!$C$4="(TODOS)",SUMIFS(PPTO_GENERADOR!$E$4:$E$220,PPTO_GENERADOR!$Q$4:$Q$220,A1034),SUMIFS(PPTO_GENERADOR!$E$4:$E$220,PPTO_GENERADOR!$Q$4:$Q$220,A1034,PPTO_GENERADOR!$B$4:$B$220,PLAN_ETAPA!$C$4))</f>
        <v>0</v>
      </c>
      <c r="M1034" s="216">
        <f>IFERROR(VLOOKUP(A1034,PARTIDAS!$A$2:$F$269,6,FALSE()),1)</f>
        <v>1</v>
      </c>
      <c r="N1034" s="216">
        <f>IFERROR(VLOOKUP(A1034,PARTIDAS!$A$2:$I$269,9,FALSE()),1)</f>
        <v>1</v>
      </c>
      <c r="O1034" s="217">
        <f t="shared" si="32"/>
        <v>0</v>
      </c>
      <c r="P1034" s="216">
        <f>IF(O1034=0,0,IF(B1034="MAT",G1034*(1+H1034)*L1034*PLAN_ETAPA!$C$5,IF(B1034="MO",IF(M1034=0,0,G1034*L1034*PLAN_ETAPA!$C$5*N1034/M1034),IF(B1034="EQ",IF(M1034=0,0,G1034*L1034*PLAN_ETAPA!$C$5/M1034),0))))</f>
        <v>0</v>
      </c>
      <c r="Q1034" s="218">
        <f t="shared" si="33"/>
        <v>0</v>
      </c>
    </row>
    <row r="1035" spans="1:17" x14ac:dyDescent="0.35">
      <c r="A1035" s="212" t="str">
        <f>COMPOSICIÓN!A1035</f>
        <v>PTO-0703</v>
      </c>
      <c r="B1035" s="212" t="str">
        <f>COMPOSICIÓN!B1035</f>
        <v>MAT</v>
      </c>
      <c r="C1035" s="212" t="str">
        <f>COMPOSICIÓN!C1035</f>
        <v>COR</v>
      </c>
      <c r="D1035" s="212" t="str">
        <f>COMPOSICIÓN!D1035</f>
        <v>OTR-PTO078</v>
      </c>
      <c r="E1035" s="212" t="str">
        <f>COMPOSICIÓN!E1035</f>
        <v>Yeso Knauf MP 40/75 Proyectable x 25 kg - (17 kg/m2)</v>
      </c>
      <c r="F1035" s="212" t="str">
        <f>COMPOSICIÓN!F1035</f>
        <v>bol</v>
      </c>
      <c r="G1035" s="213">
        <f>COMPOSICIÓN!G1035</f>
        <v>0.71438498957609498</v>
      </c>
      <c r="H1035" s="214">
        <f>COMPOSICIÓN!H1035</f>
        <v>0</v>
      </c>
      <c r="I1035" s="215">
        <f>COMPOSICIÓN!I1035</f>
        <v>6965.28</v>
      </c>
      <c r="J1035" s="212" t="str">
        <f>IFERROR(VLOOKUP(A1035,PARTIDAS!$A$2:$C$269,3,FALSE()),"")</f>
        <v>REVOQUES</v>
      </c>
      <c r="K1035" s="212" t="str">
        <f>IFERROR(INDEX(PPTO_GENERADOR!$B$4:$B$220,MATCH(A1035,PPTO_GENERADOR!$Q$4:$Q$220,0)),"")</f>
        <v>REVOQUES</v>
      </c>
      <c r="L1035" s="216">
        <f>IF(PLAN_ETAPA!$C$4="(TODOS)",SUMIFS(PPTO_GENERADOR!$E$4:$E$220,PPTO_GENERADOR!$Q$4:$Q$220,A1035),SUMIFS(PPTO_GENERADOR!$E$4:$E$220,PPTO_GENERADOR!$Q$4:$Q$220,A1035,PPTO_GENERADOR!$B$4:$B$220,PLAN_ETAPA!$C$4))</f>
        <v>0</v>
      </c>
      <c r="M1035" s="216">
        <f>IFERROR(VLOOKUP(A1035,PARTIDAS!$A$2:$F$269,6,FALSE()),1)</f>
        <v>1</v>
      </c>
      <c r="N1035" s="216">
        <f>IFERROR(VLOOKUP(A1035,PARTIDAS!$A$2:$I$269,9,FALSE()),1)</f>
        <v>1</v>
      </c>
      <c r="O1035" s="217">
        <f t="shared" si="32"/>
        <v>0</v>
      </c>
      <c r="P1035" s="216">
        <f>IF(O1035=0,0,IF(B1035="MAT",G1035*(1+H1035)*L1035*PLAN_ETAPA!$C$5,IF(B1035="MO",IF(M1035=0,0,G1035*L1035*PLAN_ETAPA!$C$5*N1035/M1035),IF(B1035="EQ",IF(M1035=0,0,G1035*L1035*PLAN_ETAPA!$C$5/M1035),0))))</f>
        <v>0</v>
      </c>
      <c r="Q1035" s="218">
        <f t="shared" si="33"/>
        <v>0</v>
      </c>
    </row>
    <row r="1036" spans="1:17" x14ac:dyDescent="0.35">
      <c r="A1036" s="212" t="str">
        <f>COMPOSICIÓN!A1036</f>
        <v>PTO-0703</v>
      </c>
      <c r="B1036" s="212" t="str">
        <f>COMPOSICIÓN!B1036</f>
        <v>MAT</v>
      </c>
      <c r="C1036" s="212" t="str">
        <f>COMPOSICIÓN!C1036</f>
        <v>COR</v>
      </c>
      <c r="D1036" s="212" t="str">
        <f>COMPOSICIÓN!D1036</f>
        <v>OTR-PTO079</v>
      </c>
      <c r="E1036" s="212" t="str">
        <f>COMPOSICIÓN!E1036</f>
        <v>PA-MAX PUENTE DE ADHERENCIA 20LT (150 m2/tac) - Contemplo el 20% de los m2</v>
      </c>
      <c r="F1036" s="212" t="str">
        <f>COMPOSICIÓN!F1036</f>
        <v>tac</v>
      </c>
      <c r="G1036" s="213">
        <f>COMPOSICIÓN!G1036</f>
        <v>1.38985406532314E-3</v>
      </c>
      <c r="H1036" s="214">
        <f>COMPOSICIÓN!H1036</f>
        <v>0</v>
      </c>
      <c r="I1036" s="215">
        <f>COMPOSICIÓN!I1036</f>
        <v>127350</v>
      </c>
      <c r="J1036" s="212" t="str">
        <f>IFERROR(VLOOKUP(A1036,PARTIDAS!$A$2:$C$269,3,FALSE()),"")</f>
        <v>REVOQUES</v>
      </c>
      <c r="K1036" s="212" t="str">
        <f>IFERROR(INDEX(PPTO_GENERADOR!$B$4:$B$220,MATCH(A1036,PPTO_GENERADOR!$Q$4:$Q$220,0)),"")</f>
        <v>REVOQUES</v>
      </c>
      <c r="L1036" s="216">
        <f>IF(PLAN_ETAPA!$C$4="(TODOS)",SUMIFS(PPTO_GENERADOR!$E$4:$E$220,PPTO_GENERADOR!$Q$4:$Q$220,A1036),SUMIFS(PPTO_GENERADOR!$E$4:$E$220,PPTO_GENERADOR!$Q$4:$Q$220,A1036,PPTO_GENERADOR!$B$4:$B$220,PLAN_ETAPA!$C$4))</f>
        <v>0</v>
      </c>
      <c r="M1036" s="216">
        <f>IFERROR(VLOOKUP(A1036,PARTIDAS!$A$2:$F$269,6,FALSE()),1)</f>
        <v>1</v>
      </c>
      <c r="N1036" s="216">
        <f>IFERROR(VLOOKUP(A1036,PARTIDAS!$A$2:$I$269,9,FALSE()),1)</f>
        <v>1</v>
      </c>
      <c r="O1036" s="217">
        <f t="shared" si="32"/>
        <v>0</v>
      </c>
      <c r="P1036" s="216">
        <f>IF(O1036=0,0,IF(B1036="MAT",G1036*(1+H1036)*L1036*PLAN_ETAPA!$C$5,IF(B1036="MO",IF(M1036=0,0,G1036*L1036*PLAN_ETAPA!$C$5*N1036/M1036),IF(B1036="EQ",IF(M1036=0,0,G1036*L1036*PLAN_ETAPA!$C$5/M1036),0))))</f>
        <v>0</v>
      </c>
      <c r="Q1036" s="218">
        <f t="shared" si="33"/>
        <v>0</v>
      </c>
    </row>
    <row r="1037" spans="1:17" x14ac:dyDescent="0.35">
      <c r="A1037" s="212" t="str">
        <f>COMPOSICIÓN!A1037</f>
        <v>PTO-0703</v>
      </c>
      <c r="B1037" s="212" t="str">
        <f>COMPOSICIÓN!B1037</f>
        <v>MAT</v>
      </c>
      <c r="C1037" s="212" t="str">
        <f>COMPOSICIÓN!C1037</f>
        <v>COR</v>
      </c>
      <c r="D1037" s="212" t="str">
        <f>COMPOSICIÓN!D1037</f>
        <v>OTR-PTO080</v>
      </c>
      <c r="E1037" s="212" t="str">
        <f>COMPOSICIÓN!E1037</f>
        <v xml:space="preserve">Malla de fibra 5 x 5 90 gr, rollo 1 x 50 mts - Contemplo el 20% de los m2 </v>
      </c>
      <c r="F1037" s="212" t="str">
        <f>COMPOSICIÓN!F1037</f>
        <v>rol</v>
      </c>
      <c r="G1037" s="213">
        <f>COMPOSICIÓN!G1037</f>
        <v>4.8644892286309896E-3</v>
      </c>
      <c r="H1037" s="214">
        <f>COMPOSICIÓN!H1037</f>
        <v>0</v>
      </c>
      <c r="I1037" s="215">
        <f>COMPOSICIÓN!I1037</f>
        <v>35210.699999999997</v>
      </c>
      <c r="J1037" s="212" t="str">
        <f>IFERROR(VLOOKUP(A1037,PARTIDAS!$A$2:$C$269,3,FALSE()),"")</f>
        <v>REVOQUES</v>
      </c>
      <c r="K1037" s="212" t="str">
        <f>IFERROR(INDEX(PPTO_GENERADOR!$B$4:$B$220,MATCH(A1037,PPTO_GENERADOR!$Q$4:$Q$220,0)),"")</f>
        <v>REVOQUES</v>
      </c>
      <c r="L1037" s="216">
        <f>IF(PLAN_ETAPA!$C$4="(TODOS)",SUMIFS(PPTO_GENERADOR!$E$4:$E$220,PPTO_GENERADOR!$Q$4:$Q$220,A1037),SUMIFS(PPTO_GENERADOR!$E$4:$E$220,PPTO_GENERADOR!$Q$4:$Q$220,A1037,PPTO_GENERADOR!$B$4:$B$220,PLAN_ETAPA!$C$4))</f>
        <v>0</v>
      </c>
      <c r="M1037" s="216">
        <f>IFERROR(VLOOKUP(A1037,PARTIDAS!$A$2:$F$269,6,FALSE()),1)</f>
        <v>1</v>
      </c>
      <c r="N1037" s="216">
        <f>IFERROR(VLOOKUP(A1037,PARTIDAS!$A$2:$I$269,9,FALSE()),1)</f>
        <v>1</v>
      </c>
      <c r="O1037" s="217">
        <f t="shared" si="32"/>
        <v>0</v>
      </c>
      <c r="P1037" s="216">
        <f>IF(O1037=0,0,IF(B1037="MAT",G1037*(1+H1037)*L1037*PLAN_ETAPA!$C$5,IF(B1037="MO",IF(M1037=0,0,G1037*L1037*PLAN_ETAPA!$C$5*N1037/M1037),IF(B1037="EQ",IF(M1037=0,0,G1037*L1037*PLAN_ETAPA!$C$5/M1037),0))))</f>
        <v>0</v>
      </c>
      <c r="Q1037" s="218">
        <f t="shared" si="33"/>
        <v>0</v>
      </c>
    </row>
    <row r="1038" spans="1:17" x14ac:dyDescent="0.35">
      <c r="A1038" s="212" t="str">
        <f>COMPOSICIÓN!A1038</f>
        <v>PTO-0703</v>
      </c>
      <c r="B1038" s="212" t="str">
        <f>COMPOSICIÓN!B1038</f>
        <v>MO</v>
      </c>
      <c r="C1038" s="212" t="str">
        <f>COMPOSICIÓN!C1038</f>
        <v>OTR</v>
      </c>
      <c r="D1038" s="212" t="str">
        <f>COMPOSICIÓN!D1038</f>
        <v>SUB-PTO025</v>
      </c>
      <c r="E1038" s="212" t="str">
        <f>COMPOSICIÓN!E1038</f>
        <v>M.Obra</v>
      </c>
      <c r="F1038" s="212" t="str">
        <f>COMPOSICIÓN!F1038</f>
        <v>j</v>
      </c>
      <c r="G1038" s="213">
        <f>COMPOSICIÓN!G1038</f>
        <v>1</v>
      </c>
      <c r="H1038" s="214">
        <f>COMPOSICIÓN!H1038</f>
        <v>0</v>
      </c>
      <c r="I1038" s="215">
        <f>COMPOSICIÓN!I1038</f>
        <v>11651.218312086001</v>
      </c>
      <c r="J1038" s="212" t="str">
        <f>IFERROR(VLOOKUP(A1038,PARTIDAS!$A$2:$C$269,3,FALSE()),"")</f>
        <v>REVOQUES</v>
      </c>
      <c r="K1038" s="212" t="str">
        <f>IFERROR(INDEX(PPTO_GENERADOR!$B$4:$B$220,MATCH(A1038,PPTO_GENERADOR!$Q$4:$Q$220,0)),"")</f>
        <v>REVOQUES</v>
      </c>
      <c r="L1038" s="216">
        <f>IF(PLAN_ETAPA!$C$4="(TODOS)",SUMIFS(PPTO_GENERADOR!$E$4:$E$220,PPTO_GENERADOR!$Q$4:$Q$220,A1038),SUMIFS(PPTO_GENERADOR!$E$4:$E$220,PPTO_GENERADOR!$Q$4:$Q$220,A1038,PPTO_GENERADOR!$B$4:$B$220,PLAN_ETAPA!$C$4))</f>
        <v>0</v>
      </c>
      <c r="M1038" s="216">
        <f>IFERROR(VLOOKUP(A1038,PARTIDAS!$A$2:$F$269,6,FALSE()),1)</f>
        <v>1</v>
      </c>
      <c r="N1038" s="216">
        <f>IFERROR(VLOOKUP(A1038,PARTIDAS!$A$2:$I$269,9,FALSE()),1)</f>
        <v>1</v>
      </c>
      <c r="O1038" s="217">
        <f t="shared" si="32"/>
        <v>0</v>
      </c>
      <c r="P1038" s="216">
        <f>IF(O1038=0,0,IF(B1038="MAT",G1038*(1+H1038)*L1038*PLAN_ETAPA!$C$5,IF(B1038="MO",IF(M1038=0,0,G1038*L1038*PLAN_ETAPA!$C$5*N1038/M1038),IF(B1038="EQ",IF(M1038=0,0,G1038*L1038*PLAN_ETAPA!$C$5/M1038),0))))</f>
        <v>0</v>
      </c>
      <c r="Q1038" s="218">
        <f t="shared" si="33"/>
        <v>0</v>
      </c>
    </row>
    <row r="1039" spans="1:17" x14ac:dyDescent="0.35">
      <c r="A1039" s="212" t="str">
        <f>COMPOSICIÓN!A1039</f>
        <v>PTO-0704</v>
      </c>
      <c r="B1039" s="212" t="str">
        <f>COMPOSICIÓN!B1039</f>
        <v>EQ</v>
      </c>
      <c r="C1039" s="212">
        <f>COMPOSICIÓN!C1039</f>
        <v>0</v>
      </c>
      <c r="D1039" s="212" t="str">
        <f>COMPOSICIÓN!D1039</f>
        <v>EQ-PTO048</v>
      </c>
      <c r="E1039" s="212" t="str">
        <f>COMPOSICIÓN!E1039</f>
        <v xml:space="preserve">Herramientas menores y consumibles - Arista en yeso </v>
      </c>
      <c r="F1039" s="212">
        <f>COMPOSICIÓN!F1039</f>
        <v>0</v>
      </c>
      <c r="G1039" s="213">
        <f>COMPOSICIÓN!G1039</f>
        <v>1</v>
      </c>
      <c r="H1039" s="214">
        <f>COMPOSICIÓN!H1039</f>
        <v>0</v>
      </c>
      <c r="I1039" s="215">
        <f>COMPOSICIÓN!I1039</f>
        <v>187.4920973566</v>
      </c>
      <c r="J1039" s="212" t="str">
        <f>IFERROR(VLOOKUP(A1039,PARTIDAS!$A$2:$C$269,3,FALSE()),"")</f>
        <v>REVOQUES</v>
      </c>
      <c r="K1039" s="212" t="str">
        <f>IFERROR(INDEX(PPTO_GENERADOR!$B$4:$B$220,MATCH(A1039,PPTO_GENERADOR!$Q$4:$Q$220,0)),"")</f>
        <v>REVOQUES</v>
      </c>
      <c r="L1039" s="216">
        <f>IF(PLAN_ETAPA!$C$4="(TODOS)",SUMIFS(PPTO_GENERADOR!$E$4:$E$220,PPTO_GENERADOR!$Q$4:$Q$220,A1039),SUMIFS(PPTO_GENERADOR!$E$4:$E$220,PPTO_GENERADOR!$Q$4:$Q$220,A1039,PPTO_GENERADOR!$B$4:$B$220,PLAN_ETAPA!$C$4))</f>
        <v>0</v>
      </c>
      <c r="M1039" s="216">
        <f>IFERROR(VLOOKUP(A1039,PARTIDAS!$A$2:$F$269,6,FALSE()),1)</f>
        <v>1</v>
      </c>
      <c r="N1039" s="216">
        <f>IFERROR(VLOOKUP(A1039,PARTIDAS!$A$2:$I$269,9,FALSE()),1)</f>
        <v>1</v>
      </c>
      <c r="O1039" s="217">
        <f t="shared" si="32"/>
        <v>0</v>
      </c>
      <c r="P1039" s="216">
        <f>IF(O1039=0,0,IF(B1039="MAT",G1039*(1+H1039)*L1039*PLAN_ETAPA!$C$5,IF(B1039="MO",IF(M1039=0,0,G1039*L1039*PLAN_ETAPA!$C$5*N1039/M1039),IF(B1039="EQ",IF(M1039=0,0,G1039*L1039*PLAN_ETAPA!$C$5/M1039),0))))</f>
        <v>0</v>
      </c>
      <c r="Q1039" s="218">
        <f t="shared" si="33"/>
        <v>0</v>
      </c>
    </row>
    <row r="1040" spans="1:17" x14ac:dyDescent="0.35">
      <c r="A1040" s="212" t="str">
        <f>COMPOSICIÓN!A1040</f>
        <v>PTO-0704</v>
      </c>
      <c r="B1040" s="212" t="str">
        <f>COMPOSICIÓN!B1040</f>
        <v>MO</v>
      </c>
      <c r="C1040" s="212" t="str">
        <f>COMPOSICIÓN!C1040</f>
        <v>OTR</v>
      </c>
      <c r="D1040" s="212" t="str">
        <f>COMPOSICIÓN!D1040</f>
        <v>SUB-PTO026</v>
      </c>
      <c r="E1040" s="212" t="str">
        <f>COMPOSICIÓN!E1040</f>
        <v xml:space="preserve">Arista en yeso </v>
      </c>
      <c r="F1040" s="212" t="str">
        <f>COMPOSICIÓN!F1040</f>
        <v>j</v>
      </c>
      <c r="G1040" s="213">
        <f>COMPOSICIÓN!G1040</f>
        <v>1</v>
      </c>
      <c r="H1040" s="214">
        <f>COMPOSICIÓN!H1040</f>
        <v>0</v>
      </c>
      <c r="I1040" s="215">
        <f>COMPOSICIÓN!I1040</f>
        <v>12499.4731571067</v>
      </c>
      <c r="J1040" s="212" t="str">
        <f>IFERROR(VLOOKUP(A1040,PARTIDAS!$A$2:$C$269,3,FALSE()),"")</f>
        <v>REVOQUES</v>
      </c>
      <c r="K1040" s="212" t="str">
        <f>IFERROR(INDEX(PPTO_GENERADOR!$B$4:$B$220,MATCH(A1040,PPTO_GENERADOR!$Q$4:$Q$220,0)),"")</f>
        <v>REVOQUES</v>
      </c>
      <c r="L1040" s="216">
        <f>IF(PLAN_ETAPA!$C$4="(TODOS)",SUMIFS(PPTO_GENERADOR!$E$4:$E$220,PPTO_GENERADOR!$Q$4:$Q$220,A1040),SUMIFS(PPTO_GENERADOR!$E$4:$E$220,PPTO_GENERADOR!$Q$4:$Q$220,A1040,PPTO_GENERADOR!$B$4:$B$220,PLAN_ETAPA!$C$4))</f>
        <v>0</v>
      </c>
      <c r="M1040" s="216">
        <f>IFERROR(VLOOKUP(A1040,PARTIDAS!$A$2:$F$269,6,FALSE()),1)</f>
        <v>1</v>
      </c>
      <c r="N1040" s="216">
        <f>IFERROR(VLOOKUP(A1040,PARTIDAS!$A$2:$I$269,9,FALSE()),1)</f>
        <v>1</v>
      </c>
      <c r="O1040" s="217">
        <f t="shared" si="32"/>
        <v>0</v>
      </c>
      <c r="P1040" s="216">
        <f>IF(O1040=0,0,IF(B1040="MAT",G1040*(1+H1040)*L1040*PLAN_ETAPA!$C$5,IF(B1040="MO",IF(M1040=0,0,G1040*L1040*PLAN_ETAPA!$C$5*N1040/M1040),IF(B1040="EQ",IF(M1040=0,0,G1040*L1040*PLAN_ETAPA!$C$5/M1040),0))))</f>
        <v>0</v>
      </c>
      <c r="Q1040" s="218">
        <f t="shared" si="33"/>
        <v>0</v>
      </c>
    </row>
    <row r="1041" spans="1:17" x14ac:dyDescent="0.35">
      <c r="A1041" s="212" t="str">
        <f>COMPOSICIÓN!A1041</f>
        <v>PTO-0705</v>
      </c>
      <c r="B1041" s="212" t="str">
        <f>COMPOSICIÓN!B1041</f>
        <v>EQ</v>
      </c>
      <c r="C1041" s="212">
        <f>COMPOSICIÓN!C1041</f>
        <v>0</v>
      </c>
      <c r="D1041" s="212" t="str">
        <f>COMPOSICIÓN!D1041</f>
        <v>EQ-PTO049</v>
      </c>
      <c r="E1041" s="212" t="str">
        <f>COMPOSICIÓN!E1041</f>
        <v xml:space="preserve">Herramientas menores y consumibles - Provisión y colocación de guardacanto yesero </v>
      </c>
      <c r="F1041" s="212">
        <f>COMPOSICIÓN!F1041</f>
        <v>0</v>
      </c>
      <c r="G1041" s="213">
        <f>COMPOSICIÓN!G1041</f>
        <v>1</v>
      </c>
      <c r="H1041" s="214">
        <f>COMPOSICIÓN!H1041</f>
        <v>0</v>
      </c>
      <c r="I1041" s="215">
        <f>COMPOSICIÓN!I1041</f>
        <v>214.94396350429901</v>
      </c>
      <c r="J1041" s="212" t="str">
        <f>IFERROR(VLOOKUP(A1041,PARTIDAS!$A$2:$C$269,3,FALSE()),"")</f>
        <v>REVOQUES</v>
      </c>
      <c r="K1041" s="212" t="str">
        <f>IFERROR(INDEX(PPTO_GENERADOR!$B$4:$B$220,MATCH(A1041,PPTO_GENERADOR!$Q$4:$Q$220,0)),"")</f>
        <v>REVOQUES</v>
      </c>
      <c r="L1041" s="216">
        <f>IF(PLAN_ETAPA!$C$4="(TODOS)",SUMIFS(PPTO_GENERADOR!$E$4:$E$220,PPTO_GENERADOR!$Q$4:$Q$220,A1041),SUMIFS(PPTO_GENERADOR!$E$4:$E$220,PPTO_GENERADOR!$Q$4:$Q$220,A1041,PPTO_GENERADOR!$B$4:$B$220,PLAN_ETAPA!$C$4))</f>
        <v>0</v>
      </c>
      <c r="M1041" s="216">
        <f>IFERROR(VLOOKUP(A1041,PARTIDAS!$A$2:$F$269,6,FALSE()),1)</f>
        <v>1</v>
      </c>
      <c r="N1041" s="216">
        <f>IFERROR(VLOOKUP(A1041,PARTIDAS!$A$2:$I$269,9,FALSE()),1)</f>
        <v>1</v>
      </c>
      <c r="O1041" s="217">
        <f t="shared" si="32"/>
        <v>0</v>
      </c>
      <c r="P1041" s="216">
        <f>IF(O1041=0,0,IF(B1041="MAT",G1041*(1+H1041)*L1041*PLAN_ETAPA!$C$5,IF(B1041="MO",IF(M1041=0,0,G1041*L1041*PLAN_ETAPA!$C$5*N1041/M1041),IF(B1041="EQ",IF(M1041=0,0,G1041*L1041*PLAN_ETAPA!$C$5/M1041),0))))</f>
        <v>0</v>
      </c>
      <c r="Q1041" s="218">
        <f t="shared" si="33"/>
        <v>0</v>
      </c>
    </row>
    <row r="1042" spans="1:17" x14ac:dyDescent="0.35">
      <c r="A1042" s="212" t="str">
        <f>COMPOSICIÓN!A1042</f>
        <v>PTO-0705</v>
      </c>
      <c r="B1042" s="212" t="str">
        <f>COMPOSICIÓN!B1042</f>
        <v>MAT</v>
      </c>
      <c r="C1042" s="212" t="str">
        <f>COMPOSICIÓN!C1042</f>
        <v>COR</v>
      </c>
      <c r="D1042" s="212" t="str">
        <f>COMPOSICIÓN!D1042</f>
        <v>OTR-PTO081</v>
      </c>
      <c r="E1042" s="212" t="str">
        <f>COMPOSICIÓN!E1042</f>
        <v>Guardacanto yesero 2,00 mts</v>
      </c>
      <c r="F1042" s="212" t="str">
        <f>COMPOSICIÓN!F1042</f>
        <v>u</v>
      </c>
      <c r="G1042" s="213">
        <f>COMPOSICIÓN!G1042</f>
        <v>1.0530303030303001</v>
      </c>
      <c r="H1042" s="214">
        <f>COMPOSICIÓN!H1042</f>
        <v>0</v>
      </c>
      <c r="I1042" s="215">
        <f>COMPOSICIÓN!I1042</f>
        <v>1108.49</v>
      </c>
      <c r="J1042" s="212" t="str">
        <f>IFERROR(VLOOKUP(A1042,PARTIDAS!$A$2:$C$269,3,FALSE()),"")</f>
        <v>REVOQUES</v>
      </c>
      <c r="K1042" s="212" t="str">
        <f>IFERROR(INDEX(PPTO_GENERADOR!$B$4:$B$220,MATCH(A1042,PPTO_GENERADOR!$Q$4:$Q$220,0)),"")</f>
        <v>REVOQUES</v>
      </c>
      <c r="L1042" s="216">
        <f>IF(PLAN_ETAPA!$C$4="(TODOS)",SUMIFS(PPTO_GENERADOR!$E$4:$E$220,PPTO_GENERADOR!$Q$4:$Q$220,A1042),SUMIFS(PPTO_GENERADOR!$E$4:$E$220,PPTO_GENERADOR!$Q$4:$Q$220,A1042,PPTO_GENERADOR!$B$4:$B$220,PLAN_ETAPA!$C$4))</f>
        <v>0</v>
      </c>
      <c r="M1042" s="216">
        <f>IFERROR(VLOOKUP(A1042,PARTIDAS!$A$2:$F$269,6,FALSE()),1)</f>
        <v>1</v>
      </c>
      <c r="N1042" s="216">
        <f>IFERROR(VLOOKUP(A1042,PARTIDAS!$A$2:$I$269,9,FALSE()),1)</f>
        <v>1</v>
      </c>
      <c r="O1042" s="217">
        <f t="shared" si="32"/>
        <v>0</v>
      </c>
      <c r="P1042" s="216">
        <f>IF(O1042=0,0,IF(B1042="MAT",G1042*(1+H1042)*L1042*PLAN_ETAPA!$C$5,IF(B1042="MO",IF(M1042=0,0,G1042*L1042*PLAN_ETAPA!$C$5*N1042/M1042),IF(B1042="EQ",IF(M1042=0,0,G1042*L1042*PLAN_ETAPA!$C$5/M1042),0))))</f>
        <v>0</v>
      </c>
      <c r="Q1042" s="218">
        <f t="shared" si="33"/>
        <v>0</v>
      </c>
    </row>
    <row r="1043" spans="1:17" x14ac:dyDescent="0.35">
      <c r="A1043" s="212" t="str">
        <f>COMPOSICIÓN!A1043</f>
        <v>PTO-0705</v>
      </c>
      <c r="B1043" s="212" t="str">
        <f>COMPOSICIÓN!B1043</f>
        <v>MO</v>
      </c>
      <c r="C1043" s="212" t="str">
        <f>COMPOSICIÓN!C1043</f>
        <v>OTR</v>
      </c>
      <c r="D1043" s="212" t="str">
        <f>COMPOSICIÓN!D1043</f>
        <v>SUB-PTO027</v>
      </c>
      <c r="E1043" s="212" t="str">
        <f>COMPOSICIÓN!E1043</f>
        <v>Guardacanto yesero 2,00 mts</v>
      </c>
      <c r="F1043" s="212" t="str">
        <f>COMPOSICIÓN!F1043</f>
        <v>j</v>
      </c>
      <c r="G1043" s="213">
        <f>COMPOSICIÓN!G1043</f>
        <v>1.0530303030303001</v>
      </c>
      <c r="H1043" s="214">
        <f>COMPOSICIÓN!H1043</f>
        <v>0</v>
      </c>
      <c r="I1043" s="215">
        <f>COMPOSICIÓN!I1043</f>
        <v>12499.4731571067</v>
      </c>
      <c r="J1043" s="212" t="str">
        <f>IFERROR(VLOOKUP(A1043,PARTIDAS!$A$2:$C$269,3,FALSE()),"")</f>
        <v>REVOQUES</v>
      </c>
      <c r="K1043" s="212" t="str">
        <f>IFERROR(INDEX(PPTO_GENERADOR!$B$4:$B$220,MATCH(A1043,PPTO_GENERADOR!$Q$4:$Q$220,0)),"")</f>
        <v>REVOQUES</v>
      </c>
      <c r="L1043" s="216">
        <f>IF(PLAN_ETAPA!$C$4="(TODOS)",SUMIFS(PPTO_GENERADOR!$E$4:$E$220,PPTO_GENERADOR!$Q$4:$Q$220,A1043),SUMIFS(PPTO_GENERADOR!$E$4:$E$220,PPTO_GENERADOR!$Q$4:$Q$220,A1043,PPTO_GENERADOR!$B$4:$B$220,PLAN_ETAPA!$C$4))</f>
        <v>0</v>
      </c>
      <c r="M1043" s="216">
        <f>IFERROR(VLOOKUP(A1043,PARTIDAS!$A$2:$F$269,6,FALSE()),1)</f>
        <v>1</v>
      </c>
      <c r="N1043" s="216">
        <f>IFERROR(VLOOKUP(A1043,PARTIDAS!$A$2:$I$269,9,FALSE()),1)</f>
        <v>1</v>
      </c>
      <c r="O1043" s="217">
        <f t="shared" si="32"/>
        <v>0</v>
      </c>
      <c r="P1043" s="216">
        <f>IF(O1043=0,0,IF(B1043="MAT",G1043*(1+H1043)*L1043*PLAN_ETAPA!$C$5,IF(B1043="MO",IF(M1043=0,0,G1043*L1043*PLAN_ETAPA!$C$5*N1043/M1043),IF(B1043="EQ",IF(M1043=0,0,G1043*L1043*PLAN_ETAPA!$C$5/M1043),0))))</f>
        <v>0</v>
      </c>
      <c r="Q1043" s="218">
        <f t="shared" si="33"/>
        <v>0</v>
      </c>
    </row>
    <row r="1044" spans="1:17" x14ac:dyDescent="0.35">
      <c r="A1044" s="212" t="str">
        <f>COMPOSICIÓN!A1044</f>
        <v>PTO-0706</v>
      </c>
      <c r="B1044" s="212" t="str">
        <f>COMPOSICIÓN!B1044</f>
        <v>EQ</v>
      </c>
      <c r="C1044" s="212">
        <f>COMPOSICIÓN!C1044</f>
        <v>0</v>
      </c>
      <c r="D1044" s="212" t="str">
        <f>COMPOSICIÓN!D1044</f>
        <v>EQ-ANDAM0</v>
      </c>
      <c r="E1044" s="212" t="str">
        <f>COMPOSICIÓN!E1044</f>
        <v>ANDAMIO TUBULAR DE UNO A TRES CUERPOS</v>
      </c>
      <c r="F1044" s="212">
        <f>COMPOSICIÓN!F1044</f>
        <v>0</v>
      </c>
      <c r="G1044" s="213">
        <f>COMPOSICIÓN!G1044</f>
        <v>0.5</v>
      </c>
      <c r="H1044" s="214">
        <f>COMPOSICIÓN!H1044</f>
        <v>0</v>
      </c>
      <c r="I1044" s="215">
        <f>COMPOSICIÓN!I1044</f>
        <v>571.1794909807611</v>
      </c>
      <c r="J1044" s="212" t="str">
        <f>IFERROR(VLOOKUP(A1044,PARTIDAS!$A$2:$C$269,3,FALSE()),"")</f>
        <v>REVOQUES</v>
      </c>
      <c r="K1044" s="212" t="str">
        <f>IFERROR(INDEX(PPTO_GENERADOR!$B$4:$B$220,MATCH(A1044,PPTO_GENERADOR!$Q$4:$Q$220,0)),"")</f>
        <v/>
      </c>
      <c r="L1044" s="216">
        <f>IF(PLAN_ETAPA!$C$4="(TODOS)",SUMIFS(PPTO_GENERADOR!$E$4:$E$220,PPTO_GENERADOR!$Q$4:$Q$220,A1044),SUMIFS(PPTO_GENERADOR!$E$4:$E$220,PPTO_GENERADOR!$Q$4:$Q$220,A1044,PPTO_GENERADOR!$B$4:$B$220,PLAN_ETAPA!$C$4))</f>
        <v>0</v>
      </c>
      <c r="M1044" s="216">
        <f>IFERROR(VLOOKUP(A1044,PARTIDAS!$A$2:$F$269,6,FALSE()),1)</f>
        <v>11.5</v>
      </c>
      <c r="N1044" s="216">
        <f>IFERROR(VLOOKUP(A1044,PARTIDAS!$A$2:$I$269,9,FALSE()),1)</f>
        <v>1</v>
      </c>
      <c r="O1044" s="217">
        <f t="shared" si="32"/>
        <v>0</v>
      </c>
      <c r="P1044" s="216">
        <f>IF(O1044=0,0,IF(B1044="MAT",G1044*(1+H1044)*L1044*PLAN_ETAPA!$C$5,IF(B1044="MO",IF(M1044=0,0,G1044*L1044*PLAN_ETAPA!$C$5*N1044/M1044),IF(B1044="EQ",IF(M1044=0,0,G1044*L1044*PLAN_ETAPA!$C$5/M1044),0))))</f>
        <v>0</v>
      </c>
      <c r="Q1044" s="218">
        <f t="shared" si="33"/>
        <v>0</v>
      </c>
    </row>
    <row r="1045" spans="1:17" x14ac:dyDescent="0.35">
      <c r="A1045" s="212" t="str">
        <f>COMPOSICIÓN!A1045</f>
        <v>PTO-0706</v>
      </c>
      <c r="B1045" s="212" t="str">
        <f>COMPOSICIÓN!B1045</f>
        <v>EQ</v>
      </c>
      <c r="C1045" s="212">
        <f>COMPOSICIÓN!C1045</f>
        <v>0</v>
      </c>
      <c r="D1045" s="212" t="str">
        <f>COMPOSICIÓN!D1045</f>
        <v>EQ-EQALBA</v>
      </c>
      <c r="E1045" s="212" t="str">
        <f>COMPOSICIÓN!E1045</f>
        <v>EQUIPO DE ALBAÑILERIA, carpetas, ladrillo</v>
      </c>
      <c r="F1045" s="212">
        <f>COMPOSICIÓN!F1045</f>
        <v>0</v>
      </c>
      <c r="G1045" s="213">
        <f>COMPOSICIÓN!G1045</f>
        <v>1</v>
      </c>
      <c r="H1045" s="214">
        <f>COMPOSICIÓN!H1045</f>
        <v>0</v>
      </c>
      <c r="I1045" s="215">
        <f>COMPOSICIÓN!I1045</f>
        <v>2287.1357450968057</v>
      </c>
      <c r="J1045" s="212" t="str">
        <f>IFERROR(VLOOKUP(A1045,PARTIDAS!$A$2:$C$269,3,FALSE()),"")</f>
        <v>REVOQUES</v>
      </c>
      <c r="K1045" s="212" t="str">
        <f>IFERROR(INDEX(PPTO_GENERADOR!$B$4:$B$220,MATCH(A1045,PPTO_GENERADOR!$Q$4:$Q$220,0)),"")</f>
        <v/>
      </c>
      <c r="L1045" s="216">
        <f>IF(PLAN_ETAPA!$C$4="(TODOS)",SUMIFS(PPTO_GENERADOR!$E$4:$E$220,PPTO_GENERADOR!$Q$4:$Q$220,A1045),SUMIFS(PPTO_GENERADOR!$E$4:$E$220,PPTO_GENERADOR!$Q$4:$Q$220,A1045,PPTO_GENERADOR!$B$4:$B$220,PLAN_ETAPA!$C$4))</f>
        <v>0</v>
      </c>
      <c r="M1045" s="216">
        <f>IFERROR(VLOOKUP(A1045,PARTIDAS!$A$2:$F$269,6,FALSE()),1)</f>
        <v>11.5</v>
      </c>
      <c r="N1045" s="216">
        <f>IFERROR(VLOOKUP(A1045,PARTIDAS!$A$2:$I$269,9,FALSE()),1)</f>
        <v>1</v>
      </c>
      <c r="O1045" s="217">
        <f t="shared" si="32"/>
        <v>0</v>
      </c>
      <c r="P1045" s="216">
        <f>IF(O1045=0,0,IF(B1045="MAT",G1045*(1+H1045)*L1045*PLAN_ETAPA!$C$5,IF(B1045="MO",IF(M1045=0,0,G1045*L1045*PLAN_ETAPA!$C$5*N1045/M1045),IF(B1045="EQ",IF(M1045=0,0,G1045*L1045*PLAN_ETAPA!$C$5/M1045),0))))</f>
        <v>0</v>
      </c>
      <c r="Q1045" s="218">
        <f t="shared" si="33"/>
        <v>0</v>
      </c>
    </row>
    <row r="1046" spans="1:17" x14ac:dyDescent="0.35">
      <c r="A1046" s="212" t="str">
        <f>COMPOSICIÓN!A1046</f>
        <v>PTO-0706</v>
      </c>
      <c r="B1046" s="212" t="str">
        <f>COMPOSICIÓN!B1046</f>
        <v>EQ</v>
      </c>
      <c r="C1046" s="212">
        <f>COMPOSICIÓN!C1046</f>
        <v>0</v>
      </c>
      <c r="D1046" s="212" t="str">
        <f>COMPOSICIÓN!D1046</f>
        <v>EQ-TROMPO</v>
      </c>
      <c r="E1046" s="212" t="str">
        <f>COMPOSICIÓN!E1046</f>
        <v>Hormigonera De 150 Litros 1hp Con Rueda Maciza</v>
      </c>
      <c r="F1046" s="212">
        <f>COMPOSICIÓN!F1046</f>
        <v>0</v>
      </c>
      <c r="G1046" s="213">
        <f>COMPOSICIÓN!G1046</f>
        <v>1</v>
      </c>
      <c r="H1046" s="214">
        <f>COMPOSICIÓN!H1046</f>
        <v>0</v>
      </c>
      <c r="I1046" s="215">
        <f>COMPOSICIÓN!I1046</f>
        <v>957.25319614994726</v>
      </c>
      <c r="J1046" s="212" t="str">
        <f>IFERROR(VLOOKUP(A1046,PARTIDAS!$A$2:$C$269,3,FALSE()),"")</f>
        <v>REVOQUES</v>
      </c>
      <c r="K1046" s="212" t="str">
        <f>IFERROR(INDEX(PPTO_GENERADOR!$B$4:$B$220,MATCH(A1046,PPTO_GENERADOR!$Q$4:$Q$220,0)),"")</f>
        <v/>
      </c>
      <c r="L1046" s="216">
        <f>IF(PLAN_ETAPA!$C$4="(TODOS)",SUMIFS(PPTO_GENERADOR!$E$4:$E$220,PPTO_GENERADOR!$Q$4:$Q$220,A1046),SUMIFS(PPTO_GENERADOR!$E$4:$E$220,PPTO_GENERADOR!$Q$4:$Q$220,A1046,PPTO_GENERADOR!$B$4:$B$220,PLAN_ETAPA!$C$4))</f>
        <v>0</v>
      </c>
      <c r="M1046" s="216">
        <f>IFERROR(VLOOKUP(A1046,PARTIDAS!$A$2:$F$269,6,FALSE()),1)</f>
        <v>11.5</v>
      </c>
      <c r="N1046" s="216">
        <f>IFERROR(VLOOKUP(A1046,PARTIDAS!$A$2:$I$269,9,FALSE()),1)</f>
        <v>1</v>
      </c>
      <c r="O1046" s="217">
        <f t="shared" si="32"/>
        <v>0</v>
      </c>
      <c r="P1046" s="216">
        <f>IF(O1046=0,0,IF(B1046="MAT",G1046*(1+H1046)*L1046*PLAN_ETAPA!$C$5,IF(B1046="MO",IF(M1046=0,0,G1046*L1046*PLAN_ETAPA!$C$5*N1046/M1046),IF(B1046="EQ",IF(M1046=0,0,G1046*L1046*PLAN_ETAPA!$C$5/M1046),0))))</f>
        <v>0</v>
      </c>
      <c r="Q1046" s="218">
        <f t="shared" si="33"/>
        <v>0</v>
      </c>
    </row>
    <row r="1047" spans="1:17" x14ac:dyDescent="0.35">
      <c r="A1047" s="212" t="str">
        <f>COMPOSICIÓN!A1047</f>
        <v>PTO-0706</v>
      </c>
      <c r="B1047" s="212" t="str">
        <f>COMPOSICIÓN!B1047</f>
        <v>MAT</v>
      </c>
      <c r="C1047" s="212" t="str">
        <f>COMPOSICIÓN!C1047</f>
        <v>OTR</v>
      </c>
      <c r="D1047" s="212" t="str">
        <f>COMPOSICIÓN!D1047</f>
        <v>AGR-001</v>
      </c>
      <c r="E1047" s="212" t="str">
        <f>COMPOSICIÓN!E1047</f>
        <v>ARENA LAVADA</v>
      </c>
      <c r="F1047" s="212" t="str">
        <f>COMPOSICIÓN!F1047</f>
        <v>m3</v>
      </c>
      <c r="G1047" s="213">
        <f>COMPOSICIÓN!G1047</f>
        <v>2.5999999999999999E-2</v>
      </c>
      <c r="H1047" s="214">
        <f>COMPOSICIÓN!H1047</f>
        <v>0.1</v>
      </c>
      <c r="I1047" s="215">
        <f>COMPOSICIÓN!I1047</f>
        <v>32399.77</v>
      </c>
      <c r="J1047" s="212" t="str">
        <f>IFERROR(VLOOKUP(A1047,PARTIDAS!$A$2:$C$269,3,FALSE()),"")</f>
        <v>REVOQUES</v>
      </c>
      <c r="K1047" s="212" t="str">
        <f>IFERROR(INDEX(PPTO_GENERADOR!$B$4:$B$220,MATCH(A1047,PPTO_GENERADOR!$Q$4:$Q$220,0)),"")</f>
        <v/>
      </c>
      <c r="L1047" s="216">
        <f>IF(PLAN_ETAPA!$C$4="(TODOS)",SUMIFS(PPTO_GENERADOR!$E$4:$E$220,PPTO_GENERADOR!$Q$4:$Q$220,A1047),SUMIFS(PPTO_GENERADOR!$E$4:$E$220,PPTO_GENERADOR!$Q$4:$Q$220,A1047,PPTO_GENERADOR!$B$4:$B$220,PLAN_ETAPA!$C$4))</f>
        <v>0</v>
      </c>
      <c r="M1047" s="216">
        <f>IFERROR(VLOOKUP(A1047,PARTIDAS!$A$2:$F$269,6,FALSE()),1)</f>
        <v>11.5</v>
      </c>
      <c r="N1047" s="216">
        <f>IFERROR(VLOOKUP(A1047,PARTIDAS!$A$2:$I$269,9,FALSE()),1)</f>
        <v>1</v>
      </c>
      <c r="O1047" s="217">
        <f t="shared" si="32"/>
        <v>0</v>
      </c>
      <c r="P1047" s="216">
        <f>IF(O1047=0,0,IF(B1047="MAT",G1047*(1+H1047)*L1047*PLAN_ETAPA!$C$5,IF(B1047="MO",IF(M1047=0,0,G1047*L1047*PLAN_ETAPA!$C$5*N1047/M1047),IF(B1047="EQ",IF(M1047=0,0,G1047*L1047*PLAN_ETAPA!$C$5/M1047),0))))</f>
        <v>0</v>
      </c>
      <c r="Q1047" s="218">
        <f t="shared" si="33"/>
        <v>0</v>
      </c>
    </row>
    <row r="1048" spans="1:17" x14ac:dyDescent="0.35">
      <c r="A1048" s="212" t="str">
        <f>COMPOSICIÓN!A1048</f>
        <v>PTO-0706</v>
      </c>
      <c r="B1048" s="212" t="str">
        <f>COMPOSICIÓN!B1048</f>
        <v>MAT</v>
      </c>
      <c r="C1048" s="212" t="str">
        <f>COMPOSICIÓN!C1048</f>
        <v>OTR</v>
      </c>
      <c r="D1048" s="212" t="str">
        <f>COMPOSICIÓN!D1048</f>
        <v>AGR-004</v>
      </c>
      <c r="E1048" s="212" t="str">
        <f>COMPOSICIÓN!E1048</f>
        <v>Cemento Portland x 50kg</v>
      </c>
      <c r="F1048" s="212" t="str">
        <f>COMPOSICIÓN!F1048</f>
        <v>Bol</v>
      </c>
      <c r="G1048" s="213">
        <f>COMPOSICIÓN!G1048</f>
        <v>0.314</v>
      </c>
      <c r="H1048" s="214">
        <f>COMPOSICIÓN!H1048</f>
        <v>0.1</v>
      </c>
      <c r="I1048" s="215">
        <f>COMPOSICIÓN!I1048</f>
        <v>7809.48</v>
      </c>
      <c r="J1048" s="212" t="str">
        <f>IFERROR(VLOOKUP(A1048,PARTIDAS!$A$2:$C$269,3,FALSE()),"")</f>
        <v>REVOQUES</v>
      </c>
      <c r="K1048" s="212" t="str">
        <f>IFERROR(INDEX(PPTO_GENERADOR!$B$4:$B$220,MATCH(A1048,PPTO_GENERADOR!$Q$4:$Q$220,0)),"")</f>
        <v/>
      </c>
      <c r="L1048" s="216">
        <f>IF(PLAN_ETAPA!$C$4="(TODOS)",SUMIFS(PPTO_GENERADOR!$E$4:$E$220,PPTO_GENERADOR!$Q$4:$Q$220,A1048),SUMIFS(PPTO_GENERADOR!$E$4:$E$220,PPTO_GENERADOR!$Q$4:$Q$220,A1048,PPTO_GENERADOR!$B$4:$B$220,PLAN_ETAPA!$C$4))</f>
        <v>0</v>
      </c>
      <c r="M1048" s="216">
        <f>IFERROR(VLOOKUP(A1048,PARTIDAS!$A$2:$F$269,6,FALSE()),1)</f>
        <v>11.5</v>
      </c>
      <c r="N1048" s="216">
        <f>IFERROR(VLOOKUP(A1048,PARTIDAS!$A$2:$I$269,9,FALSE()),1)</f>
        <v>1</v>
      </c>
      <c r="O1048" s="217">
        <f t="shared" si="32"/>
        <v>0</v>
      </c>
      <c r="P1048" s="216">
        <f>IF(O1048=0,0,IF(B1048="MAT",G1048*(1+H1048)*L1048*PLAN_ETAPA!$C$5,IF(B1048="MO",IF(M1048=0,0,G1048*L1048*PLAN_ETAPA!$C$5*N1048/M1048),IF(B1048="EQ",IF(M1048=0,0,G1048*L1048*PLAN_ETAPA!$C$5/M1048),0))))</f>
        <v>0</v>
      </c>
      <c r="Q1048" s="218">
        <f t="shared" si="33"/>
        <v>0</v>
      </c>
    </row>
    <row r="1049" spans="1:17" x14ac:dyDescent="0.35">
      <c r="A1049" s="212" t="str">
        <f>COMPOSICIÓN!A1049</f>
        <v>PTO-0706</v>
      </c>
      <c r="B1049" s="212" t="str">
        <f>COMPOSICIÓN!B1049</f>
        <v>MAT</v>
      </c>
      <c r="C1049" s="212" t="str">
        <f>COMPOSICIÓN!C1049</f>
        <v>OTR</v>
      </c>
      <c r="D1049" s="212" t="str">
        <f>COMPOSICIÓN!D1049</f>
        <v>AGR-005</v>
      </c>
      <c r="E1049" s="212" t="str">
        <f>COMPOSICIÓN!E1049</f>
        <v>Cal Comun x 25kg</v>
      </c>
      <c r="F1049" s="212" t="str">
        <f>COMPOSICIÓN!F1049</f>
        <v>bol</v>
      </c>
      <c r="G1049" s="213">
        <f>COMPOSICIÓN!G1049</f>
        <v>0.06</v>
      </c>
      <c r="H1049" s="214">
        <f>COMPOSICIÓN!H1049</f>
        <v>0.1</v>
      </c>
      <c r="I1049" s="215">
        <f>COMPOSICIÓN!I1049</f>
        <v>3837.96</v>
      </c>
      <c r="J1049" s="212" t="str">
        <f>IFERROR(VLOOKUP(A1049,PARTIDAS!$A$2:$C$269,3,FALSE()),"")</f>
        <v>REVOQUES</v>
      </c>
      <c r="K1049" s="212" t="str">
        <f>IFERROR(INDEX(PPTO_GENERADOR!$B$4:$B$220,MATCH(A1049,PPTO_GENERADOR!$Q$4:$Q$220,0)),"")</f>
        <v/>
      </c>
      <c r="L1049" s="216">
        <f>IF(PLAN_ETAPA!$C$4="(TODOS)",SUMIFS(PPTO_GENERADOR!$E$4:$E$220,PPTO_GENERADOR!$Q$4:$Q$220,A1049),SUMIFS(PPTO_GENERADOR!$E$4:$E$220,PPTO_GENERADOR!$Q$4:$Q$220,A1049,PPTO_GENERADOR!$B$4:$B$220,PLAN_ETAPA!$C$4))</f>
        <v>0</v>
      </c>
      <c r="M1049" s="216">
        <f>IFERROR(VLOOKUP(A1049,PARTIDAS!$A$2:$F$269,6,FALSE()),1)</f>
        <v>11.5</v>
      </c>
      <c r="N1049" s="216">
        <f>IFERROR(VLOOKUP(A1049,PARTIDAS!$A$2:$I$269,9,FALSE()),1)</f>
        <v>1</v>
      </c>
      <c r="O1049" s="217">
        <f t="shared" si="32"/>
        <v>0</v>
      </c>
      <c r="P1049" s="216">
        <f>IF(O1049=0,0,IF(B1049="MAT",G1049*(1+H1049)*L1049*PLAN_ETAPA!$C$5,IF(B1049="MO",IF(M1049=0,0,G1049*L1049*PLAN_ETAPA!$C$5*N1049/M1049),IF(B1049="EQ",IF(M1049=0,0,G1049*L1049*PLAN_ETAPA!$C$5/M1049),0))))</f>
        <v>0</v>
      </c>
      <c r="Q1049" s="218">
        <f t="shared" si="33"/>
        <v>0</v>
      </c>
    </row>
    <row r="1050" spans="1:17" x14ac:dyDescent="0.35">
      <c r="A1050" s="212" t="str">
        <f>COMPOSICIÓN!A1050</f>
        <v>PTO-0706</v>
      </c>
      <c r="B1050" s="212" t="str">
        <f>COMPOSICIÓN!B1050</f>
        <v>MAT</v>
      </c>
      <c r="C1050" s="212" t="str">
        <f>COMPOSICIÓN!C1050</f>
        <v>OTR</v>
      </c>
      <c r="D1050" s="212" t="str">
        <f>COMPOSICIÓN!D1050</f>
        <v>AIS-001</v>
      </c>
      <c r="E1050" s="212" t="str">
        <f>COMPOSICIÓN!E1050</f>
        <v>Aditivo Hidrofugo en pasta - Ceresita x 1kg</v>
      </c>
      <c r="F1050" s="212" t="str">
        <f>COMPOSICIÓN!F1050</f>
        <v>kg</v>
      </c>
      <c r="G1050" s="213">
        <f>COMPOSICIÓN!G1050</f>
        <v>0.1</v>
      </c>
      <c r="H1050" s="214">
        <f>COMPOSICIÓN!H1050</f>
        <v>0.05</v>
      </c>
      <c r="I1050" s="215">
        <f>COMPOSICIÓN!I1050</f>
        <v>1256.1279999999999</v>
      </c>
      <c r="J1050" s="212" t="str">
        <f>IFERROR(VLOOKUP(A1050,PARTIDAS!$A$2:$C$269,3,FALSE()),"")</f>
        <v>REVOQUES</v>
      </c>
      <c r="K1050" s="212" t="str">
        <f>IFERROR(INDEX(PPTO_GENERADOR!$B$4:$B$220,MATCH(A1050,PPTO_GENERADOR!$Q$4:$Q$220,0)),"")</f>
        <v/>
      </c>
      <c r="L1050" s="216">
        <f>IF(PLAN_ETAPA!$C$4="(TODOS)",SUMIFS(PPTO_GENERADOR!$E$4:$E$220,PPTO_GENERADOR!$Q$4:$Q$220,A1050),SUMIFS(PPTO_GENERADOR!$E$4:$E$220,PPTO_GENERADOR!$Q$4:$Q$220,A1050,PPTO_GENERADOR!$B$4:$B$220,PLAN_ETAPA!$C$4))</f>
        <v>0</v>
      </c>
      <c r="M1050" s="216">
        <f>IFERROR(VLOOKUP(A1050,PARTIDAS!$A$2:$F$269,6,FALSE()),1)</f>
        <v>11.5</v>
      </c>
      <c r="N1050" s="216">
        <f>IFERROR(VLOOKUP(A1050,PARTIDAS!$A$2:$I$269,9,FALSE()),1)</f>
        <v>1</v>
      </c>
      <c r="O1050" s="217">
        <f t="shared" si="32"/>
        <v>0</v>
      </c>
      <c r="P1050" s="216">
        <f>IF(O1050=0,0,IF(B1050="MAT",G1050*(1+H1050)*L1050*PLAN_ETAPA!$C$5,IF(B1050="MO",IF(M1050=0,0,G1050*L1050*PLAN_ETAPA!$C$5*N1050/M1050),IF(B1050="EQ",IF(M1050=0,0,G1050*L1050*PLAN_ETAPA!$C$5/M1050),0))))</f>
        <v>0</v>
      </c>
      <c r="Q1050" s="218">
        <f t="shared" si="33"/>
        <v>0</v>
      </c>
    </row>
    <row r="1051" spans="1:17" x14ac:dyDescent="0.35">
      <c r="A1051" s="212" t="str">
        <f>COMPOSICIÓN!A1051</f>
        <v>PTO-0706</v>
      </c>
      <c r="B1051" s="212" t="str">
        <f>COMPOSICIÓN!B1051</f>
        <v>MO</v>
      </c>
      <c r="C1051" s="212" t="str">
        <f>COMPOSICIÓN!C1051</f>
        <v>ALB</v>
      </c>
      <c r="D1051" s="212" t="str">
        <f>COMPOSICIÓN!D1051</f>
        <v>MO-EAYUD</v>
      </c>
      <c r="E1051" s="212" t="str">
        <f>COMPOSICIÓN!E1051</f>
        <v>AYUDANTE</v>
      </c>
      <c r="F1051" s="212" t="str">
        <f>COMPOSICIÓN!F1051</f>
        <v>j</v>
      </c>
      <c r="G1051" s="213">
        <f>COMPOSICIÓN!G1051</f>
        <v>0.6</v>
      </c>
      <c r="H1051" s="214">
        <f>COMPOSICIÓN!H1051</f>
        <v>0</v>
      </c>
      <c r="I1051" s="215">
        <f>COMPOSICIÓN!I1051</f>
        <v>60860.580776572002</v>
      </c>
      <c r="J1051" s="212" t="str">
        <f>IFERROR(VLOOKUP(A1051,PARTIDAS!$A$2:$C$269,3,FALSE()),"")</f>
        <v>REVOQUES</v>
      </c>
      <c r="K1051" s="212" t="str">
        <f>IFERROR(INDEX(PPTO_GENERADOR!$B$4:$B$220,MATCH(A1051,PPTO_GENERADOR!$Q$4:$Q$220,0)),"")</f>
        <v/>
      </c>
      <c r="L1051" s="216">
        <f>IF(PLAN_ETAPA!$C$4="(TODOS)",SUMIFS(PPTO_GENERADOR!$E$4:$E$220,PPTO_GENERADOR!$Q$4:$Q$220,A1051),SUMIFS(PPTO_GENERADOR!$E$4:$E$220,PPTO_GENERADOR!$Q$4:$Q$220,A1051,PPTO_GENERADOR!$B$4:$B$220,PLAN_ETAPA!$C$4))</f>
        <v>0</v>
      </c>
      <c r="M1051" s="216">
        <f>IFERROR(VLOOKUP(A1051,PARTIDAS!$A$2:$F$269,6,FALSE()),1)</f>
        <v>11.5</v>
      </c>
      <c r="N1051" s="216">
        <f>IFERROR(VLOOKUP(A1051,PARTIDAS!$A$2:$I$269,9,FALSE()),1)</f>
        <v>1</v>
      </c>
      <c r="O1051" s="217">
        <f t="shared" si="32"/>
        <v>0</v>
      </c>
      <c r="P1051" s="216">
        <f>IF(O1051=0,0,IF(B1051="MAT",G1051*(1+H1051)*L1051*PLAN_ETAPA!$C$5,IF(B1051="MO",IF(M1051=0,0,G1051*L1051*PLAN_ETAPA!$C$5*N1051/M1051),IF(B1051="EQ",IF(M1051=0,0,G1051*L1051*PLAN_ETAPA!$C$5/M1051),0))))</f>
        <v>0</v>
      </c>
      <c r="Q1051" s="218">
        <f t="shared" si="33"/>
        <v>0</v>
      </c>
    </row>
    <row r="1052" spans="1:17" x14ac:dyDescent="0.35">
      <c r="A1052" s="212" t="str">
        <f>COMPOSICIÓN!A1052</f>
        <v>PTO-0706</v>
      </c>
      <c r="B1052" s="212" t="str">
        <f>COMPOSICIÓN!B1052</f>
        <v>MO</v>
      </c>
      <c r="C1052" s="212" t="str">
        <f>COMPOSICIÓN!C1052</f>
        <v>ALB</v>
      </c>
      <c r="D1052" s="212" t="str">
        <f>COMPOSICIÓN!D1052</f>
        <v>MO-EESPE</v>
      </c>
      <c r="E1052" s="212" t="str">
        <f>COMPOSICIÓN!E1052</f>
        <v>ESPECIALIZADO</v>
      </c>
      <c r="F1052" s="212" t="str">
        <f>COMPOSICIÓN!F1052</f>
        <v>j</v>
      </c>
      <c r="G1052" s="213">
        <f>COMPOSICIÓN!G1052</f>
        <v>1</v>
      </c>
      <c r="H1052" s="214">
        <f>COMPOSICIÓN!H1052</f>
        <v>0</v>
      </c>
      <c r="I1052" s="215">
        <f>COMPOSICIÓN!I1052</f>
        <v>85927.097156571996</v>
      </c>
      <c r="J1052" s="212" t="str">
        <f>IFERROR(VLOOKUP(A1052,PARTIDAS!$A$2:$C$269,3,FALSE()),"")</f>
        <v>REVOQUES</v>
      </c>
      <c r="K1052" s="212" t="str">
        <f>IFERROR(INDEX(PPTO_GENERADOR!$B$4:$B$220,MATCH(A1052,PPTO_GENERADOR!$Q$4:$Q$220,0)),"")</f>
        <v/>
      </c>
      <c r="L1052" s="216">
        <f>IF(PLAN_ETAPA!$C$4="(TODOS)",SUMIFS(PPTO_GENERADOR!$E$4:$E$220,PPTO_GENERADOR!$Q$4:$Q$220,A1052),SUMIFS(PPTO_GENERADOR!$E$4:$E$220,PPTO_GENERADOR!$Q$4:$Q$220,A1052,PPTO_GENERADOR!$B$4:$B$220,PLAN_ETAPA!$C$4))</f>
        <v>0</v>
      </c>
      <c r="M1052" s="216">
        <f>IFERROR(VLOOKUP(A1052,PARTIDAS!$A$2:$F$269,6,FALSE()),1)</f>
        <v>11.5</v>
      </c>
      <c r="N1052" s="216">
        <f>IFERROR(VLOOKUP(A1052,PARTIDAS!$A$2:$I$269,9,FALSE()),1)</f>
        <v>1</v>
      </c>
      <c r="O1052" s="217">
        <f t="shared" si="32"/>
        <v>0</v>
      </c>
      <c r="P1052" s="216">
        <f>IF(O1052=0,0,IF(B1052="MAT",G1052*(1+H1052)*L1052*PLAN_ETAPA!$C$5,IF(B1052="MO",IF(M1052=0,0,G1052*L1052*PLAN_ETAPA!$C$5*N1052/M1052),IF(B1052="EQ",IF(M1052=0,0,G1052*L1052*PLAN_ETAPA!$C$5/M1052),0))))</f>
        <v>0</v>
      </c>
      <c r="Q1052" s="218">
        <f t="shared" si="33"/>
        <v>0</v>
      </c>
    </row>
    <row r="1053" spans="1:17" x14ac:dyDescent="0.35">
      <c r="A1053" s="212" t="str">
        <f>COMPOSICIÓN!A1053</f>
        <v>PTO-0801</v>
      </c>
      <c r="B1053" s="212" t="str">
        <f>COMPOSICIÓN!B1053</f>
        <v>EQ</v>
      </c>
      <c r="C1053" s="212">
        <f>COMPOSICIÓN!C1053</f>
        <v>0</v>
      </c>
      <c r="D1053" s="212" t="str">
        <f>COMPOSICIÓN!D1053</f>
        <v>EQ-PTO050</v>
      </c>
      <c r="E1053" s="212" t="str">
        <f>COMPOSICIÓN!E1053</f>
        <v xml:space="preserve">Herramientas menores y consumibles - Contrapiso de Hº armado e: 18 cm, incluye malla Ø </v>
      </c>
      <c r="F1053" s="212">
        <f>COMPOSICIÓN!F1053</f>
        <v>0</v>
      </c>
      <c r="G1053" s="213">
        <f>COMPOSICIÓN!G1053</f>
        <v>1</v>
      </c>
      <c r="H1053" s="214">
        <f>COMPOSICIÓN!H1053</f>
        <v>0</v>
      </c>
      <c r="I1053" s="215">
        <f>COMPOSICIÓN!I1053</f>
        <v>649.57350320066905</v>
      </c>
      <c r="J1053" s="212" t="str">
        <f>IFERROR(VLOOKUP(A1053,PARTIDAS!$A$2:$C$269,3,FALSE()),"")</f>
        <v>CONTRAPISOS Y CARPETAS</v>
      </c>
      <c r="K1053" s="212" t="str">
        <f>IFERROR(INDEX(PPTO_GENERADOR!$B$4:$B$220,MATCH(A1053,PPTO_GENERADOR!$Q$4:$Q$220,0)),"")</f>
        <v>CONTRAPISOS Y CARPETAS</v>
      </c>
      <c r="L1053" s="216">
        <f>IF(PLAN_ETAPA!$C$4="(TODOS)",SUMIFS(PPTO_GENERADOR!$E$4:$E$220,PPTO_GENERADOR!$Q$4:$Q$220,A1053),SUMIFS(PPTO_GENERADOR!$E$4:$E$220,PPTO_GENERADOR!$Q$4:$Q$220,A1053,PPTO_GENERADOR!$B$4:$B$220,PLAN_ETAPA!$C$4))</f>
        <v>0</v>
      </c>
      <c r="M1053" s="216">
        <f>IFERROR(VLOOKUP(A1053,PARTIDAS!$A$2:$F$269,6,FALSE()),1)</f>
        <v>1</v>
      </c>
      <c r="N1053" s="216">
        <f>IFERROR(VLOOKUP(A1053,PARTIDAS!$A$2:$I$269,9,FALSE()),1)</f>
        <v>1</v>
      </c>
      <c r="O1053" s="217">
        <f t="shared" si="32"/>
        <v>0</v>
      </c>
      <c r="P1053" s="216">
        <f>IF(O1053=0,0,IF(B1053="MAT",G1053*(1+H1053)*L1053*PLAN_ETAPA!$C$5,IF(B1053="MO",IF(M1053=0,0,G1053*L1053*PLAN_ETAPA!$C$5*N1053/M1053),IF(B1053="EQ",IF(M1053=0,0,G1053*L1053*PLAN_ETAPA!$C$5/M1053),0))))</f>
        <v>0</v>
      </c>
      <c r="Q1053" s="218">
        <f t="shared" si="33"/>
        <v>0</v>
      </c>
    </row>
    <row r="1054" spans="1:17" x14ac:dyDescent="0.35">
      <c r="A1054" s="212" t="str">
        <f>COMPOSICIÓN!A1054</f>
        <v>PTO-0801</v>
      </c>
      <c r="B1054" s="212" t="str">
        <f>COMPOSICIÓN!B1054</f>
        <v>MAT</v>
      </c>
      <c r="C1054" s="212" t="str">
        <f>COMPOSICIÓN!C1054</f>
        <v>COR</v>
      </c>
      <c r="D1054" s="212" t="str">
        <f>COMPOSICIÓN!D1054</f>
        <v>MAT-CONS</v>
      </c>
      <c r="E1054" s="212" t="str">
        <f>COMPOSICIÓN!E1054</f>
        <v>Consumibles</v>
      </c>
      <c r="F1054" s="212" t="str">
        <f>COMPOSICIÓN!F1054</f>
        <v>gl</v>
      </c>
      <c r="G1054" s="213">
        <f>COMPOSICIÓN!G1054</f>
        <v>1212.4310280373832</v>
      </c>
      <c r="H1054" s="214">
        <f>COMPOSICIÓN!H1054</f>
        <v>0</v>
      </c>
      <c r="I1054" s="215">
        <f>COMPOSICIÓN!I1054</f>
        <v>1</v>
      </c>
      <c r="J1054" s="212" t="str">
        <f>IFERROR(VLOOKUP(A1054,PARTIDAS!$A$2:$C$269,3,FALSE()),"")</f>
        <v>CONTRAPISOS Y CARPETAS</v>
      </c>
      <c r="K1054" s="212" t="str">
        <f>IFERROR(INDEX(PPTO_GENERADOR!$B$4:$B$220,MATCH(A1054,PPTO_GENERADOR!$Q$4:$Q$220,0)),"")</f>
        <v>CONTRAPISOS Y CARPETAS</v>
      </c>
      <c r="L1054" s="216">
        <f>IF(PLAN_ETAPA!$C$4="(TODOS)",SUMIFS(PPTO_GENERADOR!$E$4:$E$220,PPTO_GENERADOR!$Q$4:$Q$220,A1054),SUMIFS(PPTO_GENERADOR!$E$4:$E$220,PPTO_GENERADOR!$Q$4:$Q$220,A1054,PPTO_GENERADOR!$B$4:$B$220,PLAN_ETAPA!$C$4))</f>
        <v>0</v>
      </c>
      <c r="M1054" s="216">
        <f>IFERROR(VLOOKUP(A1054,PARTIDAS!$A$2:$F$269,6,FALSE()),1)</f>
        <v>1</v>
      </c>
      <c r="N1054" s="216">
        <f>IFERROR(VLOOKUP(A1054,PARTIDAS!$A$2:$I$269,9,FALSE()),1)</f>
        <v>1</v>
      </c>
      <c r="O1054" s="217">
        <f t="shared" si="32"/>
        <v>0</v>
      </c>
      <c r="P1054" s="216">
        <f>IF(O1054=0,0,IF(B1054="MAT",G1054*(1+H1054)*L1054*PLAN_ETAPA!$C$5,IF(B1054="MO",IF(M1054=0,0,G1054*L1054*PLAN_ETAPA!$C$5*N1054/M1054),IF(B1054="EQ",IF(M1054=0,0,G1054*L1054*PLAN_ETAPA!$C$5/M1054),0))))</f>
        <v>0</v>
      </c>
      <c r="Q1054" s="218">
        <f t="shared" si="33"/>
        <v>0</v>
      </c>
    </row>
    <row r="1055" spans="1:17" x14ac:dyDescent="0.35">
      <c r="A1055" s="212" t="str">
        <f>COMPOSICIÓN!A1055</f>
        <v>PTO-0801</v>
      </c>
      <c r="B1055" s="212" t="str">
        <f>COMPOSICIÓN!B1055</f>
        <v>MAT</v>
      </c>
      <c r="C1055" s="212" t="str">
        <f>COMPOSICIÓN!C1055</f>
        <v>COR</v>
      </c>
      <c r="D1055" s="212" t="str">
        <f>COMPOSICIÓN!D1055</f>
        <v>OTR-PTO082</v>
      </c>
      <c r="E1055" s="212" t="str">
        <f>COMPOSICIÓN!E1055</f>
        <v>Rollo Polietileno negro 2x50 mt x 200mic</v>
      </c>
      <c r="F1055" s="212" t="str">
        <f>COMPOSICIÓN!F1055</f>
        <v>rol</v>
      </c>
      <c r="G1055" s="213">
        <f>COMPOSICIÓN!G1055</f>
        <v>6.4999999999999997E-3</v>
      </c>
      <c r="H1055" s="214">
        <f>COMPOSICIÓN!H1055</f>
        <v>0</v>
      </c>
      <c r="I1055" s="215">
        <f>COMPOSICIÓN!I1055</f>
        <v>27000</v>
      </c>
      <c r="J1055" s="212" t="str">
        <f>IFERROR(VLOOKUP(A1055,PARTIDAS!$A$2:$C$269,3,FALSE()),"")</f>
        <v>CONTRAPISOS Y CARPETAS</v>
      </c>
      <c r="K1055" s="212" t="str">
        <f>IFERROR(INDEX(PPTO_GENERADOR!$B$4:$B$220,MATCH(A1055,PPTO_GENERADOR!$Q$4:$Q$220,0)),"")</f>
        <v>CONTRAPISOS Y CARPETAS</v>
      </c>
      <c r="L1055" s="216">
        <f>IF(PLAN_ETAPA!$C$4="(TODOS)",SUMIFS(PPTO_GENERADOR!$E$4:$E$220,PPTO_GENERADOR!$Q$4:$Q$220,A1055),SUMIFS(PPTO_GENERADOR!$E$4:$E$220,PPTO_GENERADOR!$Q$4:$Q$220,A1055,PPTO_GENERADOR!$B$4:$B$220,PLAN_ETAPA!$C$4))</f>
        <v>0</v>
      </c>
      <c r="M1055" s="216">
        <f>IFERROR(VLOOKUP(A1055,PARTIDAS!$A$2:$F$269,6,FALSE()),1)</f>
        <v>1</v>
      </c>
      <c r="N1055" s="216">
        <f>IFERROR(VLOOKUP(A1055,PARTIDAS!$A$2:$I$269,9,FALSE()),1)</f>
        <v>1</v>
      </c>
      <c r="O1055" s="217">
        <f t="shared" si="32"/>
        <v>0</v>
      </c>
      <c r="P1055" s="216">
        <f>IF(O1055=0,0,IF(B1055="MAT",G1055*(1+H1055)*L1055*PLAN_ETAPA!$C$5,IF(B1055="MO",IF(M1055=0,0,G1055*L1055*PLAN_ETAPA!$C$5*N1055/M1055),IF(B1055="EQ",IF(M1055=0,0,G1055*L1055*PLAN_ETAPA!$C$5/M1055),0))))</f>
        <v>0</v>
      </c>
      <c r="Q1055" s="218">
        <f t="shared" si="33"/>
        <v>0</v>
      </c>
    </row>
    <row r="1056" spans="1:17" x14ac:dyDescent="0.35">
      <c r="A1056" s="212" t="str">
        <f>COMPOSICIÓN!A1056</f>
        <v>PTO-0801</v>
      </c>
      <c r="B1056" s="212" t="str">
        <f>COMPOSICIÓN!B1056</f>
        <v>MAT</v>
      </c>
      <c r="C1056" s="212" t="str">
        <f>COMPOSICIÓN!C1056</f>
        <v>COR</v>
      </c>
      <c r="D1056" s="212" t="str">
        <f>COMPOSICIÓN!D1056</f>
        <v>OTR-PTO083</v>
      </c>
      <c r="E1056" s="212" t="str">
        <f>COMPOSICIÓN!E1056</f>
        <v>Malla Q188 15 x 15 6 mm 6x2,40</v>
      </c>
      <c r="F1056" s="212" t="str">
        <f>COMPOSICIÓN!F1056</f>
        <v>un</v>
      </c>
      <c r="G1056" s="213">
        <f>COMPOSICIÓN!G1056</f>
        <v>8.4112149532710304E-2</v>
      </c>
      <c r="H1056" s="214">
        <f>COMPOSICIÓN!H1056</f>
        <v>0</v>
      </c>
      <c r="I1056" s="215">
        <f>COMPOSICIÓN!I1056</f>
        <v>69985.789999999994</v>
      </c>
      <c r="J1056" s="212" t="str">
        <f>IFERROR(VLOOKUP(A1056,PARTIDAS!$A$2:$C$269,3,FALSE()),"")</f>
        <v>CONTRAPISOS Y CARPETAS</v>
      </c>
      <c r="K1056" s="212" t="str">
        <f>IFERROR(INDEX(PPTO_GENERADOR!$B$4:$B$220,MATCH(A1056,PPTO_GENERADOR!$Q$4:$Q$220,0)),"")</f>
        <v>CONTRAPISOS Y CARPETAS</v>
      </c>
      <c r="L1056" s="216">
        <f>IF(PLAN_ETAPA!$C$4="(TODOS)",SUMIFS(PPTO_GENERADOR!$E$4:$E$220,PPTO_GENERADOR!$Q$4:$Q$220,A1056),SUMIFS(PPTO_GENERADOR!$E$4:$E$220,PPTO_GENERADOR!$Q$4:$Q$220,A1056,PPTO_GENERADOR!$B$4:$B$220,PLAN_ETAPA!$C$4))</f>
        <v>0</v>
      </c>
      <c r="M1056" s="216">
        <f>IFERROR(VLOOKUP(A1056,PARTIDAS!$A$2:$F$269,6,FALSE()),1)</f>
        <v>1</v>
      </c>
      <c r="N1056" s="216">
        <f>IFERROR(VLOOKUP(A1056,PARTIDAS!$A$2:$I$269,9,FALSE()),1)</f>
        <v>1</v>
      </c>
      <c r="O1056" s="217">
        <f t="shared" si="32"/>
        <v>0</v>
      </c>
      <c r="P1056" s="216">
        <f>IF(O1056=0,0,IF(B1056="MAT",G1056*(1+H1056)*L1056*PLAN_ETAPA!$C$5,IF(B1056="MO",IF(M1056=0,0,G1056*L1056*PLAN_ETAPA!$C$5*N1056/M1056),IF(B1056="EQ",IF(M1056=0,0,G1056*L1056*PLAN_ETAPA!$C$5/M1056),0))))</f>
        <v>0</v>
      </c>
      <c r="Q1056" s="218">
        <f t="shared" si="33"/>
        <v>0</v>
      </c>
    </row>
    <row r="1057" spans="1:17" x14ac:dyDescent="0.35">
      <c r="A1057" s="212" t="str">
        <f>COMPOSICIÓN!A1057</f>
        <v>PTO-0801</v>
      </c>
      <c r="B1057" s="212" t="str">
        <f>COMPOSICIÓN!B1057</f>
        <v>MAT</v>
      </c>
      <c r="C1057" s="212" t="str">
        <f>COMPOSICIÓN!C1057</f>
        <v>COR</v>
      </c>
      <c r="D1057" s="212" t="str">
        <f>COMPOSICIÓN!D1057</f>
        <v>OTR-PTO084</v>
      </c>
      <c r="E1057" s="212" t="str">
        <f>COMPOSICIÓN!E1057</f>
        <v>H13 6.20</v>
      </c>
      <c r="F1057" s="212" t="str">
        <f>COMPOSICIÓN!F1057</f>
        <v>m3</v>
      </c>
      <c r="G1057" s="213">
        <f>COMPOSICIÓN!G1057</f>
        <v>0.20560747663551401</v>
      </c>
      <c r="H1057" s="214">
        <f>COMPOSICIÓN!H1057</f>
        <v>0</v>
      </c>
      <c r="I1057" s="215">
        <f>COMPOSICIÓN!I1057</f>
        <v>115100</v>
      </c>
      <c r="J1057" s="212" t="str">
        <f>IFERROR(VLOOKUP(A1057,PARTIDAS!$A$2:$C$269,3,FALSE()),"")</f>
        <v>CONTRAPISOS Y CARPETAS</v>
      </c>
      <c r="K1057" s="212" t="str">
        <f>IFERROR(INDEX(PPTO_GENERADOR!$B$4:$B$220,MATCH(A1057,PPTO_GENERADOR!$Q$4:$Q$220,0)),"")</f>
        <v>CONTRAPISOS Y CARPETAS</v>
      </c>
      <c r="L1057" s="216">
        <f>IF(PLAN_ETAPA!$C$4="(TODOS)",SUMIFS(PPTO_GENERADOR!$E$4:$E$220,PPTO_GENERADOR!$Q$4:$Q$220,A1057),SUMIFS(PPTO_GENERADOR!$E$4:$E$220,PPTO_GENERADOR!$Q$4:$Q$220,A1057,PPTO_GENERADOR!$B$4:$B$220,PLAN_ETAPA!$C$4))</f>
        <v>0</v>
      </c>
      <c r="M1057" s="216">
        <f>IFERROR(VLOOKUP(A1057,PARTIDAS!$A$2:$F$269,6,FALSE()),1)</f>
        <v>1</v>
      </c>
      <c r="N1057" s="216">
        <f>IFERROR(VLOOKUP(A1057,PARTIDAS!$A$2:$I$269,9,FALSE()),1)</f>
        <v>1</v>
      </c>
      <c r="O1057" s="217">
        <f t="shared" si="32"/>
        <v>0</v>
      </c>
      <c r="P1057" s="216">
        <f>IF(O1057=0,0,IF(B1057="MAT",G1057*(1+H1057)*L1057*PLAN_ETAPA!$C$5,IF(B1057="MO",IF(M1057=0,0,G1057*L1057*PLAN_ETAPA!$C$5*N1057/M1057),IF(B1057="EQ",IF(M1057=0,0,G1057*L1057*PLAN_ETAPA!$C$5/M1057),0))))</f>
        <v>0</v>
      </c>
      <c r="Q1057" s="218">
        <f t="shared" si="33"/>
        <v>0</v>
      </c>
    </row>
    <row r="1058" spans="1:17" x14ac:dyDescent="0.35">
      <c r="A1058" s="212" t="str">
        <f>COMPOSICIÓN!A1058</f>
        <v>PTO-0801</v>
      </c>
      <c r="B1058" s="212" t="str">
        <f>COMPOSICIÓN!B1058</f>
        <v>MO</v>
      </c>
      <c r="C1058" s="212" t="str">
        <f>COMPOSICIÓN!C1058</f>
        <v>ALB</v>
      </c>
      <c r="D1058" s="212" t="str">
        <f>COMPOSICIÓN!D1058</f>
        <v>MO-EAYUD</v>
      </c>
      <c r="E1058" s="212" t="str">
        <f>COMPOSICIÓN!E1058</f>
        <v>AYUDANTE</v>
      </c>
      <c r="F1058" s="212" t="str">
        <f>COMPOSICIÓN!F1058</f>
        <v>j</v>
      </c>
      <c r="G1058" s="213">
        <f>COMPOSICIÓN!G1058</f>
        <v>0.11214953271028</v>
      </c>
      <c r="H1058" s="214">
        <f>COMPOSICIÓN!H1058</f>
        <v>0</v>
      </c>
      <c r="I1058" s="215">
        <f>COMPOSICIÓN!I1058</f>
        <v>60860.580776572002</v>
      </c>
      <c r="J1058" s="212" t="str">
        <f>IFERROR(VLOOKUP(A1058,PARTIDAS!$A$2:$C$269,3,FALSE()),"")</f>
        <v>CONTRAPISOS Y CARPETAS</v>
      </c>
      <c r="K1058" s="212" t="str">
        <f>IFERROR(INDEX(PPTO_GENERADOR!$B$4:$B$220,MATCH(A1058,PPTO_GENERADOR!$Q$4:$Q$220,0)),"")</f>
        <v>CONTRAPISOS Y CARPETAS</v>
      </c>
      <c r="L1058" s="216">
        <f>IF(PLAN_ETAPA!$C$4="(TODOS)",SUMIFS(PPTO_GENERADOR!$E$4:$E$220,PPTO_GENERADOR!$Q$4:$Q$220,A1058),SUMIFS(PPTO_GENERADOR!$E$4:$E$220,PPTO_GENERADOR!$Q$4:$Q$220,A1058,PPTO_GENERADOR!$B$4:$B$220,PLAN_ETAPA!$C$4))</f>
        <v>0</v>
      </c>
      <c r="M1058" s="216">
        <f>IFERROR(VLOOKUP(A1058,PARTIDAS!$A$2:$F$269,6,FALSE()),1)</f>
        <v>1</v>
      </c>
      <c r="N1058" s="216">
        <f>IFERROR(VLOOKUP(A1058,PARTIDAS!$A$2:$I$269,9,FALSE()),1)</f>
        <v>1</v>
      </c>
      <c r="O1058" s="217">
        <f t="shared" si="32"/>
        <v>0</v>
      </c>
      <c r="P1058" s="216">
        <f>IF(O1058=0,0,IF(B1058="MAT",G1058*(1+H1058)*L1058*PLAN_ETAPA!$C$5,IF(B1058="MO",IF(M1058=0,0,G1058*L1058*PLAN_ETAPA!$C$5*N1058/M1058),IF(B1058="EQ",IF(M1058=0,0,G1058*L1058*PLAN_ETAPA!$C$5/M1058),0))))</f>
        <v>0</v>
      </c>
      <c r="Q1058" s="218">
        <f t="shared" si="33"/>
        <v>0</v>
      </c>
    </row>
    <row r="1059" spans="1:17" x14ac:dyDescent="0.35">
      <c r="A1059" s="212" t="str">
        <f>COMPOSICIÓN!A1059</f>
        <v>PTO-0801</v>
      </c>
      <c r="B1059" s="212" t="str">
        <f>COMPOSICIÓN!B1059</f>
        <v>MO</v>
      </c>
      <c r="C1059" s="212" t="str">
        <f>COMPOSICIÓN!C1059</f>
        <v>ALB</v>
      </c>
      <c r="D1059" s="212" t="str">
        <f>COMPOSICIÓN!D1059</f>
        <v>MO-EMEDI</v>
      </c>
      <c r="E1059" s="212" t="str">
        <f>COMPOSICIÓN!E1059</f>
        <v>MEDIO OFICIAL</v>
      </c>
      <c r="F1059" s="212" t="str">
        <f>COMPOSICIÓN!F1059</f>
        <v>j</v>
      </c>
      <c r="G1059" s="213">
        <f>COMPOSICIÓN!G1059</f>
        <v>1.86915887850467E-2</v>
      </c>
      <c r="H1059" s="214">
        <f>COMPOSICIÓN!H1059</f>
        <v>0</v>
      </c>
      <c r="I1059" s="215">
        <f>COMPOSICIÓN!I1059</f>
        <v>65493.071636572</v>
      </c>
      <c r="J1059" s="212" t="str">
        <f>IFERROR(VLOOKUP(A1059,PARTIDAS!$A$2:$C$269,3,FALSE()),"")</f>
        <v>CONTRAPISOS Y CARPETAS</v>
      </c>
      <c r="K1059" s="212" t="str">
        <f>IFERROR(INDEX(PPTO_GENERADOR!$B$4:$B$220,MATCH(A1059,PPTO_GENERADOR!$Q$4:$Q$220,0)),"")</f>
        <v>CONTRAPISOS Y CARPETAS</v>
      </c>
      <c r="L1059" s="216">
        <f>IF(PLAN_ETAPA!$C$4="(TODOS)",SUMIFS(PPTO_GENERADOR!$E$4:$E$220,PPTO_GENERADOR!$Q$4:$Q$220,A1059),SUMIFS(PPTO_GENERADOR!$E$4:$E$220,PPTO_GENERADOR!$Q$4:$Q$220,A1059,PPTO_GENERADOR!$B$4:$B$220,PLAN_ETAPA!$C$4))</f>
        <v>0</v>
      </c>
      <c r="M1059" s="216">
        <f>IFERROR(VLOOKUP(A1059,PARTIDAS!$A$2:$F$269,6,FALSE()),1)</f>
        <v>1</v>
      </c>
      <c r="N1059" s="216">
        <f>IFERROR(VLOOKUP(A1059,PARTIDAS!$A$2:$I$269,9,FALSE()),1)</f>
        <v>1</v>
      </c>
      <c r="O1059" s="217">
        <f t="shared" si="32"/>
        <v>0</v>
      </c>
      <c r="P1059" s="216">
        <f>IF(O1059=0,0,IF(B1059="MAT",G1059*(1+H1059)*L1059*PLAN_ETAPA!$C$5,IF(B1059="MO",IF(M1059=0,0,G1059*L1059*PLAN_ETAPA!$C$5*N1059/M1059),IF(B1059="EQ",IF(M1059=0,0,G1059*L1059*PLAN_ETAPA!$C$5/M1059),0))))</f>
        <v>0</v>
      </c>
      <c r="Q1059" s="218">
        <f t="shared" si="33"/>
        <v>0</v>
      </c>
    </row>
    <row r="1060" spans="1:17" x14ac:dyDescent="0.35">
      <c r="A1060" s="212" t="str">
        <f>COMPOSICIÓN!A1060</f>
        <v>PTO-0801</v>
      </c>
      <c r="B1060" s="212" t="str">
        <f>COMPOSICIÓN!B1060</f>
        <v>MO</v>
      </c>
      <c r="C1060" s="212" t="str">
        <f>COMPOSICIÓN!C1060</f>
        <v>ALB</v>
      </c>
      <c r="D1060" s="212" t="str">
        <f>COMPOSICIÓN!D1060</f>
        <v>MO-EOFIC</v>
      </c>
      <c r="E1060" s="212" t="str">
        <f>COMPOSICIÓN!E1060</f>
        <v>OFICIAL</v>
      </c>
      <c r="F1060" s="212" t="str">
        <f>COMPOSICIÓN!F1060</f>
        <v>j</v>
      </c>
      <c r="G1060" s="213">
        <f>COMPOSICIÓN!G1060</f>
        <v>5.60747663551402E-2</v>
      </c>
      <c r="H1060" s="214">
        <f>COMPOSICIÓN!H1060</f>
        <v>0</v>
      </c>
      <c r="I1060" s="215">
        <f>COMPOSICIÓN!I1060</f>
        <v>76955.079706571996</v>
      </c>
      <c r="J1060" s="212" t="str">
        <f>IFERROR(VLOOKUP(A1060,PARTIDAS!$A$2:$C$269,3,FALSE()),"")</f>
        <v>CONTRAPISOS Y CARPETAS</v>
      </c>
      <c r="K1060" s="212" t="str">
        <f>IFERROR(INDEX(PPTO_GENERADOR!$B$4:$B$220,MATCH(A1060,PPTO_GENERADOR!$Q$4:$Q$220,0)),"")</f>
        <v>CONTRAPISOS Y CARPETAS</v>
      </c>
      <c r="L1060" s="216">
        <f>IF(PLAN_ETAPA!$C$4="(TODOS)",SUMIFS(PPTO_GENERADOR!$E$4:$E$220,PPTO_GENERADOR!$Q$4:$Q$220,A1060),SUMIFS(PPTO_GENERADOR!$E$4:$E$220,PPTO_GENERADOR!$Q$4:$Q$220,A1060,PPTO_GENERADOR!$B$4:$B$220,PLAN_ETAPA!$C$4))</f>
        <v>0</v>
      </c>
      <c r="M1060" s="216">
        <f>IFERROR(VLOOKUP(A1060,PARTIDAS!$A$2:$F$269,6,FALSE()),1)</f>
        <v>1</v>
      </c>
      <c r="N1060" s="216">
        <f>IFERROR(VLOOKUP(A1060,PARTIDAS!$A$2:$I$269,9,FALSE()),1)</f>
        <v>1</v>
      </c>
      <c r="O1060" s="217">
        <f t="shared" si="32"/>
        <v>0</v>
      </c>
      <c r="P1060" s="216">
        <f>IF(O1060=0,0,IF(B1060="MAT",G1060*(1+H1060)*L1060*PLAN_ETAPA!$C$5,IF(B1060="MO",IF(M1060=0,0,G1060*L1060*PLAN_ETAPA!$C$5*N1060/M1060),IF(B1060="EQ",IF(M1060=0,0,G1060*L1060*PLAN_ETAPA!$C$5/M1060),0))))</f>
        <v>0</v>
      </c>
      <c r="Q1060" s="218">
        <f t="shared" si="33"/>
        <v>0</v>
      </c>
    </row>
    <row r="1061" spans="1:17" x14ac:dyDescent="0.35">
      <c r="A1061" s="212" t="str">
        <f>COMPOSICIÓN!A1061</f>
        <v>PTO-0802</v>
      </c>
      <c r="B1061" s="212" t="str">
        <f>COMPOSICIÓN!B1061</f>
        <v>EQ</v>
      </c>
      <c r="C1061" s="212">
        <f>COMPOSICIÓN!C1061</f>
        <v>0</v>
      </c>
      <c r="D1061" s="212" t="str">
        <f>COMPOSICIÓN!D1061</f>
        <v>EQ-PTO051</v>
      </c>
      <c r="E1061" s="212" t="str">
        <f>COMPOSICIÓN!E1061</f>
        <v>Herramientas menores y consumibles - Contrapiso de H13 subase bajo intertrabado y garde</v>
      </c>
      <c r="F1061" s="212">
        <f>COMPOSICIÓN!F1061</f>
        <v>0</v>
      </c>
      <c r="G1061" s="213">
        <f>COMPOSICIÓN!G1061</f>
        <v>1</v>
      </c>
      <c r="H1061" s="214">
        <f>COMPOSICIÓN!H1061</f>
        <v>0</v>
      </c>
      <c r="I1061" s="215">
        <f>COMPOSICIÓN!I1061</f>
        <v>429.44656213747601</v>
      </c>
      <c r="J1061" s="212" t="str">
        <f>IFERROR(VLOOKUP(A1061,PARTIDAS!$A$2:$C$269,3,FALSE()),"")</f>
        <v>CONTRAPISOS Y CARPETAS</v>
      </c>
      <c r="K1061" s="212" t="str">
        <f>IFERROR(INDEX(PPTO_GENERADOR!$B$4:$B$220,MATCH(A1061,PPTO_GENERADOR!$Q$4:$Q$220,0)),"")</f>
        <v>CONTRAPISOS Y CARPETAS</v>
      </c>
      <c r="L1061" s="216">
        <f>IF(PLAN_ETAPA!$C$4="(TODOS)",SUMIFS(PPTO_GENERADOR!$E$4:$E$220,PPTO_GENERADOR!$Q$4:$Q$220,A1061),SUMIFS(PPTO_GENERADOR!$E$4:$E$220,PPTO_GENERADOR!$Q$4:$Q$220,A1061,PPTO_GENERADOR!$B$4:$B$220,PLAN_ETAPA!$C$4))</f>
        <v>0</v>
      </c>
      <c r="M1061" s="216">
        <f>IFERROR(VLOOKUP(A1061,PARTIDAS!$A$2:$F$269,6,FALSE()),1)</f>
        <v>1</v>
      </c>
      <c r="N1061" s="216">
        <f>IFERROR(VLOOKUP(A1061,PARTIDAS!$A$2:$I$269,9,FALSE()),1)</f>
        <v>1</v>
      </c>
      <c r="O1061" s="217">
        <f t="shared" si="32"/>
        <v>0</v>
      </c>
      <c r="P1061" s="216">
        <f>IF(O1061=0,0,IF(B1061="MAT",G1061*(1+H1061)*L1061*PLAN_ETAPA!$C$5,IF(B1061="MO",IF(M1061=0,0,G1061*L1061*PLAN_ETAPA!$C$5*N1061/M1061),IF(B1061="EQ",IF(M1061=0,0,G1061*L1061*PLAN_ETAPA!$C$5/M1061),0))))</f>
        <v>0</v>
      </c>
      <c r="Q1061" s="218">
        <f t="shared" si="33"/>
        <v>0</v>
      </c>
    </row>
    <row r="1062" spans="1:17" x14ac:dyDescent="0.35">
      <c r="A1062" s="212" t="str">
        <f>COMPOSICIÓN!A1062</f>
        <v>PTO-0802</v>
      </c>
      <c r="B1062" s="212" t="str">
        <f>COMPOSICIÓN!B1062</f>
        <v>MAT</v>
      </c>
      <c r="C1062" s="212" t="str">
        <f>COMPOSICIÓN!C1062</f>
        <v>OTR</v>
      </c>
      <c r="D1062" s="212" t="str">
        <f>COMPOSICIÓN!D1062</f>
        <v>OTR-037</v>
      </c>
      <c r="E1062" s="212" t="str">
        <f>COMPOSICIÓN!E1062</f>
        <v>Bombeo</v>
      </c>
      <c r="F1062" s="212" t="str">
        <f>COMPOSICIÓN!F1062</f>
        <v>m3</v>
      </c>
      <c r="G1062" s="213">
        <f>COMPOSICIÓN!G1062</f>
        <v>0.15891472868217099</v>
      </c>
      <c r="H1062" s="214">
        <f>COMPOSICIÓN!H1062</f>
        <v>0</v>
      </c>
      <c r="I1062" s="215">
        <f>COMPOSICIÓN!I1062</f>
        <v>5330</v>
      </c>
      <c r="J1062" s="212" t="str">
        <f>IFERROR(VLOOKUP(A1062,PARTIDAS!$A$2:$C$269,3,FALSE()),"")</f>
        <v>CONTRAPISOS Y CARPETAS</v>
      </c>
      <c r="K1062" s="212" t="str">
        <f>IFERROR(INDEX(PPTO_GENERADOR!$B$4:$B$220,MATCH(A1062,PPTO_GENERADOR!$Q$4:$Q$220,0)),"")</f>
        <v>CONTRAPISOS Y CARPETAS</v>
      </c>
      <c r="L1062" s="216">
        <f>IF(PLAN_ETAPA!$C$4="(TODOS)",SUMIFS(PPTO_GENERADOR!$E$4:$E$220,PPTO_GENERADOR!$Q$4:$Q$220,A1062),SUMIFS(PPTO_GENERADOR!$E$4:$E$220,PPTO_GENERADOR!$Q$4:$Q$220,A1062,PPTO_GENERADOR!$B$4:$B$220,PLAN_ETAPA!$C$4))</f>
        <v>0</v>
      </c>
      <c r="M1062" s="216">
        <f>IFERROR(VLOOKUP(A1062,PARTIDAS!$A$2:$F$269,6,FALSE()),1)</f>
        <v>1</v>
      </c>
      <c r="N1062" s="216">
        <f>IFERROR(VLOOKUP(A1062,PARTIDAS!$A$2:$I$269,9,FALSE()),1)</f>
        <v>1</v>
      </c>
      <c r="O1062" s="217">
        <f t="shared" si="32"/>
        <v>0</v>
      </c>
      <c r="P1062" s="216">
        <f>IF(O1062=0,0,IF(B1062="MAT",G1062*(1+H1062)*L1062*PLAN_ETAPA!$C$5,IF(B1062="MO",IF(M1062=0,0,G1062*L1062*PLAN_ETAPA!$C$5*N1062/M1062),IF(B1062="EQ",IF(M1062=0,0,G1062*L1062*PLAN_ETAPA!$C$5/M1062),0))))</f>
        <v>0</v>
      </c>
      <c r="Q1062" s="218">
        <f t="shared" si="33"/>
        <v>0</v>
      </c>
    </row>
    <row r="1063" spans="1:17" x14ac:dyDescent="0.35">
      <c r="A1063" s="212" t="str">
        <f>COMPOSICIÓN!A1063</f>
        <v>PTO-0802</v>
      </c>
      <c r="B1063" s="212" t="str">
        <f>COMPOSICIÓN!B1063</f>
        <v>MAT</v>
      </c>
      <c r="C1063" s="212" t="str">
        <f>COMPOSICIÓN!C1063</f>
        <v>OTR</v>
      </c>
      <c r="D1063" s="212" t="str">
        <f>COMPOSICIÓN!D1063</f>
        <v>OTR-PTO043</v>
      </c>
      <c r="E1063" s="212" t="str">
        <f>COMPOSICIÓN!E1063</f>
        <v>CEMENTO AVELLANEDA x 50 KG</v>
      </c>
      <c r="F1063" s="212" t="str">
        <f>COMPOSICIÓN!F1063</f>
        <v>bol</v>
      </c>
      <c r="G1063" s="213">
        <f>COMPOSICIÓN!G1063</f>
        <v>7.7519379844961198E-2</v>
      </c>
      <c r="H1063" s="214">
        <f>COMPOSICIÓN!H1063</f>
        <v>0</v>
      </c>
      <c r="I1063" s="215">
        <f>COMPOSICIÓN!I1063</f>
        <v>7809.48</v>
      </c>
      <c r="J1063" s="212" t="str">
        <f>IFERROR(VLOOKUP(A1063,PARTIDAS!$A$2:$C$269,3,FALSE()),"")</f>
        <v>CONTRAPISOS Y CARPETAS</v>
      </c>
      <c r="K1063" s="212" t="str">
        <f>IFERROR(INDEX(PPTO_GENERADOR!$B$4:$B$220,MATCH(A1063,PPTO_GENERADOR!$Q$4:$Q$220,0)),"")</f>
        <v>CONTRAPISOS Y CARPETAS</v>
      </c>
      <c r="L1063" s="216">
        <f>IF(PLAN_ETAPA!$C$4="(TODOS)",SUMIFS(PPTO_GENERADOR!$E$4:$E$220,PPTO_GENERADOR!$Q$4:$Q$220,A1063),SUMIFS(PPTO_GENERADOR!$E$4:$E$220,PPTO_GENERADOR!$Q$4:$Q$220,A1063,PPTO_GENERADOR!$B$4:$B$220,PLAN_ETAPA!$C$4))</f>
        <v>0</v>
      </c>
      <c r="M1063" s="216">
        <f>IFERROR(VLOOKUP(A1063,PARTIDAS!$A$2:$F$269,6,FALSE()),1)</f>
        <v>1</v>
      </c>
      <c r="N1063" s="216">
        <f>IFERROR(VLOOKUP(A1063,PARTIDAS!$A$2:$I$269,9,FALSE()),1)</f>
        <v>1</v>
      </c>
      <c r="O1063" s="217">
        <f t="shared" si="32"/>
        <v>0</v>
      </c>
      <c r="P1063" s="216">
        <f>IF(O1063=0,0,IF(B1063="MAT",G1063*(1+H1063)*L1063*PLAN_ETAPA!$C$5,IF(B1063="MO",IF(M1063=0,0,G1063*L1063*PLAN_ETAPA!$C$5*N1063/M1063),IF(B1063="EQ",IF(M1063=0,0,G1063*L1063*PLAN_ETAPA!$C$5/M1063),0))))</f>
        <v>0</v>
      </c>
      <c r="Q1063" s="218">
        <f t="shared" si="33"/>
        <v>0</v>
      </c>
    </row>
    <row r="1064" spans="1:17" x14ac:dyDescent="0.35">
      <c r="A1064" s="212" t="str">
        <f>COMPOSICIÓN!A1064</f>
        <v>PTO-0802</v>
      </c>
      <c r="B1064" s="212" t="str">
        <f>COMPOSICIÓN!B1064</f>
        <v>MAT</v>
      </c>
      <c r="C1064" s="212" t="str">
        <f>COMPOSICIÓN!C1064</f>
        <v>OTR</v>
      </c>
      <c r="D1064" s="212" t="str">
        <f>COMPOSICIÓN!D1064</f>
        <v>OTR-PTO082</v>
      </c>
      <c r="E1064" s="212" t="str">
        <f>COMPOSICIÓN!E1064</f>
        <v>Rollo Polietileno negro 2x50 mt x 200mic</v>
      </c>
      <c r="F1064" s="212" t="str">
        <f>COMPOSICIÓN!F1064</f>
        <v>rol</v>
      </c>
      <c r="G1064" s="213">
        <f>COMPOSICIÓN!G1064</f>
        <v>5.0000000000000001E-3</v>
      </c>
      <c r="H1064" s="214">
        <f>COMPOSICIÓN!H1064</f>
        <v>0</v>
      </c>
      <c r="I1064" s="215">
        <f>COMPOSICIÓN!I1064</f>
        <v>27000</v>
      </c>
      <c r="J1064" s="212" t="str">
        <f>IFERROR(VLOOKUP(A1064,PARTIDAS!$A$2:$C$269,3,FALSE()),"")</f>
        <v>CONTRAPISOS Y CARPETAS</v>
      </c>
      <c r="K1064" s="212" t="str">
        <f>IFERROR(INDEX(PPTO_GENERADOR!$B$4:$B$220,MATCH(A1064,PPTO_GENERADOR!$Q$4:$Q$220,0)),"")</f>
        <v>CONTRAPISOS Y CARPETAS</v>
      </c>
      <c r="L1064" s="216">
        <f>IF(PLAN_ETAPA!$C$4="(TODOS)",SUMIFS(PPTO_GENERADOR!$E$4:$E$220,PPTO_GENERADOR!$Q$4:$Q$220,A1064),SUMIFS(PPTO_GENERADOR!$E$4:$E$220,PPTO_GENERADOR!$Q$4:$Q$220,A1064,PPTO_GENERADOR!$B$4:$B$220,PLAN_ETAPA!$C$4))</f>
        <v>0</v>
      </c>
      <c r="M1064" s="216">
        <f>IFERROR(VLOOKUP(A1064,PARTIDAS!$A$2:$F$269,6,FALSE()),1)</f>
        <v>1</v>
      </c>
      <c r="N1064" s="216">
        <f>IFERROR(VLOOKUP(A1064,PARTIDAS!$A$2:$I$269,9,FALSE()),1)</f>
        <v>1</v>
      </c>
      <c r="O1064" s="217">
        <f t="shared" si="32"/>
        <v>0</v>
      </c>
      <c r="P1064" s="216">
        <f>IF(O1064=0,0,IF(B1064="MAT",G1064*(1+H1064)*L1064*PLAN_ETAPA!$C$5,IF(B1064="MO",IF(M1064=0,0,G1064*L1064*PLAN_ETAPA!$C$5*N1064/M1064),IF(B1064="EQ",IF(M1064=0,0,G1064*L1064*PLAN_ETAPA!$C$5/M1064),0))))</f>
        <v>0</v>
      </c>
      <c r="Q1064" s="218">
        <f t="shared" si="33"/>
        <v>0</v>
      </c>
    </row>
    <row r="1065" spans="1:17" x14ac:dyDescent="0.35">
      <c r="A1065" s="212" t="str">
        <f>COMPOSICIÓN!A1065</f>
        <v>PTO-0802</v>
      </c>
      <c r="B1065" s="212" t="str">
        <f>COMPOSICIÓN!B1065</f>
        <v>MAT</v>
      </c>
      <c r="C1065" s="212" t="str">
        <f>COMPOSICIÓN!C1065</f>
        <v>OTR</v>
      </c>
      <c r="D1065" s="212" t="str">
        <f>COMPOSICIÓN!D1065</f>
        <v>OTR-PTO084</v>
      </c>
      <c r="E1065" s="212" t="str">
        <f>COMPOSICIÓN!E1065</f>
        <v>H13 6.20</v>
      </c>
      <c r="F1065" s="212" t="str">
        <f>COMPOSICIÓN!F1065</f>
        <v>m3</v>
      </c>
      <c r="G1065" s="213">
        <f>COMPOSICIÓN!G1065</f>
        <v>0.15891472868217099</v>
      </c>
      <c r="H1065" s="214">
        <f>COMPOSICIÓN!H1065</f>
        <v>0</v>
      </c>
      <c r="I1065" s="215">
        <f>COMPOSICIÓN!I1065</f>
        <v>115100</v>
      </c>
      <c r="J1065" s="212" t="str">
        <f>IFERROR(VLOOKUP(A1065,PARTIDAS!$A$2:$C$269,3,FALSE()),"")</f>
        <v>CONTRAPISOS Y CARPETAS</v>
      </c>
      <c r="K1065" s="212" t="str">
        <f>IFERROR(INDEX(PPTO_GENERADOR!$B$4:$B$220,MATCH(A1065,PPTO_GENERADOR!$Q$4:$Q$220,0)),"")</f>
        <v>CONTRAPISOS Y CARPETAS</v>
      </c>
      <c r="L1065" s="216">
        <f>IF(PLAN_ETAPA!$C$4="(TODOS)",SUMIFS(PPTO_GENERADOR!$E$4:$E$220,PPTO_GENERADOR!$Q$4:$Q$220,A1065),SUMIFS(PPTO_GENERADOR!$E$4:$E$220,PPTO_GENERADOR!$Q$4:$Q$220,A1065,PPTO_GENERADOR!$B$4:$B$220,PLAN_ETAPA!$C$4))</f>
        <v>0</v>
      </c>
      <c r="M1065" s="216">
        <f>IFERROR(VLOOKUP(A1065,PARTIDAS!$A$2:$F$269,6,FALSE()),1)</f>
        <v>1</v>
      </c>
      <c r="N1065" s="216">
        <f>IFERROR(VLOOKUP(A1065,PARTIDAS!$A$2:$I$269,9,FALSE()),1)</f>
        <v>1</v>
      </c>
      <c r="O1065" s="217">
        <f t="shared" si="32"/>
        <v>0</v>
      </c>
      <c r="P1065" s="216">
        <f>IF(O1065=0,0,IF(B1065="MAT",G1065*(1+H1065)*L1065*PLAN_ETAPA!$C$5,IF(B1065="MO",IF(M1065=0,0,G1065*L1065*PLAN_ETAPA!$C$5*N1065/M1065),IF(B1065="EQ",IF(M1065=0,0,G1065*L1065*PLAN_ETAPA!$C$5/M1065),0))))</f>
        <v>0</v>
      </c>
      <c r="Q1065" s="218">
        <f t="shared" si="33"/>
        <v>0</v>
      </c>
    </row>
    <row r="1066" spans="1:17" x14ac:dyDescent="0.35">
      <c r="A1066" s="212" t="str">
        <f>COMPOSICIÓN!A1066</f>
        <v>PTO-0802</v>
      </c>
      <c r="B1066" s="212" t="str">
        <f>COMPOSICIÓN!B1066</f>
        <v>MAT</v>
      </c>
      <c r="C1066" s="212" t="str">
        <f>COMPOSICIÓN!C1066</f>
        <v>OTR</v>
      </c>
      <c r="D1066" s="212" t="str">
        <f>COMPOSICIÓN!D1066</f>
        <v>OTR-PTO085</v>
      </c>
      <c r="E1066" s="212" t="str">
        <f>COMPOSICIÓN!E1066</f>
        <v xml:space="preserve">Acarreo </v>
      </c>
      <c r="F1066" s="212" t="str">
        <f>COMPOSICIÓN!F1066</f>
        <v>gl</v>
      </c>
      <c r="G1066" s="213">
        <f>COMPOSICIÓN!G1066</f>
        <v>3.8759689922480598E-3</v>
      </c>
      <c r="H1066" s="214">
        <f>COMPOSICIÓN!H1066</f>
        <v>0</v>
      </c>
      <c r="I1066" s="215">
        <f>COMPOSICIÓN!I1066</f>
        <v>533000</v>
      </c>
      <c r="J1066" s="212" t="str">
        <f>IFERROR(VLOOKUP(A1066,PARTIDAS!$A$2:$C$269,3,FALSE()),"")</f>
        <v>CONTRAPISOS Y CARPETAS</v>
      </c>
      <c r="K1066" s="212" t="str">
        <f>IFERROR(INDEX(PPTO_GENERADOR!$B$4:$B$220,MATCH(A1066,PPTO_GENERADOR!$Q$4:$Q$220,0)),"")</f>
        <v>CONTRAPISOS Y CARPETAS</v>
      </c>
      <c r="L1066" s="216">
        <f>IF(PLAN_ETAPA!$C$4="(TODOS)",SUMIFS(PPTO_GENERADOR!$E$4:$E$220,PPTO_GENERADOR!$Q$4:$Q$220,A1066),SUMIFS(PPTO_GENERADOR!$E$4:$E$220,PPTO_GENERADOR!$Q$4:$Q$220,A1066,PPTO_GENERADOR!$B$4:$B$220,PLAN_ETAPA!$C$4))</f>
        <v>0</v>
      </c>
      <c r="M1066" s="216">
        <f>IFERROR(VLOOKUP(A1066,PARTIDAS!$A$2:$F$269,6,FALSE()),1)</f>
        <v>1</v>
      </c>
      <c r="N1066" s="216">
        <f>IFERROR(VLOOKUP(A1066,PARTIDAS!$A$2:$I$269,9,FALSE()),1)</f>
        <v>1</v>
      </c>
      <c r="O1066" s="217">
        <f t="shared" si="32"/>
        <v>0</v>
      </c>
      <c r="P1066" s="216">
        <f>IF(O1066=0,0,IF(B1066="MAT",G1066*(1+H1066)*L1066*PLAN_ETAPA!$C$5,IF(B1066="MO",IF(M1066=0,0,G1066*L1066*PLAN_ETAPA!$C$5*N1066/M1066),IF(B1066="EQ",IF(M1066=0,0,G1066*L1066*PLAN_ETAPA!$C$5/M1066),0))))</f>
        <v>0</v>
      </c>
      <c r="Q1066" s="218">
        <f t="shared" si="33"/>
        <v>0</v>
      </c>
    </row>
    <row r="1067" spans="1:17" x14ac:dyDescent="0.35">
      <c r="A1067" s="212" t="str">
        <f>COMPOSICIÓN!A1067</f>
        <v>PTO-0802</v>
      </c>
      <c r="B1067" s="212" t="str">
        <f>COMPOSICIÓN!B1067</f>
        <v>MAT</v>
      </c>
      <c r="C1067" s="212" t="str">
        <f>COMPOSICIÓN!C1067</f>
        <v>OTR</v>
      </c>
      <c r="D1067" s="212" t="str">
        <f>COMPOSICIÓN!D1067</f>
        <v>OTR-PTO086</v>
      </c>
      <c r="E1067" s="212" t="str">
        <f>COMPOSICIÓN!E1067</f>
        <v>Alquiler vibropison</v>
      </c>
      <c r="F1067" s="212" t="str">
        <f>COMPOSICIÓN!F1067</f>
        <v>sem</v>
      </c>
      <c r="G1067" s="213">
        <f>COMPOSICIÓN!G1067</f>
        <v>3.8759689922480598E-3</v>
      </c>
      <c r="H1067" s="214">
        <f>COMPOSICIÓN!H1067</f>
        <v>0</v>
      </c>
      <c r="I1067" s="215">
        <f>COMPOSICIÓN!I1067</f>
        <v>25000</v>
      </c>
      <c r="J1067" s="212" t="str">
        <f>IFERROR(VLOOKUP(A1067,PARTIDAS!$A$2:$C$269,3,FALSE()),"")</f>
        <v>CONTRAPISOS Y CARPETAS</v>
      </c>
      <c r="K1067" s="212" t="str">
        <f>IFERROR(INDEX(PPTO_GENERADOR!$B$4:$B$220,MATCH(A1067,PPTO_GENERADOR!$Q$4:$Q$220,0)),"")</f>
        <v>CONTRAPISOS Y CARPETAS</v>
      </c>
      <c r="L1067" s="216">
        <f>IF(PLAN_ETAPA!$C$4="(TODOS)",SUMIFS(PPTO_GENERADOR!$E$4:$E$220,PPTO_GENERADOR!$Q$4:$Q$220,A1067),SUMIFS(PPTO_GENERADOR!$E$4:$E$220,PPTO_GENERADOR!$Q$4:$Q$220,A1067,PPTO_GENERADOR!$B$4:$B$220,PLAN_ETAPA!$C$4))</f>
        <v>0</v>
      </c>
      <c r="M1067" s="216">
        <f>IFERROR(VLOOKUP(A1067,PARTIDAS!$A$2:$F$269,6,FALSE()),1)</f>
        <v>1</v>
      </c>
      <c r="N1067" s="216">
        <f>IFERROR(VLOOKUP(A1067,PARTIDAS!$A$2:$I$269,9,FALSE()),1)</f>
        <v>1</v>
      </c>
      <c r="O1067" s="217">
        <f t="shared" si="32"/>
        <v>0</v>
      </c>
      <c r="P1067" s="216">
        <f>IF(O1067=0,0,IF(B1067="MAT",G1067*(1+H1067)*L1067*PLAN_ETAPA!$C$5,IF(B1067="MO",IF(M1067=0,0,G1067*L1067*PLAN_ETAPA!$C$5*N1067/M1067),IF(B1067="EQ",IF(M1067=0,0,G1067*L1067*PLAN_ETAPA!$C$5/M1067),0))))</f>
        <v>0</v>
      </c>
      <c r="Q1067" s="218">
        <f t="shared" si="33"/>
        <v>0</v>
      </c>
    </row>
    <row r="1068" spans="1:17" x14ac:dyDescent="0.35">
      <c r="A1068" s="212" t="str">
        <f>COMPOSICIÓN!A1068</f>
        <v>PTO-0802</v>
      </c>
      <c r="B1068" s="212" t="str">
        <f>COMPOSICIÓN!B1068</f>
        <v>MO</v>
      </c>
      <c r="C1068" s="212" t="str">
        <f>COMPOSICIÓN!C1068</f>
        <v>ALB</v>
      </c>
      <c r="D1068" s="212" t="str">
        <f>COMPOSICIÓN!D1068</f>
        <v>MO-EAYUD</v>
      </c>
      <c r="E1068" s="212" t="str">
        <f>COMPOSICIÓN!E1068</f>
        <v>AYUDANTE</v>
      </c>
      <c r="F1068" s="212" t="str">
        <f>COMPOSICIÓN!F1068</f>
        <v>j</v>
      </c>
      <c r="G1068" s="213">
        <f>COMPOSICIÓN!G1068</f>
        <v>5.0387596899224799E-2</v>
      </c>
      <c r="H1068" s="214">
        <f>COMPOSICIÓN!H1068</f>
        <v>0</v>
      </c>
      <c r="I1068" s="215">
        <f>COMPOSICIÓN!I1068</f>
        <v>60860.580776572002</v>
      </c>
      <c r="J1068" s="212" t="str">
        <f>IFERROR(VLOOKUP(A1068,PARTIDAS!$A$2:$C$269,3,FALSE()),"")</f>
        <v>CONTRAPISOS Y CARPETAS</v>
      </c>
      <c r="K1068" s="212" t="str">
        <f>IFERROR(INDEX(PPTO_GENERADOR!$B$4:$B$220,MATCH(A1068,PPTO_GENERADOR!$Q$4:$Q$220,0)),"")</f>
        <v>CONTRAPISOS Y CARPETAS</v>
      </c>
      <c r="L1068" s="216">
        <f>IF(PLAN_ETAPA!$C$4="(TODOS)",SUMIFS(PPTO_GENERADOR!$E$4:$E$220,PPTO_GENERADOR!$Q$4:$Q$220,A1068),SUMIFS(PPTO_GENERADOR!$E$4:$E$220,PPTO_GENERADOR!$Q$4:$Q$220,A1068,PPTO_GENERADOR!$B$4:$B$220,PLAN_ETAPA!$C$4))</f>
        <v>0</v>
      </c>
      <c r="M1068" s="216">
        <f>IFERROR(VLOOKUP(A1068,PARTIDAS!$A$2:$F$269,6,FALSE()),1)</f>
        <v>1</v>
      </c>
      <c r="N1068" s="216">
        <f>IFERROR(VLOOKUP(A1068,PARTIDAS!$A$2:$I$269,9,FALSE()),1)</f>
        <v>1</v>
      </c>
      <c r="O1068" s="217">
        <f t="shared" si="32"/>
        <v>0</v>
      </c>
      <c r="P1068" s="216">
        <f>IF(O1068=0,0,IF(B1068="MAT",G1068*(1+H1068)*L1068*PLAN_ETAPA!$C$5,IF(B1068="MO",IF(M1068=0,0,G1068*L1068*PLAN_ETAPA!$C$5*N1068/M1068),IF(B1068="EQ",IF(M1068=0,0,G1068*L1068*PLAN_ETAPA!$C$5/M1068),0))))</f>
        <v>0</v>
      </c>
      <c r="Q1068" s="218">
        <f t="shared" si="33"/>
        <v>0</v>
      </c>
    </row>
    <row r="1069" spans="1:17" x14ac:dyDescent="0.35">
      <c r="A1069" s="212" t="str">
        <f>COMPOSICIÓN!A1069</f>
        <v>PTO-0802</v>
      </c>
      <c r="B1069" s="212" t="str">
        <f>COMPOSICIÓN!B1069</f>
        <v>MO</v>
      </c>
      <c r="C1069" s="212" t="str">
        <f>COMPOSICIÓN!C1069</f>
        <v>ALB</v>
      </c>
      <c r="D1069" s="212" t="str">
        <f>COMPOSICIÓN!D1069</f>
        <v>MO-EESPE</v>
      </c>
      <c r="E1069" s="212" t="str">
        <f>COMPOSICIÓN!E1069</f>
        <v>ESPECIALIZADO</v>
      </c>
      <c r="F1069" s="212" t="str">
        <f>COMPOSICIÓN!F1069</f>
        <v>j</v>
      </c>
      <c r="G1069" s="213">
        <f>COMPOSICIÓN!G1069</f>
        <v>3.8759689922480598E-3</v>
      </c>
      <c r="H1069" s="214">
        <f>COMPOSICIÓN!H1069</f>
        <v>0</v>
      </c>
      <c r="I1069" s="215">
        <f>COMPOSICIÓN!I1069</f>
        <v>85927.097156571996</v>
      </c>
      <c r="J1069" s="212" t="str">
        <f>IFERROR(VLOOKUP(A1069,PARTIDAS!$A$2:$C$269,3,FALSE()),"")</f>
        <v>CONTRAPISOS Y CARPETAS</v>
      </c>
      <c r="K1069" s="212" t="str">
        <f>IFERROR(INDEX(PPTO_GENERADOR!$B$4:$B$220,MATCH(A1069,PPTO_GENERADOR!$Q$4:$Q$220,0)),"")</f>
        <v>CONTRAPISOS Y CARPETAS</v>
      </c>
      <c r="L1069" s="216">
        <f>IF(PLAN_ETAPA!$C$4="(TODOS)",SUMIFS(PPTO_GENERADOR!$E$4:$E$220,PPTO_GENERADOR!$Q$4:$Q$220,A1069),SUMIFS(PPTO_GENERADOR!$E$4:$E$220,PPTO_GENERADOR!$Q$4:$Q$220,A1069,PPTO_GENERADOR!$B$4:$B$220,PLAN_ETAPA!$C$4))</f>
        <v>0</v>
      </c>
      <c r="M1069" s="216">
        <f>IFERROR(VLOOKUP(A1069,PARTIDAS!$A$2:$F$269,6,FALSE()),1)</f>
        <v>1</v>
      </c>
      <c r="N1069" s="216">
        <f>IFERROR(VLOOKUP(A1069,PARTIDAS!$A$2:$I$269,9,FALSE()),1)</f>
        <v>1</v>
      </c>
      <c r="O1069" s="217">
        <f t="shared" si="32"/>
        <v>0</v>
      </c>
      <c r="P1069" s="216">
        <f>IF(O1069=0,0,IF(B1069="MAT",G1069*(1+H1069)*L1069*PLAN_ETAPA!$C$5,IF(B1069="MO",IF(M1069=0,0,G1069*L1069*PLAN_ETAPA!$C$5*N1069/M1069),IF(B1069="EQ",IF(M1069=0,0,G1069*L1069*PLAN_ETAPA!$C$5/M1069),0))))</f>
        <v>0</v>
      </c>
      <c r="Q1069" s="218">
        <f t="shared" si="33"/>
        <v>0</v>
      </c>
    </row>
    <row r="1070" spans="1:17" x14ac:dyDescent="0.35">
      <c r="A1070" s="212" t="str">
        <f>COMPOSICIÓN!A1070</f>
        <v>PTO-0802</v>
      </c>
      <c r="B1070" s="212" t="str">
        <f>COMPOSICIÓN!B1070</f>
        <v>MO</v>
      </c>
      <c r="C1070" s="212" t="str">
        <f>COMPOSICIÓN!C1070</f>
        <v>ALB</v>
      </c>
      <c r="D1070" s="212" t="str">
        <f>COMPOSICIÓN!D1070</f>
        <v>MO-EMEDI</v>
      </c>
      <c r="E1070" s="212" t="str">
        <f>COMPOSICIÓN!E1070</f>
        <v>MEDIO OFICIAL</v>
      </c>
      <c r="F1070" s="212" t="str">
        <f>COMPOSICIÓN!F1070</f>
        <v>j</v>
      </c>
      <c r="G1070" s="213">
        <f>COMPOSICIÓN!G1070</f>
        <v>7.7519379844961196E-3</v>
      </c>
      <c r="H1070" s="214">
        <f>COMPOSICIÓN!H1070</f>
        <v>0</v>
      </c>
      <c r="I1070" s="215">
        <f>COMPOSICIÓN!I1070</f>
        <v>65493.071636572</v>
      </c>
      <c r="J1070" s="212" t="str">
        <f>IFERROR(VLOOKUP(A1070,PARTIDAS!$A$2:$C$269,3,FALSE()),"")</f>
        <v>CONTRAPISOS Y CARPETAS</v>
      </c>
      <c r="K1070" s="212" t="str">
        <f>IFERROR(INDEX(PPTO_GENERADOR!$B$4:$B$220,MATCH(A1070,PPTO_GENERADOR!$Q$4:$Q$220,0)),"")</f>
        <v>CONTRAPISOS Y CARPETAS</v>
      </c>
      <c r="L1070" s="216">
        <f>IF(PLAN_ETAPA!$C$4="(TODOS)",SUMIFS(PPTO_GENERADOR!$E$4:$E$220,PPTO_GENERADOR!$Q$4:$Q$220,A1070),SUMIFS(PPTO_GENERADOR!$E$4:$E$220,PPTO_GENERADOR!$Q$4:$Q$220,A1070,PPTO_GENERADOR!$B$4:$B$220,PLAN_ETAPA!$C$4))</f>
        <v>0</v>
      </c>
      <c r="M1070" s="216">
        <f>IFERROR(VLOOKUP(A1070,PARTIDAS!$A$2:$F$269,6,FALSE()),1)</f>
        <v>1</v>
      </c>
      <c r="N1070" s="216">
        <f>IFERROR(VLOOKUP(A1070,PARTIDAS!$A$2:$I$269,9,FALSE()),1)</f>
        <v>1</v>
      </c>
      <c r="O1070" s="217">
        <f t="shared" si="32"/>
        <v>0</v>
      </c>
      <c r="P1070" s="216">
        <f>IF(O1070=0,0,IF(B1070="MAT",G1070*(1+H1070)*L1070*PLAN_ETAPA!$C$5,IF(B1070="MO",IF(M1070=0,0,G1070*L1070*PLAN_ETAPA!$C$5*N1070/M1070),IF(B1070="EQ",IF(M1070=0,0,G1070*L1070*PLAN_ETAPA!$C$5/M1070),0))))</f>
        <v>0</v>
      </c>
      <c r="Q1070" s="218">
        <f t="shared" si="33"/>
        <v>0</v>
      </c>
    </row>
    <row r="1071" spans="1:17" x14ac:dyDescent="0.35">
      <c r="A1071" s="212" t="str">
        <f>COMPOSICIÓN!A1071</f>
        <v>PTO-0802</v>
      </c>
      <c r="B1071" s="212" t="str">
        <f>COMPOSICIÓN!B1071</f>
        <v>MO</v>
      </c>
      <c r="C1071" s="212" t="str">
        <f>COMPOSICIÓN!C1071</f>
        <v>ALB</v>
      </c>
      <c r="D1071" s="212" t="str">
        <f>COMPOSICIÓN!D1071</f>
        <v>MO-EOFIC</v>
      </c>
      <c r="E1071" s="212" t="str">
        <f>COMPOSICIÓN!E1071</f>
        <v>OFICIAL</v>
      </c>
      <c r="F1071" s="212" t="str">
        <f>COMPOSICIÓN!F1071</f>
        <v>j</v>
      </c>
      <c r="G1071" s="213">
        <f>COMPOSICIÓN!G1071</f>
        <v>2.32558139534884E-2</v>
      </c>
      <c r="H1071" s="214">
        <f>COMPOSICIÓN!H1071</f>
        <v>0</v>
      </c>
      <c r="I1071" s="215">
        <f>COMPOSICIÓN!I1071</f>
        <v>76955.079706571996</v>
      </c>
      <c r="J1071" s="212" t="str">
        <f>IFERROR(VLOOKUP(A1071,PARTIDAS!$A$2:$C$269,3,FALSE()),"")</f>
        <v>CONTRAPISOS Y CARPETAS</v>
      </c>
      <c r="K1071" s="212" t="str">
        <f>IFERROR(INDEX(PPTO_GENERADOR!$B$4:$B$220,MATCH(A1071,PPTO_GENERADOR!$Q$4:$Q$220,0)),"")</f>
        <v>CONTRAPISOS Y CARPETAS</v>
      </c>
      <c r="L1071" s="216">
        <f>IF(PLAN_ETAPA!$C$4="(TODOS)",SUMIFS(PPTO_GENERADOR!$E$4:$E$220,PPTO_GENERADOR!$Q$4:$Q$220,A1071),SUMIFS(PPTO_GENERADOR!$E$4:$E$220,PPTO_GENERADOR!$Q$4:$Q$220,A1071,PPTO_GENERADOR!$B$4:$B$220,PLAN_ETAPA!$C$4))</f>
        <v>0</v>
      </c>
      <c r="M1071" s="216">
        <f>IFERROR(VLOOKUP(A1071,PARTIDAS!$A$2:$F$269,6,FALSE()),1)</f>
        <v>1</v>
      </c>
      <c r="N1071" s="216">
        <f>IFERROR(VLOOKUP(A1071,PARTIDAS!$A$2:$I$269,9,FALSE()),1)</f>
        <v>1</v>
      </c>
      <c r="O1071" s="217">
        <f t="shared" si="32"/>
        <v>0</v>
      </c>
      <c r="P1071" s="216">
        <f>IF(O1071=0,0,IF(B1071="MAT",G1071*(1+H1071)*L1071*PLAN_ETAPA!$C$5,IF(B1071="MO",IF(M1071=0,0,G1071*L1071*PLAN_ETAPA!$C$5*N1071/M1071),IF(B1071="EQ",IF(M1071=0,0,G1071*L1071*PLAN_ETAPA!$C$5/M1071),0))))</f>
        <v>0</v>
      </c>
      <c r="Q1071" s="218">
        <f t="shared" si="33"/>
        <v>0</v>
      </c>
    </row>
    <row r="1072" spans="1:17" x14ac:dyDescent="0.35">
      <c r="A1072" s="212" t="str">
        <f>COMPOSICIÓN!A1072</f>
        <v>PTO-0802</v>
      </c>
      <c r="B1072" s="212" t="str">
        <f>COMPOSICIÓN!B1072</f>
        <v>MO</v>
      </c>
      <c r="C1072" s="212" t="str">
        <f>COMPOSICIÓN!C1072</f>
        <v>OTR</v>
      </c>
      <c r="D1072" s="212" t="str">
        <f>COMPOSICIÓN!D1072</f>
        <v>SUB-VIBRO2</v>
      </c>
      <c r="E1072" s="212" t="str">
        <f>COMPOSICIÓN!E1072</f>
        <v>Alquiler vibropison</v>
      </c>
      <c r="F1072" s="212" t="str">
        <f>COMPOSICIÓN!F1072</f>
        <v>j</v>
      </c>
      <c r="G1072" s="213">
        <f>COMPOSICIÓN!G1072</f>
        <v>3.8759689922480598E-3</v>
      </c>
      <c r="H1072" s="214">
        <f>COMPOSICIÓN!H1072</f>
        <v>0</v>
      </c>
      <c r="I1072" s="215">
        <f>COMPOSICIÓN!I1072</f>
        <v>230000</v>
      </c>
      <c r="J1072" s="212" t="str">
        <f>IFERROR(VLOOKUP(A1072,PARTIDAS!$A$2:$C$269,3,FALSE()),"")</f>
        <v>CONTRAPISOS Y CARPETAS</v>
      </c>
      <c r="K1072" s="212" t="str">
        <f>IFERROR(INDEX(PPTO_GENERADOR!$B$4:$B$220,MATCH(A1072,PPTO_GENERADOR!$Q$4:$Q$220,0)),"")</f>
        <v>CONTRAPISOS Y CARPETAS</v>
      </c>
      <c r="L1072" s="216">
        <f>IF(PLAN_ETAPA!$C$4="(TODOS)",SUMIFS(PPTO_GENERADOR!$E$4:$E$220,PPTO_GENERADOR!$Q$4:$Q$220,A1072),SUMIFS(PPTO_GENERADOR!$E$4:$E$220,PPTO_GENERADOR!$Q$4:$Q$220,A1072,PPTO_GENERADOR!$B$4:$B$220,PLAN_ETAPA!$C$4))</f>
        <v>0</v>
      </c>
      <c r="M1072" s="216">
        <f>IFERROR(VLOOKUP(A1072,PARTIDAS!$A$2:$F$269,6,FALSE()),1)</f>
        <v>1</v>
      </c>
      <c r="N1072" s="216">
        <f>IFERROR(VLOOKUP(A1072,PARTIDAS!$A$2:$I$269,9,FALSE()),1)</f>
        <v>1</v>
      </c>
      <c r="O1072" s="217">
        <f t="shared" si="32"/>
        <v>0</v>
      </c>
      <c r="P1072" s="216">
        <f>IF(O1072=0,0,IF(B1072="MAT",G1072*(1+H1072)*L1072*PLAN_ETAPA!$C$5,IF(B1072="MO",IF(M1072=0,0,G1072*L1072*PLAN_ETAPA!$C$5*N1072/M1072),IF(B1072="EQ",IF(M1072=0,0,G1072*L1072*PLAN_ETAPA!$C$5/M1072),0))))</f>
        <v>0</v>
      </c>
      <c r="Q1072" s="218">
        <f t="shared" si="33"/>
        <v>0</v>
      </c>
    </row>
    <row r="1073" spans="1:17" x14ac:dyDescent="0.35">
      <c r="A1073" s="212" t="str">
        <f>COMPOSICIÓN!A1073</f>
        <v>PTO-0803</v>
      </c>
      <c r="B1073" s="212" t="str">
        <f>COMPOSICIÓN!B1073</f>
        <v>EQ</v>
      </c>
      <c r="C1073" s="212">
        <f>COMPOSICIÓN!C1073</f>
        <v>0</v>
      </c>
      <c r="D1073" s="212" t="str">
        <f>COMPOSICIÓN!D1073</f>
        <v>EQ-EQALBA</v>
      </c>
      <c r="E1073" s="212" t="str">
        <f>COMPOSICIÓN!E1073</f>
        <v>EQUIPO DE ALBAÑILERIA, carpetas, ladrillo</v>
      </c>
      <c r="F1073" s="212">
        <f>COMPOSICIÓN!F1073</f>
        <v>0</v>
      </c>
      <c r="G1073" s="213">
        <f>COMPOSICIÓN!G1073</f>
        <v>1</v>
      </c>
      <c r="H1073" s="214">
        <f>COMPOSICIÓN!H1073</f>
        <v>0</v>
      </c>
      <c r="I1073" s="215">
        <f>COMPOSICIÓN!I1073</f>
        <v>2287.1357450968057</v>
      </c>
      <c r="J1073" s="212" t="str">
        <f>IFERROR(VLOOKUP(A1073,PARTIDAS!$A$2:$C$269,3,FALSE()),"")</f>
        <v>CONTRAPISOS Y CARPETAS</v>
      </c>
      <c r="K1073" s="212" t="str">
        <f>IFERROR(INDEX(PPTO_GENERADOR!$B$4:$B$220,MATCH(A1073,PPTO_GENERADOR!$Q$4:$Q$220,0)),"")</f>
        <v>CONTRAPISOS Y CARPETAS</v>
      </c>
      <c r="L1073" s="216">
        <f>IF(PLAN_ETAPA!$C$4="(TODOS)",SUMIFS(PPTO_GENERADOR!$E$4:$E$220,PPTO_GENERADOR!$Q$4:$Q$220,A1073),SUMIFS(PPTO_GENERADOR!$E$4:$E$220,PPTO_GENERADOR!$Q$4:$Q$220,A1073,PPTO_GENERADOR!$B$4:$B$220,PLAN_ETAPA!$C$4))</f>
        <v>0</v>
      </c>
      <c r="M1073" s="216">
        <f>IFERROR(VLOOKUP(A1073,PARTIDAS!$A$2:$F$269,6,FALSE()),1)</f>
        <v>35</v>
      </c>
      <c r="N1073" s="216">
        <f>IFERROR(VLOOKUP(A1073,PARTIDAS!$A$2:$I$269,9,FALSE()),1)</f>
        <v>1</v>
      </c>
      <c r="O1073" s="217">
        <f t="shared" si="32"/>
        <v>0</v>
      </c>
      <c r="P1073" s="216">
        <f>IF(O1073=0,0,IF(B1073="MAT",G1073*(1+H1073)*L1073*PLAN_ETAPA!$C$5,IF(B1073="MO",IF(M1073=0,0,G1073*L1073*PLAN_ETAPA!$C$5*N1073/M1073),IF(B1073="EQ",IF(M1073=0,0,G1073*L1073*PLAN_ETAPA!$C$5/M1073),0))))</f>
        <v>0</v>
      </c>
      <c r="Q1073" s="218">
        <f t="shared" si="33"/>
        <v>0</v>
      </c>
    </row>
    <row r="1074" spans="1:17" x14ac:dyDescent="0.35">
      <c r="A1074" s="212" t="str">
        <f>COMPOSICIÓN!A1074</f>
        <v>PTO-0803</v>
      </c>
      <c r="B1074" s="212" t="str">
        <f>COMPOSICIÓN!B1074</f>
        <v>EQ</v>
      </c>
      <c r="C1074" s="212">
        <f>COMPOSICIÓN!C1074</f>
        <v>0</v>
      </c>
      <c r="D1074" s="212" t="str">
        <f>COMPOSICIÓN!D1074</f>
        <v>EQ-TROMPO</v>
      </c>
      <c r="E1074" s="212" t="str">
        <f>COMPOSICIÓN!E1074</f>
        <v>Hormigonera De 150 Litros 1hp Con Rueda Maciza</v>
      </c>
      <c r="F1074" s="212">
        <f>COMPOSICIÓN!F1074</f>
        <v>0</v>
      </c>
      <c r="G1074" s="213">
        <f>COMPOSICIÓN!G1074</f>
        <v>2</v>
      </c>
      <c r="H1074" s="214">
        <f>COMPOSICIÓN!H1074</f>
        <v>0</v>
      </c>
      <c r="I1074" s="215">
        <f>COMPOSICIÓN!I1074</f>
        <v>957.25319614994726</v>
      </c>
      <c r="J1074" s="212" t="str">
        <f>IFERROR(VLOOKUP(A1074,PARTIDAS!$A$2:$C$269,3,FALSE()),"")</f>
        <v>CONTRAPISOS Y CARPETAS</v>
      </c>
      <c r="K1074" s="212" t="str">
        <f>IFERROR(INDEX(PPTO_GENERADOR!$B$4:$B$220,MATCH(A1074,PPTO_GENERADOR!$Q$4:$Q$220,0)),"")</f>
        <v>CONTRAPISOS Y CARPETAS</v>
      </c>
      <c r="L1074" s="216">
        <f>IF(PLAN_ETAPA!$C$4="(TODOS)",SUMIFS(PPTO_GENERADOR!$E$4:$E$220,PPTO_GENERADOR!$Q$4:$Q$220,A1074),SUMIFS(PPTO_GENERADOR!$E$4:$E$220,PPTO_GENERADOR!$Q$4:$Q$220,A1074,PPTO_GENERADOR!$B$4:$B$220,PLAN_ETAPA!$C$4))</f>
        <v>0</v>
      </c>
      <c r="M1074" s="216">
        <f>IFERROR(VLOOKUP(A1074,PARTIDAS!$A$2:$F$269,6,FALSE()),1)</f>
        <v>35</v>
      </c>
      <c r="N1074" s="216">
        <f>IFERROR(VLOOKUP(A1074,PARTIDAS!$A$2:$I$269,9,FALSE()),1)</f>
        <v>1</v>
      </c>
      <c r="O1074" s="217">
        <f t="shared" si="32"/>
        <v>0</v>
      </c>
      <c r="P1074" s="216">
        <f>IF(O1074=0,0,IF(B1074="MAT",G1074*(1+H1074)*L1074*PLAN_ETAPA!$C$5,IF(B1074="MO",IF(M1074=0,0,G1074*L1074*PLAN_ETAPA!$C$5*N1074/M1074),IF(B1074="EQ",IF(M1074=0,0,G1074*L1074*PLAN_ETAPA!$C$5/M1074),0))))</f>
        <v>0</v>
      </c>
      <c r="Q1074" s="218">
        <f t="shared" si="33"/>
        <v>0</v>
      </c>
    </row>
    <row r="1075" spans="1:17" x14ac:dyDescent="0.35">
      <c r="A1075" s="212" t="str">
        <f>COMPOSICIÓN!A1075</f>
        <v>PTO-0803</v>
      </c>
      <c r="B1075" s="212" t="str">
        <f>COMPOSICIÓN!B1075</f>
        <v>MAT</v>
      </c>
      <c r="C1075" s="212" t="str">
        <f>COMPOSICIÓN!C1075</f>
        <v>OTR</v>
      </c>
      <c r="D1075" s="212" t="str">
        <f>COMPOSICIÓN!D1075</f>
        <v>ADT-001</v>
      </c>
      <c r="E1075" s="212" t="str">
        <f>COMPOSICIÓN!E1075</f>
        <v>Sika Poro Plus x 10 kg</v>
      </c>
      <c r="F1075" s="212" t="str">
        <f>COMPOSICIÓN!F1075</f>
        <v>b</v>
      </c>
      <c r="G1075" s="213">
        <f>COMPOSICIÓN!G1075</f>
        <v>2.4499999999999999E-3</v>
      </c>
      <c r="H1075" s="214">
        <f>COMPOSICIÓN!H1075</f>
        <v>0.05</v>
      </c>
      <c r="I1075" s="215">
        <f>COMPOSICIÓN!I1075</f>
        <v>252066.115702479</v>
      </c>
      <c r="J1075" s="212" t="str">
        <f>IFERROR(VLOOKUP(A1075,PARTIDAS!$A$2:$C$269,3,FALSE()),"")</f>
        <v>CONTRAPISOS Y CARPETAS</v>
      </c>
      <c r="K1075" s="212" t="str">
        <f>IFERROR(INDEX(PPTO_GENERADOR!$B$4:$B$220,MATCH(A1075,PPTO_GENERADOR!$Q$4:$Q$220,0)),"")</f>
        <v>CONTRAPISOS Y CARPETAS</v>
      </c>
      <c r="L1075" s="216">
        <f>IF(PLAN_ETAPA!$C$4="(TODOS)",SUMIFS(PPTO_GENERADOR!$E$4:$E$220,PPTO_GENERADOR!$Q$4:$Q$220,A1075),SUMIFS(PPTO_GENERADOR!$E$4:$E$220,PPTO_GENERADOR!$Q$4:$Q$220,A1075,PPTO_GENERADOR!$B$4:$B$220,PLAN_ETAPA!$C$4))</f>
        <v>0</v>
      </c>
      <c r="M1075" s="216">
        <f>IFERROR(VLOOKUP(A1075,PARTIDAS!$A$2:$F$269,6,FALSE()),1)</f>
        <v>35</v>
      </c>
      <c r="N1075" s="216">
        <f>IFERROR(VLOOKUP(A1075,PARTIDAS!$A$2:$I$269,9,FALSE()),1)</f>
        <v>1</v>
      </c>
      <c r="O1075" s="217">
        <f t="shared" si="32"/>
        <v>0</v>
      </c>
      <c r="P1075" s="216">
        <f>IF(O1075=0,0,IF(B1075="MAT",G1075*(1+H1075)*L1075*PLAN_ETAPA!$C$5,IF(B1075="MO",IF(M1075=0,0,G1075*L1075*PLAN_ETAPA!$C$5*N1075/M1075),IF(B1075="EQ",IF(M1075=0,0,G1075*L1075*PLAN_ETAPA!$C$5/M1075),0))))</f>
        <v>0</v>
      </c>
      <c r="Q1075" s="218">
        <f t="shared" si="33"/>
        <v>0</v>
      </c>
    </row>
    <row r="1076" spans="1:17" x14ac:dyDescent="0.35">
      <c r="A1076" s="212" t="str">
        <f>COMPOSICIÓN!A1076</f>
        <v>PTO-0803</v>
      </c>
      <c r="B1076" s="212" t="str">
        <f>COMPOSICIÓN!B1076</f>
        <v>MAT</v>
      </c>
      <c r="C1076" s="212" t="str">
        <f>COMPOSICIÓN!C1076</f>
        <v>OTR</v>
      </c>
      <c r="D1076" s="212" t="str">
        <f>COMPOSICIÓN!D1076</f>
        <v>AGR-001</v>
      </c>
      <c r="E1076" s="212" t="str">
        <f>COMPOSICIÓN!E1076</f>
        <v>ARENA LAVADA</v>
      </c>
      <c r="F1076" s="212" t="str">
        <f>COMPOSICIÓN!F1076</f>
        <v>m3</v>
      </c>
      <c r="G1076" s="213">
        <f>COMPOSICIÓN!G1076</f>
        <v>5.9499999999999997E-2</v>
      </c>
      <c r="H1076" s="214">
        <f>COMPOSICIÓN!H1076</f>
        <v>0.1</v>
      </c>
      <c r="I1076" s="215">
        <f>COMPOSICIÓN!I1076</f>
        <v>32399.77</v>
      </c>
      <c r="J1076" s="212" t="str">
        <f>IFERROR(VLOOKUP(A1076,PARTIDAS!$A$2:$C$269,3,FALSE()),"")</f>
        <v>CONTRAPISOS Y CARPETAS</v>
      </c>
      <c r="K1076" s="212" t="str">
        <f>IFERROR(INDEX(PPTO_GENERADOR!$B$4:$B$220,MATCH(A1076,PPTO_GENERADOR!$Q$4:$Q$220,0)),"")</f>
        <v>CONTRAPISOS Y CARPETAS</v>
      </c>
      <c r="L1076" s="216">
        <f>IF(PLAN_ETAPA!$C$4="(TODOS)",SUMIFS(PPTO_GENERADOR!$E$4:$E$220,PPTO_GENERADOR!$Q$4:$Q$220,A1076),SUMIFS(PPTO_GENERADOR!$E$4:$E$220,PPTO_GENERADOR!$Q$4:$Q$220,A1076,PPTO_GENERADOR!$B$4:$B$220,PLAN_ETAPA!$C$4))</f>
        <v>0</v>
      </c>
      <c r="M1076" s="216">
        <f>IFERROR(VLOOKUP(A1076,PARTIDAS!$A$2:$F$269,6,FALSE()),1)</f>
        <v>35</v>
      </c>
      <c r="N1076" s="216">
        <f>IFERROR(VLOOKUP(A1076,PARTIDAS!$A$2:$I$269,9,FALSE()),1)</f>
        <v>1</v>
      </c>
      <c r="O1076" s="217">
        <f t="shared" si="32"/>
        <v>0</v>
      </c>
      <c r="P1076" s="216">
        <f>IF(O1076=0,0,IF(B1076="MAT",G1076*(1+H1076)*L1076*PLAN_ETAPA!$C$5,IF(B1076="MO",IF(M1076=0,0,G1076*L1076*PLAN_ETAPA!$C$5*N1076/M1076),IF(B1076="EQ",IF(M1076=0,0,G1076*L1076*PLAN_ETAPA!$C$5/M1076),0))))</f>
        <v>0</v>
      </c>
      <c r="Q1076" s="218">
        <f t="shared" si="33"/>
        <v>0</v>
      </c>
    </row>
    <row r="1077" spans="1:17" x14ac:dyDescent="0.35">
      <c r="A1077" s="212" t="str">
        <f>COMPOSICIÓN!A1077</f>
        <v>PTO-0803</v>
      </c>
      <c r="B1077" s="212" t="str">
        <f>COMPOSICIÓN!B1077</f>
        <v>MAT</v>
      </c>
      <c r="C1077" s="212" t="str">
        <f>COMPOSICIÓN!C1077</f>
        <v>OTR</v>
      </c>
      <c r="D1077" s="212" t="str">
        <f>COMPOSICIÓN!D1077</f>
        <v>AGR-004</v>
      </c>
      <c r="E1077" s="212" t="str">
        <f>COMPOSICIÓN!E1077</f>
        <v>Cemento Portland x 50kg</v>
      </c>
      <c r="F1077" s="212" t="str">
        <f>COMPOSICIÓN!F1077</f>
        <v>Bol</v>
      </c>
      <c r="G1077" s="213">
        <f>COMPOSICIÓN!G1077</f>
        <v>0.42</v>
      </c>
      <c r="H1077" s="214">
        <f>COMPOSICIÓN!H1077</f>
        <v>0.1</v>
      </c>
      <c r="I1077" s="215">
        <f>COMPOSICIÓN!I1077</f>
        <v>7809.48</v>
      </c>
      <c r="J1077" s="212" t="str">
        <f>IFERROR(VLOOKUP(A1077,PARTIDAS!$A$2:$C$269,3,FALSE()),"")</f>
        <v>CONTRAPISOS Y CARPETAS</v>
      </c>
      <c r="K1077" s="212" t="str">
        <f>IFERROR(INDEX(PPTO_GENERADOR!$B$4:$B$220,MATCH(A1077,PPTO_GENERADOR!$Q$4:$Q$220,0)),"")</f>
        <v>CONTRAPISOS Y CARPETAS</v>
      </c>
      <c r="L1077" s="216">
        <f>IF(PLAN_ETAPA!$C$4="(TODOS)",SUMIFS(PPTO_GENERADOR!$E$4:$E$220,PPTO_GENERADOR!$Q$4:$Q$220,A1077),SUMIFS(PPTO_GENERADOR!$E$4:$E$220,PPTO_GENERADOR!$Q$4:$Q$220,A1077,PPTO_GENERADOR!$B$4:$B$220,PLAN_ETAPA!$C$4))</f>
        <v>0</v>
      </c>
      <c r="M1077" s="216">
        <f>IFERROR(VLOOKUP(A1077,PARTIDAS!$A$2:$F$269,6,FALSE()),1)</f>
        <v>35</v>
      </c>
      <c r="N1077" s="216">
        <f>IFERROR(VLOOKUP(A1077,PARTIDAS!$A$2:$I$269,9,FALSE()),1)</f>
        <v>1</v>
      </c>
      <c r="O1077" s="217">
        <f t="shared" si="32"/>
        <v>0</v>
      </c>
      <c r="P1077" s="216">
        <f>IF(O1077=0,0,IF(B1077="MAT",G1077*(1+H1077)*L1077*PLAN_ETAPA!$C$5,IF(B1077="MO",IF(M1077=0,0,G1077*L1077*PLAN_ETAPA!$C$5*N1077/M1077),IF(B1077="EQ",IF(M1077=0,0,G1077*L1077*PLAN_ETAPA!$C$5/M1077),0))))</f>
        <v>0</v>
      </c>
      <c r="Q1077" s="218">
        <f t="shared" si="33"/>
        <v>0</v>
      </c>
    </row>
    <row r="1078" spans="1:17" x14ac:dyDescent="0.35">
      <c r="A1078" s="212" t="str">
        <f>COMPOSICIÓN!A1078</f>
        <v>PTO-0803</v>
      </c>
      <c r="B1078" s="212" t="str">
        <f>COMPOSICIÓN!B1078</f>
        <v>MAT</v>
      </c>
      <c r="C1078" s="212" t="str">
        <f>COMPOSICIÓN!C1078</f>
        <v>OTR</v>
      </c>
      <c r="D1078" s="212" t="str">
        <f>COMPOSICIÓN!D1078</f>
        <v>AGR-005</v>
      </c>
      <c r="E1078" s="212" t="str">
        <f>COMPOSICIÓN!E1078</f>
        <v>Cal Comun x 25kg</v>
      </c>
      <c r="F1078" s="212" t="str">
        <f>COMPOSICIÓN!F1078</f>
        <v>bol</v>
      </c>
      <c r="G1078" s="213">
        <f>COMPOSICIÓN!G1078</f>
        <v>0.14000000000000001</v>
      </c>
      <c r="H1078" s="214">
        <f>COMPOSICIÓN!H1078</f>
        <v>0.1</v>
      </c>
      <c r="I1078" s="215">
        <f>COMPOSICIÓN!I1078</f>
        <v>3837.96</v>
      </c>
      <c r="J1078" s="212" t="str">
        <f>IFERROR(VLOOKUP(A1078,PARTIDAS!$A$2:$C$269,3,FALSE()),"")</f>
        <v>CONTRAPISOS Y CARPETAS</v>
      </c>
      <c r="K1078" s="212" t="str">
        <f>IFERROR(INDEX(PPTO_GENERADOR!$B$4:$B$220,MATCH(A1078,PPTO_GENERADOR!$Q$4:$Q$220,0)),"")</f>
        <v>CONTRAPISOS Y CARPETAS</v>
      </c>
      <c r="L1078" s="216">
        <f>IF(PLAN_ETAPA!$C$4="(TODOS)",SUMIFS(PPTO_GENERADOR!$E$4:$E$220,PPTO_GENERADOR!$Q$4:$Q$220,A1078),SUMIFS(PPTO_GENERADOR!$E$4:$E$220,PPTO_GENERADOR!$Q$4:$Q$220,A1078,PPTO_GENERADOR!$B$4:$B$220,PLAN_ETAPA!$C$4))</f>
        <v>0</v>
      </c>
      <c r="M1078" s="216">
        <f>IFERROR(VLOOKUP(A1078,PARTIDAS!$A$2:$F$269,6,FALSE()),1)</f>
        <v>35</v>
      </c>
      <c r="N1078" s="216">
        <f>IFERROR(VLOOKUP(A1078,PARTIDAS!$A$2:$I$269,9,FALSE()),1)</f>
        <v>1</v>
      </c>
      <c r="O1078" s="217">
        <f t="shared" si="32"/>
        <v>0</v>
      </c>
      <c r="P1078" s="216">
        <f>IF(O1078=0,0,IF(B1078="MAT",G1078*(1+H1078)*L1078*PLAN_ETAPA!$C$5,IF(B1078="MO",IF(M1078=0,0,G1078*L1078*PLAN_ETAPA!$C$5*N1078/M1078),IF(B1078="EQ",IF(M1078=0,0,G1078*L1078*PLAN_ETAPA!$C$5/M1078),0))))</f>
        <v>0</v>
      </c>
      <c r="Q1078" s="218">
        <f t="shared" si="33"/>
        <v>0</v>
      </c>
    </row>
    <row r="1079" spans="1:17" x14ac:dyDescent="0.35">
      <c r="A1079" s="212" t="str">
        <f>COMPOSICIÓN!A1079</f>
        <v>PTO-0803</v>
      </c>
      <c r="B1079" s="212" t="str">
        <f>COMPOSICIÓN!B1079</f>
        <v>MO</v>
      </c>
      <c r="C1079" s="212" t="str">
        <f>COMPOSICIÓN!C1079</f>
        <v>ALB</v>
      </c>
      <c r="D1079" s="212" t="str">
        <f>COMPOSICIÓN!D1079</f>
        <v>MO-EAYUD</v>
      </c>
      <c r="E1079" s="212" t="str">
        <f>COMPOSICIÓN!E1079</f>
        <v>AYUDANTE</v>
      </c>
      <c r="F1079" s="212" t="str">
        <f>COMPOSICIÓN!F1079</f>
        <v>j</v>
      </c>
      <c r="G1079" s="213">
        <f>COMPOSICIÓN!G1079</f>
        <v>3</v>
      </c>
      <c r="H1079" s="214">
        <f>COMPOSICIÓN!H1079</f>
        <v>0</v>
      </c>
      <c r="I1079" s="215">
        <f>COMPOSICIÓN!I1079</f>
        <v>60860.580776572002</v>
      </c>
      <c r="J1079" s="212" t="str">
        <f>IFERROR(VLOOKUP(A1079,PARTIDAS!$A$2:$C$269,3,FALSE()),"")</f>
        <v>CONTRAPISOS Y CARPETAS</v>
      </c>
      <c r="K1079" s="212" t="str">
        <f>IFERROR(INDEX(PPTO_GENERADOR!$B$4:$B$220,MATCH(A1079,PPTO_GENERADOR!$Q$4:$Q$220,0)),"")</f>
        <v>CONTRAPISOS Y CARPETAS</v>
      </c>
      <c r="L1079" s="216">
        <f>IF(PLAN_ETAPA!$C$4="(TODOS)",SUMIFS(PPTO_GENERADOR!$E$4:$E$220,PPTO_GENERADOR!$Q$4:$Q$220,A1079),SUMIFS(PPTO_GENERADOR!$E$4:$E$220,PPTO_GENERADOR!$Q$4:$Q$220,A1079,PPTO_GENERADOR!$B$4:$B$220,PLAN_ETAPA!$C$4))</f>
        <v>0</v>
      </c>
      <c r="M1079" s="216">
        <f>IFERROR(VLOOKUP(A1079,PARTIDAS!$A$2:$F$269,6,FALSE()),1)</f>
        <v>35</v>
      </c>
      <c r="N1079" s="216">
        <f>IFERROR(VLOOKUP(A1079,PARTIDAS!$A$2:$I$269,9,FALSE()),1)</f>
        <v>1</v>
      </c>
      <c r="O1079" s="217">
        <f t="shared" si="32"/>
        <v>0</v>
      </c>
      <c r="P1079" s="216">
        <f>IF(O1079=0,0,IF(B1079="MAT",G1079*(1+H1079)*L1079*PLAN_ETAPA!$C$5,IF(B1079="MO",IF(M1079=0,0,G1079*L1079*PLAN_ETAPA!$C$5*N1079/M1079),IF(B1079="EQ",IF(M1079=0,0,G1079*L1079*PLAN_ETAPA!$C$5/M1079),0))))</f>
        <v>0</v>
      </c>
      <c r="Q1079" s="218">
        <f t="shared" si="33"/>
        <v>0</v>
      </c>
    </row>
    <row r="1080" spans="1:17" x14ac:dyDescent="0.35">
      <c r="A1080" s="212" t="str">
        <f>COMPOSICIÓN!A1080</f>
        <v>PTO-0803</v>
      </c>
      <c r="B1080" s="212" t="str">
        <f>COMPOSICIÓN!B1080</f>
        <v>MO</v>
      </c>
      <c r="C1080" s="212" t="str">
        <f>COMPOSICIÓN!C1080</f>
        <v>ALB</v>
      </c>
      <c r="D1080" s="212" t="str">
        <f>COMPOSICIÓN!D1080</f>
        <v>MO-EESPE</v>
      </c>
      <c r="E1080" s="212" t="str">
        <f>COMPOSICIÓN!E1080</f>
        <v>ESPECIALIZADO</v>
      </c>
      <c r="F1080" s="212" t="str">
        <f>COMPOSICIÓN!F1080</f>
        <v>j</v>
      </c>
      <c r="G1080" s="213">
        <f>COMPOSICIÓN!G1080</f>
        <v>2</v>
      </c>
      <c r="H1080" s="214">
        <f>COMPOSICIÓN!H1080</f>
        <v>0</v>
      </c>
      <c r="I1080" s="215">
        <f>COMPOSICIÓN!I1080</f>
        <v>85927.097156571996</v>
      </c>
      <c r="J1080" s="212" t="str">
        <f>IFERROR(VLOOKUP(A1080,PARTIDAS!$A$2:$C$269,3,FALSE()),"")</f>
        <v>CONTRAPISOS Y CARPETAS</v>
      </c>
      <c r="K1080" s="212" t="str">
        <f>IFERROR(INDEX(PPTO_GENERADOR!$B$4:$B$220,MATCH(A1080,PPTO_GENERADOR!$Q$4:$Q$220,0)),"")</f>
        <v>CONTRAPISOS Y CARPETAS</v>
      </c>
      <c r="L1080" s="216">
        <f>IF(PLAN_ETAPA!$C$4="(TODOS)",SUMIFS(PPTO_GENERADOR!$E$4:$E$220,PPTO_GENERADOR!$Q$4:$Q$220,A1080),SUMIFS(PPTO_GENERADOR!$E$4:$E$220,PPTO_GENERADOR!$Q$4:$Q$220,A1080,PPTO_GENERADOR!$B$4:$B$220,PLAN_ETAPA!$C$4))</f>
        <v>0</v>
      </c>
      <c r="M1080" s="216">
        <f>IFERROR(VLOOKUP(A1080,PARTIDAS!$A$2:$F$269,6,FALSE()),1)</f>
        <v>35</v>
      </c>
      <c r="N1080" s="216">
        <f>IFERROR(VLOOKUP(A1080,PARTIDAS!$A$2:$I$269,9,FALSE()),1)</f>
        <v>1</v>
      </c>
      <c r="O1080" s="217">
        <f t="shared" si="32"/>
        <v>0</v>
      </c>
      <c r="P1080" s="216">
        <f>IF(O1080=0,0,IF(B1080="MAT",G1080*(1+H1080)*L1080*PLAN_ETAPA!$C$5,IF(B1080="MO",IF(M1080=0,0,G1080*L1080*PLAN_ETAPA!$C$5*N1080/M1080),IF(B1080="EQ",IF(M1080=0,0,G1080*L1080*PLAN_ETAPA!$C$5/M1080),0))))</f>
        <v>0</v>
      </c>
      <c r="Q1080" s="218">
        <f t="shared" si="33"/>
        <v>0</v>
      </c>
    </row>
    <row r="1081" spans="1:17" x14ac:dyDescent="0.35">
      <c r="A1081" s="212" t="str">
        <f>COMPOSICIÓN!A1081</f>
        <v>PTO-0804</v>
      </c>
      <c r="B1081" s="212" t="str">
        <f>COMPOSICIÓN!B1081</f>
        <v>EQ</v>
      </c>
      <c r="C1081" s="212">
        <f>COMPOSICIÓN!C1081</f>
        <v>0</v>
      </c>
      <c r="D1081" s="212" t="str">
        <f>COMPOSICIÓN!D1081</f>
        <v>EQ-PTO052</v>
      </c>
      <c r="E1081" s="212" t="str">
        <f>COMPOSICIÓN!E1081</f>
        <v>Herramientas menores y consumibles - Contrapiso alivianado en azoteas (RDC), e: 15 cm</v>
      </c>
      <c r="F1081" s="212">
        <f>COMPOSICIÓN!F1081</f>
        <v>0</v>
      </c>
      <c r="G1081" s="213">
        <f>COMPOSICIÓN!G1081</f>
        <v>1</v>
      </c>
      <c r="H1081" s="214">
        <f>COMPOSICIÓN!H1081</f>
        <v>0</v>
      </c>
      <c r="I1081" s="215">
        <f>COMPOSICIÓN!I1081</f>
        <v>447.47765896838598</v>
      </c>
      <c r="J1081" s="212" t="str">
        <f>IFERROR(VLOOKUP(A1081,PARTIDAS!$A$2:$C$269,3,FALSE()),"")</f>
        <v>CONTRAPISOS Y CARPETAS</v>
      </c>
      <c r="K1081" s="212" t="str">
        <f>IFERROR(INDEX(PPTO_GENERADOR!$B$4:$B$220,MATCH(A1081,PPTO_GENERADOR!$Q$4:$Q$220,0)),"")</f>
        <v>CONTRAPISOS Y CARPETAS</v>
      </c>
      <c r="L1081" s="216">
        <f>IF(PLAN_ETAPA!$C$4="(TODOS)",SUMIFS(PPTO_GENERADOR!$E$4:$E$220,PPTO_GENERADOR!$Q$4:$Q$220,A1081),SUMIFS(PPTO_GENERADOR!$E$4:$E$220,PPTO_GENERADOR!$Q$4:$Q$220,A1081,PPTO_GENERADOR!$B$4:$B$220,PLAN_ETAPA!$C$4))</f>
        <v>0</v>
      </c>
      <c r="M1081" s="216">
        <f>IFERROR(VLOOKUP(A1081,PARTIDAS!$A$2:$F$269,6,FALSE()),1)</f>
        <v>1</v>
      </c>
      <c r="N1081" s="216">
        <f>IFERROR(VLOOKUP(A1081,PARTIDAS!$A$2:$I$269,9,FALSE()),1)</f>
        <v>1</v>
      </c>
      <c r="O1081" s="217">
        <f t="shared" si="32"/>
        <v>0</v>
      </c>
      <c r="P1081" s="216">
        <f>IF(O1081=0,0,IF(B1081="MAT",G1081*(1+H1081)*L1081*PLAN_ETAPA!$C$5,IF(B1081="MO",IF(M1081=0,0,G1081*L1081*PLAN_ETAPA!$C$5*N1081/M1081),IF(B1081="EQ",IF(M1081=0,0,G1081*L1081*PLAN_ETAPA!$C$5/M1081),0))))</f>
        <v>0</v>
      </c>
      <c r="Q1081" s="218">
        <f t="shared" si="33"/>
        <v>0</v>
      </c>
    </row>
    <row r="1082" spans="1:17" x14ac:dyDescent="0.35">
      <c r="A1082" s="212" t="str">
        <f>COMPOSICIÓN!A1082</f>
        <v>PTO-0804</v>
      </c>
      <c r="B1082" s="212" t="str">
        <f>COMPOSICIÓN!B1082</f>
        <v>MAT</v>
      </c>
      <c r="C1082" s="212" t="str">
        <f>COMPOSICIÓN!C1082</f>
        <v>COR</v>
      </c>
      <c r="D1082" s="212" t="str">
        <f>COMPOSICIÓN!D1082</f>
        <v>OTR-PTO087</v>
      </c>
      <c r="E1082" s="212" t="str">
        <f>COMPOSICIÓN!E1082</f>
        <v>Tomado de puntos y niveles</v>
      </c>
      <c r="F1082" s="212" t="str">
        <f>COMPOSICIÓN!F1082</f>
        <v>d</v>
      </c>
      <c r="G1082" s="213">
        <f>COMPOSICIÓN!G1082</f>
        <v>1.4999999999999999E-2</v>
      </c>
      <c r="H1082" s="214">
        <f>COMPOSICIÓN!H1082</f>
        <v>0</v>
      </c>
      <c r="I1082" s="215">
        <f>COMPOSICIÓN!I1082</f>
        <v>20000</v>
      </c>
      <c r="J1082" s="212" t="str">
        <f>IFERROR(VLOOKUP(A1082,PARTIDAS!$A$2:$C$269,3,FALSE()),"")</f>
        <v>CONTRAPISOS Y CARPETAS</v>
      </c>
      <c r="K1082" s="212" t="str">
        <f>IFERROR(INDEX(PPTO_GENERADOR!$B$4:$B$220,MATCH(A1082,PPTO_GENERADOR!$Q$4:$Q$220,0)),"")</f>
        <v>CONTRAPISOS Y CARPETAS</v>
      </c>
      <c r="L1082" s="216">
        <f>IF(PLAN_ETAPA!$C$4="(TODOS)",SUMIFS(PPTO_GENERADOR!$E$4:$E$220,PPTO_GENERADOR!$Q$4:$Q$220,A1082),SUMIFS(PPTO_GENERADOR!$E$4:$E$220,PPTO_GENERADOR!$Q$4:$Q$220,A1082,PPTO_GENERADOR!$B$4:$B$220,PLAN_ETAPA!$C$4))</f>
        <v>0</v>
      </c>
      <c r="M1082" s="216">
        <f>IFERROR(VLOOKUP(A1082,PARTIDAS!$A$2:$F$269,6,FALSE()),1)</f>
        <v>1</v>
      </c>
      <c r="N1082" s="216">
        <f>IFERROR(VLOOKUP(A1082,PARTIDAS!$A$2:$I$269,9,FALSE()),1)</f>
        <v>1</v>
      </c>
      <c r="O1082" s="217">
        <f t="shared" si="32"/>
        <v>0</v>
      </c>
      <c r="P1082" s="216">
        <f>IF(O1082=0,0,IF(B1082="MAT",G1082*(1+H1082)*L1082*PLAN_ETAPA!$C$5,IF(B1082="MO",IF(M1082=0,0,G1082*L1082*PLAN_ETAPA!$C$5*N1082/M1082),IF(B1082="EQ",IF(M1082=0,0,G1082*L1082*PLAN_ETAPA!$C$5/M1082),0))))</f>
        <v>0</v>
      </c>
      <c r="Q1082" s="218">
        <f t="shared" si="33"/>
        <v>0</v>
      </c>
    </row>
    <row r="1083" spans="1:17" x14ac:dyDescent="0.35">
      <c r="A1083" s="212" t="str">
        <f>COMPOSICIÓN!A1083</f>
        <v>PTO-0804</v>
      </c>
      <c r="B1083" s="212" t="str">
        <f>COMPOSICIÓN!B1083</f>
        <v>MAT</v>
      </c>
      <c r="C1083" s="212" t="str">
        <f>COMPOSICIÓN!C1083</f>
        <v>OTR</v>
      </c>
      <c r="D1083" s="212" t="str">
        <f>COMPOSICIÓN!D1083</f>
        <v>OTR-037</v>
      </c>
      <c r="E1083" s="212" t="str">
        <f>COMPOSICIÓN!E1083</f>
        <v>Bombeo</v>
      </c>
      <c r="F1083" s="212" t="str">
        <f>COMPOSICIÓN!F1083</f>
        <v>m3</v>
      </c>
      <c r="G1083" s="213">
        <f>COMPOSICIÓN!G1083</f>
        <v>0.16500000000000001</v>
      </c>
      <c r="H1083" s="214">
        <f>COMPOSICIÓN!H1083</f>
        <v>0</v>
      </c>
      <c r="I1083" s="215">
        <f>COMPOSICIÓN!I1083</f>
        <v>5330</v>
      </c>
      <c r="J1083" s="212" t="str">
        <f>IFERROR(VLOOKUP(A1083,PARTIDAS!$A$2:$C$269,3,FALSE()),"")</f>
        <v>CONTRAPISOS Y CARPETAS</v>
      </c>
      <c r="K1083" s="212" t="str">
        <f>IFERROR(INDEX(PPTO_GENERADOR!$B$4:$B$220,MATCH(A1083,PPTO_GENERADOR!$Q$4:$Q$220,0)),"")</f>
        <v>CONTRAPISOS Y CARPETAS</v>
      </c>
      <c r="L1083" s="216">
        <f>IF(PLAN_ETAPA!$C$4="(TODOS)",SUMIFS(PPTO_GENERADOR!$E$4:$E$220,PPTO_GENERADOR!$Q$4:$Q$220,A1083),SUMIFS(PPTO_GENERADOR!$E$4:$E$220,PPTO_GENERADOR!$Q$4:$Q$220,A1083,PPTO_GENERADOR!$B$4:$B$220,PLAN_ETAPA!$C$4))</f>
        <v>0</v>
      </c>
      <c r="M1083" s="216">
        <f>IFERROR(VLOOKUP(A1083,PARTIDAS!$A$2:$F$269,6,FALSE()),1)</f>
        <v>1</v>
      </c>
      <c r="N1083" s="216">
        <f>IFERROR(VLOOKUP(A1083,PARTIDAS!$A$2:$I$269,9,FALSE()),1)</f>
        <v>1</v>
      </c>
      <c r="O1083" s="217">
        <f t="shared" si="32"/>
        <v>0</v>
      </c>
      <c r="P1083" s="216">
        <f>IF(O1083=0,0,IF(B1083="MAT",G1083*(1+H1083)*L1083*PLAN_ETAPA!$C$5,IF(B1083="MO",IF(M1083=0,0,G1083*L1083*PLAN_ETAPA!$C$5*N1083/M1083),IF(B1083="EQ",IF(M1083=0,0,G1083*L1083*PLAN_ETAPA!$C$5/M1083),0))))</f>
        <v>0</v>
      </c>
      <c r="Q1083" s="218">
        <f t="shared" si="33"/>
        <v>0</v>
      </c>
    </row>
    <row r="1084" spans="1:17" x14ac:dyDescent="0.35">
      <c r="A1084" s="212" t="str">
        <f>COMPOSICIÓN!A1084</f>
        <v>PTO-0804</v>
      </c>
      <c r="B1084" s="212" t="str">
        <f>COMPOSICIÓN!B1084</f>
        <v>MAT</v>
      </c>
      <c r="C1084" s="212" t="str">
        <f>COMPOSICIÓN!C1084</f>
        <v>OTR</v>
      </c>
      <c r="D1084" s="212" t="str">
        <f>COMPOSICIÓN!D1084</f>
        <v>OTR-PTO085</v>
      </c>
      <c r="E1084" s="212" t="str">
        <f>COMPOSICIÓN!E1084</f>
        <v xml:space="preserve">Acarreo </v>
      </c>
      <c r="F1084" s="212" t="str">
        <f>COMPOSICIÓN!F1084</f>
        <v>gl</v>
      </c>
      <c r="G1084" s="213">
        <f>COMPOSICIÓN!G1084</f>
        <v>5.0000000000000001E-3</v>
      </c>
      <c r="H1084" s="214">
        <f>COMPOSICIÓN!H1084</f>
        <v>0</v>
      </c>
      <c r="I1084" s="215">
        <f>COMPOSICIÓN!I1084</f>
        <v>533000</v>
      </c>
      <c r="J1084" s="212" t="str">
        <f>IFERROR(VLOOKUP(A1084,PARTIDAS!$A$2:$C$269,3,FALSE()),"")</f>
        <v>CONTRAPISOS Y CARPETAS</v>
      </c>
      <c r="K1084" s="212" t="str">
        <f>IFERROR(INDEX(PPTO_GENERADOR!$B$4:$B$220,MATCH(A1084,PPTO_GENERADOR!$Q$4:$Q$220,0)),"")</f>
        <v>CONTRAPISOS Y CARPETAS</v>
      </c>
      <c r="L1084" s="216">
        <f>IF(PLAN_ETAPA!$C$4="(TODOS)",SUMIFS(PPTO_GENERADOR!$E$4:$E$220,PPTO_GENERADOR!$Q$4:$Q$220,A1084),SUMIFS(PPTO_GENERADOR!$E$4:$E$220,PPTO_GENERADOR!$Q$4:$Q$220,A1084,PPTO_GENERADOR!$B$4:$B$220,PLAN_ETAPA!$C$4))</f>
        <v>0</v>
      </c>
      <c r="M1084" s="216">
        <f>IFERROR(VLOOKUP(A1084,PARTIDAS!$A$2:$F$269,6,FALSE()),1)</f>
        <v>1</v>
      </c>
      <c r="N1084" s="216">
        <f>IFERROR(VLOOKUP(A1084,PARTIDAS!$A$2:$I$269,9,FALSE()),1)</f>
        <v>1</v>
      </c>
      <c r="O1084" s="217">
        <f t="shared" si="32"/>
        <v>0</v>
      </c>
      <c r="P1084" s="216">
        <f>IF(O1084=0,0,IF(B1084="MAT",G1084*(1+H1084)*L1084*PLAN_ETAPA!$C$5,IF(B1084="MO",IF(M1084=0,0,G1084*L1084*PLAN_ETAPA!$C$5*N1084/M1084),IF(B1084="EQ",IF(M1084=0,0,G1084*L1084*PLAN_ETAPA!$C$5/M1084),0))))</f>
        <v>0</v>
      </c>
      <c r="Q1084" s="218">
        <f t="shared" si="33"/>
        <v>0</v>
      </c>
    </row>
    <row r="1085" spans="1:17" x14ac:dyDescent="0.35">
      <c r="A1085" s="212" t="str">
        <f>COMPOSICIÓN!A1085</f>
        <v>PTO-0804</v>
      </c>
      <c r="B1085" s="212" t="str">
        <f>COMPOSICIÓN!B1085</f>
        <v>MAT</v>
      </c>
      <c r="C1085" s="212" t="str">
        <f>COMPOSICIÓN!C1085</f>
        <v>OTR</v>
      </c>
      <c r="D1085" s="212" t="str">
        <f>COMPOSICIÓN!D1085</f>
        <v>OTR-PTO088</v>
      </c>
      <c r="E1085" s="212" t="str">
        <f>COMPOSICIÓN!E1085</f>
        <v xml:space="preserve">RDC 350 </v>
      </c>
      <c r="F1085" s="212" t="str">
        <f>COMPOSICIÓN!F1085</f>
        <v>m3</v>
      </c>
      <c r="G1085" s="213">
        <f>COMPOSICIÓN!G1085</f>
        <v>0.16500000000000001</v>
      </c>
      <c r="H1085" s="214">
        <f>COMPOSICIÓN!H1085</f>
        <v>0</v>
      </c>
      <c r="I1085" s="215">
        <f>COMPOSICIÓN!I1085</f>
        <v>125000</v>
      </c>
      <c r="J1085" s="212" t="str">
        <f>IFERROR(VLOOKUP(A1085,PARTIDAS!$A$2:$C$269,3,FALSE()),"")</f>
        <v>CONTRAPISOS Y CARPETAS</v>
      </c>
      <c r="K1085" s="212" t="str">
        <f>IFERROR(INDEX(PPTO_GENERADOR!$B$4:$B$220,MATCH(A1085,PPTO_GENERADOR!$Q$4:$Q$220,0)),"")</f>
        <v>CONTRAPISOS Y CARPETAS</v>
      </c>
      <c r="L1085" s="216">
        <f>IF(PLAN_ETAPA!$C$4="(TODOS)",SUMIFS(PPTO_GENERADOR!$E$4:$E$220,PPTO_GENERADOR!$Q$4:$Q$220,A1085),SUMIFS(PPTO_GENERADOR!$E$4:$E$220,PPTO_GENERADOR!$Q$4:$Q$220,A1085,PPTO_GENERADOR!$B$4:$B$220,PLAN_ETAPA!$C$4))</f>
        <v>0</v>
      </c>
      <c r="M1085" s="216">
        <f>IFERROR(VLOOKUP(A1085,PARTIDAS!$A$2:$F$269,6,FALSE()),1)</f>
        <v>1</v>
      </c>
      <c r="N1085" s="216">
        <f>IFERROR(VLOOKUP(A1085,PARTIDAS!$A$2:$I$269,9,FALSE()),1)</f>
        <v>1</v>
      </c>
      <c r="O1085" s="217">
        <f t="shared" si="32"/>
        <v>0</v>
      </c>
      <c r="P1085" s="216">
        <f>IF(O1085=0,0,IF(B1085="MAT",G1085*(1+H1085)*L1085*PLAN_ETAPA!$C$5,IF(B1085="MO",IF(M1085=0,0,G1085*L1085*PLAN_ETAPA!$C$5*N1085/M1085),IF(B1085="EQ",IF(M1085=0,0,G1085*L1085*PLAN_ETAPA!$C$5/M1085),0))))</f>
        <v>0</v>
      </c>
      <c r="Q1085" s="218">
        <f t="shared" si="33"/>
        <v>0</v>
      </c>
    </row>
    <row r="1086" spans="1:17" x14ac:dyDescent="0.35">
      <c r="A1086" s="212" t="str">
        <f>COMPOSICIÓN!A1086</f>
        <v>PTO-0804</v>
      </c>
      <c r="B1086" s="212" t="str">
        <f>COMPOSICIÓN!B1086</f>
        <v>MO</v>
      </c>
      <c r="C1086" s="212" t="str">
        <f>COMPOSICIÓN!C1086</f>
        <v>ALB</v>
      </c>
      <c r="D1086" s="212" t="str">
        <f>COMPOSICIÓN!D1086</f>
        <v>MO-EAYUD</v>
      </c>
      <c r="E1086" s="212" t="str">
        <f>COMPOSICIÓN!E1086</f>
        <v>AYUDANTE</v>
      </c>
      <c r="F1086" s="212" t="str">
        <f>COMPOSICIÓN!F1086</f>
        <v>j</v>
      </c>
      <c r="G1086" s="213">
        <f>COMPOSICIÓN!G1086</f>
        <v>4.4999999999999998E-2</v>
      </c>
      <c r="H1086" s="214">
        <f>COMPOSICIÓN!H1086</f>
        <v>0</v>
      </c>
      <c r="I1086" s="215">
        <f>COMPOSICIÓN!I1086</f>
        <v>60860.580776572002</v>
      </c>
      <c r="J1086" s="212" t="str">
        <f>IFERROR(VLOOKUP(A1086,PARTIDAS!$A$2:$C$269,3,FALSE()),"")</f>
        <v>CONTRAPISOS Y CARPETAS</v>
      </c>
      <c r="K1086" s="212" t="str">
        <f>IFERROR(INDEX(PPTO_GENERADOR!$B$4:$B$220,MATCH(A1086,PPTO_GENERADOR!$Q$4:$Q$220,0)),"")</f>
        <v>CONTRAPISOS Y CARPETAS</v>
      </c>
      <c r="L1086" s="216">
        <f>IF(PLAN_ETAPA!$C$4="(TODOS)",SUMIFS(PPTO_GENERADOR!$E$4:$E$220,PPTO_GENERADOR!$Q$4:$Q$220,A1086),SUMIFS(PPTO_GENERADOR!$E$4:$E$220,PPTO_GENERADOR!$Q$4:$Q$220,A1086,PPTO_GENERADOR!$B$4:$B$220,PLAN_ETAPA!$C$4))</f>
        <v>0</v>
      </c>
      <c r="M1086" s="216">
        <f>IFERROR(VLOOKUP(A1086,PARTIDAS!$A$2:$F$269,6,FALSE()),1)</f>
        <v>1</v>
      </c>
      <c r="N1086" s="216">
        <f>IFERROR(VLOOKUP(A1086,PARTIDAS!$A$2:$I$269,9,FALSE()),1)</f>
        <v>1</v>
      </c>
      <c r="O1086" s="217">
        <f t="shared" si="32"/>
        <v>0</v>
      </c>
      <c r="P1086" s="216">
        <f>IF(O1086=0,0,IF(B1086="MAT",G1086*(1+H1086)*L1086*PLAN_ETAPA!$C$5,IF(B1086="MO",IF(M1086=0,0,G1086*L1086*PLAN_ETAPA!$C$5*N1086/M1086),IF(B1086="EQ",IF(M1086=0,0,G1086*L1086*PLAN_ETAPA!$C$5/M1086),0))))</f>
        <v>0</v>
      </c>
      <c r="Q1086" s="218">
        <f t="shared" si="33"/>
        <v>0</v>
      </c>
    </row>
    <row r="1087" spans="1:17" x14ac:dyDescent="0.35">
      <c r="A1087" s="212" t="str">
        <f>COMPOSICIÓN!A1087</f>
        <v>PTO-0804</v>
      </c>
      <c r="B1087" s="212" t="str">
        <f>COMPOSICIÓN!B1087</f>
        <v>MO</v>
      </c>
      <c r="C1087" s="212" t="str">
        <f>COMPOSICIÓN!C1087</f>
        <v>ALB</v>
      </c>
      <c r="D1087" s="212" t="str">
        <f>COMPOSICIÓN!D1087</f>
        <v>MO-EESPE</v>
      </c>
      <c r="E1087" s="212" t="str">
        <f>COMPOSICIÓN!E1087</f>
        <v>ESPECIALIZADO</v>
      </c>
      <c r="F1087" s="212" t="str">
        <f>COMPOSICIÓN!F1087</f>
        <v>j</v>
      </c>
      <c r="G1087" s="213">
        <f>COMPOSICIÓN!G1087</f>
        <v>5.0000000000000001E-3</v>
      </c>
      <c r="H1087" s="214">
        <f>COMPOSICIÓN!H1087</f>
        <v>0</v>
      </c>
      <c r="I1087" s="215">
        <f>COMPOSICIÓN!I1087</f>
        <v>85927.097156571996</v>
      </c>
      <c r="J1087" s="212" t="str">
        <f>IFERROR(VLOOKUP(A1087,PARTIDAS!$A$2:$C$269,3,FALSE()),"")</f>
        <v>CONTRAPISOS Y CARPETAS</v>
      </c>
      <c r="K1087" s="212" t="str">
        <f>IFERROR(INDEX(PPTO_GENERADOR!$B$4:$B$220,MATCH(A1087,PPTO_GENERADOR!$Q$4:$Q$220,0)),"")</f>
        <v>CONTRAPISOS Y CARPETAS</v>
      </c>
      <c r="L1087" s="216">
        <f>IF(PLAN_ETAPA!$C$4="(TODOS)",SUMIFS(PPTO_GENERADOR!$E$4:$E$220,PPTO_GENERADOR!$Q$4:$Q$220,A1087),SUMIFS(PPTO_GENERADOR!$E$4:$E$220,PPTO_GENERADOR!$Q$4:$Q$220,A1087,PPTO_GENERADOR!$B$4:$B$220,PLAN_ETAPA!$C$4))</f>
        <v>0</v>
      </c>
      <c r="M1087" s="216">
        <f>IFERROR(VLOOKUP(A1087,PARTIDAS!$A$2:$F$269,6,FALSE()),1)</f>
        <v>1</v>
      </c>
      <c r="N1087" s="216">
        <f>IFERROR(VLOOKUP(A1087,PARTIDAS!$A$2:$I$269,9,FALSE()),1)</f>
        <v>1</v>
      </c>
      <c r="O1087" s="217">
        <f t="shared" si="32"/>
        <v>0</v>
      </c>
      <c r="P1087" s="216">
        <f>IF(O1087=0,0,IF(B1087="MAT",G1087*(1+H1087)*L1087*PLAN_ETAPA!$C$5,IF(B1087="MO",IF(M1087=0,0,G1087*L1087*PLAN_ETAPA!$C$5*N1087/M1087),IF(B1087="EQ",IF(M1087=0,0,G1087*L1087*PLAN_ETAPA!$C$5/M1087),0))))</f>
        <v>0</v>
      </c>
      <c r="Q1087" s="218">
        <f t="shared" si="33"/>
        <v>0</v>
      </c>
    </row>
    <row r="1088" spans="1:17" x14ac:dyDescent="0.35">
      <c r="A1088" s="212" t="str">
        <f>COMPOSICIÓN!A1088</f>
        <v>PTO-0804</v>
      </c>
      <c r="B1088" s="212" t="str">
        <f>COMPOSICIÓN!B1088</f>
        <v>MO</v>
      </c>
      <c r="C1088" s="212" t="str">
        <f>COMPOSICIÓN!C1088</f>
        <v>ALB</v>
      </c>
      <c r="D1088" s="212" t="str">
        <f>COMPOSICIÓN!D1088</f>
        <v>MO-EMEDI</v>
      </c>
      <c r="E1088" s="212" t="str">
        <f>COMPOSICIÓN!E1088</f>
        <v>MEDIO OFICIAL</v>
      </c>
      <c r="F1088" s="212" t="str">
        <f>COMPOSICIÓN!F1088</f>
        <v>j</v>
      </c>
      <c r="G1088" s="213">
        <f>COMPOSICIÓN!G1088</f>
        <v>0.01</v>
      </c>
      <c r="H1088" s="214">
        <f>COMPOSICIÓN!H1088</f>
        <v>0</v>
      </c>
      <c r="I1088" s="215">
        <f>COMPOSICIÓN!I1088</f>
        <v>65493.071636572</v>
      </c>
      <c r="J1088" s="212" t="str">
        <f>IFERROR(VLOOKUP(A1088,PARTIDAS!$A$2:$C$269,3,FALSE()),"")</f>
        <v>CONTRAPISOS Y CARPETAS</v>
      </c>
      <c r="K1088" s="212" t="str">
        <f>IFERROR(INDEX(PPTO_GENERADOR!$B$4:$B$220,MATCH(A1088,PPTO_GENERADOR!$Q$4:$Q$220,0)),"")</f>
        <v>CONTRAPISOS Y CARPETAS</v>
      </c>
      <c r="L1088" s="216">
        <f>IF(PLAN_ETAPA!$C$4="(TODOS)",SUMIFS(PPTO_GENERADOR!$E$4:$E$220,PPTO_GENERADOR!$Q$4:$Q$220,A1088),SUMIFS(PPTO_GENERADOR!$E$4:$E$220,PPTO_GENERADOR!$Q$4:$Q$220,A1088,PPTO_GENERADOR!$B$4:$B$220,PLAN_ETAPA!$C$4))</f>
        <v>0</v>
      </c>
      <c r="M1088" s="216">
        <f>IFERROR(VLOOKUP(A1088,PARTIDAS!$A$2:$F$269,6,FALSE()),1)</f>
        <v>1</v>
      </c>
      <c r="N1088" s="216">
        <f>IFERROR(VLOOKUP(A1088,PARTIDAS!$A$2:$I$269,9,FALSE()),1)</f>
        <v>1</v>
      </c>
      <c r="O1088" s="217">
        <f t="shared" si="32"/>
        <v>0</v>
      </c>
      <c r="P1088" s="216">
        <f>IF(O1088=0,0,IF(B1088="MAT",G1088*(1+H1088)*L1088*PLAN_ETAPA!$C$5,IF(B1088="MO",IF(M1088=0,0,G1088*L1088*PLAN_ETAPA!$C$5*N1088/M1088),IF(B1088="EQ",IF(M1088=0,0,G1088*L1088*PLAN_ETAPA!$C$5/M1088),0))))</f>
        <v>0</v>
      </c>
      <c r="Q1088" s="218">
        <f t="shared" si="33"/>
        <v>0</v>
      </c>
    </row>
    <row r="1089" spans="1:17" x14ac:dyDescent="0.35">
      <c r="A1089" s="212" t="str">
        <f>COMPOSICIÓN!A1089</f>
        <v>PTO-0804</v>
      </c>
      <c r="B1089" s="212" t="str">
        <f>COMPOSICIÓN!B1089</f>
        <v>MO</v>
      </c>
      <c r="C1089" s="212" t="str">
        <f>COMPOSICIÓN!C1089</f>
        <v>ALB</v>
      </c>
      <c r="D1089" s="212" t="str">
        <f>COMPOSICIÓN!D1089</f>
        <v>MO-EOFIC</v>
      </c>
      <c r="E1089" s="212" t="str">
        <f>COMPOSICIÓN!E1089</f>
        <v>OFICIAL</v>
      </c>
      <c r="F1089" s="212" t="str">
        <f>COMPOSICIÓN!F1089</f>
        <v>j</v>
      </c>
      <c r="G1089" s="213">
        <f>COMPOSICIÓN!G1089</f>
        <v>0.02</v>
      </c>
      <c r="H1089" s="214">
        <f>COMPOSICIÓN!H1089</f>
        <v>0</v>
      </c>
      <c r="I1089" s="215">
        <f>COMPOSICIÓN!I1089</f>
        <v>76955.079706571996</v>
      </c>
      <c r="J1089" s="212" t="str">
        <f>IFERROR(VLOOKUP(A1089,PARTIDAS!$A$2:$C$269,3,FALSE()),"")</f>
        <v>CONTRAPISOS Y CARPETAS</v>
      </c>
      <c r="K1089" s="212" t="str">
        <f>IFERROR(INDEX(PPTO_GENERADOR!$B$4:$B$220,MATCH(A1089,PPTO_GENERADOR!$Q$4:$Q$220,0)),"")</f>
        <v>CONTRAPISOS Y CARPETAS</v>
      </c>
      <c r="L1089" s="216">
        <f>IF(PLAN_ETAPA!$C$4="(TODOS)",SUMIFS(PPTO_GENERADOR!$E$4:$E$220,PPTO_GENERADOR!$Q$4:$Q$220,A1089),SUMIFS(PPTO_GENERADOR!$E$4:$E$220,PPTO_GENERADOR!$Q$4:$Q$220,A1089,PPTO_GENERADOR!$B$4:$B$220,PLAN_ETAPA!$C$4))</f>
        <v>0</v>
      </c>
      <c r="M1089" s="216">
        <f>IFERROR(VLOOKUP(A1089,PARTIDAS!$A$2:$F$269,6,FALSE()),1)</f>
        <v>1</v>
      </c>
      <c r="N1089" s="216">
        <f>IFERROR(VLOOKUP(A1089,PARTIDAS!$A$2:$I$269,9,FALSE()),1)</f>
        <v>1</v>
      </c>
      <c r="O1089" s="217">
        <f t="shared" si="32"/>
        <v>0</v>
      </c>
      <c r="P1089" s="216">
        <f>IF(O1089=0,0,IF(B1089="MAT",G1089*(1+H1089)*L1089*PLAN_ETAPA!$C$5,IF(B1089="MO",IF(M1089=0,0,G1089*L1089*PLAN_ETAPA!$C$5*N1089/M1089),IF(B1089="EQ",IF(M1089=0,0,G1089*L1089*PLAN_ETAPA!$C$5/M1089),0))))</f>
        <v>0</v>
      </c>
      <c r="Q1089" s="218">
        <f t="shared" si="33"/>
        <v>0</v>
      </c>
    </row>
    <row r="1090" spans="1:17" x14ac:dyDescent="0.35">
      <c r="A1090" s="212" t="str">
        <f>COMPOSICIÓN!A1090</f>
        <v>PTO-0805</v>
      </c>
      <c r="B1090" s="212" t="str">
        <f>COMPOSICIÓN!B1090</f>
        <v>EQ</v>
      </c>
      <c r="C1090" s="212">
        <f>COMPOSICIÓN!C1090</f>
        <v>0</v>
      </c>
      <c r="D1090" s="212" t="str">
        <f>COMPOSICIÓN!D1090</f>
        <v>EQ-PTO053</v>
      </c>
      <c r="E1090" s="212" t="str">
        <f>COMPOSICIÓN!E1090</f>
        <v>Herramientas menores y consumibles - Contrapiso con piedra binder e: 4/5 cm - En locale</v>
      </c>
      <c r="F1090" s="212">
        <f>COMPOSICIÓN!F1090</f>
        <v>0</v>
      </c>
      <c r="G1090" s="213">
        <f>COMPOSICIÓN!G1090</f>
        <v>1</v>
      </c>
      <c r="H1090" s="214">
        <f>COMPOSICIÓN!H1090</f>
        <v>0</v>
      </c>
      <c r="I1090" s="215">
        <f>COMPOSICIÓN!I1090</f>
        <v>349.45779149966802</v>
      </c>
      <c r="J1090" s="212" t="str">
        <f>IFERROR(VLOOKUP(A1090,PARTIDAS!$A$2:$C$269,3,FALSE()),"")</f>
        <v>CONTRAPISOS Y CARPETAS</v>
      </c>
      <c r="K1090" s="212" t="str">
        <f>IFERROR(INDEX(PPTO_GENERADOR!$B$4:$B$220,MATCH(A1090,PPTO_GENERADOR!$Q$4:$Q$220,0)),"")</f>
        <v>CONTRAPISOS Y CARPETAS</v>
      </c>
      <c r="L1090" s="216">
        <f>IF(PLAN_ETAPA!$C$4="(TODOS)",SUMIFS(PPTO_GENERADOR!$E$4:$E$220,PPTO_GENERADOR!$Q$4:$Q$220,A1090),SUMIFS(PPTO_GENERADOR!$E$4:$E$220,PPTO_GENERADOR!$Q$4:$Q$220,A1090,PPTO_GENERADOR!$B$4:$B$220,PLAN_ETAPA!$C$4))</f>
        <v>0</v>
      </c>
      <c r="M1090" s="216">
        <f>IFERROR(VLOOKUP(A1090,PARTIDAS!$A$2:$F$269,6,FALSE()),1)</f>
        <v>1</v>
      </c>
      <c r="N1090" s="216">
        <f>IFERROR(VLOOKUP(A1090,PARTIDAS!$A$2:$I$269,9,FALSE()),1)</f>
        <v>1</v>
      </c>
      <c r="O1090" s="217">
        <f t="shared" ref="O1090:O1153" si="34">IF(L1090&gt;0,1,0)</f>
        <v>0</v>
      </c>
      <c r="P1090" s="216">
        <f>IF(O1090=0,0,IF(B1090="MAT",G1090*(1+H1090)*L1090*PLAN_ETAPA!$C$5,IF(B1090="MO",IF(M1090=0,0,G1090*L1090*PLAN_ETAPA!$C$5*N1090/M1090),IF(B1090="EQ",IF(M1090=0,0,G1090*L1090*PLAN_ETAPA!$C$5/M1090),0))))</f>
        <v>0</v>
      </c>
      <c r="Q1090" s="218">
        <f t="shared" ref="Q1090:Q1153" si="35">P1090*I1090</f>
        <v>0</v>
      </c>
    </row>
    <row r="1091" spans="1:17" x14ac:dyDescent="0.35">
      <c r="A1091" s="212" t="str">
        <f>COMPOSICIÓN!A1091</f>
        <v>PTO-0805</v>
      </c>
      <c r="B1091" s="212" t="str">
        <f>COMPOSICIÓN!B1091</f>
        <v>MAT</v>
      </c>
      <c r="C1091" s="212" t="str">
        <f>COMPOSICIÓN!C1091</f>
        <v>COR</v>
      </c>
      <c r="D1091" s="212" t="str">
        <f>COMPOSICIÓN!D1091</f>
        <v>OTR-PTO043</v>
      </c>
      <c r="E1091" s="212" t="str">
        <f>COMPOSICIÓN!E1091</f>
        <v>CEMENTO AVELLANEDA x 50 KG</v>
      </c>
      <c r="F1091" s="212" t="str">
        <f>COMPOSICIÓN!F1091</f>
        <v>bol</v>
      </c>
      <c r="G1091" s="213">
        <f>COMPOSICIÓN!G1091</f>
        <v>0.45454545454545497</v>
      </c>
      <c r="H1091" s="214">
        <f>COMPOSICIÓN!H1091</f>
        <v>0</v>
      </c>
      <c r="I1091" s="215">
        <f>COMPOSICIÓN!I1091</f>
        <v>7809.48</v>
      </c>
      <c r="J1091" s="212" t="str">
        <f>IFERROR(VLOOKUP(A1091,PARTIDAS!$A$2:$C$269,3,FALSE()),"")</f>
        <v>CONTRAPISOS Y CARPETAS</v>
      </c>
      <c r="K1091" s="212" t="str">
        <f>IFERROR(INDEX(PPTO_GENERADOR!$B$4:$B$220,MATCH(A1091,PPTO_GENERADOR!$Q$4:$Q$220,0)),"")</f>
        <v>CONTRAPISOS Y CARPETAS</v>
      </c>
      <c r="L1091" s="216">
        <f>IF(PLAN_ETAPA!$C$4="(TODOS)",SUMIFS(PPTO_GENERADOR!$E$4:$E$220,PPTO_GENERADOR!$Q$4:$Q$220,A1091),SUMIFS(PPTO_GENERADOR!$E$4:$E$220,PPTO_GENERADOR!$Q$4:$Q$220,A1091,PPTO_GENERADOR!$B$4:$B$220,PLAN_ETAPA!$C$4))</f>
        <v>0</v>
      </c>
      <c r="M1091" s="216">
        <f>IFERROR(VLOOKUP(A1091,PARTIDAS!$A$2:$F$269,6,FALSE()),1)</f>
        <v>1</v>
      </c>
      <c r="N1091" s="216">
        <f>IFERROR(VLOOKUP(A1091,PARTIDAS!$A$2:$I$269,9,FALSE()),1)</f>
        <v>1</v>
      </c>
      <c r="O1091" s="217">
        <f t="shared" si="34"/>
        <v>0</v>
      </c>
      <c r="P1091" s="216">
        <f>IF(O1091=0,0,IF(B1091="MAT",G1091*(1+H1091)*L1091*PLAN_ETAPA!$C$5,IF(B1091="MO",IF(M1091=0,0,G1091*L1091*PLAN_ETAPA!$C$5*N1091/M1091),IF(B1091="EQ",IF(M1091=0,0,G1091*L1091*PLAN_ETAPA!$C$5/M1091),0))))</f>
        <v>0</v>
      </c>
      <c r="Q1091" s="218">
        <f t="shared" si="35"/>
        <v>0</v>
      </c>
    </row>
    <row r="1092" spans="1:17" x14ac:dyDescent="0.35">
      <c r="A1092" s="212" t="str">
        <f>COMPOSICIÓN!A1092</f>
        <v>PTO-0805</v>
      </c>
      <c r="B1092" s="212" t="str">
        <f>COMPOSICIÓN!B1092</f>
        <v>MAT</v>
      </c>
      <c r="C1092" s="212" t="str">
        <f>COMPOSICIÓN!C1092</f>
        <v>COR</v>
      </c>
      <c r="D1092" s="212" t="str">
        <f>COMPOSICIÓN!D1092</f>
        <v>OTR-PTO089</v>
      </c>
      <c r="E1092" s="212" t="str">
        <f>COMPOSICIÓN!E1092</f>
        <v>BOLSON DE BINDER 6/12</v>
      </c>
      <c r="F1092" s="212" t="str">
        <f>COMPOSICIÓN!F1092</f>
        <v>gl</v>
      </c>
      <c r="G1092" s="213">
        <f>COMPOSICIÓN!G1092</f>
        <v>5.1948051948052E-2</v>
      </c>
      <c r="H1092" s="214">
        <f>COMPOSICIÓN!H1092</f>
        <v>0</v>
      </c>
      <c r="I1092" s="215">
        <f>COMPOSICIÓN!I1092</f>
        <v>57771</v>
      </c>
      <c r="J1092" s="212" t="str">
        <f>IFERROR(VLOOKUP(A1092,PARTIDAS!$A$2:$C$269,3,FALSE()),"")</f>
        <v>CONTRAPISOS Y CARPETAS</v>
      </c>
      <c r="K1092" s="212" t="str">
        <f>IFERROR(INDEX(PPTO_GENERADOR!$B$4:$B$220,MATCH(A1092,PPTO_GENERADOR!$Q$4:$Q$220,0)),"")</f>
        <v>CONTRAPISOS Y CARPETAS</v>
      </c>
      <c r="L1092" s="216">
        <f>IF(PLAN_ETAPA!$C$4="(TODOS)",SUMIFS(PPTO_GENERADOR!$E$4:$E$220,PPTO_GENERADOR!$Q$4:$Q$220,A1092),SUMIFS(PPTO_GENERADOR!$E$4:$E$220,PPTO_GENERADOR!$Q$4:$Q$220,A1092,PPTO_GENERADOR!$B$4:$B$220,PLAN_ETAPA!$C$4))</f>
        <v>0</v>
      </c>
      <c r="M1092" s="216">
        <f>IFERROR(VLOOKUP(A1092,PARTIDAS!$A$2:$F$269,6,FALSE()),1)</f>
        <v>1</v>
      </c>
      <c r="N1092" s="216">
        <f>IFERROR(VLOOKUP(A1092,PARTIDAS!$A$2:$I$269,9,FALSE()),1)</f>
        <v>1</v>
      </c>
      <c r="O1092" s="217">
        <f t="shared" si="34"/>
        <v>0</v>
      </c>
      <c r="P1092" s="216">
        <f>IF(O1092=0,0,IF(B1092="MAT",G1092*(1+H1092)*L1092*PLAN_ETAPA!$C$5,IF(B1092="MO",IF(M1092=0,0,G1092*L1092*PLAN_ETAPA!$C$5*N1092/M1092),IF(B1092="EQ",IF(M1092=0,0,G1092*L1092*PLAN_ETAPA!$C$5/M1092),0))))</f>
        <v>0</v>
      </c>
      <c r="Q1092" s="218">
        <f t="shared" si="35"/>
        <v>0</v>
      </c>
    </row>
    <row r="1093" spans="1:17" x14ac:dyDescent="0.35">
      <c r="A1093" s="212" t="str">
        <f>COMPOSICIÓN!A1093</f>
        <v>PTO-0805</v>
      </c>
      <c r="B1093" s="212" t="str">
        <f>COMPOSICIÓN!B1093</f>
        <v>MAT</v>
      </c>
      <c r="C1093" s="212" t="str">
        <f>COMPOSICIÓN!C1093</f>
        <v>COR</v>
      </c>
      <c r="D1093" s="212" t="str">
        <f>COMPOSICIÓN!D1093</f>
        <v>OTR-PTO090</v>
      </c>
      <c r="E1093" s="212" t="str">
        <f>COMPOSICIÓN!E1093</f>
        <v>BOLSON DE ARENA</v>
      </c>
      <c r="F1093" s="212" t="str">
        <f>COMPOSICIÓN!F1093</f>
        <v>m3</v>
      </c>
      <c r="G1093" s="213">
        <f>COMPOSICIÓN!G1093</f>
        <v>5.1948051948052E-2</v>
      </c>
      <c r="H1093" s="214">
        <f>COMPOSICIÓN!H1093</f>
        <v>0</v>
      </c>
      <c r="I1093" s="215">
        <f>COMPOSICIÓN!I1093</f>
        <v>32399.77</v>
      </c>
      <c r="J1093" s="212" t="str">
        <f>IFERROR(VLOOKUP(A1093,PARTIDAS!$A$2:$C$269,3,FALSE()),"")</f>
        <v>CONTRAPISOS Y CARPETAS</v>
      </c>
      <c r="K1093" s="212" t="str">
        <f>IFERROR(INDEX(PPTO_GENERADOR!$B$4:$B$220,MATCH(A1093,PPTO_GENERADOR!$Q$4:$Q$220,0)),"")</f>
        <v>CONTRAPISOS Y CARPETAS</v>
      </c>
      <c r="L1093" s="216">
        <f>IF(PLAN_ETAPA!$C$4="(TODOS)",SUMIFS(PPTO_GENERADOR!$E$4:$E$220,PPTO_GENERADOR!$Q$4:$Q$220,A1093),SUMIFS(PPTO_GENERADOR!$E$4:$E$220,PPTO_GENERADOR!$Q$4:$Q$220,A1093,PPTO_GENERADOR!$B$4:$B$220,PLAN_ETAPA!$C$4))</f>
        <v>0</v>
      </c>
      <c r="M1093" s="216">
        <f>IFERROR(VLOOKUP(A1093,PARTIDAS!$A$2:$F$269,6,FALSE()),1)</f>
        <v>1</v>
      </c>
      <c r="N1093" s="216">
        <f>IFERROR(VLOOKUP(A1093,PARTIDAS!$A$2:$I$269,9,FALSE()),1)</f>
        <v>1</v>
      </c>
      <c r="O1093" s="217">
        <f t="shared" si="34"/>
        <v>0</v>
      </c>
      <c r="P1093" s="216">
        <f>IF(O1093=0,0,IF(B1093="MAT",G1093*(1+H1093)*L1093*PLAN_ETAPA!$C$5,IF(B1093="MO",IF(M1093=0,0,G1093*L1093*PLAN_ETAPA!$C$5*N1093/M1093),IF(B1093="EQ",IF(M1093=0,0,G1093*L1093*PLAN_ETAPA!$C$5/M1093),0))))</f>
        <v>0</v>
      </c>
      <c r="Q1093" s="218">
        <f t="shared" si="35"/>
        <v>0</v>
      </c>
    </row>
    <row r="1094" spans="1:17" x14ac:dyDescent="0.35">
      <c r="A1094" s="212" t="str">
        <f>COMPOSICIÓN!A1094</f>
        <v>PTO-0805</v>
      </c>
      <c r="B1094" s="212" t="str">
        <f>COMPOSICIÓN!B1094</f>
        <v>MO</v>
      </c>
      <c r="C1094" s="212" t="str">
        <f>COMPOSICIÓN!C1094</f>
        <v>ALB</v>
      </c>
      <c r="D1094" s="212" t="str">
        <f>COMPOSICIÓN!D1094</f>
        <v>MO-EAYUD</v>
      </c>
      <c r="E1094" s="212" t="str">
        <f>COMPOSICIÓN!E1094</f>
        <v>AYUDANTE</v>
      </c>
      <c r="F1094" s="212" t="str">
        <f>COMPOSICIÓN!F1094</f>
        <v>j</v>
      </c>
      <c r="G1094" s="213">
        <f>COMPOSICIÓN!G1094</f>
        <v>0.18181818181818199</v>
      </c>
      <c r="H1094" s="214">
        <f>COMPOSICIÓN!H1094</f>
        <v>0</v>
      </c>
      <c r="I1094" s="215">
        <f>COMPOSICIÓN!I1094</f>
        <v>60860.580776572002</v>
      </c>
      <c r="J1094" s="212" t="str">
        <f>IFERROR(VLOOKUP(A1094,PARTIDAS!$A$2:$C$269,3,FALSE()),"")</f>
        <v>CONTRAPISOS Y CARPETAS</v>
      </c>
      <c r="K1094" s="212" t="str">
        <f>IFERROR(INDEX(PPTO_GENERADOR!$B$4:$B$220,MATCH(A1094,PPTO_GENERADOR!$Q$4:$Q$220,0)),"")</f>
        <v>CONTRAPISOS Y CARPETAS</v>
      </c>
      <c r="L1094" s="216">
        <f>IF(PLAN_ETAPA!$C$4="(TODOS)",SUMIFS(PPTO_GENERADOR!$E$4:$E$220,PPTO_GENERADOR!$Q$4:$Q$220,A1094),SUMIFS(PPTO_GENERADOR!$E$4:$E$220,PPTO_GENERADOR!$Q$4:$Q$220,A1094,PPTO_GENERADOR!$B$4:$B$220,PLAN_ETAPA!$C$4))</f>
        <v>0</v>
      </c>
      <c r="M1094" s="216">
        <f>IFERROR(VLOOKUP(A1094,PARTIDAS!$A$2:$F$269,6,FALSE()),1)</f>
        <v>1</v>
      </c>
      <c r="N1094" s="216">
        <f>IFERROR(VLOOKUP(A1094,PARTIDAS!$A$2:$I$269,9,FALSE()),1)</f>
        <v>1</v>
      </c>
      <c r="O1094" s="217">
        <f t="shared" si="34"/>
        <v>0</v>
      </c>
      <c r="P1094" s="216">
        <f>IF(O1094=0,0,IF(B1094="MAT",G1094*(1+H1094)*L1094*PLAN_ETAPA!$C$5,IF(B1094="MO",IF(M1094=0,0,G1094*L1094*PLAN_ETAPA!$C$5*N1094/M1094),IF(B1094="EQ",IF(M1094=0,0,G1094*L1094*PLAN_ETAPA!$C$5/M1094),0))))</f>
        <v>0</v>
      </c>
      <c r="Q1094" s="218">
        <f t="shared" si="35"/>
        <v>0</v>
      </c>
    </row>
    <row r="1095" spans="1:17" x14ac:dyDescent="0.35">
      <c r="A1095" s="212" t="str">
        <f>COMPOSICIÓN!A1095</f>
        <v>PTO-0805</v>
      </c>
      <c r="B1095" s="212" t="str">
        <f>COMPOSICIÓN!B1095</f>
        <v>MO</v>
      </c>
      <c r="C1095" s="212" t="str">
        <f>COMPOSICIÓN!C1095</f>
        <v>ALB</v>
      </c>
      <c r="D1095" s="212" t="str">
        <f>COMPOSICIÓN!D1095</f>
        <v>MO-EOFIC</v>
      </c>
      <c r="E1095" s="212" t="str">
        <f>COMPOSICIÓN!E1095</f>
        <v>OFICIAL</v>
      </c>
      <c r="F1095" s="212" t="str">
        <f>COMPOSICIÓN!F1095</f>
        <v>j</v>
      </c>
      <c r="G1095" s="213">
        <f>COMPOSICIÓN!G1095</f>
        <v>5.1948051948052E-2</v>
      </c>
      <c r="H1095" s="214">
        <f>COMPOSICIÓN!H1095</f>
        <v>0</v>
      </c>
      <c r="I1095" s="215">
        <f>COMPOSICIÓN!I1095</f>
        <v>76955.079706571996</v>
      </c>
      <c r="J1095" s="212" t="str">
        <f>IFERROR(VLOOKUP(A1095,PARTIDAS!$A$2:$C$269,3,FALSE()),"")</f>
        <v>CONTRAPISOS Y CARPETAS</v>
      </c>
      <c r="K1095" s="212" t="str">
        <f>IFERROR(INDEX(PPTO_GENERADOR!$B$4:$B$220,MATCH(A1095,PPTO_GENERADOR!$Q$4:$Q$220,0)),"")</f>
        <v>CONTRAPISOS Y CARPETAS</v>
      </c>
      <c r="L1095" s="216">
        <f>IF(PLAN_ETAPA!$C$4="(TODOS)",SUMIFS(PPTO_GENERADOR!$E$4:$E$220,PPTO_GENERADOR!$Q$4:$Q$220,A1095),SUMIFS(PPTO_GENERADOR!$E$4:$E$220,PPTO_GENERADOR!$Q$4:$Q$220,A1095,PPTO_GENERADOR!$B$4:$B$220,PLAN_ETAPA!$C$4))</f>
        <v>0</v>
      </c>
      <c r="M1095" s="216">
        <f>IFERROR(VLOOKUP(A1095,PARTIDAS!$A$2:$F$269,6,FALSE()),1)</f>
        <v>1</v>
      </c>
      <c r="N1095" s="216">
        <f>IFERROR(VLOOKUP(A1095,PARTIDAS!$A$2:$I$269,9,FALSE()),1)</f>
        <v>1</v>
      </c>
      <c r="O1095" s="217">
        <f t="shared" si="34"/>
        <v>0</v>
      </c>
      <c r="P1095" s="216">
        <f>IF(O1095=0,0,IF(B1095="MAT",G1095*(1+H1095)*L1095*PLAN_ETAPA!$C$5,IF(B1095="MO",IF(M1095=0,0,G1095*L1095*PLAN_ETAPA!$C$5*N1095/M1095),IF(B1095="EQ",IF(M1095=0,0,G1095*L1095*PLAN_ETAPA!$C$5/M1095),0))))</f>
        <v>0</v>
      </c>
      <c r="Q1095" s="218">
        <f t="shared" si="35"/>
        <v>0</v>
      </c>
    </row>
    <row r="1096" spans="1:17" x14ac:dyDescent="0.35">
      <c r="A1096" s="212" t="str">
        <f>COMPOSICIÓN!A1096</f>
        <v>PTO-0806</v>
      </c>
      <c r="B1096" s="212" t="str">
        <f>COMPOSICIÓN!B1096</f>
        <v>EQ</v>
      </c>
      <c r="C1096" s="212">
        <f>COMPOSICIÓN!C1096</f>
        <v>0</v>
      </c>
      <c r="D1096" s="212" t="str">
        <f>COMPOSICIÓN!D1096</f>
        <v>EQ-PTO054</v>
      </c>
      <c r="E1096" s="212" t="str">
        <f>COMPOSICIÓN!E1096</f>
        <v>Herramientas menores y consumibles - Carpeta autonivelante e: 4/10 mm - En locales húme</v>
      </c>
      <c r="F1096" s="212">
        <f>COMPOSICIÓN!F1096</f>
        <v>0</v>
      </c>
      <c r="G1096" s="213">
        <f>COMPOSICIÓN!G1096</f>
        <v>1</v>
      </c>
      <c r="H1096" s="214">
        <f>COMPOSICIÓN!H1096</f>
        <v>0</v>
      </c>
      <c r="I1096" s="215">
        <f>COMPOSICIÓN!I1096</f>
        <v>218.25069175782201</v>
      </c>
      <c r="J1096" s="212" t="str">
        <f>IFERROR(VLOOKUP(A1096,PARTIDAS!$A$2:$C$269,3,FALSE()),"")</f>
        <v>CONTRAPISOS Y CARPETAS</v>
      </c>
      <c r="K1096" s="212" t="str">
        <f>IFERROR(INDEX(PPTO_GENERADOR!$B$4:$B$220,MATCH(A1096,PPTO_GENERADOR!$Q$4:$Q$220,0)),"")</f>
        <v>CONTRAPISOS Y CARPETAS</v>
      </c>
      <c r="L1096" s="216">
        <f>IF(PLAN_ETAPA!$C$4="(TODOS)",SUMIFS(PPTO_GENERADOR!$E$4:$E$220,PPTO_GENERADOR!$Q$4:$Q$220,A1096),SUMIFS(PPTO_GENERADOR!$E$4:$E$220,PPTO_GENERADOR!$Q$4:$Q$220,A1096,PPTO_GENERADOR!$B$4:$B$220,PLAN_ETAPA!$C$4))</f>
        <v>0</v>
      </c>
      <c r="M1096" s="216">
        <f>IFERROR(VLOOKUP(A1096,PARTIDAS!$A$2:$F$269,6,FALSE()),1)</f>
        <v>1</v>
      </c>
      <c r="N1096" s="216">
        <f>IFERROR(VLOOKUP(A1096,PARTIDAS!$A$2:$I$269,9,FALSE()),1)</f>
        <v>1</v>
      </c>
      <c r="O1096" s="217">
        <f t="shared" si="34"/>
        <v>0</v>
      </c>
      <c r="P1096" s="216">
        <f>IF(O1096=0,0,IF(B1096="MAT",G1096*(1+H1096)*L1096*PLAN_ETAPA!$C$5,IF(B1096="MO",IF(M1096=0,0,G1096*L1096*PLAN_ETAPA!$C$5*N1096/M1096),IF(B1096="EQ",IF(M1096=0,0,G1096*L1096*PLAN_ETAPA!$C$5/M1096),0))))</f>
        <v>0</v>
      </c>
      <c r="Q1096" s="218">
        <f t="shared" si="35"/>
        <v>0</v>
      </c>
    </row>
    <row r="1097" spans="1:17" x14ac:dyDescent="0.35">
      <c r="A1097" s="212" t="str">
        <f>COMPOSICIÓN!A1097</f>
        <v>PTO-0806</v>
      </c>
      <c r="B1097" s="212" t="str">
        <f>COMPOSICIÓN!B1097</f>
        <v>MAT</v>
      </c>
      <c r="C1097" s="212" t="str">
        <f>COMPOSICIÓN!C1097</f>
        <v>COR</v>
      </c>
      <c r="D1097" s="212" t="str">
        <f>COMPOSICIÓN!D1097</f>
        <v>MAT-CONS</v>
      </c>
      <c r="E1097" s="212" t="str">
        <f>COMPOSICIÓN!E1097</f>
        <v>Consumibles</v>
      </c>
      <c r="F1097" s="212" t="str">
        <f>COMPOSICIÓN!F1097</f>
        <v>gl</v>
      </c>
      <c r="G1097" s="213">
        <f>COMPOSICIÓN!G1097</f>
        <v>671.89009338000005</v>
      </c>
      <c r="H1097" s="214">
        <f>COMPOSICIÓN!H1097</f>
        <v>0</v>
      </c>
      <c r="I1097" s="215">
        <f>COMPOSICIÓN!I1097</f>
        <v>1</v>
      </c>
      <c r="J1097" s="212" t="str">
        <f>IFERROR(VLOOKUP(A1097,PARTIDAS!$A$2:$C$269,3,FALSE()),"")</f>
        <v>CONTRAPISOS Y CARPETAS</v>
      </c>
      <c r="K1097" s="212" t="str">
        <f>IFERROR(INDEX(PPTO_GENERADOR!$B$4:$B$220,MATCH(A1097,PPTO_GENERADOR!$Q$4:$Q$220,0)),"")</f>
        <v>CONTRAPISOS Y CARPETAS</v>
      </c>
      <c r="L1097" s="216">
        <f>IF(PLAN_ETAPA!$C$4="(TODOS)",SUMIFS(PPTO_GENERADOR!$E$4:$E$220,PPTO_GENERADOR!$Q$4:$Q$220,A1097),SUMIFS(PPTO_GENERADOR!$E$4:$E$220,PPTO_GENERADOR!$Q$4:$Q$220,A1097,PPTO_GENERADOR!$B$4:$B$220,PLAN_ETAPA!$C$4))</f>
        <v>0</v>
      </c>
      <c r="M1097" s="216">
        <f>IFERROR(VLOOKUP(A1097,PARTIDAS!$A$2:$F$269,6,FALSE()),1)</f>
        <v>1</v>
      </c>
      <c r="N1097" s="216">
        <f>IFERROR(VLOOKUP(A1097,PARTIDAS!$A$2:$I$269,9,FALSE()),1)</f>
        <v>1</v>
      </c>
      <c r="O1097" s="217">
        <f t="shared" si="34"/>
        <v>0</v>
      </c>
      <c r="P1097" s="216">
        <f>IF(O1097=0,0,IF(B1097="MAT",G1097*(1+H1097)*L1097*PLAN_ETAPA!$C$5,IF(B1097="MO",IF(M1097=0,0,G1097*L1097*PLAN_ETAPA!$C$5*N1097/M1097),IF(B1097="EQ",IF(M1097=0,0,G1097*L1097*PLAN_ETAPA!$C$5/M1097),0))))</f>
        <v>0</v>
      </c>
      <c r="Q1097" s="218">
        <f t="shared" si="35"/>
        <v>0</v>
      </c>
    </row>
    <row r="1098" spans="1:17" x14ac:dyDescent="0.35">
      <c r="A1098" s="212" t="str">
        <f>COMPOSICIÓN!A1098</f>
        <v>PTO-0806</v>
      </c>
      <c r="B1098" s="212" t="str">
        <f>COMPOSICIÓN!B1098</f>
        <v>MAT</v>
      </c>
      <c r="C1098" s="212" t="str">
        <f>COMPOSICIÓN!C1098</f>
        <v>OTR</v>
      </c>
      <c r="D1098" s="212" t="str">
        <f>COMPOSICIÓN!D1098</f>
        <v>OTR-PTO091</v>
      </c>
      <c r="E1098" s="212" t="str">
        <f>COMPOSICIÓN!E1098</f>
        <v>Sika Floor 200 Level (25 kg) - 1,5 kg/m2/mm</v>
      </c>
      <c r="F1098" s="212" t="str">
        <f>COMPOSICIÓN!F1098</f>
        <v>bol</v>
      </c>
      <c r="G1098" s="213">
        <f>COMPOSICIÓN!G1098</f>
        <v>0.662337662337662</v>
      </c>
      <c r="H1098" s="214">
        <f>COMPOSICIÓN!H1098</f>
        <v>0</v>
      </c>
      <c r="I1098" s="215">
        <f>COMPOSICIÓN!I1098</f>
        <v>4958.6776859504098</v>
      </c>
      <c r="J1098" s="212" t="str">
        <f>IFERROR(VLOOKUP(A1098,PARTIDAS!$A$2:$C$269,3,FALSE()),"")</f>
        <v>CONTRAPISOS Y CARPETAS</v>
      </c>
      <c r="K1098" s="212" t="str">
        <f>IFERROR(INDEX(PPTO_GENERADOR!$B$4:$B$220,MATCH(A1098,PPTO_GENERADOR!$Q$4:$Q$220,0)),"")</f>
        <v>CONTRAPISOS Y CARPETAS</v>
      </c>
      <c r="L1098" s="216">
        <f>IF(PLAN_ETAPA!$C$4="(TODOS)",SUMIFS(PPTO_GENERADOR!$E$4:$E$220,PPTO_GENERADOR!$Q$4:$Q$220,A1098),SUMIFS(PPTO_GENERADOR!$E$4:$E$220,PPTO_GENERADOR!$Q$4:$Q$220,A1098,PPTO_GENERADOR!$B$4:$B$220,PLAN_ETAPA!$C$4))</f>
        <v>0</v>
      </c>
      <c r="M1098" s="216">
        <f>IFERROR(VLOOKUP(A1098,PARTIDAS!$A$2:$F$269,6,FALSE()),1)</f>
        <v>1</v>
      </c>
      <c r="N1098" s="216">
        <f>IFERROR(VLOOKUP(A1098,PARTIDAS!$A$2:$I$269,9,FALSE()),1)</f>
        <v>1</v>
      </c>
      <c r="O1098" s="217">
        <f t="shared" si="34"/>
        <v>0</v>
      </c>
      <c r="P1098" s="216">
        <f>IF(O1098=0,0,IF(B1098="MAT",G1098*(1+H1098)*L1098*PLAN_ETAPA!$C$5,IF(B1098="MO",IF(M1098=0,0,G1098*L1098*PLAN_ETAPA!$C$5*N1098/M1098),IF(B1098="EQ",IF(M1098=0,0,G1098*L1098*PLAN_ETAPA!$C$5/M1098),0))))</f>
        <v>0</v>
      </c>
      <c r="Q1098" s="218">
        <f t="shared" si="35"/>
        <v>0</v>
      </c>
    </row>
    <row r="1099" spans="1:17" x14ac:dyDescent="0.35">
      <c r="A1099" s="212" t="str">
        <f>COMPOSICIÓN!A1099</f>
        <v>PTO-0806</v>
      </c>
      <c r="B1099" s="212" t="str">
        <f>COMPOSICIÓN!B1099</f>
        <v>MAT</v>
      </c>
      <c r="C1099" s="212" t="str">
        <f>COMPOSICIÓN!C1099</f>
        <v>OTR</v>
      </c>
      <c r="D1099" s="212" t="str">
        <f>COMPOSICIÓN!D1099</f>
        <v>OTR-PTO092</v>
      </c>
      <c r="E1099" s="212" t="str">
        <f>COMPOSICIÓN!E1099</f>
        <v>Sika latex x 5 kg - (200 gr/m2)</v>
      </c>
      <c r="F1099" s="212" t="str">
        <f>COMPOSICIÓN!F1099</f>
        <v>tac</v>
      </c>
      <c r="G1099" s="213">
        <f>COMPOSICIÓN!G1099</f>
        <v>5.1948051948052E-2</v>
      </c>
      <c r="H1099" s="214">
        <f>COMPOSICIÓN!H1099</f>
        <v>0</v>
      </c>
      <c r="I1099" s="215">
        <f>COMPOSICIÓN!I1099</f>
        <v>66115.702479338797</v>
      </c>
      <c r="J1099" s="212" t="str">
        <f>IFERROR(VLOOKUP(A1099,PARTIDAS!$A$2:$C$269,3,FALSE()),"")</f>
        <v>CONTRAPISOS Y CARPETAS</v>
      </c>
      <c r="K1099" s="212" t="str">
        <f>IFERROR(INDEX(PPTO_GENERADOR!$B$4:$B$220,MATCH(A1099,PPTO_GENERADOR!$Q$4:$Q$220,0)),"")</f>
        <v>CONTRAPISOS Y CARPETAS</v>
      </c>
      <c r="L1099" s="216">
        <f>IF(PLAN_ETAPA!$C$4="(TODOS)",SUMIFS(PPTO_GENERADOR!$E$4:$E$220,PPTO_GENERADOR!$Q$4:$Q$220,A1099),SUMIFS(PPTO_GENERADOR!$E$4:$E$220,PPTO_GENERADOR!$Q$4:$Q$220,A1099,PPTO_GENERADOR!$B$4:$B$220,PLAN_ETAPA!$C$4))</f>
        <v>0</v>
      </c>
      <c r="M1099" s="216">
        <f>IFERROR(VLOOKUP(A1099,PARTIDAS!$A$2:$F$269,6,FALSE()),1)</f>
        <v>1</v>
      </c>
      <c r="N1099" s="216">
        <f>IFERROR(VLOOKUP(A1099,PARTIDAS!$A$2:$I$269,9,FALSE()),1)</f>
        <v>1</v>
      </c>
      <c r="O1099" s="217">
        <f t="shared" si="34"/>
        <v>0</v>
      </c>
      <c r="P1099" s="216">
        <f>IF(O1099=0,0,IF(B1099="MAT",G1099*(1+H1099)*L1099*PLAN_ETAPA!$C$5,IF(B1099="MO",IF(M1099=0,0,G1099*L1099*PLAN_ETAPA!$C$5*N1099/M1099),IF(B1099="EQ",IF(M1099=0,0,G1099*L1099*PLAN_ETAPA!$C$5/M1099),0))))</f>
        <v>0</v>
      </c>
      <c r="Q1099" s="218">
        <f t="shared" si="35"/>
        <v>0</v>
      </c>
    </row>
    <row r="1100" spans="1:17" x14ac:dyDescent="0.35">
      <c r="A1100" s="212" t="str">
        <f>COMPOSICIÓN!A1100</f>
        <v>PTO-0806</v>
      </c>
      <c r="B1100" s="212" t="str">
        <f>COMPOSICIÓN!B1100</f>
        <v>MO</v>
      </c>
      <c r="C1100" s="212" t="str">
        <f>COMPOSICIÓN!C1100</f>
        <v>ALB</v>
      </c>
      <c r="D1100" s="212" t="str">
        <f>COMPOSICIÓN!D1100</f>
        <v>MO-EAYUD</v>
      </c>
      <c r="E1100" s="212" t="str">
        <f>COMPOSICIÓN!E1100</f>
        <v>AYUDANTE</v>
      </c>
      <c r="F1100" s="212" t="str">
        <f>COMPOSICIÓN!F1100</f>
        <v>j</v>
      </c>
      <c r="G1100" s="213">
        <f>COMPOSICIÓN!G1100</f>
        <v>5.1948051948052E-2</v>
      </c>
      <c r="H1100" s="214">
        <f>COMPOSICIÓN!H1100</f>
        <v>0</v>
      </c>
      <c r="I1100" s="215">
        <f>COMPOSICIÓN!I1100</f>
        <v>60860.580776572002</v>
      </c>
      <c r="J1100" s="212" t="str">
        <f>IFERROR(VLOOKUP(A1100,PARTIDAS!$A$2:$C$269,3,FALSE()),"")</f>
        <v>CONTRAPISOS Y CARPETAS</v>
      </c>
      <c r="K1100" s="212" t="str">
        <f>IFERROR(INDEX(PPTO_GENERADOR!$B$4:$B$220,MATCH(A1100,PPTO_GENERADOR!$Q$4:$Q$220,0)),"")</f>
        <v>CONTRAPISOS Y CARPETAS</v>
      </c>
      <c r="L1100" s="216">
        <f>IF(PLAN_ETAPA!$C$4="(TODOS)",SUMIFS(PPTO_GENERADOR!$E$4:$E$220,PPTO_GENERADOR!$Q$4:$Q$220,A1100),SUMIFS(PPTO_GENERADOR!$E$4:$E$220,PPTO_GENERADOR!$Q$4:$Q$220,A1100,PPTO_GENERADOR!$B$4:$B$220,PLAN_ETAPA!$C$4))</f>
        <v>0</v>
      </c>
      <c r="M1100" s="216">
        <f>IFERROR(VLOOKUP(A1100,PARTIDAS!$A$2:$F$269,6,FALSE()),1)</f>
        <v>1</v>
      </c>
      <c r="N1100" s="216">
        <f>IFERROR(VLOOKUP(A1100,PARTIDAS!$A$2:$I$269,9,FALSE()),1)</f>
        <v>1</v>
      </c>
      <c r="O1100" s="217">
        <f t="shared" si="34"/>
        <v>0</v>
      </c>
      <c r="P1100" s="216">
        <f>IF(O1100=0,0,IF(B1100="MAT",G1100*(1+H1100)*L1100*PLAN_ETAPA!$C$5,IF(B1100="MO",IF(M1100=0,0,G1100*L1100*PLAN_ETAPA!$C$5*N1100/M1100),IF(B1100="EQ",IF(M1100=0,0,G1100*L1100*PLAN_ETAPA!$C$5/M1100),0))))</f>
        <v>0</v>
      </c>
      <c r="Q1100" s="218">
        <f t="shared" si="35"/>
        <v>0</v>
      </c>
    </row>
    <row r="1101" spans="1:17" x14ac:dyDescent="0.35">
      <c r="A1101" s="212" t="str">
        <f>COMPOSICIÓN!A1101</f>
        <v>PTO-0806</v>
      </c>
      <c r="B1101" s="212" t="str">
        <f>COMPOSICIÓN!B1101</f>
        <v>MO</v>
      </c>
      <c r="C1101" s="212" t="str">
        <f>COMPOSICIÓN!C1101</f>
        <v>ALB</v>
      </c>
      <c r="D1101" s="212" t="str">
        <f>COMPOSICIÓN!D1101</f>
        <v>MO-EOFIC</v>
      </c>
      <c r="E1101" s="212" t="str">
        <f>COMPOSICIÓN!E1101</f>
        <v>OFICIAL</v>
      </c>
      <c r="F1101" s="212" t="str">
        <f>COMPOSICIÓN!F1101</f>
        <v>j</v>
      </c>
      <c r="G1101" s="213">
        <f>COMPOSICIÓN!G1101</f>
        <v>5.1948051948052E-2</v>
      </c>
      <c r="H1101" s="214">
        <f>COMPOSICIÓN!H1101</f>
        <v>0</v>
      </c>
      <c r="I1101" s="215">
        <f>COMPOSICIÓN!I1101</f>
        <v>76955.079706571996</v>
      </c>
      <c r="J1101" s="212" t="str">
        <f>IFERROR(VLOOKUP(A1101,PARTIDAS!$A$2:$C$269,3,FALSE()),"")</f>
        <v>CONTRAPISOS Y CARPETAS</v>
      </c>
      <c r="K1101" s="212" t="str">
        <f>IFERROR(INDEX(PPTO_GENERADOR!$B$4:$B$220,MATCH(A1101,PPTO_GENERADOR!$Q$4:$Q$220,0)),"")</f>
        <v>CONTRAPISOS Y CARPETAS</v>
      </c>
      <c r="L1101" s="216">
        <f>IF(PLAN_ETAPA!$C$4="(TODOS)",SUMIFS(PPTO_GENERADOR!$E$4:$E$220,PPTO_GENERADOR!$Q$4:$Q$220,A1101),SUMIFS(PPTO_GENERADOR!$E$4:$E$220,PPTO_GENERADOR!$Q$4:$Q$220,A1101,PPTO_GENERADOR!$B$4:$B$220,PLAN_ETAPA!$C$4))</f>
        <v>0</v>
      </c>
      <c r="M1101" s="216">
        <f>IFERROR(VLOOKUP(A1101,PARTIDAS!$A$2:$F$269,6,FALSE()),1)</f>
        <v>1</v>
      </c>
      <c r="N1101" s="216">
        <f>IFERROR(VLOOKUP(A1101,PARTIDAS!$A$2:$I$269,9,FALSE()),1)</f>
        <v>1</v>
      </c>
      <c r="O1101" s="217">
        <f t="shared" si="34"/>
        <v>0</v>
      </c>
      <c r="P1101" s="216">
        <f>IF(O1101=0,0,IF(B1101="MAT",G1101*(1+H1101)*L1101*PLAN_ETAPA!$C$5,IF(B1101="MO",IF(M1101=0,0,G1101*L1101*PLAN_ETAPA!$C$5*N1101/M1101),IF(B1101="EQ",IF(M1101=0,0,G1101*L1101*PLAN_ETAPA!$C$5/M1101),0))))</f>
        <v>0</v>
      </c>
      <c r="Q1101" s="218">
        <f t="shared" si="35"/>
        <v>0</v>
      </c>
    </row>
    <row r="1102" spans="1:17" x14ac:dyDescent="0.35">
      <c r="A1102" s="212" t="str">
        <f>COMPOSICIÓN!A1102</f>
        <v>PTO-0807</v>
      </c>
      <c r="B1102" s="212" t="str">
        <f>COMPOSICIÓN!B1102</f>
        <v>EQ</v>
      </c>
      <c r="C1102" s="212">
        <f>COMPOSICIÓN!C1102</f>
        <v>0</v>
      </c>
      <c r="D1102" s="212" t="str">
        <f>COMPOSICIÓN!D1102</f>
        <v>EQ-EQALBA</v>
      </c>
      <c r="E1102" s="212" t="str">
        <f>COMPOSICIÓN!E1102</f>
        <v>EQUIPO DE ALBAÑILERIA, carpetas, ladrillo</v>
      </c>
      <c r="F1102" s="212">
        <f>COMPOSICIÓN!F1102</f>
        <v>0</v>
      </c>
      <c r="G1102" s="213">
        <f>COMPOSICIÓN!G1102</f>
        <v>1</v>
      </c>
      <c r="H1102" s="214">
        <f>COMPOSICIÓN!H1102</f>
        <v>0</v>
      </c>
      <c r="I1102" s="215">
        <f>COMPOSICIÓN!I1102</f>
        <v>2287.1357450968057</v>
      </c>
      <c r="J1102" s="212" t="str">
        <f>IFERROR(VLOOKUP(A1102,PARTIDAS!$A$2:$C$269,3,FALSE()),"")</f>
        <v>CONTRAPISOS Y CARPETAS</v>
      </c>
      <c r="K1102" s="212" t="str">
        <f>IFERROR(INDEX(PPTO_GENERADOR!$B$4:$B$220,MATCH(A1102,PPTO_GENERADOR!$Q$4:$Q$220,0)),"")</f>
        <v/>
      </c>
      <c r="L1102" s="216">
        <f>IF(PLAN_ETAPA!$C$4="(TODOS)",SUMIFS(PPTO_GENERADOR!$E$4:$E$220,PPTO_GENERADOR!$Q$4:$Q$220,A1102),SUMIFS(PPTO_GENERADOR!$E$4:$E$220,PPTO_GENERADOR!$Q$4:$Q$220,A1102,PPTO_GENERADOR!$B$4:$B$220,PLAN_ETAPA!$C$4))</f>
        <v>0</v>
      </c>
      <c r="M1102" s="216">
        <f>IFERROR(VLOOKUP(A1102,PARTIDAS!$A$2:$F$269,6,FALSE()),1)</f>
        <v>14.5</v>
      </c>
      <c r="N1102" s="216">
        <f>IFERROR(VLOOKUP(A1102,PARTIDAS!$A$2:$I$269,9,FALSE()),1)</f>
        <v>1</v>
      </c>
      <c r="O1102" s="217">
        <f t="shared" si="34"/>
        <v>0</v>
      </c>
      <c r="P1102" s="216">
        <f>IF(O1102=0,0,IF(B1102="MAT",G1102*(1+H1102)*L1102*PLAN_ETAPA!$C$5,IF(B1102="MO",IF(M1102=0,0,G1102*L1102*PLAN_ETAPA!$C$5*N1102/M1102),IF(B1102="EQ",IF(M1102=0,0,G1102*L1102*PLAN_ETAPA!$C$5/M1102),0))))</f>
        <v>0</v>
      </c>
      <c r="Q1102" s="218">
        <f t="shared" si="35"/>
        <v>0</v>
      </c>
    </row>
    <row r="1103" spans="1:17" x14ac:dyDescent="0.35">
      <c r="A1103" s="212" t="str">
        <f>COMPOSICIÓN!A1103</f>
        <v>PTO-0807</v>
      </c>
      <c r="B1103" s="212" t="str">
        <f>COMPOSICIÓN!B1103</f>
        <v>EQ</v>
      </c>
      <c r="C1103" s="212">
        <f>COMPOSICIÓN!C1103</f>
        <v>0</v>
      </c>
      <c r="D1103" s="212" t="str">
        <f>COMPOSICIÓN!D1103</f>
        <v>EQ-TROMPO</v>
      </c>
      <c r="E1103" s="212" t="str">
        <f>COMPOSICIÓN!E1103</f>
        <v>Hormigonera De 150 Litros 1hp Con Rueda Maciza</v>
      </c>
      <c r="F1103" s="212">
        <f>COMPOSICIÓN!F1103</f>
        <v>0</v>
      </c>
      <c r="G1103" s="213">
        <f>COMPOSICIÓN!G1103</f>
        <v>1</v>
      </c>
      <c r="H1103" s="214">
        <f>COMPOSICIÓN!H1103</f>
        <v>0</v>
      </c>
      <c r="I1103" s="215">
        <f>COMPOSICIÓN!I1103</f>
        <v>957.25319614994726</v>
      </c>
      <c r="J1103" s="212" t="str">
        <f>IFERROR(VLOOKUP(A1103,PARTIDAS!$A$2:$C$269,3,FALSE()),"")</f>
        <v>CONTRAPISOS Y CARPETAS</v>
      </c>
      <c r="K1103" s="212" t="str">
        <f>IFERROR(INDEX(PPTO_GENERADOR!$B$4:$B$220,MATCH(A1103,PPTO_GENERADOR!$Q$4:$Q$220,0)),"")</f>
        <v/>
      </c>
      <c r="L1103" s="216">
        <f>IF(PLAN_ETAPA!$C$4="(TODOS)",SUMIFS(PPTO_GENERADOR!$E$4:$E$220,PPTO_GENERADOR!$Q$4:$Q$220,A1103),SUMIFS(PPTO_GENERADOR!$E$4:$E$220,PPTO_GENERADOR!$Q$4:$Q$220,A1103,PPTO_GENERADOR!$B$4:$B$220,PLAN_ETAPA!$C$4))</f>
        <v>0</v>
      </c>
      <c r="M1103" s="216">
        <f>IFERROR(VLOOKUP(A1103,PARTIDAS!$A$2:$F$269,6,FALSE()),1)</f>
        <v>14.5</v>
      </c>
      <c r="N1103" s="216">
        <f>IFERROR(VLOOKUP(A1103,PARTIDAS!$A$2:$I$269,9,FALSE()),1)</f>
        <v>1</v>
      </c>
      <c r="O1103" s="217">
        <f t="shared" si="34"/>
        <v>0</v>
      </c>
      <c r="P1103" s="216">
        <f>IF(O1103=0,0,IF(B1103="MAT",G1103*(1+H1103)*L1103*PLAN_ETAPA!$C$5,IF(B1103="MO",IF(M1103=0,0,G1103*L1103*PLAN_ETAPA!$C$5*N1103/M1103),IF(B1103="EQ",IF(M1103=0,0,G1103*L1103*PLAN_ETAPA!$C$5/M1103),0))))</f>
        <v>0</v>
      </c>
      <c r="Q1103" s="218">
        <f t="shared" si="35"/>
        <v>0</v>
      </c>
    </row>
    <row r="1104" spans="1:17" x14ac:dyDescent="0.35">
      <c r="A1104" s="212" t="str">
        <f>COMPOSICIÓN!A1104</f>
        <v>PTO-0807</v>
      </c>
      <c r="B1104" s="212" t="str">
        <f>COMPOSICIÓN!B1104</f>
        <v>MAT</v>
      </c>
      <c r="C1104" s="212" t="str">
        <f>COMPOSICIÓN!C1104</f>
        <v>OTR</v>
      </c>
      <c r="D1104" s="212" t="str">
        <f>COMPOSICIÓN!D1104</f>
        <v>AGR-001</v>
      </c>
      <c r="E1104" s="212" t="str">
        <f>COMPOSICIÓN!E1104</f>
        <v>ARENA LAVADA</v>
      </c>
      <c r="F1104" s="212" t="str">
        <f>COMPOSICIÓN!F1104</f>
        <v>m3</v>
      </c>
      <c r="G1104" s="213">
        <f>COMPOSICIÓN!G1104</f>
        <v>0.03</v>
      </c>
      <c r="H1104" s="214">
        <f>COMPOSICIÓN!H1104</f>
        <v>0.1</v>
      </c>
      <c r="I1104" s="215">
        <f>COMPOSICIÓN!I1104</f>
        <v>32399.77</v>
      </c>
      <c r="J1104" s="212" t="str">
        <f>IFERROR(VLOOKUP(A1104,PARTIDAS!$A$2:$C$269,3,FALSE()),"")</f>
        <v>CONTRAPISOS Y CARPETAS</v>
      </c>
      <c r="K1104" s="212" t="str">
        <f>IFERROR(INDEX(PPTO_GENERADOR!$B$4:$B$220,MATCH(A1104,PPTO_GENERADOR!$Q$4:$Q$220,0)),"")</f>
        <v/>
      </c>
      <c r="L1104" s="216">
        <f>IF(PLAN_ETAPA!$C$4="(TODOS)",SUMIFS(PPTO_GENERADOR!$E$4:$E$220,PPTO_GENERADOR!$Q$4:$Q$220,A1104),SUMIFS(PPTO_GENERADOR!$E$4:$E$220,PPTO_GENERADOR!$Q$4:$Q$220,A1104,PPTO_GENERADOR!$B$4:$B$220,PLAN_ETAPA!$C$4))</f>
        <v>0</v>
      </c>
      <c r="M1104" s="216">
        <f>IFERROR(VLOOKUP(A1104,PARTIDAS!$A$2:$F$269,6,FALSE()),1)</f>
        <v>14.5</v>
      </c>
      <c r="N1104" s="216">
        <f>IFERROR(VLOOKUP(A1104,PARTIDAS!$A$2:$I$269,9,FALSE()),1)</f>
        <v>1</v>
      </c>
      <c r="O1104" s="217">
        <f t="shared" si="34"/>
        <v>0</v>
      </c>
      <c r="P1104" s="216">
        <f>IF(O1104=0,0,IF(B1104="MAT",G1104*(1+H1104)*L1104*PLAN_ETAPA!$C$5,IF(B1104="MO",IF(M1104=0,0,G1104*L1104*PLAN_ETAPA!$C$5*N1104/M1104),IF(B1104="EQ",IF(M1104=0,0,G1104*L1104*PLAN_ETAPA!$C$5/M1104),0))))</f>
        <v>0</v>
      </c>
      <c r="Q1104" s="218">
        <f t="shared" si="35"/>
        <v>0</v>
      </c>
    </row>
    <row r="1105" spans="1:17" x14ac:dyDescent="0.35">
      <c r="A1105" s="212" t="str">
        <f>COMPOSICIÓN!A1105</f>
        <v>PTO-0807</v>
      </c>
      <c r="B1105" s="212" t="str">
        <f>COMPOSICIÓN!B1105</f>
        <v>MAT</v>
      </c>
      <c r="C1105" s="212" t="str">
        <f>COMPOSICIÓN!C1105</f>
        <v>OTR</v>
      </c>
      <c r="D1105" s="212" t="str">
        <f>COMPOSICIÓN!D1105</f>
        <v>AGR-004</v>
      </c>
      <c r="E1105" s="212" t="str">
        <f>COMPOSICIÓN!E1105</f>
        <v>Cemento Portland x 50kg</v>
      </c>
      <c r="F1105" s="212" t="str">
        <f>COMPOSICIÓN!F1105</f>
        <v>Bol</v>
      </c>
      <c r="G1105" s="213">
        <f>COMPOSICIÓN!G1105</f>
        <v>7.0000000000000007E-2</v>
      </c>
      <c r="H1105" s="214">
        <f>COMPOSICIÓN!H1105</f>
        <v>0.1</v>
      </c>
      <c r="I1105" s="215">
        <f>COMPOSICIÓN!I1105</f>
        <v>7809.48</v>
      </c>
      <c r="J1105" s="212" t="str">
        <f>IFERROR(VLOOKUP(A1105,PARTIDAS!$A$2:$C$269,3,FALSE()),"")</f>
        <v>CONTRAPISOS Y CARPETAS</v>
      </c>
      <c r="K1105" s="212" t="str">
        <f>IFERROR(INDEX(PPTO_GENERADOR!$B$4:$B$220,MATCH(A1105,PPTO_GENERADOR!$Q$4:$Q$220,0)),"")</f>
        <v/>
      </c>
      <c r="L1105" s="216">
        <f>IF(PLAN_ETAPA!$C$4="(TODOS)",SUMIFS(PPTO_GENERADOR!$E$4:$E$220,PPTO_GENERADOR!$Q$4:$Q$220,A1105),SUMIFS(PPTO_GENERADOR!$E$4:$E$220,PPTO_GENERADOR!$Q$4:$Q$220,A1105,PPTO_GENERADOR!$B$4:$B$220,PLAN_ETAPA!$C$4))</f>
        <v>0</v>
      </c>
      <c r="M1105" s="216">
        <f>IFERROR(VLOOKUP(A1105,PARTIDAS!$A$2:$F$269,6,FALSE()),1)</f>
        <v>14.5</v>
      </c>
      <c r="N1105" s="216">
        <f>IFERROR(VLOOKUP(A1105,PARTIDAS!$A$2:$I$269,9,FALSE()),1)</f>
        <v>1</v>
      </c>
      <c r="O1105" s="217">
        <f t="shared" si="34"/>
        <v>0</v>
      </c>
      <c r="P1105" s="216">
        <f>IF(O1105=0,0,IF(B1105="MAT",G1105*(1+H1105)*L1105*PLAN_ETAPA!$C$5,IF(B1105="MO",IF(M1105=0,0,G1105*L1105*PLAN_ETAPA!$C$5*N1105/M1105),IF(B1105="EQ",IF(M1105=0,0,G1105*L1105*PLAN_ETAPA!$C$5/M1105),0))))</f>
        <v>0</v>
      </c>
      <c r="Q1105" s="218">
        <f t="shared" si="35"/>
        <v>0</v>
      </c>
    </row>
    <row r="1106" spans="1:17" x14ac:dyDescent="0.35">
      <c r="A1106" s="212" t="str">
        <f>COMPOSICIÓN!A1106</f>
        <v>PTO-0807</v>
      </c>
      <c r="B1106" s="212" t="str">
        <f>COMPOSICIÓN!B1106</f>
        <v>MAT</v>
      </c>
      <c r="C1106" s="212" t="str">
        <f>COMPOSICIÓN!C1106</f>
        <v>OTR</v>
      </c>
      <c r="D1106" s="212" t="str">
        <f>COMPOSICIÓN!D1106</f>
        <v>AGR-005</v>
      </c>
      <c r="E1106" s="212" t="str">
        <f>COMPOSICIÓN!E1106</f>
        <v>Cal Comun x 25kg</v>
      </c>
      <c r="F1106" s="212" t="str">
        <f>COMPOSICIÓN!F1106</f>
        <v>bol</v>
      </c>
      <c r="G1106" s="213">
        <f>COMPOSICIÓN!G1106</f>
        <v>0.248</v>
      </c>
      <c r="H1106" s="214">
        <f>COMPOSICIÓN!H1106</f>
        <v>0.1</v>
      </c>
      <c r="I1106" s="215">
        <f>COMPOSICIÓN!I1106</f>
        <v>3837.96</v>
      </c>
      <c r="J1106" s="212" t="str">
        <f>IFERROR(VLOOKUP(A1106,PARTIDAS!$A$2:$C$269,3,FALSE()),"")</f>
        <v>CONTRAPISOS Y CARPETAS</v>
      </c>
      <c r="K1106" s="212" t="str">
        <f>IFERROR(INDEX(PPTO_GENERADOR!$B$4:$B$220,MATCH(A1106,PPTO_GENERADOR!$Q$4:$Q$220,0)),"")</f>
        <v/>
      </c>
      <c r="L1106" s="216">
        <f>IF(PLAN_ETAPA!$C$4="(TODOS)",SUMIFS(PPTO_GENERADOR!$E$4:$E$220,PPTO_GENERADOR!$Q$4:$Q$220,A1106),SUMIFS(PPTO_GENERADOR!$E$4:$E$220,PPTO_GENERADOR!$Q$4:$Q$220,A1106,PPTO_GENERADOR!$B$4:$B$220,PLAN_ETAPA!$C$4))</f>
        <v>0</v>
      </c>
      <c r="M1106" s="216">
        <f>IFERROR(VLOOKUP(A1106,PARTIDAS!$A$2:$F$269,6,FALSE()),1)</f>
        <v>14.5</v>
      </c>
      <c r="N1106" s="216">
        <f>IFERROR(VLOOKUP(A1106,PARTIDAS!$A$2:$I$269,9,FALSE()),1)</f>
        <v>1</v>
      </c>
      <c r="O1106" s="217">
        <f t="shared" si="34"/>
        <v>0</v>
      </c>
      <c r="P1106" s="216">
        <f>IF(O1106=0,0,IF(B1106="MAT",G1106*(1+H1106)*L1106*PLAN_ETAPA!$C$5,IF(B1106="MO",IF(M1106=0,0,G1106*L1106*PLAN_ETAPA!$C$5*N1106/M1106),IF(B1106="EQ",IF(M1106=0,0,G1106*L1106*PLAN_ETAPA!$C$5/M1106),0))))</f>
        <v>0</v>
      </c>
      <c r="Q1106" s="218">
        <f t="shared" si="35"/>
        <v>0</v>
      </c>
    </row>
    <row r="1107" spans="1:17" x14ac:dyDescent="0.35">
      <c r="A1107" s="212" t="str">
        <f>COMPOSICIÓN!A1107</f>
        <v>PTO-0807</v>
      </c>
      <c r="B1107" s="212" t="str">
        <f>COMPOSICIÓN!B1107</f>
        <v>MO</v>
      </c>
      <c r="C1107" s="212" t="str">
        <f>COMPOSICIÓN!C1107</f>
        <v>ALB</v>
      </c>
      <c r="D1107" s="212" t="str">
        <f>COMPOSICIÓN!D1107</f>
        <v>MO-EAYUD</v>
      </c>
      <c r="E1107" s="212" t="str">
        <f>COMPOSICIÓN!E1107</f>
        <v>AYUDANTE</v>
      </c>
      <c r="F1107" s="212" t="str">
        <f>COMPOSICIÓN!F1107</f>
        <v>j</v>
      </c>
      <c r="G1107" s="213">
        <f>COMPOSICIÓN!G1107</f>
        <v>0.45</v>
      </c>
      <c r="H1107" s="214">
        <f>COMPOSICIÓN!H1107</f>
        <v>0</v>
      </c>
      <c r="I1107" s="215">
        <f>COMPOSICIÓN!I1107</f>
        <v>60860.580776572002</v>
      </c>
      <c r="J1107" s="212" t="str">
        <f>IFERROR(VLOOKUP(A1107,PARTIDAS!$A$2:$C$269,3,FALSE()),"")</f>
        <v>CONTRAPISOS Y CARPETAS</v>
      </c>
      <c r="K1107" s="212" t="str">
        <f>IFERROR(INDEX(PPTO_GENERADOR!$B$4:$B$220,MATCH(A1107,PPTO_GENERADOR!$Q$4:$Q$220,0)),"")</f>
        <v/>
      </c>
      <c r="L1107" s="216">
        <f>IF(PLAN_ETAPA!$C$4="(TODOS)",SUMIFS(PPTO_GENERADOR!$E$4:$E$220,PPTO_GENERADOR!$Q$4:$Q$220,A1107),SUMIFS(PPTO_GENERADOR!$E$4:$E$220,PPTO_GENERADOR!$Q$4:$Q$220,A1107,PPTO_GENERADOR!$B$4:$B$220,PLAN_ETAPA!$C$4))</f>
        <v>0</v>
      </c>
      <c r="M1107" s="216">
        <f>IFERROR(VLOOKUP(A1107,PARTIDAS!$A$2:$F$269,6,FALSE()),1)</f>
        <v>14.5</v>
      </c>
      <c r="N1107" s="216">
        <f>IFERROR(VLOOKUP(A1107,PARTIDAS!$A$2:$I$269,9,FALSE()),1)</f>
        <v>1</v>
      </c>
      <c r="O1107" s="217">
        <f t="shared" si="34"/>
        <v>0</v>
      </c>
      <c r="P1107" s="216">
        <f>IF(O1107=0,0,IF(B1107="MAT",G1107*(1+H1107)*L1107*PLAN_ETAPA!$C$5,IF(B1107="MO",IF(M1107=0,0,G1107*L1107*PLAN_ETAPA!$C$5*N1107/M1107),IF(B1107="EQ",IF(M1107=0,0,G1107*L1107*PLAN_ETAPA!$C$5/M1107),0))))</f>
        <v>0</v>
      </c>
      <c r="Q1107" s="218">
        <f t="shared" si="35"/>
        <v>0</v>
      </c>
    </row>
    <row r="1108" spans="1:17" x14ac:dyDescent="0.35">
      <c r="A1108" s="212" t="str">
        <f>COMPOSICIÓN!A1108</f>
        <v>PTO-0807</v>
      </c>
      <c r="B1108" s="212" t="str">
        <f>COMPOSICIÓN!B1108</f>
        <v>MO</v>
      </c>
      <c r="C1108" s="212" t="str">
        <f>COMPOSICIÓN!C1108</f>
        <v>ALB</v>
      </c>
      <c r="D1108" s="212" t="str">
        <f>COMPOSICIÓN!D1108</f>
        <v>MO-EESPE</v>
      </c>
      <c r="E1108" s="212" t="str">
        <f>COMPOSICIÓN!E1108</f>
        <v>ESPECIALIZADO</v>
      </c>
      <c r="F1108" s="212" t="str">
        <f>COMPOSICIÓN!F1108</f>
        <v>j</v>
      </c>
      <c r="G1108" s="213">
        <f>COMPOSICIÓN!G1108</f>
        <v>1</v>
      </c>
      <c r="H1108" s="214">
        <f>COMPOSICIÓN!H1108</f>
        <v>0</v>
      </c>
      <c r="I1108" s="215">
        <f>COMPOSICIÓN!I1108</f>
        <v>85927.097156571996</v>
      </c>
      <c r="J1108" s="212" t="str">
        <f>IFERROR(VLOOKUP(A1108,PARTIDAS!$A$2:$C$269,3,FALSE()),"")</f>
        <v>CONTRAPISOS Y CARPETAS</v>
      </c>
      <c r="K1108" s="212" t="str">
        <f>IFERROR(INDEX(PPTO_GENERADOR!$B$4:$B$220,MATCH(A1108,PPTO_GENERADOR!$Q$4:$Q$220,0)),"")</f>
        <v/>
      </c>
      <c r="L1108" s="216">
        <f>IF(PLAN_ETAPA!$C$4="(TODOS)",SUMIFS(PPTO_GENERADOR!$E$4:$E$220,PPTO_GENERADOR!$Q$4:$Q$220,A1108),SUMIFS(PPTO_GENERADOR!$E$4:$E$220,PPTO_GENERADOR!$Q$4:$Q$220,A1108,PPTO_GENERADOR!$B$4:$B$220,PLAN_ETAPA!$C$4))</f>
        <v>0</v>
      </c>
      <c r="M1108" s="216">
        <f>IFERROR(VLOOKUP(A1108,PARTIDAS!$A$2:$F$269,6,FALSE()),1)</f>
        <v>14.5</v>
      </c>
      <c r="N1108" s="216">
        <f>IFERROR(VLOOKUP(A1108,PARTIDAS!$A$2:$I$269,9,FALSE()),1)</f>
        <v>1</v>
      </c>
      <c r="O1108" s="217">
        <f t="shared" si="34"/>
        <v>0</v>
      </c>
      <c r="P1108" s="216">
        <f>IF(O1108=0,0,IF(B1108="MAT",G1108*(1+H1108)*L1108*PLAN_ETAPA!$C$5,IF(B1108="MO",IF(M1108=0,0,G1108*L1108*PLAN_ETAPA!$C$5*N1108/M1108),IF(B1108="EQ",IF(M1108=0,0,G1108*L1108*PLAN_ETAPA!$C$5/M1108),0))))</f>
        <v>0</v>
      </c>
      <c r="Q1108" s="218">
        <f t="shared" si="35"/>
        <v>0</v>
      </c>
    </row>
    <row r="1109" spans="1:17" x14ac:dyDescent="0.35">
      <c r="A1109" s="212" t="str">
        <f>COMPOSICIÓN!A1109</f>
        <v>PTO-0808</v>
      </c>
      <c r="B1109" s="212" t="str">
        <f>COMPOSICIÓN!B1109</f>
        <v>EQ</v>
      </c>
      <c r="C1109" s="212">
        <f>COMPOSICIÓN!C1109</f>
        <v>0</v>
      </c>
      <c r="D1109" s="212" t="str">
        <f>COMPOSICIÓN!D1109</f>
        <v>EQ-EQALBA</v>
      </c>
      <c r="E1109" s="212" t="str">
        <f>COMPOSICIÓN!E1109</f>
        <v>EQUIPO DE ALBAÑILERIA, carpetas, ladrillo</v>
      </c>
      <c r="F1109" s="212">
        <f>COMPOSICIÓN!F1109</f>
        <v>0</v>
      </c>
      <c r="G1109" s="213">
        <f>COMPOSICIÓN!G1109</f>
        <v>1</v>
      </c>
      <c r="H1109" s="214">
        <f>COMPOSICIÓN!H1109</f>
        <v>0</v>
      </c>
      <c r="I1109" s="215">
        <f>COMPOSICIÓN!I1109</f>
        <v>2287.1357450968057</v>
      </c>
      <c r="J1109" s="212" t="str">
        <f>IFERROR(VLOOKUP(A1109,PARTIDAS!$A$2:$C$269,3,FALSE()),"")</f>
        <v>CONTRAPISOS Y CARPETAS</v>
      </c>
      <c r="K1109" s="212" t="str">
        <f>IFERROR(INDEX(PPTO_GENERADOR!$B$4:$B$220,MATCH(A1109,PPTO_GENERADOR!$Q$4:$Q$220,0)),"")</f>
        <v/>
      </c>
      <c r="L1109" s="216">
        <f>IF(PLAN_ETAPA!$C$4="(TODOS)",SUMIFS(PPTO_GENERADOR!$E$4:$E$220,PPTO_GENERADOR!$Q$4:$Q$220,A1109),SUMIFS(PPTO_GENERADOR!$E$4:$E$220,PPTO_GENERADOR!$Q$4:$Q$220,A1109,PPTO_GENERADOR!$B$4:$B$220,PLAN_ETAPA!$C$4))</f>
        <v>0</v>
      </c>
      <c r="M1109" s="216">
        <f>IFERROR(VLOOKUP(A1109,PARTIDAS!$A$2:$F$269,6,FALSE()),1)</f>
        <v>14.5</v>
      </c>
      <c r="N1109" s="216">
        <f>IFERROR(VLOOKUP(A1109,PARTIDAS!$A$2:$I$269,9,FALSE()),1)</f>
        <v>1</v>
      </c>
      <c r="O1109" s="217">
        <f t="shared" si="34"/>
        <v>0</v>
      </c>
      <c r="P1109" s="216">
        <f>IF(O1109=0,0,IF(B1109="MAT",G1109*(1+H1109)*L1109*PLAN_ETAPA!$C$5,IF(B1109="MO",IF(M1109=0,0,G1109*L1109*PLAN_ETAPA!$C$5*N1109/M1109),IF(B1109="EQ",IF(M1109=0,0,G1109*L1109*PLAN_ETAPA!$C$5/M1109),0))))</f>
        <v>0</v>
      </c>
      <c r="Q1109" s="218">
        <f t="shared" si="35"/>
        <v>0</v>
      </c>
    </row>
    <row r="1110" spans="1:17" x14ac:dyDescent="0.35">
      <c r="A1110" s="212" t="str">
        <f>COMPOSICIÓN!A1110</f>
        <v>PTO-0808</v>
      </c>
      <c r="B1110" s="212" t="str">
        <f>COMPOSICIÓN!B1110</f>
        <v>EQ</v>
      </c>
      <c r="C1110" s="212">
        <f>COMPOSICIÓN!C1110</f>
        <v>0</v>
      </c>
      <c r="D1110" s="212" t="str">
        <f>COMPOSICIÓN!D1110</f>
        <v>EQ-TROMPO</v>
      </c>
      <c r="E1110" s="212" t="str">
        <f>COMPOSICIÓN!E1110</f>
        <v>Hormigonera De 150 Litros 1hp Con Rueda Maciza</v>
      </c>
      <c r="F1110" s="212">
        <f>COMPOSICIÓN!F1110</f>
        <v>0</v>
      </c>
      <c r="G1110" s="213">
        <f>COMPOSICIÓN!G1110</f>
        <v>1</v>
      </c>
      <c r="H1110" s="214">
        <f>COMPOSICIÓN!H1110</f>
        <v>0</v>
      </c>
      <c r="I1110" s="215">
        <f>COMPOSICIÓN!I1110</f>
        <v>957.25319614994726</v>
      </c>
      <c r="J1110" s="212" t="str">
        <f>IFERROR(VLOOKUP(A1110,PARTIDAS!$A$2:$C$269,3,FALSE()),"")</f>
        <v>CONTRAPISOS Y CARPETAS</v>
      </c>
      <c r="K1110" s="212" t="str">
        <f>IFERROR(INDEX(PPTO_GENERADOR!$B$4:$B$220,MATCH(A1110,PPTO_GENERADOR!$Q$4:$Q$220,0)),"")</f>
        <v/>
      </c>
      <c r="L1110" s="216">
        <f>IF(PLAN_ETAPA!$C$4="(TODOS)",SUMIFS(PPTO_GENERADOR!$E$4:$E$220,PPTO_GENERADOR!$Q$4:$Q$220,A1110),SUMIFS(PPTO_GENERADOR!$E$4:$E$220,PPTO_GENERADOR!$Q$4:$Q$220,A1110,PPTO_GENERADOR!$B$4:$B$220,PLAN_ETAPA!$C$4))</f>
        <v>0</v>
      </c>
      <c r="M1110" s="216">
        <f>IFERROR(VLOOKUP(A1110,PARTIDAS!$A$2:$F$269,6,FALSE()),1)</f>
        <v>14.5</v>
      </c>
      <c r="N1110" s="216">
        <f>IFERROR(VLOOKUP(A1110,PARTIDAS!$A$2:$I$269,9,FALSE()),1)</f>
        <v>1</v>
      </c>
      <c r="O1110" s="217">
        <f t="shared" si="34"/>
        <v>0</v>
      </c>
      <c r="P1110" s="216">
        <f>IF(O1110=0,0,IF(B1110="MAT",G1110*(1+H1110)*L1110*PLAN_ETAPA!$C$5,IF(B1110="MO",IF(M1110=0,0,G1110*L1110*PLAN_ETAPA!$C$5*N1110/M1110),IF(B1110="EQ",IF(M1110=0,0,G1110*L1110*PLAN_ETAPA!$C$5/M1110),0))))</f>
        <v>0</v>
      </c>
      <c r="Q1110" s="218">
        <f t="shared" si="35"/>
        <v>0</v>
      </c>
    </row>
    <row r="1111" spans="1:17" x14ac:dyDescent="0.35">
      <c r="A1111" s="212" t="str">
        <f>COMPOSICIÓN!A1111</f>
        <v>PTO-0808</v>
      </c>
      <c r="B1111" s="212" t="str">
        <f>COMPOSICIÓN!B1111</f>
        <v>MAT</v>
      </c>
      <c r="C1111" s="212" t="str">
        <f>COMPOSICIÓN!C1111</f>
        <v>OTR</v>
      </c>
      <c r="D1111" s="212" t="str">
        <f>COMPOSICIÓN!D1111</f>
        <v>AGR-001</v>
      </c>
      <c r="E1111" s="212" t="str">
        <f>COMPOSICIÓN!E1111</f>
        <v>ARENA LAVADA</v>
      </c>
      <c r="F1111" s="212" t="str">
        <f>COMPOSICIÓN!F1111</f>
        <v>m3</v>
      </c>
      <c r="G1111" s="213">
        <f>COMPOSICIÓN!G1111</f>
        <v>0.03</v>
      </c>
      <c r="H1111" s="214">
        <f>COMPOSICIÓN!H1111</f>
        <v>0.1</v>
      </c>
      <c r="I1111" s="215">
        <f>COMPOSICIÓN!I1111</f>
        <v>32399.77</v>
      </c>
      <c r="J1111" s="212" t="str">
        <f>IFERROR(VLOOKUP(A1111,PARTIDAS!$A$2:$C$269,3,FALSE()),"")</f>
        <v>CONTRAPISOS Y CARPETAS</v>
      </c>
      <c r="K1111" s="212" t="str">
        <f>IFERROR(INDEX(PPTO_GENERADOR!$B$4:$B$220,MATCH(A1111,PPTO_GENERADOR!$Q$4:$Q$220,0)),"")</f>
        <v/>
      </c>
      <c r="L1111" s="216">
        <f>IF(PLAN_ETAPA!$C$4="(TODOS)",SUMIFS(PPTO_GENERADOR!$E$4:$E$220,PPTO_GENERADOR!$Q$4:$Q$220,A1111),SUMIFS(PPTO_GENERADOR!$E$4:$E$220,PPTO_GENERADOR!$Q$4:$Q$220,A1111,PPTO_GENERADOR!$B$4:$B$220,PLAN_ETAPA!$C$4))</f>
        <v>0</v>
      </c>
      <c r="M1111" s="216">
        <f>IFERROR(VLOOKUP(A1111,PARTIDAS!$A$2:$F$269,6,FALSE()),1)</f>
        <v>14.5</v>
      </c>
      <c r="N1111" s="216">
        <f>IFERROR(VLOOKUP(A1111,PARTIDAS!$A$2:$I$269,9,FALSE()),1)</f>
        <v>1</v>
      </c>
      <c r="O1111" s="217">
        <f t="shared" si="34"/>
        <v>0</v>
      </c>
      <c r="P1111" s="216">
        <f>IF(O1111=0,0,IF(B1111="MAT",G1111*(1+H1111)*L1111*PLAN_ETAPA!$C$5,IF(B1111="MO",IF(M1111=0,0,G1111*L1111*PLAN_ETAPA!$C$5*N1111/M1111),IF(B1111="EQ",IF(M1111=0,0,G1111*L1111*PLAN_ETAPA!$C$5/M1111),0))))</f>
        <v>0</v>
      </c>
      <c r="Q1111" s="218">
        <f t="shared" si="35"/>
        <v>0</v>
      </c>
    </row>
    <row r="1112" spans="1:17" x14ac:dyDescent="0.35">
      <c r="A1112" s="212" t="str">
        <f>COMPOSICIÓN!A1112</f>
        <v>PTO-0808</v>
      </c>
      <c r="B1112" s="212" t="str">
        <f>COMPOSICIÓN!B1112</f>
        <v>MAT</v>
      </c>
      <c r="C1112" s="212" t="str">
        <f>COMPOSICIÓN!C1112</f>
        <v>OTR</v>
      </c>
      <c r="D1112" s="212" t="str">
        <f>COMPOSICIÓN!D1112</f>
        <v>AGR-004</v>
      </c>
      <c r="E1112" s="212" t="str">
        <f>COMPOSICIÓN!E1112</f>
        <v>Cemento Portland x 50kg</v>
      </c>
      <c r="F1112" s="212" t="str">
        <f>COMPOSICIÓN!F1112</f>
        <v>Bol</v>
      </c>
      <c r="G1112" s="213">
        <f>COMPOSICIÓN!G1112</f>
        <v>7.0000000000000007E-2</v>
      </c>
      <c r="H1112" s="214">
        <f>COMPOSICIÓN!H1112</f>
        <v>0.1</v>
      </c>
      <c r="I1112" s="215">
        <f>COMPOSICIÓN!I1112</f>
        <v>7809.48</v>
      </c>
      <c r="J1112" s="212" t="str">
        <f>IFERROR(VLOOKUP(A1112,PARTIDAS!$A$2:$C$269,3,FALSE()),"")</f>
        <v>CONTRAPISOS Y CARPETAS</v>
      </c>
      <c r="K1112" s="212" t="str">
        <f>IFERROR(INDEX(PPTO_GENERADOR!$B$4:$B$220,MATCH(A1112,PPTO_GENERADOR!$Q$4:$Q$220,0)),"")</f>
        <v/>
      </c>
      <c r="L1112" s="216">
        <f>IF(PLAN_ETAPA!$C$4="(TODOS)",SUMIFS(PPTO_GENERADOR!$E$4:$E$220,PPTO_GENERADOR!$Q$4:$Q$220,A1112),SUMIFS(PPTO_GENERADOR!$E$4:$E$220,PPTO_GENERADOR!$Q$4:$Q$220,A1112,PPTO_GENERADOR!$B$4:$B$220,PLAN_ETAPA!$C$4))</f>
        <v>0</v>
      </c>
      <c r="M1112" s="216">
        <f>IFERROR(VLOOKUP(A1112,PARTIDAS!$A$2:$F$269,6,FALSE()),1)</f>
        <v>14.5</v>
      </c>
      <c r="N1112" s="216">
        <f>IFERROR(VLOOKUP(A1112,PARTIDAS!$A$2:$I$269,9,FALSE()),1)</f>
        <v>1</v>
      </c>
      <c r="O1112" s="217">
        <f t="shared" si="34"/>
        <v>0</v>
      </c>
      <c r="P1112" s="216">
        <f>IF(O1112=0,0,IF(B1112="MAT",G1112*(1+H1112)*L1112*PLAN_ETAPA!$C$5,IF(B1112="MO",IF(M1112=0,0,G1112*L1112*PLAN_ETAPA!$C$5*N1112/M1112),IF(B1112="EQ",IF(M1112=0,0,G1112*L1112*PLAN_ETAPA!$C$5/M1112),0))))</f>
        <v>0</v>
      </c>
      <c r="Q1112" s="218">
        <f t="shared" si="35"/>
        <v>0</v>
      </c>
    </row>
    <row r="1113" spans="1:17" x14ac:dyDescent="0.35">
      <c r="A1113" s="212" t="str">
        <f>COMPOSICIÓN!A1113</f>
        <v>PTO-0808</v>
      </c>
      <c r="B1113" s="212" t="str">
        <f>COMPOSICIÓN!B1113</f>
        <v>MAT</v>
      </c>
      <c r="C1113" s="212" t="str">
        <f>COMPOSICIÓN!C1113</f>
        <v>OTR</v>
      </c>
      <c r="D1113" s="212" t="str">
        <f>COMPOSICIÓN!D1113</f>
        <v>AGR-005</v>
      </c>
      <c r="E1113" s="212" t="str">
        <f>COMPOSICIÓN!E1113</f>
        <v>Cal Comun x 25kg</v>
      </c>
      <c r="F1113" s="212" t="str">
        <f>COMPOSICIÓN!F1113</f>
        <v>bol</v>
      </c>
      <c r="G1113" s="213">
        <f>COMPOSICIÓN!G1113</f>
        <v>0.248</v>
      </c>
      <c r="H1113" s="214">
        <f>COMPOSICIÓN!H1113</f>
        <v>0.1</v>
      </c>
      <c r="I1113" s="215">
        <f>COMPOSICIÓN!I1113</f>
        <v>3837.96</v>
      </c>
      <c r="J1113" s="212" t="str">
        <f>IFERROR(VLOOKUP(A1113,PARTIDAS!$A$2:$C$269,3,FALSE()),"")</f>
        <v>CONTRAPISOS Y CARPETAS</v>
      </c>
      <c r="K1113" s="212" t="str">
        <f>IFERROR(INDEX(PPTO_GENERADOR!$B$4:$B$220,MATCH(A1113,PPTO_GENERADOR!$Q$4:$Q$220,0)),"")</f>
        <v/>
      </c>
      <c r="L1113" s="216">
        <f>IF(PLAN_ETAPA!$C$4="(TODOS)",SUMIFS(PPTO_GENERADOR!$E$4:$E$220,PPTO_GENERADOR!$Q$4:$Q$220,A1113),SUMIFS(PPTO_GENERADOR!$E$4:$E$220,PPTO_GENERADOR!$Q$4:$Q$220,A1113,PPTO_GENERADOR!$B$4:$B$220,PLAN_ETAPA!$C$4))</f>
        <v>0</v>
      </c>
      <c r="M1113" s="216">
        <f>IFERROR(VLOOKUP(A1113,PARTIDAS!$A$2:$F$269,6,FALSE()),1)</f>
        <v>14.5</v>
      </c>
      <c r="N1113" s="216">
        <f>IFERROR(VLOOKUP(A1113,PARTIDAS!$A$2:$I$269,9,FALSE()),1)</f>
        <v>1</v>
      </c>
      <c r="O1113" s="217">
        <f t="shared" si="34"/>
        <v>0</v>
      </c>
      <c r="P1113" s="216">
        <f>IF(O1113=0,0,IF(B1113="MAT",G1113*(1+H1113)*L1113*PLAN_ETAPA!$C$5,IF(B1113="MO",IF(M1113=0,0,G1113*L1113*PLAN_ETAPA!$C$5*N1113/M1113),IF(B1113="EQ",IF(M1113=0,0,G1113*L1113*PLAN_ETAPA!$C$5/M1113),0))))</f>
        <v>0</v>
      </c>
      <c r="Q1113" s="218">
        <f t="shared" si="35"/>
        <v>0</v>
      </c>
    </row>
    <row r="1114" spans="1:17" x14ac:dyDescent="0.35">
      <c r="A1114" s="212" t="str">
        <f>COMPOSICIÓN!A1114</f>
        <v>PTO-0808</v>
      </c>
      <c r="B1114" s="212" t="str">
        <f>COMPOSICIÓN!B1114</f>
        <v>MO</v>
      </c>
      <c r="C1114" s="212" t="str">
        <f>COMPOSICIÓN!C1114</f>
        <v>ALB</v>
      </c>
      <c r="D1114" s="212" t="str">
        <f>COMPOSICIÓN!D1114</f>
        <v>MO-EAYUD</v>
      </c>
      <c r="E1114" s="212" t="str">
        <f>COMPOSICIÓN!E1114</f>
        <v>AYUDANTE</v>
      </c>
      <c r="F1114" s="212" t="str">
        <f>COMPOSICIÓN!F1114</f>
        <v>j</v>
      </c>
      <c r="G1114" s="213">
        <f>COMPOSICIÓN!G1114</f>
        <v>0.45</v>
      </c>
      <c r="H1114" s="214">
        <f>COMPOSICIÓN!H1114</f>
        <v>0</v>
      </c>
      <c r="I1114" s="215">
        <f>COMPOSICIÓN!I1114</f>
        <v>60860.580776572002</v>
      </c>
      <c r="J1114" s="212" t="str">
        <f>IFERROR(VLOOKUP(A1114,PARTIDAS!$A$2:$C$269,3,FALSE()),"")</f>
        <v>CONTRAPISOS Y CARPETAS</v>
      </c>
      <c r="K1114" s="212" t="str">
        <f>IFERROR(INDEX(PPTO_GENERADOR!$B$4:$B$220,MATCH(A1114,PPTO_GENERADOR!$Q$4:$Q$220,0)),"")</f>
        <v/>
      </c>
      <c r="L1114" s="216">
        <f>IF(PLAN_ETAPA!$C$4="(TODOS)",SUMIFS(PPTO_GENERADOR!$E$4:$E$220,PPTO_GENERADOR!$Q$4:$Q$220,A1114),SUMIFS(PPTO_GENERADOR!$E$4:$E$220,PPTO_GENERADOR!$Q$4:$Q$220,A1114,PPTO_GENERADOR!$B$4:$B$220,PLAN_ETAPA!$C$4))</f>
        <v>0</v>
      </c>
      <c r="M1114" s="216">
        <f>IFERROR(VLOOKUP(A1114,PARTIDAS!$A$2:$F$269,6,FALSE()),1)</f>
        <v>14.5</v>
      </c>
      <c r="N1114" s="216">
        <f>IFERROR(VLOOKUP(A1114,PARTIDAS!$A$2:$I$269,9,FALSE()),1)</f>
        <v>1</v>
      </c>
      <c r="O1114" s="217">
        <f t="shared" si="34"/>
        <v>0</v>
      </c>
      <c r="P1114" s="216">
        <f>IF(O1114=0,0,IF(B1114="MAT",G1114*(1+H1114)*L1114*PLAN_ETAPA!$C$5,IF(B1114="MO",IF(M1114=0,0,G1114*L1114*PLAN_ETAPA!$C$5*N1114/M1114),IF(B1114="EQ",IF(M1114=0,0,G1114*L1114*PLAN_ETAPA!$C$5/M1114),0))))</f>
        <v>0</v>
      </c>
      <c r="Q1114" s="218">
        <f t="shared" si="35"/>
        <v>0</v>
      </c>
    </row>
    <row r="1115" spans="1:17" x14ac:dyDescent="0.35">
      <c r="A1115" s="212" t="str">
        <f>COMPOSICIÓN!A1115</f>
        <v>PTO-0808</v>
      </c>
      <c r="B1115" s="212" t="str">
        <f>COMPOSICIÓN!B1115</f>
        <v>MO</v>
      </c>
      <c r="C1115" s="212" t="str">
        <f>COMPOSICIÓN!C1115</f>
        <v>ALB</v>
      </c>
      <c r="D1115" s="212" t="str">
        <f>COMPOSICIÓN!D1115</f>
        <v>MO-EESPE</v>
      </c>
      <c r="E1115" s="212" t="str">
        <f>COMPOSICIÓN!E1115</f>
        <v>ESPECIALIZADO</v>
      </c>
      <c r="F1115" s="212" t="str">
        <f>COMPOSICIÓN!F1115</f>
        <v>j</v>
      </c>
      <c r="G1115" s="213">
        <f>COMPOSICIÓN!G1115</f>
        <v>1</v>
      </c>
      <c r="H1115" s="214">
        <f>COMPOSICIÓN!H1115</f>
        <v>0</v>
      </c>
      <c r="I1115" s="215">
        <f>COMPOSICIÓN!I1115</f>
        <v>85927.097156571996</v>
      </c>
      <c r="J1115" s="212" t="str">
        <f>IFERROR(VLOOKUP(A1115,PARTIDAS!$A$2:$C$269,3,FALSE()),"")</f>
        <v>CONTRAPISOS Y CARPETAS</v>
      </c>
      <c r="K1115" s="212" t="str">
        <f>IFERROR(INDEX(PPTO_GENERADOR!$B$4:$B$220,MATCH(A1115,PPTO_GENERADOR!$Q$4:$Q$220,0)),"")</f>
        <v/>
      </c>
      <c r="L1115" s="216">
        <f>IF(PLAN_ETAPA!$C$4="(TODOS)",SUMIFS(PPTO_GENERADOR!$E$4:$E$220,PPTO_GENERADOR!$Q$4:$Q$220,A1115),SUMIFS(PPTO_GENERADOR!$E$4:$E$220,PPTO_GENERADOR!$Q$4:$Q$220,A1115,PPTO_GENERADOR!$B$4:$B$220,PLAN_ETAPA!$C$4))</f>
        <v>0</v>
      </c>
      <c r="M1115" s="216">
        <f>IFERROR(VLOOKUP(A1115,PARTIDAS!$A$2:$F$269,6,FALSE()),1)</f>
        <v>14.5</v>
      </c>
      <c r="N1115" s="216">
        <f>IFERROR(VLOOKUP(A1115,PARTIDAS!$A$2:$I$269,9,FALSE()),1)</f>
        <v>1</v>
      </c>
      <c r="O1115" s="217">
        <f t="shared" si="34"/>
        <v>0</v>
      </c>
      <c r="P1115" s="216">
        <f>IF(O1115=0,0,IF(B1115="MAT",G1115*(1+H1115)*L1115*PLAN_ETAPA!$C$5,IF(B1115="MO",IF(M1115=0,0,G1115*L1115*PLAN_ETAPA!$C$5*N1115/M1115),IF(B1115="EQ",IF(M1115=0,0,G1115*L1115*PLAN_ETAPA!$C$5/M1115),0))))</f>
        <v>0</v>
      </c>
      <c r="Q1115" s="218">
        <f t="shared" si="35"/>
        <v>0</v>
      </c>
    </row>
    <row r="1116" spans="1:17" x14ac:dyDescent="0.35">
      <c r="A1116" s="212" t="str">
        <f>COMPOSICIÓN!A1116</f>
        <v>PTO-0901</v>
      </c>
      <c r="B1116" s="212" t="str">
        <f>COMPOSICIÓN!B1116</f>
        <v>EQ</v>
      </c>
      <c r="C1116" s="212">
        <f>COMPOSICIÓN!C1116</f>
        <v>0</v>
      </c>
      <c r="D1116" s="212" t="str">
        <f>COMPOSICIÓN!D1116</f>
        <v>EQ-PTO055</v>
      </c>
      <c r="E1116" s="212" t="str">
        <f>COMPOSICIÓN!E1116</f>
        <v>Herramientas menores y consumibles - Provisión y ejecución de cemento alisado arrodilla</v>
      </c>
      <c r="F1116" s="212">
        <f>COMPOSICIÓN!F1116</f>
        <v>0</v>
      </c>
      <c r="G1116" s="213">
        <f>COMPOSICIÓN!G1116</f>
        <v>1</v>
      </c>
      <c r="H1116" s="214">
        <f>COMPOSICIÓN!H1116</f>
        <v>0</v>
      </c>
      <c r="I1116" s="215">
        <f>COMPOSICIÓN!I1116</f>
        <v>23389.673803614602</v>
      </c>
      <c r="J1116" s="212" t="str">
        <f>IFERROR(VLOOKUP(A1116,PARTIDAS!$A$2:$C$269,3,FALSE()),"")</f>
        <v>ESCALERAS</v>
      </c>
      <c r="K1116" s="212" t="str">
        <f>IFERROR(INDEX(PPTO_GENERADOR!$B$4:$B$220,MATCH(A1116,PPTO_GENERADOR!$Q$4:$Q$220,0)),"")</f>
        <v>ESCALERAS</v>
      </c>
      <c r="L1116" s="216">
        <f>IF(PLAN_ETAPA!$C$4="(TODOS)",SUMIFS(PPTO_GENERADOR!$E$4:$E$220,PPTO_GENERADOR!$Q$4:$Q$220,A1116),SUMIFS(PPTO_GENERADOR!$E$4:$E$220,PPTO_GENERADOR!$Q$4:$Q$220,A1116,PPTO_GENERADOR!$B$4:$B$220,PLAN_ETAPA!$C$4))</f>
        <v>0</v>
      </c>
      <c r="M1116" s="216">
        <f>IFERROR(VLOOKUP(A1116,PARTIDAS!$A$2:$F$269,6,FALSE()),1)</f>
        <v>1</v>
      </c>
      <c r="N1116" s="216">
        <f>IFERROR(VLOOKUP(A1116,PARTIDAS!$A$2:$I$269,9,FALSE()),1)</f>
        <v>1</v>
      </c>
      <c r="O1116" s="217">
        <f t="shared" si="34"/>
        <v>0</v>
      </c>
      <c r="P1116" s="216">
        <f>IF(O1116=0,0,IF(B1116="MAT",G1116*(1+H1116)*L1116*PLAN_ETAPA!$C$5,IF(B1116="MO",IF(M1116=0,0,G1116*L1116*PLAN_ETAPA!$C$5*N1116/M1116),IF(B1116="EQ",IF(M1116=0,0,G1116*L1116*PLAN_ETAPA!$C$5/M1116),0))))</f>
        <v>0</v>
      </c>
      <c r="Q1116" s="218">
        <f t="shared" si="35"/>
        <v>0</v>
      </c>
    </row>
    <row r="1117" spans="1:17" x14ac:dyDescent="0.35">
      <c r="A1117" s="212" t="str">
        <f>COMPOSICIÓN!A1117</f>
        <v>PTO-0901</v>
      </c>
      <c r="B1117" s="212" t="str">
        <f>COMPOSICIÓN!B1117</f>
        <v>MAT</v>
      </c>
      <c r="C1117" s="212" t="str">
        <f>COMPOSICIÓN!C1117</f>
        <v>COR</v>
      </c>
      <c r="D1117" s="212" t="str">
        <f>COMPOSICIÓN!D1117</f>
        <v>OTR-PTO093</v>
      </c>
      <c r="E1117" s="212" t="str">
        <f>COMPOSICIÓN!E1117</f>
        <v>Carpeta cilindrada</v>
      </c>
      <c r="F1117" s="212" t="str">
        <f>COMPOSICIÓN!F1117</f>
        <v>m2</v>
      </c>
      <c r="G1117" s="213">
        <f>COMPOSICIÓN!G1117</f>
        <v>44.55</v>
      </c>
      <c r="H1117" s="214">
        <f>COMPOSICIÓN!H1117</f>
        <v>0</v>
      </c>
      <c r="I1117" s="215">
        <f>COMPOSICIÓN!I1117</f>
        <v>4066.3295640000001</v>
      </c>
      <c r="J1117" s="212" t="str">
        <f>IFERROR(VLOOKUP(A1117,PARTIDAS!$A$2:$C$269,3,FALSE()),"")</f>
        <v>ESCALERAS</v>
      </c>
      <c r="K1117" s="212" t="str">
        <f>IFERROR(INDEX(PPTO_GENERADOR!$B$4:$B$220,MATCH(A1117,PPTO_GENERADOR!$Q$4:$Q$220,0)),"")</f>
        <v>ESCALERAS</v>
      </c>
      <c r="L1117" s="216">
        <f>IF(PLAN_ETAPA!$C$4="(TODOS)",SUMIFS(PPTO_GENERADOR!$E$4:$E$220,PPTO_GENERADOR!$Q$4:$Q$220,A1117),SUMIFS(PPTO_GENERADOR!$E$4:$E$220,PPTO_GENERADOR!$Q$4:$Q$220,A1117,PPTO_GENERADOR!$B$4:$B$220,PLAN_ETAPA!$C$4))</f>
        <v>0</v>
      </c>
      <c r="M1117" s="216">
        <f>IFERROR(VLOOKUP(A1117,PARTIDAS!$A$2:$F$269,6,FALSE()),1)</f>
        <v>1</v>
      </c>
      <c r="N1117" s="216">
        <f>IFERROR(VLOOKUP(A1117,PARTIDAS!$A$2:$I$269,9,FALSE()),1)</f>
        <v>1</v>
      </c>
      <c r="O1117" s="217">
        <f t="shared" si="34"/>
        <v>0</v>
      </c>
      <c r="P1117" s="216">
        <f>IF(O1117=0,0,IF(B1117="MAT",G1117*(1+H1117)*L1117*PLAN_ETAPA!$C$5,IF(B1117="MO",IF(M1117=0,0,G1117*L1117*PLAN_ETAPA!$C$5*N1117/M1117),IF(B1117="EQ",IF(M1117=0,0,G1117*L1117*PLAN_ETAPA!$C$5/M1117),0))))</f>
        <v>0</v>
      </c>
      <c r="Q1117" s="218">
        <f t="shared" si="35"/>
        <v>0</v>
      </c>
    </row>
    <row r="1118" spans="1:17" x14ac:dyDescent="0.35">
      <c r="A1118" s="212" t="str">
        <f>COMPOSICIÓN!A1118</f>
        <v>PTO-0901</v>
      </c>
      <c r="B1118" s="212" t="str">
        <f>COMPOSICIÓN!B1118</f>
        <v>MO</v>
      </c>
      <c r="C1118" s="212" t="str">
        <f>COMPOSICIÓN!C1118</f>
        <v>ALB</v>
      </c>
      <c r="D1118" s="212" t="str">
        <f>COMPOSICIÓN!D1118</f>
        <v>MO-EAYUD</v>
      </c>
      <c r="E1118" s="212" t="str">
        <f>COMPOSICIÓN!E1118</f>
        <v>AYUDANTE</v>
      </c>
      <c r="F1118" s="212" t="str">
        <f>COMPOSICIÓN!F1118</f>
        <v>j</v>
      </c>
      <c r="G1118" s="213">
        <f>COMPOSICIÓN!G1118</f>
        <v>10</v>
      </c>
      <c r="H1118" s="214">
        <f>COMPOSICIÓN!H1118</f>
        <v>0</v>
      </c>
      <c r="I1118" s="215">
        <f>COMPOSICIÓN!I1118</f>
        <v>60860.580776572002</v>
      </c>
      <c r="J1118" s="212" t="str">
        <f>IFERROR(VLOOKUP(A1118,PARTIDAS!$A$2:$C$269,3,FALSE()),"")</f>
        <v>ESCALERAS</v>
      </c>
      <c r="K1118" s="212" t="str">
        <f>IFERROR(INDEX(PPTO_GENERADOR!$B$4:$B$220,MATCH(A1118,PPTO_GENERADOR!$Q$4:$Q$220,0)),"")</f>
        <v>ESCALERAS</v>
      </c>
      <c r="L1118" s="216">
        <f>IF(PLAN_ETAPA!$C$4="(TODOS)",SUMIFS(PPTO_GENERADOR!$E$4:$E$220,PPTO_GENERADOR!$Q$4:$Q$220,A1118),SUMIFS(PPTO_GENERADOR!$E$4:$E$220,PPTO_GENERADOR!$Q$4:$Q$220,A1118,PPTO_GENERADOR!$B$4:$B$220,PLAN_ETAPA!$C$4))</f>
        <v>0</v>
      </c>
      <c r="M1118" s="216">
        <f>IFERROR(VLOOKUP(A1118,PARTIDAS!$A$2:$F$269,6,FALSE()),1)</f>
        <v>1</v>
      </c>
      <c r="N1118" s="216">
        <f>IFERROR(VLOOKUP(A1118,PARTIDAS!$A$2:$I$269,9,FALSE()),1)</f>
        <v>1</v>
      </c>
      <c r="O1118" s="217">
        <f t="shared" si="34"/>
        <v>0</v>
      </c>
      <c r="P1118" s="216">
        <f>IF(O1118=0,0,IF(B1118="MAT",G1118*(1+H1118)*L1118*PLAN_ETAPA!$C$5,IF(B1118="MO",IF(M1118=0,0,G1118*L1118*PLAN_ETAPA!$C$5*N1118/M1118),IF(B1118="EQ",IF(M1118=0,0,G1118*L1118*PLAN_ETAPA!$C$5/M1118),0))))</f>
        <v>0</v>
      </c>
      <c r="Q1118" s="218">
        <f t="shared" si="35"/>
        <v>0</v>
      </c>
    </row>
    <row r="1119" spans="1:17" x14ac:dyDescent="0.35">
      <c r="A1119" s="212" t="str">
        <f>COMPOSICIÓN!A1119</f>
        <v>PTO-0901</v>
      </c>
      <c r="B1119" s="212" t="str">
        <f>COMPOSICIÓN!B1119</f>
        <v>MO</v>
      </c>
      <c r="C1119" s="212" t="str">
        <f>COMPOSICIÓN!C1119</f>
        <v>ALB</v>
      </c>
      <c r="D1119" s="212" t="str">
        <f>COMPOSICIÓN!D1119</f>
        <v>MO-EOFIC</v>
      </c>
      <c r="E1119" s="212" t="str">
        <f>COMPOSICIÓN!E1119</f>
        <v>OFICIAL</v>
      </c>
      <c r="F1119" s="212" t="str">
        <f>COMPOSICIÓN!F1119</f>
        <v>j</v>
      </c>
      <c r="G1119" s="213">
        <f>COMPOSICIÓN!G1119</f>
        <v>10</v>
      </c>
      <c r="H1119" s="214">
        <f>COMPOSICIÓN!H1119</f>
        <v>0</v>
      </c>
      <c r="I1119" s="215">
        <f>COMPOSICIÓN!I1119</f>
        <v>76955.079706571996</v>
      </c>
      <c r="J1119" s="212" t="str">
        <f>IFERROR(VLOOKUP(A1119,PARTIDAS!$A$2:$C$269,3,FALSE()),"")</f>
        <v>ESCALERAS</v>
      </c>
      <c r="K1119" s="212" t="str">
        <f>IFERROR(INDEX(PPTO_GENERADOR!$B$4:$B$220,MATCH(A1119,PPTO_GENERADOR!$Q$4:$Q$220,0)),"")</f>
        <v>ESCALERAS</v>
      </c>
      <c r="L1119" s="216">
        <f>IF(PLAN_ETAPA!$C$4="(TODOS)",SUMIFS(PPTO_GENERADOR!$E$4:$E$220,PPTO_GENERADOR!$Q$4:$Q$220,A1119),SUMIFS(PPTO_GENERADOR!$E$4:$E$220,PPTO_GENERADOR!$Q$4:$Q$220,A1119,PPTO_GENERADOR!$B$4:$B$220,PLAN_ETAPA!$C$4))</f>
        <v>0</v>
      </c>
      <c r="M1119" s="216">
        <f>IFERROR(VLOOKUP(A1119,PARTIDAS!$A$2:$F$269,6,FALSE()),1)</f>
        <v>1</v>
      </c>
      <c r="N1119" s="216">
        <f>IFERROR(VLOOKUP(A1119,PARTIDAS!$A$2:$I$269,9,FALSE()),1)</f>
        <v>1</v>
      </c>
      <c r="O1119" s="217">
        <f t="shared" si="34"/>
        <v>0</v>
      </c>
      <c r="P1119" s="216">
        <f>IF(O1119=0,0,IF(B1119="MAT",G1119*(1+H1119)*L1119*PLAN_ETAPA!$C$5,IF(B1119="MO",IF(M1119=0,0,G1119*L1119*PLAN_ETAPA!$C$5*N1119/M1119),IF(B1119="EQ",IF(M1119=0,0,G1119*L1119*PLAN_ETAPA!$C$5/M1119),0))))</f>
        <v>0</v>
      </c>
      <c r="Q1119" s="218">
        <f t="shared" si="35"/>
        <v>0</v>
      </c>
    </row>
    <row r="1120" spans="1:17" x14ac:dyDescent="0.35">
      <c r="A1120" s="212" t="str">
        <f>COMPOSICIÓN!A1120</f>
        <v>PTO-0902</v>
      </c>
      <c r="B1120" s="212" t="str">
        <f>COMPOSICIÓN!B1120</f>
        <v>EQ</v>
      </c>
      <c r="C1120" s="212">
        <f>COMPOSICIÓN!C1120</f>
        <v>0</v>
      </c>
      <c r="D1120" s="212" t="str">
        <f>COMPOSICIÓN!D1120</f>
        <v>EQ-PTO056</v>
      </c>
      <c r="E1120" s="212" t="str">
        <f>COMPOSICIÓN!E1120</f>
        <v>Herramientas menores y consumibles - Provisión nariz escalera, hierro angulo 5/8 x 1/8"</v>
      </c>
      <c r="F1120" s="212">
        <f>COMPOSICIÓN!F1120</f>
        <v>0</v>
      </c>
      <c r="G1120" s="213">
        <f>COMPOSICIÓN!G1120</f>
        <v>1</v>
      </c>
      <c r="H1120" s="214">
        <f>COMPOSICIÓN!H1120</f>
        <v>0</v>
      </c>
      <c r="I1120" s="215">
        <f>COMPOSICIÓN!I1120</f>
        <v>310.723693448277</v>
      </c>
      <c r="J1120" s="212" t="str">
        <f>IFERROR(VLOOKUP(A1120,PARTIDAS!$A$2:$C$269,3,FALSE()),"")</f>
        <v>ESCALERAS</v>
      </c>
      <c r="K1120" s="212" t="str">
        <f>IFERROR(INDEX(PPTO_GENERADOR!$B$4:$B$220,MATCH(A1120,PPTO_GENERADOR!$Q$4:$Q$220,0)),"")</f>
        <v>ESCALERAS</v>
      </c>
      <c r="L1120" s="216">
        <f>IF(PLAN_ETAPA!$C$4="(TODOS)",SUMIFS(PPTO_GENERADOR!$E$4:$E$220,PPTO_GENERADOR!$Q$4:$Q$220,A1120),SUMIFS(PPTO_GENERADOR!$E$4:$E$220,PPTO_GENERADOR!$Q$4:$Q$220,A1120,PPTO_GENERADOR!$B$4:$B$220,PLAN_ETAPA!$C$4))</f>
        <v>0</v>
      </c>
      <c r="M1120" s="216">
        <f>IFERROR(VLOOKUP(A1120,PARTIDAS!$A$2:$F$269,6,FALSE()),1)</f>
        <v>1</v>
      </c>
      <c r="N1120" s="216">
        <f>IFERROR(VLOOKUP(A1120,PARTIDAS!$A$2:$I$269,9,FALSE()),1)</f>
        <v>1</v>
      </c>
      <c r="O1120" s="217">
        <f t="shared" si="34"/>
        <v>0</v>
      </c>
      <c r="P1120" s="216">
        <f>IF(O1120=0,0,IF(B1120="MAT",G1120*(1+H1120)*L1120*PLAN_ETAPA!$C$5,IF(B1120="MO",IF(M1120=0,0,G1120*L1120*PLAN_ETAPA!$C$5*N1120/M1120),IF(B1120="EQ",IF(M1120=0,0,G1120*L1120*PLAN_ETAPA!$C$5/M1120),0))))</f>
        <v>0</v>
      </c>
      <c r="Q1120" s="218">
        <f t="shared" si="35"/>
        <v>0</v>
      </c>
    </row>
    <row r="1121" spans="1:17" x14ac:dyDescent="0.35">
      <c r="A1121" s="212" t="str">
        <f>COMPOSICIÓN!A1121</f>
        <v>PTO-0902</v>
      </c>
      <c r="B1121" s="212" t="str">
        <f>COMPOSICIÓN!B1121</f>
        <v>MAT</v>
      </c>
      <c r="C1121" s="212" t="str">
        <f>COMPOSICIÓN!C1121</f>
        <v>OTR</v>
      </c>
      <c r="D1121" s="212" t="str">
        <f>COMPOSICIÓN!D1121</f>
        <v>OTR-PTO094</v>
      </c>
      <c r="E1121" s="212" t="str">
        <f>COMPOSICIÓN!E1121</f>
        <v>PERFIL ANGULO ALAS IGUALES ESTRUCTURAL ACERO 6M X 5/8" X 1/8</v>
      </c>
      <c r="F1121" s="212" t="str">
        <f>COMPOSICIÓN!F1121</f>
        <v>u</v>
      </c>
      <c r="G1121" s="213">
        <f>COMPOSICIÓN!G1121</f>
        <v>0.209876543209877</v>
      </c>
      <c r="H1121" s="214">
        <f>COMPOSICIÓN!H1121</f>
        <v>0</v>
      </c>
      <c r="I1121" s="215">
        <f>COMPOSICIÓN!I1121</f>
        <v>8951.7603305785105</v>
      </c>
      <c r="J1121" s="212" t="str">
        <f>IFERROR(VLOOKUP(A1121,PARTIDAS!$A$2:$C$269,3,FALSE()),"")</f>
        <v>ESCALERAS</v>
      </c>
      <c r="K1121" s="212" t="str">
        <f>IFERROR(INDEX(PPTO_GENERADOR!$B$4:$B$220,MATCH(A1121,PPTO_GENERADOR!$Q$4:$Q$220,0)),"")</f>
        <v>ESCALERAS</v>
      </c>
      <c r="L1121" s="216">
        <f>IF(PLAN_ETAPA!$C$4="(TODOS)",SUMIFS(PPTO_GENERADOR!$E$4:$E$220,PPTO_GENERADOR!$Q$4:$Q$220,A1121),SUMIFS(PPTO_GENERADOR!$E$4:$E$220,PPTO_GENERADOR!$Q$4:$Q$220,A1121,PPTO_GENERADOR!$B$4:$B$220,PLAN_ETAPA!$C$4))</f>
        <v>0</v>
      </c>
      <c r="M1121" s="216">
        <f>IFERROR(VLOOKUP(A1121,PARTIDAS!$A$2:$F$269,6,FALSE()),1)</f>
        <v>1</v>
      </c>
      <c r="N1121" s="216">
        <f>IFERROR(VLOOKUP(A1121,PARTIDAS!$A$2:$I$269,9,FALSE()),1)</f>
        <v>1</v>
      </c>
      <c r="O1121" s="217">
        <f t="shared" si="34"/>
        <v>0</v>
      </c>
      <c r="P1121" s="216">
        <f>IF(O1121=0,0,IF(B1121="MAT",G1121*(1+H1121)*L1121*PLAN_ETAPA!$C$5,IF(B1121="MO",IF(M1121=0,0,G1121*L1121*PLAN_ETAPA!$C$5*N1121/M1121),IF(B1121="EQ",IF(M1121=0,0,G1121*L1121*PLAN_ETAPA!$C$5/M1121),0))))</f>
        <v>0</v>
      </c>
      <c r="Q1121" s="218">
        <f t="shared" si="35"/>
        <v>0</v>
      </c>
    </row>
    <row r="1122" spans="1:17" x14ac:dyDescent="0.35">
      <c r="A1122" s="212" t="str">
        <f>COMPOSICIÓN!A1122</f>
        <v>PTO-0902</v>
      </c>
      <c r="B1122" s="212" t="str">
        <f>COMPOSICIÓN!B1122</f>
        <v>MAT</v>
      </c>
      <c r="C1122" s="212" t="str">
        <f>COMPOSICIÓN!C1122</f>
        <v>OTR</v>
      </c>
      <c r="D1122" s="212" t="str">
        <f>COMPOSICIÓN!D1122</f>
        <v>OTR-PTO095</v>
      </c>
      <c r="E1122" s="212" t="str">
        <f>COMPOSICIÓN!E1122</f>
        <v>Esmalte sintetico</v>
      </c>
      <c r="F1122" s="212" t="str">
        <f>COMPOSICIÓN!F1122</f>
        <v xml:space="preserve">lts </v>
      </c>
      <c r="G1122" s="213">
        <f>COMPOSICIÓN!G1122</f>
        <v>2.4691358024691398E-2</v>
      </c>
      <c r="H1122" s="214">
        <f>COMPOSICIÓN!H1122</f>
        <v>0</v>
      </c>
      <c r="I1122" s="215">
        <f>COMPOSICIÓN!I1122</f>
        <v>12396.694214876001</v>
      </c>
      <c r="J1122" s="212" t="str">
        <f>IFERROR(VLOOKUP(A1122,PARTIDAS!$A$2:$C$269,3,FALSE()),"")</f>
        <v>ESCALERAS</v>
      </c>
      <c r="K1122" s="212" t="str">
        <f>IFERROR(INDEX(PPTO_GENERADOR!$B$4:$B$220,MATCH(A1122,PPTO_GENERADOR!$Q$4:$Q$220,0)),"")</f>
        <v>ESCALERAS</v>
      </c>
      <c r="L1122" s="216">
        <f>IF(PLAN_ETAPA!$C$4="(TODOS)",SUMIFS(PPTO_GENERADOR!$E$4:$E$220,PPTO_GENERADOR!$Q$4:$Q$220,A1122),SUMIFS(PPTO_GENERADOR!$E$4:$E$220,PPTO_GENERADOR!$Q$4:$Q$220,A1122,PPTO_GENERADOR!$B$4:$B$220,PLAN_ETAPA!$C$4))</f>
        <v>0</v>
      </c>
      <c r="M1122" s="216">
        <f>IFERROR(VLOOKUP(A1122,PARTIDAS!$A$2:$F$269,6,FALSE()),1)</f>
        <v>1</v>
      </c>
      <c r="N1122" s="216">
        <f>IFERROR(VLOOKUP(A1122,PARTIDAS!$A$2:$I$269,9,FALSE()),1)</f>
        <v>1</v>
      </c>
      <c r="O1122" s="217">
        <f t="shared" si="34"/>
        <v>0</v>
      </c>
      <c r="P1122" s="216">
        <f>IF(O1122=0,0,IF(B1122="MAT",G1122*(1+H1122)*L1122*PLAN_ETAPA!$C$5,IF(B1122="MO",IF(M1122=0,0,G1122*L1122*PLAN_ETAPA!$C$5*N1122/M1122),IF(B1122="EQ",IF(M1122=0,0,G1122*L1122*PLAN_ETAPA!$C$5/M1122),0))))</f>
        <v>0</v>
      </c>
      <c r="Q1122" s="218">
        <f t="shared" si="35"/>
        <v>0</v>
      </c>
    </row>
    <row r="1123" spans="1:17" x14ac:dyDescent="0.35">
      <c r="A1123" s="212" t="str">
        <f>COMPOSICIÓN!A1123</f>
        <v>PTO-0902</v>
      </c>
      <c r="B1123" s="212" t="str">
        <f>COMPOSICIÓN!B1123</f>
        <v>MAT</v>
      </c>
      <c r="C1123" s="212" t="str">
        <f>COMPOSICIÓN!C1123</f>
        <v>OTR</v>
      </c>
      <c r="D1123" s="212" t="str">
        <f>COMPOSICIÓN!D1123</f>
        <v>OTR-PTO096</v>
      </c>
      <c r="E1123" s="212" t="str">
        <f>COMPOSICIÓN!E1123</f>
        <v>Electrodos</v>
      </c>
      <c r="F1123" s="212" t="str">
        <f>COMPOSICIÓN!F1123</f>
        <v>kg</v>
      </c>
      <c r="G1123" s="213">
        <f>COMPOSICIÓN!G1123</f>
        <v>6.1728395061728399E-2</v>
      </c>
      <c r="H1123" s="214">
        <f>COMPOSICIÓN!H1123</f>
        <v>0</v>
      </c>
      <c r="I1123" s="215">
        <f>COMPOSICIÓN!I1123</f>
        <v>6611.5702479338797</v>
      </c>
      <c r="J1123" s="212" t="str">
        <f>IFERROR(VLOOKUP(A1123,PARTIDAS!$A$2:$C$269,3,FALSE()),"")</f>
        <v>ESCALERAS</v>
      </c>
      <c r="K1123" s="212" t="str">
        <f>IFERROR(INDEX(PPTO_GENERADOR!$B$4:$B$220,MATCH(A1123,PPTO_GENERADOR!$Q$4:$Q$220,0)),"")</f>
        <v>ESCALERAS</v>
      </c>
      <c r="L1123" s="216">
        <f>IF(PLAN_ETAPA!$C$4="(TODOS)",SUMIFS(PPTO_GENERADOR!$E$4:$E$220,PPTO_GENERADOR!$Q$4:$Q$220,A1123),SUMIFS(PPTO_GENERADOR!$E$4:$E$220,PPTO_GENERADOR!$Q$4:$Q$220,A1123,PPTO_GENERADOR!$B$4:$B$220,PLAN_ETAPA!$C$4))</f>
        <v>0</v>
      </c>
      <c r="M1123" s="216">
        <f>IFERROR(VLOOKUP(A1123,PARTIDAS!$A$2:$F$269,6,FALSE()),1)</f>
        <v>1</v>
      </c>
      <c r="N1123" s="216">
        <f>IFERROR(VLOOKUP(A1123,PARTIDAS!$A$2:$I$269,9,FALSE()),1)</f>
        <v>1</v>
      </c>
      <c r="O1123" s="217">
        <f t="shared" si="34"/>
        <v>0</v>
      </c>
      <c r="P1123" s="216">
        <f>IF(O1123=0,0,IF(B1123="MAT",G1123*(1+H1123)*L1123*PLAN_ETAPA!$C$5,IF(B1123="MO",IF(M1123=0,0,G1123*L1123*PLAN_ETAPA!$C$5*N1123/M1123),IF(B1123="EQ",IF(M1123=0,0,G1123*L1123*PLAN_ETAPA!$C$5/M1123),0))))</f>
        <v>0</v>
      </c>
      <c r="Q1123" s="218">
        <f t="shared" si="35"/>
        <v>0</v>
      </c>
    </row>
    <row r="1124" spans="1:17" x14ac:dyDescent="0.35">
      <c r="A1124" s="212" t="str">
        <f>COMPOSICIÓN!A1124</f>
        <v>PTO-0902</v>
      </c>
      <c r="B1124" s="212" t="str">
        <f>COMPOSICIÓN!B1124</f>
        <v>MO</v>
      </c>
      <c r="C1124" s="212" t="str">
        <f>COMPOSICIÓN!C1124</f>
        <v>ALB</v>
      </c>
      <c r="D1124" s="212" t="str">
        <f>COMPOSICIÓN!D1124</f>
        <v>MO-EAYUD</v>
      </c>
      <c r="E1124" s="212" t="str">
        <f>COMPOSICIÓN!E1124</f>
        <v>AYUDANTE</v>
      </c>
      <c r="F1124" s="212" t="str">
        <f>COMPOSICIÓN!F1124</f>
        <v>j</v>
      </c>
      <c r="G1124" s="213">
        <f>COMPOSICIÓN!G1124</f>
        <v>0.12345679012345701</v>
      </c>
      <c r="H1124" s="214">
        <f>COMPOSICIÓN!H1124</f>
        <v>0</v>
      </c>
      <c r="I1124" s="215">
        <f>COMPOSICIÓN!I1124</f>
        <v>60860.580776572002</v>
      </c>
      <c r="J1124" s="212" t="str">
        <f>IFERROR(VLOOKUP(A1124,PARTIDAS!$A$2:$C$269,3,FALSE()),"")</f>
        <v>ESCALERAS</v>
      </c>
      <c r="K1124" s="212" t="str">
        <f>IFERROR(INDEX(PPTO_GENERADOR!$B$4:$B$220,MATCH(A1124,PPTO_GENERADOR!$Q$4:$Q$220,0)),"")</f>
        <v>ESCALERAS</v>
      </c>
      <c r="L1124" s="216">
        <f>IF(PLAN_ETAPA!$C$4="(TODOS)",SUMIFS(PPTO_GENERADOR!$E$4:$E$220,PPTO_GENERADOR!$Q$4:$Q$220,A1124),SUMIFS(PPTO_GENERADOR!$E$4:$E$220,PPTO_GENERADOR!$Q$4:$Q$220,A1124,PPTO_GENERADOR!$B$4:$B$220,PLAN_ETAPA!$C$4))</f>
        <v>0</v>
      </c>
      <c r="M1124" s="216">
        <f>IFERROR(VLOOKUP(A1124,PARTIDAS!$A$2:$F$269,6,FALSE()),1)</f>
        <v>1</v>
      </c>
      <c r="N1124" s="216">
        <f>IFERROR(VLOOKUP(A1124,PARTIDAS!$A$2:$I$269,9,FALSE()),1)</f>
        <v>1</v>
      </c>
      <c r="O1124" s="217">
        <f t="shared" si="34"/>
        <v>0</v>
      </c>
      <c r="P1124" s="216">
        <f>IF(O1124=0,0,IF(B1124="MAT",G1124*(1+H1124)*L1124*PLAN_ETAPA!$C$5,IF(B1124="MO",IF(M1124=0,0,G1124*L1124*PLAN_ETAPA!$C$5*N1124/M1124),IF(B1124="EQ",IF(M1124=0,0,G1124*L1124*PLAN_ETAPA!$C$5/M1124),0))))</f>
        <v>0</v>
      </c>
      <c r="Q1124" s="218">
        <f t="shared" si="35"/>
        <v>0</v>
      </c>
    </row>
    <row r="1125" spans="1:17" x14ac:dyDescent="0.35">
      <c r="A1125" s="212" t="str">
        <f>COMPOSICIÓN!A1125</f>
        <v>PTO-0902</v>
      </c>
      <c r="B1125" s="212" t="str">
        <f>COMPOSICIÓN!B1125</f>
        <v>MO</v>
      </c>
      <c r="C1125" s="212" t="str">
        <f>COMPOSICIÓN!C1125</f>
        <v>ALB</v>
      </c>
      <c r="D1125" s="212" t="str">
        <f>COMPOSICIÓN!D1125</f>
        <v>MO-EESPE</v>
      </c>
      <c r="E1125" s="212" t="str">
        <f>COMPOSICIÓN!E1125</f>
        <v>ESPECIALIZADO</v>
      </c>
      <c r="F1125" s="212" t="str">
        <f>COMPOSICIÓN!F1125</f>
        <v>j</v>
      </c>
      <c r="G1125" s="213">
        <f>COMPOSICIÓN!G1125</f>
        <v>0.12345679012345701</v>
      </c>
      <c r="H1125" s="214">
        <f>COMPOSICIÓN!H1125</f>
        <v>0</v>
      </c>
      <c r="I1125" s="215">
        <f>COMPOSICIÓN!I1125</f>
        <v>85927.097156571996</v>
      </c>
      <c r="J1125" s="212" t="str">
        <f>IFERROR(VLOOKUP(A1125,PARTIDAS!$A$2:$C$269,3,FALSE()),"")</f>
        <v>ESCALERAS</v>
      </c>
      <c r="K1125" s="212" t="str">
        <f>IFERROR(INDEX(PPTO_GENERADOR!$B$4:$B$220,MATCH(A1125,PPTO_GENERADOR!$Q$4:$Q$220,0)),"")</f>
        <v>ESCALERAS</v>
      </c>
      <c r="L1125" s="216">
        <f>IF(PLAN_ETAPA!$C$4="(TODOS)",SUMIFS(PPTO_GENERADOR!$E$4:$E$220,PPTO_GENERADOR!$Q$4:$Q$220,A1125),SUMIFS(PPTO_GENERADOR!$E$4:$E$220,PPTO_GENERADOR!$Q$4:$Q$220,A1125,PPTO_GENERADOR!$B$4:$B$220,PLAN_ETAPA!$C$4))</f>
        <v>0</v>
      </c>
      <c r="M1125" s="216">
        <f>IFERROR(VLOOKUP(A1125,PARTIDAS!$A$2:$F$269,6,FALSE()),1)</f>
        <v>1</v>
      </c>
      <c r="N1125" s="216">
        <f>IFERROR(VLOOKUP(A1125,PARTIDAS!$A$2:$I$269,9,FALSE()),1)</f>
        <v>1</v>
      </c>
      <c r="O1125" s="217">
        <f t="shared" si="34"/>
        <v>0</v>
      </c>
      <c r="P1125" s="216">
        <f>IF(O1125=0,0,IF(B1125="MAT",G1125*(1+H1125)*L1125*PLAN_ETAPA!$C$5,IF(B1125="MO",IF(M1125=0,0,G1125*L1125*PLAN_ETAPA!$C$5*N1125/M1125),IF(B1125="EQ",IF(M1125=0,0,G1125*L1125*PLAN_ETAPA!$C$5/M1125),0))))</f>
        <v>0</v>
      </c>
      <c r="Q1125" s="218">
        <f t="shared" si="35"/>
        <v>0</v>
      </c>
    </row>
    <row r="1126" spans="1:17" x14ac:dyDescent="0.35">
      <c r="A1126" s="212" t="str">
        <f>COMPOSICIÓN!A1126</f>
        <v>PTO-0903</v>
      </c>
      <c r="B1126" s="212" t="str">
        <f>COMPOSICIÓN!B1126</f>
        <v>EQ</v>
      </c>
      <c r="C1126" s="212">
        <f>COMPOSICIÓN!C1126</f>
        <v>0</v>
      </c>
      <c r="D1126" s="212" t="str">
        <f>COMPOSICIÓN!D1126</f>
        <v>EQ-PTO057</v>
      </c>
      <c r="E1126" s="212" t="str">
        <f>COMPOSICIÓN!E1126</f>
        <v>Herramientas menores y consumibles - Ejecución de zócalo rampante de concreto h: 10 cm</v>
      </c>
      <c r="F1126" s="212">
        <f>COMPOSICIÓN!F1126</f>
        <v>0</v>
      </c>
      <c r="G1126" s="213">
        <f>COMPOSICIÓN!G1126</f>
        <v>1</v>
      </c>
      <c r="H1126" s="214">
        <f>COMPOSICIÓN!H1126</f>
        <v>0</v>
      </c>
      <c r="I1126" s="215">
        <f>COMPOSICIÓN!I1126</f>
        <v>114.200147046578</v>
      </c>
      <c r="J1126" s="212" t="str">
        <f>IFERROR(VLOOKUP(A1126,PARTIDAS!$A$2:$C$269,3,FALSE()),"")</f>
        <v>ESCALERAS</v>
      </c>
      <c r="K1126" s="212" t="str">
        <f>IFERROR(INDEX(PPTO_GENERADOR!$B$4:$B$220,MATCH(A1126,PPTO_GENERADOR!$Q$4:$Q$220,0)),"")</f>
        <v>ESCALERAS</v>
      </c>
      <c r="L1126" s="216">
        <f>IF(PLAN_ETAPA!$C$4="(TODOS)",SUMIFS(PPTO_GENERADOR!$E$4:$E$220,PPTO_GENERADOR!$Q$4:$Q$220,A1126),SUMIFS(PPTO_GENERADOR!$E$4:$E$220,PPTO_GENERADOR!$Q$4:$Q$220,A1126,PPTO_GENERADOR!$B$4:$B$220,PLAN_ETAPA!$C$4))</f>
        <v>0</v>
      </c>
      <c r="M1126" s="216">
        <f>IFERROR(VLOOKUP(A1126,PARTIDAS!$A$2:$F$269,6,FALSE()),1)</f>
        <v>1</v>
      </c>
      <c r="N1126" s="216">
        <f>IFERROR(VLOOKUP(A1126,PARTIDAS!$A$2:$I$269,9,FALSE()),1)</f>
        <v>1</v>
      </c>
      <c r="O1126" s="217">
        <f t="shared" si="34"/>
        <v>0</v>
      </c>
      <c r="P1126" s="216">
        <f>IF(O1126=0,0,IF(B1126="MAT",G1126*(1+H1126)*L1126*PLAN_ETAPA!$C$5,IF(B1126="MO",IF(M1126=0,0,G1126*L1126*PLAN_ETAPA!$C$5*N1126/M1126),IF(B1126="EQ",IF(M1126=0,0,G1126*L1126*PLAN_ETAPA!$C$5/M1126),0))))</f>
        <v>0</v>
      </c>
      <c r="Q1126" s="218">
        <f t="shared" si="35"/>
        <v>0</v>
      </c>
    </row>
    <row r="1127" spans="1:17" x14ac:dyDescent="0.35">
      <c r="A1127" s="212" t="str">
        <f>COMPOSICIÓN!A1127</f>
        <v>PTO-0903</v>
      </c>
      <c r="B1127" s="212" t="str">
        <f>COMPOSICIÓN!B1127</f>
        <v>MAT</v>
      </c>
      <c r="C1127" s="212" t="str">
        <f>COMPOSICIÓN!C1127</f>
        <v>COR</v>
      </c>
      <c r="D1127" s="212" t="str">
        <f>COMPOSICIÓN!D1127</f>
        <v>OTR-PTO093</v>
      </c>
      <c r="E1127" s="212" t="str">
        <f>COMPOSICIÓN!E1127</f>
        <v>Carpeta cilindrada</v>
      </c>
      <c r="F1127" s="212" t="str">
        <f>COMPOSICIÓN!F1127</f>
        <v>m2</v>
      </c>
      <c r="G1127" s="213">
        <f>COMPOSICIÓN!G1127</f>
        <v>0.15</v>
      </c>
      <c r="H1127" s="214">
        <f>COMPOSICIÓN!H1127</f>
        <v>0</v>
      </c>
      <c r="I1127" s="215">
        <f>COMPOSICIÓN!I1127</f>
        <v>4066.3295640000001</v>
      </c>
      <c r="J1127" s="212" t="str">
        <f>IFERROR(VLOOKUP(A1127,PARTIDAS!$A$2:$C$269,3,FALSE()),"")</f>
        <v>ESCALERAS</v>
      </c>
      <c r="K1127" s="212" t="str">
        <f>IFERROR(INDEX(PPTO_GENERADOR!$B$4:$B$220,MATCH(A1127,PPTO_GENERADOR!$Q$4:$Q$220,0)),"")</f>
        <v>ESCALERAS</v>
      </c>
      <c r="L1127" s="216">
        <f>IF(PLAN_ETAPA!$C$4="(TODOS)",SUMIFS(PPTO_GENERADOR!$E$4:$E$220,PPTO_GENERADOR!$Q$4:$Q$220,A1127),SUMIFS(PPTO_GENERADOR!$E$4:$E$220,PPTO_GENERADOR!$Q$4:$Q$220,A1127,PPTO_GENERADOR!$B$4:$B$220,PLAN_ETAPA!$C$4))</f>
        <v>0</v>
      </c>
      <c r="M1127" s="216">
        <f>IFERROR(VLOOKUP(A1127,PARTIDAS!$A$2:$F$269,6,FALSE()),1)</f>
        <v>1</v>
      </c>
      <c r="N1127" s="216">
        <f>IFERROR(VLOOKUP(A1127,PARTIDAS!$A$2:$I$269,9,FALSE()),1)</f>
        <v>1</v>
      </c>
      <c r="O1127" s="217">
        <f t="shared" si="34"/>
        <v>0</v>
      </c>
      <c r="P1127" s="216">
        <f>IF(O1127=0,0,IF(B1127="MAT",G1127*(1+H1127)*L1127*PLAN_ETAPA!$C$5,IF(B1127="MO",IF(M1127=0,0,G1127*L1127*PLAN_ETAPA!$C$5*N1127/M1127),IF(B1127="EQ",IF(M1127=0,0,G1127*L1127*PLAN_ETAPA!$C$5/M1127),0))))</f>
        <v>0</v>
      </c>
      <c r="Q1127" s="218">
        <f t="shared" si="35"/>
        <v>0</v>
      </c>
    </row>
    <row r="1128" spans="1:17" x14ac:dyDescent="0.35">
      <c r="A1128" s="212" t="str">
        <f>COMPOSICIÓN!A1128</f>
        <v>PTO-0903</v>
      </c>
      <c r="B1128" s="212" t="str">
        <f>COMPOSICIÓN!B1128</f>
        <v>MO</v>
      </c>
      <c r="C1128" s="212" t="str">
        <f>COMPOSICIÓN!C1128</f>
        <v>ALB</v>
      </c>
      <c r="D1128" s="212" t="str">
        <f>COMPOSICIÓN!D1128</f>
        <v>MO-EAYUD</v>
      </c>
      <c r="E1128" s="212" t="str">
        <f>COMPOSICIÓN!E1128</f>
        <v>AYUDANTE</v>
      </c>
      <c r="F1128" s="212" t="str">
        <f>COMPOSICIÓN!F1128</f>
        <v>j</v>
      </c>
      <c r="G1128" s="213">
        <f>COMPOSICIÓN!G1128</f>
        <v>3.2608695652173898E-2</v>
      </c>
      <c r="H1128" s="214">
        <f>COMPOSICIÓN!H1128</f>
        <v>0</v>
      </c>
      <c r="I1128" s="215">
        <f>COMPOSICIÓN!I1128</f>
        <v>60860.580776572002</v>
      </c>
      <c r="J1128" s="212" t="str">
        <f>IFERROR(VLOOKUP(A1128,PARTIDAS!$A$2:$C$269,3,FALSE()),"")</f>
        <v>ESCALERAS</v>
      </c>
      <c r="K1128" s="212" t="str">
        <f>IFERROR(INDEX(PPTO_GENERADOR!$B$4:$B$220,MATCH(A1128,PPTO_GENERADOR!$Q$4:$Q$220,0)),"")</f>
        <v>ESCALERAS</v>
      </c>
      <c r="L1128" s="216">
        <f>IF(PLAN_ETAPA!$C$4="(TODOS)",SUMIFS(PPTO_GENERADOR!$E$4:$E$220,PPTO_GENERADOR!$Q$4:$Q$220,A1128),SUMIFS(PPTO_GENERADOR!$E$4:$E$220,PPTO_GENERADOR!$Q$4:$Q$220,A1128,PPTO_GENERADOR!$B$4:$B$220,PLAN_ETAPA!$C$4))</f>
        <v>0</v>
      </c>
      <c r="M1128" s="216">
        <f>IFERROR(VLOOKUP(A1128,PARTIDAS!$A$2:$F$269,6,FALSE()),1)</f>
        <v>1</v>
      </c>
      <c r="N1128" s="216">
        <f>IFERROR(VLOOKUP(A1128,PARTIDAS!$A$2:$I$269,9,FALSE()),1)</f>
        <v>1</v>
      </c>
      <c r="O1128" s="217">
        <f t="shared" si="34"/>
        <v>0</v>
      </c>
      <c r="P1128" s="216">
        <f>IF(O1128=0,0,IF(B1128="MAT",G1128*(1+H1128)*L1128*PLAN_ETAPA!$C$5,IF(B1128="MO",IF(M1128=0,0,G1128*L1128*PLAN_ETAPA!$C$5*N1128/M1128),IF(B1128="EQ",IF(M1128=0,0,G1128*L1128*PLAN_ETAPA!$C$5/M1128),0))))</f>
        <v>0</v>
      </c>
      <c r="Q1128" s="218">
        <f t="shared" si="35"/>
        <v>0</v>
      </c>
    </row>
    <row r="1129" spans="1:17" x14ac:dyDescent="0.35">
      <c r="A1129" s="212" t="str">
        <f>COMPOSICIÓN!A1129</f>
        <v>PTO-0903</v>
      </c>
      <c r="B1129" s="212" t="str">
        <f>COMPOSICIÓN!B1129</f>
        <v>MO</v>
      </c>
      <c r="C1129" s="212" t="str">
        <f>COMPOSICIÓN!C1129</f>
        <v>ALB</v>
      </c>
      <c r="D1129" s="212" t="str">
        <f>COMPOSICIÓN!D1129</f>
        <v>MO-EOFIC</v>
      </c>
      <c r="E1129" s="212" t="str">
        <f>COMPOSICIÓN!E1129</f>
        <v>OFICIAL</v>
      </c>
      <c r="F1129" s="212" t="str">
        <f>COMPOSICIÓN!F1129</f>
        <v>j</v>
      </c>
      <c r="G1129" s="213">
        <f>COMPOSICIÓN!G1129</f>
        <v>6.5217391304347797E-2</v>
      </c>
      <c r="H1129" s="214">
        <f>COMPOSICIÓN!H1129</f>
        <v>0</v>
      </c>
      <c r="I1129" s="215">
        <f>COMPOSICIÓN!I1129</f>
        <v>76955.079706571996</v>
      </c>
      <c r="J1129" s="212" t="str">
        <f>IFERROR(VLOOKUP(A1129,PARTIDAS!$A$2:$C$269,3,FALSE()),"")</f>
        <v>ESCALERAS</v>
      </c>
      <c r="K1129" s="212" t="str">
        <f>IFERROR(INDEX(PPTO_GENERADOR!$B$4:$B$220,MATCH(A1129,PPTO_GENERADOR!$Q$4:$Q$220,0)),"")</f>
        <v>ESCALERAS</v>
      </c>
      <c r="L1129" s="216">
        <f>IF(PLAN_ETAPA!$C$4="(TODOS)",SUMIFS(PPTO_GENERADOR!$E$4:$E$220,PPTO_GENERADOR!$Q$4:$Q$220,A1129),SUMIFS(PPTO_GENERADOR!$E$4:$E$220,PPTO_GENERADOR!$Q$4:$Q$220,A1129,PPTO_GENERADOR!$B$4:$B$220,PLAN_ETAPA!$C$4))</f>
        <v>0</v>
      </c>
      <c r="M1129" s="216">
        <f>IFERROR(VLOOKUP(A1129,PARTIDAS!$A$2:$F$269,6,FALSE()),1)</f>
        <v>1</v>
      </c>
      <c r="N1129" s="216">
        <f>IFERROR(VLOOKUP(A1129,PARTIDAS!$A$2:$I$269,9,FALSE()),1)</f>
        <v>1</v>
      </c>
      <c r="O1129" s="217">
        <f t="shared" si="34"/>
        <v>0</v>
      </c>
      <c r="P1129" s="216">
        <f>IF(O1129=0,0,IF(B1129="MAT",G1129*(1+H1129)*L1129*PLAN_ETAPA!$C$5,IF(B1129="MO",IF(M1129=0,0,G1129*L1129*PLAN_ETAPA!$C$5*N1129/M1129),IF(B1129="EQ",IF(M1129=0,0,G1129*L1129*PLAN_ETAPA!$C$5/M1129),0))))</f>
        <v>0</v>
      </c>
      <c r="Q1129" s="218">
        <f t="shared" si="35"/>
        <v>0</v>
      </c>
    </row>
    <row r="1130" spans="1:17" x14ac:dyDescent="0.35">
      <c r="A1130" s="212" t="str">
        <f>COMPOSICIÓN!A1130</f>
        <v>PTO-1001</v>
      </c>
      <c r="B1130" s="212" t="str">
        <f>COMPOSICIÓN!B1130</f>
        <v>EQ</v>
      </c>
      <c r="C1130" s="212">
        <f>COMPOSICIÓN!C1130</f>
        <v>0</v>
      </c>
      <c r="D1130" s="212" t="str">
        <f>COMPOSICIÓN!D1130</f>
        <v>EQ-PTO058</v>
      </c>
      <c r="E1130" s="212" t="str">
        <f>COMPOSICIÓN!E1130</f>
        <v>Herramientas menores y consumibles - Montaje de conductos de ventilación de baños C27 -</v>
      </c>
      <c r="F1130" s="212">
        <f>COMPOSICIÓN!F1130</f>
        <v>0</v>
      </c>
      <c r="G1130" s="213">
        <f>COMPOSICIÓN!G1130</f>
        <v>1</v>
      </c>
      <c r="H1130" s="214">
        <f>COMPOSICIÓN!H1130</f>
        <v>0</v>
      </c>
      <c r="I1130" s="215">
        <f>COMPOSICIÓN!I1130</f>
        <v>20453.608131728699</v>
      </c>
      <c r="J1130" s="212" t="str">
        <f>IFERROR(VLOOKUP(A1130,PARTIDAS!$A$2:$C$269,3,FALSE()),"")</f>
        <v>VENTILACIONES</v>
      </c>
      <c r="K1130" s="212" t="str">
        <f>IFERROR(INDEX(PPTO_GENERADOR!$B$4:$B$220,MATCH(A1130,PPTO_GENERADOR!$Q$4:$Q$220,0)),"")</f>
        <v>VENTILACIONES</v>
      </c>
      <c r="L1130" s="216">
        <f>IF(PLAN_ETAPA!$C$4="(TODOS)",SUMIFS(PPTO_GENERADOR!$E$4:$E$220,PPTO_GENERADOR!$Q$4:$Q$220,A1130),SUMIFS(PPTO_GENERADOR!$E$4:$E$220,PPTO_GENERADOR!$Q$4:$Q$220,A1130,PPTO_GENERADOR!$B$4:$B$220,PLAN_ETAPA!$C$4))</f>
        <v>0</v>
      </c>
      <c r="M1130" s="216">
        <f>IFERROR(VLOOKUP(A1130,PARTIDAS!$A$2:$F$269,6,FALSE()),1)</f>
        <v>1</v>
      </c>
      <c r="N1130" s="216">
        <f>IFERROR(VLOOKUP(A1130,PARTIDAS!$A$2:$I$269,9,FALSE()),1)</f>
        <v>1</v>
      </c>
      <c r="O1130" s="217">
        <f t="shared" si="34"/>
        <v>0</v>
      </c>
      <c r="P1130" s="216">
        <f>IF(O1130=0,0,IF(B1130="MAT",G1130*(1+H1130)*L1130*PLAN_ETAPA!$C$5,IF(B1130="MO",IF(M1130=0,0,G1130*L1130*PLAN_ETAPA!$C$5*N1130/M1130),IF(B1130="EQ",IF(M1130=0,0,G1130*L1130*PLAN_ETAPA!$C$5/M1130),0))))</f>
        <v>0</v>
      </c>
      <c r="Q1130" s="218">
        <f t="shared" si="35"/>
        <v>0</v>
      </c>
    </row>
    <row r="1131" spans="1:17" x14ac:dyDescent="0.35">
      <c r="A1131" s="212" t="str">
        <f>COMPOSICIÓN!A1131</f>
        <v>PTO-1001</v>
      </c>
      <c r="B1131" s="212" t="str">
        <f>COMPOSICIÓN!B1131</f>
        <v>MAT</v>
      </c>
      <c r="C1131" s="212" t="str">
        <f>COMPOSICIÓN!C1131</f>
        <v>OTR</v>
      </c>
      <c r="D1131" s="212" t="str">
        <f>COMPOSICIÓN!D1131</f>
        <v>MAT-CONS</v>
      </c>
      <c r="E1131" s="212" t="str">
        <f>COMPOSICIÓN!E1131</f>
        <v>Consumibles</v>
      </c>
      <c r="F1131" s="212" t="str">
        <f>COMPOSICIÓN!F1131</f>
        <v>gl</v>
      </c>
      <c r="G1131" s="213">
        <f>COMPOSICIÓN!G1131</f>
        <v>200000</v>
      </c>
      <c r="H1131" s="214">
        <f>COMPOSICIÓN!H1131</f>
        <v>0</v>
      </c>
      <c r="I1131" s="215">
        <f>COMPOSICIÓN!I1131</f>
        <v>1</v>
      </c>
      <c r="J1131" s="212" t="str">
        <f>IFERROR(VLOOKUP(A1131,PARTIDAS!$A$2:$C$269,3,FALSE()),"")</f>
        <v>VENTILACIONES</v>
      </c>
      <c r="K1131" s="212" t="str">
        <f>IFERROR(INDEX(PPTO_GENERADOR!$B$4:$B$220,MATCH(A1131,PPTO_GENERADOR!$Q$4:$Q$220,0)),"")</f>
        <v>VENTILACIONES</v>
      </c>
      <c r="L1131" s="216">
        <f>IF(PLAN_ETAPA!$C$4="(TODOS)",SUMIFS(PPTO_GENERADOR!$E$4:$E$220,PPTO_GENERADOR!$Q$4:$Q$220,A1131),SUMIFS(PPTO_GENERADOR!$E$4:$E$220,PPTO_GENERADOR!$Q$4:$Q$220,A1131,PPTO_GENERADOR!$B$4:$B$220,PLAN_ETAPA!$C$4))</f>
        <v>0</v>
      </c>
      <c r="M1131" s="216">
        <f>IFERROR(VLOOKUP(A1131,PARTIDAS!$A$2:$F$269,6,FALSE()),1)</f>
        <v>1</v>
      </c>
      <c r="N1131" s="216">
        <f>IFERROR(VLOOKUP(A1131,PARTIDAS!$A$2:$I$269,9,FALSE()),1)</f>
        <v>1</v>
      </c>
      <c r="O1131" s="217">
        <f t="shared" si="34"/>
        <v>0</v>
      </c>
      <c r="P1131" s="216">
        <f>IF(O1131=0,0,IF(B1131="MAT",G1131*(1+H1131)*L1131*PLAN_ETAPA!$C$5,IF(B1131="MO",IF(M1131=0,0,G1131*L1131*PLAN_ETAPA!$C$5*N1131/M1131),IF(B1131="EQ",IF(M1131=0,0,G1131*L1131*PLAN_ETAPA!$C$5/M1131),0))))</f>
        <v>0</v>
      </c>
      <c r="Q1131" s="218">
        <f t="shared" si="35"/>
        <v>0</v>
      </c>
    </row>
    <row r="1132" spans="1:17" x14ac:dyDescent="0.35">
      <c r="A1132" s="212" t="str">
        <f>COMPOSICIÓN!A1132</f>
        <v>PTO-1001</v>
      </c>
      <c r="B1132" s="212" t="str">
        <f>COMPOSICIÓN!B1132</f>
        <v>MO</v>
      </c>
      <c r="C1132" s="212" t="str">
        <f>COMPOSICIÓN!C1132</f>
        <v>ALB</v>
      </c>
      <c r="D1132" s="212" t="str">
        <f>COMPOSICIÓN!D1132</f>
        <v>MO-EAYUD</v>
      </c>
      <c r="E1132" s="212" t="str">
        <f>COMPOSICIÓN!E1132</f>
        <v>AYUDANTE</v>
      </c>
      <c r="F1132" s="212" t="str">
        <f>COMPOSICIÓN!F1132</f>
        <v>j</v>
      </c>
      <c r="G1132" s="213">
        <f>COMPOSICIÓN!G1132</f>
        <v>5</v>
      </c>
      <c r="H1132" s="214">
        <f>COMPOSICIÓN!H1132</f>
        <v>0</v>
      </c>
      <c r="I1132" s="215">
        <f>COMPOSICIÓN!I1132</f>
        <v>60860.580776572002</v>
      </c>
      <c r="J1132" s="212" t="str">
        <f>IFERROR(VLOOKUP(A1132,PARTIDAS!$A$2:$C$269,3,FALSE()),"")</f>
        <v>VENTILACIONES</v>
      </c>
      <c r="K1132" s="212" t="str">
        <f>IFERROR(INDEX(PPTO_GENERADOR!$B$4:$B$220,MATCH(A1132,PPTO_GENERADOR!$Q$4:$Q$220,0)),"")</f>
        <v>VENTILACIONES</v>
      </c>
      <c r="L1132" s="216">
        <f>IF(PLAN_ETAPA!$C$4="(TODOS)",SUMIFS(PPTO_GENERADOR!$E$4:$E$220,PPTO_GENERADOR!$Q$4:$Q$220,A1132),SUMIFS(PPTO_GENERADOR!$E$4:$E$220,PPTO_GENERADOR!$Q$4:$Q$220,A1132,PPTO_GENERADOR!$B$4:$B$220,PLAN_ETAPA!$C$4))</f>
        <v>0</v>
      </c>
      <c r="M1132" s="216">
        <f>IFERROR(VLOOKUP(A1132,PARTIDAS!$A$2:$F$269,6,FALSE()),1)</f>
        <v>1</v>
      </c>
      <c r="N1132" s="216">
        <f>IFERROR(VLOOKUP(A1132,PARTIDAS!$A$2:$I$269,9,FALSE()),1)</f>
        <v>1</v>
      </c>
      <c r="O1132" s="217">
        <f t="shared" si="34"/>
        <v>0</v>
      </c>
      <c r="P1132" s="216">
        <f>IF(O1132=0,0,IF(B1132="MAT",G1132*(1+H1132)*L1132*PLAN_ETAPA!$C$5,IF(B1132="MO",IF(M1132=0,0,G1132*L1132*PLAN_ETAPA!$C$5*N1132/M1132),IF(B1132="EQ",IF(M1132=0,0,G1132*L1132*PLAN_ETAPA!$C$5/M1132),0))))</f>
        <v>0</v>
      </c>
      <c r="Q1132" s="218">
        <f t="shared" si="35"/>
        <v>0</v>
      </c>
    </row>
    <row r="1133" spans="1:17" x14ac:dyDescent="0.35">
      <c r="A1133" s="212" t="str">
        <f>COMPOSICIÓN!A1133</f>
        <v>PTO-1001</v>
      </c>
      <c r="B1133" s="212" t="str">
        <f>COMPOSICIÓN!B1133</f>
        <v>MO</v>
      </c>
      <c r="C1133" s="212" t="str">
        <f>COMPOSICIÓN!C1133</f>
        <v>ALB</v>
      </c>
      <c r="D1133" s="212" t="str">
        <f>COMPOSICIÓN!D1133</f>
        <v>MO-EESPE</v>
      </c>
      <c r="E1133" s="212" t="str">
        <f>COMPOSICIÓN!E1133</f>
        <v>ESPECIALIZADO</v>
      </c>
      <c r="F1133" s="212" t="str">
        <f>COMPOSICIÓN!F1133</f>
        <v>j</v>
      </c>
      <c r="G1133" s="213">
        <f>COMPOSICIÓN!G1133</f>
        <v>10</v>
      </c>
      <c r="H1133" s="214">
        <f>COMPOSICIÓN!H1133</f>
        <v>0</v>
      </c>
      <c r="I1133" s="215">
        <f>COMPOSICIÓN!I1133</f>
        <v>85927.097156571996</v>
      </c>
      <c r="J1133" s="212" t="str">
        <f>IFERROR(VLOOKUP(A1133,PARTIDAS!$A$2:$C$269,3,FALSE()),"")</f>
        <v>VENTILACIONES</v>
      </c>
      <c r="K1133" s="212" t="str">
        <f>IFERROR(INDEX(PPTO_GENERADOR!$B$4:$B$220,MATCH(A1133,PPTO_GENERADOR!$Q$4:$Q$220,0)),"")</f>
        <v>VENTILACIONES</v>
      </c>
      <c r="L1133" s="216">
        <f>IF(PLAN_ETAPA!$C$4="(TODOS)",SUMIFS(PPTO_GENERADOR!$E$4:$E$220,PPTO_GENERADOR!$Q$4:$Q$220,A1133),SUMIFS(PPTO_GENERADOR!$E$4:$E$220,PPTO_GENERADOR!$Q$4:$Q$220,A1133,PPTO_GENERADOR!$B$4:$B$220,PLAN_ETAPA!$C$4))</f>
        <v>0</v>
      </c>
      <c r="M1133" s="216">
        <f>IFERROR(VLOOKUP(A1133,PARTIDAS!$A$2:$F$269,6,FALSE()),1)</f>
        <v>1</v>
      </c>
      <c r="N1133" s="216">
        <f>IFERROR(VLOOKUP(A1133,PARTIDAS!$A$2:$I$269,9,FALSE()),1)</f>
        <v>1</v>
      </c>
      <c r="O1133" s="217">
        <f t="shared" si="34"/>
        <v>0</v>
      </c>
      <c r="P1133" s="216">
        <f>IF(O1133=0,0,IF(B1133="MAT",G1133*(1+H1133)*L1133*PLAN_ETAPA!$C$5,IF(B1133="MO",IF(M1133=0,0,G1133*L1133*PLAN_ETAPA!$C$5*N1133/M1133),IF(B1133="EQ",IF(M1133=0,0,G1133*L1133*PLAN_ETAPA!$C$5/M1133),0))))</f>
        <v>0</v>
      </c>
      <c r="Q1133" s="218">
        <f t="shared" si="35"/>
        <v>0</v>
      </c>
    </row>
    <row r="1134" spans="1:17" x14ac:dyDescent="0.35">
      <c r="A1134" s="212" t="str">
        <f>COMPOSICIÓN!A1134</f>
        <v>PTO-1002</v>
      </c>
      <c r="B1134" s="212" t="str">
        <f>COMPOSICIÓN!B1134</f>
        <v>EQ</v>
      </c>
      <c r="C1134" s="212">
        <f>COMPOSICIÓN!C1134</f>
        <v>0</v>
      </c>
      <c r="D1134" s="212" t="str">
        <f>COMPOSICIÓN!D1134</f>
        <v>EQ-PTO059</v>
      </c>
      <c r="E1134" s="212" t="str">
        <f>COMPOSICIÓN!E1134</f>
        <v>Herramientas menores y consumibles - Montaje de conductos de ventilación de parrillas C</v>
      </c>
      <c r="F1134" s="212">
        <f>COMPOSICIÓN!F1134</f>
        <v>0</v>
      </c>
      <c r="G1134" s="213">
        <f>COMPOSICIÓN!G1134</f>
        <v>1</v>
      </c>
      <c r="H1134" s="214">
        <f>COMPOSICIÓN!H1134</f>
        <v>0</v>
      </c>
      <c r="I1134" s="215">
        <f>COMPOSICIÓN!I1134</f>
        <v>13472.1648790372</v>
      </c>
      <c r="J1134" s="212" t="str">
        <f>IFERROR(VLOOKUP(A1134,PARTIDAS!$A$2:$C$269,3,FALSE()),"")</f>
        <v>VENTILACIONES</v>
      </c>
      <c r="K1134" s="212" t="str">
        <f>IFERROR(INDEX(PPTO_GENERADOR!$B$4:$B$220,MATCH(A1134,PPTO_GENERADOR!$Q$4:$Q$220,0)),"")</f>
        <v>VENTILACIONES</v>
      </c>
      <c r="L1134" s="216">
        <f>IF(PLAN_ETAPA!$C$4="(TODOS)",SUMIFS(PPTO_GENERADOR!$E$4:$E$220,PPTO_GENERADOR!$Q$4:$Q$220,A1134),SUMIFS(PPTO_GENERADOR!$E$4:$E$220,PPTO_GENERADOR!$Q$4:$Q$220,A1134,PPTO_GENERADOR!$B$4:$B$220,PLAN_ETAPA!$C$4))</f>
        <v>0</v>
      </c>
      <c r="M1134" s="216">
        <f>IFERROR(VLOOKUP(A1134,PARTIDAS!$A$2:$F$269,6,FALSE()),1)</f>
        <v>1</v>
      </c>
      <c r="N1134" s="216">
        <f>IFERROR(VLOOKUP(A1134,PARTIDAS!$A$2:$I$269,9,FALSE()),1)</f>
        <v>1</v>
      </c>
      <c r="O1134" s="217">
        <f t="shared" si="34"/>
        <v>0</v>
      </c>
      <c r="P1134" s="216">
        <f>IF(O1134=0,0,IF(B1134="MAT",G1134*(1+H1134)*L1134*PLAN_ETAPA!$C$5,IF(B1134="MO",IF(M1134=0,0,G1134*L1134*PLAN_ETAPA!$C$5*N1134/M1134),IF(B1134="EQ",IF(M1134=0,0,G1134*L1134*PLAN_ETAPA!$C$5/M1134),0))))</f>
        <v>0</v>
      </c>
      <c r="Q1134" s="218">
        <f t="shared" si="35"/>
        <v>0</v>
      </c>
    </row>
    <row r="1135" spans="1:17" x14ac:dyDescent="0.35">
      <c r="A1135" s="212" t="str">
        <f>COMPOSICIÓN!A1135</f>
        <v>PTO-1002</v>
      </c>
      <c r="B1135" s="212" t="str">
        <f>COMPOSICIÓN!B1135</f>
        <v>MAT</v>
      </c>
      <c r="C1135" s="212" t="str">
        <f>COMPOSICIÓN!C1135</f>
        <v>OTR</v>
      </c>
      <c r="D1135" s="212" t="str">
        <f>COMPOSICIÓN!D1135</f>
        <v>MAT-CONS</v>
      </c>
      <c r="E1135" s="212" t="str">
        <f>COMPOSICIÓN!E1135</f>
        <v>Consumibles</v>
      </c>
      <c r="F1135" s="212" t="str">
        <f>COMPOSICIÓN!F1135</f>
        <v>gl</v>
      </c>
      <c r="G1135" s="213">
        <f>COMPOSICIÓN!G1135</f>
        <v>200000</v>
      </c>
      <c r="H1135" s="214">
        <f>COMPOSICIÓN!H1135</f>
        <v>0</v>
      </c>
      <c r="I1135" s="215">
        <f>COMPOSICIÓN!I1135</f>
        <v>1</v>
      </c>
      <c r="J1135" s="212" t="str">
        <f>IFERROR(VLOOKUP(A1135,PARTIDAS!$A$2:$C$269,3,FALSE()),"")</f>
        <v>VENTILACIONES</v>
      </c>
      <c r="K1135" s="212" t="str">
        <f>IFERROR(INDEX(PPTO_GENERADOR!$B$4:$B$220,MATCH(A1135,PPTO_GENERADOR!$Q$4:$Q$220,0)),"")</f>
        <v>VENTILACIONES</v>
      </c>
      <c r="L1135" s="216">
        <f>IF(PLAN_ETAPA!$C$4="(TODOS)",SUMIFS(PPTO_GENERADOR!$E$4:$E$220,PPTO_GENERADOR!$Q$4:$Q$220,A1135),SUMIFS(PPTO_GENERADOR!$E$4:$E$220,PPTO_GENERADOR!$Q$4:$Q$220,A1135,PPTO_GENERADOR!$B$4:$B$220,PLAN_ETAPA!$C$4))</f>
        <v>0</v>
      </c>
      <c r="M1135" s="216">
        <f>IFERROR(VLOOKUP(A1135,PARTIDAS!$A$2:$F$269,6,FALSE()),1)</f>
        <v>1</v>
      </c>
      <c r="N1135" s="216">
        <f>IFERROR(VLOOKUP(A1135,PARTIDAS!$A$2:$I$269,9,FALSE()),1)</f>
        <v>1</v>
      </c>
      <c r="O1135" s="217">
        <f t="shared" si="34"/>
        <v>0</v>
      </c>
      <c r="P1135" s="216">
        <f>IF(O1135=0,0,IF(B1135="MAT",G1135*(1+H1135)*L1135*PLAN_ETAPA!$C$5,IF(B1135="MO",IF(M1135=0,0,G1135*L1135*PLAN_ETAPA!$C$5*N1135/M1135),IF(B1135="EQ",IF(M1135=0,0,G1135*L1135*PLAN_ETAPA!$C$5/M1135),0))))</f>
        <v>0</v>
      </c>
      <c r="Q1135" s="218">
        <f t="shared" si="35"/>
        <v>0</v>
      </c>
    </row>
    <row r="1136" spans="1:17" x14ac:dyDescent="0.35">
      <c r="A1136" s="212" t="str">
        <f>COMPOSICIÓN!A1136</f>
        <v>PTO-1002</v>
      </c>
      <c r="B1136" s="212" t="str">
        <f>COMPOSICIÓN!B1136</f>
        <v>MO</v>
      </c>
      <c r="C1136" s="212" t="str">
        <f>COMPOSICIÓN!C1136</f>
        <v>ALB</v>
      </c>
      <c r="D1136" s="212" t="str">
        <f>COMPOSICIÓN!D1136</f>
        <v>MO-EAYUD</v>
      </c>
      <c r="E1136" s="212" t="str">
        <f>COMPOSICIÓN!E1136</f>
        <v>AYUDANTE</v>
      </c>
      <c r="F1136" s="212" t="str">
        <f>COMPOSICIÓN!F1136</f>
        <v>j</v>
      </c>
      <c r="G1136" s="213">
        <f>COMPOSICIÓN!G1136</f>
        <v>3</v>
      </c>
      <c r="H1136" s="214">
        <f>COMPOSICIÓN!H1136</f>
        <v>0</v>
      </c>
      <c r="I1136" s="215">
        <f>COMPOSICIÓN!I1136</f>
        <v>60860.580776572002</v>
      </c>
      <c r="J1136" s="212" t="str">
        <f>IFERROR(VLOOKUP(A1136,PARTIDAS!$A$2:$C$269,3,FALSE()),"")</f>
        <v>VENTILACIONES</v>
      </c>
      <c r="K1136" s="212" t="str">
        <f>IFERROR(INDEX(PPTO_GENERADOR!$B$4:$B$220,MATCH(A1136,PPTO_GENERADOR!$Q$4:$Q$220,0)),"")</f>
        <v>VENTILACIONES</v>
      </c>
      <c r="L1136" s="216">
        <f>IF(PLAN_ETAPA!$C$4="(TODOS)",SUMIFS(PPTO_GENERADOR!$E$4:$E$220,PPTO_GENERADOR!$Q$4:$Q$220,A1136),SUMIFS(PPTO_GENERADOR!$E$4:$E$220,PPTO_GENERADOR!$Q$4:$Q$220,A1136,PPTO_GENERADOR!$B$4:$B$220,PLAN_ETAPA!$C$4))</f>
        <v>0</v>
      </c>
      <c r="M1136" s="216">
        <f>IFERROR(VLOOKUP(A1136,PARTIDAS!$A$2:$F$269,6,FALSE()),1)</f>
        <v>1</v>
      </c>
      <c r="N1136" s="216">
        <f>IFERROR(VLOOKUP(A1136,PARTIDAS!$A$2:$I$269,9,FALSE()),1)</f>
        <v>1</v>
      </c>
      <c r="O1136" s="217">
        <f t="shared" si="34"/>
        <v>0</v>
      </c>
      <c r="P1136" s="216">
        <f>IF(O1136=0,0,IF(B1136="MAT",G1136*(1+H1136)*L1136*PLAN_ETAPA!$C$5,IF(B1136="MO",IF(M1136=0,0,G1136*L1136*PLAN_ETAPA!$C$5*N1136/M1136),IF(B1136="EQ",IF(M1136=0,0,G1136*L1136*PLAN_ETAPA!$C$5/M1136),0))))</f>
        <v>0</v>
      </c>
      <c r="Q1136" s="218">
        <f t="shared" si="35"/>
        <v>0</v>
      </c>
    </row>
    <row r="1137" spans="1:17" x14ac:dyDescent="0.35">
      <c r="A1137" s="212" t="str">
        <f>COMPOSICIÓN!A1137</f>
        <v>PTO-1002</v>
      </c>
      <c r="B1137" s="212" t="str">
        <f>COMPOSICIÓN!B1137</f>
        <v>MO</v>
      </c>
      <c r="C1137" s="212" t="str">
        <f>COMPOSICIÓN!C1137</f>
        <v>ALB</v>
      </c>
      <c r="D1137" s="212" t="str">
        <f>COMPOSICIÓN!D1137</f>
        <v>MO-EESPE</v>
      </c>
      <c r="E1137" s="212" t="str">
        <f>COMPOSICIÓN!E1137</f>
        <v>ESPECIALIZADO</v>
      </c>
      <c r="F1137" s="212" t="str">
        <f>COMPOSICIÓN!F1137</f>
        <v>j</v>
      </c>
      <c r="G1137" s="213">
        <f>COMPOSICIÓN!G1137</f>
        <v>6</v>
      </c>
      <c r="H1137" s="214">
        <f>COMPOSICIÓN!H1137</f>
        <v>0</v>
      </c>
      <c r="I1137" s="215">
        <f>COMPOSICIÓN!I1137</f>
        <v>85927.097156571996</v>
      </c>
      <c r="J1137" s="212" t="str">
        <f>IFERROR(VLOOKUP(A1137,PARTIDAS!$A$2:$C$269,3,FALSE()),"")</f>
        <v>VENTILACIONES</v>
      </c>
      <c r="K1137" s="212" t="str">
        <f>IFERROR(INDEX(PPTO_GENERADOR!$B$4:$B$220,MATCH(A1137,PPTO_GENERADOR!$Q$4:$Q$220,0)),"")</f>
        <v>VENTILACIONES</v>
      </c>
      <c r="L1137" s="216">
        <f>IF(PLAN_ETAPA!$C$4="(TODOS)",SUMIFS(PPTO_GENERADOR!$E$4:$E$220,PPTO_GENERADOR!$Q$4:$Q$220,A1137),SUMIFS(PPTO_GENERADOR!$E$4:$E$220,PPTO_GENERADOR!$Q$4:$Q$220,A1137,PPTO_GENERADOR!$B$4:$B$220,PLAN_ETAPA!$C$4))</f>
        <v>0</v>
      </c>
      <c r="M1137" s="216">
        <f>IFERROR(VLOOKUP(A1137,PARTIDAS!$A$2:$F$269,6,FALSE()),1)</f>
        <v>1</v>
      </c>
      <c r="N1137" s="216">
        <f>IFERROR(VLOOKUP(A1137,PARTIDAS!$A$2:$I$269,9,FALSE()),1)</f>
        <v>1</v>
      </c>
      <c r="O1137" s="217">
        <f t="shared" si="34"/>
        <v>0</v>
      </c>
      <c r="P1137" s="216">
        <f>IF(O1137=0,0,IF(B1137="MAT",G1137*(1+H1137)*L1137*PLAN_ETAPA!$C$5,IF(B1137="MO",IF(M1137=0,0,G1137*L1137*PLAN_ETAPA!$C$5*N1137/M1137),IF(B1137="EQ",IF(M1137=0,0,G1137*L1137*PLAN_ETAPA!$C$5/M1137),0))))</f>
        <v>0</v>
      </c>
      <c r="Q1137" s="218">
        <f t="shared" si="35"/>
        <v>0</v>
      </c>
    </row>
    <row r="1138" spans="1:17" x14ac:dyDescent="0.35">
      <c r="A1138" s="212" t="str">
        <f>COMPOSICIÓN!A1138</f>
        <v>PTO-1003</v>
      </c>
      <c r="B1138" s="212" t="str">
        <f>COMPOSICIÓN!B1138</f>
        <v>EQ</v>
      </c>
      <c r="C1138" s="212">
        <f>COMPOSICIÓN!C1138</f>
        <v>0</v>
      </c>
      <c r="D1138" s="212" t="str">
        <f>COMPOSICIÓN!D1138</f>
        <v>EQ-PTO060</v>
      </c>
      <c r="E1138" s="212" t="str">
        <f>COMPOSICIÓN!E1138</f>
        <v>Herramientas menores y consumibles - Montaje de campanas de parrillas C22 - Provisión a</v>
      </c>
      <c r="F1138" s="212">
        <f>COMPOSICIÓN!F1138</f>
        <v>0</v>
      </c>
      <c r="G1138" s="213">
        <f>COMPOSICIÓN!G1138</f>
        <v>1</v>
      </c>
      <c r="H1138" s="214">
        <f>COMPOSICIÓN!H1138</f>
        <v>0</v>
      </c>
      <c r="I1138" s="215">
        <f>COMPOSICIÓN!I1138</f>
        <v>5986.08243951861</v>
      </c>
      <c r="J1138" s="212" t="str">
        <f>IFERROR(VLOOKUP(A1138,PARTIDAS!$A$2:$C$269,3,FALSE()),"")</f>
        <v>VENTILACIONES</v>
      </c>
      <c r="K1138" s="212" t="str">
        <f>IFERROR(INDEX(PPTO_GENERADOR!$B$4:$B$220,MATCH(A1138,PPTO_GENERADOR!$Q$4:$Q$220,0)),"")</f>
        <v>VENTILACIONES</v>
      </c>
      <c r="L1138" s="216">
        <f>IF(PLAN_ETAPA!$C$4="(TODOS)",SUMIFS(PPTO_GENERADOR!$E$4:$E$220,PPTO_GENERADOR!$Q$4:$Q$220,A1138),SUMIFS(PPTO_GENERADOR!$E$4:$E$220,PPTO_GENERADOR!$Q$4:$Q$220,A1138,PPTO_GENERADOR!$B$4:$B$220,PLAN_ETAPA!$C$4))</f>
        <v>0</v>
      </c>
      <c r="M1138" s="216">
        <f>IFERROR(VLOOKUP(A1138,PARTIDAS!$A$2:$F$269,6,FALSE()),1)</f>
        <v>1</v>
      </c>
      <c r="N1138" s="216">
        <f>IFERROR(VLOOKUP(A1138,PARTIDAS!$A$2:$I$269,9,FALSE()),1)</f>
        <v>1</v>
      </c>
      <c r="O1138" s="217">
        <f t="shared" si="34"/>
        <v>0</v>
      </c>
      <c r="P1138" s="216">
        <f>IF(O1138=0,0,IF(B1138="MAT",G1138*(1+H1138)*L1138*PLAN_ETAPA!$C$5,IF(B1138="MO",IF(M1138=0,0,G1138*L1138*PLAN_ETAPA!$C$5*N1138/M1138),IF(B1138="EQ",IF(M1138=0,0,G1138*L1138*PLAN_ETAPA!$C$5/M1138),0))))</f>
        <v>0</v>
      </c>
      <c r="Q1138" s="218">
        <f t="shared" si="35"/>
        <v>0</v>
      </c>
    </row>
    <row r="1139" spans="1:17" x14ac:dyDescent="0.35">
      <c r="A1139" s="212" t="str">
        <f>COMPOSICIÓN!A1139</f>
        <v>PTO-1003</v>
      </c>
      <c r="B1139" s="212" t="str">
        <f>COMPOSICIÓN!B1139</f>
        <v>MAT</v>
      </c>
      <c r="C1139" s="212" t="str">
        <f>COMPOSICIÓN!C1139</f>
        <v>OTR</v>
      </c>
      <c r="D1139" s="212" t="str">
        <f>COMPOSICIÓN!D1139</f>
        <v>MAT-CONS</v>
      </c>
      <c r="E1139" s="212" t="str">
        <f>COMPOSICIÓN!E1139</f>
        <v>Consumibles</v>
      </c>
      <c r="F1139" s="212" t="str">
        <f>COMPOSICIÓN!F1139</f>
        <v>gl</v>
      </c>
      <c r="G1139" s="213">
        <f>COMPOSICIÓN!G1139</f>
        <v>50000</v>
      </c>
      <c r="H1139" s="214">
        <f>COMPOSICIÓN!H1139</f>
        <v>0</v>
      </c>
      <c r="I1139" s="215">
        <f>COMPOSICIÓN!I1139</f>
        <v>1</v>
      </c>
      <c r="J1139" s="212" t="str">
        <f>IFERROR(VLOOKUP(A1139,PARTIDAS!$A$2:$C$269,3,FALSE()),"")</f>
        <v>VENTILACIONES</v>
      </c>
      <c r="K1139" s="212" t="str">
        <f>IFERROR(INDEX(PPTO_GENERADOR!$B$4:$B$220,MATCH(A1139,PPTO_GENERADOR!$Q$4:$Q$220,0)),"")</f>
        <v>VENTILACIONES</v>
      </c>
      <c r="L1139" s="216">
        <f>IF(PLAN_ETAPA!$C$4="(TODOS)",SUMIFS(PPTO_GENERADOR!$E$4:$E$220,PPTO_GENERADOR!$Q$4:$Q$220,A1139),SUMIFS(PPTO_GENERADOR!$E$4:$E$220,PPTO_GENERADOR!$Q$4:$Q$220,A1139,PPTO_GENERADOR!$B$4:$B$220,PLAN_ETAPA!$C$4))</f>
        <v>0</v>
      </c>
      <c r="M1139" s="216">
        <f>IFERROR(VLOOKUP(A1139,PARTIDAS!$A$2:$F$269,6,FALSE()),1)</f>
        <v>1</v>
      </c>
      <c r="N1139" s="216">
        <f>IFERROR(VLOOKUP(A1139,PARTIDAS!$A$2:$I$269,9,FALSE()),1)</f>
        <v>1</v>
      </c>
      <c r="O1139" s="217">
        <f t="shared" si="34"/>
        <v>0</v>
      </c>
      <c r="P1139" s="216">
        <f>IF(O1139=0,0,IF(B1139="MAT",G1139*(1+H1139)*L1139*PLAN_ETAPA!$C$5,IF(B1139="MO",IF(M1139=0,0,G1139*L1139*PLAN_ETAPA!$C$5*N1139/M1139),IF(B1139="EQ",IF(M1139=0,0,G1139*L1139*PLAN_ETAPA!$C$5/M1139),0))))</f>
        <v>0</v>
      </c>
      <c r="Q1139" s="218">
        <f t="shared" si="35"/>
        <v>0</v>
      </c>
    </row>
    <row r="1140" spans="1:17" x14ac:dyDescent="0.35">
      <c r="A1140" s="212" t="str">
        <f>COMPOSICIÓN!A1140</f>
        <v>PTO-1003</v>
      </c>
      <c r="B1140" s="212" t="str">
        <f>COMPOSICIÓN!B1140</f>
        <v>MO</v>
      </c>
      <c r="C1140" s="212" t="str">
        <f>COMPOSICIÓN!C1140</f>
        <v>ALB</v>
      </c>
      <c r="D1140" s="212" t="str">
        <f>COMPOSICIÓN!D1140</f>
        <v>MO-EAYUD</v>
      </c>
      <c r="E1140" s="212" t="str">
        <f>COMPOSICIÓN!E1140</f>
        <v>AYUDANTE</v>
      </c>
      <c r="F1140" s="212" t="str">
        <f>COMPOSICIÓN!F1140</f>
        <v>j</v>
      </c>
      <c r="G1140" s="213">
        <f>COMPOSICIÓN!G1140</f>
        <v>1.5</v>
      </c>
      <c r="H1140" s="214">
        <f>COMPOSICIÓN!H1140</f>
        <v>0</v>
      </c>
      <c r="I1140" s="215">
        <f>COMPOSICIÓN!I1140</f>
        <v>60860.580776572002</v>
      </c>
      <c r="J1140" s="212" t="str">
        <f>IFERROR(VLOOKUP(A1140,PARTIDAS!$A$2:$C$269,3,FALSE()),"")</f>
        <v>VENTILACIONES</v>
      </c>
      <c r="K1140" s="212" t="str">
        <f>IFERROR(INDEX(PPTO_GENERADOR!$B$4:$B$220,MATCH(A1140,PPTO_GENERADOR!$Q$4:$Q$220,0)),"")</f>
        <v>VENTILACIONES</v>
      </c>
      <c r="L1140" s="216">
        <f>IF(PLAN_ETAPA!$C$4="(TODOS)",SUMIFS(PPTO_GENERADOR!$E$4:$E$220,PPTO_GENERADOR!$Q$4:$Q$220,A1140),SUMIFS(PPTO_GENERADOR!$E$4:$E$220,PPTO_GENERADOR!$Q$4:$Q$220,A1140,PPTO_GENERADOR!$B$4:$B$220,PLAN_ETAPA!$C$4))</f>
        <v>0</v>
      </c>
      <c r="M1140" s="216">
        <f>IFERROR(VLOOKUP(A1140,PARTIDAS!$A$2:$F$269,6,FALSE()),1)</f>
        <v>1</v>
      </c>
      <c r="N1140" s="216">
        <f>IFERROR(VLOOKUP(A1140,PARTIDAS!$A$2:$I$269,9,FALSE()),1)</f>
        <v>1</v>
      </c>
      <c r="O1140" s="217">
        <f t="shared" si="34"/>
        <v>0</v>
      </c>
      <c r="P1140" s="216">
        <f>IF(O1140=0,0,IF(B1140="MAT",G1140*(1+H1140)*L1140*PLAN_ETAPA!$C$5,IF(B1140="MO",IF(M1140=0,0,G1140*L1140*PLAN_ETAPA!$C$5*N1140/M1140),IF(B1140="EQ",IF(M1140=0,0,G1140*L1140*PLAN_ETAPA!$C$5/M1140),0))))</f>
        <v>0</v>
      </c>
      <c r="Q1140" s="218">
        <f t="shared" si="35"/>
        <v>0</v>
      </c>
    </row>
    <row r="1141" spans="1:17" x14ac:dyDescent="0.35">
      <c r="A1141" s="212" t="str">
        <f>COMPOSICIÓN!A1141</f>
        <v>PTO-1003</v>
      </c>
      <c r="B1141" s="212" t="str">
        <f>COMPOSICIÓN!B1141</f>
        <v>MO</v>
      </c>
      <c r="C1141" s="212" t="str">
        <f>COMPOSICIÓN!C1141</f>
        <v>ALB</v>
      </c>
      <c r="D1141" s="212" t="str">
        <f>COMPOSICIÓN!D1141</f>
        <v>MO-EESPE</v>
      </c>
      <c r="E1141" s="212" t="str">
        <f>COMPOSICIÓN!E1141</f>
        <v>ESPECIALIZADO</v>
      </c>
      <c r="F1141" s="212" t="str">
        <f>COMPOSICIÓN!F1141</f>
        <v>j</v>
      </c>
      <c r="G1141" s="213">
        <f>COMPOSICIÓN!G1141</f>
        <v>3</v>
      </c>
      <c r="H1141" s="214">
        <f>COMPOSICIÓN!H1141</f>
        <v>0</v>
      </c>
      <c r="I1141" s="215">
        <f>COMPOSICIÓN!I1141</f>
        <v>85927.097156571996</v>
      </c>
      <c r="J1141" s="212" t="str">
        <f>IFERROR(VLOOKUP(A1141,PARTIDAS!$A$2:$C$269,3,FALSE()),"")</f>
        <v>VENTILACIONES</v>
      </c>
      <c r="K1141" s="212" t="str">
        <f>IFERROR(INDEX(PPTO_GENERADOR!$B$4:$B$220,MATCH(A1141,PPTO_GENERADOR!$Q$4:$Q$220,0)),"")</f>
        <v>VENTILACIONES</v>
      </c>
      <c r="L1141" s="216">
        <f>IF(PLAN_ETAPA!$C$4="(TODOS)",SUMIFS(PPTO_GENERADOR!$E$4:$E$220,PPTO_GENERADOR!$Q$4:$Q$220,A1141),SUMIFS(PPTO_GENERADOR!$E$4:$E$220,PPTO_GENERADOR!$Q$4:$Q$220,A1141,PPTO_GENERADOR!$B$4:$B$220,PLAN_ETAPA!$C$4))</f>
        <v>0</v>
      </c>
      <c r="M1141" s="216">
        <f>IFERROR(VLOOKUP(A1141,PARTIDAS!$A$2:$F$269,6,FALSE()),1)</f>
        <v>1</v>
      </c>
      <c r="N1141" s="216">
        <f>IFERROR(VLOOKUP(A1141,PARTIDAS!$A$2:$I$269,9,FALSE()),1)</f>
        <v>1</v>
      </c>
      <c r="O1141" s="217">
        <f t="shared" si="34"/>
        <v>0</v>
      </c>
      <c r="P1141" s="216">
        <f>IF(O1141=0,0,IF(B1141="MAT",G1141*(1+H1141)*L1141*PLAN_ETAPA!$C$5,IF(B1141="MO",IF(M1141=0,0,G1141*L1141*PLAN_ETAPA!$C$5*N1141/M1141),IF(B1141="EQ",IF(M1141=0,0,G1141*L1141*PLAN_ETAPA!$C$5/M1141),0))))</f>
        <v>0</v>
      </c>
      <c r="Q1141" s="218">
        <f t="shared" si="35"/>
        <v>0</v>
      </c>
    </row>
    <row r="1142" spans="1:17" x14ac:dyDescent="0.35">
      <c r="A1142" s="212" t="str">
        <f>COMPOSICIÓN!A1142</f>
        <v>PTO-1004</v>
      </c>
      <c r="B1142" s="212" t="str">
        <f>COMPOSICIÓN!B1142</f>
        <v>EQ</v>
      </c>
      <c r="C1142" s="212">
        <f>COMPOSICIÓN!C1142</f>
        <v>0</v>
      </c>
      <c r="D1142" s="212" t="str">
        <f>COMPOSICIÓN!D1142</f>
        <v>EQ-PTO061</v>
      </c>
      <c r="E1142" s="212" t="str">
        <f>COMPOSICIÓN!E1142</f>
        <v>Herramientas menores y consumibles - Montaje de sombreretes en chapa prepintada C25 - P</v>
      </c>
      <c r="F1142" s="212">
        <f>COMPOSICIÓN!F1142</f>
        <v>0</v>
      </c>
      <c r="G1142" s="213">
        <f>COMPOSICIÓN!G1142</f>
        <v>1</v>
      </c>
      <c r="H1142" s="214">
        <f>COMPOSICIÓN!H1142</f>
        <v>0</v>
      </c>
      <c r="I1142" s="215">
        <f>COMPOSICIÓN!I1142</f>
        <v>649.07216263457406</v>
      </c>
      <c r="J1142" s="212" t="str">
        <f>IFERROR(VLOOKUP(A1142,PARTIDAS!$A$2:$C$269,3,FALSE()),"")</f>
        <v>VENTILACIONES</v>
      </c>
      <c r="K1142" s="212" t="str">
        <f>IFERROR(INDEX(PPTO_GENERADOR!$B$4:$B$220,MATCH(A1142,PPTO_GENERADOR!$Q$4:$Q$220,0)),"")</f>
        <v>VENTILACIONES</v>
      </c>
      <c r="L1142" s="216">
        <f>IF(PLAN_ETAPA!$C$4="(TODOS)",SUMIFS(PPTO_GENERADOR!$E$4:$E$220,PPTO_GENERADOR!$Q$4:$Q$220,A1142),SUMIFS(PPTO_GENERADOR!$E$4:$E$220,PPTO_GENERADOR!$Q$4:$Q$220,A1142,PPTO_GENERADOR!$B$4:$B$220,PLAN_ETAPA!$C$4))</f>
        <v>0</v>
      </c>
      <c r="M1142" s="216">
        <f>IFERROR(VLOOKUP(A1142,PARTIDAS!$A$2:$F$269,6,FALSE()),1)</f>
        <v>1</v>
      </c>
      <c r="N1142" s="216">
        <f>IFERROR(VLOOKUP(A1142,PARTIDAS!$A$2:$I$269,9,FALSE()),1)</f>
        <v>1</v>
      </c>
      <c r="O1142" s="217">
        <f t="shared" si="34"/>
        <v>0</v>
      </c>
      <c r="P1142" s="216">
        <f>IF(O1142=0,0,IF(B1142="MAT",G1142*(1+H1142)*L1142*PLAN_ETAPA!$C$5,IF(B1142="MO",IF(M1142=0,0,G1142*L1142*PLAN_ETAPA!$C$5*N1142/M1142),IF(B1142="EQ",IF(M1142=0,0,G1142*L1142*PLAN_ETAPA!$C$5/M1142),0))))</f>
        <v>0</v>
      </c>
      <c r="Q1142" s="218">
        <f t="shared" si="35"/>
        <v>0</v>
      </c>
    </row>
    <row r="1143" spans="1:17" x14ac:dyDescent="0.35">
      <c r="A1143" s="212" t="str">
        <f>COMPOSICIÓN!A1143</f>
        <v>PTO-1004</v>
      </c>
      <c r="B1143" s="212" t="str">
        <f>COMPOSICIÓN!B1143</f>
        <v>MAT</v>
      </c>
      <c r="C1143" s="212" t="str">
        <f>COMPOSICIÓN!C1143</f>
        <v>OTR</v>
      </c>
      <c r="D1143" s="212" t="str">
        <f>COMPOSICIÓN!D1143</f>
        <v>MAT-CONS</v>
      </c>
      <c r="E1143" s="212" t="str">
        <f>COMPOSICIÓN!E1143</f>
        <v>Consumibles</v>
      </c>
      <c r="F1143" s="212" t="str">
        <f>COMPOSICIÓN!F1143</f>
        <v>gl</v>
      </c>
      <c r="G1143" s="213">
        <f>COMPOSICIÓN!G1143</f>
        <v>20000</v>
      </c>
      <c r="H1143" s="214">
        <f>COMPOSICIÓN!H1143</f>
        <v>0</v>
      </c>
      <c r="I1143" s="215">
        <f>COMPOSICIÓN!I1143</f>
        <v>1</v>
      </c>
      <c r="J1143" s="212" t="str">
        <f>IFERROR(VLOOKUP(A1143,PARTIDAS!$A$2:$C$269,3,FALSE()),"")</f>
        <v>VENTILACIONES</v>
      </c>
      <c r="K1143" s="212" t="str">
        <f>IFERROR(INDEX(PPTO_GENERADOR!$B$4:$B$220,MATCH(A1143,PPTO_GENERADOR!$Q$4:$Q$220,0)),"")</f>
        <v>VENTILACIONES</v>
      </c>
      <c r="L1143" s="216">
        <f>IF(PLAN_ETAPA!$C$4="(TODOS)",SUMIFS(PPTO_GENERADOR!$E$4:$E$220,PPTO_GENERADOR!$Q$4:$Q$220,A1143),SUMIFS(PPTO_GENERADOR!$E$4:$E$220,PPTO_GENERADOR!$Q$4:$Q$220,A1143,PPTO_GENERADOR!$B$4:$B$220,PLAN_ETAPA!$C$4))</f>
        <v>0</v>
      </c>
      <c r="M1143" s="216">
        <f>IFERROR(VLOOKUP(A1143,PARTIDAS!$A$2:$F$269,6,FALSE()),1)</f>
        <v>1</v>
      </c>
      <c r="N1143" s="216">
        <f>IFERROR(VLOOKUP(A1143,PARTIDAS!$A$2:$I$269,9,FALSE()),1)</f>
        <v>1</v>
      </c>
      <c r="O1143" s="217">
        <f t="shared" si="34"/>
        <v>0</v>
      </c>
      <c r="P1143" s="216">
        <f>IF(O1143=0,0,IF(B1143="MAT",G1143*(1+H1143)*L1143*PLAN_ETAPA!$C$5,IF(B1143="MO",IF(M1143=0,0,G1143*L1143*PLAN_ETAPA!$C$5*N1143/M1143),IF(B1143="EQ",IF(M1143=0,0,G1143*L1143*PLAN_ETAPA!$C$5/M1143),0))))</f>
        <v>0</v>
      </c>
      <c r="Q1143" s="218">
        <f t="shared" si="35"/>
        <v>0</v>
      </c>
    </row>
    <row r="1144" spans="1:17" x14ac:dyDescent="0.35">
      <c r="A1144" s="212" t="str">
        <f>COMPOSICIÓN!A1144</f>
        <v>PTO-1004</v>
      </c>
      <c r="B1144" s="212" t="str">
        <f>COMPOSICIÓN!B1144</f>
        <v>MO</v>
      </c>
      <c r="C1144" s="212" t="str">
        <f>COMPOSICIÓN!C1144</f>
        <v>ALB</v>
      </c>
      <c r="D1144" s="212" t="str">
        <f>COMPOSICIÓN!D1144</f>
        <v>MO-EAYUD</v>
      </c>
      <c r="E1144" s="212" t="str">
        <f>COMPOSICIÓN!E1144</f>
        <v>AYUDANTE</v>
      </c>
      <c r="F1144" s="212" t="str">
        <f>COMPOSICIÓN!F1144</f>
        <v>j</v>
      </c>
      <c r="G1144" s="213">
        <f>COMPOSICIÓN!G1144</f>
        <v>0.1</v>
      </c>
      <c r="H1144" s="214">
        <f>COMPOSICIÓN!H1144</f>
        <v>0</v>
      </c>
      <c r="I1144" s="215">
        <f>COMPOSICIÓN!I1144</f>
        <v>60860.580776572002</v>
      </c>
      <c r="J1144" s="212" t="str">
        <f>IFERROR(VLOOKUP(A1144,PARTIDAS!$A$2:$C$269,3,FALSE()),"")</f>
        <v>VENTILACIONES</v>
      </c>
      <c r="K1144" s="212" t="str">
        <f>IFERROR(INDEX(PPTO_GENERADOR!$B$4:$B$220,MATCH(A1144,PPTO_GENERADOR!$Q$4:$Q$220,0)),"")</f>
        <v>VENTILACIONES</v>
      </c>
      <c r="L1144" s="216">
        <f>IF(PLAN_ETAPA!$C$4="(TODOS)",SUMIFS(PPTO_GENERADOR!$E$4:$E$220,PPTO_GENERADOR!$Q$4:$Q$220,A1144),SUMIFS(PPTO_GENERADOR!$E$4:$E$220,PPTO_GENERADOR!$Q$4:$Q$220,A1144,PPTO_GENERADOR!$B$4:$B$220,PLAN_ETAPA!$C$4))</f>
        <v>0</v>
      </c>
      <c r="M1144" s="216">
        <f>IFERROR(VLOOKUP(A1144,PARTIDAS!$A$2:$F$269,6,FALSE()),1)</f>
        <v>1</v>
      </c>
      <c r="N1144" s="216">
        <f>IFERROR(VLOOKUP(A1144,PARTIDAS!$A$2:$I$269,9,FALSE()),1)</f>
        <v>1</v>
      </c>
      <c r="O1144" s="217">
        <f t="shared" si="34"/>
        <v>0</v>
      </c>
      <c r="P1144" s="216">
        <f>IF(O1144=0,0,IF(B1144="MAT",G1144*(1+H1144)*L1144*PLAN_ETAPA!$C$5,IF(B1144="MO",IF(M1144=0,0,G1144*L1144*PLAN_ETAPA!$C$5*N1144/M1144),IF(B1144="EQ",IF(M1144=0,0,G1144*L1144*PLAN_ETAPA!$C$5/M1144),0))))</f>
        <v>0</v>
      </c>
      <c r="Q1144" s="218">
        <f t="shared" si="35"/>
        <v>0</v>
      </c>
    </row>
    <row r="1145" spans="1:17" x14ac:dyDescent="0.35">
      <c r="A1145" s="212" t="str">
        <f>COMPOSICIÓN!A1145</f>
        <v>PTO-1004</v>
      </c>
      <c r="B1145" s="212" t="str">
        <f>COMPOSICIÓN!B1145</f>
        <v>MO</v>
      </c>
      <c r="C1145" s="212" t="str">
        <f>COMPOSICIÓN!C1145</f>
        <v>ALB</v>
      </c>
      <c r="D1145" s="212" t="str">
        <f>COMPOSICIÓN!D1145</f>
        <v>MO-EESPE</v>
      </c>
      <c r="E1145" s="212" t="str">
        <f>COMPOSICIÓN!E1145</f>
        <v>ESPECIALIZADO</v>
      </c>
      <c r="F1145" s="212" t="str">
        <f>COMPOSICIÓN!F1145</f>
        <v>j</v>
      </c>
      <c r="G1145" s="213">
        <f>COMPOSICIÓN!G1145</f>
        <v>0.2</v>
      </c>
      <c r="H1145" s="214">
        <f>COMPOSICIÓN!H1145</f>
        <v>0</v>
      </c>
      <c r="I1145" s="215">
        <f>COMPOSICIÓN!I1145</f>
        <v>85927.097156571996</v>
      </c>
      <c r="J1145" s="212" t="str">
        <f>IFERROR(VLOOKUP(A1145,PARTIDAS!$A$2:$C$269,3,FALSE()),"")</f>
        <v>VENTILACIONES</v>
      </c>
      <c r="K1145" s="212" t="str">
        <f>IFERROR(INDEX(PPTO_GENERADOR!$B$4:$B$220,MATCH(A1145,PPTO_GENERADOR!$Q$4:$Q$220,0)),"")</f>
        <v>VENTILACIONES</v>
      </c>
      <c r="L1145" s="216">
        <f>IF(PLAN_ETAPA!$C$4="(TODOS)",SUMIFS(PPTO_GENERADOR!$E$4:$E$220,PPTO_GENERADOR!$Q$4:$Q$220,A1145),SUMIFS(PPTO_GENERADOR!$E$4:$E$220,PPTO_GENERADOR!$Q$4:$Q$220,A1145,PPTO_GENERADOR!$B$4:$B$220,PLAN_ETAPA!$C$4))</f>
        <v>0</v>
      </c>
      <c r="M1145" s="216">
        <f>IFERROR(VLOOKUP(A1145,PARTIDAS!$A$2:$F$269,6,FALSE()),1)</f>
        <v>1</v>
      </c>
      <c r="N1145" s="216">
        <f>IFERROR(VLOOKUP(A1145,PARTIDAS!$A$2:$I$269,9,FALSE()),1)</f>
        <v>1</v>
      </c>
      <c r="O1145" s="217">
        <f t="shared" si="34"/>
        <v>0</v>
      </c>
      <c r="P1145" s="216">
        <f>IF(O1145=0,0,IF(B1145="MAT",G1145*(1+H1145)*L1145*PLAN_ETAPA!$C$5,IF(B1145="MO",IF(M1145=0,0,G1145*L1145*PLAN_ETAPA!$C$5*N1145/M1145),IF(B1145="EQ",IF(M1145=0,0,G1145*L1145*PLAN_ETAPA!$C$5/M1145),0))))</f>
        <v>0</v>
      </c>
      <c r="Q1145" s="218">
        <f t="shared" si="35"/>
        <v>0</v>
      </c>
    </row>
    <row r="1146" spans="1:17" x14ac:dyDescent="0.35">
      <c r="A1146" s="212" t="str">
        <f>COMPOSICIÓN!A1146</f>
        <v>PTO-1102</v>
      </c>
      <c r="B1146" s="212" t="str">
        <f>COMPOSICIÓN!B1146</f>
        <v>EQ</v>
      </c>
      <c r="C1146" s="212">
        <f>COMPOSICIÓN!C1146</f>
        <v>0</v>
      </c>
      <c r="D1146" s="212" t="str">
        <f>COMPOSICIÓN!D1146</f>
        <v>EQ-EQALBA</v>
      </c>
      <c r="E1146" s="212" t="str">
        <f>COMPOSICIÓN!E1146</f>
        <v>EQUIPO DE ALBAÑILERIA, carpetas, ladrillo</v>
      </c>
      <c r="F1146" s="212">
        <f>COMPOSICIÓN!F1146</f>
        <v>0</v>
      </c>
      <c r="G1146" s="213">
        <f>COMPOSICIÓN!G1146</f>
        <v>1</v>
      </c>
      <c r="H1146" s="214">
        <f>COMPOSICIÓN!H1146</f>
        <v>0</v>
      </c>
      <c r="I1146" s="215">
        <f>COMPOSICIÓN!I1146</f>
        <v>2287.1357450968057</v>
      </c>
      <c r="J1146" s="212" t="str">
        <f>IFERROR(VLOOKUP(A1146,PARTIDAS!$A$2:$C$269,3,FALSE()),"")</f>
        <v>PISOS</v>
      </c>
      <c r="K1146" s="212" t="str">
        <f>IFERROR(INDEX(PPTO_GENERADOR!$B$4:$B$220,MATCH(A1146,PPTO_GENERADOR!$Q$4:$Q$220,0)),"")</f>
        <v>PISOS</v>
      </c>
      <c r="L1146" s="216">
        <f>IF(PLAN_ETAPA!$C$4="(TODOS)",SUMIFS(PPTO_GENERADOR!$E$4:$E$220,PPTO_GENERADOR!$Q$4:$Q$220,A1146),SUMIFS(PPTO_GENERADOR!$E$4:$E$220,PPTO_GENERADOR!$Q$4:$Q$220,A1146,PPTO_GENERADOR!$B$4:$B$220,PLAN_ETAPA!$C$4))</f>
        <v>0</v>
      </c>
      <c r="M1146" s="216">
        <f>IFERROR(VLOOKUP(A1146,PARTIDAS!$A$2:$F$269,6,FALSE()),1)</f>
        <v>11.5</v>
      </c>
      <c r="N1146" s="216">
        <f>IFERROR(VLOOKUP(A1146,PARTIDAS!$A$2:$I$269,9,FALSE()),1)</f>
        <v>1</v>
      </c>
      <c r="O1146" s="217">
        <f t="shared" si="34"/>
        <v>0</v>
      </c>
      <c r="P1146" s="216">
        <f>IF(O1146=0,0,IF(B1146="MAT",G1146*(1+H1146)*L1146*PLAN_ETAPA!$C$5,IF(B1146="MO",IF(M1146=0,0,G1146*L1146*PLAN_ETAPA!$C$5*N1146/M1146),IF(B1146="EQ",IF(M1146=0,0,G1146*L1146*PLAN_ETAPA!$C$5/M1146),0))))</f>
        <v>0</v>
      </c>
      <c r="Q1146" s="218">
        <f t="shared" si="35"/>
        <v>0</v>
      </c>
    </row>
    <row r="1147" spans="1:17" x14ac:dyDescent="0.35">
      <c r="A1147" s="212" t="str">
        <f>COMPOSICIÓN!A1147</f>
        <v>PTO-1102</v>
      </c>
      <c r="B1147" s="212" t="str">
        <f>COMPOSICIÓN!B1147</f>
        <v>EQ</v>
      </c>
      <c r="C1147" s="212">
        <f>COMPOSICIÓN!C1147</f>
        <v>0</v>
      </c>
      <c r="D1147" s="212" t="str">
        <f>COMPOSICIÓN!D1147</f>
        <v>EQ-TROMPO</v>
      </c>
      <c r="E1147" s="212" t="str">
        <f>COMPOSICIÓN!E1147</f>
        <v>Hormigonera De 150 Litros 1hp Con Rueda Maciza</v>
      </c>
      <c r="F1147" s="212">
        <f>COMPOSICIÓN!F1147</f>
        <v>0</v>
      </c>
      <c r="G1147" s="213">
        <f>COMPOSICIÓN!G1147</f>
        <v>1</v>
      </c>
      <c r="H1147" s="214">
        <f>COMPOSICIÓN!H1147</f>
        <v>0</v>
      </c>
      <c r="I1147" s="215">
        <f>COMPOSICIÓN!I1147</f>
        <v>957.25319614994726</v>
      </c>
      <c r="J1147" s="212" t="str">
        <f>IFERROR(VLOOKUP(A1147,PARTIDAS!$A$2:$C$269,3,FALSE()),"")</f>
        <v>PISOS</v>
      </c>
      <c r="K1147" s="212" t="str">
        <f>IFERROR(INDEX(PPTO_GENERADOR!$B$4:$B$220,MATCH(A1147,PPTO_GENERADOR!$Q$4:$Q$220,0)),"")</f>
        <v>PISOS</v>
      </c>
      <c r="L1147" s="216">
        <f>IF(PLAN_ETAPA!$C$4="(TODOS)",SUMIFS(PPTO_GENERADOR!$E$4:$E$220,PPTO_GENERADOR!$Q$4:$Q$220,A1147),SUMIFS(PPTO_GENERADOR!$E$4:$E$220,PPTO_GENERADOR!$Q$4:$Q$220,A1147,PPTO_GENERADOR!$B$4:$B$220,PLAN_ETAPA!$C$4))</f>
        <v>0</v>
      </c>
      <c r="M1147" s="216">
        <f>IFERROR(VLOOKUP(A1147,PARTIDAS!$A$2:$F$269,6,FALSE()),1)</f>
        <v>11.5</v>
      </c>
      <c r="N1147" s="216">
        <f>IFERROR(VLOOKUP(A1147,PARTIDAS!$A$2:$I$269,9,FALSE()),1)</f>
        <v>1</v>
      </c>
      <c r="O1147" s="217">
        <f t="shared" si="34"/>
        <v>0</v>
      </c>
      <c r="P1147" s="216">
        <f>IF(O1147=0,0,IF(B1147="MAT",G1147*(1+H1147)*L1147*PLAN_ETAPA!$C$5,IF(B1147="MO",IF(M1147=0,0,G1147*L1147*PLAN_ETAPA!$C$5*N1147/M1147),IF(B1147="EQ",IF(M1147=0,0,G1147*L1147*PLAN_ETAPA!$C$5/M1147),0))))</f>
        <v>0</v>
      </c>
      <c r="Q1147" s="218">
        <f t="shared" si="35"/>
        <v>0</v>
      </c>
    </row>
    <row r="1148" spans="1:17" x14ac:dyDescent="0.35">
      <c r="A1148" s="212" t="str">
        <f>COMPOSICIÓN!A1148</f>
        <v>PTO-1102</v>
      </c>
      <c r="B1148" s="212" t="str">
        <f>COMPOSICIÓN!B1148</f>
        <v>MAT</v>
      </c>
      <c r="C1148" s="212" t="str">
        <f>COMPOSICIÓN!C1148</f>
        <v>OTR</v>
      </c>
      <c r="D1148" s="212" t="str">
        <f>COMPOSICIÓN!D1148</f>
        <v>AGR-001</v>
      </c>
      <c r="E1148" s="212" t="str">
        <f>COMPOSICIÓN!E1148</f>
        <v>ARENA LAVADA</v>
      </c>
      <c r="F1148" s="212" t="str">
        <f>COMPOSICIÓN!F1148</f>
        <v>m3</v>
      </c>
      <c r="G1148" s="213">
        <f>COMPOSICIÓN!G1148</f>
        <v>3.5999999999999997E-2</v>
      </c>
      <c r="H1148" s="214">
        <f>COMPOSICIÓN!H1148</f>
        <v>0.1</v>
      </c>
      <c r="I1148" s="215">
        <f>COMPOSICIÓN!I1148</f>
        <v>32399.77</v>
      </c>
      <c r="J1148" s="212" t="str">
        <f>IFERROR(VLOOKUP(A1148,PARTIDAS!$A$2:$C$269,3,FALSE()),"")</f>
        <v>PISOS</v>
      </c>
      <c r="K1148" s="212" t="str">
        <f>IFERROR(INDEX(PPTO_GENERADOR!$B$4:$B$220,MATCH(A1148,PPTO_GENERADOR!$Q$4:$Q$220,0)),"")</f>
        <v>PISOS</v>
      </c>
      <c r="L1148" s="216">
        <f>IF(PLAN_ETAPA!$C$4="(TODOS)",SUMIFS(PPTO_GENERADOR!$E$4:$E$220,PPTO_GENERADOR!$Q$4:$Q$220,A1148),SUMIFS(PPTO_GENERADOR!$E$4:$E$220,PPTO_GENERADOR!$Q$4:$Q$220,A1148,PPTO_GENERADOR!$B$4:$B$220,PLAN_ETAPA!$C$4))</f>
        <v>0</v>
      </c>
      <c r="M1148" s="216">
        <f>IFERROR(VLOOKUP(A1148,PARTIDAS!$A$2:$F$269,6,FALSE()),1)</f>
        <v>11.5</v>
      </c>
      <c r="N1148" s="216">
        <f>IFERROR(VLOOKUP(A1148,PARTIDAS!$A$2:$I$269,9,FALSE()),1)</f>
        <v>1</v>
      </c>
      <c r="O1148" s="217">
        <f t="shared" si="34"/>
        <v>0</v>
      </c>
      <c r="P1148" s="216">
        <f>IF(O1148=0,0,IF(B1148="MAT",G1148*(1+H1148)*L1148*PLAN_ETAPA!$C$5,IF(B1148="MO",IF(M1148=0,0,G1148*L1148*PLAN_ETAPA!$C$5*N1148/M1148),IF(B1148="EQ",IF(M1148=0,0,G1148*L1148*PLAN_ETAPA!$C$5/M1148),0))))</f>
        <v>0</v>
      </c>
      <c r="Q1148" s="218">
        <f t="shared" si="35"/>
        <v>0</v>
      </c>
    </row>
    <row r="1149" spans="1:17" x14ac:dyDescent="0.35">
      <c r="A1149" s="212" t="str">
        <f>COMPOSICIÓN!A1149</f>
        <v>PTO-1102</v>
      </c>
      <c r="B1149" s="212" t="str">
        <f>COMPOSICIÓN!B1149</f>
        <v>MAT</v>
      </c>
      <c r="C1149" s="212" t="str">
        <f>COMPOSICIÓN!C1149</f>
        <v>OTR</v>
      </c>
      <c r="D1149" s="212" t="str">
        <f>COMPOSICIÓN!D1149</f>
        <v>AGR-004</v>
      </c>
      <c r="E1149" s="212" t="str">
        <f>COMPOSICIÓN!E1149</f>
        <v>Cemento Portland x 50kg</v>
      </c>
      <c r="F1149" s="212" t="str">
        <f>COMPOSICIÓN!F1149</f>
        <v>Bol</v>
      </c>
      <c r="G1149" s="213">
        <f>COMPOSICIÓN!G1149</f>
        <v>0.32400000000000001</v>
      </c>
      <c r="H1149" s="214">
        <f>COMPOSICIÓN!H1149</f>
        <v>0.1</v>
      </c>
      <c r="I1149" s="215">
        <f>COMPOSICIÓN!I1149</f>
        <v>7809.48</v>
      </c>
      <c r="J1149" s="212" t="str">
        <f>IFERROR(VLOOKUP(A1149,PARTIDAS!$A$2:$C$269,3,FALSE()),"")</f>
        <v>PISOS</v>
      </c>
      <c r="K1149" s="212" t="str">
        <f>IFERROR(INDEX(PPTO_GENERADOR!$B$4:$B$220,MATCH(A1149,PPTO_GENERADOR!$Q$4:$Q$220,0)),"")</f>
        <v>PISOS</v>
      </c>
      <c r="L1149" s="216">
        <f>IF(PLAN_ETAPA!$C$4="(TODOS)",SUMIFS(PPTO_GENERADOR!$E$4:$E$220,PPTO_GENERADOR!$Q$4:$Q$220,A1149),SUMIFS(PPTO_GENERADOR!$E$4:$E$220,PPTO_GENERADOR!$Q$4:$Q$220,A1149,PPTO_GENERADOR!$B$4:$B$220,PLAN_ETAPA!$C$4))</f>
        <v>0</v>
      </c>
      <c r="M1149" s="216">
        <f>IFERROR(VLOOKUP(A1149,PARTIDAS!$A$2:$F$269,6,FALSE()),1)</f>
        <v>11.5</v>
      </c>
      <c r="N1149" s="216">
        <f>IFERROR(VLOOKUP(A1149,PARTIDAS!$A$2:$I$269,9,FALSE()),1)</f>
        <v>1</v>
      </c>
      <c r="O1149" s="217">
        <f t="shared" si="34"/>
        <v>0</v>
      </c>
      <c r="P1149" s="216">
        <f>IF(O1149=0,0,IF(B1149="MAT",G1149*(1+H1149)*L1149*PLAN_ETAPA!$C$5,IF(B1149="MO",IF(M1149=0,0,G1149*L1149*PLAN_ETAPA!$C$5*N1149/M1149),IF(B1149="EQ",IF(M1149=0,0,G1149*L1149*PLAN_ETAPA!$C$5/M1149),0))))</f>
        <v>0</v>
      </c>
      <c r="Q1149" s="218">
        <f t="shared" si="35"/>
        <v>0</v>
      </c>
    </row>
    <row r="1150" spans="1:17" x14ac:dyDescent="0.35">
      <c r="A1150" s="212" t="str">
        <f>COMPOSICIÓN!A1150</f>
        <v>PTO-1102</v>
      </c>
      <c r="B1150" s="212" t="str">
        <f>COMPOSICIÓN!B1150</f>
        <v>MO</v>
      </c>
      <c r="C1150" s="212" t="str">
        <f>COMPOSICIÓN!C1150</f>
        <v>ALB</v>
      </c>
      <c r="D1150" s="212" t="str">
        <f>COMPOSICIÓN!D1150</f>
        <v>MO-EAYUD</v>
      </c>
      <c r="E1150" s="212" t="str">
        <f>COMPOSICIÓN!E1150</f>
        <v>AYUDANTE</v>
      </c>
      <c r="F1150" s="212" t="str">
        <f>COMPOSICIÓN!F1150</f>
        <v>j</v>
      </c>
      <c r="G1150" s="213">
        <f>COMPOSICIÓN!G1150</f>
        <v>0.5</v>
      </c>
      <c r="H1150" s="214">
        <f>COMPOSICIÓN!H1150</f>
        <v>0</v>
      </c>
      <c r="I1150" s="215">
        <f>COMPOSICIÓN!I1150</f>
        <v>60860.580776572002</v>
      </c>
      <c r="J1150" s="212" t="str">
        <f>IFERROR(VLOOKUP(A1150,PARTIDAS!$A$2:$C$269,3,FALSE()),"")</f>
        <v>PISOS</v>
      </c>
      <c r="K1150" s="212" t="str">
        <f>IFERROR(INDEX(PPTO_GENERADOR!$B$4:$B$220,MATCH(A1150,PPTO_GENERADOR!$Q$4:$Q$220,0)),"")</f>
        <v>PISOS</v>
      </c>
      <c r="L1150" s="216">
        <f>IF(PLAN_ETAPA!$C$4="(TODOS)",SUMIFS(PPTO_GENERADOR!$E$4:$E$220,PPTO_GENERADOR!$Q$4:$Q$220,A1150),SUMIFS(PPTO_GENERADOR!$E$4:$E$220,PPTO_GENERADOR!$Q$4:$Q$220,A1150,PPTO_GENERADOR!$B$4:$B$220,PLAN_ETAPA!$C$4))</f>
        <v>0</v>
      </c>
      <c r="M1150" s="216">
        <f>IFERROR(VLOOKUP(A1150,PARTIDAS!$A$2:$F$269,6,FALSE()),1)</f>
        <v>11.5</v>
      </c>
      <c r="N1150" s="216">
        <f>IFERROR(VLOOKUP(A1150,PARTIDAS!$A$2:$I$269,9,FALSE()),1)</f>
        <v>1</v>
      </c>
      <c r="O1150" s="217">
        <f t="shared" si="34"/>
        <v>0</v>
      </c>
      <c r="P1150" s="216">
        <f>IF(O1150=0,0,IF(B1150="MAT",G1150*(1+H1150)*L1150*PLAN_ETAPA!$C$5,IF(B1150="MO",IF(M1150=0,0,G1150*L1150*PLAN_ETAPA!$C$5*N1150/M1150),IF(B1150="EQ",IF(M1150=0,0,G1150*L1150*PLAN_ETAPA!$C$5/M1150),0))))</f>
        <v>0</v>
      </c>
      <c r="Q1150" s="218">
        <f t="shared" si="35"/>
        <v>0</v>
      </c>
    </row>
    <row r="1151" spans="1:17" x14ac:dyDescent="0.35">
      <c r="A1151" s="212" t="str">
        <f>COMPOSICIÓN!A1151</f>
        <v>PTO-1102</v>
      </c>
      <c r="B1151" s="212" t="str">
        <f>COMPOSICIÓN!B1151</f>
        <v>MO</v>
      </c>
      <c r="C1151" s="212" t="str">
        <f>COMPOSICIÓN!C1151</f>
        <v>ALB</v>
      </c>
      <c r="D1151" s="212" t="str">
        <f>COMPOSICIÓN!D1151</f>
        <v>MO-EESPE</v>
      </c>
      <c r="E1151" s="212" t="str">
        <f>COMPOSICIÓN!E1151</f>
        <v>ESPECIALIZADO</v>
      </c>
      <c r="F1151" s="212" t="str">
        <f>COMPOSICIÓN!F1151</f>
        <v>j</v>
      </c>
      <c r="G1151" s="213">
        <f>COMPOSICIÓN!G1151</f>
        <v>1</v>
      </c>
      <c r="H1151" s="214">
        <f>COMPOSICIÓN!H1151</f>
        <v>0</v>
      </c>
      <c r="I1151" s="215">
        <f>COMPOSICIÓN!I1151</f>
        <v>85927.097156571996</v>
      </c>
      <c r="J1151" s="212" t="str">
        <f>IFERROR(VLOOKUP(A1151,PARTIDAS!$A$2:$C$269,3,FALSE()),"")</f>
        <v>PISOS</v>
      </c>
      <c r="K1151" s="212" t="str">
        <f>IFERROR(INDEX(PPTO_GENERADOR!$B$4:$B$220,MATCH(A1151,PPTO_GENERADOR!$Q$4:$Q$220,0)),"")</f>
        <v>PISOS</v>
      </c>
      <c r="L1151" s="216">
        <f>IF(PLAN_ETAPA!$C$4="(TODOS)",SUMIFS(PPTO_GENERADOR!$E$4:$E$220,PPTO_GENERADOR!$Q$4:$Q$220,A1151),SUMIFS(PPTO_GENERADOR!$E$4:$E$220,PPTO_GENERADOR!$Q$4:$Q$220,A1151,PPTO_GENERADOR!$B$4:$B$220,PLAN_ETAPA!$C$4))</f>
        <v>0</v>
      </c>
      <c r="M1151" s="216">
        <f>IFERROR(VLOOKUP(A1151,PARTIDAS!$A$2:$F$269,6,FALSE()),1)</f>
        <v>11.5</v>
      </c>
      <c r="N1151" s="216">
        <f>IFERROR(VLOOKUP(A1151,PARTIDAS!$A$2:$I$269,9,FALSE()),1)</f>
        <v>1</v>
      </c>
      <c r="O1151" s="217">
        <f t="shared" si="34"/>
        <v>0</v>
      </c>
      <c r="P1151" s="216">
        <f>IF(O1151=0,0,IF(B1151="MAT",G1151*(1+H1151)*L1151*PLAN_ETAPA!$C$5,IF(B1151="MO",IF(M1151=0,0,G1151*L1151*PLAN_ETAPA!$C$5*N1151/M1151),IF(B1151="EQ",IF(M1151=0,0,G1151*L1151*PLAN_ETAPA!$C$5/M1151),0))))</f>
        <v>0</v>
      </c>
      <c r="Q1151" s="218">
        <f t="shared" si="35"/>
        <v>0</v>
      </c>
    </row>
    <row r="1152" spans="1:17" x14ac:dyDescent="0.35">
      <c r="A1152" s="212" t="str">
        <f>COMPOSICIÓN!A1152</f>
        <v>PTO-1103</v>
      </c>
      <c r="B1152" s="212" t="str">
        <f>COMPOSICIÓN!B1152</f>
        <v>EQ</v>
      </c>
      <c r="C1152" s="212">
        <f>COMPOSICIÓN!C1152</f>
        <v>0</v>
      </c>
      <c r="D1152" s="212" t="str">
        <f>COMPOSICIÓN!D1152</f>
        <v>EQ-CORTA</v>
      </c>
      <c r="E1152" s="212" t="str">
        <f>COMPOSICIÓN!E1152</f>
        <v>CORTADORA CERAMICA PROFESIONAL 1200MM (PORCELANATO HASTA 16MM)</v>
      </c>
      <c r="F1152" s="212">
        <f>COMPOSICIÓN!F1152</f>
        <v>0</v>
      </c>
      <c r="G1152" s="213">
        <f>COMPOSICIÓN!G1152</f>
        <v>1</v>
      </c>
      <c r="H1152" s="214">
        <f>COMPOSICIÓN!H1152</f>
        <v>0</v>
      </c>
      <c r="I1152" s="215">
        <f>COMPOSICIÓN!I1152</f>
        <v>298.42384358082836</v>
      </c>
      <c r="J1152" s="212" t="str">
        <f>IFERROR(VLOOKUP(A1152,PARTIDAS!$A$2:$C$269,3,FALSE()),"")</f>
        <v>PISOS</v>
      </c>
      <c r="K1152" s="212" t="str">
        <f>IFERROR(INDEX(PPTO_GENERADOR!$B$4:$B$220,MATCH(A1152,PPTO_GENERADOR!$Q$4:$Q$220,0)),"")</f>
        <v/>
      </c>
      <c r="L1152" s="216">
        <f>IF(PLAN_ETAPA!$C$4="(TODOS)",SUMIFS(PPTO_GENERADOR!$E$4:$E$220,PPTO_GENERADOR!$Q$4:$Q$220,A1152),SUMIFS(PPTO_GENERADOR!$E$4:$E$220,PPTO_GENERADOR!$Q$4:$Q$220,A1152,PPTO_GENERADOR!$B$4:$B$220,PLAN_ETAPA!$C$4))</f>
        <v>0</v>
      </c>
      <c r="M1152" s="216">
        <f>IFERROR(VLOOKUP(A1152,PARTIDAS!$A$2:$F$269,6,FALSE()),1)</f>
        <v>13</v>
      </c>
      <c r="N1152" s="216">
        <f>IFERROR(VLOOKUP(A1152,PARTIDAS!$A$2:$I$269,9,FALSE()),1)</f>
        <v>1</v>
      </c>
      <c r="O1152" s="217">
        <f t="shared" si="34"/>
        <v>0</v>
      </c>
      <c r="P1152" s="216">
        <f>IF(O1152=0,0,IF(B1152="MAT",G1152*(1+H1152)*L1152*PLAN_ETAPA!$C$5,IF(B1152="MO",IF(M1152=0,0,G1152*L1152*PLAN_ETAPA!$C$5*N1152/M1152),IF(B1152="EQ",IF(M1152=0,0,G1152*L1152*PLAN_ETAPA!$C$5/M1152),0))))</f>
        <v>0</v>
      </c>
      <c r="Q1152" s="218">
        <f t="shared" si="35"/>
        <v>0</v>
      </c>
    </row>
    <row r="1153" spans="1:17" x14ac:dyDescent="0.35">
      <c r="A1153" s="212" t="str">
        <f>COMPOSICIÓN!A1153</f>
        <v>PTO-1103</v>
      </c>
      <c r="B1153" s="212" t="str">
        <f>COMPOSICIÓN!B1153</f>
        <v>EQ</v>
      </c>
      <c r="C1153" s="212">
        <f>COMPOSICIÓN!C1153</f>
        <v>0</v>
      </c>
      <c r="D1153" s="212" t="str">
        <f>COMPOSICIÓN!D1153</f>
        <v>EQ-EQCERA</v>
      </c>
      <c r="E1153" s="212" t="str">
        <f>COMPOSICIÓN!E1153</f>
        <v>EQUIPO PARA COLOCACION DE CERAMICA</v>
      </c>
      <c r="F1153" s="212">
        <f>COMPOSICIÓN!F1153</f>
        <v>0</v>
      </c>
      <c r="G1153" s="213">
        <f>COMPOSICIÓN!G1153</f>
        <v>1</v>
      </c>
      <c r="H1153" s="214">
        <f>COMPOSICIÓN!H1153</f>
        <v>0</v>
      </c>
      <c r="I1153" s="215">
        <f>COMPOSICIÓN!I1153</f>
        <v>2637.1418444899073</v>
      </c>
      <c r="J1153" s="212" t="str">
        <f>IFERROR(VLOOKUP(A1153,PARTIDAS!$A$2:$C$269,3,FALSE()),"")</f>
        <v>PISOS</v>
      </c>
      <c r="K1153" s="212" t="str">
        <f>IFERROR(INDEX(PPTO_GENERADOR!$B$4:$B$220,MATCH(A1153,PPTO_GENERADOR!$Q$4:$Q$220,0)),"")</f>
        <v/>
      </c>
      <c r="L1153" s="216">
        <f>IF(PLAN_ETAPA!$C$4="(TODOS)",SUMIFS(PPTO_GENERADOR!$E$4:$E$220,PPTO_GENERADOR!$Q$4:$Q$220,A1153),SUMIFS(PPTO_GENERADOR!$E$4:$E$220,PPTO_GENERADOR!$Q$4:$Q$220,A1153,PPTO_GENERADOR!$B$4:$B$220,PLAN_ETAPA!$C$4))</f>
        <v>0</v>
      </c>
      <c r="M1153" s="216">
        <f>IFERROR(VLOOKUP(A1153,PARTIDAS!$A$2:$F$269,6,FALSE()),1)</f>
        <v>13</v>
      </c>
      <c r="N1153" s="216">
        <f>IFERROR(VLOOKUP(A1153,PARTIDAS!$A$2:$I$269,9,FALSE()),1)</f>
        <v>1</v>
      </c>
      <c r="O1153" s="217">
        <f t="shared" si="34"/>
        <v>0</v>
      </c>
      <c r="P1153" s="216">
        <f>IF(O1153=0,0,IF(B1153="MAT",G1153*(1+H1153)*L1153*PLAN_ETAPA!$C$5,IF(B1153="MO",IF(M1153=0,0,G1153*L1153*PLAN_ETAPA!$C$5*N1153/M1153),IF(B1153="EQ",IF(M1153=0,0,G1153*L1153*PLAN_ETAPA!$C$5/M1153),0))))</f>
        <v>0</v>
      </c>
      <c r="Q1153" s="218">
        <f t="shared" si="35"/>
        <v>0</v>
      </c>
    </row>
    <row r="1154" spans="1:17" x14ac:dyDescent="0.35">
      <c r="A1154" s="212" t="str">
        <f>COMPOSICIÓN!A1154</f>
        <v>PTO-1103</v>
      </c>
      <c r="B1154" s="212" t="str">
        <f>COMPOSICIÓN!B1154</f>
        <v>MAT</v>
      </c>
      <c r="C1154" s="212" t="str">
        <f>COMPOSICIÓN!C1154</f>
        <v>OTR</v>
      </c>
      <c r="D1154" s="212" t="str">
        <f>COMPOSICIÓN!D1154</f>
        <v>AGR-005</v>
      </c>
      <c r="E1154" s="212" t="str">
        <f>COMPOSICIÓN!E1154</f>
        <v>Cal Comun x 25kg</v>
      </c>
      <c r="F1154" s="212" t="str">
        <f>COMPOSICIÓN!F1154</f>
        <v>bol</v>
      </c>
      <c r="G1154" s="213">
        <f>COMPOSICIÓN!G1154</f>
        <v>0.4</v>
      </c>
      <c r="H1154" s="214">
        <f>COMPOSICIÓN!H1154</f>
        <v>0.2</v>
      </c>
      <c r="I1154" s="215">
        <f>COMPOSICIÓN!I1154</f>
        <v>3837.96</v>
      </c>
      <c r="J1154" s="212" t="str">
        <f>IFERROR(VLOOKUP(A1154,PARTIDAS!$A$2:$C$269,3,FALSE()),"")</f>
        <v>PISOS</v>
      </c>
      <c r="K1154" s="212" t="str">
        <f>IFERROR(INDEX(PPTO_GENERADOR!$B$4:$B$220,MATCH(A1154,PPTO_GENERADOR!$Q$4:$Q$220,0)),"")</f>
        <v/>
      </c>
      <c r="L1154" s="216">
        <f>IF(PLAN_ETAPA!$C$4="(TODOS)",SUMIFS(PPTO_GENERADOR!$E$4:$E$220,PPTO_GENERADOR!$Q$4:$Q$220,A1154),SUMIFS(PPTO_GENERADOR!$E$4:$E$220,PPTO_GENERADOR!$Q$4:$Q$220,A1154,PPTO_GENERADOR!$B$4:$B$220,PLAN_ETAPA!$C$4))</f>
        <v>0</v>
      </c>
      <c r="M1154" s="216">
        <f>IFERROR(VLOOKUP(A1154,PARTIDAS!$A$2:$F$269,6,FALSE()),1)</f>
        <v>13</v>
      </c>
      <c r="N1154" s="216">
        <f>IFERROR(VLOOKUP(A1154,PARTIDAS!$A$2:$I$269,9,FALSE()),1)</f>
        <v>1</v>
      </c>
      <c r="O1154" s="217">
        <f t="shared" ref="O1154:O1217" si="36">IF(L1154&gt;0,1,0)</f>
        <v>0</v>
      </c>
      <c r="P1154" s="216">
        <f>IF(O1154=0,0,IF(B1154="MAT",G1154*(1+H1154)*L1154*PLAN_ETAPA!$C$5,IF(B1154="MO",IF(M1154=0,0,G1154*L1154*PLAN_ETAPA!$C$5*N1154/M1154),IF(B1154="EQ",IF(M1154=0,0,G1154*L1154*PLAN_ETAPA!$C$5/M1154),0))))</f>
        <v>0</v>
      </c>
      <c r="Q1154" s="218">
        <f t="shared" ref="Q1154:Q1217" si="37">P1154*I1154</f>
        <v>0</v>
      </c>
    </row>
    <row r="1155" spans="1:17" x14ac:dyDescent="0.35">
      <c r="A1155" s="212" t="str">
        <f>COMPOSICIÓN!A1155</f>
        <v>PTO-1103</v>
      </c>
      <c r="B1155" s="212" t="str">
        <f>COMPOSICIÓN!B1155</f>
        <v>MAT</v>
      </c>
      <c r="C1155" s="212" t="str">
        <f>COMPOSICIÓN!C1155</f>
        <v>OTR</v>
      </c>
      <c r="D1155" s="212" t="str">
        <f>COMPOSICIÓN!D1155</f>
        <v>OTR-025</v>
      </c>
      <c r="E1155" s="212" t="str">
        <f>COMPOSICIÓN!E1155</f>
        <v>Trapo</v>
      </c>
      <c r="F1155" s="212" t="str">
        <f>COMPOSICIÓN!F1155</f>
        <v>u</v>
      </c>
      <c r="G1155" s="213">
        <f>COMPOSICIÓN!G1155</f>
        <v>0.01</v>
      </c>
      <c r="H1155" s="214">
        <f>COMPOSICIÓN!H1155</f>
        <v>0.03</v>
      </c>
      <c r="I1155" s="215">
        <f>COMPOSICIÓN!I1155</f>
        <v>735.06</v>
      </c>
      <c r="J1155" s="212" t="str">
        <f>IFERROR(VLOOKUP(A1155,PARTIDAS!$A$2:$C$269,3,FALSE()),"")</f>
        <v>PISOS</v>
      </c>
      <c r="K1155" s="212" t="str">
        <f>IFERROR(INDEX(PPTO_GENERADOR!$B$4:$B$220,MATCH(A1155,PPTO_GENERADOR!$Q$4:$Q$220,0)),"")</f>
        <v/>
      </c>
      <c r="L1155" s="216">
        <f>IF(PLAN_ETAPA!$C$4="(TODOS)",SUMIFS(PPTO_GENERADOR!$E$4:$E$220,PPTO_GENERADOR!$Q$4:$Q$220,A1155),SUMIFS(PPTO_GENERADOR!$E$4:$E$220,PPTO_GENERADOR!$Q$4:$Q$220,A1155,PPTO_GENERADOR!$B$4:$B$220,PLAN_ETAPA!$C$4))</f>
        <v>0</v>
      </c>
      <c r="M1155" s="216">
        <f>IFERROR(VLOOKUP(A1155,PARTIDAS!$A$2:$F$269,6,FALSE()),1)</f>
        <v>13</v>
      </c>
      <c r="N1155" s="216">
        <f>IFERROR(VLOOKUP(A1155,PARTIDAS!$A$2:$I$269,9,FALSE()),1)</f>
        <v>1</v>
      </c>
      <c r="O1155" s="217">
        <f t="shared" si="36"/>
        <v>0</v>
      </c>
      <c r="P1155" s="216">
        <f>IF(O1155=0,0,IF(B1155="MAT",G1155*(1+H1155)*L1155*PLAN_ETAPA!$C$5,IF(B1155="MO",IF(M1155=0,0,G1155*L1155*PLAN_ETAPA!$C$5*N1155/M1155),IF(B1155="EQ",IF(M1155=0,0,G1155*L1155*PLAN_ETAPA!$C$5/M1155),0))))</f>
        <v>0</v>
      </c>
      <c r="Q1155" s="218">
        <f t="shared" si="37"/>
        <v>0</v>
      </c>
    </row>
    <row r="1156" spans="1:17" x14ac:dyDescent="0.35">
      <c r="A1156" s="212" t="str">
        <f>COMPOSICIÓN!A1156</f>
        <v>PTO-1103</v>
      </c>
      <c r="B1156" s="212" t="str">
        <f>COMPOSICIÓN!B1156</f>
        <v>MAT</v>
      </c>
      <c r="C1156" s="212" t="str">
        <f>COMPOSICIÓN!C1156</f>
        <v>OTR</v>
      </c>
      <c r="D1156" s="212" t="str">
        <f>COMPOSICIÓN!D1156</f>
        <v>OTR-046</v>
      </c>
      <c r="E1156" s="212" t="str">
        <f>COMPOSICIÓN!E1156</f>
        <v>Disco Diamantado Aliafor Turbo Fino TRF</v>
      </c>
      <c r="F1156" s="212" t="str">
        <f>COMPOSICIÓN!F1156</f>
        <v>u</v>
      </c>
      <c r="G1156" s="213">
        <f>COMPOSICIÓN!G1156</f>
        <v>4.0000000000000001E-3</v>
      </c>
      <c r="H1156" s="214">
        <f>COMPOSICIÓN!H1156</f>
        <v>0.05</v>
      </c>
      <c r="I1156" s="215">
        <f>COMPOSICIÓN!I1156</f>
        <v>20237</v>
      </c>
      <c r="J1156" s="212" t="str">
        <f>IFERROR(VLOOKUP(A1156,PARTIDAS!$A$2:$C$269,3,FALSE()),"")</f>
        <v>PISOS</v>
      </c>
      <c r="K1156" s="212" t="str">
        <f>IFERROR(INDEX(PPTO_GENERADOR!$B$4:$B$220,MATCH(A1156,PPTO_GENERADOR!$Q$4:$Q$220,0)),"")</f>
        <v/>
      </c>
      <c r="L1156" s="216">
        <f>IF(PLAN_ETAPA!$C$4="(TODOS)",SUMIFS(PPTO_GENERADOR!$E$4:$E$220,PPTO_GENERADOR!$Q$4:$Q$220,A1156),SUMIFS(PPTO_GENERADOR!$E$4:$E$220,PPTO_GENERADOR!$Q$4:$Q$220,A1156,PPTO_GENERADOR!$B$4:$B$220,PLAN_ETAPA!$C$4))</f>
        <v>0</v>
      </c>
      <c r="M1156" s="216">
        <f>IFERROR(VLOOKUP(A1156,PARTIDAS!$A$2:$F$269,6,FALSE()),1)</f>
        <v>13</v>
      </c>
      <c r="N1156" s="216">
        <f>IFERROR(VLOOKUP(A1156,PARTIDAS!$A$2:$I$269,9,FALSE()),1)</f>
        <v>1</v>
      </c>
      <c r="O1156" s="217">
        <f t="shared" si="36"/>
        <v>0</v>
      </c>
      <c r="P1156" s="216">
        <f>IF(O1156=0,0,IF(B1156="MAT",G1156*(1+H1156)*L1156*PLAN_ETAPA!$C$5,IF(B1156="MO",IF(M1156=0,0,G1156*L1156*PLAN_ETAPA!$C$5*N1156/M1156),IF(B1156="EQ",IF(M1156=0,0,G1156*L1156*PLAN_ETAPA!$C$5/M1156),0))))</f>
        <v>0</v>
      </c>
      <c r="Q1156" s="218">
        <f t="shared" si="37"/>
        <v>0</v>
      </c>
    </row>
    <row r="1157" spans="1:17" x14ac:dyDescent="0.35">
      <c r="A1157" s="212" t="str">
        <f>COMPOSICIÓN!A1157</f>
        <v>PTO-1103</v>
      </c>
      <c r="B1157" s="212" t="str">
        <f>COMPOSICIÓN!B1157</f>
        <v>MAT</v>
      </c>
      <c r="C1157" s="212" t="str">
        <f>COMPOSICIÓN!C1157</f>
        <v>OTR</v>
      </c>
      <c r="D1157" s="212" t="str">
        <f>COMPOSICIÓN!D1157</f>
        <v>REV-012</v>
      </c>
      <c r="E1157" s="212" t="str">
        <f>COMPOSICIÓN!E1157</f>
        <v>Arco y cuña niveladores porcelanatos x 150 un</v>
      </c>
      <c r="F1157" s="212" t="str">
        <f>COMPOSICIÓN!F1157</f>
        <v>b</v>
      </c>
      <c r="G1157" s="213">
        <f>COMPOSICIÓN!G1157</f>
        <v>0.04</v>
      </c>
      <c r="H1157" s="214">
        <f>COMPOSICIÓN!H1157</f>
        <v>0.05</v>
      </c>
      <c r="I1157" s="215">
        <f>COMPOSICIÓN!I1157</f>
        <v>44669.4214876033</v>
      </c>
      <c r="J1157" s="212" t="str">
        <f>IFERROR(VLOOKUP(A1157,PARTIDAS!$A$2:$C$269,3,FALSE()),"")</f>
        <v>PISOS</v>
      </c>
      <c r="K1157" s="212" t="str">
        <f>IFERROR(INDEX(PPTO_GENERADOR!$B$4:$B$220,MATCH(A1157,PPTO_GENERADOR!$Q$4:$Q$220,0)),"")</f>
        <v/>
      </c>
      <c r="L1157" s="216">
        <f>IF(PLAN_ETAPA!$C$4="(TODOS)",SUMIFS(PPTO_GENERADOR!$E$4:$E$220,PPTO_GENERADOR!$Q$4:$Q$220,A1157),SUMIFS(PPTO_GENERADOR!$E$4:$E$220,PPTO_GENERADOR!$Q$4:$Q$220,A1157,PPTO_GENERADOR!$B$4:$B$220,PLAN_ETAPA!$C$4))</f>
        <v>0</v>
      </c>
      <c r="M1157" s="216">
        <f>IFERROR(VLOOKUP(A1157,PARTIDAS!$A$2:$F$269,6,FALSE()),1)</f>
        <v>13</v>
      </c>
      <c r="N1157" s="216">
        <f>IFERROR(VLOOKUP(A1157,PARTIDAS!$A$2:$I$269,9,FALSE()),1)</f>
        <v>1</v>
      </c>
      <c r="O1157" s="217">
        <f t="shared" si="36"/>
        <v>0</v>
      </c>
      <c r="P1157" s="216">
        <f>IF(O1157=0,0,IF(B1157="MAT",G1157*(1+H1157)*L1157*PLAN_ETAPA!$C$5,IF(B1157="MO",IF(M1157=0,0,G1157*L1157*PLAN_ETAPA!$C$5*N1157/M1157),IF(B1157="EQ",IF(M1157=0,0,G1157*L1157*PLAN_ETAPA!$C$5/M1157),0))))</f>
        <v>0</v>
      </c>
      <c r="Q1157" s="218">
        <f t="shared" si="37"/>
        <v>0</v>
      </c>
    </row>
    <row r="1158" spans="1:17" x14ac:dyDescent="0.35">
      <c r="A1158" s="212" t="str">
        <f>COMPOSICIÓN!A1158</f>
        <v>PTO-1103</v>
      </c>
      <c r="B1158" s="212" t="str">
        <f>COMPOSICIÓN!B1158</f>
        <v>MO</v>
      </c>
      <c r="C1158" s="212" t="str">
        <f>COMPOSICIÓN!C1158</f>
        <v>ALB</v>
      </c>
      <c r="D1158" s="212" t="str">
        <f>COMPOSICIÓN!D1158</f>
        <v>MO-EESPE</v>
      </c>
      <c r="E1158" s="212" t="str">
        <f>COMPOSICIÓN!E1158</f>
        <v>ESPECIALIZADO</v>
      </c>
      <c r="F1158" s="212" t="str">
        <f>COMPOSICIÓN!F1158</f>
        <v>j</v>
      </c>
      <c r="G1158" s="213">
        <f>COMPOSICIÓN!G1158</f>
        <v>1</v>
      </c>
      <c r="H1158" s="214">
        <f>COMPOSICIÓN!H1158</f>
        <v>0</v>
      </c>
      <c r="I1158" s="215">
        <f>COMPOSICIÓN!I1158</f>
        <v>85927.097156571996</v>
      </c>
      <c r="J1158" s="212" t="str">
        <f>IFERROR(VLOOKUP(A1158,PARTIDAS!$A$2:$C$269,3,FALSE()),"")</f>
        <v>PISOS</v>
      </c>
      <c r="K1158" s="212" t="str">
        <f>IFERROR(INDEX(PPTO_GENERADOR!$B$4:$B$220,MATCH(A1158,PPTO_GENERADOR!$Q$4:$Q$220,0)),"")</f>
        <v/>
      </c>
      <c r="L1158" s="216">
        <f>IF(PLAN_ETAPA!$C$4="(TODOS)",SUMIFS(PPTO_GENERADOR!$E$4:$E$220,PPTO_GENERADOR!$Q$4:$Q$220,A1158),SUMIFS(PPTO_GENERADOR!$E$4:$E$220,PPTO_GENERADOR!$Q$4:$Q$220,A1158,PPTO_GENERADOR!$B$4:$B$220,PLAN_ETAPA!$C$4))</f>
        <v>0</v>
      </c>
      <c r="M1158" s="216">
        <f>IFERROR(VLOOKUP(A1158,PARTIDAS!$A$2:$F$269,6,FALSE()),1)</f>
        <v>13</v>
      </c>
      <c r="N1158" s="216">
        <f>IFERROR(VLOOKUP(A1158,PARTIDAS!$A$2:$I$269,9,FALSE()),1)</f>
        <v>1</v>
      </c>
      <c r="O1158" s="217">
        <f t="shared" si="36"/>
        <v>0</v>
      </c>
      <c r="P1158" s="216">
        <f>IF(O1158=0,0,IF(B1158="MAT",G1158*(1+H1158)*L1158*PLAN_ETAPA!$C$5,IF(B1158="MO",IF(M1158=0,0,G1158*L1158*PLAN_ETAPA!$C$5*N1158/M1158),IF(B1158="EQ",IF(M1158=0,0,G1158*L1158*PLAN_ETAPA!$C$5/M1158),0))))</f>
        <v>0</v>
      </c>
      <c r="Q1158" s="218">
        <f t="shared" si="37"/>
        <v>0</v>
      </c>
    </row>
    <row r="1159" spans="1:17" x14ac:dyDescent="0.35">
      <c r="A1159" s="212" t="str">
        <f>COMPOSICIÓN!A1159</f>
        <v>PTO-1103</v>
      </c>
      <c r="B1159" s="212" t="str">
        <f>COMPOSICIÓN!B1159</f>
        <v>MO</v>
      </c>
      <c r="C1159" s="212" t="str">
        <f>COMPOSICIÓN!C1159</f>
        <v>ALB</v>
      </c>
      <c r="D1159" s="212" t="str">
        <f>COMPOSICIÓN!D1159</f>
        <v>MO-EOFIC</v>
      </c>
      <c r="E1159" s="212" t="str">
        <f>COMPOSICIÓN!E1159</f>
        <v>OFICIAL</v>
      </c>
      <c r="F1159" s="212" t="str">
        <f>COMPOSICIÓN!F1159</f>
        <v>j</v>
      </c>
      <c r="G1159" s="213">
        <f>COMPOSICIÓN!G1159</f>
        <v>1</v>
      </c>
      <c r="H1159" s="214">
        <f>COMPOSICIÓN!H1159</f>
        <v>0</v>
      </c>
      <c r="I1159" s="215">
        <f>COMPOSICIÓN!I1159</f>
        <v>76955.079706571996</v>
      </c>
      <c r="J1159" s="212" t="str">
        <f>IFERROR(VLOOKUP(A1159,PARTIDAS!$A$2:$C$269,3,FALSE()),"")</f>
        <v>PISOS</v>
      </c>
      <c r="K1159" s="212" t="str">
        <f>IFERROR(INDEX(PPTO_GENERADOR!$B$4:$B$220,MATCH(A1159,PPTO_GENERADOR!$Q$4:$Q$220,0)),"")</f>
        <v/>
      </c>
      <c r="L1159" s="216">
        <f>IF(PLAN_ETAPA!$C$4="(TODOS)",SUMIFS(PPTO_GENERADOR!$E$4:$E$220,PPTO_GENERADOR!$Q$4:$Q$220,A1159),SUMIFS(PPTO_GENERADOR!$E$4:$E$220,PPTO_GENERADOR!$Q$4:$Q$220,A1159,PPTO_GENERADOR!$B$4:$B$220,PLAN_ETAPA!$C$4))</f>
        <v>0</v>
      </c>
      <c r="M1159" s="216">
        <f>IFERROR(VLOOKUP(A1159,PARTIDAS!$A$2:$F$269,6,FALSE()),1)</f>
        <v>13</v>
      </c>
      <c r="N1159" s="216">
        <f>IFERROR(VLOOKUP(A1159,PARTIDAS!$A$2:$I$269,9,FALSE()),1)</f>
        <v>1</v>
      </c>
      <c r="O1159" s="217">
        <f t="shared" si="36"/>
        <v>0</v>
      </c>
      <c r="P1159" s="216">
        <f>IF(O1159=0,0,IF(B1159="MAT",G1159*(1+H1159)*L1159*PLAN_ETAPA!$C$5,IF(B1159="MO",IF(M1159=0,0,G1159*L1159*PLAN_ETAPA!$C$5*N1159/M1159),IF(B1159="EQ",IF(M1159=0,0,G1159*L1159*PLAN_ETAPA!$C$5/M1159),0))))</f>
        <v>0</v>
      </c>
      <c r="Q1159" s="218">
        <f t="shared" si="37"/>
        <v>0</v>
      </c>
    </row>
    <row r="1160" spans="1:17" x14ac:dyDescent="0.35">
      <c r="A1160" s="212" t="str">
        <f>COMPOSICIÓN!A1160</f>
        <v>PTO-1104</v>
      </c>
      <c r="B1160" s="212" t="str">
        <f>COMPOSICIÓN!B1160</f>
        <v>EQ</v>
      </c>
      <c r="C1160" s="212">
        <f>COMPOSICIÓN!C1160</f>
        <v>0</v>
      </c>
      <c r="D1160" s="212" t="str">
        <f>COMPOSICIÓN!D1160</f>
        <v>EQ-PTO062</v>
      </c>
      <c r="E1160" s="212" t="str">
        <f>COMPOSICIÓN!E1160</f>
        <v>Herramientas menores y consumibles - Colocación de pavimento intertrabado de H°, incluy</v>
      </c>
      <c r="F1160" s="212">
        <f>COMPOSICIÓN!F1160</f>
        <v>0</v>
      </c>
      <c r="G1160" s="213">
        <f>COMPOSICIÓN!G1160</f>
        <v>1</v>
      </c>
      <c r="H1160" s="214">
        <f>COMPOSICIÓN!H1160</f>
        <v>0</v>
      </c>
      <c r="I1160" s="215">
        <f>COMPOSICIÓN!I1160</f>
        <v>212.50168340278501</v>
      </c>
      <c r="J1160" s="212" t="str">
        <f>IFERROR(VLOOKUP(A1160,PARTIDAS!$A$2:$C$269,3,FALSE()),"")</f>
        <v>PISOS</v>
      </c>
      <c r="K1160" s="212" t="str">
        <f>IFERROR(INDEX(PPTO_GENERADOR!$B$4:$B$220,MATCH(A1160,PPTO_GENERADOR!$Q$4:$Q$220,0)),"")</f>
        <v>PISOS</v>
      </c>
      <c r="L1160" s="216">
        <f>IF(PLAN_ETAPA!$C$4="(TODOS)",SUMIFS(PPTO_GENERADOR!$E$4:$E$220,PPTO_GENERADOR!$Q$4:$Q$220,A1160),SUMIFS(PPTO_GENERADOR!$E$4:$E$220,PPTO_GENERADOR!$Q$4:$Q$220,A1160,PPTO_GENERADOR!$B$4:$B$220,PLAN_ETAPA!$C$4))</f>
        <v>0</v>
      </c>
      <c r="M1160" s="216">
        <f>IFERROR(VLOOKUP(A1160,PARTIDAS!$A$2:$F$269,6,FALSE()),1)</f>
        <v>1</v>
      </c>
      <c r="N1160" s="216">
        <f>IFERROR(VLOOKUP(A1160,PARTIDAS!$A$2:$I$269,9,FALSE()),1)</f>
        <v>1</v>
      </c>
      <c r="O1160" s="217">
        <f t="shared" si="36"/>
        <v>0</v>
      </c>
      <c r="P1160" s="216">
        <f>IF(O1160=0,0,IF(B1160="MAT",G1160*(1+H1160)*L1160*PLAN_ETAPA!$C$5,IF(B1160="MO",IF(M1160=0,0,G1160*L1160*PLAN_ETAPA!$C$5*N1160/M1160),IF(B1160="EQ",IF(M1160=0,0,G1160*L1160*PLAN_ETAPA!$C$5/M1160),0))))</f>
        <v>0</v>
      </c>
      <c r="Q1160" s="218">
        <f t="shared" si="37"/>
        <v>0</v>
      </c>
    </row>
    <row r="1161" spans="1:17" x14ac:dyDescent="0.35">
      <c r="A1161" s="212" t="str">
        <f>COMPOSICIÓN!A1161</f>
        <v>PTO-1104</v>
      </c>
      <c r="B1161" s="212" t="str">
        <f>COMPOSICIÓN!B1161</f>
        <v>MAT</v>
      </c>
      <c r="C1161" s="212" t="str">
        <f>COMPOSICIÓN!C1161</f>
        <v>COR</v>
      </c>
      <c r="D1161" s="212" t="str">
        <f>COMPOSICIÓN!D1161</f>
        <v>OTR-PTO090</v>
      </c>
      <c r="E1161" s="212" t="str">
        <f>COMPOSICIÓN!E1161</f>
        <v>BOLSON DE ARENA</v>
      </c>
      <c r="F1161" s="212" t="str">
        <f>COMPOSICIÓN!F1161</f>
        <v>m3</v>
      </c>
      <c r="G1161" s="213">
        <f>COMPOSICIÓN!G1161</f>
        <v>4.0229885057471299E-2</v>
      </c>
      <c r="H1161" s="214">
        <f>COMPOSICIÓN!H1161</f>
        <v>0</v>
      </c>
      <c r="I1161" s="215">
        <f>COMPOSICIÓN!I1161</f>
        <v>32399.77</v>
      </c>
      <c r="J1161" s="212" t="str">
        <f>IFERROR(VLOOKUP(A1161,PARTIDAS!$A$2:$C$269,3,FALSE()),"")</f>
        <v>PISOS</v>
      </c>
      <c r="K1161" s="212" t="str">
        <f>IFERROR(INDEX(PPTO_GENERADOR!$B$4:$B$220,MATCH(A1161,PPTO_GENERADOR!$Q$4:$Q$220,0)),"")</f>
        <v>PISOS</v>
      </c>
      <c r="L1161" s="216">
        <f>IF(PLAN_ETAPA!$C$4="(TODOS)",SUMIFS(PPTO_GENERADOR!$E$4:$E$220,PPTO_GENERADOR!$Q$4:$Q$220,A1161),SUMIFS(PPTO_GENERADOR!$E$4:$E$220,PPTO_GENERADOR!$Q$4:$Q$220,A1161,PPTO_GENERADOR!$B$4:$B$220,PLAN_ETAPA!$C$4))</f>
        <v>0</v>
      </c>
      <c r="M1161" s="216">
        <f>IFERROR(VLOOKUP(A1161,PARTIDAS!$A$2:$F$269,6,FALSE()),1)</f>
        <v>1</v>
      </c>
      <c r="N1161" s="216">
        <f>IFERROR(VLOOKUP(A1161,PARTIDAS!$A$2:$I$269,9,FALSE()),1)</f>
        <v>1</v>
      </c>
      <c r="O1161" s="217">
        <f t="shared" si="36"/>
        <v>0</v>
      </c>
      <c r="P1161" s="216">
        <f>IF(O1161=0,0,IF(B1161="MAT",G1161*(1+H1161)*L1161*PLAN_ETAPA!$C$5,IF(B1161="MO",IF(M1161=0,0,G1161*L1161*PLAN_ETAPA!$C$5*N1161/M1161),IF(B1161="EQ",IF(M1161=0,0,G1161*L1161*PLAN_ETAPA!$C$5/M1161),0))))</f>
        <v>0</v>
      </c>
      <c r="Q1161" s="218">
        <f t="shared" si="37"/>
        <v>0</v>
      </c>
    </row>
    <row r="1162" spans="1:17" x14ac:dyDescent="0.35">
      <c r="A1162" s="212" t="str">
        <f>COMPOSICIÓN!A1162</f>
        <v>PTO-1104</v>
      </c>
      <c r="B1162" s="212" t="str">
        <f>COMPOSICIÓN!B1162</f>
        <v>MO</v>
      </c>
      <c r="C1162" s="212" t="str">
        <f>COMPOSICIÓN!C1162</f>
        <v>ALB</v>
      </c>
      <c r="D1162" s="212" t="str">
        <f>COMPOSICIÓN!D1162</f>
        <v>MO-EAYUD</v>
      </c>
      <c r="E1162" s="212" t="str">
        <f>COMPOSICIÓN!E1162</f>
        <v>AYUDANTE</v>
      </c>
      <c r="F1162" s="212" t="str">
        <f>COMPOSICIÓN!F1162</f>
        <v>j</v>
      </c>
      <c r="G1162" s="213">
        <f>COMPOSICIÓN!G1162</f>
        <v>8.9080459770114903E-2</v>
      </c>
      <c r="H1162" s="214">
        <f>COMPOSICIÓN!H1162</f>
        <v>0</v>
      </c>
      <c r="I1162" s="215">
        <f>COMPOSICIÓN!I1162</f>
        <v>60860.580776572002</v>
      </c>
      <c r="J1162" s="212" t="str">
        <f>IFERROR(VLOOKUP(A1162,PARTIDAS!$A$2:$C$269,3,FALSE()),"")</f>
        <v>PISOS</v>
      </c>
      <c r="K1162" s="212" t="str">
        <f>IFERROR(INDEX(PPTO_GENERADOR!$B$4:$B$220,MATCH(A1162,PPTO_GENERADOR!$Q$4:$Q$220,0)),"")</f>
        <v>PISOS</v>
      </c>
      <c r="L1162" s="216">
        <f>IF(PLAN_ETAPA!$C$4="(TODOS)",SUMIFS(PPTO_GENERADOR!$E$4:$E$220,PPTO_GENERADOR!$Q$4:$Q$220,A1162),SUMIFS(PPTO_GENERADOR!$E$4:$E$220,PPTO_GENERADOR!$Q$4:$Q$220,A1162,PPTO_GENERADOR!$B$4:$B$220,PLAN_ETAPA!$C$4))</f>
        <v>0</v>
      </c>
      <c r="M1162" s="216">
        <f>IFERROR(VLOOKUP(A1162,PARTIDAS!$A$2:$F$269,6,FALSE()),1)</f>
        <v>1</v>
      </c>
      <c r="N1162" s="216">
        <f>IFERROR(VLOOKUP(A1162,PARTIDAS!$A$2:$I$269,9,FALSE()),1)</f>
        <v>1</v>
      </c>
      <c r="O1162" s="217">
        <f t="shared" si="36"/>
        <v>0</v>
      </c>
      <c r="P1162" s="216">
        <f>IF(O1162=0,0,IF(B1162="MAT",G1162*(1+H1162)*L1162*PLAN_ETAPA!$C$5,IF(B1162="MO",IF(M1162=0,0,G1162*L1162*PLAN_ETAPA!$C$5*N1162/M1162),IF(B1162="EQ",IF(M1162=0,0,G1162*L1162*PLAN_ETAPA!$C$5/M1162),0))))</f>
        <v>0</v>
      </c>
      <c r="Q1162" s="218">
        <f t="shared" si="37"/>
        <v>0</v>
      </c>
    </row>
    <row r="1163" spans="1:17" x14ac:dyDescent="0.35">
      <c r="A1163" s="212" t="str">
        <f>COMPOSICIÓN!A1163</f>
        <v>PTO-1104</v>
      </c>
      <c r="B1163" s="212" t="str">
        <f>COMPOSICIÓN!B1163</f>
        <v>MO</v>
      </c>
      <c r="C1163" s="212" t="str">
        <f>COMPOSICIÓN!C1163</f>
        <v>ALB</v>
      </c>
      <c r="D1163" s="212" t="str">
        <f>COMPOSICIÓN!D1163</f>
        <v>MO-EESPE</v>
      </c>
      <c r="E1163" s="212" t="str">
        <f>COMPOSICIÓN!E1163</f>
        <v>ESPECIALIZADO</v>
      </c>
      <c r="F1163" s="212" t="str">
        <f>COMPOSICIÓN!F1163</f>
        <v>j</v>
      </c>
      <c r="G1163" s="213">
        <f>COMPOSICIÓN!G1163</f>
        <v>4.5977011494252901E-2</v>
      </c>
      <c r="H1163" s="214">
        <f>COMPOSICIÓN!H1163</f>
        <v>0</v>
      </c>
      <c r="I1163" s="215">
        <f>COMPOSICIÓN!I1163</f>
        <v>85927.097156571996</v>
      </c>
      <c r="J1163" s="212" t="str">
        <f>IFERROR(VLOOKUP(A1163,PARTIDAS!$A$2:$C$269,3,FALSE()),"")</f>
        <v>PISOS</v>
      </c>
      <c r="K1163" s="212" t="str">
        <f>IFERROR(INDEX(PPTO_GENERADOR!$B$4:$B$220,MATCH(A1163,PPTO_GENERADOR!$Q$4:$Q$220,0)),"")</f>
        <v>PISOS</v>
      </c>
      <c r="L1163" s="216">
        <f>IF(PLAN_ETAPA!$C$4="(TODOS)",SUMIFS(PPTO_GENERADOR!$E$4:$E$220,PPTO_GENERADOR!$Q$4:$Q$220,A1163),SUMIFS(PPTO_GENERADOR!$E$4:$E$220,PPTO_GENERADOR!$Q$4:$Q$220,A1163,PPTO_GENERADOR!$B$4:$B$220,PLAN_ETAPA!$C$4))</f>
        <v>0</v>
      </c>
      <c r="M1163" s="216">
        <f>IFERROR(VLOOKUP(A1163,PARTIDAS!$A$2:$F$269,6,FALSE()),1)</f>
        <v>1</v>
      </c>
      <c r="N1163" s="216">
        <f>IFERROR(VLOOKUP(A1163,PARTIDAS!$A$2:$I$269,9,FALSE()),1)</f>
        <v>1</v>
      </c>
      <c r="O1163" s="217">
        <f t="shared" si="36"/>
        <v>0</v>
      </c>
      <c r="P1163" s="216">
        <f>IF(O1163=0,0,IF(B1163="MAT",G1163*(1+H1163)*L1163*PLAN_ETAPA!$C$5,IF(B1163="MO",IF(M1163=0,0,G1163*L1163*PLAN_ETAPA!$C$5*N1163/M1163),IF(B1163="EQ",IF(M1163=0,0,G1163*L1163*PLAN_ETAPA!$C$5/M1163),0))))</f>
        <v>0</v>
      </c>
      <c r="Q1163" s="218">
        <f t="shared" si="37"/>
        <v>0</v>
      </c>
    </row>
    <row r="1164" spans="1:17" x14ac:dyDescent="0.35">
      <c r="A1164" s="212" t="str">
        <f>COMPOSICIÓN!A1164</f>
        <v>PTO-1104</v>
      </c>
      <c r="B1164" s="212" t="str">
        <f>COMPOSICIÓN!B1164</f>
        <v>MO</v>
      </c>
      <c r="C1164" s="212" t="str">
        <f>COMPOSICIÓN!C1164</f>
        <v>ALB</v>
      </c>
      <c r="D1164" s="212" t="str">
        <f>COMPOSICIÓN!D1164</f>
        <v>MO-EMEDI</v>
      </c>
      <c r="E1164" s="212" t="str">
        <f>COMPOSICIÓN!E1164</f>
        <v>MEDIO OFICIAL</v>
      </c>
      <c r="F1164" s="212" t="str">
        <f>COMPOSICIÓN!F1164</f>
        <v>j</v>
      </c>
      <c r="G1164" s="213">
        <f>COMPOSICIÓN!G1164</f>
        <v>2.8735632183908101E-2</v>
      </c>
      <c r="H1164" s="214">
        <f>COMPOSICIÓN!H1164</f>
        <v>0</v>
      </c>
      <c r="I1164" s="215">
        <f>COMPOSICIÓN!I1164</f>
        <v>65493.071636572</v>
      </c>
      <c r="J1164" s="212" t="str">
        <f>IFERROR(VLOOKUP(A1164,PARTIDAS!$A$2:$C$269,3,FALSE()),"")</f>
        <v>PISOS</v>
      </c>
      <c r="K1164" s="212" t="str">
        <f>IFERROR(INDEX(PPTO_GENERADOR!$B$4:$B$220,MATCH(A1164,PPTO_GENERADOR!$Q$4:$Q$220,0)),"")</f>
        <v>PISOS</v>
      </c>
      <c r="L1164" s="216">
        <f>IF(PLAN_ETAPA!$C$4="(TODOS)",SUMIFS(PPTO_GENERADOR!$E$4:$E$220,PPTO_GENERADOR!$Q$4:$Q$220,A1164),SUMIFS(PPTO_GENERADOR!$E$4:$E$220,PPTO_GENERADOR!$Q$4:$Q$220,A1164,PPTO_GENERADOR!$B$4:$B$220,PLAN_ETAPA!$C$4))</f>
        <v>0</v>
      </c>
      <c r="M1164" s="216">
        <f>IFERROR(VLOOKUP(A1164,PARTIDAS!$A$2:$F$269,6,FALSE()),1)</f>
        <v>1</v>
      </c>
      <c r="N1164" s="216">
        <f>IFERROR(VLOOKUP(A1164,PARTIDAS!$A$2:$I$269,9,FALSE()),1)</f>
        <v>1</v>
      </c>
      <c r="O1164" s="217">
        <f t="shared" si="36"/>
        <v>0</v>
      </c>
      <c r="P1164" s="216">
        <f>IF(O1164=0,0,IF(B1164="MAT",G1164*(1+H1164)*L1164*PLAN_ETAPA!$C$5,IF(B1164="MO",IF(M1164=0,0,G1164*L1164*PLAN_ETAPA!$C$5*N1164/M1164),IF(B1164="EQ",IF(M1164=0,0,G1164*L1164*PLAN_ETAPA!$C$5/M1164),0))))</f>
        <v>0</v>
      </c>
      <c r="Q1164" s="218">
        <f t="shared" si="37"/>
        <v>0</v>
      </c>
    </row>
    <row r="1165" spans="1:17" x14ac:dyDescent="0.35">
      <c r="A1165" s="212" t="str">
        <f>COMPOSICIÓN!A1165</f>
        <v>PTO-1104</v>
      </c>
      <c r="B1165" s="212" t="str">
        <f>COMPOSICIÓN!B1165</f>
        <v>MO</v>
      </c>
      <c r="C1165" s="212" t="str">
        <f>COMPOSICIÓN!C1165</f>
        <v>OTR</v>
      </c>
      <c r="D1165" s="212" t="str">
        <f>COMPOSICIÓN!D1165</f>
        <v>SUB-VIBRO3</v>
      </c>
      <c r="E1165" s="212" t="str">
        <f>COMPOSICIÓN!E1165</f>
        <v>Alquiler vibropison</v>
      </c>
      <c r="F1165" s="212" t="str">
        <f>COMPOSICIÓN!F1165</f>
        <v>j</v>
      </c>
      <c r="G1165" s="213">
        <f>COMPOSICIÓN!G1165</f>
        <v>5.74712643678161E-3</v>
      </c>
      <c r="H1165" s="214">
        <f>COMPOSICIÓN!H1165</f>
        <v>0</v>
      </c>
      <c r="I1165" s="215">
        <f>COMPOSICIÓN!I1165</f>
        <v>250000</v>
      </c>
      <c r="J1165" s="212" t="str">
        <f>IFERROR(VLOOKUP(A1165,PARTIDAS!$A$2:$C$269,3,FALSE()),"")</f>
        <v>PISOS</v>
      </c>
      <c r="K1165" s="212" t="str">
        <f>IFERROR(INDEX(PPTO_GENERADOR!$B$4:$B$220,MATCH(A1165,PPTO_GENERADOR!$Q$4:$Q$220,0)),"")</f>
        <v>PISOS</v>
      </c>
      <c r="L1165" s="216">
        <f>IF(PLAN_ETAPA!$C$4="(TODOS)",SUMIFS(PPTO_GENERADOR!$E$4:$E$220,PPTO_GENERADOR!$Q$4:$Q$220,A1165),SUMIFS(PPTO_GENERADOR!$E$4:$E$220,PPTO_GENERADOR!$Q$4:$Q$220,A1165,PPTO_GENERADOR!$B$4:$B$220,PLAN_ETAPA!$C$4))</f>
        <v>0</v>
      </c>
      <c r="M1165" s="216">
        <f>IFERROR(VLOOKUP(A1165,PARTIDAS!$A$2:$F$269,6,FALSE()),1)</f>
        <v>1</v>
      </c>
      <c r="N1165" s="216">
        <f>IFERROR(VLOOKUP(A1165,PARTIDAS!$A$2:$I$269,9,FALSE()),1)</f>
        <v>1</v>
      </c>
      <c r="O1165" s="217">
        <f t="shared" si="36"/>
        <v>0</v>
      </c>
      <c r="P1165" s="216">
        <f>IF(O1165=0,0,IF(B1165="MAT",G1165*(1+H1165)*L1165*PLAN_ETAPA!$C$5,IF(B1165="MO",IF(M1165=0,0,G1165*L1165*PLAN_ETAPA!$C$5*N1165/M1165),IF(B1165="EQ",IF(M1165=0,0,G1165*L1165*PLAN_ETAPA!$C$5/M1165),0))))</f>
        <v>0</v>
      </c>
      <c r="Q1165" s="218">
        <f t="shared" si="37"/>
        <v>0</v>
      </c>
    </row>
    <row r="1166" spans="1:17" x14ac:dyDescent="0.35">
      <c r="A1166" s="212" t="str">
        <f>COMPOSICIÓN!A1166</f>
        <v>PTO-1104</v>
      </c>
      <c r="B1166" s="212" t="str">
        <f>COMPOSICIÓN!B1166</f>
        <v>MO</v>
      </c>
      <c r="C1166" s="212" t="str">
        <f>COMPOSICIÓN!C1166</f>
        <v>OTR</v>
      </c>
      <c r="D1166" s="212" t="str">
        <f>COMPOSICIÓN!D1166</f>
        <v>SUB-PTO028</v>
      </c>
      <c r="E1166" s="212" t="str">
        <f>COMPOSICIÓN!E1166</f>
        <v>Combustible</v>
      </c>
      <c r="F1166" s="212" t="str">
        <f>COMPOSICIÓN!F1166</f>
        <v>j</v>
      </c>
      <c r="G1166" s="213">
        <f>COMPOSICIÓN!G1166</f>
        <v>0.114942528735632</v>
      </c>
      <c r="H1166" s="214">
        <f>COMPOSICIÓN!H1166</f>
        <v>0</v>
      </c>
      <c r="I1166" s="215">
        <f>COMPOSICIÓN!I1166</f>
        <v>1500</v>
      </c>
      <c r="J1166" s="212" t="str">
        <f>IFERROR(VLOOKUP(A1166,PARTIDAS!$A$2:$C$269,3,FALSE()),"")</f>
        <v>PISOS</v>
      </c>
      <c r="K1166" s="212" t="str">
        <f>IFERROR(INDEX(PPTO_GENERADOR!$B$4:$B$220,MATCH(A1166,PPTO_GENERADOR!$Q$4:$Q$220,0)),"")</f>
        <v>PISOS</v>
      </c>
      <c r="L1166" s="216">
        <f>IF(PLAN_ETAPA!$C$4="(TODOS)",SUMIFS(PPTO_GENERADOR!$E$4:$E$220,PPTO_GENERADOR!$Q$4:$Q$220,A1166),SUMIFS(PPTO_GENERADOR!$E$4:$E$220,PPTO_GENERADOR!$Q$4:$Q$220,A1166,PPTO_GENERADOR!$B$4:$B$220,PLAN_ETAPA!$C$4))</f>
        <v>0</v>
      </c>
      <c r="M1166" s="216">
        <f>IFERROR(VLOOKUP(A1166,PARTIDAS!$A$2:$F$269,6,FALSE()),1)</f>
        <v>1</v>
      </c>
      <c r="N1166" s="216">
        <f>IFERROR(VLOOKUP(A1166,PARTIDAS!$A$2:$I$269,9,FALSE()),1)</f>
        <v>1</v>
      </c>
      <c r="O1166" s="217">
        <f t="shared" si="36"/>
        <v>0</v>
      </c>
      <c r="P1166" s="216">
        <f>IF(O1166=0,0,IF(B1166="MAT",G1166*(1+H1166)*L1166*PLAN_ETAPA!$C$5,IF(B1166="MO",IF(M1166=0,0,G1166*L1166*PLAN_ETAPA!$C$5*N1166/M1166),IF(B1166="EQ",IF(M1166=0,0,G1166*L1166*PLAN_ETAPA!$C$5/M1166),0))))</f>
        <v>0</v>
      </c>
      <c r="Q1166" s="218">
        <f t="shared" si="37"/>
        <v>0</v>
      </c>
    </row>
    <row r="1167" spans="1:17" x14ac:dyDescent="0.35">
      <c r="A1167" s="212" t="str">
        <f>COMPOSICIÓN!A1167</f>
        <v>PTO-1105</v>
      </c>
      <c r="B1167" s="212" t="str">
        <f>COMPOSICIÓN!B1167</f>
        <v>EQ</v>
      </c>
      <c r="C1167" s="212">
        <f>COMPOSICIÓN!C1167</f>
        <v>0</v>
      </c>
      <c r="D1167" s="212" t="str">
        <f>COMPOSICIÓN!D1167</f>
        <v>EQ-PTO023</v>
      </c>
      <c r="E1167" s="212" t="str">
        <f>COMPOSICIÓN!E1167</f>
        <v>Herramientas y consumibles Colocación de garden block, incluye provisión y co</v>
      </c>
      <c r="F1167" s="212">
        <f>COMPOSICIÓN!F1167</f>
        <v>0</v>
      </c>
      <c r="G1167" s="213">
        <f>COMPOSICIÓN!G1167</f>
        <v>1</v>
      </c>
      <c r="H1167" s="214">
        <f>COMPOSICIÓN!H1167</f>
        <v>0</v>
      </c>
      <c r="I1167" s="215">
        <f>COMPOSICIÓN!I1167</f>
        <v>212.50168340278501</v>
      </c>
      <c r="J1167" s="212" t="str">
        <f>IFERROR(VLOOKUP(A1167,PARTIDAS!$A$2:$C$269,3,FALSE()),"")</f>
        <v>PISOS</v>
      </c>
      <c r="K1167" s="212" t="str">
        <f>IFERROR(INDEX(PPTO_GENERADOR!$B$4:$B$220,MATCH(A1167,PPTO_GENERADOR!$Q$4:$Q$220,0)),"")</f>
        <v/>
      </c>
      <c r="L1167" s="216">
        <f>IF(PLAN_ETAPA!$C$4="(TODOS)",SUMIFS(PPTO_GENERADOR!$E$4:$E$220,PPTO_GENERADOR!$Q$4:$Q$220,A1167),SUMIFS(PPTO_GENERADOR!$E$4:$E$220,PPTO_GENERADOR!$Q$4:$Q$220,A1167,PPTO_GENERADOR!$B$4:$B$220,PLAN_ETAPA!$C$4))</f>
        <v>0</v>
      </c>
      <c r="M1167" s="216">
        <f>IFERROR(VLOOKUP(A1167,PARTIDAS!$A$2:$F$269,6,FALSE()),1)</f>
        <v>1</v>
      </c>
      <c r="N1167" s="216">
        <f>IFERROR(VLOOKUP(A1167,PARTIDAS!$A$2:$I$269,9,FALSE()),1)</f>
        <v>1</v>
      </c>
      <c r="O1167" s="217">
        <f t="shared" si="36"/>
        <v>0</v>
      </c>
      <c r="P1167" s="216">
        <f>IF(O1167=0,0,IF(B1167="MAT",G1167*(1+H1167)*L1167*PLAN_ETAPA!$C$5,IF(B1167="MO",IF(M1167=0,0,G1167*L1167*PLAN_ETAPA!$C$5*N1167/M1167),IF(B1167="EQ",IF(M1167=0,0,G1167*L1167*PLAN_ETAPA!$C$5/M1167),0))))</f>
        <v>0</v>
      </c>
      <c r="Q1167" s="218">
        <f t="shared" si="37"/>
        <v>0</v>
      </c>
    </row>
    <row r="1168" spans="1:17" x14ac:dyDescent="0.35">
      <c r="A1168" s="212" t="str">
        <f>COMPOSICIÓN!A1168</f>
        <v>PTO-1105</v>
      </c>
      <c r="B1168" s="212" t="str">
        <f>COMPOSICIÓN!B1168</f>
        <v>MAT</v>
      </c>
      <c r="C1168" s="212" t="str">
        <f>COMPOSICIÓN!C1168</f>
        <v>COR</v>
      </c>
      <c r="D1168" s="212" t="str">
        <f>COMPOSICIÓN!D1168</f>
        <v>OTR-PTO090</v>
      </c>
      <c r="E1168" s="212" t="str">
        <f>COMPOSICIÓN!E1168</f>
        <v>BOLSON DE ARENA</v>
      </c>
      <c r="F1168" s="212" t="str">
        <f>COMPOSICIÓN!F1168</f>
        <v>m3</v>
      </c>
      <c r="G1168" s="213">
        <f>COMPOSICIÓN!G1168</f>
        <v>4.0229885057471299E-2</v>
      </c>
      <c r="H1168" s="214">
        <f>COMPOSICIÓN!H1168</f>
        <v>0</v>
      </c>
      <c r="I1168" s="215">
        <f>COMPOSICIÓN!I1168</f>
        <v>32399.77</v>
      </c>
      <c r="J1168" s="212" t="str">
        <f>IFERROR(VLOOKUP(A1168,PARTIDAS!$A$2:$C$269,3,FALSE()),"")</f>
        <v>PISOS</v>
      </c>
      <c r="K1168" s="212" t="str">
        <f>IFERROR(INDEX(PPTO_GENERADOR!$B$4:$B$220,MATCH(A1168,PPTO_GENERADOR!$Q$4:$Q$220,0)),"")</f>
        <v/>
      </c>
      <c r="L1168" s="216">
        <f>IF(PLAN_ETAPA!$C$4="(TODOS)",SUMIFS(PPTO_GENERADOR!$E$4:$E$220,PPTO_GENERADOR!$Q$4:$Q$220,A1168),SUMIFS(PPTO_GENERADOR!$E$4:$E$220,PPTO_GENERADOR!$Q$4:$Q$220,A1168,PPTO_GENERADOR!$B$4:$B$220,PLAN_ETAPA!$C$4))</f>
        <v>0</v>
      </c>
      <c r="M1168" s="216">
        <f>IFERROR(VLOOKUP(A1168,PARTIDAS!$A$2:$F$269,6,FALSE()),1)</f>
        <v>1</v>
      </c>
      <c r="N1168" s="216">
        <f>IFERROR(VLOOKUP(A1168,PARTIDAS!$A$2:$I$269,9,FALSE()),1)</f>
        <v>1</v>
      </c>
      <c r="O1168" s="217">
        <f t="shared" si="36"/>
        <v>0</v>
      </c>
      <c r="P1168" s="216">
        <f>IF(O1168=0,0,IF(B1168="MAT",G1168*(1+H1168)*L1168*PLAN_ETAPA!$C$5,IF(B1168="MO",IF(M1168=0,0,G1168*L1168*PLAN_ETAPA!$C$5*N1168/M1168),IF(B1168="EQ",IF(M1168=0,0,G1168*L1168*PLAN_ETAPA!$C$5/M1168),0))))</f>
        <v>0</v>
      </c>
      <c r="Q1168" s="218">
        <f t="shared" si="37"/>
        <v>0</v>
      </c>
    </row>
    <row r="1169" spans="1:17" x14ac:dyDescent="0.35">
      <c r="A1169" s="212" t="str">
        <f>COMPOSICIÓN!A1169</f>
        <v>PTO-1105</v>
      </c>
      <c r="B1169" s="212" t="str">
        <f>COMPOSICIÓN!B1169</f>
        <v>MO</v>
      </c>
      <c r="C1169" s="212" t="str">
        <f>COMPOSICIÓN!C1169</f>
        <v>ALB</v>
      </c>
      <c r="D1169" s="212" t="str">
        <f>COMPOSICIÓN!D1169</f>
        <v>MO-EAYUD</v>
      </c>
      <c r="E1169" s="212" t="str">
        <f>COMPOSICIÓN!E1169</f>
        <v>AYUDANTE</v>
      </c>
      <c r="F1169" s="212" t="str">
        <f>COMPOSICIÓN!F1169</f>
        <v>j</v>
      </c>
      <c r="G1169" s="213">
        <f>COMPOSICIÓN!G1169</f>
        <v>8.9080459770114903E-2</v>
      </c>
      <c r="H1169" s="214">
        <f>COMPOSICIÓN!H1169</f>
        <v>0</v>
      </c>
      <c r="I1169" s="215">
        <f>COMPOSICIÓN!I1169</f>
        <v>60860.580776572002</v>
      </c>
      <c r="J1169" s="212" t="str">
        <f>IFERROR(VLOOKUP(A1169,PARTIDAS!$A$2:$C$269,3,FALSE()),"")</f>
        <v>PISOS</v>
      </c>
      <c r="K1169" s="212" t="str">
        <f>IFERROR(INDEX(PPTO_GENERADOR!$B$4:$B$220,MATCH(A1169,PPTO_GENERADOR!$Q$4:$Q$220,0)),"")</f>
        <v/>
      </c>
      <c r="L1169" s="216">
        <f>IF(PLAN_ETAPA!$C$4="(TODOS)",SUMIFS(PPTO_GENERADOR!$E$4:$E$220,PPTO_GENERADOR!$Q$4:$Q$220,A1169),SUMIFS(PPTO_GENERADOR!$E$4:$E$220,PPTO_GENERADOR!$Q$4:$Q$220,A1169,PPTO_GENERADOR!$B$4:$B$220,PLAN_ETAPA!$C$4))</f>
        <v>0</v>
      </c>
      <c r="M1169" s="216">
        <f>IFERROR(VLOOKUP(A1169,PARTIDAS!$A$2:$F$269,6,FALSE()),1)</f>
        <v>1</v>
      </c>
      <c r="N1169" s="216">
        <f>IFERROR(VLOOKUP(A1169,PARTIDAS!$A$2:$I$269,9,FALSE()),1)</f>
        <v>1</v>
      </c>
      <c r="O1169" s="217">
        <f t="shared" si="36"/>
        <v>0</v>
      </c>
      <c r="P1169" s="216">
        <f>IF(O1169=0,0,IF(B1169="MAT",G1169*(1+H1169)*L1169*PLAN_ETAPA!$C$5,IF(B1169="MO",IF(M1169=0,0,G1169*L1169*PLAN_ETAPA!$C$5*N1169/M1169),IF(B1169="EQ",IF(M1169=0,0,G1169*L1169*PLAN_ETAPA!$C$5/M1169),0))))</f>
        <v>0</v>
      </c>
      <c r="Q1169" s="218">
        <f t="shared" si="37"/>
        <v>0</v>
      </c>
    </row>
    <row r="1170" spans="1:17" x14ac:dyDescent="0.35">
      <c r="A1170" s="212" t="str">
        <f>COMPOSICIÓN!A1170</f>
        <v>PTO-1105</v>
      </c>
      <c r="B1170" s="212" t="str">
        <f>COMPOSICIÓN!B1170</f>
        <v>MO</v>
      </c>
      <c r="C1170" s="212" t="str">
        <f>COMPOSICIÓN!C1170</f>
        <v>ALB</v>
      </c>
      <c r="D1170" s="212" t="str">
        <f>COMPOSICIÓN!D1170</f>
        <v>MO-EESPE</v>
      </c>
      <c r="E1170" s="212" t="str">
        <f>COMPOSICIÓN!E1170</f>
        <v>ESPECIALIZADO</v>
      </c>
      <c r="F1170" s="212" t="str">
        <f>COMPOSICIÓN!F1170</f>
        <v>j</v>
      </c>
      <c r="G1170" s="213">
        <f>COMPOSICIÓN!G1170</f>
        <v>4.5977011494252901E-2</v>
      </c>
      <c r="H1170" s="214">
        <f>COMPOSICIÓN!H1170</f>
        <v>0</v>
      </c>
      <c r="I1170" s="215">
        <f>COMPOSICIÓN!I1170</f>
        <v>85927.097156571996</v>
      </c>
      <c r="J1170" s="212" t="str">
        <f>IFERROR(VLOOKUP(A1170,PARTIDAS!$A$2:$C$269,3,FALSE()),"")</f>
        <v>PISOS</v>
      </c>
      <c r="K1170" s="212" t="str">
        <f>IFERROR(INDEX(PPTO_GENERADOR!$B$4:$B$220,MATCH(A1170,PPTO_GENERADOR!$Q$4:$Q$220,0)),"")</f>
        <v/>
      </c>
      <c r="L1170" s="216">
        <f>IF(PLAN_ETAPA!$C$4="(TODOS)",SUMIFS(PPTO_GENERADOR!$E$4:$E$220,PPTO_GENERADOR!$Q$4:$Q$220,A1170),SUMIFS(PPTO_GENERADOR!$E$4:$E$220,PPTO_GENERADOR!$Q$4:$Q$220,A1170,PPTO_GENERADOR!$B$4:$B$220,PLAN_ETAPA!$C$4))</f>
        <v>0</v>
      </c>
      <c r="M1170" s="216">
        <f>IFERROR(VLOOKUP(A1170,PARTIDAS!$A$2:$F$269,6,FALSE()),1)</f>
        <v>1</v>
      </c>
      <c r="N1170" s="216">
        <f>IFERROR(VLOOKUP(A1170,PARTIDAS!$A$2:$I$269,9,FALSE()),1)</f>
        <v>1</v>
      </c>
      <c r="O1170" s="217">
        <f t="shared" si="36"/>
        <v>0</v>
      </c>
      <c r="P1170" s="216">
        <f>IF(O1170=0,0,IF(B1170="MAT",G1170*(1+H1170)*L1170*PLAN_ETAPA!$C$5,IF(B1170="MO",IF(M1170=0,0,G1170*L1170*PLAN_ETAPA!$C$5*N1170/M1170),IF(B1170="EQ",IF(M1170=0,0,G1170*L1170*PLAN_ETAPA!$C$5/M1170),0))))</f>
        <v>0</v>
      </c>
      <c r="Q1170" s="218">
        <f t="shared" si="37"/>
        <v>0</v>
      </c>
    </row>
    <row r="1171" spans="1:17" x14ac:dyDescent="0.35">
      <c r="A1171" s="212" t="str">
        <f>COMPOSICIÓN!A1171</f>
        <v>PTO-1105</v>
      </c>
      <c r="B1171" s="212" t="str">
        <f>COMPOSICIÓN!B1171</f>
        <v>MO</v>
      </c>
      <c r="C1171" s="212" t="str">
        <f>COMPOSICIÓN!C1171</f>
        <v>ALB</v>
      </c>
      <c r="D1171" s="212" t="str">
        <f>COMPOSICIÓN!D1171</f>
        <v>MO-EMEDI</v>
      </c>
      <c r="E1171" s="212" t="str">
        <f>COMPOSICIÓN!E1171</f>
        <v>MEDIO OFICIAL</v>
      </c>
      <c r="F1171" s="212" t="str">
        <f>COMPOSICIÓN!F1171</f>
        <v>j</v>
      </c>
      <c r="G1171" s="213">
        <f>COMPOSICIÓN!G1171</f>
        <v>2.8735632183908101E-2</v>
      </c>
      <c r="H1171" s="214">
        <f>COMPOSICIÓN!H1171</f>
        <v>0</v>
      </c>
      <c r="I1171" s="215">
        <f>COMPOSICIÓN!I1171</f>
        <v>65493.071636572</v>
      </c>
      <c r="J1171" s="212" t="str">
        <f>IFERROR(VLOOKUP(A1171,PARTIDAS!$A$2:$C$269,3,FALSE()),"")</f>
        <v>PISOS</v>
      </c>
      <c r="K1171" s="212" t="str">
        <f>IFERROR(INDEX(PPTO_GENERADOR!$B$4:$B$220,MATCH(A1171,PPTO_GENERADOR!$Q$4:$Q$220,0)),"")</f>
        <v/>
      </c>
      <c r="L1171" s="216">
        <f>IF(PLAN_ETAPA!$C$4="(TODOS)",SUMIFS(PPTO_GENERADOR!$E$4:$E$220,PPTO_GENERADOR!$Q$4:$Q$220,A1171),SUMIFS(PPTO_GENERADOR!$E$4:$E$220,PPTO_GENERADOR!$Q$4:$Q$220,A1171,PPTO_GENERADOR!$B$4:$B$220,PLAN_ETAPA!$C$4))</f>
        <v>0</v>
      </c>
      <c r="M1171" s="216">
        <f>IFERROR(VLOOKUP(A1171,PARTIDAS!$A$2:$F$269,6,FALSE()),1)</f>
        <v>1</v>
      </c>
      <c r="N1171" s="216">
        <f>IFERROR(VLOOKUP(A1171,PARTIDAS!$A$2:$I$269,9,FALSE()),1)</f>
        <v>1</v>
      </c>
      <c r="O1171" s="217">
        <f t="shared" si="36"/>
        <v>0</v>
      </c>
      <c r="P1171" s="216">
        <f>IF(O1171=0,0,IF(B1171="MAT",G1171*(1+H1171)*L1171*PLAN_ETAPA!$C$5,IF(B1171="MO",IF(M1171=0,0,G1171*L1171*PLAN_ETAPA!$C$5*N1171/M1171),IF(B1171="EQ",IF(M1171=0,0,G1171*L1171*PLAN_ETAPA!$C$5/M1171),0))))</f>
        <v>0</v>
      </c>
      <c r="Q1171" s="218">
        <f t="shared" si="37"/>
        <v>0</v>
      </c>
    </row>
    <row r="1172" spans="1:17" x14ac:dyDescent="0.35">
      <c r="A1172" s="212" t="str">
        <f>COMPOSICIÓN!A1172</f>
        <v>PTO-1105</v>
      </c>
      <c r="B1172" s="212" t="str">
        <f>COMPOSICIÓN!B1172</f>
        <v>MO</v>
      </c>
      <c r="C1172" s="212" t="str">
        <f>COMPOSICIÓN!C1172</f>
        <v>OTR</v>
      </c>
      <c r="D1172" s="212" t="str">
        <f>COMPOSICIÓN!D1172</f>
        <v>SUB-VIBRO3</v>
      </c>
      <c r="E1172" s="212" t="str">
        <f>COMPOSICIÓN!E1172</f>
        <v>Alquiler vibropison</v>
      </c>
      <c r="F1172" s="212" t="str">
        <f>COMPOSICIÓN!F1172</f>
        <v>j</v>
      </c>
      <c r="G1172" s="213">
        <f>COMPOSICIÓN!G1172</f>
        <v>5.74712643678161E-3</v>
      </c>
      <c r="H1172" s="214">
        <f>COMPOSICIÓN!H1172</f>
        <v>0</v>
      </c>
      <c r="I1172" s="215">
        <f>COMPOSICIÓN!I1172</f>
        <v>250000</v>
      </c>
      <c r="J1172" s="212" t="str">
        <f>IFERROR(VLOOKUP(A1172,PARTIDAS!$A$2:$C$269,3,FALSE()),"")</f>
        <v>PISOS</v>
      </c>
      <c r="K1172" s="212" t="str">
        <f>IFERROR(INDEX(PPTO_GENERADOR!$B$4:$B$220,MATCH(A1172,PPTO_GENERADOR!$Q$4:$Q$220,0)),"")</f>
        <v/>
      </c>
      <c r="L1172" s="216">
        <f>IF(PLAN_ETAPA!$C$4="(TODOS)",SUMIFS(PPTO_GENERADOR!$E$4:$E$220,PPTO_GENERADOR!$Q$4:$Q$220,A1172),SUMIFS(PPTO_GENERADOR!$E$4:$E$220,PPTO_GENERADOR!$Q$4:$Q$220,A1172,PPTO_GENERADOR!$B$4:$B$220,PLAN_ETAPA!$C$4))</f>
        <v>0</v>
      </c>
      <c r="M1172" s="216">
        <f>IFERROR(VLOOKUP(A1172,PARTIDAS!$A$2:$F$269,6,FALSE()),1)</f>
        <v>1</v>
      </c>
      <c r="N1172" s="216">
        <f>IFERROR(VLOOKUP(A1172,PARTIDAS!$A$2:$I$269,9,FALSE()),1)</f>
        <v>1</v>
      </c>
      <c r="O1172" s="217">
        <f t="shared" si="36"/>
        <v>0</v>
      </c>
      <c r="P1172" s="216">
        <f>IF(O1172=0,0,IF(B1172="MAT",G1172*(1+H1172)*L1172*PLAN_ETAPA!$C$5,IF(B1172="MO",IF(M1172=0,0,G1172*L1172*PLAN_ETAPA!$C$5*N1172/M1172),IF(B1172="EQ",IF(M1172=0,0,G1172*L1172*PLAN_ETAPA!$C$5/M1172),0))))</f>
        <v>0</v>
      </c>
      <c r="Q1172" s="218">
        <f t="shared" si="37"/>
        <v>0</v>
      </c>
    </row>
    <row r="1173" spans="1:17" x14ac:dyDescent="0.35">
      <c r="A1173" s="212" t="str">
        <f>COMPOSICIÓN!A1173</f>
        <v>PTO-1105</v>
      </c>
      <c r="B1173" s="212" t="str">
        <f>COMPOSICIÓN!B1173</f>
        <v>MO</v>
      </c>
      <c r="C1173" s="212" t="str">
        <f>COMPOSICIÓN!C1173</f>
        <v>OTR</v>
      </c>
      <c r="D1173" s="212" t="str">
        <f>COMPOSICIÓN!D1173</f>
        <v>SUB-PTO028</v>
      </c>
      <c r="E1173" s="212" t="str">
        <f>COMPOSICIÓN!E1173</f>
        <v>Combustible</v>
      </c>
      <c r="F1173" s="212" t="str">
        <f>COMPOSICIÓN!F1173</f>
        <v>j</v>
      </c>
      <c r="G1173" s="213">
        <f>COMPOSICIÓN!G1173</f>
        <v>0.114942528735632</v>
      </c>
      <c r="H1173" s="214">
        <f>COMPOSICIÓN!H1173</f>
        <v>0</v>
      </c>
      <c r="I1173" s="215">
        <f>COMPOSICIÓN!I1173</f>
        <v>1500</v>
      </c>
      <c r="J1173" s="212" t="str">
        <f>IFERROR(VLOOKUP(A1173,PARTIDAS!$A$2:$C$269,3,FALSE()),"")</f>
        <v>PISOS</v>
      </c>
      <c r="K1173" s="212" t="str">
        <f>IFERROR(INDEX(PPTO_GENERADOR!$B$4:$B$220,MATCH(A1173,PPTO_GENERADOR!$Q$4:$Q$220,0)),"")</f>
        <v/>
      </c>
      <c r="L1173" s="216">
        <f>IF(PLAN_ETAPA!$C$4="(TODOS)",SUMIFS(PPTO_GENERADOR!$E$4:$E$220,PPTO_GENERADOR!$Q$4:$Q$220,A1173),SUMIFS(PPTO_GENERADOR!$E$4:$E$220,PPTO_GENERADOR!$Q$4:$Q$220,A1173,PPTO_GENERADOR!$B$4:$B$220,PLAN_ETAPA!$C$4))</f>
        <v>0</v>
      </c>
      <c r="M1173" s="216">
        <f>IFERROR(VLOOKUP(A1173,PARTIDAS!$A$2:$F$269,6,FALSE()),1)</f>
        <v>1</v>
      </c>
      <c r="N1173" s="216">
        <f>IFERROR(VLOOKUP(A1173,PARTIDAS!$A$2:$I$269,9,FALSE()),1)</f>
        <v>1</v>
      </c>
      <c r="O1173" s="217">
        <f t="shared" si="36"/>
        <v>0</v>
      </c>
      <c r="P1173" s="216">
        <f>IF(O1173=0,0,IF(B1173="MAT",G1173*(1+H1173)*L1173*PLAN_ETAPA!$C$5,IF(B1173="MO",IF(M1173=0,0,G1173*L1173*PLAN_ETAPA!$C$5*N1173/M1173),IF(B1173="EQ",IF(M1173=0,0,G1173*L1173*PLAN_ETAPA!$C$5/M1173),0))))</f>
        <v>0</v>
      </c>
      <c r="Q1173" s="218">
        <f t="shared" si="37"/>
        <v>0</v>
      </c>
    </row>
    <row r="1174" spans="1:17" x14ac:dyDescent="0.35">
      <c r="A1174" s="212" t="str">
        <f>COMPOSICIÓN!A1174</f>
        <v>PTO-1106</v>
      </c>
      <c r="B1174" s="212" t="str">
        <f>COMPOSICIÓN!B1174</f>
        <v>EQ</v>
      </c>
      <c r="C1174" s="212">
        <f>COMPOSICIÓN!C1174</f>
        <v>0</v>
      </c>
      <c r="D1174" s="212" t="str">
        <f>COMPOSICIÓN!D1174</f>
        <v>EQ-PTO063</v>
      </c>
      <c r="E1174" s="212" t="str">
        <f>COMPOSICIÓN!E1174</f>
        <v>Herramientas menores y consumibles - Provisión y colocación de relleno de piedra binder</v>
      </c>
      <c r="F1174" s="212">
        <f>COMPOSICIÓN!F1174</f>
        <v>0</v>
      </c>
      <c r="G1174" s="213">
        <f>COMPOSICIÓN!G1174</f>
        <v>1</v>
      </c>
      <c r="H1174" s="214">
        <f>COMPOSICIÓN!H1174</f>
        <v>0</v>
      </c>
      <c r="I1174" s="215">
        <f>COMPOSICIÓN!I1174</f>
        <v>155.708708956072</v>
      </c>
      <c r="J1174" s="212" t="str">
        <f>IFERROR(VLOOKUP(A1174,PARTIDAS!$A$2:$C$269,3,FALSE()),"")</f>
        <v>PISOS</v>
      </c>
      <c r="K1174" s="212" t="str">
        <f>IFERROR(INDEX(PPTO_GENERADOR!$B$4:$B$220,MATCH(A1174,PPTO_GENERADOR!$Q$4:$Q$220,0)),"")</f>
        <v>PISOS</v>
      </c>
      <c r="L1174" s="216">
        <f>IF(PLAN_ETAPA!$C$4="(TODOS)",SUMIFS(PPTO_GENERADOR!$E$4:$E$220,PPTO_GENERADOR!$Q$4:$Q$220,A1174),SUMIFS(PPTO_GENERADOR!$E$4:$E$220,PPTO_GENERADOR!$Q$4:$Q$220,A1174,PPTO_GENERADOR!$B$4:$B$220,PLAN_ETAPA!$C$4))</f>
        <v>0</v>
      </c>
      <c r="M1174" s="216">
        <f>IFERROR(VLOOKUP(A1174,PARTIDAS!$A$2:$F$269,6,FALSE()),1)</f>
        <v>1</v>
      </c>
      <c r="N1174" s="216">
        <f>IFERROR(VLOOKUP(A1174,PARTIDAS!$A$2:$I$269,9,FALSE()),1)</f>
        <v>1</v>
      </c>
      <c r="O1174" s="217">
        <f t="shared" si="36"/>
        <v>0</v>
      </c>
      <c r="P1174" s="216">
        <f>IF(O1174=0,0,IF(B1174="MAT",G1174*(1+H1174)*L1174*PLAN_ETAPA!$C$5,IF(B1174="MO",IF(M1174=0,0,G1174*L1174*PLAN_ETAPA!$C$5*N1174/M1174),IF(B1174="EQ",IF(M1174=0,0,G1174*L1174*PLAN_ETAPA!$C$5/M1174),0))))</f>
        <v>0</v>
      </c>
      <c r="Q1174" s="218">
        <f t="shared" si="37"/>
        <v>0</v>
      </c>
    </row>
    <row r="1175" spans="1:17" x14ac:dyDescent="0.35">
      <c r="A1175" s="212" t="str">
        <f>COMPOSICIÓN!A1175</f>
        <v>PTO-1106</v>
      </c>
      <c r="B1175" s="212" t="str">
        <f>COMPOSICIÓN!B1175</f>
        <v>MAT</v>
      </c>
      <c r="C1175" s="212" t="str">
        <f>COMPOSICIÓN!C1175</f>
        <v>COR</v>
      </c>
      <c r="D1175" s="212" t="str">
        <f>COMPOSICIÓN!D1175</f>
        <v>OTR-PTO089</v>
      </c>
      <c r="E1175" s="212" t="str">
        <f>COMPOSICIÓN!E1175</f>
        <v>BOLSON DE BINDER 6/12</v>
      </c>
      <c r="F1175" s="212" t="str">
        <f>COMPOSICIÓN!F1175</f>
        <v>gl</v>
      </c>
      <c r="G1175" s="213">
        <f>COMPOSICIÓN!G1175</f>
        <v>4.8000000000000001E-2</v>
      </c>
      <c r="H1175" s="214">
        <f>COMPOSICIÓN!H1175</f>
        <v>0</v>
      </c>
      <c r="I1175" s="215">
        <f>COMPOSICIÓN!I1175</f>
        <v>57771</v>
      </c>
      <c r="J1175" s="212" t="str">
        <f>IFERROR(VLOOKUP(A1175,PARTIDAS!$A$2:$C$269,3,FALSE()),"")</f>
        <v>PISOS</v>
      </c>
      <c r="K1175" s="212" t="str">
        <f>IFERROR(INDEX(PPTO_GENERADOR!$B$4:$B$220,MATCH(A1175,PPTO_GENERADOR!$Q$4:$Q$220,0)),"")</f>
        <v>PISOS</v>
      </c>
      <c r="L1175" s="216">
        <f>IF(PLAN_ETAPA!$C$4="(TODOS)",SUMIFS(PPTO_GENERADOR!$E$4:$E$220,PPTO_GENERADOR!$Q$4:$Q$220,A1175),SUMIFS(PPTO_GENERADOR!$E$4:$E$220,PPTO_GENERADOR!$Q$4:$Q$220,A1175,PPTO_GENERADOR!$B$4:$B$220,PLAN_ETAPA!$C$4))</f>
        <v>0</v>
      </c>
      <c r="M1175" s="216">
        <f>IFERROR(VLOOKUP(A1175,PARTIDAS!$A$2:$F$269,6,FALSE()),1)</f>
        <v>1</v>
      </c>
      <c r="N1175" s="216">
        <f>IFERROR(VLOOKUP(A1175,PARTIDAS!$A$2:$I$269,9,FALSE()),1)</f>
        <v>1</v>
      </c>
      <c r="O1175" s="217">
        <f t="shared" si="36"/>
        <v>0</v>
      </c>
      <c r="P1175" s="216">
        <f>IF(O1175=0,0,IF(B1175="MAT",G1175*(1+H1175)*L1175*PLAN_ETAPA!$C$5,IF(B1175="MO",IF(M1175=0,0,G1175*L1175*PLAN_ETAPA!$C$5*N1175/M1175),IF(B1175="EQ",IF(M1175=0,0,G1175*L1175*PLAN_ETAPA!$C$5/M1175),0))))</f>
        <v>0</v>
      </c>
      <c r="Q1175" s="218">
        <f t="shared" si="37"/>
        <v>0</v>
      </c>
    </row>
    <row r="1176" spans="1:17" x14ac:dyDescent="0.35">
      <c r="A1176" s="212" t="str">
        <f>COMPOSICIÓN!A1176</f>
        <v>PTO-1106</v>
      </c>
      <c r="B1176" s="212" t="str">
        <f>COMPOSICIÓN!B1176</f>
        <v>MO</v>
      </c>
      <c r="C1176" s="212" t="str">
        <f>COMPOSICIÓN!C1176</f>
        <v>ALB</v>
      </c>
      <c r="D1176" s="212" t="str">
        <f>COMPOSICIÓN!D1176</f>
        <v>MO-EAYUD</v>
      </c>
      <c r="E1176" s="212" t="str">
        <f>COMPOSICIÓN!E1176</f>
        <v>AYUDANTE</v>
      </c>
      <c r="F1176" s="212" t="str">
        <f>COMPOSICIÓN!F1176</f>
        <v>j</v>
      </c>
      <c r="G1176" s="213">
        <f>COMPOSICIÓN!G1176</f>
        <v>0.125</v>
      </c>
      <c r="H1176" s="214">
        <f>COMPOSICIÓN!H1176</f>
        <v>0</v>
      </c>
      <c r="I1176" s="215">
        <f>COMPOSICIÓN!I1176</f>
        <v>60860.580776572002</v>
      </c>
      <c r="J1176" s="212" t="str">
        <f>IFERROR(VLOOKUP(A1176,PARTIDAS!$A$2:$C$269,3,FALSE()),"")</f>
        <v>PISOS</v>
      </c>
      <c r="K1176" s="212" t="str">
        <f>IFERROR(INDEX(PPTO_GENERADOR!$B$4:$B$220,MATCH(A1176,PPTO_GENERADOR!$Q$4:$Q$220,0)),"")</f>
        <v>PISOS</v>
      </c>
      <c r="L1176" s="216">
        <f>IF(PLAN_ETAPA!$C$4="(TODOS)",SUMIFS(PPTO_GENERADOR!$E$4:$E$220,PPTO_GENERADOR!$Q$4:$Q$220,A1176),SUMIFS(PPTO_GENERADOR!$E$4:$E$220,PPTO_GENERADOR!$Q$4:$Q$220,A1176,PPTO_GENERADOR!$B$4:$B$220,PLAN_ETAPA!$C$4))</f>
        <v>0</v>
      </c>
      <c r="M1176" s="216">
        <f>IFERROR(VLOOKUP(A1176,PARTIDAS!$A$2:$F$269,6,FALSE()),1)</f>
        <v>1</v>
      </c>
      <c r="N1176" s="216">
        <f>IFERROR(VLOOKUP(A1176,PARTIDAS!$A$2:$I$269,9,FALSE()),1)</f>
        <v>1</v>
      </c>
      <c r="O1176" s="217">
        <f t="shared" si="36"/>
        <v>0</v>
      </c>
      <c r="P1176" s="216">
        <f>IF(O1176=0,0,IF(B1176="MAT",G1176*(1+H1176)*L1176*PLAN_ETAPA!$C$5,IF(B1176="MO",IF(M1176=0,0,G1176*L1176*PLAN_ETAPA!$C$5*N1176/M1176),IF(B1176="EQ",IF(M1176=0,0,G1176*L1176*PLAN_ETAPA!$C$5/M1176),0))))</f>
        <v>0</v>
      </c>
      <c r="Q1176" s="218">
        <f t="shared" si="37"/>
        <v>0</v>
      </c>
    </row>
    <row r="1177" spans="1:17" x14ac:dyDescent="0.35">
      <c r="A1177" s="212" t="str">
        <f>COMPOSICIÓN!A1177</f>
        <v>PTO-1107</v>
      </c>
      <c r="B1177" s="212" t="str">
        <f>COMPOSICIÓN!B1177</f>
        <v>EQ</v>
      </c>
      <c r="C1177" s="212">
        <f>COMPOSICIÓN!C1177</f>
        <v>0</v>
      </c>
      <c r="D1177" s="212" t="str">
        <f>COMPOSICIÓN!D1177</f>
        <v>EQ-PTO064</v>
      </c>
      <c r="E1177" s="212" t="str">
        <f>COMPOSICIÓN!E1177</f>
        <v xml:space="preserve">Herramientas menores y consumibles - Colocación de baldoson granítico vereda 40 x 40 - </v>
      </c>
      <c r="F1177" s="212">
        <f>COMPOSICIÓN!F1177</f>
        <v>0</v>
      </c>
      <c r="G1177" s="213">
        <f>COMPOSICIÓN!G1177</f>
        <v>1</v>
      </c>
      <c r="H1177" s="214">
        <f>COMPOSICIÓN!H1177</f>
        <v>0</v>
      </c>
      <c r="I1177" s="215">
        <f>COMPOSICIÓN!I1177</f>
        <v>295.286480531927</v>
      </c>
      <c r="J1177" s="212" t="str">
        <f>IFERROR(VLOOKUP(A1177,PARTIDAS!$A$2:$C$269,3,FALSE()),"")</f>
        <v>PISOS</v>
      </c>
      <c r="K1177" s="212" t="str">
        <f>IFERROR(INDEX(PPTO_GENERADOR!$B$4:$B$220,MATCH(A1177,PPTO_GENERADOR!$Q$4:$Q$220,0)),"")</f>
        <v>PISOS</v>
      </c>
      <c r="L1177" s="216">
        <f>IF(PLAN_ETAPA!$C$4="(TODOS)",SUMIFS(PPTO_GENERADOR!$E$4:$E$220,PPTO_GENERADOR!$Q$4:$Q$220,A1177),SUMIFS(PPTO_GENERADOR!$E$4:$E$220,PPTO_GENERADOR!$Q$4:$Q$220,A1177,PPTO_GENERADOR!$B$4:$B$220,PLAN_ETAPA!$C$4))</f>
        <v>0</v>
      </c>
      <c r="M1177" s="216">
        <f>IFERROR(VLOOKUP(A1177,PARTIDAS!$A$2:$F$269,6,FALSE()),1)</f>
        <v>1</v>
      </c>
      <c r="N1177" s="216">
        <f>IFERROR(VLOOKUP(A1177,PARTIDAS!$A$2:$I$269,9,FALSE()),1)</f>
        <v>1</v>
      </c>
      <c r="O1177" s="217">
        <f t="shared" si="36"/>
        <v>0</v>
      </c>
      <c r="P1177" s="216">
        <f>IF(O1177=0,0,IF(B1177="MAT",G1177*(1+H1177)*L1177*PLAN_ETAPA!$C$5,IF(B1177="MO",IF(M1177=0,0,G1177*L1177*PLAN_ETAPA!$C$5*N1177/M1177),IF(B1177="EQ",IF(M1177=0,0,G1177*L1177*PLAN_ETAPA!$C$5/M1177),0))))</f>
        <v>0</v>
      </c>
      <c r="Q1177" s="218">
        <f t="shared" si="37"/>
        <v>0</v>
      </c>
    </row>
    <row r="1178" spans="1:17" x14ac:dyDescent="0.35">
      <c r="A1178" s="212" t="str">
        <f>COMPOSICIÓN!A1178</f>
        <v>PTO-1107</v>
      </c>
      <c r="B1178" s="212" t="str">
        <f>COMPOSICIÓN!B1178</f>
        <v>MAT</v>
      </c>
      <c r="C1178" s="212" t="str">
        <f>COMPOSICIÓN!C1178</f>
        <v>COR</v>
      </c>
      <c r="D1178" s="212" t="str">
        <f>COMPOSICIÓN!D1178</f>
        <v>MAT-CONS</v>
      </c>
      <c r="E1178" s="212" t="str">
        <f>COMPOSICIÓN!E1178</f>
        <v>Consumibles</v>
      </c>
      <c r="F1178" s="212" t="str">
        <f>COMPOSICIÓN!F1178</f>
        <v>gl</v>
      </c>
      <c r="G1178" s="213">
        <f>COMPOSICIÓN!G1178</f>
        <v>1283.632482</v>
      </c>
      <c r="H1178" s="214">
        <f>COMPOSICIÓN!H1178</f>
        <v>0</v>
      </c>
      <c r="I1178" s="215">
        <f>COMPOSICIÓN!I1178</f>
        <v>1</v>
      </c>
      <c r="J1178" s="212" t="str">
        <f>IFERROR(VLOOKUP(A1178,PARTIDAS!$A$2:$C$269,3,FALSE()),"")</f>
        <v>PISOS</v>
      </c>
      <c r="K1178" s="212" t="str">
        <f>IFERROR(INDEX(PPTO_GENERADOR!$B$4:$B$220,MATCH(A1178,PPTO_GENERADOR!$Q$4:$Q$220,0)),"")</f>
        <v>PISOS</v>
      </c>
      <c r="L1178" s="216">
        <f>IF(PLAN_ETAPA!$C$4="(TODOS)",SUMIFS(PPTO_GENERADOR!$E$4:$E$220,PPTO_GENERADOR!$Q$4:$Q$220,A1178),SUMIFS(PPTO_GENERADOR!$E$4:$E$220,PPTO_GENERADOR!$Q$4:$Q$220,A1178,PPTO_GENERADOR!$B$4:$B$220,PLAN_ETAPA!$C$4))</f>
        <v>0</v>
      </c>
      <c r="M1178" s="216">
        <f>IFERROR(VLOOKUP(A1178,PARTIDAS!$A$2:$F$269,6,FALSE()),1)</f>
        <v>1</v>
      </c>
      <c r="N1178" s="216">
        <f>IFERROR(VLOOKUP(A1178,PARTIDAS!$A$2:$I$269,9,FALSE()),1)</f>
        <v>1</v>
      </c>
      <c r="O1178" s="217">
        <f t="shared" si="36"/>
        <v>0</v>
      </c>
      <c r="P1178" s="216">
        <f>IF(O1178=0,0,IF(B1178="MAT",G1178*(1+H1178)*L1178*PLAN_ETAPA!$C$5,IF(B1178="MO",IF(M1178=0,0,G1178*L1178*PLAN_ETAPA!$C$5*N1178/M1178),IF(B1178="EQ",IF(M1178=0,0,G1178*L1178*PLAN_ETAPA!$C$5/M1178),0))))</f>
        <v>0</v>
      </c>
      <c r="Q1178" s="218">
        <f t="shared" si="37"/>
        <v>0</v>
      </c>
    </row>
    <row r="1179" spans="1:17" x14ac:dyDescent="0.35">
      <c r="A1179" s="212" t="str">
        <f>COMPOSICIÓN!A1179</f>
        <v>PTO-1107</v>
      </c>
      <c r="B1179" s="212" t="str">
        <f>COMPOSICIÓN!B1179</f>
        <v>MAT</v>
      </c>
      <c r="C1179" s="212" t="str">
        <f>COMPOSICIÓN!C1179</f>
        <v>COR</v>
      </c>
      <c r="D1179" s="212" t="str">
        <f>COMPOSICIÓN!D1179</f>
        <v>OTR-PTO043</v>
      </c>
      <c r="E1179" s="212" t="str">
        <f>COMPOSICIÓN!E1179</f>
        <v>CEMENTO AVELLANEDA x 50 KG</v>
      </c>
      <c r="F1179" s="212" t="str">
        <f>COMPOSICIÓN!F1179</f>
        <v>bol</v>
      </c>
      <c r="G1179" s="213">
        <f>COMPOSICIÓN!G1179</f>
        <v>8.6956521739130405E-2</v>
      </c>
      <c r="H1179" s="214">
        <f>COMPOSICIÓN!H1179</f>
        <v>0</v>
      </c>
      <c r="I1179" s="215">
        <f>COMPOSICIÓN!I1179</f>
        <v>7809.48</v>
      </c>
      <c r="J1179" s="212" t="str">
        <f>IFERROR(VLOOKUP(A1179,PARTIDAS!$A$2:$C$269,3,FALSE()),"")</f>
        <v>PISOS</v>
      </c>
      <c r="K1179" s="212" t="str">
        <f>IFERROR(INDEX(PPTO_GENERADOR!$B$4:$B$220,MATCH(A1179,PPTO_GENERADOR!$Q$4:$Q$220,0)),"")</f>
        <v>PISOS</v>
      </c>
      <c r="L1179" s="216">
        <f>IF(PLAN_ETAPA!$C$4="(TODOS)",SUMIFS(PPTO_GENERADOR!$E$4:$E$220,PPTO_GENERADOR!$Q$4:$Q$220,A1179),SUMIFS(PPTO_GENERADOR!$E$4:$E$220,PPTO_GENERADOR!$Q$4:$Q$220,A1179,PPTO_GENERADOR!$B$4:$B$220,PLAN_ETAPA!$C$4))</f>
        <v>0</v>
      </c>
      <c r="M1179" s="216">
        <f>IFERROR(VLOOKUP(A1179,PARTIDAS!$A$2:$F$269,6,FALSE()),1)</f>
        <v>1</v>
      </c>
      <c r="N1179" s="216">
        <f>IFERROR(VLOOKUP(A1179,PARTIDAS!$A$2:$I$269,9,FALSE()),1)</f>
        <v>1</v>
      </c>
      <c r="O1179" s="217">
        <f t="shared" si="36"/>
        <v>0</v>
      </c>
      <c r="P1179" s="216">
        <f>IF(O1179=0,0,IF(B1179="MAT",G1179*(1+H1179)*L1179*PLAN_ETAPA!$C$5,IF(B1179="MO",IF(M1179=0,0,G1179*L1179*PLAN_ETAPA!$C$5*N1179/M1179),IF(B1179="EQ",IF(M1179=0,0,G1179*L1179*PLAN_ETAPA!$C$5/M1179),0))))</f>
        <v>0</v>
      </c>
      <c r="Q1179" s="218">
        <f t="shared" si="37"/>
        <v>0</v>
      </c>
    </row>
    <row r="1180" spans="1:17" x14ac:dyDescent="0.35">
      <c r="A1180" s="212" t="str">
        <f>COMPOSICIÓN!A1180</f>
        <v>PTO-1107</v>
      </c>
      <c r="B1180" s="212" t="str">
        <f>COMPOSICIÓN!B1180</f>
        <v>MAT</v>
      </c>
      <c r="C1180" s="212" t="str">
        <f>COMPOSICIÓN!C1180</f>
        <v>COR</v>
      </c>
      <c r="D1180" s="212" t="str">
        <f>COMPOSICIÓN!D1180</f>
        <v>OTR-PTO090</v>
      </c>
      <c r="E1180" s="212" t="str">
        <f>COMPOSICIÓN!E1180</f>
        <v>BOLSON DE ARENA</v>
      </c>
      <c r="F1180" s="212" t="str">
        <f>COMPOSICIÓN!F1180</f>
        <v>m3</v>
      </c>
      <c r="G1180" s="213">
        <f>COMPOSICIÓN!G1180</f>
        <v>3.3000000000000002E-2</v>
      </c>
      <c r="H1180" s="214">
        <f>COMPOSICIÓN!H1180</f>
        <v>0</v>
      </c>
      <c r="I1180" s="215">
        <f>COMPOSICIÓN!I1180</f>
        <v>32399.77</v>
      </c>
      <c r="J1180" s="212" t="str">
        <f>IFERROR(VLOOKUP(A1180,PARTIDAS!$A$2:$C$269,3,FALSE()),"")</f>
        <v>PISOS</v>
      </c>
      <c r="K1180" s="212" t="str">
        <f>IFERROR(INDEX(PPTO_GENERADOR!$B$4:$B$220,MATCH(A1180,PPTO_GENERADOR!$Q$4:$Q$220,0)),"")</f>
        <v>PISOS</v>
      </c>
      <c r="L1180" s="216">
        <f>IF(PLAN_ETAPA!$C$4="(TODOS)",SUMIFS(PPTO_GENERADOR!$E$4:$E$220,PPTO_GENERADOR!$Q$4:$Q$220,A1180),SUMIFS(PPTO_GENERADOR!$E$4:$E$220,PPTO_GENERADOR!$Q$4:$Q$220,A1180,PPTO_GENERADOR!$B$4:$B$220,PLAN_ETAPA!$C$4))</f>
        <v>0</v>
      </c>
      <c r="M1180" s="216">
        <f>IFERROR(VLOOKUP(A1180,PARTIDAS!$A$2:$F$269,6,FALSE()),1)</f>
        <v>1</v>
      </c>
      <c r="N1180" s="216">
        <f>IFERROR(VLOOKUP(A1180,PARTIDAS!$A$2:$I$269,9,FALSE()),1)</f>
        <v>1</v>
      </c>
      <c r="O1180" s="217">
        <f t="shared" si="36"/>
        <v>0</v>
      </c>
      <c r="P1180" s="216">
        <f>IF(O1180=0,0,IF(B1180="MAT",G1180*(1+H1180)*L1180*PLAN_ETAPA!$C$5,IF(B1180="MO",IF(M1180=0,0,G1180*L1180*PLAN_ETAPA!$C$5*N1180/M1180),IF(B1180="EQ",IF(M1180=0,0,G1180*L1180*PLAN_ETAPA!$C$5/M1180),0))))</f>
        <v>0</v>
      </c>
      <c r="Q1180" s="218">
        <f t="shared" si="37"/>
        <v>0</v>
      </c>
    </row>
    <row r="1181" spans="1:17" x14ac:dyDescent="0.35">
      <c r="A1181" s="212" t="str">
        <f>COMPOSICIÓN!A1181</f>
        <v>PTO-1107</v>
      </c>
      <c r="B1181" s="212" t="str">
        <f>COMPOSICIÓN!B1181</f>
        <v>MAT</v>
      </c>
      <c r="C1181" s="212" t="str">
        <f>COMPOSICIÓN!C1181</f>
        <v>COR</v>
      </c>
      <c r="D1181" s="212" t="str">
        <f>COMPOSICIÓN!D1181</f>
        <v>OTR-PTO098</v>
      </c>
      <c r="E1181" s="212" t="str">
        <f>COMPOSICIÓN!E1181</f>
        <v>CAL MILAGRO x 25 KG</v>
      </c>
      <c r="F1181" s="212" t="str">
        <f>COMPOSICIÓN!F1181</f>
        <v>bol</v>
      </c>
      <c r="G1181" s="213">
        <f>COMPOSICIÓN!G1181</f>
        <v>0.26086956521739102</v>
      </c>
      <c r="H1181" s="214">
        <f>COMPOSICIÓN!H1181</f>
        <v>0</v>
      </c>
      <c r="I1181" s="215">
        <f>COMPOSICIÓN!I1181</f>
        <v>10936.8</v>
      </c>
      <c r="J1181" s="212" t="str">
        <f>IFERROR(VLOOKUP(A1181,PARTIDAS!$A$2:$C$269,3,FALSE()),"")</f>
        <v>PISOS</v>
      </c>
      <c r="K1181" s="212" t="str">
        <f>IFERROR(INDEX(PPTO_GENERADOR!$B$4:$B$220,MATCH(A1181,PPTO_GENERADOR!$Q$4:$Q$220,0)),"")</f>
        <v>PISOS</v>
      </c>
      <c r="L1181" s="216">
        <f>IF(PLAN_ETAPA!$C$4="(TODOS)",SUMIFS(PPTO_GENERADOR!$E$4:$E$220,PPTO_GENERADOR!$Q$4:$Q$220,A1181),SUMIFS(PPTO_GENERADOR!$E$4:$E$220,PPTO_GENERADOR!$Q$4:$Q$220,A1181,PPTO_GENERADOR!$B$4:$B$220,PLAN_ETAPA!$C$4))</f>
        <v>0</v>
      </c>
      <c r="M1181" s="216">
        <f>IFERROR(VLOOKUP(A1181,PARTIDAS!$A$2:$F$269,6,FALSE()),1)</f>
        <v>1</v>
      </c>
      <c r="N1181" s="216">
        <f>IFERROR(VLOOKUP(A1181,PARTIDAS!$A$2:$I$269,9,FALSE()),1)</f>
        <v>1</v>
      </c>
      <c r="O1181" s="217">
        <f t="shared" si="36"/>
        <v>0</v>
      </c>
      <c r="P1181" s="216">
        <f>IF(O1181=0,0,IF(B1181="MAT",G1181*(1+H1181)*L1181*PLAN_ETAPA!$C$5,IF(B1181="MO",IF(M1181=0,0,G1181*L1181*PLAN_ETAPA!$C$5*N1181/M1181),IF(B1181="EQ",IF(M1181=0,0,G1181*L1181*PLAN_ETAPA!$C$5/M1181),0))))</f>
        <v>0</v>
      </c>
      <c r="Q1181" s="218">
        <f t="shared" si="37"/>
        <v>0</v>
      </c>
    </row>
    <row r="1182" spans="1:17" x14ac:dyDescent="0.35">
      <c r="A1182" s="212" t="str">
        <f>COMPOSICIÓN!A1182</f>
        <v>PTO-1107</v>
      </c>
      <c r="B1182" s="212" t="str">
        <f>COMPOSICIÓN!B1182</f>
        <v>MAT</v>
      </c>
      <c r="C1182" s="212" t="str">
        <f>COMPOSICIÓN!C1182</f>
        <v>COR</v>
      </c>
      <c r="D1182" s="212" t="str">
        <f>COMPOSICIÓN!D1182</f>
        <v>OTR-PTO099</v>
      </c>
      <c r="E1182" s="212" t="str">
        <f>COMPOSICIÓN!E1182</f>
        <v>PASTINA PRESTIGE NIEVE X 2KG</v>
      </c>
      <c r="F1182" s="212" t="str">
        <f>COMPOSICIÓN!F1182</f>
        <v>bol</v>
      </c>
      <c r="G1182" s="213">
        <f>COMPOSICIÓN!G1182</f>
        <v>0.282608695652174</v>
      </c>
      <c r="H1182" s="214">
        <f>COMPOSICIÓN!H1182</f>
        <v>0</v>
      </c>
      <c r="I1182" s="215">
        <f>COMPOSICIÓN!I1182</f>
        <v>6428.7</v>
      </c>
      <c r="J1182" s="212" t="str">
        <f>IFERROR(VLOOKUP(A1182,PARTIDAS!$A$2:$C$269,3,FALSE()),"")</f>
        <v>PISOS</v>
      </c>
      <c r="K1182" s="212" t="str">
        <f>IFERROR(INDEX(PPTO_GENERADOR!$B$4:$B$220,MATCH(A1182,PPTO_GENERADOR!$Q$4:$Q$220,0)),"")</f>
        <v>PISOS</v>
      </c>
      <c r="L1182" s="216">
        <f>IF(PLAN_ETAPA!$C$4="(TODOS)",SUMIFS(PPTO_GENERADOR!$E$4:$E$220,PPTO_GENERADOR!$Q$4:$Q$220,A1182),SUMIFS(PPTO_GENERADOR!$E$4:$E$220,PPTO_GENERADOR!$Q$4:$Q$220,A1182,PPTO_GENERADOR!$B$4:$B$220,PLAN_ETAPA!$C$4))</f>
        <v>0</v>
      </c>
      <c r="M1182" s="216">
        <f>IFERROR(VLOOKUP(A1182,PARTIDAS!$A$2:$F$269,6,FALSE()),1)</f>
        <v>1</v>
      </c>
      <c r="N1182" s="216">
        <f>IFERROR(VLOOKUP(A1182,PARTIDAS!$A$2:$I$269,9,FALSE()),1)</f>
        <v>1</v>
      </c>
      <c r="O1182" s="217">
        <f t="shared" si="36"/>
        <v>0</v>
      </c>
      <c r="P1182" s="216">
        <f>IF(O1182=0,0,IF(B1182="MAT",G1182*(1+H1182)*L1182*PLAN_ETAPA!$C$5,IF(B1182="MO",IF(M1182=0,0,G1182*L1182*PLAN_ETAPA!$C$5*N1182/M1182),IF(B1182="EQ",IF(M1182=0,0,G1182*L1182*PLAN_ETAPA!$C$5/M1182),0))))</f>
        <v>0</v>
      </c>
      <c r="Q1182" s="218">
        <f t="shared" si="37"/>
        <v>0</v>
      </c>
    </row>
    <row r="1183" spans="1:17" x14ac:dyDescent="0.35">
      <c r="A1183" s="212" t="str">
        <f>COMPOSICIÓN!A1183</f>
        <v>PTO-1107</v>
      </c>
      <c r="B1183" s="212" t="str">
        <f>COMPOSICIÓN!B1183</f>
        <v>MO</v>
      </c>
      <c r="C1183" s="212" t="str">
        <f>COMPOSICIÓN!C1183</f>
        <v>ALB</v>
      </c>
      <c r="D1183" s="212" t="str">
        <f>COMPOSICIÓN!D1183</f>
        <v>MO-EAYUD</v>
      </c>
      <c r="E1183" s="212" t="str">
        <f>COMPOSICIÓN!E1183</f>
        <v>AYUDANTE</v>
      </c>
      <c r="F1183" s="212" t="str">
        <f>COMPOSICIÓN!F1183</f>
        <v>j</v>
      </c>
      <c r="G1183" s="213">
        <f>COMPOSICIÓN!G1183</f>
        <v>8.6956521739130405E-2</v>
      </c>
      <c r="H1183" s="214">
        <f>COMPOSICIÓN!H1183</f>
        <v>0</v>
      </c>
      <c r="I1183" s="215">
        <f>COMPOSICIÓN!I1183</f>
        <v>60860.580776572002</v>
      </c>
      <c r="J1183" s="212" t="str">
        <f>IFERROR(VLOOKUP(A1183,PARTIDAS!$A$2:$C$269,3,FALSE()),"")</f>
        <v>PISOS</v>
      </c>
      <c r="K1183" s="212" t="str">
        <f>IFERROR(INDEX(PPTO_GENERADOR!$B$4:$B$220,MATCH(A1183,PPTO_GENERADOR!$Q$4:$Q$220,0)),"")</f>
        <v>PISOS</v>
      </c>
      <c r="L1183" s="216">
        <f>IF(PLAN_ETAPA!$C$4="(TODOS)",SUMIFS(PPTO_GENERADOR!$E$4:$E$220,PPTO_GENERADOR!$Q$4:$Q$220,A1183),SUMIFS(PPTO_GENERADOR!$E$4:$E$220,PPTO_GENERADOR!$Q$4:$Q$220,A1183,PPTO_GENERADOR!$B$4:$B$220,PLAN_ETAPA!$C$4))</f>
        <v>0</v>
      </c>
      <c r="M1183" s="216">
        <f>IFERROR(VLOOKUP(A1183,PARTIDAS!$A$2:$F$269,6,FALSE()),1)</f>
        <v>1</v>
      </c>
      <c r="N1183" s="216">
        <f>IFERROR(VLOOKUP(A1183,PARTIDAS!$A$2:$I$269,9,FALSE()),1)</f>
        <v>1</v>
      </c>
      <c r="O1183" s="217">
        <f t="shared" si="36"/>
        <v>0</v>
      </c>
      <c r="P1183" s="216">
        <f>IF(O1183=0,0,IF(B1183="MAT",G1183*(1+H1183)*L1183*PLAN_ETAPA!$C$5,IF(B1183="MO",IF(M1183=0,0,G1183*L1183*PLAN_ETAPA!$C$5*N1183/M1183),IF(B1183="EQ",IF(M1183=0,0,G1183*L1183*PLAN_ETAPA!$C$5/M1183),0))))</f>
        <v>0</v>
      </c>
      <c r="Q1183" s="218">
        <f t="shared" si="37"/>
        <v>0</v>
      </c>
    </row>
    <row r="1184" spans="1:17" x14ac:dyDescent="0.35">
      <c r="A1184" s="212" t="str">
        <f>COMPOSICIÓN!A1184</f>
        <v>PTO-1107</v>
      </c>
      <c r="B1184" s="212" t="str">
        <f>COMPOSICIÓN!B1184</f>
        <v>MO</v>
      </c>
      <c r="C1184" s="212" t="str">
        <f>COMPOSICIÓN!C1184</f>
        <v>ALB</v>
      </c>
      <c r="D1184" s="212" t="str">
        <f>COMPOSICIÓN!D1184</f>
        <v>MO-EOFIC</v>
      </c>
      <c r="E1184" s="212" t="str">
        <f>COMPOSICIÓN!E1184</f>
        <v>OFICIAL</v>
      </c>
      <c r="F1184" s="212" t="str">
        <f>COMPOSICIÓN!F1184</f>
        <v>j</v>
      </c>
      <c r="G1184" s="213">
        <f>COMPOSICIÓN!G1184</f>
        <v>8.6956521739130405E-2</v>
      </c>
      <c r="H1184" s="214">
        <f>COMPOSICIÓN!H1184</f>
        <v>0</v>
      </c>
      <c r="I1184" s="215">
        <f>COMPOSICIÓN!I1184</f>
        <v>76955.079706571996</v>
      </c>
      <c r="J1184" s="212" t="str">
        <f>IFERROR(VLOOKUP(A1184,PARTIDAS!$A$2:$C$269,3,FALSE()),"")</f>
        <v>PISOS</v>
      </c>
      <c r="K1184" s="212" t="str">
        <f>IFERROR(INDEX(PPTO_GENERADOR!$B$4:$B$220,MATCH(A1184,PPTO_GENERADOR!$Q$4:$Q$220,0)),"")</f>
        <v>PISOS</v>
      </c>
      <c r="L1184" s="216">
        <f>IF(PLAN_ETAPA!$C$4="(TODOS)",SUMIFS(PPTO_GENERADOR!$E$4:$E$220,PPTO_GENERADOR!$Q$4:$Q$220,A1184),SUMIFS(PPTO_GENERADOR!$E$4:$E$220,PPTO_GENERADOR!$Q$4:$Q$220,A1184,PPTO_GENERADOR!$B$4:$B$220,PLAN_ETAPA!$C$4))</f>
        <v>0</v>
      </c>
      <c r="M1184" s="216">
        <f>IFERROR(VLOOKUP(A1184,PARTIDAS!$A$2:$F$269,6,FALSE()),1)</f>
        <v>1</v>
      </c>
      <c r="N1184" s="216">
        <f>IFERROR(VLOOKUP(A1184,PARTIDAS!$A$2:$I$269,9,FALSE()),1)</f>
        <v>1</v>
      </c>
      <c r="O1184" s="217">
        <f t="shared" si="36"/>
        <v>0</v>
      </c>
      <c r="P1184" s="216">
        <f>IF(O1184=0,0,IF(B1184="MAT",G1184*(1+H1184)*L1184*PLAN_ETAPA!$C$5,IF(B1184="MO",IF(M1184=0,0,G1184*L1184*PLAN_ETAPA!$C$5*N1184/M1184),IF(B1184="EQ",IF(M1184=0,0,G1184*L1184*PLAN_ETAPA!$C$5/M1184),0))))</f>
        <v>0</v>
      </c>
      <c r="Q1184" s="218">
        <f t="shared" si="37"/>
        <v>0</v>
      </c>
    </row>
    <row r="1185" spans="1:17" x14ac:dyDescent="0.35">
      <c r="A1185" s="212" t="str">
        <f>COMPOSICIÓN!A1185</f>
        <v>PTO-1108</v>
      </c>
      <c r="B1185" s="212" t="str">
        <f>COMPOSICIÓN!B1185</f>
        <v>EQ</v>
      </c>
      <c r="C1185" s="212">
        <f>COMPOSICIÓN!C1185</f>
        <v>0</v>
      </c>
      <c r="D1185" s="212" t="str">
        <f>COMPOSICIÓN!D1185</f>
        <v>EQ-CORTA</v>
      </c>
      <c r="E1185" s="212" t="str">
        <f>COMPOSICIÓN!E1185</f>
        <v>CORTADORA CERAMICA PROFESIONAL 1200MM (PORCELANATO HASTA 16MM)</v>
      </c>
      <c r="F1185" s="212">
        <f>COMPOSICIÓN!F1185</f>
        <v>0</v>
      </c>
      <c r="G1185" s="213">
        <f>COMPOSICIÓN!G1185</f>
        <v>1</v>
      </c>
      <c r="H1185" s="214">
        <f>COMPOSICIÓN!H1185</f>
        <v>0</v>
      </c>
      <c r="I1185" s="215">
        <f>COMPOSICIÓN!I1185</f>
        <v>298.42384358082836</v>
      </c>
      <c r="J1185" s="212" t="str">
        <f>IFERROR(VLOOKUP(A1185,PARTIDAS!$A$2:$C$269,3,FALSE()),"")</f>
        <v>PISOS</v>
      </c>
      <c r="K1185" s="212" t="str">
        <f>IFERROR(INDEX(PPTO_GENERADOR!$B$4:$B$220,MATCH(A1185,PPTO_GENERADOR!$Q$4:$Q$220,0)),"")</f>
        <v/>
      </c>
      <c r="L1185" s="216">
        <f>IF(PLAN_ETAPA!$C$4="(TODOS)",SUMIFS(PPTO_GENERADOR!$E$4:$E$220,PPTO_GENERADOR!$Q$4:$Q$220,A1185),SUMIFS(PPTO_GENERADOR!$E$4:$E$220,PPTO_GENERADOR!$Q$4:$Q$220,A1185,PPTO_GENERADOR!$B$4:$B$220,PLAN_ETAPA!$C$4))</f>
        <v>0</v>
      </c>
      <c r="M1185" s="216">
        <f>IFERROR(VLOOKUP(A1185,PARTIDAS!$A$2:$F$269,6,FALSE()),1)</f>
        <v>13</v>
      </c>
      <c r="N1185" s="216">
        <f>IFERROR(VLOOKUP(A1185,PARTIDAS!$A$2:$I$269,9,FALSE()),1)</f>
        <v>1</v>
      </c>
      <c r="O1185" s="217">
        <f t="shared" si="36"/>
        <v>0</v>
      </c>
      <c r="P1185" s="216">
        <f>IF(O1185=0,0,IF(B1185="MAT",G1185*(1+H1185)*L1185*PLAN_ETAPA!$C$5,IF(B1185="MO",IF(M1185=0,0,G1185*L1185*PLAN_ETAPA!$C$5*N1185/M1185),IF(B1185="EQ",IF(M1185=0,0,G1185*L1185*PLAN_ETAPA!$C$5/M1185),0))))</f>
        <v>0</v>
      </c>
      <c r="Q1185" s="218">
        <f t="shared" si="37"/>
        <v>0</v>
      </c>
    </row>
    <row r="1186" spans="1:17" x14ac:dyDescent="0.35">
      <c r="A1186" s="212" t="str">
        <f>COMPOSICIÓN!A1186</f>
        <v>PTO-1108</v>
      </c>
      <c r="B1186" s="212" t="str">
        <f>COMPOSICIÓN!B1186</f>
        <v>EQ</v>
      </c>
      <c r="C1186" s="212">
        <f>COMPOSICIÓN!C1186</f>
        <v>0</v>
      </c>
      <c r="D1186" s="212" t="str">
        <f>COMPOSICIÓN!D1186</f>
        <v>EQ-EQCERA</v>
      </c>
      <c r="E1186" s="212" t="str">
        <f>COMPOSICIÓN!E1186</f>
        <v>EQUIPO PARA COLOCACION DE CERAMICA</v>
      </c>
      <c r="F1186" s="212">
        <f>COMPOSICIÓN!F1186</f>
        <v>0</v>
      </c>
      <c r="G1186" s="213">
        <f>COMPOSICIÓN!G1186</f>
        <v>1</v>
      </c>
      <c r="H1186" s="214">
        <f>COMPOSICIÓN!H1186</f>
        <v>0</v>
      </c>
      <c r="I1186" s="215">
        <f>COMPOSICIÓN!I1186</f>
        <v>2637.1418444899073</v>
      </c>
      <c r="J1186" s="212" t="str">
        <f>IFERROR(VLOOKUP(A1186,PARTIDAS!$A$2:$C$269,3,FALSE()),"")</f>
        <v>PISOS</v>
      </c>
      <c r="K1186" s="212" t="str">
        <f>IFERROR(INDEX(PPTO_GENERADOR!$B$4:$B$220,MATCH(A1186,PPTO_GENERADOR!$Q$4:$Q$220,0)),"")</f>
        <v/>
      </c>
      <c r="L1186" s="216">
        <f>IF(PLAN_ETAPA!$C$4="(TODOS)",SUMIFS(PPTO_GENERADOR!$E$4:$E$220,PPTO_GENERADOR!$Q$4:$Q$220,A1186),SUMIFS(PPTO_GENERADOR!$E$4:$E$220,PPTO_GENERADOR!$Q$4:$Q$220,A1186,PPTO_GENERADOR!$B$4:$B$220,PLAN_ETAPA!$C$4))</f>
        <v>0</v>
      </c>
      <c r="M1186" s="216">
        <f>IFERROR(VLOOKUP(A1186,PARTIDAS!$A$2:$F$269,6,FALSE()),1)</f>
        <v>13</v>
      </c>
      <c r="N1186" s="216">
        <f>IFERROR(VLOOKUP(A1186,PARTIDAS!$A$2:$I$269,9,FALSE()),1)</f>
        <v>1</v>
      </c>
      <c r="O1186" s="217">
        <f t="shared" si="36"/>
        <v>0</v>
      </c>
      <c r="P1186" s="216">
        <f>IF(O1186=0,0,IF(B1186="MAT",G1186*(1+H1186)*L1186*PLAN_ETAPA!$C$5,IF(B1186="MO",IF(M1186=0,0,G1186*L1186*PLAN_ETAPA!$C$5*N1186/M1186),IF(B1186="EQ",IF(M1186=0,0,G1186*L1186*PLAN_ETAPA!$C$5/M1186),0))))</f>
        <v>0</v>
      </c>
      <c r="Q1186" s="218">
        <f t="shared" si="37"/>
        <v>0</v>
      </c>
    </row>
    <row r="1187" spans="1:17" x14ac:dyDescent="0.35">
      <c r="A1187" s="212" t="str">
        <f>COMPOSICIÓN!A1187</f>
        <v>PTO-1108</v>
      </c>
      <c r="B1187" s="212" t="str">
        <f>COMPOSICIÓN!B1187</f>
        <v>MAT</v>
      </c>
      <c r="C1187" s="212" t="str">
        <f>COMPOSICIÓN!C1187</f>
        <v>OTR</v>
      </c>
      <c r="D1187" s="212" t="str">
        <f>COMPOSICIÓN!D1187</f>
        <v>AGR-005</v>
      </c>
      <c r="E1187" s="212" t="str">
        <f>COMPOSICIÓN!E1187</f>
        <v>Cal Comun x 25kg</v>
      </c>
      <c r="F1187" s="212" t="str">
        <f>COMPOSICIÓN!F1187</f>
        <v>bol</v>
      </c>
      <c r="G1187" s="213">
        <f>COMPOSICIÓN!G1187</f>
        <v>0.4</v>
      </c>
      <c r="H1187" s="214">
        <f>COMPOSICIÓN!H1187</f>
        <v>0.2</v>
      </c>
      <c r="I1187" s="215">
        <f>COMPOSICIÓN!I1187</f>
        <v>3837.96</v>
      </c>
      <c r="J1187" s="212" t="str">
        <f>IFERROR(VLOOKUP(A1187,PARTIDAS!$A$2:$C$269,3,FALSE()),"")</f>
        <v>PISOS</v>
      </c>
      <c r="K1187" s="212" t="str">
        <f>IFERROR(INDEX(PPTO_GENERADOR!$B$4:$B$220,MATCH(A1187,PPTO_GENERADOR!$Q$4:$Q$220,0)),"")</f>
        <v/>
      </c>
      <c r="L1187" s="216">
        <f>IF(PLAN_ETAPA!$C$4="(TODOS)",SUMIFS(PPTO_GENERADOR!$E$4:$E$220,PPTO_GENERADOR!$Q$4:$Q$220,A1187),SUMIFS(PPTO_GENERADOR!$E$4:$E$220,PPTO_GENERADOR!$Q$4:$Q$220,A1187,PPTO_GENERADOR!$B$4:$B$220,PLAN_ETAPA!$C$4))</f>
        <v>0</v>
      </c>
      <c r="M1187" s="216">
        <f>IFERROR(VLOOKUP(A1187,PARTIDAS!$A$2:$F$269,6,FALSE()),1)</f>
        <v>13</v>
      </c>
      <c r="N1187" s="216">
        <f>IFERROR(VLOOKUP(A1187,PARTIDAS!$A$2:$I$269,9,FALSE()),1)</f>
        <v>1</v>
      </c>
      <c r="O1187" s="217">
        <f t="shared" si="36"/>
        <v>0</v>
      </c>
      <c r="P1187" s="216">
        <f>IF(O1187=0,0,IF(B1187="MAT",G1187*(1+H1187)*L1187*PLAN_ETAPA!$C$5,IF(B1187="MO",IF(M1187=0,0,G1187*L1187*PLAN_ETAPA!$C$5*N1187/M1187),IF(B1187="EQ",IF(M1187=0,0,G1187*L1187*PLAN_ETAPA!$C$5/M1187),0))))</f>
        <v>0</v>
      </c>
      <c r="Q1187" s="218">
        <f t="shared" si="37"/>
        <v>0</v>
      </c>
    </row>
    <row r="1188" spans="1:17" x14ac:dyDescent="0.35">
      <c r="A1188" s="212" t="str">
        <f>COMPOSICIÓN!A1188</f>
        <v>PTO-1108</v>
      </c>
      <c r="B1188" s="212" t="str">
        <f>COMPOSICIÓN!B1188</f>
        <v>MAT</v>
      </c>
      <c r="C1188" s="212" t="str">
        <f>COMPOSICIÓN!C1188</f>
        <v>OTR</v>
      </c>
      <c r="D1188" s="212" t="str">
        <f>COMPOSICIÓN!D1188</f>
        <v>OTR-025</v>
      </c>
      <c r="E1188" s="212" t="str">
        <f>COMPOSICIÓN!E1188</f>
        <v>Trapo</v>
      </c>
      <c r="F1188" s="212" t="str">
        <f>COMPOSICIÓN!F1188</f>
        <v>u</v>
      </c>
      <c r="G1188" s="213">
        <f>COMPOSICIÓN!G1188</f>
        <v>0.01</v>
      </c>
      <c r="H1188" s="214">
        <f>COMPOSICIÓN!H1188</f>
        <v>0.03</v>
      </c>
      <c r="I1188" s="215">
        <f>COMPOSICIÓN!I1188</f>
        <v>735.06</v>
      </c>
      <c r="J1188" s="212" t="str">
        <f>IFERROR(VLOOKUP(A1188,PARTIDAS!$A$2:$C$269,3,FALSE()),"")</f>
        <v>PISOS</v>
      </c>
      <c r="K1188" s="212" t="str">
        <f>IFERROR(INDEX(PPTO_GENERADOR!$B$4:$B$220,MATCH(A1188,PPTO_GENERADOR!$Q$4:$Q$220,0)),"")</f>
        <v/>
      </c>
      <c r="L1188" s="216">
        <f>IF(PLAN_ETAPA!$C$4="(TODOS)",SUMIFS(PPTO_GENERADOR!$E$4:$E$220,PPTO_GENERADOR!$Q$4:$Q$220,A1188),SUMIFS(PPTO_GENERADOR!$E$4:$E$220,PPTO_GENERADOR!$Q$4:$Q$220,A1188,PPTO_GENERADOR!$B$4:$B$220,PLAN_ETAPA!$C$4))</f>
        <v>0</v>
      </c>
      <c r="M1188" s="216">
        <f>IFERROR(VLOOKUP(A1188,PARTIDAS!$A$2:$F$269,6,FALSE()),1)</f>
        <v>13</v>
      </c>
      <c r="N1188" s="216">
        <f>IFERROR(VLOOKUP(A1188,PARTIDAS!$A$2:$I$269,9,FALSE()),1)</f>
        <v>1</v>
      </c>
      <c r="O1188" s="217">
        <f t="shared" si="36"/>
        <v>0</v>
      </c>
      <c r="P1188" s="216">
        <f>IF(O1188=0,0,IF(B1188="MAT",G1188*(1+H1188)*L1188*PLAN_ETAPA!$C$5,IF(B1188="MO",IF(M1188=0,0,G1188*L1188*PLAN_ETAPA!$C$5*N1188/M1188),IF(B1188="EQ",IF(M1188=0,0,G1188*L1188*PLAN_ETAPA!$C$5/M1188),0))))</f>
        <v>0</v>
      </c>
      <c r="Q1188" s="218">
        <f t="shared" si="37"/>
        <v>0</v>
      </c>
    </row>
    <row r="1189" spans="1:17" x14ac:dyDescent="0.35">
      <c r="A1189" s="212" t="str">
        <f>COMPOSICIÓN!A1189</f>
        <v>PTO-1108</v>
      </c>
      <c r="B1189" s="212" t="str">
        <f>COMPOSICIÓN!B1189</f>
        <v>MAT</v>
      </c>
      <c r="C1189" s="212" t="str">
        <f>COMPOSICIÓN!C1189</f>
        <v>OTR</v>
      </c>
      <c r="D1189" s="212" t="str">
        <f>COMPOSICIÓN!D1189</f>
        <v>OTR-046</v>
      </c>
      <c r="E1189" s="212" t="str">
        <f>COMPOSICIÓN!E1189</f>
        <v>Disco Diamantado Aliafor Turbo Fino TRF</v>
      </c>
      <c r="F1189" s="212" t="str">
        <f>COMPOSICIÓN!F1189</f>
        <v>u</v>
      </c>
      <c r="G1189" s="213">
        <f>COMPOSICIÓN!G1189</f>
        <v>4.0000000000000001E-3</v>
      </c>
      <c r="H1189" s="214">
        <f>COMPOSICIÓN!H1189</f>
        <v>0.05</v>
      </c>
      <c r="I1189" s="215">
        <f>COMPOSICIÓN!I1189</f>
        <v>20237</v>
      </c>
      <c r="J1189" s="212" t="str">
        <f>IFERROR(VLOOKUP(A1189,PARTIDAS!$A$2:$C$269,3,FALSE()),"")</f>
        <v>PISOS</v>
      </c>
      <c r="K1189" s="212" t="str">
        <f>IFERROR(INDEX(PPTO_GENERADOR!$B$4:$B$220,MATCH(A1189,PPTO_GENERADOR!$Q$4:$Q$220,0)),"")</f>
        <v/>
      </c>
      <c r="L1189" s="216">
        <f>IF(PLAN_ETAPA!$C$4="(TODOS)",SUMIFS(PPTO_GENERADOR!$E$4:$E$220,PPTO_GENERADOR!$Q$4:$Q$220,A1189),SUMIFS(PPTO_GENERADOR!$E$4:$E$220,PPTO_GENERADOR!$Q$4:$Q$220,A1189,PPTO_GENERADOR!$B$4:$B$220,PLAN_ETAPA!$C$4))</f>
        <v>0</v>
      </c>
      <c r="M1189" s="216">
        <f>IFERROR(VLOOKUP(A1189,PARTIDAS!$A$2:$F$269,6,FALSE()),1)</f>
        <v>13</v>
      </c>
      <c r="N1189" s="216">
        <f>IFERROR(VLOOKUP(A1189,PARTIDAS!$A$2:$I$269,9,FALSE()),1)</f>
        <v>1</v>
      </c>
      <c r="O1189" s="217">
        <f t="shared" si="36"/>
        <v>0</v>
      </c>
      <c r="P1189" s="216">
        <f>IF(O1189=0,0,IF(B1189="MAT",G1189*(1+H1189)*L1189*PLAN_ETAPA!$C$5,IF(B1189="MO",IF(M1189=0,0,G1189*L1189*PLAN_ETAPA!$C$5*N1189/M1189),IF(B1189="EQ",IF(M1189=0,0,G1189*L1189*PLAN_ETAPA!$C$5/M1189),0))))</f>
        <v>0</v>
      </c>
      <c r="Q1189" s="218">
        <f t="shared" si="37"/>
        <v>0</v>
      </c>
    </row>
    <row r="1190" spans="1:17" x14ac:dyDescent="0.35">
      <c r="A1190" s="212" t="str">
        <f>COMPOSICIÓN!A1190</f>
        <v>PTO-1108</v>
      </c>
      <c r="B1190" s="212" t="str">
        <f>COMPOSICIÓN!B1190</f>
        <v>MAT</v>
      </c>
      <c r="C1190" s="212" t="str">
        <f>COMPOSICIÓN!C1190</f>
        <v>OTR</v>
      </c>
      <c r="D1190" s="212" t="str">
        <f>COMPOSICIÓN!D1190</f>
        <v>REV-012</v>
      </c>
      <c r="E1190" s="212" t="str">
        <f>COMPOSICIÓN!E1190</f>
        <v>Arco y cuña niveladores porcelanatos x 150 un</v>
      </c>
      <c r="F1190" s="212" t="str">
        <f>COMPOSICIÓN!F1190</f>
        <v>b</v>
      </c>
      <c r="G1190" s="213">
        <f>COMPOSICIÓN!G1190</f>
        <v>0.04</v>
      </c>
      <c r="H1190" s="214">
        <f>COMPOSICIÓN!H1190</f>
        <v>0.05</v>
      </c>
      <c r="I1190" s="215">
        <f>COMPOSICIÓN!I1190</f>
        <v>44669.4214876033</v>
      </c>
      <c r="J1190" s="212" t="str">
        <f>IFERROR(VLOOKUP(A1190,PARTIDAS!$A$2:$C$269,3,FALSE()),"")</f>
        <v>PISOS</v>
      </c>
      <c r="K1190" s="212" t="str">
        <f>IFERROR(INDEX(PPTO_GENERADOR!$B$4:$B$220,MATCH(A1190,PPTO_GENERADOR!$Q$4:$Q$220,0)),"")</f>
        <v/>
      </c>
      <c r="L1190" s="216">
        <f>IF(PLAN_ETAPA!$C$4="(TODOS)",SUMIFS(PPTO_GENERADOR!$E$4:$E$220,PPTO_GENERADOR!$Q$4:$Q$220,A1190),SUMIFS(PPTO_GENERADOR!$E$4:$E$220,PPTO_GENERADOR!$Q$4:$Q$220,A1190,PPTO_GENERADOR!$B$4:$B$220,PLAN_ETAPA!$C$4))</f>
        <v>0</v>
      </c>
      <c r="M1190" s="216">
        <f>IFERROR(VLOOKUP(A1190,PARTIDAS!$A$2:$F$269,6,FALSE()),1)</f>
        <v>13</v>
      </c>
      <c r="N1190" s="216">
        <f>IFERROR(VLOOKUP(A1190,PARTIDAS!$A$2:$I$269,9,FALSE()),1)</f>
        <v>1</v>
      </c>
      <c r="O1190" s="217">
        <f t="shared" si="36"/>
        <v>0</v>
      </c>
      <c r="P1190" s="216">
        <f>IF(O1190=0,0,IF(B1190="MAT",G1190*(1+H1190)*L1190*PLAN_ETAPA!$C$5,IF(B1190="MO",IF(M1190=0,0,G1190*L1190*PLAN_ETAPA!$C$5*N1190/M1190),IF(B1190="EQ",IF(M1190=0,0,G1190*L1190*PLAN_ETAPA!$C$5/M1190),0))))</f>
        <v>0</v>
      </c>
      <c r="Q1190" s="218">
        <f t="shared" si="37"/>
        <v>0</v>
      </c>
    </row>
    <row r="1191" spans="1:17" x14ac:dyDescent="0.35">
      <c r="A1191" s="212" t="str">
        <f>COMPOSICIÓN!A1191</f>
        <v>PTO-1108</v>
      </c>
      <c r="B1191" s="212" t="str">
        <f>COMPOSICIÓN!B1191</f>
        <v>MO</v>
      </c>
      <c r="C1191" s="212" t="str">
        <f>COMPOSICIÓN!C1191</f>
        <v>ALB</v>
      </c>
      <c r="D1191" s="212" t="str">
        <f>COMPOSICIÓN!D1191</f>
        <v>MO-EESPE</v>
      </c>
      <c r="E1191" s="212" t="str">
        <f>COMPOSICIÓN!E1191</f>
        <v>ESPECIALIZADO</v>
      </c>
      <c r="F1191" s="212" t="str">
        <f>COMPOSICIÓN!F1191</f>
        <v>j</v>
      </c>
      <c r="G1191" s="213">
        <f>COMPOSICIÓN!G1191</f>
        <v>1</v>
      </c>
      <c r="H1191" s="214">
        <f>COMPOSICIÓN!H1191</f>
        <v>0</v>
      </c>
      <c r="I1191" s="215">
        <f>COMPOSICIÓN!I1191</f>
        <v>85927.097156571996</v>
      </c>
      <c r="J1191" s="212" t="str">
        <f>IFERROR(VLOOKUP(A1191,PARTIDAS!$A$2:$C$269,3,FALSE()),"")</f>
        <v>PISOS</v>
      </c>
      <c r="K1191" s="212" t="str">
        <f>IFERROR(INDEX(PPTO_GENERADOR!$B$4:$B$220,MATCH(A1191,PPTO_GENERADOR!$Q$4:$Q$220,0)),"")</f>
        <v/>
      </c>
      <c r="L1191" s="216">
        <f>IF(PLAN_ETAPA!$C$4="(TODOS)",SUMIFS(PPTO_GENERADOR!$E$4:$E$220,PPTO_GENERADOR!$Q$4:$Q$220,A1191),SUMIFS(PPTO_GENERADOR!$E$4:$E$220,PPTO_GENERADOR!$Q$4:$Q$220,A1191,PPTO_GENERADOR!$B$4:$B$220,PLAN_ETAPA!$C$4))</f>
        <v>0</v>
      </c>
      <c r="M1191" s="216">
        <f>IFERROR(VLOOKUP(A1191,PARTIDAS!$A$2:$F$269,6,FALSE()),1)</f>
        <v>13</v>
      </c>
      <c r="N1191" s="216">
        <f>IFERROR(VLOOKUP(A1191,PARTIDAS!$A$2:$I$269,9,FALSE()),1)</f>
        <v>1</v>
      </c>
      <c r="O1191" s="217">
        <f t="shared" si="36"/>
        <v>0</v>
      </c>
      <c r="P1191" s="216">
        <f>IF(O1191=0,0,IF(B1191="MAT",G1191*(1+H1191)*L1191*PLAN_ETAPA!$C$5,IF(B1191="MO",IF(M1191=0,0,G1191*L1191*PLAN_ETAPA!$C$5*N1191/M1191),IF(B1191="EQ",IF(M1191=0,0,G1191*L1191*PLAN_ETAPA!$C$5/M1191),0))))</f>
        <v>0</v>
      </c>
      <c r="Q1191" s="218">
        <f t="shared" si="37"/>
        <v>0</v>
      </c>
    </row>
    <row r="1192" spans="1:17" x14ac:dyDescent="0.35">
      <c r="A1192" s="212" t="str">
        <f>COMPOSICIÓN!A1192</f>
        <v>PTO-1108</v>
      </c>
      <c r="B1192" s="212" t="str">
        <f>COMPOSICIÓN!B1192</f>
        <v>MO</v>
      </c>
      <c r="C1192" s="212" t="str">
        <f>COMPOSICIÓN!C1192</f>
        <v>ALB</v>
      </c>
      <c r="D1192" s="212" t="str">
        <f>COMPOSICIÓN!D1192</f>
        <v>MO-EOFIC</v>
      </c>
      <c r="E1192" s="212" t="str">
        <f>COMPOSICIÓN!E1192</f>
        <v>OFICIAL</v>
      </c>
      <c r="F1192" s="212" t="str">
        <f>COMPOSICIÓN!F1192</f>
        <v>j</v>
      </c>
      <c r="G1192" s="213">
        <f>COMPOSICIÓN!G1192</f>
        <v>1</v>
      </c>
      <c r="H1192" s="214">
        <f>COMPOSICIÓN!H1192</f>
        <v>0</v>
      </c>
      <c r="I1192" s="215">
        <f>COMPOSICIÓN!I1192</f>
        <v>76955.079706571996</v>
      </c>
      <c r="J1192" s="212" t="str">
        <f>IFERROR(VLOOKUP(A1192,PARTIDAS!$A$2:$C$269,3,FALSE()),"")</f>
        <v>PISOS</v>
      </c>
      <c r="K1192" s="212" t="str">
        <f>IFERROR(INDEX(PPTO_GENERADOR!$B$4:$B$220,MATCH(A1192,PPTO_GENERADOR!$Q$4:$Q$220,0)),"")</f>
        <v/>
      </c>
      <c r="L1192" s="216">
        <f>IF(PLAN_ETAPA!$C$4="(TODOS)",SUMIFS(PPTO_GENERADOR!$E$4:$E$220,PPTO_GENERADOR!$Q$4:$Q$220,A1192),SUMIFS(PPTO_GENERADOR!$E$4:$E$220,PPTO_GENERADOR!$Q$4:$Q$220,A1192,PPTO_GENERADOR!$B$4:$B$220,PLAN_ETAPA!$C$4))</f>
        <v>0</v>
      </c>
      <c r="M1192" s="216">
        <f>IFERROR(VLOOKUP(A1192,PARTIDAS!$A$2:$F$269,6,FALSE()),1)</f>
        <v>13</v>
      </c>
      <c r="N1192" s="216">
        <f>IFERROR(VLOOKUP(A1192,PARTIDAS!$A$2:$I$269,9,FALSE()),1)</f>
        <v>1</v>
      </c>
      <c r="O1192" s="217">
        <f t="shared" si="36"/>
        <v>0</v>
      </c>
      <c r="P1192" s="216">
        <f>IF(O1192=0,0,IF(B1192="MAT",G1192*(1+H1192)*L1192*PLAN_ETAPA!$C$5,IF(B1192="MO",IF(M1192=0,0,G1192*L1192*PLAN_ETAPA!$C$5*N1192/M1192),IF(B1192="EQ",IF(M1192=0,0,G1192*L1192*PLAN_ETAPA!$C$5/M1192),0))))</f>
        <v>0</v>
      </c>
      <c r="Q1192" s="218">
        <f t="shared" si="37"/>
        <v>0</v>
      </c>
    </row>
    <row r="1193" spans="1:17" x14ac:dyDescent="0.35">
      <c r="A1193" s="212" t="str">
        <f>COMPOSICIÓN!A1193</f>
        <v>PTO-1109</v>
      </c>
      <c r="B1193" s="212" t="str">
        <f>COMPOSICIÓN!B1193</f>
        <v>EQ</v>
      </c>
      <c r="C1193" s="212">
        <f>COMPOSICIÓN!C1193</f>
        <v>0</v>
      </c>
      <c r="D1193" s="212" t="str">
        <f>COMPOSICIÓN!D1193</f>
        <v>EQ-CORTA</v>
      </c>
      <c r="E1193" s="212" t="str">
        <f>COMPOSICIÓN!E1193</f>
        <v>CORTADORA CERAMICA PROFESIONAL 1200MM (PORCELANATO HASTA 16MM)</v>
      </c>
      <c r="F1193" s="212">
        <f>COMPOSICIÓN!F1193</f>
        <v>0</v>
      </c>
      <c r="G1193" s="213">
        <f>COMPOSICIÓN!G1193</f>
        <v>1</v>
      </c>
      <c r="H1193" s="214">
        <f>COMPOSICIÓN!H1193</f>
        <v>0</v>
      </c>
      <c r="I1193" s="215">
        <f>COMPOSICIÓN!I1193</f>
        <v>298.42384358082836</v>
      </c>
      <c r="J1193" s="212" t="str">
        <f>IFERROR(VLOOKUP(A1193,PARTIDAS!$A$2:$C$269,3,FALSE()),"")</f>
        <v>PISOS</v>
      </c>
      <c r="K1193" s="212" t="str">
        <f>IFERROR(INDEX(PPTO_GENERADOR!$B$4:$B$220,MATCH(A1193,PPTO_GENERADOR!$Q$4:$Q$220,0)),"")</f>
        <v/>
      </c>
      <c r="L1193" s="216">
        <f>IF(PLAN_ETAPA!$C$4="(TODOS)",SUMIFS(PPTO_GENERADOR!$E$4:$E$220,PPTO_GENERADOR!$Q$4:$Q$220,A1193),SUMIFS(PPTO_GENERADOR!$E$4:$E$220,PPTO_GENERADOR!$Q$4:$Q$220,A1193,PPTO_GENERADOR!$B$4:$B$220,PLAN_ETAPA!$C$4))</f>
        <v>0</v>
      </c>
      <c r="M1193" s="216">
        <f>IFERROR(VLOOKUP(A1193,PARTIDAS!$A$2:$F$269,6,FALSE()),1)</f>
        <v>10</v>
      </c>
      <c r="N1193" s="216">
        <f>IFERROR(VLOOKUP(A1193,PARTIDAS!$A$2:$I$269,9,FALSE()),1)</f>
        <v>1</v>
      </c>
      <c r="O1193" s="217">
        <f t="shared" si="36"/>
        <v>0</v>
      </c>
      <c r="P1193" s="216">
        <f>IF(O1193=0,0,IF(B1193="MAT",G1193*(1+H1193)*L1193*PLAN_ETAPA!$C$5,IF(B1193="MO",IF(M1193=0,0,G1193*L1193*PLAN_ETAPA!$C$5*N1193/M1193),IF(B1193="EQ",IF(M1193=0,0,G1193*L1193*PLAN_ETAPA!$C$5/M1193),0))))</f>
        <v>0</v>
      </c>
      <c r="Q1193" s="218">
        <f t="shared" si="37"/>
        <v>0</v>
      </c>
    </row>
    <row r="1194" spans="1:17" x14ac:dyDescent="0.35">
      <c r="A1194" s="212" t="str">
        <f>COMPOSICIÓN!A1194</f>
        <v>PTO-1109</v>
      </c>
      <c r="B1194" s="212" t="str">
        <f>COMPOSICIÓN!B1194</f>
        <v>EQ</v>
      </c>
      <c r="C1194" s="212">
        <f>COMPOSICIÓN!C1194</f>
        <v>0</v>
      </c>
      <c r="D1194" s="212" t="str">
        <f>COMPOSICIÓN!D1194</f>
        <v>EQ-EQCERA</v>
      </c>
      <c r="E1194" s="212" t="str">
        <f>COMPOSICIÓN!E1194</f>
        <v>EQUIPO PARA COLOCACION DE CERAMICA</v>
      </c>
      <c r="F1194" s="212">
        <f>COMPOSICIÓN!F1194</f>
        <v>0</v>
      </c>
      <c r="G1194" s="213">
        <f>COMPOSICIÓN!G1194</f>
        <v>1</v>
      </c>
      <c r="H1194" s="214">
        <f>COMPOSICIÓN!H1194</f>
        <v>0</v>
      </c>
      <c r="I1194" s="215">
        <f>COMPOSICIÓN!I1194</f>
        <v>2637.1418444899073</v>
      </c>
      <c r="J1194" s="212" t="str">
        <f>IFERROR(VLOOKUP(A1194,PARTIDAS!$A$2:$C$269,3,FALSE()),"")</f>
        <v>PISOS</v>
      </c>
      <c r="K1194" s="212" t="str">
        <f>IFERROR(INDEX(PPTO_GENERADOR!$B$4:$B$220,MATCH(A1194,PPTO_GENERADOR!$Q$4:$Q$220,0)),"")</f>
        <v/>
      </c>
      <c r="L1194" s="216">
        <f>IF(PLAN_ETAPA!$C$4="(TODOS)",SUMIFS(PPTO_GENERADOR!$E$4:$E$220,PPTO_GENERADOR!$Q$4:$Q$220,A1194),SUMIFS(PPTO_GENERADOR!$E$4:$E$220,PPTO_GENERADOR!$Q$4:$Q$220,A1194,PPTO_GENERADOR!$B$4:$B$220,PLAN_ETAPA!$C$4))</f>
        <v>0</v>
      </c>
      <c r="M1194" s="216">
        <f>IFERROR(VLOOKUP(A1194,PARTIDAS!$A$2:$F$269,6,FALSE()),1)</f>
        <v>10</v>
      </c>
      <c r="N1194" s="216">
        <f>IFERROR(VLOOKUP(A1194,PARTIDAS!$A$2:$I$269,9,FALSE()),1)</f>
        <v>1</v>
      </c>
      <c r="O1194" s="217">
        <f t="shared" si="36"/>
        <v>0</v>
      </c>
      <c r="P1194" s="216">
        <f>IF(O1194=0,0,IF(B1194="MAT",G1194*(1+H1194)*L1194*PLAN_ETAPA!$C$5,IF(B1194="MO",IF(M1194=0,0,G1194*L1194*PLAN_ETAPA!$C$5*N1194/M1194),IF(B1194="EQ",IF(M1194=0,0,G1194*L1194*PLAN_ETAPA!$C$5/M1194),0))))</f>
        <v>0</v>
      </c>
      <c r="Q1194" s="218">
        <f t="shared" si="37"/>
        <v>0</v>
      </c>
    </row>
    <row r="1195" spans="1:17" x14ac:dyDescent="0.35">
      <c r="A1195" s="212" t="str">
        <f>COMPOSICIÓN!A1195</f>
        <v>PTO-1109</v>
      </c>
      <c r="B1195" s="212" t="str">
        <f>COMPOSICIÓN!B1195</f>
        <v>MAT</v>
      </c>
      <c r="C1195" s="212" t="str">
        <f>COMPOSICIÓN!C1195</f>
        <v>OTR</v>
      </c>
      <c r="D1195" s="212" t="str">
        <f>COMPOSICIÓN!D1195</f>
        <v>AGR-005</v>
      </c>
      <c r="E1195" s="212" t="str">
        <f>COMPOSICIÓN!E1195</f>
        <v>Cal Comun x 25kg</v>
      </c>
      <c r="F1195" s="212" t="str">
        <f>COMPOSICIÓN!F1195</f>
        <v>bol</v>
      </c>
      <c r="G1195" s="213">
        <f>COMPOSICIÓN!G1195</f>
        <v>0.4</v>
      </c>
      <c r="H1195" s="214">
        <f>COMPOSICIÓN!H1195</f>
        <v>0.2</v>
      </c>
      <c r="I1195" s="215">
        <f>COMPOSICIÓN!I1195</f>
        <v>3837.96</v>
      </c>
      <c r="J1195" s="212" t="str">
        <f>IFERROR(VLOOKUP(A1195,PARTIDAS!$A$2:$C$269,3,FALSE()),"")</f>
        <v>PISOS</v>
      </c>
      <c r="K1195" s="212" t="str">
        <f>IFERROR(INDEX(PPTO_GENERADOR!$B$4:$B$220,MATCH(A1195,PPTO_GENERADOR!$Q$4:$Q$220,0)),"")</f>
        <v/>
      </c>
      <c r="L1195" s="216">
        <f>IF(PLAN_ETAPA!$C$4="(TODOS)",SUMIFS(PPTO_GENERADOR!$E$4:$E$220,PPTO_GENERADOR!$Q$4:$Q$220,A1195),SUMIFS(PPTO_GENERADOR!$E$4:$E$220,PPTO_GENERADOR!$Q$4:$Q$220,A1195,PPTO_GENERADOR!$B$4:$B$220,PLAN_ETAPA!$C$4))</f>
        <v>0</v>
      </c>
      <c r="M1195" s="216">
        <f>IFERROR(VLOOKUP(A1195,PARTIDAS!$A$2:$F$269,6,FALSE()),1)</f>
        <v>10</v>
      </c>
      <c r="N1195" s="216">
        <f>IFERROR(VLOOKUP(A1195,PARTIDAS!$A$2:$I$269,9,FALSE()),1)</f>
        <v>1</v>
      </c>
      <c r="O1195" s="217">
        <f t="shared" si="36"/>
        <v>0</v>
      </c>
      <c r="P1195" s="216">
        <f>IF(O1195=0,0,IF(B1195="MAT",G1195*(1+H1195)*L1195*PLAN_ETAPA!$C$5,IF(B1195="MO",IF(M1195=0,0,G1195*L1195*PLAN_ETAPA!$C$5*N1195/M1195),IF(B1195="EQ",IF(M1195=0,0,G1195*L1195*PLAN_ETAPA!$C$5/M1195),0))))</f>
        <v>0</v>
      </c>
      <c r="Q1195" s="218">
        <f t="shared" si="37"/>
        <v>0</v>
      </c>
    </row>
    <row r="1196" spans="1:17" x14ac:dyDescent="0.35">
      <c r="A1196" s="212" t="str">
        <f>COMPOSICIÓN!A1196</f>
        <v>PTO-1109</v>
      </c>
      <c r="B1196" s="212" t="str">
        <f>COMPOSICIÓN!B1196</f>
        <v>MAT</v>
      </c>
      <c r="C1196" s="212" t="str">
        <f>COMPOSICIÓN!C1196</f>
        <v>OTR</v>
      </c>
      <c r="D1196" s="212" t="str">
        <f>COMPOSICIÓN!D1196</f>
        <v>OTR-025</v>
      </c>
      <c r="E1196" s="212" t="str">
        <f>COMPOSICIÓN!E1196</f>
        <v>Trapo</v>
      </c>
      <c r="F1196" s="212" t="str">
        <f>COMPOSICIÓN!F1196</f>
        <v>u</v>
      </c>
      <c r="G1196" s="213">
        <f>COMPOSICIÓN!G1196</f>
        <v>0.01</v>
      </c>
      <c r="H1196" s="214">
        <f>COMPOSICIÓN!H1196</f>
        <v>0.03</v>
      </c>
      <c r="I1196" s="215">
        <f>COMPOSICIÓN!I1196</f>
        <v>735.06</v>
      </c>
      <c r="J1196" s="212" t="str">
        <f>IFERROR(VLOOKUP(A1196,PARTIDAS!$A$2:$C$269,3,FALSE()),"")</f>
        <v>PISOS</v>
      </c>
      <c r="K1196" s="212" t="str">
        <f>IFERROR(INDEX(PPTO_GENERADOR!$B$4:$B$220,MATCH(A1196,PPTO_GENERADOR!$Q$4:$Q$220,0)),"")</f>
        <v/>
      </c>
      <c r="L1196" s="216">
        <f>IF(PLAN_ETAPA!$C$4="(TODOS)",SUMIFS(PPTO_GENERADOR!$E$4:$E$220,PPTO_GENERADOR!$Q$4:$Q$220,A1196),SUMIFS(PPTO_GENERADOR!$E$4:$E$220,PPTO_GENERADOR!$Q$4:$Q$220,A1196,PPTO_GENERADOR!$B$4:$B$220,PLAN_ETAPA!$C$4))</f>
        <v>0</v>
      </c>
      <c r="M1196" s="216">
        <f>IFERROR(VLOOKUP(A1196,PARTIDAS!$A$2:$F$269,6,FALSE()),1)</f>
        <v>10</v>
      </c>
      <c r="N1196" s="216">
        <f>IFERROR(VLOOKUP(A1196,PARTIDAS!$A$2:$I$269,9,FALSE()),1)</f>
        <v>1</v>
      </c>
      <c r="O1196" s="217">
        <f t="shared" si="36"/>
        <v>0</v>
      </c>
      <c r="P1196" s="216">
        <f>IF(O1196=0,0,IF(B1196="MAT",G1196*(1+H1196)*L1196*PLAN_ETAPA!$C$5,IF(B1196="MO",IF(M1196=0,0,G1196*L1196*PLAN_ETAPA!$C$5*N1196/M1196),IF(B1196="EQ",IF(M1196=0,0,G1196*L1196*PLAN_ETAPA!$C$5/M1196),0))))</f>
        <v>0</v>
      </c>
      <c r="Q1196" s="218">
        <f t="shared" si="37"/>
        <v>0</v>
      </c>
    </row>
    <row r="1197" spans="1:17" x14ac:dyDescent="0.35">
      <c r="A1197" s="212" t="str">
        <f>COMPOSICIÓN!A1197</f>
        <v>PTO-1109</v>
      </c>
      <c r="B1197" s="212" t="str">
        <f>COMPOSICIÓN!B1197</f>
        <v>MAT</v>
      </c>
      <c r="C1197" s="212" t="str">
        <f>COMPOSICIÓN!C1197</f>
        <v>OTR</v>
      </c>
      <c r="D1197" s="212" t="str">
        <f>COMPOSICIÓN!D1197</f>
        <v>OTR-046</v>
      </c>
      <c r="E1197" s="212" t="str">
        <f>COMPOSICIÓN!E1197</f>
        <v>Disco Diamantado Aliafor Turbo Fino TRF</v>
      </c>
      <c r="F1197" s="212" t="str">
        <f>COMPOSICIÓN!F1197</f>
        <v>u</v>
      </c>
      <c r="G1197" s="213">
        <f>COMPOSICIÓN!G1197</f>
        <v>4.0000000000000001E-3</v>
      </c>
      <c r="H1197" s="214">
        <f>COMPOSICIÓN!H1197</f>
        <v>0.05</v>
      </c>
      <c r="I1197" s="215">
        <f>COMPOSICIÓN!I1197</f>
        <v>20237</v>
      </c>
      <c r="J1197" s="212" t="str">
        <f>IFERROR(VLOOKUP(A1197,PARTIDAS!$A$2:$C$269,3,FALSE()),"")</f>
        <v>PISOS</v>
      </c>
      <c r="K1197" s="212" t="str">
        <f>IFERROR(INDEX(PPTO_GENERADOR!$B$4:$B$220,MATCH(A1197,PPTO_GENERADOR!$Q$4:$Q$220,0)),"")</f>
        <v/>
      </c>
      <c r="L1197" s="216">
        <f>IF(PLAN_ETAPA!$C$4="(TODOS)",SUMIFS(PPTO_GENERADOR!$E$4:$E$220,PPTO_GENERADOR!$Q$4:$Q$220,A1197),SUMIFS(PPTO_GENERADOR!$E$4:$E$220,PPTO_GENERADOR!$Q$4:$Q$220,A1197,PPTO_GENERADOR!$B$4:$B$220,PLAN_ETAPA!$C$4))</f>
        <v>0</v>
      </c>
      <c r="M1197" s="216">
        <f>IFERROR(VLOOKUP(A1197,PARTIDAS!$A$2:$F$269,6,FALSE()),1)</f>
        <v>10</v>
      </c>
      <c r="N1197" s="216">
        <f>IFERROR(VLOOKUP(A1197,PARTIDAS!$A$2:$I$269,9,FALSE()),1)</f>
        <v>1</v>
      </c>
      <c r="O1197" s="217">
        <f t="shared" si="36"/>
        <v>0</v>
      </c>
      <c r="P1197" s="216">
        <f>IF(O1197=0,0,IF(B1197="MAT",G1197*(1+H1197)*L1197*PLAN_ETAPA!$C$5,IF(B1197="MO",IF(M1197=0,0,G1197*L1197*PLAN_ETAPA!$C$5*N1197/M1197),IF(B1197="EQ",IF(M1197=0,0,G1197*L1197*PLAN_ETAPA!$C$5/M1197),0))))</f>
        <v>0</v>
      </c>
      <c r="Q1197" s="218">
        <f t="shared" si="37"/>
        <v>0</v>
      </c>
    </row>
    <row r="1198" spans="1:17" x14ac:dyDescent="0.35">
      <c r="A1198" s="212" t="str">
        <f>COMPOSICIÓN!A1198</f>
        <v>PTO-1109</v>
      </c>
      <c r="B1198" s="212" t="str">
        <f>COMPOSICIÓN!B1198</f>
        <v>MAT</v>
      </c>
      <c r="C1198" s="212" t="str">
        <f>COMPOSICIÓN!C1198</f>
        <v>OTR</v>
      </c>
      <c r="D1198" s="212" t="str">
        <f>COMPOSICIÓN!D1198</f>
        <v>REV-012</v>
      </c>
      <c r="E1198" s="212" t="str">
        <f>COMPOSICIÓN!E1198</f>
        <v>Arco y cuña niveladores porcelanatos x 150 un</v>
      </c>
      <c r="F1198" s="212" t="str">
        <f>COMPOSICIÓN!F1198</f>
        <v>b</v>
      </c>
      <c r="G1198" s="213">
        <f>COMPOSICIÓN!G1198</f>
        <v>0.04</v>
      </c>
      <c r="H1198" s="214">
        <f>COMPOSICIÓN!H1198</f>
        <v>0.05</v>
      </c>
      <c r="I1198" s="215">
        <f>COMPOSICIÓN!I1198</f>
        <v>44669.4214876033</v>
      </c>
      <c r="J1198" s="212" t="str">
        <f>IFERROR(VLOOKUP(A1198,PARTIDAS!$A$2:$C$269,3,FALSE()),"")</f>
        <v>PISOS</v>
      </c>
      <c r="K1198" s="212" t="str">
        <f>IFERROR(INDEX(PPTO_GENERADOR!$B$4:$B$220,MATCH(A1198,PPTO_GENERADOR!$Q$4:$Q$220,0)),"")</f>
        <v/>
      </c>
      <c r="L1198" s="216">
        <f>IF(PLAN_ETAPA!$C$4="(TODOS)",SUMIFS(PPTO_GENERADOR!$E$4:$E$220,PPTO_GENERADOR!$Q$4:$Q$220,A1198),SUMIFS(PPTO_GENERADOR!$E$4:$E$220,PPTO_GENERADOR!$Q$4:$Q$220,A1198,PPTO_GENERADOR!$B$4:$B$220,PLAN_ETAPA!$C$4))</f>
        <v>0</v>
      </c>
      <c r="M1198" s="216">
        <f>IFERROR(VLOOKUP(A1198,PARTIDAS!$A$2:$F$269,6,FALSE()),1)</f>
        <v>10</v>
      </c>
      <c r="N1198" s="216">
        <f>IFERROR(VLOOKUP(A1198,PARTIDAS!$A$2:$I$269,9,FALSE()),1)</f>
        <v>1</v>
      </c>
      <c r="O1198" s="217">
        <f t="shared" si="36"/>
        <v>0</v>
      </c>
      <c r="P1198" s="216">
        <f>IF(O1198=0,0,IF(B1198="MAT",G1198*(1+H1198)*L1198*PLAN_ETAPA!$C$5,IF(B1198="MO",IF(M1198=0,0,G1198*L1198*PLAN_ETAPA!$C$5*N1198/M1198),IF(B1198="EQ",IF(M1198=0,0,G1198*L1198*PLAN_ETAPA!$C$5/M1198),0))))</f>
        <v>0</v>
      </c>
      <c r="Q1198" s="218">
        <f t="shared" si="37"/>
        <v>0</v>
      </c>
    </row>
    <row r="1199" spans="1:17" x14ac:dyDescent="0.35">
      <c r="A1199" s="212" t="str">
        <f>COMPOSICIÓN!A1199</f>
        <v>PTO-1109</v>
      </c>
      <c r="B1199" s="212" t="str">
        <f>COMPOSICIÓN!B1199</f>
        <v>MO</v>
      </c>
      <c r="C1199" s="212" t="str">
        <f>COMPOSICIÓN!C1199</f>
        <v>ALB</v>
      </c>
      <c r="D1199" s="212" t="str">
        <f>COMPOSICIÓN!D1199</f>
        <v>MO-EESPE</v>
      </c>
      <c r="E1199" s="212" t="str">
        <f>COMPOSICIÓN!E1199</f>
        <v>ESPECIALIZADO</v>
      </c>
      <c r="F1199" s="212" t="str">
        <f>COMPOSICIÓN!F1199</f>
        <v>j</v>
      </c>
      <c r="G1199" s="213">
        <f>COMPOSICIÓN!G1199</f>
        <v>1</v>
      </c>
      <c r="H1199" s="214">
        <f>COMPOSICIÓN!H1199</f>
        <v>0</v>
      </c>
      <c r="I1199" s="215">
        <f>COMPOSICIÓN!I1199</f>
        <v>85927.097156571996</v>
      </c>
      <c r="J1199" s="212" t="str">
        <f>IFERROR(VLOOKUP(A1199,PARTIDAS!$A$2:$C$269,3,FALSE()),"")</f>
        <v>PISOS</v>
      </c>
      <c r="K1199" s="212" t="str">
        <f>IFERROR(INDEX(PPTO_GENERADOR!$B$4:$B$220,MATCH(A1199,PPTO_GENERADOR!$Q$4:$Q$220,0)),"")</f>
        <v/>
      </c>
      <c r="L1199" s="216">
        <f>IF(PLAN_ETAPA!$C$4="(TODOS)",SUMIFS(PPTO_GENERADOR!$E$4:$E$220,PPTO_GENERADOR!$Q$4:$Q$220,A1199),SUMIFS(PPTO_GENERADOR!$E$4:$E$220,PPTO_GENERADOR!$Q$4:$Q$220,A1199,PPTO_GENERADOR!$B$4:$B$220,PLAN_ETAPA!$C$4))</f>
        <v>0</v>
      </c>
      <c r="M1199" s="216">
        <f>IFERROR(VLOOKUP(A1199,PARTIDAS!$A$2:$F$269,6,FALSE()),1)</f>
        <v>10</v>
      </c>
      <c r="N1199" s="216">
        <f>IFERROR(VLOOKUP(A1199,PARTIDAS!$A$2:$I$269,9,FALSE()),1)</f>
        <v>1</v>
      </c>
      <c r="O1199" s="217">
        <f t="shared" si="36"/>
        <v>0</v>
      </c>
      <c r="P1199" s="216">
        <f>IF(O1199=0,0,IF(B1199="MAT",G1199*(1+H1199)*L1199*PLAN_ETAPA!$C$5,IF(B1199="MO",IF(M1199=0,0,G1199*L1199*PLAN_ETAPA!$C$5*N1199/M1199),IF(B1199="EQ",IF(M1199=0,0,G1199*L1199*PLAN_ETAPA!$C$5/M1199),0))))</f>
        <v>0</v>
      </c>
      <c r="Q1199" s="218">
        <f t="shared" si="37"/>
        <v>0</v>
      </c>
    </row>
    <row r="1200" spans="1:17" x14ac:dyDescent="0.35">
      <c r="A1200" s="212" t="str">
        <f>COMPOSICIÓN!A1200</f>
        <v>PTO-1109</v>
      </c>
      <c r="B1200" s="212" t="str">
        <f>COMPOSICIÓN!B1200</f>
        <v>MO</v>
      </c>
      <c r="C1200" s="212" t="str">
        <f>COMPOSICIÓN!C1200</f>
        <v>ALB</v>
      </c>
      <c r="D1200" s="212" t="str">
        <f>COMPOSICIÓN!D1200</f>
        <v>MO-EOFIC</v>
      </c>
      <c r="E1200" s="212" t="str">
        <f>COMPOSICIÓN!E1200</f>
        <v>OFICIAL</v>
      </c>
      <c r="F1200" s="212" t="str">
        <f>COMPOSICIÓN!F1200</f>
        <v>j</v>
      </c>
      <c r="G1200" s="213">
        <f>COMPOSICIÓN!G1200</f>
        <v>1</v>
      </c>
      <c r="H1200" s="214">
        <f>COMPOSICIÓN!H1200</f>
        <v>0</v>
      </c>
      <c r="I1200" s="215">
        <f>COMPOSICIÓN!I1200</f>
        <v>76955.079706571996</v>
      </c>
      <c r="J1200" s="212" t="str">
        <f>IFERROR(VLOOKUP(A1200,PARTIDAS!$A$2:$C$269,3,FALSE()),"")</f>
        <v>PISOS</v>
      </c>
      <c r="K1200" s="212" t="str">
        <f>IFERROR(INDEX(PPTO_GENERADOR!$B$4:$B$220,MATCH(A1200,PPTO_GENERADOR!$Q$4:$Q$220,0)),"")</f>
        <v/>
      </c>
      <c r="L1200" s="216">
        <f>IF(PLAN_ETAPA!$C$4="(TODOS)",SUMIFS(PPTO_GENERADOR!$E$4:$E$220,PPTO_GENERADOR!$Q$4:$Q$220,A1200),SUMIFS(PPTO_GENERADOR!$E$4:$E$220,PPTO_GENERADOR!$Q$4:$Q$220,A1200,PPTO_GENERADOR!$B$4:$B$220,PLAN_ETAPA!$C$4))</f>
        <v>0</v>
      </c>
      <c r="M1200" s="216">
        <f>IFERROR(VLOOKUP(A1200,PARTIDAS!$A$2:$F$269,6,FALSE()),1)</f>
        <v>10</v>
      </c>
      <c r="N1200" s="216">
        <f>IFERROR(VLOOKUP(A1200,PARTIDAS!$A$2:$I$269,9,FALSE()),1)</f>
        <v>1</v>
      </c>
      <c r="O1200" s="217">
        <f t="shared" si="36"/>
        <v>0</v>
      </c>
      <c r="P1200" s="216">
        <f>IF(O1200=0,0,IF(B1200="MAT",G1200*(1+H1200)*L1200*PLAN_ETAPA!$C$5,IF(B1200="MO",IF(M1200=0,0,G1200*L1200*PLAN_ETAPA!$C$5*N1200/M1200),IF(B1200="EQ",IF(M1200=0,0,G1200*L1200*PLAN_ETAPA!$C$5/M1200),0))))</f>
        <v>0</v>
      </c>
      <c r="Q1200" s="218">
        <f t="shared" si="37"/>
        <v>0</v>
      </c>
    </row>
    <row r="1201" spans="1:17" x14ac:dyDescent="0.35">
      <c r="A1201" s="212" t="str">
        <f>COMPOSICIÓN!A1201</f>
        <v>PTO-1110</v>
      </c>
      <c r="B1201" s="212" t="str">
        <f>COMPOSICIÓN!B1201</f>
        <v>EQ</v>
      </c>
      <c r="C1201" s="212">
        <f>COMPOSICIÓN!C1201</f>
        <v>0</v>
      </c>
      <c r="D1201" s="212" t="str">
        <f>COMPOSICIÓN!D1201</f>
        <v>EQ-CORTA</v>
      </c>
      <c r="E1201" s="212" t="str">
        <f>COMPOSICIÓN!E1201</f>
        <v>CORTADORA CERAMICA PROFESIONAL 1200MM (PORCELANATO HASTA 16MM)</v>
      </c>
      <c r="F1201" s="212">
        <f>COMPOSICIÓN!F1201</f>
        <v>0</v>
      </c>
      <c r="G1201" s="213">
        <f>COMPOSICIÓN!G1201</f>
        <v>1</v>
      </c>
      <c r="H1201" s="214">
        <f>COMPOSICIÓN!H1201</f>
        <v>0</v>
      </c>
      <c r="I1201" s="215">
        <f>COMPOSICIÓN!I1201</f>
        <v>298.42384358082836</v>
      </c>
      <c r="J1201" s="212" t="str">
        <f>IFERROR(VLOOKUP(A1201,PARTIDAS!$A$2:$C$269,3,FALSE()),"")</f>
        <v>PISOS</v>
      </c>
      <c r="K1201" s="212" t="str">
        <f>IFERROR(INDEX(PPTO_GENERADOR!$B$4:$B$220,MATCH(A1201,PPTO_GENERADOR!$Q$4:$Q$220,0)),"")</f>
        <v/>
      </c>
      <c r="L1201" s="216">
        <f>IF(PLAN_ETAPA!$C$4="(TODOS)",SUMIFS(PPTO_GENERADOR!$E$4:$E$220,PPTO_GENERADOR!$Q$4:$Q$220,A1201),SUMIFS(PPTO_GENERADOR!$E$4:$E$220,PPTO_GENERADOR!$Q$4:$Q$220,A1201,PPTO_GENERADOR!$B$4:$B$220,PLAN_ETAPA!$C$4))</f>
        <v>0</v>
      </c>
      <c r="M1201" s="216">
        <f>IFERROR(VLOOKUP(A1201,PARTIDAS!$A$2:$F$269,6,FALSE()),1)</f>
        <v>13</v>
      </c>
      <c r="N1201" s="216">
        <f>IFERROR(VLOOKUP(A1201,PARTIDAS!$A$2:$I$269,9,FALSE()),1)</f>
        <v>1</v>
      </c>
      <c r="O1201" s="217">
        <f t="shared" si="36"/>
        <v>0</v>
      </c>
      <c r="P1201" s="216">
        <f>IF(O1201=0,0,IF(B1201="MAT",G1201*(1+H1201)*L1201*PLAN_ETAPA!$C$5,IF(B1201="MO",IF(M1201=0,0,G1201*L1201*PLAN_ETAPA!$C$5*N1201/M1201),IF(B1201="EQ",IF(M1201=0,0,G1201*L1201*PLAN_ETAPA!$C$5/M1201),0))))</f>
        <v>0</v>
      </c>
      <c r="Q1201" s="218">
        <f t="shared" si="37"/>
        <v>0</v>
      </c>
    </row>
    <row r="1202" spans="1:17" x14ac:dyDescent="0.35">
      <c r="A1202" s="212" t="str">
        <f>COMPOSICIÓN!A1202</f>
        <v>PTO-1110</v>
      </c>
      <c r="B1202" s="212" t="str">
        <f>COMPOSICIÓN!B1202</f>
        <v>EQ</v>
      </c>
      <c r="C1202" s="212">
        <f>COMPOSICIÓN!C1202</f>
        <v>0</v>
      </c>
      <c r="D1202" s="212" t="str">
        <f>COMPOSICIÓN!D1202</f>
        <v>EQ-EQCERA</v>
      </c>
      <c r="E1202" s="212" t="str">
        <f>COMPOSICIÓN!E1202</f>
        <v>EQUIPO PARA COLOCACION DE CERAMICA</v>
      </c>
      <c r="F1202" s="212">
        <f>COMPOSICIÓN!F1202</f>
        <v>0</v>
      </c>
      <c r="G1202" s="213">
        <f>COMPOSICIÓN!G1202</f>
        <v>1</v>
      </c>
      <c r="H1202" s="214">
        <f>COMPOSICIÓN!H1202</f>
        <v>0</v>
      </c>
      <c r="I1202" s="215">
        <f>COMPOSICIÓN!I1202</f>
        <v>2637.1418444899073</v>
      </c>
      <c r="J1202" s="212" t="str">
        <f>IFERROR(VLOOKUP(A1202,PARTIDAS!$A$2:$C$269,3,FALSE()),"")</f>
        <v>PISOS</v>
      </c>
      <c r="K1202" s="212" t="str">
        <f>IFERROR(INDEX(PPTO_GENERADOR!$B$4:$B$220,MATCH(A1202,PPTO_GENERADOR!$Q$4:$Q$220,0)),"")</f>
        <v/>
      </c>
      <c r="L1202" s="216">
        <f>IF(PLAN_ETAPA!$C$4="(TODOS)",SUMIFS(PPTO_GENERADOR!$E$4:$E$220,PPTO_GENERADOR!$Q$4:$Q$220,A1202),SUMIFS(PPTO_GENERADOR!$E$4:$E$220,PPTO_GENERADOR!$Q$4:$Q$220,A1202,PPTO_GENERADOR!$B$4:$B$220,PLAN_ETAPA!$C$4))</f>
        <v>0</v>
      </c>
      <c r="M1202" s="216">
        <f>IFERROR(VLOOKUP(A1202,PARTIDAS!$A$2:$F$269,6,FALSE()),1)</f>
        <v>13</v>
      </c>
      <c r="N1202" s="216">
        <f>IFERROR(VLOOKUP(A1202,PARTIDAS!$A$2:$I$269,9,FALSE()),1)</f>
        <v>1</v>
      </c>
      <c r="O1202" s="217">
        <f t="shared" si="36"/>
        <v>0</v>
      </c>
      <c r="P1202" s="216">
        <f>IF(O1202=0,0,IF(B1202="MAT",G1202*(1+H1202)*L1202*PLAN_ETAPA!$C$5,IF(B1202="MO",IF(M1202=0,0,G1202*L1202*PLAN_ETAPA!$C$5*N1202/M1202),IF(B1202="EQ",IF(M1202=0,0,G1202*L1202*PLAN_ETAPA!$C$5/M1202),0))))</f>
        <v>0</v>
      </c>
      <c r="Q1202" s="218">
        <f t="shared" si="37"/>
        <v>0</v>
      </c>
    </row>
    <row r="1203" spans="1:17" x14ac:dyDescent="0.35">
      <c r="A1203" s="212" t="str">
        <f>COMPOSICIÓN!A1203</f>
        <v>PTO-1110</v>
      </c>
      <c r="B1203" s="212" t="str">
        <f>COMPOSICIÓN!B1203</f>
        <v>MAT</v>
      </c>
      <c r="C1203" s="212" t="str">
        <f>COMPOSICIÓN!C1203</f>
        <v>OTR</v>
      </c>
      <c r="D1203" s="212" t="str">
        <f>COMPOSICIÓN!D1203</f>
        <v>AGR-005</v>
      </c>
      <c r="E1203" s="212" t="str">
        <f>COMPOSICIÓN!E1203</f>
        <v>Cal Comun x 25kg</v>
      </c>
      <c r="F1203" s="212" t="str">
        <f>COMPOSICIÓN!F1203</f>
        <v>bol</v>
      </c>
      <c r="G1203" s="213">
        <f>COMPOSICIÓN!G1203</f>
        <v>0.4</v>
      </c>
      <c r="H1203" s="214">
        <f>COMPOSICIÓN!H1203</f>
        <v>0.2</v>
      </c>
      <c r="I1203" s="215">
        <f>COMPOSICIÓN!I1203</f>
        <v>3837.96</v>
      </c>
      <c r="J1203" s="212" t="str">
        <f>IFERROR(VLOOKUP(A1203,PARTIDAS!$A$2:$C$269,3,FALSE()),"")</f>
        <v>PISOS</v>
      </c>
      <c r="K1203" s="212" t="str">
        <f>IFERROR(INDEX(PPTO_GENERADOR!$B$4:$B$220,MATCH(A1203,PPTO_GENERADOR!$Q$4:$Q$220,0)),"")</f>
        <v/>
      </c>
      <c r="L1203" s="216">
        <f>IF(PLAN_ETAPA!$C$4="(TODOS)",SUMIFS(PPTO_GENERADOR!$E$4:$E$220,PPTO_GENERADOR!$Q$4:$Q$220,A1203),SUMIFS(PPTO_GENERADOR!$E$4:$E$220,PPTO_GENERADOR!$Q$4:$Q$220,A1203,PPTO_GENERADOR!$B$4:$B$220,PLAN_ETAPA!$C$4))</f>
        <v>0</v>
      </c>
      <c r="M1203" s="216">
        <f>IFERROR(VLOOKUP(A1203,PARTIDAS!$A$2:$F$269,6,FALSE()),1)</f>
        <v>13</v>
      </c>
      <c r="N1203" s="216">
        <f>IFERROR(VLOOKUP(A1203,PARTIDAS!$A$2:$I$269,9,FALSE()),1)</f>
        <v>1</v>
      </c>
      <c r="O1203" s="217">
        <f t="shared" si="36"/>
        <v>0</v>
      </c>
      <c r="P1203" s="216">
        <f>IF(O1203=0,0,IF(B1203="MAT",G1203*(1+H1203)*L1203*PLAN_ETAPA!$C$5,IF(B1203="MO",IF(M1203=0,0,G1203*L1203*PLAN_ETAPA!$C$5*N1203/M1203),IF(B1203="EQ",IF(M1203=0,0,G1203*L1203*PLAN_ETAPA!$C$5/M1203),0))))</f>
        <v>0</v>
      </c>
      <c r="Q1203" s="218">
        <f t="shared" si="37"/>
        <v>0</v>
      </c>
    </row>
    <row r="1204" spans="1:17" x14ac:dyDescent="0.35">
      <c r="A1204" s="212" t="str">
        <f>COMPOSICIÓN!A1204</f>
        <v>PTO-1110</v>
      </c>
      <c r="B1204" s="212" t="str">
        <f>COMPOSICIÓN!B1204</f>
        <v>MAT</v>
      </c>
      <c r="C1204" s="212" t="str">
        <f>COMPOSICIÓN!C1204</f>
        <v>OTR</v>
      </c>
      <c r="D1204" s="212" t="str">
        <f>COMPOSICIÓN!D1204</f>
        <v>OTR-025</v>
      </c>
      <c r="E1204" s="212" t="str">
        <f>COMPOSICIÓN!E1204</f>
        <v>Trapo</v>
      </c>
      <c r="F1204" s="212" t="str">
        <f>COMPOSICIÓN!F1204</f>
        <v>u</v>
      </c>
      <c r="G1204" s="213">
        <f>COMPOSICIÓN!G1204</f>
        <v>0.01</v>
      </c>
      <c r="H1204" s="214">
        <f>COMPOSICIÓN!H1204</f>
        <v>0.03</v>
      </c>
      <c r="I1204" s="215">
        <f>COMPOSICIÓN!I1204</f>
        <v>735.06</v>
      </c>
      <c r="J1204" s="212" t="str">
        <f>IFERROR(VLOOKUP(A1204,PARTIDAS!$A$2:$C$269,3,FALSE()),"")</f>
        <v>PISOS</v>
      </c>
      <c r="K1204" s="212" t="str">
        <f>IFERROR(INDEX(PPTO_GENERADOR!$B$4:$B$220,MATCH(A1204,PPTO_GENERADOR!$Q$4:$Q$220,0)),"")</f>
        <v/>
      </c>
      <c r="L1204" s="216">
        <f>IF(PLAN_ETAPA!$C$4="(TODOS)",SUMIFS(PPTO_GENERADOR!$E$4:$E$220,PPTO_GENERADOR!$Q$4:$Q$220,A1204),SUMIFS(PPTO_GENERADOR!$E$4:$E$220,PPTO_GENERADOR!$Q$4:$Q$220,A1204,PPTO_GENERADOR!$B$4:$B$220,PLAN_ETAPA!$C$4))</f>
        <v>0</v>
      </c>
      <c r="M1204" s="216">
        <f>IFERROR(VLOOKUP(A1204,PARTIDAS!$A$2:$F$269,6,FALSE()),1)</f>
        <v>13</v>
      </c>
      <c r="N1204" s="216">
        <f>IFERROR(VLOOKUP(A1204,PARTIDAS!$A$2:$I$269,9,FALSE()),1)</f>
        <v>1</v>
      </c>
      <c r="O1204" s="217">
        <f t="shared" si="36"/>
        <v>0</v>
      </c>
      <c r="P1204" s="216">
        <f>IF(O1204=0,0,IF(B1204="MAT",G1204*(1+H1204)*L1204*PLAN_ETAPA!$C$5,IF(B1204="MO",IF(M1204=0,0,G1204*L1204*PLAN_ETAPA!$C$5*N1204/M1204),IF(B1204="EQ",IF(M1204=0,0,G1204*L1204*PLAN_ETAPA!$C$5/M1204),0))))</f>
        <v>0</v>
      </c>
      <c r="Q1204" s="218">
        <f t="shared" si="37"/>
        <v>0</v>
      </c>
    </row>
    <row r="1205" spans="1:17" x14ac:dyDescent="0.35">
      <c r="A1205" s="212" t="str">
        <f>COMPOSICIÓN!A1205</f>
        <v>PTO-1110</v>
      </c>
      <c r="B1205" s="212" t="str">
        <f>COMPOSICIÓN!B1205</f>
        <v>MAT</v>
      </c>
      <c r="C1205" s="212" t="str">
        <f>COMPOSICIÓN!C1205</f>
        <v>OTR</v>
      </c>
      <c r="D1205" s="212" t="str">
        <f>COMPOSICIÓN!D1205</f>
        <v>OTR-046</v>
      </c>
      <c r="E1205" s="212" t="str">
        <f>COMPOSICIÓN!E1205</f>
        <v>Disco Diamantado Aliafor Turbo Fino TRF</v>
      </c>
      <c r="F1205" s="212" t="str">
        <f>COMPOSICIÓN!F1205</f>
        <v>u</v>
      </c>
      <c r="G1205" s="213">
        <f>COMPOSICIÓN!G1205</f>
        <v>4.0000000000000001E-3</v>
      </c>
      <c r="H1205" s="214">
        <f>COMPOSICIÓN!H1205</f>
        <v>0.05</v>
      </c>
      <c r="I1205" s="215">
        <f>COMPOSICIÓN!I1205</f>
        <v>20237</v>
      </c>
      <c r="J1205" s="212" t="str">
        <f>IFERROR(VLOOKUP(A1205,PARTIDAS!$A$2:$C$269,3,FALSE()),"")</f>
        <v>PISOS</v>
      </c>
      <c r="K1205" s="212" t="str">
        <f>IFERROR(INDEX(PPTO_GENERADOR!$B$4:$B$220,MATCH(A1205,PPTO_GENERADOR!$Q$4:$Q$220,0)),"")</f>
        <v/>
      </c>
      <c r="L1205" s="216">
        <f>IF(PLAN_ETAPA!$C$4="(TODOS)",SUMIFS(PPTO_GENERADOR!$E$4:$E$220,PPTO_GENERADOR!$Q$4:$Q$220,A1205),SUMIFS(PPTO_GENERADOR!$E$4:$E$220,PPTO_GENERADOR!$Q$4:$Q$220,A1205,PPTO_GENERADOR!$B$4:$B$220,PLAN_ETAPA!$C$4))</f>
        <v>0</v>
      </c>
      <c r="M1205" s="216">
        <f>IFERROR(VLOOKUP(A1205,PARTIDAS!$A$2:$F$269,6,FALSE()),1)</f>
        <v>13</v>
      </c>
      <c r="N1205" s="216">
        <f>IFERROR(VLOOKUP(A1205,PARTIDAS!$A$2:$I$269,9,FALSE()),1)</f>
        <v>1</v>
      </c>
      <c r="O1205" s="217">
        <f t="shared" si="36"/>
        <v>0</v>
      </c>
      <c r="P1205" s="216">
        <f>IF(O1205=0,0,IF(B1205="MAT",G1205*(1+H1205)*L1205*PLAN_ETAPA!$C$5,IF(B1205="MO",IF(M1205=0,0,G1205*L1205*PLAN_ETAPA!$C$5*N1205/M1205),IF(B1205="EQ",IF(M1205=0,0,G1205*L1205*PLAN_ETAPA!$C$5/M1205),0))))</f>
        <v>0</v>
      </c>
      <c r="Q1205" s="218">
        <f t="shared" si="37"/>
        <v>0</v>
      </c>
    </row>
    <row r="1206" spans="1:17" x14ac:dyDescent="0.35">
      <c r="A1206" s="212" t="str">
        <f>COMPOSICIÓN!A1206</f>
        <v>PTO-1110</v>
      </c>
      <c r="B1206" s="212" t="str">
        <f>COMPOSICIÓN!B1206</f>
        <v>MAT</v>
      </c>
      <c r="C1206" s="212" t="str">
        <f>COMPOSICIÓN!C1206</f>
        <v>OTR</v>
      </c>
      <c r="D1206" s="212" t="str">
        <f>COMPOSICIÓN!D1206</f>
        <v>REV-012</v>
      </c>
      <c r="E1206" s="212" t="str">
        <f>COMPOSICIÓN!E1206</f>
        <v>Arco y cuña niveladores porcelanatos x 150 un</v>
      </c>
      <c r="F1206" s="212" t="str">
        <f>COMPOSICIÓN!F1206</f>
        <v>b</v>
      </c>
      <c r="G1206" s="213">
        <f>COMPOSICIÓN!G1206</f>
        <v>0.04</v>
      </c>
      <c r="H1206" s="214">
        <f>COMPOSICIÓN!H1206</f>
        <v>0.05</v>
      </c>
      <c r="I1206" s="215">
        <f>COMPOSICIÓN!I1206</f>
        <v>44669.4214876033</v>
      </c>
      <c r="J1206" s="212" t="str">
        <f>IFERROR(VLOOKUP(A1206,PARTIDAS!$A$2:$C$269,3,FALSE()),"")</f>
        <v>PISOS</v>
      </c>
      <c r="K1206" s="212" t="str">
        <f>IFERROR(INDEX(PPTO_GENERADOR!$B$4:$B$220,MATCH(A1206,PPTO_GENERADOR!$Q$4:$Q$220,0)),"")</f>
        <v/>
      </c>
      <c r="L1206" s="216">
        <f>IF(PLAN_ETAPA!$C$4="(TODOS)",SUMIFS(PPTO_GENERADOR!$E$4:$E$220,PPTO_GENERADOR!$Q$4:$Q$220,A1206),SUMIFS(PPTO_GENERADOR!$E$4:$E$220,PPTO_GENERADOR!$Q$4:$Q$220,A1206,PPTO_GENERADOR!$B$4:$B$220,PLAN_ETAPA!$C$4))</f>
        <v>0</v>
      </c>
      <c r="M1206" s="216">
        <f>IFERROR(VLOOKUP(A1206,PARTIDAS!$A$2:$F$269,6,FALSE()),1)</f>
        <v>13</v>
      </c>
      <c r="N1206" s="216">
        <f>IFERROR(VLOOKUP(A1206,PARTIDAS!$A$2:$I$269,9,FALSE()),1)</f>
        <v>1</v>
      </c>
      <c r="O1206" s="217">
        <f t="shared" si="36"/>
        <v>0</v>
      </c>
      <c r="P1206" s="216">
        <f>IF(O1206=0,0,IF(B1206="MAT",G1206*(1+H1206)*L1206*PLAN_ETAPA!$C$5,IF(B1206="MO",IF(M1206=0,0,G1206*L1206*PLAN_ETAPA!$C$5*N1206/M1206),IF(B1206="EQ",IF(M1206=0,0,G1206*L1206*PLAN_ETAPA!$C$5/M1206),0))))</f>
        <v>0</v>
      </c>
      <c r="Q1206" s="218">
        <f t="shared" si="37"/>
        <v>0</v>
      </c>
    </row>
    <row r="1207" spans="1:17" x14ac:dyDescent="0.35">
      <c r="A1207" s="212" t="str">
        <f>COMPOSICIÓN!A1207</f>
        <v>PTO-1110</v>
      </c>
      <c r="B1207" s="212" t="str">
        <f>COMPOSICIÓN!B1207</f>
        <v>MO</v>
      </c>
      <c r="C1207" s="212" t="str">
        <f>COMPOSICIÓN!C1207</f>
        <v>ALB</v>
      </c>
      <c r="D1207" s="212" t="str">
        <f>COMPOSICIÓN!D1207</f>
        <v>MO-EESPE</v>
      </c>
      <c r="E1207" s="212" t="str">
        <f>COMPOSICIÓN!E1207</f>
        <v>ESPECIALIZADO</v>
      </c>
      <c r="F1207" s="212" t="str">
        <f>COMPOSICIÓN!F1207</f>
        <v>j</v>
      </c>
      <c r="G1207" s="213">
        <f>COMPOSICIÓN!G1207</f>
        <v>1</v>
      </c>
      <c r="H1207" s="214">
        <f>COMPOSICIÓN!H1207</f>
        <v>0</v>
      </c>
      <c r="I1207" s="215">
        <f>COMPOSICIÓN!I1207</f>
        <v>85927.097156571996</v>
      </c>
      <c r="J1207" s="212" t="str">
        <f>IFERROR(VLOOKUP(A1207,PARTIDAS!$A$2:$C$269,3,FALSE()),"")</f>
        <v>PISOS</v>
      </c>
      <c r="K1207" s="212" t="str">
        <f>IFERROR(INDEX(PPTO_GENERADOR!$B$4:$B$220,MATCH(A1207,PPTO_GENERADOR!$Q$4:$Q$220,0)),"")</f>
        <v/>
      </c>
      <c r="L1207" s="216">
        <f>IF(PLAN_ETAPA!$C$4="(TODOS)",SUMIFS(PPTO_GENERADOR!$E$4:$E$220,PPTO_GENERADOR!$Q$4:$Q$220,A1207),SUMIFS(PPTO_GENERADOR!$E$4:$E$220,PPTO_GENERADOR!$Q$4:$Q$220,A1207,PPTO_GENERADOR!$B$4:$B$220,PLAN_ETAPA!$C$4))</f>
        <v>0</v>
      </c>
      <c r="M1207" s="216">
        <f>IFERROR(VLOOKUP(A1207,PARTIDAS!$A$2:$F$269,6,FALSE()),1)</f>
        <v>13</v>
      </c>
      <c r="N1207" s="216">
        <f>IFERROR(VLOOKUP(A1207,PARTIDAS!$A$2:$I$269,9,FALSE()),1)</f>
        <v>1</v>
      </c>
      <c r="O1207" s="217">
        <f t="shared" si="36"/>
        <v>0</v>
      </c>
      <c r="P1207" s="216">
        <f>IF(O1207=0,0,IF(B1207="MAT",G1207*(1+H1207)*L1207*PLAN_ETAPA!$C$5,IF(B1207="MO",IF(M1207=0,0,G1207*L1207*PLAN_ETAPA!$C$5*N1207/M1207),IF(B1207="EQ",IF(M1207=0,0,G1207*L1207*PLAN_ETAPA!$C$5/M1207),0))))</f>
        <v>0</v>
      </c>
      <c r="Q1207" s="218">
        <f t="shared" si="37"/>
        <v>0</v>
      </c>
    </row>
    <row r="1208" spans="1:17" x14ac:dyDescent="0.35">
      <c r="A1208" s="212" t="str">
        <f>COMPOSICIÓN!A1208</f>
        <v>PTO-1110</v>
      </c>
      <c r="B1208" s="212" t="str">
        <f>COMPOSICIÓN!B1208</f>
        <v>MO</v>
      </c>
      <c r="C1208" s="212" t="str">
        <f>COMPOSICIÓN!C1208</f>
        <v>ALB</v>
      </c>
      <c r="D1208" s="212" t="str">
        <f>COMPOSICIÓN!D1208</f>
        <v>MO-EOFIC</v>
      </c>
      <c r="E1208" s="212" t="str">
        <f>COMPOSICIÓN!E1208</f>
        <v>OFICIAL</v>
      </c>
      <c r="F1208" s="212" t="str">
        <f>COMPOSICIÓN!F1208</f>
        <v>j</v>
      </c>
      <c r="G1208" s="213">
        <f>COMPOSICIÓN!G1208</f>
        <v>1</v>
      </c>
      <c r="H1208" s="214">
        <f>COMPOSICIÓN!H1208</f>
        <v>0</v>
      </c>
      <c r="I1208" s="215">
        <f>COMPOSICIÓN!I1208</f>
        <v>76955.079706571996</v>
      </c>
      <c r="J1208" s="212" t="str">
        <f>IFERROR(VLOOKUP(A1208,PARTIDAS!$A$2:$C$269,3,FALSE()),"")</f>
        <v>PISOS</v>
      </c>
      <c r="K1208" s="212" t="str">
        <f>IFERROR(INDEX(PPTO_GENERADOR!$B$4:$B$220,MATCH(A1208,PPTO_GENERADOR!$Q$4:$Q$220,0)),"")</f>
        <v/>
      </c>
      <c r="L1208" s="216">
        <f>IF(PLAN_ETAPA!$C$4="(TODOS)",SUMIFS(PPTO_GENERADOR!$E$4:$E$220,PPTO_GENERADOR!$Q$4:$Q$220,A1208),SUMIFS(PPTO_GENERADOR!$E$4:$E$220,PPTO_GENERADOR!$Q$4:$Q$220,A1208,PPTO_GENERADOR!$B$4:$B$220,PLAN_ETAPA!$C$4))</f>
        <v>0</v>
      </c>
      <c r="M1208" s="216">
        <f>IFERROR(VLOOKUP(A1208,PARTIDAS!$A$2:$F$269,6,FALSE()),1)</f>
        <v>13</v>
      </c>
      <c r="N1208" s="216">
        <f>IFERROR(VLOOKUP(A1208,PARTIDAS!$A$2:$I$269,9,FALSE()),1)</f>
        <v>1</v>
      </c>
      <c r="O1208" s="217">
        <f t="shared" si="36"/>
        <v>0</v>
      </c>
      <c r="P1208" s="216">
        <f>IF(O1208=0,0,IF(B1208="MAT",G1208*(1+H1208)*L1208*PLAN_ETAPA!$C$5,IF(B1208="MO",IF(M1208=0,0,G1208*L1208*PLAN_ETAPA!$C$5*N1208/M1208),IF(B1208="EQ",IF(M1208=0,0,G1208*L1208*PLAN_ETAPA!$C$5/M1208),0))))</f>
        <v>0</v>
      </c>
      <c r="Q1208" s="218">
        <f t="shared" si="37"/>
        <v>0</v>
      </c>
    </row>
    <row r="1209" spans="1:17" x14ac:dyDescent="0.35">
      <c r="A1209" s="212" t="str">
        <f>COMPOSICIÓN!A1209</f>
        <v>PTO-1111</v>
      </c>
      <c r="B1209" s="212" t="str">
        <f>COMPOSICIÓN!B1209</f>
        <v>EQ</v>
      </c>
      <c r="C1209" s="212">
        <f>COMPOSICIÓN!C1209</f>
        <v>0</v>
      </c>
      <c r="D1209" s="212" t="str">
        <f>COMPOSICIÓN!D1209</f>
        <v>EQ-CORTA</v>
      </c>
      <c r="E1209" s="212" t="str">
        <f>COMPOSICIÓN!E1209</f>
        <v>CORTADORA CERAMICA PROFESIONAL 1200MM (PORCELANATO HASTA 16MM)</v>
      </c>
      <c r="F1209" s="212">
        <f>COMPOSICIÓN!F1209</f>
        <v>0</v>
      </c>
      <c r="G1209" s="213">
        <f>COMPOSICIÓN!G1209</f>
        <v>1</v>
      </c>
      <c r="H1209" s="214">
        <f>COMPOSICIÓN!H1209</f>
        <v>0</v>
      </c>
      <c r="I1209" s="215">
        <f>COMPOSICIÓN!I1209</f>
        <v>298.42384358082836</v>
      </c>
      <c r="J1209" s="212" t="str">
        <f>IFERROR(VLOOKUP(A1209,PARTIDAS!$A$2:$C$269,3,FALSE()),"")</f>
        <v>PISOS</v>
      </c>
      <c r="K1209" s="212" t="str">
        <f>IFERROR(INDEX(PPTO_GENERADOR!$B$4:$B$220,MATCH(A1209,PPTO_GENERADOR!$Q$4:$Q$220,0)),"")</f>
        <v/>
      </c>
      <c r="L1209" s="216">
        <f>IF(PLAN_ETAPA!$C$4="(TODOS)",SUMIFS(PPTO_GENERADOR!$E$4:$E$220,PPTO_GENERADOR!$Q$4:$Q$220,A1209),SUMIFS(PPTO_GENERADOR!$E$4:$E$220,PPTO_GENERADOR!$Q$4:$Q$220,A1209,PPTO_GENERADOR!$B$4:$B$220,PLAN_ETAPA!$C$4))</f>
        <v>0</v>
      </c>
      <c r="M1209" s="216">
        <f>IFERROR(VLOOKUP(A1209,PARTIDAS!$A$2:$F$269,6,FALSE()),1)</f>
        <v>13</v>
      </c>
      <c r="N1209" s="216">
        <f>IFERROR(VLOOKUP(A1209,PARTIDAS!$A$2:$I$269,9,FALSE()),1)</f>
        <v>1</v>
      </c>
      <c r="O1209" s="217">
        <f t="shared" si="36"/>
        <v>0</v>
      </c>
      <c r="P1209" s="216">
        <f>IF(O1209=0,0,IF(B1209="MAT",G1209*(1+H1209)*L1209*PLAN_ETAPA!$C$5,IF(B1209="MO",IF(M1209=0,0,G1209*L1209*PLAN_ETAPA!$C$5*N1209/M1209),IF(B1209="EQ",IF(M1209=0,0,G1209*L1209*PLAN_ETAPA!$C$5/M1209),0))))</f>
        <v>0</v>
      </c>
      <c r="Q1209" s="218">
        <f t="shared" si="37"/>
        <v>0</v>
      </c>
    </row>
    <row r="1210" spans="1:17" x14ac:dyDescent="0.35">
      <c r="A1210" s="212" t="str">
        <f>COMPOSICIÓN!A1210</f>
        <v>PTO-1111</v>
      </c>
      <c r="B1210" s="212" t="str">
        <f>COMPOSICIÓN!B1210</f>
        <v>EQ</v>
      </c>
      <c r="C1210" s="212">
        <f>COMPOSICIÓN!C1210</f>
        <v>0</v>
      </c>
      <c r="D1210" s="212" t="str">
        <f>COMPOSICIÓN!D1210</f>
        <v>EQ-EQCERA</v>
      </c>
      <c r="E1210" s="212" t="str">
        <f>COMPOSICIÓN!E1210</f>
        <v>EQUIPO PARA COLOCACION DE CERAMICA</v>
      </c>
      <c r="F1210" s="212">
        <f>COMPOSICIÓN!F1210</f>
        <v>0</v>
      </c>
      <c r="G1210" s="213">
        <f>COMPOSICIÓN!G1210</f>
        <v>1</v>
      </c>
      <c r="H1210" s="214">
        <f>COMPOSICIÓN!H1210</f>
        <v>0</v>
      </c>
      <c r="I1210" s="215">
        <f>COMPOSICIÓN!I1210</f>
        <v>2637.1418444899073</v>
      </c>
      <c r="J1210" s="212" t="str">
        <f>IFERROR(VLOOKUP(A1210,PARTIDAS!$A$2:$C$269,3,FALSE()),"")</f>
        <v>PISOS</v>
      </c>
      <c r="K1210" s="212" t="str">
        <f>IFERROR(INDEX(PPTO_GENERADOR!$B$4:$B$220,MATCH(A1210,PPTO_GENERADOR!$Q$4:$Q$220,0)),"")</f>
        <v/>
      </c>
      <c r="L1210" s="216">
        <f>IF(PLAN_ETAPA!$C$4="(TODOS)",SUMIFS(PPTO_GENERADOR!$E$4:$E$220,PPTO_GENERADOR!$Q$4:$Q$220,A1210),SUMIFS(PPTO_GENERADOR!$E$4:$E$220,PPTO_GENERADOR!$Q$4:$Q$220,A1210,PPTO_GENERADOR!$B$4:$B$220,PLAN_ETAPA!$C$4))</f>
        <v>0</v>
      </c>
      <c r="M1210" s="216">
        <f>IFERROR(VLOOKUP(A1210,PARTIDAS!$A$2:$F$269,6,FALSE()),1)</f>
        <v>13</v>
      </c>
      <c r="N1210" s="216">
        <f>IFERROR(VLOOKUP(A1210,PARTIDAS!$A$2:$I$269,9,FALSE()),1)</f>
        <v>1</v>
      </c>
      <c r="O1210" s="217">
        <f t="shared" si="36"/>
        <v>0</v>
      </c>
      <c r="P1210" s="216">
        <f>IF(O1210=0,0,IF(B1210="MAT",G1210*(1+H1210)*L1210*PLAN_ETAPA!$C$5,IF(B1210="MO",IF(M1210=0,0,G1210*L1210*PLAN_ETAPA!$C$5*N1210/M1210),IF(B1210="EQ",IF(M1210=0,0,G1210*L1210*PLAN_ETAPA!$C$5/M1210),0))))</f>
        <v>0</v>
      </c>
      <c r="Q1210" s="218">
        <f t="shared" si="37"/>
        <v>0</v>
      </c>
    </row>
    <row r="1211" spans="1:17" x14ac:dyDescent="0.35">
      <c r="A1211" s="212" t="str">
        <f>COMPOSICIÓN!A1211</f>
        <v>PTO-1111</v>
      </c>
      <c r="B1211" s="212" t="str">
        <f>COMPOSICIÓN!B1211</f>
        <v>MAT</v>
      </c>
      <c r="C1211" s="212" t="str">
        <f>COMPOSICIÓN!C1211</f>
        <v>OTR</v>
      </c>
      <c r="D1211" s="212" t="str">
        <f>COMPOSICIÓN!D1211</f>
        <v>AGR-005</v>
      </c>
      <c r="E1211" s="212" t="str">
        <f>COMPOSICIÓN!E1211</f>
        <v>Cal Comun x 25kg</v>
      </c>
      <c r="F1211" s="212" t="str">
        <f>COMPOSICIÓN!F1211</f>
        <v>bol</v>
      </c>
      <c r="G1211" s="213">
        <f>COMPOSICIÓN!G1211</f>
        <v>0.4</v>
      </c>
      <c r="H1211" s="214">
        <f>COMPOSICIÓN!H1211</f>
        <v>0.2</v>
      </c>
      <c r="I1211" s="215">
        <f>COMPOSICIÓN!I1211</f>
        <v>3837.96</v>
      </c>
      <c r="J1211" s="212" t="str">
        <f>IFERROR(VLOOKUP(A1211,PARTIDAS!$A$2:$C$269,3,FALSE()),"")</f>
        <v>PISOS</v>
      </c>
      <c r="K1211" s="212" t="str">
        <f>IFERROR(INDEX(PPTO_GENERADOR!$B$4:$B$220,MATCH(A1211,PPTO_GENERADOR!$Q$4:$Q$220,0)),"")</f>
        <v/>
      </c>
      <c r="L1211" s="216">
        <f>IF(PLAN_ETAPA!$C$4="(TODOS)",SUMIFS(PPTO_GENERADOR!$E$4:$E$220,PPTO_GENERADOR!$Q$4:$Q$220,A1211),SUMIFS(PPTO_GENERADOR!$E$4:$E$220,PPTO_GENERADOR!$Q$4:$Q$220,A1211,PPTO_GENERADOR!$B$4:$B$220,PLAN_ETAPA!$C$4))</f>
        <v>0</v>
      </c>
      <c r="M1211" s="216">
        <f>IFERROR(VLOOKUP(A1211,PARTIDAS!$A$2:$F$269,6,FALSE()),1)</f>
        <v>13</v>
      </c>
      <c r="N1211" s="216">
        <f>IFERROR(VLOOKUP(A1211,PARTIDAS!$A$2:$I$269,9,FALSE()),1)</f>
        <v>1</v>
      </c>
      <c r="O1211" s="217">
        <f t="shared" si="36"/>
        <v>0</v>
      </c>
      <c r="P1211" s="216">
        <f>IF(O1211=0,0,IF(B1211="MAT",G1211*(1+H1211)*L1211*PLAN_ETAPA!$C$5,IF(B1211="MO",IF(M1211=0,0,G1211*L1211*PLAN_ETAPA!$C$5*N1211/M1211),IF(B1211="EQ",IF(M1211=0,0,G1211*L1211*PLAN_ETAPA!$C$5/M1211),0))))</f>
        <v>0</v>
      </c>
      <c r="Q1211" s="218">
        <f t="shared" si="37"/>
        <v>0</v>
      </c>
    </row>
    <row r="1212" spans="1:17" x14ac:dyDescent="0.35">
      <c r="A1212" s="212" t="str">
        <f>COMPOSICIÓN!A1212</f>
        <v>PTO-1111</v>
      </c>
      <c r="B1212" s="212" t="str">
        <f>COMPOSICIÓN!B1212</f>
        <v>MAT</v>
      </c>
      <c r="C1212" s="212" t="str">
        <f>COMPOSICIÓN!C1212</f>
        <v>OTR</v>
      </c>
      <c r="D1212" s="212" t="str">
        <f>COMPOSICIÓN!D1212</f>
        <v>OTR-025</v>
      </c>
      <c r="E1212" s="212" t="str">
        <f>COMPOSICIÓN!E1212</f>
        <v>Trapo</v>
      </c>
      <c r="F1212" s="212" t="str">
        <f>COMPOSICIÓN!F1212</f>
        <v>u</v>
      </c>
      <c r="G1212" s="213">
        <f>COMPOSICIÓN!G1212</f>
        <v>0.01</v>
      </c>
      <c r="H1212" s="214">
        <f>COMPOSICIÓN!H1212</f>
        <v>0.03</v>
      </c>
      <c r="I1212" s="215">
        <f>COMPOSICIÓN!I1212</f>
        <v>735.06</v>
      </c>
      <c r="J1212" s="212" t="str">
        <f>IFERROR(VLOOKUP(A1212,PARTIDAS!$A$2:$C$269,3,FALSE()),"")</f>
        <v>PISOS</v>
      </c>
      <c r="K1212" s="212" t="str">
        <f>IFERROR(INDEX(PPTO_GENERADOR!$B$4:$B$220,MATCH(A1212,PPTO_GENERADOR!$Q$4:$Q$220,0)),"")</f>
        <v/>
      </c>
      <c r="L1212" s="216">
        <f>IF(PLAN_ETAPA!$C$4="(TODOS)",SUMIFS(PPTO_GENERADOR!$E$4:$E$220,PPTO_GENERADOR!$Q$4:$Q$220,A1212),SUMIFS(PPTO_GENERADOR!$E$4:$E$220,PPTO_GENERADOR!$Q$4:$Q$220,A1212,PPTO_GENERADOR!$B$4:$B$220,PLAN_ETAPA!$C$4))</f>
        <v>0</v>
      </c>
      <c r="M1212" s="216">
        <f>IFERROR(VLOOKUP(A1212,PARTIDAS!$A$2:$F$269,6,FALSE()),1)</f>
        <v>13</v>
      </c>
      <c r="N1212" s="216">
        <f>IFERROR(VLOOKUP(A1212,PARTIDAS!$A$2:$I$269,9,FALSE()),1)</f>
        <v>1</v>
      </c>
      <c r="O1212" s="217">
        <f t="shared" si="36"/>
        <v>0</v>
      </c>
      <c r="P1212" s="216">
        <f>IF(O1212=0,0,IF(B1212="MAT",G1212*(1+H1212)*L1212*PLAN_ETAPA!$C$5,IF(B1212="MO",IF(M1212=0,0,G1212*L1212*PLAN_ETAPA!$C$5*N1212/M1212),IF(B1212="EQ",IF(M1212=0,0,G1212*L1212*PLAN_ETAPA!$C$5/M1212),0))))</f>
        <v>0</v>
      </c>
      <c r="Q1212" s="218">
        <f t="shared" si="37"/>
        <v>0</v>
      </c>
    </row>
    <row r="1213" spans="1:17" x14ac:dyDescent="0.35">
      <c r="A1213" s="212" t="str">
        <f>COMPOSICIÓN!A1213</f>
        <v>PTO-1111</v>
      </c>
      <c r="B1213" s="212" t="str">
        <f>COMPOSICIÓN!B1213</f>
        <v>MAT</v>
      </c>
      <c r="C1213" s="212" t="str">
        <f>COMPOSICIÓN!C1213</f>
        <v>OTR</v>
      </c>
      <c r="D1213" s="212" t="str">
        <f>COMPOSICIÓN!D1213</f>
        <v>OTR-046</v>
      </c>
      <c r="E1213" s="212" t="str">
        <f>COMPOSICIÓN!E1213</f>
        <v>Disco Diamantado Aliafor Turbo Fino TRF</v>
      </c>
      <c r="F1213" s="212" t="str">
        <f>COMPOSICIÓN!F1213</f>
        <v>u</v>
      </c>
      <c r="G1213" s="213">
        <f>COMPOSICIÓN!G1213</f>
        <v>4.0000000000000001E-3</v>
      </c>
      <c r="H1213" s="214">
        <f>COMPOSICIÓN!H1213</f>
        <v>0.05</v>
      </c>
      <c r="I1213" s="215">
        <f>COMPOSICIÓN!I1213</f>
        <v>20237</v>
      </c>
      <c r="J1213" s="212" t="str">
        <f>IFERROR(VLOOKUP(A1213,PARTIDAS!$A$2:$C$269,3,FALSE()),"")</f>
        <v>PISOS</v>
      </c>
      <c r="K1213" s="212" t="str">
        <f>IFERROR(INDEX(PPTO_GENERADOR!$B$4:$B$220,MATCH(A1213,PPTO_GENERADOR!$Q$4:$Q$220,0)),"")</f>
        <v/>
      </c>
      <c r="L1213" s="216">
        <f>IF(PLAN_ETAPA!$C$4="(TODOS)",SUMIFS(PPTO_GENERADOR!$E$4:$E$220,PPTO_GENERADOR!$Q$4:$Q$220,A1213),SUMIFS(PPTO_GENERADOR!$E$4:$E$220,PPTO_GENERADOR!$Q$4:$Q$220,A1213,PPTO_GENERADOR!$B$4:$B$220,PLAN_ETAPA!$C$4))</f>
        <v>0</v>
      </c>
      <c r="M1213" s="216">
        <f>IFERROR(VLOOKUP(A1213,PARTIDAS!$A$2:$F$269,6,FALSE()),1)</f>
        <v>13</v>
      </c>
      <c r="N1213" s="216">
        <f>IFERROR(VLOOKUP(A1213,PARTIDAS!$A$2:$I$269,9,FALSE()),1)</f>
        <v>1</v>
      </c>
      <c r="O1213" s="217">
        <f t="shared" si="36"/>
        <v>0</v>
      </c>
      <c r="P1213" s="216">
        <f>IF(O1213=0,0,IF(B1213="MAT",G1213*(1+H1213)*L1213*PLAN_ETAPA!$C$5,IF(B1213="MO",IF(M1213=0,0,G1213*L1213*PLAN_ETAPA!$C$5*N1213/M1213),IF(B1213="EQ",IF(M1213=0,0,G1213*L1213*PLAN_ETAPA!$C$5/M1213),0))))</f>
        <v>0</v>
      </c>
      <c r="Q1213" s="218">
        <f t="shared" si="37"/>
        <v>0</v>
      </c>
    </row>
    <row r="1214" spans="1:17" x14ac:dyDescent="0.35">
      <c r="A1214" s="212" t="str">
        <f>COMPOSICIÓN!A1214</f>
        <v>PTO-1111</v>
      </c>
      <c r="B1214" s="212" t="str">
        <f>COMPOSICIÓN!B1214</f>
        <v>MAT</v>
      </c>
      <c r="C1214" s="212" t="str">
        <f>COMPOSICIÓN!C1214</f>
        <v>OTR</v>
      </c>
      <c r="D1214" s="212" t="str">
        <f>COMPOSICIÓN!D1214</f>
        <v>REV-012</v>
      </c>
      <c r="E1214" s="212" t="str">
        <f>COMPOSICIÓN!E1214</f>
        <v>Arco y cuña niveladores porcelanatos x 150 un</v>
      </c>
      <c r="F1214" s="212" t="str">
        <f>COMPOSICIÓN!F1214</f>
        <v>b</v>
      </c>
      <c r="G1214" s="213">
        <f>COMPOSICIÓN!G1214</f>
        <v>0.04</v>
      </c>
      <c r="H1214" s="214">
        <f>COMPOSICIÓN!H1214</f>
        <v>0.05</v>
      </c>
      <c r="I1214" s="215">
        <f>COMPOSICIÓN!I1214</f>
        <v>44669.4214876033</v>
      </c>
      <c r="J1214" s="212" t="str">
        <f>IFERROR(VLOOKUP(A1214,PARTIDAS!$A$2:$C$269,3,FALSE()),"")</f>
        <v>PISOS</v>
      </c>
      <c r="K1214" s="212" t="str">
        <f>IFERROR(INDEX(PPTO_GENERADOR!$B$4:$B$220,MATCH(A1214,PPTO_GENERADOR!$Q$4:$Q$220,0)),"")</f>
        <v/>
      </c>
      <c r="L1214" s="216">
        <f>IF(PLAN_ETAPA!$C$4="(TODOS)",SUMIFS(PPTO_GENERADOR!$E$4:$E$220,PPTO_GENERADOR!$Q$4:$Q$220,A1214),SUMIFS(PPTO_GENERADOR!$E$4:$E$220,PPTO_GENERADOR!$Q$4:$Q$220,A1214,PPTO_GENERADOR!$B$4:$B$220,PLAN_ETAPA!$C$4))</f>
        <v>0</v>
      </c>
      <c r="M1214" s="216">
        <f>IFERROR(VLOOKUP(A1214,PARTIDAS!$A$2:$F$269,6,FALSE()),1)</f>
        <v>13</v>
      </c>
      <c r="N1214" s="216">
        <f>IFERROR(VLOOKUP(A1214,PARTIDAS!$A$2:$I$269,9,FALSE()),1)</f>
        <v>1</v>
      </c>
      <c r="O1214" s="217">
        <f t="shared" si="36"/>
        <v>0</v>
      </c>
      <c r="P1214" s="216">
        <f>IF(O1214=0,0,IF(B1214="MAT",G1214*(1+H1214)*L1214*PLAN_ETAPA!$C$5,IF(B1214="MO",IF(M1214=0,0,G1214*L1214*PLAN_ETAPA!$C$5*N1214/M1214),IF(B1214="EQ",IF(M1214=0,0,G1214*L1214*PLAN_ETAPA!$C$5/M1214),0))))</f>
        <v>0</v>
      </c>
      <c r="Q1214" s="218">
        <f t="shared" si="37"/>
        <v>0</v>
      </c>
    </row>
    <row r="1215" spans="1:17" x14ac:dyDescent="0.35">
      <c r="A1215" s="212" t="str">
        <f>COMPOSICIÓN!A1215</f>
        <v>PTO-1111</v>
      </c>
      <c r="B1215" s="212" t="str">
        <f>COMPOSICIÓN!B1215</f>
        <v>MO</v>
      </c>
      <c r="C1215" s="212" t="str">
        <f>COMPOSICIÓN!C1215</f>
        <v>ALB</v>
      </c>
      <c r="D1215" s="212" t="str">
        <f>COMPOSICIÓN!D1215</f>
        <v>MO-EESPE</v>
      </c>
      <c r="E1215" s="212" t="str">
        <f>COMPOSICIÓN!E1215</f>
        <v>ESPECIALIZADO</v>
      </c>
      <c r="F1215" s="212" t="str">
        <f>COMPOSICIÓN!F1215</f>
        <v>j</v>
      </c>
      <c r="G1215" s="213">
        <f>COMPOSICIÓN!G1215</f>
        <v>1</v>
      </c>
      <c r="H1215" s="214">
        <f>COMPOSICIÓN!H1215</f>
        <v>0</v>
      </c>
      <c r="I1215" s="215">
        <f>COMPOSICIÓN!I1215</f>
        <v>85927.097156571996</v>
      </c>
      <c r="J1215" s="212" t="str">
        <f>IFERROR(VLOOKUP(A1215,PARTIDAS!$A$2:$C$269,3,FALSE()),"")</f>
        <v>PISOS</v>
      </c>
      <c r="K1215" s="212" t="str">
        <f>IFERROR(INDEX(PPTO_GENERADOR!$B$4:$B$220,MATCH(A1215,PPTO_GENERADOR!$Q$4:$Q$220,0)),"")</f>
        <v/>
      </c>
      <c r="L1215" s="216">
        <f>IF(PLAN_ETAPA!$C$4="(TODOS)",SUMIFS(PPTO_GENERADOR!$E$4:$E$220,PPTO_GENERADOR!$Q$4:$Q$220,A1215),SUMIFS(PPTO_GENERADOR!$E$4:$E$220,PPTO_GENERADOR!$Q$4:$Q$220,A1215,PPTO_GENERADOR!$B$4:$B$220,PLAN_ETAPA!$C$4))</f>
        <v>0</v>
      </c>
      <c r="M1215" s="216">
        <f>IFERROR(VLOOKUP(A1215,PARTIDAS!$A$2:$F$269,6,FALSE()),1)</f>
        <v>13</v>
      </c>
      <c r="N1215" s="216">
        <f>IFERROR(VLOOKUP(A1215,PARTIDAS!$A$2:$I$269,9,FALSE()),1)</f>
        <v>1</v>
      </c>
      <c r="O1215" s="217">
        <f t="shared" si="36"/>
        <v>0</v>
      </c>
      <c r="P1215" s="216">
        <f>IF(O1215=0,0,IF(B1215="MAT",G1215*(1+H1215)*L1215*PLAN_ETAPA!$C$5,IF(B1215="MO",IF(M1215=0,0,G1215*L1215*PLAN_ETAPA!$C$5*N1215/M1215),IF(B1215="EQ",IF(M1215=0,0,G1215*L1215*PLAN_ETAPA!$C$5/M1215),0))))</f>
        <v>0</v>
      </c>
      <c r="Q1215" s="218">
        <f t="shared" si="37"/>
        <v>0</v>
      </c>
    </row>
    <row r="1216" spans="1:17" x14ac:dyDescent="0.35">
      <c r="A1216" s="212" t="str">
        <f>COMPOSICIÓN!A1216</f>
        <v>PTO-1111</v>
      </c>
      <c r="B1216" s="212" t="str">
        <f>COMPOSICIÓN!B1216</f>
        <v>MO</v>
      </c>
      <c r="C1216" s="212" t="str">
        <f>COMPOSICIÓN!C1216</f>
        <v>ALB</v>
      </c>
      <c r="D1216" s="212" t="str">
        <f>COMPOSICIÓN!D1216</f>
        <v>MO-EOFIC</v>
      </c>
      <c r="E1216" s="212" t="str">
        <f>COMPOSICIÓN!E1216</f>
        <v>OFICIAL</v>
      </c>
      <c r="F1216" s="212" t="str">
        <f>COMPOSICIÓN!F1216</f>
        <v>j</v>
      </c>
      <c r="G1216" s="213">
        <f>COMPOSICIÓN!G1216</f>
        <v>1</v>
      </c>
      <c r="H1216" s="214">
        <f>COMPOSICIÓN!H1216</f>
        <v>0</v>
      </c>
      <c r="I1216" s="215">
        <f>COMPOSICIÓN!I1216</f>
        <v>76955.079706571996</v>
      </c>
      <c r="J1216" s="212" t="str">
        <f>IFERROR(VLOOKUP(A1216,PARTIDAS!$A$2:$C$269,3,FALSE()),"")</f>
        <v>PISOS</v>
      </c>
      <c r="K1216" s="212" t="str">
        <f>IFERROR(INDEX(PPTO_GENERADOR!$B$4:$B$220,MATCH(A1216,PPTO_GENERADOR!$Q$4:$Q$220,0)),"")</f>
        <v/>
      </c>
      <c r="L1216" s="216">
        <f>IF(PLAN_ETAPA!$C$4="(TODOS)",SUMIFS(PPTO_GENERADOR!$E$4:$E$220,PPTO_GENERADOR!$Q$4:$Q$220,A1216),SUMIFS(PPTO_GENERADOR!$E$4:$E$220,PPTO_GENERADOR!$Q$4:$Q$220,A1216,PPTO_GENERADOR!$B$4:$B$220,PLAN_ETAPA!$C$4))</f>
        <v>0</v>
      </c>
      <c r="M1216" s="216">
        <f>IFERROR(VLOOKUP(A1216,PARTIDAS!$A$2:$F$269,6,FALSE()),1)</f>
        <v>13</v>
      </c>
      <c r="N1216" s="216">
        <f>IFERROR(VLOOKUP(A1216,PARTIDAS!$A$2:$I$269,9,FALSE()),1)</f>
        <v>1</v>
      </c>
      <c r="O1216" s="217">
        <f t="shared" si="36"/>
        <v>0</v>
      </c>
      <c r="P1216" s="216">
        <f>IF(O1216=0,0,IF(B1216="MAT",G1216*(1+H1216)*L1216*PLAN_ETAPA!$C$5,IF(B1216="MO",IF(M1216=0,0,G1216*L1216*PLAN_ETAPA!$C$5*N1216/M1216),IF(B1216="EQ",IF(M1216=0,0,G1216*L1216*PLAN_ETAPA!$C$5/M1216),0))))</f>
        <v>0</v>
      </c>
      <c r="Q1216" s="218">
        <f t="shared" si="37"/>
        <v>0</v>
      </c>
    </row>
    <row r="1217" spans="1:17" x14ac:dyDescent="0.35">
      <c r="A1217" s="212" t="str">
        <f>COMPOSICIÓN!A1217</f>
        <v>PTO-1201</v>
      </c>
      <c r="B1217" s="212" t="str">
        <f>COMPOSICIÓN!B1217</f>
        <v>EQ</v>
      </c>
      <c r="C1217" s="212">
        <f>COMPOSICIÓN!C1217</f>
        <v>0</v>
      </c>
      <c r="D1217" s="212" t="str">
        <f>COMPOSICIÓN!D1217</f>
        <v>EQ-ANDAM0</v>
      </c>
      <c r="E1217" s="212" t="str">
        <f>COMPOSICIÓN!E1217</f>
        <v>ANDAMIO TUBULAR DE UNO A TRES CUERPOS</v>
      </c>
      <c r="F1217" s="212">
        <f>COMPOSICIÓN!F1217</f>
        <v>0</v>
      </c>
      <c r="G1217" s="213">
        <f>COMPOSICIÓN!G1217</f>
        <v>0.5</v>
      </c>
      <c r="H1217" s="214">
        <f>COMPOSICIÓN!H1217</f>
        <v>0</v>
      </c>
      <c r="I1217" s="215">
        <f>COMPOSICIÓN!I1217</f>
        <v>571.1794909807611</v>
      </c>
      <c r="J1217" s="212" t="str">
        <f>IFERROR(VLOOKUP(A1217,PARTIDAS!$A$2:$C$269,3,FALSE()),"")</f>
        <v>ZÓCALOS</v>
      </c>
      <c r="K1217" s="212" t="str">
        <f>IFERROR(INDEX(PPTO_GENERADOR!$B$4:$B$220,MATCH(A1217,PPTO_GENERADOR!$Q$4:$Q$220,0)),"")</f>
        <v>ZÓCALOS</v>
      </c>
      <c r="L1217" s="216">
        <f>IF(PLAN_ETAPA!$C$4="(TODOS)",SUMIFS(PPTO_GENERADOR!$E$4:$E$220,PPTO_GENERADOR!$Q$4:$Q$220,A1217),SUMIFS(PPTO_GENERADOR!$E$4:$E$220,PPTO_GENERADOR!$Q$4:$Q$220,A1217,PPTO_GENERADOR!$B$4:$B$220,PLAN_ETAPA!$C$4))</f>
        <v>0</v>
      </c>
      <c r="M1217" s="216">
        <f>IFERROR(VLOOKUP(A1217,PARTIDAS!$A$2:$F$269,6,FALSE()),1)</f>
        <v>28</v>
      </c>
      <c r="N1217" s="216">
        <f>IFERROR(VLOOKUP(A1217,PARTIDAS!$A$2:$I$269,9,FALSE()),1)</f>
        <v>1</v>
      </c>
      <c r="O1217" s="217">
        <f t="shared" si="36"/>
        <v>0</v>
      </c>
      <c r="P1217" s="216">
        <f>IF(O1217=0,0,IF(B1217="MAT",G1217*(1+H1217)*L1217*PLAN_ETAPA!$C$5,IF(B1217="MO",IF(M1217=0,0,G1217*L1217*PLAN_ETAPA!$C$5*N1217/M1217),IF(B1217="EQ",IF(M1217=0,0,G1217*L1217*PLAN_ETAPA!$C$5/M1217),0))))</f>
        <v>0</v>
      </c>
      <c r="Q1217" s="218">
        <f t="shared" si="37"/>
        <v>0</v>
      </c>
    </row>
    <row r="1218" spans="1:17" x14ac:dyDescent="0.35">
      <c r="A1218" s="212" t="str">
        <f>COMPOSICIÓN!A1218</f>
        <v>PTO-1201</v>
      </c>
      <c r="B1218" s="212" t="str">
        <f>COMPOSICIÓN!B1218</f>
        <v>EQ</v>
      </c>
      <c r="C1218" s="212">
        <f>COMPOSICIÓN!C1218</f>
        <v>0</v>
      </c>
      <c r="D1218" s="212" t="str">
        <f>COMPOSICIÓN!D1218</f>
        <v>EQ-EQALBA</v>
      </c>
      <c r="E1218" s="212" t="str">
        <f>COMPOSICIÓN!E1218</f>
        <v>EQUIPO DE ALBAÑILERIA, carpetas, ladrillo</v>
      </c>
      <c r="F1218" s="212">
        <f>COMPOSICIÓN!F1218</f>
        <v>0</v>
      </c>
      <c r="G1218" s="213">
        <f>COMPOSICIÓN!G1218</f>
        <v>1</v>
      </c>
      <c r="H1218" s="214">
        <f>COMPOSICIÓN!H1218</f>
        <v>0</v>
      </c>
      <c r="I1218" s="215">
        <f>COMPOSICIÓN!I1218</f>
        <v>2287.1357450968057</v>
      </c>
      <c r="J1218" s="212" t="str">
        <f>IFERROR(VLOOKUP(A1218,PARTIDAS!$A$2:$C$269,3,FALSE()),"")</f>
        <v>ZÓCALOS</v>
      </c>
      <c r="K1218" s="212" t="str">
        <f>IFERROR(INDEX(PPTO_GENERADOR!$B$4:$B$220,MATCH(A1218,PPTO_GENERADOR!$Q$4:$Q$220,0)),"")</f>
        <v>ZÓCALOS</v>
      </c>
      <c r="L1218" s="216">
        <f>IF(PLAN_ETAPA!$C$4="(TODOS)",SUMIFS(PPTO_GENERADOR!$E$4:$E$220,PPTO_GENERADOR!$Q$4:$Q$220,A1218),SUMIFS(PPTO_GENERADOR!$E$4:$E$220,PPTO_GENERADOR!$Q$4:$Q$220,A1218,PPTO_GENERADOR!$B$4:$B$220,PLAN_ETAPA!$C$4))</f>
        <v>0</v>
      </c>
      <c r="M1218" s="216">
        <f>IFERROR(VLOOKUP(A1218,PARTIDAS!$A$2:$F$269,6,FALSE()),1)</f>
        <v>28</v>
      </c>
      <c r="N1218" s="216">
        <f>IFERROR(VLOOKUP(A1218,PARTIDAS!$A$2:$I$269,9,FALSE()),1)</f>
        <v>1</v>
      </c>
      <c r="O1218" s="217">
        <f t="shared" ref="O1218:O1281" si="38">IF(L1218&gt;0,1,0)</f>
        <v>0</v>
      </c>
      <c r="P1218" s="216">
        <f>IF(O1218=0,0,IF(B1218="MAT",G1218*(1+H1218)*L1218*PLAN_ETAPA!$C$5,IF(B1218="MO",IF(M1218=0,0,G1218*L1218*PLAN_ETAPA!$C$5*N1218/M1218),IF(B1218="EQ",IF(M1218=0,0,G1218*L1218*PLAN_ETAPA!$C$5/M1218),0))))</f>
        <v>0</v>
      </c>
      <c r="Q1218" s="218">
        <f t="shared" ref="Q1218:Q1281" si="39">P1218*I1218</f>
        <v>0</v>
      </c>
    </row>
    <row r="1219" spans="1:17" x14ac:dyDescent="0.35">
      <c r="A1219" s="212" t="str">
        <f>COMPOSICIÓN!A1219</f>
        <v>PTO-1201</v>
      </c>
      <c r="B1219" s="212" t="str">
        <f>COMPOSICIÓN!B1219</f>
        <v>EQ</v>
      </c>
      <c r="C1219" s="212">
        <f>COMPOSICIÓN!C1219</f>
        <v>0</v>
      </c>
      <c r="D1219" s="212" t="str">
        <f>COMPOSICIÓN!D1219</f>
        <v>EQ-TROMPO</v>
      </c>
      <c r="E1219" s="212" t="str">
        <f>COMPOSICIÓN!E1219</f>
        <v>Hormigonera De 150 Litros 1hp Con Rueda Maciza</v>
      </c>
      <c r="F1219" s="212">
        <f>COMPOSICIÓN!F1219</f>
        <v>0</v>
      </c>
      <c r="G1219" s="213">
        <f>COMPOSICIÓN!G1219</f>
        <v>1</v>
      </c>
      <c r="H1219" s="214">
        <f>COMPOSICIÓN!H1219</f>
        <v>0</v>
      </c>
      <c r="I1219" s="215">
        <f>COMPOSICIÓN!I1219</f>
        <v>957.25319614994726</v>
      </c>
      <c r="J1219" s="212" t="str">
        <f>IFERROR(VLOOKUP(A1219,PARTIDAS!$A$2:$C$269,3,FALSE()),"")</f>
        <v>ZÓCALOS</v>
      </c>
      <c r="K1219" s="212" t="str">
        <f>IFERROR(INDEX(PPTO_GENERADOR!$B$4:$B$220,MATCH(A1219,PPTO_GENERADOR!$Q$4:$Q$220,0)),"")</f>
        <v>ZÓCALOS</v>
      </c>
      <c r="L1219" s="216">
        <f>IF(PLAN_ETAPA!$C$4="(TODOS)",SUMIFS(PPTO_GENERADOR!$E$4:$E$220,PPTO_GENERADOR!$Q$4:$Q$220,A1219),SUMIFS(PPTO_GENERADOR!$E$4:$E$220,PPTO_GENERADOR!$Q$4:$Q$220,A1219,PPTO_GENERADOR!$B$4:$B$220,PLAN_ETAPA!$C$4))</f>
        <v>0</v>
      </c>
      <c r="M1219" s="216">
        <f>IFERROR(VLOOKUP(A1219,PARTIDAS!$A$2:$F$269,6,FALSE()),1)</f>
        <v>28</v>
      </c>
      <c r="N1219" s="216">
        <f>IFERROR(VLOOKUP(A1219,PARTIDAS!$A$2:$I$269,9,FALSE()),1)</f>
        <v>1</v>
      </c>
      <c r="O1219" s="217">
        <f t="shared" si="38"/>
        <v>0</v>
      </c>
      <c r="P1219" s="216">
        <f>IF(O1219=0,0,IF(B1219="MAT",G1219*(1+H1219)*L1219*PLAN_ETAPA!$C$5,IF(B1219="MO",IF(M1219=0,0,G1219*L1219*PLAN_ETAPA!$C$5*N1219/M1219),IF(B1219="EQ",IF(M1219=0,0,G1219*L1219*PLAN_ETAPA!$C$5/M1219),0))))</f>
        <v>0</v>
      </c>
      <c r="Q1219" s="218">
        <f t="shared" si="39"/>
        <v>0</v>
      </c>
    </row>
    <row r="1220" spans="1:17" x14ac:dyDescent="0.35">
      <c r="A1220" s="212" t="str">
        <f>COMPOSICIÓN!A1220</f>
        <v>PTO-1201</v>
      </c>
      <c r="B1220" s="212" t="str">
        <f>COMPOSICIÓN!B1220</f>
        <v>MAT</v>
      </c>
      <c r="C1220" s="212" t="str">
        <f>COMPOSICIÓN!C1220</f>
        <v>OTR</v>
      </c>
      <c r="D1220" s="212" t="str">
        <f>COMPOSICIÓN!D1220</f>
        <v>AGR-001</v>
      </c>
      <c r="E1220" s="212" t="str">
        <f>COMPOSICIÓN!E1220</f>
        <v>ARENA LAVADA</v>
      </c>
      <c r="F1220" s="212" t="str">
        <f>COMPOSICIÓN!F1220</f>
        <v>m3</v>
      </c>
      <c r="G1220" s="213">
        <f>COMPOSICIÓN!G1220</f>
        <v>6.0000000000000001E-3</v>
      </c>
      <c r="H1220" s="214">
        <f>COMPOSICIÓN!H1220</f>
        <v>0.1</v>
      </c>
      <c r="I1220" s="215">
        <f>COMPOSICIÓN!I1220</f>
        <v>32399.77</v>
      </c>
      <c r="J1220" s="212" t="str">
        <f>IFERROR(VLOOKUP(A1220,PARTIDAS!$A$2:$C$269,3,FALSE()),"")</f>
        <v>ZÓCALOS</v>
      </c>
      <c r="K1220" s="212" t="str">
        <f>IFERROR(INDEX(PPTO_GENERADOR!$B$4:$B$220,MATCH(A1220,PPTO_GENERADOR!$Q$4:$Q$220,0)),"")</f>
        <v>ZÓCALOS</v>
      </c>
      <c r="L1220" s="216">
        <f>IF(PLAN_ETAPA!$C$4="(TODOS)",SUMIFS(PPTO_GENERADOR!$E$4:$E$220,PPTO_GENERADOR!$Q$4:$Q$220,A1220),SUMIFS(PPTO_GENERADOR!$E$4:$E$220,PPTO_GENERADOR!$Q$4:$Q$220,A1220,PPTO_GENERADOR!$B$4:$B$220,PLAN_ETAPA!$C$4))</f>
        <v>0</v>
      </c>
      <c r="M1220" s="216">
        <f>IFERROR(VLOOKUP(A1220,PARTIDAS!$A$2:$F$269,6,FALSE()),1)</f>
        <v>28</v>
      </c>
      <c r="N1220" s="216">
        <f>IFERROR(VLOOKUP(A1220,PARTIDAS!$A$2:$I$269,9,FALSE()),1)</f>
        <v>1</v>
      </c>
      <c r="O1220" s="217">
        <f t="shared" si="38"/>
        <v>0</v>
      </c>
      <c r="P1220" s="216">
        <f>IF(O1220=0,0,IF(B1220="MAT",G1220*(1+H1220)*L1220*PLAN_ETAPA!$C$5,IF(B1220="MO",IF(M1220=0,0,G1220*L1220*PLAN_ETAPA!$C$5*N1220/M1220),IF(B1220="EQ",IF(M1220=0,0,G1220*L1220*PLAN_ETAPA!$C$5/M1220),0))))</f>
        <v>0</v>
      </c>
      <c r="Q1220" s="218">
        <f t="shared" si="39"/>
        <v>0</v>
      </c>
    </row>
    <row r="1221" spans="1:17" x14ac:dyDescent="0.35">
      <c r="A1221" s="212" t="str">
        <f>COMPOSICIÓN!A1221</f>
        <v>PTO-1201</v>
      </c>
      <c r="B1221" s="212" t="str">
        <f>COMPOSICIÓN!B1221</f>
        <v>MAT</v>
      </c>
      <c r="C1221" s="212" t="str">
        <f>COMPOSICIÓN!C1221</f>
        <v>OTR</v>
      </c>
      <c r="D1221" s="212" t="str">
        <f>COMPOSICIÓN!D1221</f>
        <v>AGR-004</v>
      </c>
      <c r="E1221" s="212" t="str">
        <f>COMPOSICIÓN!E1221</f>
        <v>Cemento Portland x 50kg</v>
      </c>
      <c r="F1221" s="212" t="str">
        <f>COMPOSICIÓN!F1221</f>
        <v>Bol</v>
      </c>
      <c r="G1221" s="213">
        <f>COMPOSICIÓN!G1221</f>
        <v>5.3999999999999999E-2</v>
      </c>
      <c r="H1221" s="214">
        <f>COMPOSICIÓN!H1221</f>
        <v>0.1</v>
      </c>
      <c r="I1221" s="215">
        <f>COMPOSICIÓN!I1221</f>
        <v>7809.48</v>
      </c>
      <c r="J1221" s="212" t="str">
        <f>IFERROR(VLOOKUP(A1221,PARTIDAS!$A$2:$C$269,3,FALSE()),"")</f>
        <v>ZÓCALOS</v>
      </c>
      <c r="K1221" s="212" t="str">
        <f>IFERROR(INDEX(PPTO_GENERADOR!$B$4:$B$220,MATCH(A1221,PPTO_GENERADOR!$Q$4:$Q$220,0)),"")</f>
        <v>ZÓCALOS</v>
      </c>
      <c r="L1221" s="216">
        <f>IF(PLAN_ETAPA!$C$4="(TODOS)",SUMIFS(PPTO_GENERADOR!$E$4:$E$220,PPTO_GENERADOR!$Q$4:$Q$220,A1221),SUMIFS(PPTO_GENERADOR!$E$4:$E$220,PPTO_GENERADOR!$Q$4:$Q$220,A1221,PPTO_GENERADOR!$B$4:$B$220,PLAN_ETAPA!$C$4))</f>
        <v>0</v>
      </c>
      <c r="M1221" s="216">
        <f>IFERROR(VLOOKUP(A1221,PARTIDAS!$A$2:$F$269,6,FALSE()),1)</f>
        <v>28</v>
      </c>
      <c r="N1221" s="216">
        <f>IFERROR(VLOOKUP(A1221,PARTIDAS!$A$2:$I$269,9,FALSE()),1)</f>
        <v>1</v>
      </c>
      <c r="O1221" s="217">
        <f t="shared" si="38"/>
        <v>0</v>
      </c>
      <c r="P1221" s="216">
        <f>IF(O1221=0,0,IF(B1221="MAT",G1221*(1+H1221)*L1221*PLAN_ETAPA!$C$5,IF(B1221="MO",IF(M1221=0,0,G1221*L1221*PLAN_ETAPA!$C$5*N1221/M1221),IF(B1221="EQ",IF(M1221=0,0,G1221*L1221*PLAN_ETAPA!$C$5/M1221),0))))</f>
        <v>0</v>
      </c>
      <c r="Q1221" s="218">
        <f t="shared" si="39"/>
        <v>0</v>
      </c>
    </row>
    <row r="1222" spans="1:17" x14ac:dyDescent="0.35">
      <c r="A1222" s="212" t="str">
        <f>COMPOSICIÓN!A1222</f>
        <v>PTO-1201</v>
      </c>
      <c r="B1222" s="212" t="str">
        <f>COMPOSICIÓN!B1222</f>
        <v>MAT</v>
      </c>
      <c r="C1222" s="212" t="str">
        <f>COMPOSICIÓN!C1222</f>
        <v>OTR</v>
      </c>
      <c r="D1222" s="212" t="str">
        <f>COMPOSICIÓN!D1222</f>
        <v>AIS-001</v>
      </c>
      <c r="E1222" s="212" t="str">
        <f>COMPOSICIÓN!E1222</f>
        <v>Aditivo Hidrofugo en pasta - Ceresita x 1kg</v>
      </c>
      <c r="F1222" s="212" t="str">
        <f>COMPOSICIÓN!F1222</f>
        <v>kg</v>
      </c>
      <c r="G1222" s="213">
        <f>COMPOSICIÓN!G1222</f>
        <v>0.1</v>
      </c>
      <c r="H1222" s="214">
        <f>COMPOSICIÓN!H1222</f>
        <v>0.05</v>
      </c>
      <c r="I1222" s="215">
        <f>COMPOSICIÓN!I1222</f>
        <v>1256.1279999999999</v>
      </c>
      <c r="J1222" s="212" t="str">
        <f>IFERROR(VLOOKUP(A1222,PARTIDAS!$A$2:$C$269,3,FALSE()),"")</f>
        <v>ZÓCALOS</v>
      </c>
      <c r="K1222" s="212" t="str">
        <f>IFERROR(INDEX(PPTO_GENERADOR!$B$4:$B$220,MATCH(A1222,PPTO_GENERADOR!$Q$4:$Q$220,0)),"")</f>
        <v>ZÓCALOS</v>
      </c>
      <c r="L1222" s="216">
        <f>IF(PLAN_ETAPA!$C$4="(TODOS)",SUMIFS(PPTO_GENERADOR!$E$4:$E$220,PPTO_GENERADOR!$Q$4:$Q$220,A1222),SUMIFS(PPTO_GENERADOR!$E$4:$E$220,PPTO_GENERADOR!$Q$4:$Q$220,A1222,PPTO_GENERADOR!$B$4:$B$220,PLAN_ETAPA!$C$4))</f>
        <v>0</v>
      </c>
      <c r="M1222" s="216">
        <f>IFERROR(VLOOKUP(A1222,PARTIDAS!$A$2:$F$269,6,FALSE()),1)</f>
        <v>28</v>
      </c>
      <c r="N1222" s="216">
        <f>IFERROR(VLOOKUP(A1222,PARTIDAS!$A$2:$I$269,9,FALSE()),1)</f>
        <v>1</v>
      </c>
      <c r="O1222" s="217">
        <f t="shared" si="38"/>
        <v>0</v>
      </c>
      <c r="P1222" s="216">
        <f>IF(O1222=0,0,IF(B1222="MAT",G1222*(1+H1222)*L1222*PLAN_ETAPA!$C$5,IF(B1222="MO",IF(M1222=0,0,G1222*L1222*PLAN_ETAPA!$C$5*N1222/M1222),IF(B1222="EQ",IF(M1222=0,0,G1222*L1222*PLAN_ETAPA!$C$5/M1222),0))))</f>
        <v>0</v>
      </c>
      <c r="Q1222" s="218">
        <f t="shared" si="39"/>
        <v>0</v>
      </c>
    </row>
    <row r="1223" spans="1:17" x14ac:dyDescent="0.35">
      <c r="A1223" s="212" t="str">
        <f>COMPOSICIÓN!A1223</f>
        <v>PTO-1201</v>
      </c>
      <c r="B1223" s="212" t="str">
        <f>COMPOSICIÓN!B1223</f>
        <v>MO</v>
      </c>
      <c r="C1223" s="212" t="str">
        <f>COMPOSICIÓN!C1223</f>
        <v>ALB</v>
      </c>
      <c r="D1223" s="212" t="str">
        <f>COMPOSICIÓN!D1223</f>
        <v>MO-EAYUD</v>
      </c>
      <c r="E1223" s="212" t="str">
        <f>COMPOSICIÓN!E1223</f>
        <v>AYUDANTE</v>
      </c>
      <c r="F1223" s="212" t="str">
        <f>COMPOSICIÓN!F1223</f>
        <v>j</v>
      </c>
      <c r="G1223" s="213">
        <f>COMPOSICIÓN!G1223</f>
        <v>0.4</v>
      </c>
      <c r="H1223" s="214">
        <f>COMPOSICIÓN!H1223</f>
        <v>0</v>
      </c>
      <c r="I1223" s="215">
        <f>COMPOSICIÓN!I1223</f>
        <v>60860.580776572002</v>
      </c>
      <c r="J1223" s="212" t="str">
        <f>IFERROR(VLOOKUP(A1223,PARTIDAS!$A$2:$C$269,3,FALSE()),"")</f>
        <v>ZÓCALOS</v>
      </c>
      <c r="K1223" s="212" t="str">
        <f>IFERROR(INDEX(PPTO_GENERADOR!$B$4:$B$220,MATCH(A1223,PPTO_GENERADOR!$Q$4:$Q$220,0)),"")</f>
        <v>ZÓCALOS</v>
      </c>
      <c r="L1223" s="216">
        <f>IF(PLAN_ETAPA!$C$4="(TODOS)",SUMIFS(PPTO_GENERADOR!$E$4:$E$220,PPTO_GENERADOR!$Q$4:$Q$220,A1223),SUMIFS(PPTO_GENERADOR!$E$4:$E$220,PPTO_GENERADOR!$Q$4:$Q$220,A1223,PPTO_GENERADOR!$B$4:$B$220,PLAN_ETAPA!$C$4))</f>
        <v>0</v>
      </c>
      <c r="M1223" s="216">
        <f>IFERROR(VLOOKUP(A1223,PARTIDAS!$A$2:$F$269,6,FALSE()),1)</f>
        <v>28</v>
      </c>
      <c r="N1223" s="216">
        <f>IFERROR(VLOOKUP(A1223,PARTIDAS!$A$2:$I$269,9,FALSE()),1)</f>
        <v>1</v>
      </c>
      <c r="O1223" s="217">
        <f t="shared" si="38"/>
        <v>0</v>
      </c>
      <c r="P1223" s="216">
        <f>IF(O1223=0,0,IF(B1223="MAT",G1223*(1+H1223)*L1223*PLAN_ETAPA!$C$5,IF(B1223="MO",IF(M1223=0,0,G1223*L1223*PLAN_ETAPA!$C$5*N1223/M1223),IF(B1223="EQ",IF(M1223=0,0,G1223*L1223*PLAN_ETAPA!$C$5/M1223),0))))</f>
        <v>0</v>
      </c>
      <c r="Q1223" s="218">
        <f t="shared" si="39"/>
        <v>0</v>
      </c>
    </row>
    <row r="1224" spans="1:17" x14ac:dyDescent="0.35">
      <c r="A1224" s="212" t="str">
        <f>COMPOSICIÓN!A1224</f>
        <v>PTO-1201</v>
      </c>
      <c r="B1224" s="212" t="str">
        <f>COMPOSICIÓN!B1224</f>
        <v>MO</v>
      </c>
      <c r="C1224" s="212" t="str">
        <f>COMPOSICIÓN!C1224</f>
        <v>ALB</v>
      </c>
      <c r="D1224" s="212" t="str">
        <f>COMPOSICIÓN!D1224</f>
        <v>MO-EESPE</v>
      </c>
      <c r="E1224" s="212" t="str">
        <f>COMPOSICIÓN!E1224</f>
        <v>ESPECIALIZADO</v>
      </c>
      <c r="F1224" s="212" t="str">
        <f>COMPOSICIÓN!F1224</f>
        <v>j</v>
      </c>
      <c r="G1224" s="213">
        <f>COMPOSICIÓN!G1224</f>
        <v>1</v>
      </c>
      <c r="H1224" s="214">
        <f>COMPOSICIÓN!H1224</f>
        <v>0</v>
      </c>
      <c r="I1224" s="215">
        <f>COMPOSICIÓN!I1224</f>
        <v>85927.097156571996</v>
      </c>
      <c r="J1224" s="212" t="str">
        <f>IFERROR(VLOOKUP(A1224,PARTIDAS!$A$2:$C$269,3,FALSE()),"")</f>
        <v>ZÓCALOS</v>
      </c>
      <c r="K1224" s="212" t="str">
        <f>IFERROR(INDEX(PPTO_GENERADOR!$B$4:$B$220,MATCH(A1224,PPTO_GENERADOR!$Q$4:$Q$220,0)),"")</f>
        <v>ZÓCALOS</v>
      </c>
      <c r="L1224" s="216">
        <f>IF(PLAN_ETAPA!$C$4="(TODOS)",SUMIFS(PPTO_GENERADOR!$E$4:$E$220,PPTO_GENERADOR!$Q$4:$Q$220,A1224),SUMIFS(PPTO_GENERADOR!$E$4:$E$220,PPTO_GENERADOR!$Q$4:$Q$220,A1224,PPTO_GENERADOR!$B$4:$B$220,PLAN_ETAPA!$C$4))</f>
        <v>0</v>
      </c>
      <c r="M1224" s="216">
        <f>IFERROR(VLOOKUP(A1224,PARTIDAS!$A$2:$F$269,6,FALSE()),1)</f>
        <v>28</v>
      </c>
      <c r="N1224" s="216">
        <f>IFERROR(VLOOKUP(A1224,PARTIDAS!$A$2:$I$269,9,FALSE()),1)</f>
        <v>1</v>
      </c>
      <c r="O1224" s="217">
        <f t="shared" si="38"/>
        <v>0</v>
      </c>
      <c r="P1224" s="216">
        <f>IF(O1224=0,0,IF(B1224="MAT",G1224*(1+H1224)*L1224*PLAN_ETAPA!$C$5,IF(B1224="MO",IF(M1224=0,0,G1224*L1224*PLAN_ETAPA!$C$5*N1224/M1224),IF(B1224="EQ",IF(M1224=0,0,G1224*L1224*PLAN_ETAPA!$C$5/M1224),0))))</f>
        <v>0</v>
      </c>
      <c r="Q1224" s="218">
        <f t="shared" si="39"/>
        <v>0</v>
      </c>
    </row>
    <row r="1225" spans="1:17" x14ac:dyDescent="0.35">
      <c r="A1225" s="212" t="str">
        <f>COMPOSICIÓN!A1225</f>
        <v>PTO-1202</v>
      </c>
      <c r="B1225" s="212" t="str">
        <f>COMPOSICIÓN!B1225</f>
        <v>EQ</v>
      </c>
      <c r="C1225" s="212">
        <f>COMPOSICIÓN!C1225</f>
        <v>0</v>
      </c>
      <c r="D1225" s="212" t="str">
        <f>COMPOSICIÓN!D1225</f>
        <v>EQ-PTO065</v>
      </c>
      <c r="E1225" s="212" t="str">
        <f>COMPOSICIÓN!E1225</f>
        <v>Herramientas menores y consumibles - Provisión y colocación de zócalo de MDF prepintado</v>
      </c>
      <c r="F1225" s="212">
        <f>COMPOSICIÓN!F1225</f>
        <v>0</v>
      </c>
      <c r="G1225" s="213">
        <f>COMPOSICIÓN!G1225</f>
        <v>1</v>
      </c>
      <c r="H1225" s="214">
        <f>COMPOSICIÓN!H1225</f>
        <v>0</v>
      </c>
      <c r="I1225" s="215">
        <f>COMPOSICIÓN!I1225</f>
        <v>100.443260520069</v>
      </c>
      <c r="J1225" s="212" t="str">
        <f>IFERROR(VLOOKUP(A1225,PARTIDAS!$A$2:$C$269,3,FALSE()),"")</f>
        <v>ZÓCALOS</v>
      </c>
      <c r="K1225" s="212" t="str">
        <f>IFERROR(INDEX(PPTO_GENERADOR!$B$4:$B$220,MATCH(A1225,PPTO_GENERADOR!$Q$4:$Q$220,0)),"")</f>
        <v>ZÓCALOS</v>
      </c>
      <c r="L1225" s="216">
        <f>IF(PLAN_ETAPA!$C$4="(TODOS)",SUMIFS(PPTO_GENERADOR!$E$4:$E$220,PPTO_GENERADOR!$Q$4:$Q$220,A1225),SUMIFS(PPTO_GENERADOR!$E$4:$E$220,PPTO_GENERADOR!$Q$4:$Q$220,A1225,PPTO_GENERADOR!$B$4:$B$220,PLAN_ETAPA!$C$4))</f>
        <v>0</v>
      </c>
      <c r="M1225" s="216">
        <f>IFERROR(VLOOKUP(A1225,PARTIDAS!$A$2:$F$269,6,FALSE()),1)</f>
        <v>1</v>
      </c>
      <c r="N1225" s="216">
        <f>IFERROR(VLOOKUP(A1225,PARTIDAS!$A$2:$I$269,9,FALSE()),1)</f>
        <v>1</v>
      </c>
      <c r="O1225" s="217">
        <f t="shared" si="38"/>
        <v>0</v>
      </c>
      <c r="P1225" s="216">
        <f>IF(O1225=0,0,IF(B1225="MAT",G1225*(1+H1225)*L1225*PLAN_ETAPA!$C$5,IF(B1225="MO",IF(M1225=0,0,G1225*L1225*PLAN_ETAPA!$C$5*N1225/M1225),IF(B1225="EQ",IF(M1225=0,0,G1225*L1225*PLAN_ETAPA!$C$5/M1225),0))))</f>
        <v>0</v>
      </c>
      <c r="Q1225" s="218">
        <f t="shared" si="39"/>
        <v>0</v>
      </c>
    </row>
    <row r="1226" spans="1:17" x14ac:dyDescent="0.35">
      <c r="A1226" s="212" t="str">
        <f>COMPOSICIÓN!A1226</f>
        <v>PTO-1202</v>
      </c>
      <c r="B1226" s="212" t="str">
        <f>COMPOSICIÓN!B1226</f>
        <v>MAT</v>
      </c>
      <c r="C1226" s="212" t="str">
        <f>COMPOSICIÓN!C1226</f>
        <v>OTR</v>
      </c>
      <c r="D1226" s="212" t="str">
        <f>COMPOSICIÓN!D1226</f>
        <v>OTR-PTO077</v>
      </c>
      <c r="E1226" s="212" t="str">
        <f>COMPOSICIÓN!E1226</f>
        <v xml:space="preserve">Sellador / Silicona (rinde 5 mts) </v>
      </c>
      <c r="F1226" s="212" t="str">
        <f>COMPOSICIÓN!F1226</f>
        <v>u</v>
      </c>
      <c r="G1226" s="213">
        <f>COMPOSICIÓN!G1226</f>
        <v>0.2</v>
      </c>
      <c r="H1226" s="214">
        <f>COMPOSICIÓN!H1226</f>
        <v>0</v>
      </c>
      <c r="I1226" s="215">
        <f>COMPOSICIÓN!I1226</f>
        <v>25454.5454545455</v>
      </c>
      <c r="J1226" s="212" t="str">
        <f>IFERROR(VLOOKUP(A1226,PARTIDAS!$A$2:$C$269,3,FALSE()),"")</f>
        <v>ZÓCALOS</v>
      </c>
      <c r="K1226" s="212" t="str">
        <f>IFERROR(INDEX(PPTO_GENERADOR!$B$4:$B$220,MATCH(A1226,PPTO_GENERADOR!$Q$4:$Q$220,0)),"")</f>
        <v>ZÓCALOS</v>
      </c>
      <c r="L1226" s="216">
        <f>IF(PLAN_ETAPA!$C$4="(TODOS)",SUMIFS(PPTO_GENERADOR!$E$4:$E$220,PPTO_GENERADOR!$Q$4:$Q$220,A1226),SUMIFS(PPTO_GENERADOR!$E$4:$E$220,PPTO_GENERADOR!$Q$4:$Q$220,A1226,PPTO_GENERADOR!$B$4:$B$220,PLAN_ETAPA!$C$4))</f>
        <v>0</v>
      </c>
      <c r="M1226" s="216">
        <f>IFERROR(VLOOKUP(A1226,PARTIDAS!$A$2:$F$269,6,FALSE()),1)</f>
        <v>1</v>
      </c>
      <c r="N1226" s="216">
        <f>IFERROR(VLOOKUP(A1226,PARTIDAS!$A$2:$I$269,9,FALSE()),1)</f>
        <v>1</v>
      </c>
      <c r="O1226" s="217">
        <f t="shared" si="38"/>
        <v>0</v>
      </c>
      <c r="P1226" s="216">
        <f>IF(O1226=0,0,IF(B1226="MAT",G1226*(1+H1226)*L1226*PLAN_ETAPA!$C$5,IF(B1226="MO",IF(M1226=0,0,G1226*L1226*PLAN_ETAPA!$C$5*N1226/M1226),IF(B1226="EQ",IF(M1226=0,0,G1226*L1226*PLAN_ETAPA!$C$5/M1226),0))))</f>
        <v>0</v>
      </c>
      <c r="Q1226" s="218">
        <f t="shared" si="39"/>
        <v>0</v>
      </c>
    </row>
    <row r="1227" spans="1:17" x14ac:dyDescent="0.35">
      <c r="A1227" s="212" t="str">
        <f>COMPOSICIÓN!A1227</f>
        <v>PTO-1202</v>
      </c>
      <c r="B1227" s="212" t="str">
        <f>COMPOSICIÓN!B1227</f>
        <v>MAT</v>
      </c>
      <c r="C1227" s="212" t="str">
        <f>COMPOSICIÓN!C1227</f>
        <v>OTR</v>
      </c>
      <c r="D1227" s="212" t="str">
        <f>COMPOSICIÓN!D1227</f>
        <v>OTR-PTO100</v>
      </c>
      <c r="E1227" s="212" t="str">
        <f>COMPOSICIÓN!E1227</f>
        <v>Zocalo 5,6cm Madera Mdf Redondeado Prepintado Blanco Pz-56l</v>
      </c>
      <c r="F1227" s="212" t="str">
        <f>COMPOSICIÓN!F1227</f>
        <v>ml</v>
      </c>
      <c r="G1227" s="213">
        <f>COMPOSICIÓN!G1227</f>
        <v>1</v>
      </c>
      <c r="H1227" s="214">
        <f>COMPOSICIÓN!H1227</f>
        <v>0</v>
      </c>
      <c r="I1227" s="215">
        <f>COMPOSICIÓN!I1227</f>
        <v>2000</v>
      </c>
      <c r="J1227" s="212" t="str">
        <f>IFERROR(VLOOKUP(A1227,PARTIDAS!$A$2:$C$269,3,FALSE()),"")</f>
        <v>ZÓCALOS</v>
      </c>
      <c r="K1227" s="212" t="str">
        <f>IFERROR(INDEX(PPTO_GENERADOR!$B$4:$B$220,MATCH(A1227,PPTO_GENERADOR!$Q$4:$Q$220,0)),"")</f>
        <v>ZÓCALOS</v>
      </c>
      <c r="L1227" s="216">
        <f>IF(PLAN_ETAPA!$C$4="(TODOS)",SUMIFS(PPTO_GENERADOR!$E$4:$E$220,PPTO_GENERADOR!$Q$4:$Q$220,A1227),SUMIFS(PPTO_GENERADOR!$E$4:$E$220,PPTO_GENERADOR!$Q$4:$Q$220,A1227,PPTO_GENERADOR!$B$4:$B$220,PLAN_ETAPA!$C$4))</f>
        <v>0</v>
      </c>
      <c r="M1227" s="216">
        <f>IFERROR(VLOOKUP(A1227,PARTIDAS!$A$2:$F$269,6,FALSE()),1)</f>
        <v>1</v>
      </c>
      <c r="N1227" s="216">
        <f>IFERROR(VLOOKUP(A1227,PARTIDAS!$A$2:$I$269,9,FALSE()),1)</f>
        <v>1</v>
      </c>
      <c r="O1227" s="217">
        <f t="shared" si="38"/>
        <v>0</v>
      </c>
      <c r="P1227" s="216">
        <f>IF(O1227=0,0,IF(B1227="MAT",G1227*(1+H1227)*L1227*PLAN_ETAPA!$C$5,IF(B1227="MO",IF(M1227=0,0,G1227*L1227*PLAN_ETAPA!$C$5*N1227/M1227),IF(B1227="EQ",IF(M1227=0,0,G1227*L1227*PLAN_ETAPA!$C$5/M1227),0))))</f>
        <v>0</v>
      </c>
      <c r="Q1227" s="218">
        <f t="shared" si="39"/>
        <v>0</v>
      </c>
    </row>
    <row r="1228" spans="1:17" x14ac:dyDescent="0.35">
      <c r="A1228" s="212" t="str">
        <f>COMPOSICIÓN!A1228</f>
        <v>PTO-1202</v>
      </c>
      <c r="B1228" s="212" t="str">
        <f>COMPOSICIÓN!B1228</f>
        <v>MO</v>
      </c>
      <c r="C1228" s="212" t="str">
        <f>COMPOSICIÓN!C1228</f>
        <v>ALB</v>
      </c>
      <c r="D1228" s="212" t="str">
        <f>COMPOSICIÓN!D1228</f>
        <v>MO-EOFIC</v>
      </c>
      <c r="E1228" s="212" t="str">
        <f>COMPOSICIÓN!E1228</f>
        <v>OFICIAL</v>
      </c>
      <c r="F1228" s="212" t="str">
        <f>COMPOSICIÓN!F1228</f>
        <v>j</v>
      </c>
      <c r="G1228" s="213">
        <f>COMPOSICIÓN!G1228</f>
        <v>4.1533546325878599E-2</v>
      </c>
      <c r="H1228" s="214">
        <f>COMPOSICIÓN!H1228</f>
        <v>0</v>
      </c>
      <c r="I1228" s="215">
        <f>COMPOSICIÓN!I1228</f>
        <v>76955.079706571996</v>
      </c>
      <c r="J1228" s="212" t="str">
        <f>IFERROR(VLOOKUP(A1228,PARTIDAS!$A$2:$C$269,3,FALSE()),"")</f>
        <v>ZÓCALOS</v>
      </c>
      <c r="K1228" s="212" t="str">
        <f>IFERROR(INDEX(PPTO_GENERADOR!$B$4:$B$220,MATCH(A1228,PPTO_GENERADOR!$Q$4:$Q$220,0)),"")</f>
        <v>ZÓCALOS</v>
      </c>
      <c r="L1228" s="216">
        <f>IF(PLAN_ETAPA!$C$4="(TODOS)",SUMIFS(PPTO_GENERADOR!$E$4:$E$220,PPTO_GENERADOR!$Q$4:$Q$220,A1228),SUMIFS(PPTO_GENERADOR!$E$4:$E$220,PPTO_GENERADOR!$Q$4:$Q$220,A1228,PPTO_GENERADOR!$B$4:$B$220,PLAN_ETAPA!$C$4))</f>
        <v>0</v>
      </c>
      <c r="M1228" s="216">
        <f>IFERROR(VLOOKUP(A1228,PARTIDAS!$A$2:$F$269,6,FALSE()),1)</f>
        <v>1</v>
      </c>
      <c r="N1228" s="216">
        <f>IFERROR(VLOOKUP(A1228,PARTIDAS!$A$2:$I$269,9,FALSE()),1)</f>
        <v>1</v>
      </c>
      <c r="O1228" s="217">
        <f t="shared" si="38"/>
        <v>0</v>
      </c>
      <c r="P1228" s="216">
        <f>IF(O1228=0,0,IF(B1228="MAT",G1228*(1+H1228)*L1228*PLAN_ETAPA!$C$5,IF(B1228="MO",IF(M1228=0,0,G1228*L1228*PLAN_ETAPA!$C$5*N1228/M1228),IF(B1228="EQ",IF(M1228=0,0,G1228*L1228*PLAN_ETAPA!$C$5/M1228),0))))</f>
        <v>0</v>
      </c>
      <c r="Q1228" s="218">
        <f t="shared" si="39"/>
        <v>0</v>
      </c>
    </row>
    <row r="1229" spans="1:17" x14ac:dyDescent="0.35">
      <c r="A1229" s="212" t="str">
        <f>COMPOSICIÓN!A1229</f>
        <v>PTO-1203</v>
      </c>
      <c r="B1229" s="212" t="str">
        <f>COMPOSICIÓN!B1229</f>
        <v>EQ</v>
      </c>
      <c r="C1229" s="212">
        <f>COMPOSICIÓN!C1229</f>
        <v>0</v>
      </c>
      <c r="D1229" s="212" t="str">
        <f>COMPOSICIÓN!D1229</f>
        <v>EQ-CORTA</v>
      </c>
      <c r="E1229" s="212" t="str">
        <f>COMPOSICIÓN!E1229</f>
        <v>CORTADORA CERAMICA PROFESIONAL 1200MM (PORCELANATO HASTA 16MM)</v>
      </c>
      <c r="F1229" s="212">
        <f>COMPOSICIÓN!F1229</f>
        <v>0</v>
      </c>
      <c r="G1229" s="213">
        <f>COMPOSICIÓN!G1229</f>
        <v>1</v>
      </c>
      <c r="H1229" s="214">
        <f>COMPOSICIÓN!H1229</f>
        <v>0</v>
      </c>
      <c r="I1229" s="215">
        <f>COMPOSICIÓN!I1229</f>
        <v>298.42384358082836</v>
      </c>
      <c r="J1229" s="212" t="str">
        <f>IFERROR(VLOOKUP(A1229,PARTIDAS!$A$2:$C$269,3,FALSE()),"")</f>
        <v>ZÓCALOS</v>
      </c>
      <c r="K1229" s="212" t="str">
        <f>IFERROR(INDEX(PPTO_GENERADOR!$B$4:$B$220,MATCH(A1229,PPTO_GENERADOR!$Q$4:$Q$220,0)),"")</f>
        <v/>
      </c>
      <c r="L1229" s="216">
        <f>IF(PLAN_ETAPA!$C$4="(TODOS)",SUMIFS(PPTO_GENERADOR!$E$4:$E$220,PPTO_GENERADOR!$Q$4:$Q$220,A1229),SUMIFS(PPTO_GENERADOR!$E$4:$E$220,PPTO_GENERADOR!$Q$4:$Q$220,A1229,PPTO_GENERADOR!$B$4:$B$220,PLAN_ETAPA!$C$4))</f>
        <v>0</v>
      </c>
      <c r="M1229" s="216">
        <f>IFERROR(VLOOKUP(A1229,PARTIDAS!$A$2:$F$269,6,FALSE()),1)</f>
        <v>30</v>
      </c>
      <c r="N1229" s="216">
        <f>IFERROR(VLOOKUP(A1229,PARTIDAS!$A$2:$I$269,9,FALSE()),1)</f>
        <v>1</v>
      </c>
      <c r="O1229" s="217">
        <f t="shared" si="38"/>
        <v>0</v>
      </c>
      <c r="P1229" s="216">
        <f>IF(O1229=0,0,IF(B1229="MAT",G1229*(1+H1229)*L1229*PLAN_ETAPA!$C$5,IF(B1229="MO",IF(M1229=0,0,G1229*L1229*PLAN_ETAPA!$C$5*N1229/M1229),IF(B1229="EQ",IF(M1229=0,0,G1229*L1229*PLAN_ETAPA!$C$5/M1229),0))))</f>
        <v>0</v>
      </c>
      <c r="Q1229" s="218">
        <f t="shared" si="39"/>
        <v>0</v>
      </c>
    </row>
    <row r="1230" spans="1:17" x14ac:dyDescent="0.35">
      <c r="A1230" s="212" t="str">
        <f>COMPOSICIÓN!A1230</f>
        <v>PTO-1203</v>
      </c>
      <c r="B1230" s="212" t="str">
        <f>COMPOSICIÓN!B1230</f>
        <v>EQ</v>
      </c>
      <c r="C1230" s="212">
        <f>COMPOSICIÓN!C1230</f>
        <v>0</v>
      </c>
      <c r="D1230" s="212" t="str">
        <f>COMPOSICIÓN!D1230</f>
        <v>EQ-EQCERA</v>
      </c>
      <c r="E1230" s="212" t="str">
        <f>COMPOSICIÓN!E1230</f>
        <v>EQUIPO PARA COLOCACION DE CERAMICA</v>
      </c>
      <c r="F1230" s="212">
        <f>COMPOSICIÓN!F1230</f>
        <v>0</v>
      </c>
      <c r="G1230" s="213">
        <f>COMPOSICIÓN!G1230</f>
        <v>1</v>
      </c>
      <c r="H1230" s="214">
        <f>COMPOSICIÓN!H1230</f>
        <v>0</v>
      </c>
      <c r="I1230" s="215">
        <f>COMPOSICIÓN!I1230</f>
        <v>2637.1418444899073</v>
      </c>
      <c r="J1230" s="212" t="str">
        <f>IFERROR(VLOOKUP(A1230,PARTIDAS!$A$2:$C$269,3,FALSE()),"")</f>
        <v>ZÓCALOS</v>
      </c>
      <c r="K1230" s="212" t="str">
        <f>IFERROR(INDEX(PPTO_GENERADOR!$B$4:$B$220,MATCH(A1230,PPTO_GENERADOR!$Q$4:$Q$220,0)),"")</f>
        <v/>
      </c>
      <c r="L1230" s="216">
        <f>IF(PLAN_ETAPA!$C$4="(TODOS)",SUMIFS(PPTO_GENERADOR!$E$4:$E$220,PPTO_GENERADOR!$Q$4:$Q$220,A1230),SUMIFS(PPTO_GENERADOR!$E$4:$E$220,PPTO_GENERADOR!$Q$4:$Q$220,A1230,PPTO_GENERADOR!$B$4:$B$220,PLAN_ETAPA!$C$4))</f>
        <v>0</v>
      </c>
      <c r="M1230" s="216">
        <f>IFERROR(VLOOKUP(A1230,PARTIDAS!$A$2:$F$269,6,FALSE()),1)</f>
        <v>30</v>
      </c>
      <c r="N1230" s="216">
        <f>IFERROR(VLOOKUP(A1230,PARTIDAS!$A$2:$I$269,9,FALSE()),1)</f>
        <v>1</v>
      </c>
      <c r="O1230" s="217">
        <f t="shared" si="38"/>
        <v>0</v>
      </c>
      <c r="P1230" s="216">
        <f>IF(O1230=0,0,IF(B1230="MAT",G1230*(1+H1230)*L1230*PLAN_ETAPA!$C$5,IF(B1230="MO",IF(M1230=0,0,G1230*L1230*PLAN_ETAPA!$C$5*N1230/M1230),IF(B1230="EQ",IF(M1230=0,0,G1230*L1230*PLAN_ETAPA!$C$5/M1230),0))))</f>
        <v>0</v>
      </c>
      <c r="Q1230" s="218">
        <f t="shared" si="39"/>
        <v>0</v>
      </c>
    </row>
    <row r="1231" spans="1:17" x14ac:dyDescent="0.35">
      <c r="A1231" s="212" t="str">
        <f>COMPOSICIÓN!A1231</f>
        <v>PTO-1203</v>
      </c>
      <c r="B1231" s="212" t="str">
        <f>COMPOSICIÓN!B1231</f>
        <v>MAT</v>
      </c>
      <c r="C1231" s="212" t="str">
        <f>COMPOSICIÓN!C1231</f>
        <v>OTR</v>
      </c>
      <c r="D1231" s="212" t="str">
        <f>COMPOSICIÓN!D1231</f>
        <v>AGR-005</v>
      </c>
      <c r="E1231" s="212" t="str">
        <f>COMPOSICIÓN!E1231</f>
        <v>Cal Comun x 25kg</v>
      </c>
      <c r="F1231" s="212" t="str">
        <f>COMPOSICIÓN!F1231</f>
        <v>bol</v>
      </c>
      <c r="G1231" s="213">
        <f>COMPOSICIÓN!G1231</f>
        <v>0.08</v>
      </c>
      <c r="H1231" s="214">
        <f>COMPOSICIÓN!H1231</f>
        <v>0.2</v>
      </c>
      <c r="I1231" s="215">
        <f>COMPOSICIÓN!I1231</f>
        <v>3837.96</v>
      </c>
      <c r="J1231" s="212" t="str">
        <f>IFERROR(VLOOKUP(A1231,PARTIDAS!$A$2:$C$269,3,FALSE()),"")</f>
        <v>ZÓCALOS</v>
      </c>
      <c r="K1231" s="212" t="str">
        <f>IFERROR(INDEX(PPTO_GENERADOR!$B$4:$B$220,MATCH(A1231,PPTO_GENERADOR!$Q$4:$Q$220,0)),"")</f>
        <v/>
      </c>
      <c r="L1231" s="216">
        <f>IF(PLAN_ETAPA!$C$4="(TODOS)",SUMIFS(PPTO_GENERADOR!$E$4:$E$220,PPTO_GENERADOR!$Q$4:$Q$220,A1231),SUMIFS(PPTO_GENERADOR!$E$4:$E$220,PPTO_GENERADOR!$Q$4:$Q$220,A1231,PPTO_GENERADOR!$B$4:$B$220,PLAN_ETAPA!$C$4))</f>
        <v>0</v>
      </c>
      <c r="M1231" s="216">
        <f>IFERROR(VLOOKUP(A1231,PARTIDAS!$A$2:$F$269,6,FALSE()),1)</f>
        <v>30</v>
      </c>
      <c r="N1231" s="216">
        <f>IFERROR(VLOOKUP(A1231,PARTIDAS!$A$2:$I$269,9,FALSE()),1)</f>
        <v>1</v>
      </c>
      <c r="O1231" s="217">
        <f t="shared" si="38"/>
        <v>0</v>
      </c>
      <c r="P1231" s="216">
        <f>IF(O1231=0,0,IF(B1231="MAT",G1231*(1+H1231)*L1231*PLAN_ETAPA!$C$5,IF(B1231="MO",IF(M1231=0,0,G1231*L1231*PLAN_ETAPA!$C$5*N1231/M1231),IF(B1231="EQ",IF(M1231=0,0,G1231*L1231*PLAN_ETAPA!$C$5/M1231),0))))</f>
        <v>0</v>
      </c>
      <c r="Q1231" s="218">
        <f t="shared" si="39"/>
        <v>0</v>
      </c>
    </row>
    <row r="1232" spans="1:17" x14ac:dyDescent="0.35">
      <c r="A1232" s="212" t="str">
        <f>COMPOSICIÓN!A1232</f>
        <v>PTO-1203</v>
      </c>
      <c r="B1232" s="212" t="str">
        <f>COMPOSICIÓN!B1232</f>
        <v>MAT</v>
      </c>
      <c r="C1232" s="212" t="str">
        <f>COMPOSICIÓN!C1232</f>
        <v>OTR</v>
      </c>
      <c r="D1232" s="212" t="str">
        <f>COMPOSICIÓN!D1232</f>
        <v>OTR-025</v>
      </c>
      <c r="E1232" s="212" t="str">
        <f>COMPOSICIÓN!E1232</f>
        <v>Trapo</v>
      </c>
      <c r="F1232" s="212" t="str">
        <f>COMPOSICIÓN!F1232</f>
        <v>u</v>
      </c>
      <c r="G1232" s="213">
        <f>COMPOSICIÓN!G1232</f>
        <v>0.01</v>
      </c>
      <c r="H1232" s="214">
        <f>COMPOSICIÓN!H1232</f>
        <v>0.03</v>
      </c>
      <c r="I1232" s="215">
        <f>COMPOSICIÓN!I1232</f>
        <v>735.06</v>
      </c>
      <c r="J1232" s="212" t="str">
        <f>IFERROR(VLOOKUP(A1232,PARTIDAS!$A$2:$C$269,3,FALSE()),"")</f>
        <v>ZÓCALOS</v>
      </c>
      <c r="K1232" s="212" t="str">
        <f>IFERROR(INDEX(PPTO_GENERADOR!$B$4:$B$220,MATCH(A1232,PPTO_GENERADOR!$Q$4:$Q$220,0)),"")</f>
        <v/>
      </c>
      <c r="L1232" s="216">
        <f>IF(PLAN_ETAPA!$C$4="(TODOS)",SUMIFS(PPTO_GENERADOR!$E$4:$E$220,PPTO_GENERADOR!$Q$4:$Q$220,A1232),SUMIFS(PPTO_GENERADOR!$E$4:$E$220,PPTO_GENERADOR!$Q$4:$Q$220,A1232,PPTO_GENERADOR!$B$4:$B$220,PLAN_ETAPA!$C$4))</f>
        <v>0</v>
      </c>
      <c r="M1232" s="216">
        <f>IFERROR(VLOOKUP(A1232,PARTIDAS!$A$2:$F$269,6,FALSE()),1)</f>
        <v>30</v>
      </c>
      <c r="N1232" s="216">
        <f>IFERROR(VLOOKUP(A1232,PARTIDAS!$A$2:$I$269,9,FALSE()),1)</f>
        <v>1</v>
      </c>
      <c r="O1232" s="217">
        <f t="shared" si="38"/>
        <v>0</v>
      </c>
      <c r="P1232" s="216">
        <f>IF(O1232=0,0,IF(B1232="MAT",G1232*(1+H1232)*L1232*PLAN_ETAPA!$C$5,IF(B1232="MO",IF(M1232=0,0,G1232*L1232*PLAN_ETAPA!$C$5*N1232/M1232),IF(B1232="EQ",IF(M1232=0,0,G1232*L1232*PLAN_ETAPA!$C$5/M1232),0))))</f>
        <v>0</v>
      </c>
      <c r="Q1232" s="218">
        <f t="shared" si="39"/>
        <v>0</v>
      </c>
    </row>
    <row r="1233" spans="1:17" x14ac:dyDescent="0.35">
      <c r="A1233" s="212" t="str">
        <f>COMPOSICIÓN!A1233</f>
        <v>PTO-1203</v>
      </c>
      <c r="B1233" s="212" t="str">
        <f>COMPOSICIÓN!B1233</f>
        <v>MAT</v>
      </c>
      <c r="C1233" s="212" t="str">
        <f>COMPOSICIÓN!C1233</f>
        <v>OTR</v>
      </c>
      <c r="D1233" s="212" t="str">
        <f>COMPOSICIÓN!D1233</f>
        <v>OTR-046</v>
      </c>
      <c r="E1233" s="212" t="str">
        <f>COMPOSICIÓN!E1233</f>
        <v>Disco Diamantado Aliafor Turbo Fino TRF</v>
      </c>
      <c r="F1233" s="212" t="str">
        <f>COMPOSICIÓN!F1233</f>
        <v>u</v>
      </c>
      <c r="G1233" s="213">
        <f>COMPOSICIÓN!G1233</f>
        <v>1E-3</v>
      </c>
      <c r="H1233" s="214">
        <f>COMPOSICIÓN!H1233</f>
        <v>0.05</v>
      </c>
      <c r="I1233" s="215">
        <f>COMPOSICIÓN!I1233</f>
        <v>20237</v>
      </c>
      <c r="J1233" s="212" t="str">
        <f>IFERROR(VLOOKUP(A1233,PARTIDAS!$A$2:$C$269,3,FALSE()),"")</f>
        <v>ZÓCALOS</v>
      </c>
      <c r="K1233" s="212" t="str">
        <f>IFERROR(INDEX(PPTO_GENERADOR!$B$4:$B$220,MATCH(A1233,PPTO_GENERADOR!$Q$4:$Q$220,0)),"")</f>
        <v/>
      </c>
      <c r="L1233" s="216">
        <f>IF(PLAN_ETAPA!$C$4="(TODOS)",SUMIFS(PPTO_GENERADOR!$E$4:$E$220,PPTO_GENERADOR!$Q$4:$Q$220,A1233),SUMIFS(PPTO_GENERADOR!$E$4:$E$220,PPTO_GENERADOR!$Q$4:$Q$220,A1233,PPTO_GENERADOR!$B$4:$B$220,PLAN_ETAPA!$C$4))</f>
        <v>0</v>
      </c>
      <c r="M1233" s="216">
        <f>IFERROR(VLOOKUP(A1233,PARTIDAS!$A$2:$F$269,6,FALSE()),1)</f>
        <v>30</v>
      </c>
      <c r="N1233" s="216">
        <f>IFERROR(VLOOKUP(A1233,PARTIDAS!$A$2:$I$269,9,FALSE()),1)</f>
        <v>1</v>
      </c>
      <c r="O1233" s="217">
        <f t="shared" si="38"/>
        <v>0</v>
      </c>
      <c r="P1233" s="216">
        <f>IF(O1233=0,0,IF(B1233="MAT",G1233*(1+H1233)*L1233*PLAN_ETAPA!$C$5,IF(B1233="MO",IF(M1233=0,0,G1233*L1233*PLAN_ETAPA!$C$5*N1233/M1233),IF(B1233="EQ",IF(M1233=0,0,G1233*L1233*PLAN_ETAPA!$C$5/M1233),0))))</f>
        <v>0</v>
      </c>
      <c r="Q1233" s="218">
        <f t="shared" si="39"/>
        <v>0</v>
      </c>
    </row>
    <row r="1234" spans="1:17" x14ac:dyDescent="0.35">
      <c r="A1234" s="212" t="str">
        <f>COMPOSICIÓN!A1234</f>
        <v>PTO-1203</v>
      </c>
      <c r="B1234" s="212" t="str">
        <f>COMPOSICIÓN!B1234</f>
        <v>MO</v>
      </c>
      <c r="C1234" s="212" t="str">
        <f>COMPOSICIÓN!C1234</f>
        <v>ALB</v>
      </c>
      <c r="D1234" s="212" t="str">
        <f>COMPOSICIÓN!D1234</f>
        <v>MO-EESPE</v>
      </c>
      <c r="E1234" s="212" t="str">
        <f>COMPOSICIÓN!E1234</f>
        <v>ESPECIALIZADO</v>
      </c>
      <c r="F1234" s="212" t="str">
        <f>COMPOSICIÓN!F1234</f>
        <v>j</v>
      </c>
      <c r="G1234" s="213">
        <f>COMPOSICIÓN!G1234</f>
        <v>1</v>
      </c>
      <c r="H1234" s="214">
        <f>COMPOSICIÓN!H1234</f>
        <v>0</v>
      </c>
      <c r="I1234" s="215">
        <f>COMPOSICIÓN!I1234</f>
        <v>85927.097156571996</v>
      </c>
      <c r="J1234" s="212" t="str">
        <f>IFERROR(VLOOKUP(A1234,PARTIDAS!$A$2:$C$269,3,FALSE()),"")</f>
        <v>ZÓCALOS</v>
      </c>
      <c r="K1234" s="212" t="str">
        <f>IFERROR(INDEX(PPTO_GENERADOR!$B$4:$B$220,MATCH(A1234,PPTO_GENERADOR!$Q$4:$Q$220,0)),"")</f>
        <v/>
      </c>
      <c r="L1234" s="216">
        <f>IF(PLAN_ETAPA!$C$4="(TODOS)",SUMIFS(PPTO_GENERADOR!$E$4:$E$220,PPTO_GENERADOR!$Q$4:$Q$220,A1234),SUMIFS(PPTO_GENERADOR!$E$4:$E$220,PPTO_GENERADOR!$Q$4:$Q$220,A1234,PPTO_GENERADOR!$B$4:$B$220,PLAN_ETAPA!$C$4))</f>
        <v>0</v>
      </c>
      <c r="M1234" s="216">
        <f>IFERROR(VLOOKUP(A1234,PARTIDAS!$A$2:$F$269,6,FALSE()),1)</f>
        <v>30</v>
      </c>
      <c r="N1234" s="216">
        <f>IFERROR(VLOOKUP(A1234,PARTIDAS!$A$2:$I$269,9,FALSE()),1)</f>
        <v>1</v>
      </c>
      <c r="O1234" s="217">
        <f t="shared" si="38"/>
        <v>0</v>
      </c>
      <c r="P1234" s="216">
        <f>IF(O1234=0,0,IF(B1234="MAT",G1234*(1+H1234)*L1234*PLAN_ETAPA!$C$5,IF(B1234="MO",IF(M1234=0,0,G1234*L1234*PLAN_ETAPA!$C$5*N1234/M1234),IF(B1234="EQ",IF(M1234=0,0,G1234*L1234*PLAN_ETAPA!$C$5/M1234),0))))</f>
        <v>0</v>
      </c>
      <c r="Q1234" s="218">
        <f t="shared" si="39"/>
        <v>0</v>
      </c>
    </row>
    <row r="1235" spans="1:17" x14ac:dyDescent="0.35">
      <c r="A1235" s="212" t="str">
        <f>COMPOSICIÓN!A1235</f>
        <v>PTO-1203</v>
      </c>
      <c r="B1235" s="212" t="str">
        <f>COMPOSICIÓN!B1235</f>
        <v>MO</v>
      </c>
      <c r="C1235" s="212" t="str">
        <f>COMPOSICIÓN!C1235</f>
        <v>ALB</v>
      </c>
      <c r="D1235" s="212" t="str">
        <f>COMPOSICIÓN!D1235</f>
        <v>MO-EOFIC</v>
      </c>
      <c r="E1235" s="212" t="str">
        <f>COMPOSICIÓN!E1235</f>
        <v>OFICIAL</v>
      </c>
      <c r="F1235" s="212" t="str">
        <f>COMPOSICIÓN!F1235</f>
        <v>j</v>
      </c>
      <c r="G1235" s="213">
        <f>COMPOSICIÓN!G1235</f>
        <v>1</v>
      </c>
      <c r="H1235" s="214">
        <f>COMPOSICIÓN!H1235</f>
        <v>0</v>
      </c>
      <c r="I1235" s="215">
        <f>COMPOSICIÓN!I1235</f>
        <v>76955.079706571996</v>
      </c>
      <c r="J1235" s="212" t="str">
        <f>IFERROR(VLOOKUP(A1235,PARTIDAS!$A$2:$C$269,3,FALSE()),"")</f>
        <v>ZÓCALOS</v>
      </c>
      <c r="K1235" s="212" t="str">
        <f>IFERROR(INDEX(PPTO_GENERADOR!$B$4:$B$220,MATCH(A1235,PPTO_GENERADOR!$Q$4:$Q$220,0)),"")</f>
        <v/>
      </c>
      <c r="L1235" s="216">
        <f>IF(PLAN_ETAPA!$C$4="(TODOS)",SUMIFS(PPTO_GENERADOR!$E$4:$E$220,PPTO_GENERADOR!$Q$4:$Q$220,A1235),SUMIFS(PPTO_GENERADOR!$E$4:$E$220,PPTO_GENERADOR!$Q$4:$Q$220,A1235,PPTO_GENERADOR!$B$4:$B$220,PLAN_ETAPA!$C$4))</f>
        <v>0</v>
      </c>
      <c r="M1235" s="216">
        <f>IFERROR(VLOOKUP(A1235,PARTIDAS!$A$2:$F$269,6,FALSE()),1)</f>
        <v>30</v>
      </c>
      <c r="N1235" s="216">
        <f>IFERROR(VLOOKUP(A1235,PARTIDAS!$A$2:$I$269,9,FALSE()),1)</f>
        <v>1</v>
      </c>
      <c r="O1235" s="217">
        <f t="shared" si="38"/>
        <v>0</v>
      </c>
      <c r="P1235" s="216">
        <f>IF(O1235=0,0,IF(B1235="MAT",G1235*(1+H1235)*L1235*PLAN_ETAPA!$C$5,IF(B1235="MO",IF(M1235=0,0,G1235*L1235*PLAN_ETAPA!$C$5*N1235/M1235),IF(B1235="EQ",IF(M1235=0,0,G1235*L1235*PLAN_ETAPA!$C$5/M1235),0))))</f>
        <v>0</v>
      </c>
      <c r="Q1235" s="218">
        <f t="shared" si="39"/>
        <v>0</v>
      </c>
    </row>
    <row r="1236" spans="1:17" x14ac:dyDescent="0.35">
      <c r="A1236" s="212" t="str">
        <f>COMPOSICIÓN!A1236</f>
        <v>PTO-1301</v>
      </c>
      <c r="B1236" s="212" t="str">
        <f>COMPOSICIÓN!B1236</f>
        <v>EQ</v>
      </c>
      <c r="C1236" s="212">
        <f>COMPOSICIÓN!C1236</f>
        <v>0</v>
      </c>
      <c r="D1236" s="212" t="str">
        <f>COMPOSICIÓN!D1236</f>
        <v>EQ-CORTA</v>
      </c>
      <c r="E1236" s="212" t="str">
        <f>COMPOSICIÓN!E1236</f>
        <v>CORTADORA CERAMICA PROFESIONAL 1200MM (PORCELANATO HASTA 16MM)</v>
      </c>
      <c r="F1236" s="212">
        <f>COMPOSICIÓN!F1236</f>
        <v>0</v>
      </c>
      <c r="G1236" s="213">
        <f>COMPOSICIÓN!G1236</f>
        <v>1</v>
      </c>
      <c r="H1236" s="214">
        <f>COMPOSICIÓN!H1236</f>
        <v>0</v>
      </c>
      <c r="I1236" s="215">
        <f>COMPOSICIÓN!I1236</f>
        <v>298.42384358082836</v>
      </c>
      <c r="J1236" s="212" t="str">
        <f>IFERROR(VLOOKUP(A1236,PARTIDAS!$A$2:$C$269,3,FALSE()),"")</f>
        <v>REVESTIMIENTOS</v>
      </c>
      <c r="K1236" s="212" t="str">
        <f>IFERROR(INDEX(PPTO_GENERADOR!$B$4:$B$220,MATCH(A1236,PPTO_GENERADOR!$Q$4:$Q$220,0)),"")</f>
        <v/>
      </c>
      <c r="L1236" s="216">
        <f>IF(PLAN_ETAPA!$C$4="(TODOS)",SUMIFS(PPTO_GENERADOR!$E$4:$E$220,PPTO_GENERADOR!$Q$4:$Q$220,A1236),SUMIFS(PPTO_GENERADOR!$E$4:$E$220,PPTO_GENERADOR!$Q$4:$Q$220,A1236,PPTO_GENERADOR!$B$4:$B$220,PLAN_ETAPA!$C$4))</f>
        <v>0</v>
      </c>
      <c r="M1236" s="216">
        <f>IFERROR(VLOOKUP(A1236,PARTIDAS!$A$2:$F$269,6,FALSE()),1)</f>
        <v>10</v>
      </c>
      <c r="N1236" s="216">
        <f>IFERROR(VLOOKUP(A1236,PARTIDAS!$A$2:$I$269,9,FALSE()),1)</f>
        <v>1</v>
      </c>
      <c r="O1236" s="217">
        <f t="shared" si="38"/>
        <v>0</v>
      </c>
      <c r="P1236" s="216">
        <f>IF(O1236=0,0,IF(B1236="MAT",G1236*(1+H1236)*L1236*PLAN_ETAPA!$C$5,IF(B1236="MO",IF(M1236=0,0,G1236*L1236*PLAN_ETAPA!$C$5*N1236/M1236),IF(B1236="EQ",IF(M1236=0,0,G1236*L1236*PLAN_ETAPA!$C$5/M1236),0))))</f>
        <v>0</v>
      </c>
      <c r="Q1236" s="218">
        <f t="shared" si="39"/>
        <v>0</v>
      </c>
    </row>
    <row r="1237" spans="1:17" x14ac:dyDescent="0.35">
      <c r="A1237" s="212" t="str">
        <f>COMPOSICIÓN!A1237</f>
        <v>PTO-1301</v>
      </c>
      <c r="B1237" s="212" t="str">
        <f>COMPOSICIÓN!B1237</f>
        <v>EQ</v>
      </c>
      <c r="C1237" s="212">
        <f>COMPOSICIÓN!C1237</f>
        <v>0</v>
      </c>
      <c r="D1237" s="212" t="str">
        <f>COMPOSICIÓN!D1237</f>
        <v>EQ-EQCERA</v>
      </c>
      <c r="E1237" s="212" t="str">
        <f>COMPOSICIÓN!E1237</f>
        <v>EQUIPO PARA COLOCACION DE CERAMICA</v>
      </c>
      <c r="F1237" s="212">
        <f>COMPOSICIÓN!F1237</f>
        <v>0</v>
      </c>
      <c r="G1237" s="213">
        <f>COMPOSICIÓN!G1237</f>
        <v>1</v>
      </c>
      <c r="H1237" s="214">
        <f>COMPOSICIÓN!H1237</f>
        <v>0</v>
      </c>
      <c r="I1237" s="215">
        <f>COMPOSICIÓN!I1237</f>
        <v>2637.1418444899073</v>
      </c>
      <c r="J1237" s="212" t="str">
        <f>IFERROR(VLOOKUP(A1237,PARTIDAS!$A$2:$C$269,3,FALSE()),"")</f>
        <v>REVESTIMIENTOS</v>
      </c>
      <c r="K1237" s="212" t="str">
        <f>IFERROR(INDEX(PPTO_GENERADOR!$B$4:$B$220,MATCH(A1237,PPTO_GENERADOR!$Q$4:$Q$220,0)),"")</f>
        <v/>
      </c>
      <c r="L1237" s="216">
        <f>IF(PLAN_ETAPA!$C$4="(TODOS)",SUMIFS(PPTO_GENERADOR!$E$4:$E$220,PPTO_GENERADOR!$Q$4:$Q$220,A1237),SUMIFS(PPTO_GENERADOR!$E$4:$E$220,PPTO_GENERADOR!$Q$4:$Q$220,A1237,PPTO_GENERADOR!$B$4:$B$220,PLAN_ETAPA!$C$4))</f>
        <v>0</v>
      </c>
      <c r="M1237" s="216">
        <f>IFERROR(VLOOKUP(A1237,PARTIDAS!$A$2:$F$269,6,FALSE()),1)</f>
        <v>10</v>
      </c>
      <c r="N1237" s="216">
        <f>IFERROR(VLOOKUP(A1237,PARTIDAS!$A$2:$I$269,9,FALSE()),1)</f>
        <v>1</v>
      </c>
      <c r="O1237" s="217">
        <f t="shared" si="38"/>
        <v>0</v>
      </c>
      <c r="P1237" s="216">
        <f>IF(O1237=0,0,IF(B1237="MAT",G1237*(1+H1237)*L1237*PLAN_ETAPA!$C$5,IF(B1237="MO",IF(M1237=0,0,G1237*L1237*PLAN_ETAPA!$C$5*N1237/M1237),IF(B1237="EQ",IF(M1237=0,0,G1237*L1237*PLAN_ETAPA!$C$5/M1237),0))))</f>
        <v>0</v>
      </c>
      <c r="Q1237" s="218">
        <f t="shared" si="39"/>
        <v>0</v>
      </c>
    </row>
    <row r="1238" spans="1:17" x14ac:dyDescent="0.35">
      <c r="A1238" s="212" t="str">
        <f>COMPOSICIÓN!A1238</f>
        <v>PTO-1301</v>
      </c>
      <c r="B1238" s="212" t="str">
        <f>COMPOSICIÓN!B1238</f>
        <v>MAT</v>
      </c>
      <c r="C1238" s="212" t="str">
        <f>COMPOSICIÓN!C1238</f>
        <v>OTR</v>
      </c>
      <c r="D1238" s="212" t="str">
        <f>COMPOSICIÓN!D1238</f>
        <v>AGR-005</v>
      </c>
      <c r="E1238" s="212" t="str">
        <f>COMPOSICIÓN!E1238</f>
        <v>Cal Comun x 25kg</v>
      </c>
      <c r="F1238" s="212" t="str">
        <f>COMPOSICIÓN!F1238</f>
        <v>bol</v>
      </c>
      <c r="G1238" s="213">
        <f>COMPOSICIÓN!G1238</f>
        <v>0.4</v>
      </c>
      <c r="H1238" s="214">
        <f>COMPOSICIÓN!H1238</f>
        <v>0.2</v>
      </c>
      <c r="I1238" s="215">
        <f>COMPOSICIÓN!I1238</f>
        <v>3837.96</v>
      </c>
      <c r="J1238" s="212" t="str">
        <f>IFERROR(VLOOKUP(A1238,PARTIDAS!$A$2:$C$269,3,FALSE()),"")</f>
        <v>REVESTIMIENTOS</v>
      </c>
      <c r="K1238" s="212" t="str">
        <f>IFERROR(INDEX(PPTO_GENERADOR!$B$4:$B$220,MATCH(A1238,PPTO_GENERADOR!$Q$4:$Q$220,0)),"")</f>
        <v/>
      </c>
      <c r="L1238" s="216">
        <f>IF(PLAN_ETAPA!$C$4="(TODOS)",SUMIFS(PPTO_GENERADOR!$E$4:$E$220,PPTO_GENERADOR!$Q$4:$Q$220,A1238),SUMIFS(PPTO_GENERADOR!$E$4:$E$220,PPTO_GENERADOR!$Q$4:$Q$220,A1238,PPTO_GENERADOR!$B$4:$B$220,PLAN_ETAPA!$C$4))</f>
        <v>0</v>
      </c>
      <c r="M1238" s="216">
        <f>IFERROR(VLOOKUP(A1238,PARTIDAS!$A$2:$F$269,6,FALSE()),1)</f>
        <v>10</v>
      </c>
      <c r="N1238" s="216">
        <f>IFERROR(VLOOKUP(A1238,PARTIDAS!$A$2:$I$269,9,FALSE()),1)</f>
        <v>1</v>
      </c>
      <c r="O1238" s="217">
        <f t="shared" si="38"/>
        <v>0</v>
      </c>
      <c r="P1238" s="216">
        <f>IF(O1238=0,0,IF(B1238="MAT",G1238*(1+H1238)*L1238*PLAN_ETAPA!$C$5,IF(B1238="MO",IF(M1238=0,0,G1238*L1238*PLAN_ETAPA!$C$5*N1238/M1238),IF(B1238="EQ",IF(M1238=0,0,G1238*L1238*PLAN_ETAPA!$C$5/M1238),0))))</f>
        <v>0</v>
      </c>
      <c r="Q1238" s="218">
        <f t="shared" si="39"/>
        <v>0</v>
      </c>
    </row>
    <row r="1239" spans="1:17" x14ac:dyDescent="0.35">
      <c r="A1239" s="212" t="str">
        <f>COMPOSICIÓN!A1239</f>
        <v>PTO-1301</v>
      </c>
      <c r="B1239" s="212" t="str">
        <f>COMPOSICIÓN!B1239</f>
        <v>MAT</v>
      </c>
      <c r="C1239" s="212" t="str">
        <f>COMPOSICIÓN!C1239</f>
        <v>OTR</v>
      </c>
      <c r="D1239" s="212" t="str">
        <f>COMPOSICIÓN!D1239</f>
        <v>OTR-025</v>
      </c>
      <c r="E1239" s="212" t="str">
        <f>COMPOSICIÓN!E1239</f>
        <v>Trapo</v>
      </c>
      <c r="F1239" s="212" t="str">
        <f>COMPOSICIÓN!F1239</f>
        <v>u</v>
      </c>
      <c r="G1239" s="213">
        <f>COMPOSICIÓN!G1239</f>
        <v>0.01</v>
      </c>
      <c r="H1239" s="214">
        <f>COMPOSICIÓN!H1239</f>
        <v>0.03</v>
      </c>
      <c r="I1239" s="215">
        <f>COMPOSICIÓN!I1239</f>
        <v>735.06</v>
      </c>
      <c r="J1239" s="212" t="str">
        <f>IFERROR(VLOOKUP(A1239,PARTIDAS!$A$2:$C$269,3,FALSE()),"")</f>
        <v>REVESTIMIENTOS</v>
      </c>
      <c r="K1239" s="212" t="str">
        <f>IFERROR(INDEX(PPTO_GENERADOR!$B$4:$B$220,MATCH(A1239,PPTO_GENERADOR!$Q$4:$Q$220,0)),"")</f>
        <v/>
      </c>
      <c r="L1239" s="216">
        <f>IF(PLAN_ETAPA!$C$4="(TODOS)",SUMIFS(PPTO_GENERADOR!$E$4:$E$220,PPTO_GENERADOR!$Q$4:$Q$220,A1239),SUMIFS(PPTO_GENERADOR!$E$4:$E$220,PPTO_GENERADOR!$Q$4:$Q$220,A1239,PPTO_GENERADOR!$B$4:$B$220,PLAN_ETAPA!$C$4))</f>
        <v>0</v>
      </c>
      <c r="M1239" s="216">
        <f>IFERROR(VLOOKUP(A1239,PARTIDAS!$A$2:$F$269,6,FALSE()),1)</f>
        <v>10</v>
      </c>
      <c r="N1239" s="216">
        <f>IFERROR(VLOOKUP(A1239,PARTIDAS!$A$2:$I$269,9,FALSE()),1)</f>
        <v>1</v>
      </c>
      <c r="O1239" s="217">
        <f t="shared" si="38"/>
        <v>0</v>
      </c>
      <c r="P1239" s="216">
        <f>IF(O1239=0,0,IF(B1239="MAT",G1239*(1+H1239)*L1239*PLAN_ETAPA!$C$5,IF(B1239="MO",IF(M1239=0,0,G1239*L1239*PLAN_ETAPA!$C$5*N1239/M1239),IF(B1239="EQ",IF(M1239=0,0,G1239*L1239*PLAN_ETAPA!$C$5/M1239),0))))</f>
        <v>0</v>
      </c>
      <c r="Q1239" s="218">
        <f t="shared" si="39"/>
        <v>0</v>
      </c>
    </row>
    <row r="1240" spans="1:17" x14ac:dyDescent="0.35">
      <c r="A1240" s="212" t="str">
        <f>COMPOSICIÓN!A1240</f>
        <v>PTO-1301</v>
      </c>
      <c r="B1240" s="212" t="str">
        <f>COMPOSICIÓN!B1240</f>
        <v>MAT</v>
      </c>
      <c r="C1240" s="212" t="str">
        <f>COMPOSICIÓN!C1240</f>
        <v>OTR</v>
      </c>
      <c r="D1240" s="212" t="str">
        <f>COMPOSICIÓN!D1240</f>
        <v>OTR-046</v>
      </c>
      <c r="E1240" s="212" t="str">
        <f>COMPOSICIÓN!E1240</f>
        <v>Disco Diamantado Aliafor Turbo Fino TRF</v>
      </c>
      <c r="F1240" s="212" t="str">
        <f>COMPOSICIÓN!F1240</f>
        <v>u</v>
      </c>
      <c r="G1240" s="213">
        <f>COMPOSICIÓN!G1240</f>
        <v>4.0000000000000001E-3</v>
      </c>
      <c r="H1240" s="214">
        <f>COMPOSICIÓN!H1240</f>
        <v>0.05</v>
      </c>
      <c r="I1240" s="215">
        <f>COMPOSICIÓN!I1240</f>
        <v>20237</v>
      </c>
      <c r="J1240" s="212" t="str">
        <f>IFERROR(VLOOKUP(A1240,PARTIDAS!$A$2:$C$269,3,FALSE()),"")</f>
        <v>REVESTIMIENTOS</v>
      </c>
      <c r="K1240" s="212" t="str">
        <f>IFERROR(INDEX(PPTO_GENERADOR!$B$4:$B$220,MATCH(A1240,PPTO_GENERADOR!$Q$4:$Q$220,0)),"")</f>
        <v/>
      </c>
      <c r="L1240" s="216">
        <f>IF(PLAN_ETAPA!$C$4="(TODOS)",SUMIFS(PPTO_GENERADOR!$E$4:$E$220,PPTO_GENERADOR!$Q$4:$Q$220,A1240),SUMIFS(PPTO_GENERADOR!$E$4:$E$220,PPTO_GENERADOR!$Q$4:$Q$220,A1240,PPTO_GENERADOR!$B$4:$B$220,PLAN_ETAPA!$C$4))</f>
        <v>0</v>
      </c>
      <c r="M1240" s="216">
        <f>IFERROR(VLOOKUP(A1240,PARTIDAS!$A$2:$F$269,6,FALSE()),1)</f>
        <v>10</v>
      </c>
      <c r="N1240" s="216">
        <f>IFERROR(VLOOKUP(A1240,PARTIDAS!$A$2:$I$269,9,FALSE()),1)</f>
        <v>1</v>
      </c>
      <c r="O1240" s="217">
        <f t="shared" si="38"/>
        <v>0</v>
      </c>
      <c r="P1240" s="216">
        <f>IF(O1240=0,0,IF(B1240="MAT",G1240*(1+H1240)*L1240*PLAN_ETAPA!$C$5,IF(B1240="MO",IF(M1240=0,0,G1240*L1240*PLAN_ETAPA!$C$5*N1240/M1240),IF(B1240="EQ",IF(M1240=0,0,G1240*L1240*PLAN_ETAPA!$C$5/M1240),0))))</f>
        <v>0</v>
      </c>
      <c r="Q1240" s="218">
        <f t="shared" si="39"/>
        <v>0</v>
      </c>
    </row>
    <row r="1241" spans="1:17" x14ac:dyDescent="0.35">
      <c r="A1241" s="212" t="str">
        <f>COMPOSICIÓN!A1241</f>
        <v>PTO-1301</v>
      </c>
      <c r="B1241" s="212" t="str">
        <f>COMPOSICIÓN!B1241</f>
        <v>MAT</v>
      </c>
      <c r="C1241" s="212" t="str">
        <f>COMPOSICIÓN!C1241</f>
        <v>OTR</v>
      </c>
      <c r="D1241" s="212" t="str">
        <f>COMPOSICIÓN!D1241</f>
        <v>REV-012</v>
      </c>
      <c r="E1241" s="212" t="str">
        <f>COMPOSICIÓN!E1241</f>
        <v>Arco y cuña niveladores porcelanatos x 150 un</v>
      </c>
      <c r="F1241" s="212" t="str">
        <f>COMPOSICIÓN!F1241</f>
        <v>b</v>
      </c>
      <c r="G1241" s="213">
        <f>COMPOSICIÓN!G1241</f>
        <v>0.04</v>
      </c>
      <c r="H1241" s="214">
        <f>COMPOSICIÓN!H1241</f>
        <v>0.05</v>
      </c>
      <c r="I1241" s="215">
        <f>COMPOSICIÓN!I1241</f>
        <v>44669.4214876033</v>
      </c>
      <c r="J1241" s="212" t="str">
        <f>IFERROR(VLOOKUP(A1241,PARTIDAS!$A$2:$C$269,3,FALSE()),"")</f>
        <v>REVESTIMIENTOS</v>
      </c>
      <c r="K1241" s="212" t="str">
        <f>IFERROR(INDEX(PPTO_GENERADOR!$B$4:$B$220,MATCH(A1241,PPTO_GENERADOR!$Q$4:$Q$220,0)),"")</f>
        <v/>
      </c>
      <c r="L1241" s="216">
        <f>IF(PLAN_ETAPA!$C$4="(TODOS)",SUMIFS(PPTO_GENERADOR!$E$4:$E$220,PPTO_GENERADOR!$Q$4:$Q$220,A1241),SUMIFS(PPTO_GENERADOR!$E$4:$E$220,PPTO_GENERADOR!$Q$4:$Q$220,A1241,PPTO_GENERADOR!$B$4:$B$220,PLAN_ETAPA!$C$4))</f>
        <v>0</v>
      </c>
      <c r="M1241" s="216">
        <f>IFERROR(VLOOKUP(A1241,PARTIDAS!$A$2:$F$269,6,FALSE()),1)</f>
        <v>10</v>
      </c>
      <c r="N1241" s="216">
        <f>IFERROR(VLOOKUP(A1241,PARTIDAS!$A$2:$I$269,9,FALSE()),1)</f>
        <v>1</v>
      </c>
      <c r="O1241" s="217">
        <f t="shared" si="38"/>
        <v>0</v>
      </c>
      <c r="P1241" s="216">
        <f>IF(O1241=0,0,IF(B1241="MAT",G1241*(1+H1241)*L1241*PLAN_ETAPA!$C$5,IF(B1241="MO",IF(M1241=0,0,G1241*L1241*PLAN_ETAPA!$C$5*N1241/M1241),IF(B1241="EQ",IF(M1241=0,0,G1241*L1241*PLAN_ETAPA!$C$5/M1241),0))))</f>
        <v>0</v>
      </c>
      <c r="Q1241" s="218">
        <f t="shared" si="39"/>
        <v>0</v>
      </c>
    </row>
    <row r="1242" spans="1:17" x14ac:dyDescent="0.35">
      <c r="A1242" s="212" t="str">
        <f>COMPOSICIÓN!A1242</f>
        <v>PTO-1301</v>
      </c>
      <c r="B1242" s="212" t="str">
        <f>COMPOSICIÓN!B1242</f>
        <v>MO</v>
      </c>
      <c r="C1242" s="212" t="str">
        <f>COMPOSICIÓN!C1242</f>
        <v>ALB</v>
      </c>
      <c r="D1242" s="212" t="str">
        <f>COMPOSICIÓN!D1242</f>
        <v>MO-EESPE</v>
      </c>
      <c r="E1242" s="212" t="str">
        <f>COMPOSICIÓN!E1242</f>
        <v>ESPECIALIZADO</v>
      </c>
      <c r="F1242" s="212" t="str">
        <f>COMPOSICIÓN!F1242</f>
        <v>j</v>
      </c>
      <c r="G1242" s="213">
        <f>COMPOSICIÓN!G1242</f>
        <v>1</v>
      </c>
      <c r="H1242" s="214">
        <f>COMPOSICIÓN!H1242</f>
        <v>0</v>
      </c>
      <c r="I1242" s="215">
        <f>COMPOSICIÓN!I1242</f>
        <v>85927.097156571996</v>
      </c>
      <c r="J1242" s="212" t="str">
        <f>IFERROR(VLOOKUP(A1242,PARTIDAS!$A$2:$C$269,3,FALSE()),"")</f>
        <v>REVESTIMIENTOS</v>
      </c>
      <c r="K1242" s="212" t="str">
        <f>IFERROR(INDEX(PPTO_GENERADOR!$B$4:$B$220,MATCH(A1242,PPTO_GENERADOR!$Q$4:$Q$220,0)),"")</f>
        <v/>
      </c>
      <c r="L1242" s="216">
        <f>IF(PLAN_ETAPA!$C$4="(TODOS)",SUMIFS(PPTO_GENERADOR!$E$4:$E$220,PPTO_GENERADOR!$Q$4:$Q$220,A1242),SUMIFS(PPTO_GENERADOR!$E$4:$E$220,PPTO_GENERADOR!$Q$4:$Q$220,A1242,PPTO_GENERADOR!$B$4:$B$220,PLAN_ETAPA!$C$4))</f>
        <v>0</v>
      </c>
      <c r="M1242" s="216">
        <f>IFERROR(VLOOKUP(A1242,PARTIDAS!$A$2:$F$269,6,FALSE()),1)</f>
        <v>10</v>
      </c>
      <c r="N1242" s="216">
        <f>IFERROR(VLOOKUP(A1242,PARTIDAS!$A$2:$I$269,9,FALSE()),1)</f>
        <v>1</v>
      </c>
      <c r="O1242" s="217">
        <f t="shared" si="38"/>
        <v>0</v>
      </c>
      <c r="P1242" s="216">
        <f>IF(O1242=0,0,IF(B1242="MAT",G1242*(1+H1242)*L1242*PLAN_ETAPA!$C$5,IF(B1242="MO",IF(M1242=0,0,G1242*L1242*PLAN_ETAPA!$C$5*N1242/M1242),IF(B1242="EQ",IF(M1242=0,0,G1242*L1242*PLAN_ETAPA!$C$5/M1242),0))))</f>
        <v>0</v>
      </c>
      <c r="Q1242" s="218">
        <f t="shared" si="39"/>
        <v>0</v>
      </c>
    </row>
    <row r="1243" spans="1:17" x14ac:dyDescent="0.35">
      <c r="A1243" s="212" t="str">
        <f>COMPOSICIÓN!A1243</f>
        <v>PTO-1301</v>
      </c>
      <c r="B1243" s="212" t="str">
        <f>COMPOSICIÓN!B1243</f>
        <v>MO</v>
      </c>
      <c r="C1243" s="212" t="str">
        <f>COMPOSICIÓN!C1243</f>
        <v>ALB</v>
      </c>
      <c r="D1243" s="212" t="str">
        <f>COMPOSICIÓN!D1243</f>
        <v>MO-EOFIC</v>
      </c>
      <c r="E1243" s="212" t="str">
        <f>COMPOSICIÓN!E1243</f>
        <v>OFICIAL</v>
      </c>
      <c r="F1243" s="212" t="str">
        <f>COMPOSICIÓN!F1243</f>
        <v>j</v>
      </c>
      <c r="G1243" s="213">
        <f>COMPOSICIÓN!G1243</f>
        <v>1</v>
      </c>
      <c r="H1243" s="214">
        <f>COMPOSICIÓN!H1243</f>
        <v>0</v>
      </c>
      <c r="I1243" s="215">
        <f>COMPOSICIÓN!I1243</f>
        <v>76955.079706571996</v>
      </c>
      <c r="J1243" s="212" t="str">
        <f>IFERROR(VLOOKUP(A1243,PARTIDAS!$A$2:$C$269,3,FALSE()),"")</f>
        <v>REVESTIMIENTOS</v>
      </c>
      <c r="K1243" s="212" t="str">
        <f>IFERROR(INDEX(PPTO_GENERADOR!$B$4:$B$220,MATCH(A1243,PPTO_GENERADOR!$Q$4:$Q$220,0)),"")</f>
        <v/>
      </c>
      <c r="L1243" s="216">
        <f>IF(PLAN_ETAPA!$C$4="(TODOS)",SUMIFS(PPTO_GENERADOR!$E$4:$E$220,PPTO_GENERADOR!$Q$4:$Q$220,A1243),SUMIFS(PPTO_GENERADOR!$E$4:$E$220,PPTO_GENERADOR!$Q$4:$Q$220,A1243,PPTO_GENERADOR!$B$4:$B$220,PLAN_ETAPA!$C$4))</f>
        <v>0</v>
      </c>
      <c r="M1243" s="216">
        <f>IFERROR(VLOOKUP(A1243,PARTIDAS!$A$2:$F$269,6,FALSE()),1)</f>
        <v>10</v>
      </c>
      <c r="N1243" s="216">
        <f>IFERROR(VLOOKUP(A1243,PARTIDAS!$A$2:$I$269,9,FALSE()),1)</f>
        <v>1</v>
      </c>
      <c r="O1243" s="217">
        <f t="shared" si="38"/>
        <v>0</v>
      </c>
      <c r="P1243" s="216">
        <f>IF(O1243=0,0,IF(B1243="MAT",G1243*(1+H1243)*L1243*PLAN_ETAPA!$C$5,IF(B1243="MO",IF(M1243=0,0,G1243*L1243*PLAN_ETAPA!$C$5*N1243/M1243),IF(B1243="EQ",IF(M1243=0,0,G1243*L1243*PLAN_ETAPA!$C$5/M1243),0))))</f>
        <v>0</v>
      </c>
      <c r="Q1243" s="218">
        <f t="shared" si="39"/>
        <v>0</v>
      </c>
    </row>
    <row r="1244" spans="1:17" x14ac:dyDescent="0.35">
      <c r="A1244" s="212" t="str">
        <f>COMPOSICIÓN!A1244</f>
        <v>PTO-1302</v>
      </c>
      <c r="B1244" s="212" t="str">
        <f>COMPOSICIÓN!B1244</f>
        <v>EQ</v>
      </c>
      <c r="C1244" s="212">
        <f>COMPOSICIÓN!C1244</f>
        <v>0</v>
      </c>
      <c r="D1244" s="212" t="str">
        <f>COMPOSICIÓN!D1244</f>
        <v>EQ-CORTA</v>
      </c>
      <c r="E1244" s="212" t="str">
        <f>COMPOSICIÓN!E1244</f>
        <v>CORTADORA CERAMICA PROFESIONAL 1200MM (PORCELANATO HASTA 16MM)</v>
      </c>
      <c r="F1244" s="212">
        <f>COMPOSICIÓN!F1244</f>
        <v>0</v>
      </c>
      <c r="G1244" s="213">
        <f>COMPOSICIÓN!G1244</f>
        <v>1</v>
      </c>
      <c r="H1244" s="214">
        <f>COMPOSICIÓN!H1244</f>
        <v>0</v>
      </c>
      <c r="I1244" s="215">
        <f>COMPOSICIÓN!I1244</f>
        <v>298.42384358082836</v>
      </c>
      <c r="J1244" s="212" t="str">
        <f>IFERROR(VLOOKUP(A1244,PARTIDAS!$A$2:$C$269,3,FALSE()),"")</f>
        <v>REVESTIMIENTOS</v>
      </c>
      <c r="K1244" s="212" t="str">
        <f>IFERROR(INDEX(PPTO_GENERADOR!$B$4:$B$220,MATCH(A1244,PPTO_GENERADOR!$Q$4:$Q$220,0)),"")</f>
        <v/>
      </c>
      <c r="L1244" s="216">
        <f>IF(PLAN_ETAPA!$C$4="(TODOS)",SUMIFS(PPTO_GENERADOR!$E$4:$E$220,PPTO_GENERADOR!$Q$4:$Q$220,A1244),SUMIFS(PPTO_GENERADOR!$E$4:$E$220,PPTO_GENERADOR!$Q$4:$Q$220,A1244,PPTO_GENERADOR!$B$4:$B$220,PLAN_ETAPA!$C$4))</f>
        <v>0</v>
      </c>
      <c r="M1244" s="216">
        <f>IFERROR(VLOOKUP(A1244,PARTIDAS!$A$2:$F$269,6,FALSE()),1)</f>
        <v>10</v>
      </c>
      <c r="N1244" s="216">
        <f>IFERROR(VLOOKUP(A1244,PARTIDAS!$A$2:$I$269,9,FALSE()),1)</f>
        <v>1</v>
      </c>
      <c r="O1244" s="217">
        <f t="shared" si="38"/>
        <v>0</v>
      </c>
      <c r="P1244" s="216">
        <f>IF(O1244=0,0,IF(B1244="MAT",G1244*(1+H1244)*L1244*PLAN_ETAPA!$C$5,IF(B1244="MO",IF(M1244=0,0,G1244*L1244*PLAN_ETAPA!$C$5*N1244/M1244),IF(B1244="EQ",IF(M1244=0,0,G1244*L1244*PLAN_ETAPA!$C$5/M1244),0))))</f>
        <v>0</v>
      </c>
      <c r="Q1244" s="218">
        <f t="shared" si="39"/>
        <v>0</v>
      </c>
    </row>
    <row r="1245" spans="1:17" x14ac:dyDescent="0.35">
      <c r="A1245" s="212" t="str">
        <f>COMPOSICIÓN!A1245</f>
        <v>PTO-1302</v>
      </c>
      <c r="B1245" s="212" t="str">
        <f>COMPOSICIÓN!B1245</f>
        <v>EQ</v>
      </c>
      <c r="C1245" s="212">
        <f>COMPOSICIÓN!C1245</f>
        <v>0</v>
      </c>
      <c r="D1245" s="212" t="str">
        <f>COMPOSICIÓN!D1245</f>
        <v>EQ-EQCERA</v>
      </c>
      <c r="E1245" s="212" t="str">
        <f>COMPOSICIÓN!E1245</f>
        <v>EQUIPO PARA COLOCACION DE CERAMICA</v>
      </c>
      <c r="F1245" s="212">
        <f>COMPOSICIÓN!F1245</f>
        <v>0</v>
      </c>
      <c r="G1245" s="213">
        <f>COMPOSICIÓN!G1245</f>
        <v>1</v>
      </c>
      <c r="H1245" s="214">
        <f>COMPOSICIÓN!H1245</f>
        <v>0</v>
      </c>
      <c r="I1245" s="215">
        <f>COMPOSICIÓN!I1245</f>
        <v>2637.1418444899073</v>
      </c>
      <c r="J1245" s="212" t="str">
        <f>IFERROR(VLOOKUP(A1245,PARTIDAS!$A$2:$C$269,3,FALSE()),"")</f>
        <v>REVESTIMIENTOS</v>
      </c>
      <c r="K1245" s="212" t="str">
        <f>IFERROR(INDEX(PPTO_GENERADOR!$B$4:$B$220,MATCH(A1245,PPTO_GENERADOR!$Q$4:$Q$220,0)),"")</f>
        <v/>
      </c>
      <c r="L1245" s="216">
        <f>IF(PLAN_ETAPA!$C$4="(TODOS)",SUMIFS(PPTO_GENERADOR!$E$4:$E$220,PPTO_GENERADOR!$Q$4:$Q$220,A1245),SUMIFS(PPTO_GENERADOR!$E$4:$E$220,PPTO_GENERADOR!$Q$4:$Q$220,A1245,PPTO_GENERADOR!$B$4:$B$220,PLAN_ETAPA!$C$4))</f>
        <v>0</v>
      </c>
      <c r="M1245" s="216">
        <f>IFERROR(VLOOKUP(A1245,PARTIDAS!$A$2:$F$269,6,FALSE()),1)</f>
        <v>10</v>
      </c>
      <c r="N1245" s="216">
        <f>IFERROR(VLOOKUP(A1245,PARTIDAS!$A$2:$I$269,9,FALSE()),1)</f>
        <v>1</v>
      </c>
      <c r="O1245" s="217">
        <f t="shared" si="38"/>
        <v>0</v>
      </c>
      <c r="P1245" s="216">
        <f>IF(O1245=0,0,IF(B1245="MAT",G1245*(1+H1245)*L1245*PLAN_ETAPA!$C$5,IF(B1245="MO",IF(M1245=0,0,G1245*L1245*PLAN_ETAPA!$C$5*N1245/M1245),IF(B1245="EQ",IF(M1245=0,0,G1245*L1245*PLAN_ETAPA!$C$5/M1245),0))))</f>
        <v>0</v>
      </c>
      <c r="Q1245" s="218">
        <f t="shared" si="39"/>
        <v>0</v>
      </c>
    </row>
    <row r="1246" spans="1:17" x14ac:dyDescent="0.35">
      <c r="A1246" s="212" t="str">
        <f>COMPOSICIÓN!A1246</f>
        <v>PTO-1302</v>
      </c>
      <c r="B1246" s="212" t="str">
        <f>COMPOSICIÓN!B1246</f>
        <v>MAT</v>
      </c>
      <c r="C1246" s="212" t="str">
        <f>COMPOSICIÓN!C1246</f>
        <v>OTR</v>
      </c>
      <c r="D1246" s="212" t="str">
        <f>COMPOSICIÓN!D1246</f>
        <v>AGR-005</v>
      </c>
      <c r="E1246" s="212" t="str">
        <f>COMPOSICIÓN!E1246</f>
        <v>Cal Comun x 25kg</v>
      </c>
      <c r="F1246" s="212" t="str">
        <f>COMPOSICIÓN!F1246</f>
        <v>bol</v>
      </c>
      <c r="G1246" s="213">
        <f>COMPOSICIÓN!G1246</f>
        <v>0.4</v>
      </c>
      <c r="H1246" s="214">
        <f>COMPOSICIÓN!H1246</f>
        <v>0.2</v>
      </c>
      <c r="I1246" s="215">
        <f>COMPOSICIÓN!I1246</f>
        <v>3837.96</v>
      </c>
      <c r="J1246" s="212" t="str">
        <f>IFERROR(VLOOKUP(A1246,PARTIDAS!$A$2:$C$269,3,FALSE()),"")</f>
        <v>REVESTIMIENTOS</v>
      </c>
      <c r="K1246" s="212" t="str">
        <f>IFERROR(INDEX(PPTO_GENERADOR!$B$4:$B$220,MATCH(A1246,PPTO_GENERADOR!$Q$4:$Q$220,0)),"")</f>
        <v/>
      </c>
      <c r="L1246" s="216">
        <f>IF(PLAN_ETAPA!$C$4="(TODOS)",SUMIFS(PPTO_GENERADOR!$E$4:$E$220,PPTO_GENERADOR!$Q$4:$Q$220,A1246),SUMIFS(PPTO_GENERADOR!$E$4:$E$220,PPTO_GENERADOR!$Q$4:$Q$220,A1246,PPTO_GENERADOR!$B$4:$B$220,PLAN_ETAPA!$C$4))</f>
        <v>0</v>
      </c>
      <c r="M1246" s="216">
        <f>IFERROR(VLOOKUP(A1246,PARTIDAS!$A$2:$F$269,6,FALSE()),1)</f>
        <v>10</v>
      </c>
      <c r="N1246" s="216">
        <f>IFERROR(VLOOKUP(A1246,PARTIDAS!$A$2:$I$269,9,FALSE()),1)</f>
        <v>1</v>
      </c>
      <c r="O1246" s="217">
        <f t="shared" si="38"/>
        <v>0</v>
      </c>
      <c r="P1246" s="216">
        <f>IF(O1246=0,0,IF(B1246="MAT",G1246*(1+H1246)*L1246*PLAN_ETAPA!$C$5,IF(B1246="MO",IF(M1246=0,0,G1246*L1246*PLAN_ETAPA!$C$5*N1246/M1246),IF(B1246="EQ",IF(M1246=0,0,G1246*L1246*PLAN_ETAPA!$C$5/M1246),0))))</f>
        <v>0</v>
      </c>
      <c r="Q1246" s="218">
        <f t="shared" si="39"/>
        <v>0</v>
      </c>
    </row>
    <row r="1247" spans="1:17" x14ac:dyDescent="0.35">
      <c r="A1247" s="212" t="str">
        <f>COMPOSICIÓN!A1247</f>
        <v>PTO-1302</v>
      </c>
      <c r="B1247" s="212" t="str">
        <f>COMPOSICIÓN!B1247</f>
        <v>MAT</v>
      </c>
      <c r="C1247" s="212" t="str">
        <f>COMPOSICIÓN!C1247</f>
        <v>OTR</v>
      </c>
      <c r="D1247" s="212" t="str">
        <f>COMPOSICIÓN!D1247</f>
        <v>OTR-025</v>
      </c>
      <c r="E1247" s="212" t="str">
        <f>COMPOSICIÓN!E1247</f>
        <v>Trapo</v>
      </c>
      <c r="F1247" s="212" t="str">
        <f>COMPOSICIÓN!F1247</f>
        <v>u</v>
      </c>
      <c r="G1247" s="213">
        <f>COMPOSICIÓN!G1247</f>
        <v>0.01</v>
      </c>
      <c r="H1247" s="214">
        <f>COMPOSICIÓN!H1247</f>
        <v>0.03</v>
      </c>
      <c r="I1247" s="215">
        <f>COMPOSICIÓN!I1247</f>
        <v>735.06</v>
      </c>
      <c r="J1247" s="212" t="str">
        <f>IFERROR(VLOOKUP(A1247,PARTIDAS!$A$2:$C$269,3,FALSE()),"")</f>
        <v>REVESTIMIENTOS</v>
      </c>
      <c r="K1247" s="212" t="str">
        <f>IFERROR(INDEX(PPTO_GENERADOR!$B$4:$B$220,MATCH(A1247,PPTO_GENERADOR!$Q$4:$Q$220,0)),"")</f>
        <v/>
      </c>
      <c r="L1247" s="216">
        <f>IF(PLAN_ETAPA!$C$4="(TODOS)",SUMIFS(PPTO_GENERADOR!$E$4:$E$220,PPTO_GENERADOR!$Q$4:$Q$220,A1247),SUMIFS(PPTO_GENERADOR!$E$4:$E$220,PPTO_GENERADOR!$Q$4:$Q$220,A1247,PPTO_GENERADOR!$B$4:$B$220,PLAN_ETAPA!$C$4))</f>
        <v>0</v>
      </c>
      <c r="M1247" s="216">
        <f>IFERROR(VLOOKUP(A1247,PARTIDAS!$A$2:$F$269,6,FALSE()),1)</f>
        <v>10</v>
      </c>
      <c r="N1247" s="216">
        <f>IFERROR(VLOOKUP(A1247,PARTIDAS!$A$2:$I$269,9,FALSE()),1)</f>
        <v>1</v>
      </c>
      <c r="O1247" s="217">
        <f t="shared" si="38"/>
        <v>0</v>
      </c>
      <c r="P1247" s="216">
        <f>IF(O1247=0,0,IF(B1247="MAT",G1247*(1+H1247)*L1247*PLAN_ETAPA!$C$5,IF(B1247="MO",IF(M1247=0,0,G1247*L1247*PLAN_ETAPA!$C$5*N1247/M1247),IF(B1247="EQ",IF(M1247=0,0,G1247*L1247*PLAN_ETAPA!$C$5/M1247),0))))</f>
        <v>0</v>
      </c>
      <c r="Q1247" s="218">
        <f t="shared" si="39"/>
        <v>0</v>
      </c>
    </row>
    <row r="1248" spans="1:17" x14ac:dyDescent="0.35">
      <c r="A1248" s="212" t="str">
        <f>COMPOSICIÓN!A1248</f>
        <v>PTO-1302</v>
      </c>
      <c r="B1248" s="212" t="str">
        <f>COMPOSICIÓN!B1248</f>
        <v>MAT</v>
      </c>
      <c r="C1248" s="212" t="str">
        <f>COMPOSICIÓN!C1248</f>
        <v>OTR</v>
      </c>
      <c r="D1248" s="212" t="str">
        <f>COMPOSICIÓN!D1248</f>
        <v>OTR-046</v>
      </c>
      <c r="E1248" s="212" t="str">
        <f>COMPOSICIÓN!E1248</f>
        <v>Disco Diamantado Aliafor Turbo Fino TRF</v>
      </c>
      <c r="F1248" s="212" t="str">
        <f>COMPOSICIÓN!F1248</f>
        <v>u</v>
      </c>
      <c r="G1248" s="213">
        <f>COMPOSICIÓN!G1248</f>
        <v>4.0000000000000001E-3</v>
      </c>
      <c r="H1248" s="214">
        <f>COMPOSICIÓN!H1248</f>
        <v>0.05</v>
      </c>
      <c r="I1248" s="215">
        <f>COMPOSICIÓN!I1248</f>
        <v>20237</v>
      </c>
      <c r="J1248" s="212" t="str">
        <f>IFERROR(VLOOKUP(A1248,PARTIDAS!$A$2:$C$269,3,FALSE()),"")</f>
        <v>REVESTIMIENTOS</v>
      </c>
      <c r="K1248" s="212" t="str">
        <f>IFERROR(INDEX(PPTO_GENERADOR!$B$4:$B$220,MATCH(A1248,PPTO_GENERADOR!$Q$4:$Q$220,0)),"")</f>
        <v/>
      </c>
      <c r="L1248" s="216">
        <f>IF(PLAN_ETAPA!$C$4="(TODOS)",SUMIFS(PPTO_GENERADOR!$E$4:$E$220,PPTO_GENERADOR!$Q$4:$Q$220,A1248),SUMIFS(PPTO_GENERADOR!$E$4:$E$220,PPTO_GENERADOR!$Q$4:$Q$220,A1248,PPTO_GENERADOR!$B$4:$B$220,PLAN_ETAPA!$C$4))</f>
        <v>0</v>
      </c>
      <c r="M1248" s="216">
        <f>IFERROR(VLOOKUP(A1248,PARTIDAS!$A$2:$F$269,6,FALSE()),1)</f>
        <v>10</v>
      </c>
      <c r="N1248" s="216">
        <f>IFERROR(VLOOKUP(A1248,PARTIDAS!$A$2:$I$269,9,FALSE()),1)</f>
        <v>1</v>
      </c>
      <c r="O1248" s="217">
        <f t="shared" si="38"/>
        <v>0</v>
      </c>
      <c r="P1248" s="216">
        <f>IF(O1248=0,0,IF(B1248="MAT",G1248*(1+H1248)*L1248*PLAN_ETAPA!$C$5,IF(B1248="MO",IF(M1248=0,0,G1248*L1248*PLAN_ETAPA!$C$5*N1248/M1248),IF(B1248="EQ",IF(M1248=0,0,G1248*L1248*PLAN_ETAPA!$C$5/M1248),0))))</f>
        <v>0</v>
      </c>
      <c r="Q1248" s="218">
        <f t="shared" si="39"/>
        <v>0</v>
      </c>
    </row>
    <row r="1249" spans="1:17" x14ac:dyDescent="0.35">
      <c r="A1249" s="212" t="str">
        <f>COMPOSICIÓN!A1249</f>
        <v>PTO-1302</v>
      </c>
      <c r="B1249" s="212" t="str">
        <f>COMPOSICIÓN!B1249</f>
        <v>MAT</v>
      </c>
      <c r="C1249" s="212" t="str">
        <f>COMPOSICIÓN!C1249</f>
        <v>OTR</v>
      </c>
      <c r="D1249" s="212" t="str">
        <f>COMPOSICIÓN!D1249</f>
        <v>REV-012</v>
      </c>
      <c r="E1249" s="212" t="str">
        <f>COMPOSICIÓN!E1249</f>
        <v>Arco y cuña niveladores porcelanatos x 150 un</v>
      </c>
      <c r="F1249" s="212" t="str">
        <f>COMPOSICIÓN!F1249</f>
        <v>b</v>
      </c>
      <c r="G1249" s="213">
        <f>COMPOSICIÓN!G1249</f>
        <v>0.04</v>
      </c>
      <c r="H1249" s="214">
        <f>COMPOSICIÓN!H1249</f>
        <v>0.05</v>
      </c>
      <c r="I1249" s="215">
        <f>COMPOSICIÓN!I1249</f>
        <v>44669.4214876033</v>
      </c>
      <c r="J1249" s="212" t="str">
        <f>IFERROR(VLOOKUP(A1249,PARTIDAS!$A$2:$C$269,3,FALSE()),"")</f>
        <v>REVESTIMIENTOS</v>
      </c>
      <c r="K1249" s="212" t="str">
        <f>IFERROR(INDEX(PPTO_GENERADOR!$B$4:$B$220,MATCH(A1249,PPTO_GENERADOR!$Q$4:$Q$220,0)),"")</f>
        <v/>
      </c>
      <c r="L1249" s="216">
        <f>IF(PLAN_ETAPA!$C$4="(TODOS)",SUMIFS(PPTO_GENERADOR!$E$4:$E$220,PPTO_GENERADOR!$Q$4:$Q$220,A1249),SUMIFS(PPTO_GENERADOR!$E$4:$E$220,PPTO_GENERADOR!$Q$4:$Q$220,A1249,PPTO_GENERADOR!$B$4:$B$220,PLAN_ETAPA!$C$4))</f>
        <v>0</v>
      </c>
      <c r="M1249" s="216">
        <f>IFERROR(VLOOKUP(A1249,PARTIDAS!$A$2:$F$269,6,FALSE()),1)</f>
        <v>10</v>
      </c>
      <c r="N1249" s="216">
        <f>IFERROR(VLOOKUP(A1249,PARTIDAS!$A$2:$I$269,9,FALSE()),1)</f>
        <v>1</v>
      </c>
      <c r="O1249" s="217">
        <f t="shared" si="38"/>
        <v>0</v>
      </c>
      <c r="P1249" s="216">
        <f>IF(O1249=0,0,IF(B1249="MAT",G1249*(1+H1249)*L1249*PLAN_ETAPA!$C$5,IF(B1249="MO",IF(M1249=0,0,G1249*L1249*PLAN_ETAPA!$C$5*N1249/M1249),IF(B1249="EQ",IF(M1249=0,0,G1249*L1249*PLAN_ETAPA!$C$5/M1249),0))))</f>
        <v>0</v>
      </c>
      <c r="Q1249" s="218">
        <f t="shared" si="39"/>
        <v>0</v>
      </c>
    </row>
    <row r="1250" spans="1:17" x14ac:dyDescent="0.35">
      <c r="A1250" s="212" t="str">
        <f>COMPOSICIÓN!A1250</f>
        <v>PTO-1302</v>
      </c>
      <c r="B1250" s="212" t="str">
        <f>COMPOSICIÓN!B1250</f>
        <v>MO</v>
      </c>
      <c r="C1250" s="212" t="str">
        <f>COMPOSICIÓN!C1250</f>
        <v>ALB</v>
      </c>
      <c r="D1250" s="212" t="str">
        <f>COMPOSICIÓN!D1250</f>
        <v>MO-EESPE</v>
      </c>
      <c r="E1250" s="212" t="str">
        <f>COMPOSICIÓN!E1250</f>
        <v>ESPECIALIZADO</v>
      </c>
      <c r="F1250" s="212" t="str">
        <f>COMPOSICIÓN!F1250</f>
        <v>j</v>
      </c>
      <c r="G1250" s="213">
        <f>COMPOSICIÓN!G1250</f>
        <v>1</v>
      </c>
      <c r="H1250" s="214">
        <f>COMPOSICIÓN!H1250</f>
        <v>0</v>
      </c>
      <c r="I1250" s="215">
        <f>COMPOSICIÓN!I1250</f>
        <v>85927.097156571996</v>
      </c>
      <c r="J1250" s="212" t="str">
        <f>IFERROR(VLOOKUP(A1250,PARTIDAS!$A$2:$C$269,3,FALSE()),"")</f>
        <v>REVESTIMIENTOS</v>
      </c>
      <c r="K1250" s="212" t="str">
        <f>IFERROR(INDEX(PPTO_GENERADOR!$B$4:$B$220,MATCH(A1250,PPTO_GENERADOR!$Q$4:$Q$220,0)),"")</f>
        <v/>
      </c>
      <c r="L1250" s="216">
        <f>IF(PLAN_ETAPA!$C$4="(TODOS)",SUMIFS(PPTO_GENERADOR!$E$4:$E$220,PPTO_GENERADOR!$Q$4:$Q$220,A1250),SUMIFS(PPTO_GENERADOR!$E$4:$E$220,PPTO_GENERADOR!$Q$4:$Q$220,A1250,PPTO_GENERADOR!$B$4:$B$220,PLAN_ETAPA!$C$4))</f>
        <v>0</v>
      </c>
      <c r="M1250" s="216">
        <f>IFERROR(VLOOKUP(A1250,PARTIDAS!$A$2:$F$269,6,FALSE()),1)</f>
        <v>10</v>
      </c>
      <c r="N1250" s="216">
        <f>IFERROR(VLOOKUP(A1250,PARTIDAS!$A$2:$I$269,9,FALSE()),1)</f>
        <v>1</v>
      </c>
      <c r="O1250" s="217">
        <f t="shared" si="38"/>
        <v>0</v>
      </c>
      <c r="P1250" s="216">
        <f>IF(O1250=0,0,IF(B1250="MAT",G1250*(1+H1250)*L1250*PLAN_ETAPA!$C$5,IF(B1250="MO",IF(M1250=0,0,G1250*L1250*PLAN_ETAPA!$C$5*N1250/M1250),IF(B1250="EQ",IF(M1250=0,0,G1250*L1250*PLAN_ETAPA!$C$5/M1250),0))))</f>
        <v>0</v>
      </c>
      <c r="Q1250" s="218">
        <f t="shared" si="39"/>
        <v>0</v>
      </c>
    </row>
    <row r="1251" spans="1:17" x14ac:dyDescent="0.35">
      <c r="A1251" s="212" t="str">
        <f>COMPOSICIÓN!A1251</f>
        <v>PTO-1302</v>
      </c>
      <c r="B1251" s="212" t="str">
        <f>COMPOSICIÓN!B1251</f>
        <v>MO</v>
      </c>
      <c r="C1251" s="212" t="str">
        <f>COMPOSICIÓN!C1251</f>
        <v>ALB</v>
      </c>
      <c r="D1251" s="212" t="str">
        <f>COMPOSICIÓN!D1251</f>
        <v>MO-EOFIC</v>
      </c>
      <c r="E1251" s="212" t="str">
        <f>COMPOSICIÓN!E1251</f>
        <v>OFICIAL</v>
      </c>
      <c r="F1251" s="212" t="str">
        <f>COMPOSICIÓN!F1251</f>
        <v>j</v>
      </c>
      <c r="G1251" s="213">
        <f>COMPOSICIÓN!G1251</f>
        <v>1</v>
      </c>
      <c r="H1251" s="214">
        <f>COMPOSICIÓN!H1251</f>
        <v>0</v>
      </c>
      <c r="I1251" s="215">
        <f>COMPOSICIÓN!I1251</f>
        <v>76955.079706571996</v>
      </c>
      <c r="J1251" s="212" t="str">
        <f>IFERROR(VLOOKUP(A1251,PARTIDAS!$A$2:$C$269,3,FALSE()),"")</f>
        <v>REVESTIMIENTOS</v>
      </c>
      <c r="K1251" s="212" t="str">
        <f>IFERROR(INDEX(PPTO_GENERADOR!$B$4:$B$220,MATCH(A1251,PPTO_GENERADOR!$Q$4:$Q$220,0)),"")</f>
        <v/>
      </c>
      <c r="L1251" s="216">
        <f>IF(PLAN_ETAPA!$C$4="(TODOS)",SUMIFS(PPTO_GENERADOR!$E$4:$E$220,PPTO_GENERADOR!$Q$4:$Q$220,A1251),SUMIFS(PPTO_GENERADOR!$E$4:$E$220,PPTO_GENERADOR!$Q$4:$Q$220,A1251,PPTO_GENERADOR!$B$4:$B$220,PLAN_ETAPA!$C$4))</f>
        <v>0</v>
      </c>
      <c r="M1251" s="216">
        <f>IFERROR(VLOOKUP(A1251,PARTIDAS!$A$2:$F$269,6,FALSE()),1)</f>
        <v>10</v>
      </c>
      <c r="N1251" s="216">
        <f>IFERROR(VLOOKUP(A1251,PARTIDAS!$A$2:$I$269,9,FALSE()),1)</f>
        <v>1</v>
      </c>
      <c r="O1251" s="217">
        <f t="shared" si="38"/>
        <v>0</v>
      </c>
      <c r="P1251" s="216">
        <f>IF(O1251=0,0,IF(B1251="MAT",G1251*(1+H1251)*L1251*PLAN_ETAPA!$C$5,IF(B1251="MO",IF(M1251=0,0,G1251*L1251*PLAN_ETAPA!$C$5*N1251/M1251),IF(B1251="EQ",IF(M1251=0,0,G1251*L1251*PLAN_ETAPA!$C$5/M1251),0))))</f>
        <v>0</v>
      </c>
      <c r="Q1251" s="218">
        <f t="shared" si="39"/>
        <v>0</v>
      </c>
    </row>
    <row r="1252" spans="1:17" x14ac:dyDescent="0.35">
      <c r="A1252" s="212" t="str">
        <f>COMPOSICIÓN!A1252</f>
        <v>PTO-1303</v>
      </c>
      <c r="B1252" s="212" t="str">
        <f>COMPOSICIÓN!B1252</f>
        <v>EQ</v>
      </c>
      <c r="C1252" s="212">
        <f>COMPOSICIÓN!C1252</f>
        <v>0</v>
      </c>
      <c r="D1252" s="212" t="str">
        <f>COMPOSICIÓN!D1252</f>
        <v>EQ-PTO066</v>
      </c>
      <c r="E1252" s="212" t="str">
        <f>COMPOSICIÓN!E1252</f>
        <v>Herramientas menores y consumibles - Colocación de listones refractarios en parrillas -</v>
      </c>
      <c r="F1252" s="212">
        <f>COMPOSICIÓN!F1252</f>
        <v>0</v>
      </c>
      <c r="G1252" s="213">
        <f>COMPOSICIÓN!G1252</f>
        <v>1</v>
      </c>
      <c r="H1252" s="214">
        <f>COMPOSICIÓN!H1252</f>
        <v>0</v>
      </c>
      <c r="I1252" s="215">
        <f>COMPOSICIÓN!I1252</f>
        <v>1030.8586054268601</v>
      </c>
      <c r="J1252" s="212" t="str">
        <f>IFERROR(VLOOKUP(A1252,PARTIDAS!$A$2:$C$269,3,FALSE()),"")</f>
        <v>REVESTIMIENTOS</v>
      </c>
      <c r="K1252" s="212" t="str">
        <f>IFERROR(INDEX(PPTO_GENERADOR!$B$4:$B$220,MATCH(A1252,PPTO_GENERADOR!$Q$4:$Q$220,0)),"")</f>
        <v>REVESTIMIENTOS</v>
      </c>
      <c r="L1252" s="216">
        <f>IF(PLAN_ETAPA!$C$4="(TODOS)",SUMIFS(PPTO_GENERADOR!$E$4:$E$220,PPTO_GENERADOR!$Q$4:$Q$220,A1252),SUMIFS(PPTO_GENERADOR!$E$4:$E$220,PPTO_GENERADOR!$Q$4:$Q$220,A1252,PPTO_GENERADOR!$B$4:$B$220,PLAN_ETAPA!$C$4))</f>
        <v>0</v>
      </c>
      <c r="M1252" s="216">
        <f>IFERROR(VLOOKUP(A1252,PARTIDAS!$A$2:$F$269,6,FALSE()),1)</f>
        <v>1</v>
      </c>
      <c r="N1252" s="216">
        <f>IFERROR(VLOOKUP(A1252,PARTIDAS!$A$2:$I$269,9,FALSE()),1)</f>
        <v>1</v>
      </c>
      <c r="O1252" s="217">
        <f t="shared" si="38"/>
        <v>0</v>
      </c>
      <c r="P1252" s="216">
        <f>IF(O1252=0,0,IF(B1252="MAT",G1252*(1+H1252)*L1252*PLAN_ETAPA!$C$5,IF(B1252="MO",IF(M1252=0,0,G1252*L1252*PLAN_ETAPA!$C$5*N1252/M1252),IF(B1252="EQ",IF(M1252=0,0,G1252*L1252*PLAN_ETAPA!$C$5/M1252),0))))</f>
        <v>0</v>
      </c>
      <c r="Q1252" s="218">
        <f t="shared" si="39"/>
        <v>0</v>
      </c>
    </row>
    <row r="1253" spans="1:17" x14ac:dyDescent="0.35">
      <c r="A1253" s="212" t="str">
        <f>COMPOSICIÓN!A1253</f>
        <v>PTO-1303</v>
      </c>
      <c r="B1253" s="212" t="str">
        <f>COMPOSICIÓN!B1253</f>
        <v>MAT</v>
      </c>
      <c r="C1253" s="212" t="str">
        <f>COMPOSICIÓN!C1253</f>
        <v>COR</v>
      </c>
      <c r="D1253" s="212" t="str">
        <f>COMPOSICIÓN!D1253</f>
        <v>OTR-PTO101</v>
      </c>
      <c r="E1253" s="212" t="str">
        <f>COMPOSICIÓN!E1253</f>
        <v>WEBER REFRACTARIO X 10KG (rend. 0,5 m2)</v>
      </c>
      <c r="F1253" s="212" t="str">
        <f>COMPOSICIÓN!F1253</f>
        <v>bol</v>
      </c>
      <c r="G1253" s="213">
        <f>COMPOSICIÓN!G1253</f>
        <v>2</v>
      </c>
      <c r="H1253" s="214">
        <f>COMPOSICIÓN!H1253</f>
        <v>0</v>
      </c>
      <c r="I1253" s="215">
        <f>COMPOSICIÓN!I1253</f>
        <v>16594.68</v>
      </c>
      <c r="J1253" s="212" t="str">
        <f>IFERROR(VLOOKUP(A1253,PARTIDAS!$A$2:$C$269,3,FALSE()),"")</f>
        <v>REVESTIMIENTOS</v>
      </c>
      <c r="K1253" s="212" t="str">
        <f>IFERROR(INDEX(PPTO_GENERADOR!$B$4:$B$220,MATCH(A1253,PPTO_GENERADOR!$Q$4:$Q$220,0)),"")</f>
        <v>REVESTIMIENTOS</v>
      </c>
      <c r="L1253" s="216">
        <f>IF(PLAN_ETAPA!$C$4="(TODOS)",SUMIFS(PPTO_GENERADOR!$E$4:$E$220,PPTO_GENERADOR!$Q$4:$Q$220,A1253),SUMIFS(PPTO_GENERADOR!$E$4:$E$220,PPTO_GENERADOR!$Q$4:$Q$220,A1253,PPTO_GENERADOR!$B$4:$B$220,PLAN_ETAPA!$C$4))</f>
        <v>0</v>
      </c>
      <c r="M1253" s="216">
        <f>IFERROR(VLOOKUP(A1253,PARTIDAS!$A$2:$F$269,6,FALSE()),1)</f>
        <v>1</v>
      </c>
      <c r="N1253" s="216">
        <f>IFERROR(VLOOKUP(A1253,PARTIDAS!$A$2:$I$269,9,FALSE()),1)</f>
        <v>1</v>
      </c>
      <c r="O1253" s="217">
        <f t="shared" si="38"/>
        <v>0</v>
      </c>
      <c r="P1253" s="216">
        <f>IF(O1253=0,0,IF(B1253="MAT",G1253*(1+H1253)*L1253*PLAN_ETAPA!$C$5,IF(B1253="MO",IF(M1253=0,0,G1253*L1253*PLAN_ETAPA!$C$5*N1253/M1253),IF(B1253="EQ",IF(M1253=0,0,G1253*L1253*PLAN_ETAPA!$C$5/M1253),0))))</f>
        <v>0</v>
      </c>
      <c r="Q1253" s="218">
        <f t="shared" si="39"/>
        <v>0</v>
      </c>
    </row>
    <row r="1254" spans="1:17" x14ac:dyDescent="0.35">
      <c r="A1254" s="212" t="str">
        <f>COMPOSICIÓN!A1254</f>
        <v>PTO-1303</v>
      </c>
      <c r="B1254" s="212" t="str">
        <f>COMPOSICIÓN!B1254</f>
        <v>MAT</v>
      </c>
      <c r="C1254" s="212" t="str">
        <f>COMPOSICIÓN!C1254</f>
        <v>OTR</v>
      </c>
      <c r="D1254" s="212" t="str">
        <f>COMPOSICIÓN!D1254</f>
        <v>MAT-CONS</v>
      </c>
      <c r="E1254" s="212" t="str">
        <f>COMPOSICIÓN!E1254</f>
        <v>Consumibles</v>
      </c>
      <c r="F1254" s="212" t="str">
        <f>COMPOSICIÓN!F1254</f>
        <v>gl</v>
      </c>
      <c r="G1254" s="213">
        <f>COMPOSICIÓN!G1254</f>
        <v>3318.9360000000001</v>
      </c>
      <c r="H1254" s="214">
        <f>COMPOSICIÓN!H1254</f>
        <v>0</v>
      </c>
      <c r="I1254" s="215">
        <f>COMPOSICIÓN!I1254</f>
        <v>1</v>
      </c>
      <c r="J1254" s="212" t="str">
        <f>IFERROR(VLOOKUP(A1254,PARTIDAS!$A$2:$C$269,3,FALSE()),"")</f>
        <v>REVESTIMIENTOS</v>
      </c>
      <c r="K1254" s="212" t="str">
        <f>IFERROR(INDEX(PPTO_GENERADOR!$B$4:$B$220,MATCH(A1254,PPTO_GENERADOR!$Q$4:$Q$220,0)),"")</f>
        <v>REVESTIMIENTOS</v>
      </c>
      <c r="L1254" s="216">
        <f>IF(PLAN_ETAPA!$C$4="(TODOS)",SUMIFS(PPTO_GENERADOR!$E$4:$E$220,PPTO_GENERADOR!$Q$4:$Q$220,A1254),SUMIFS(PPTO_GENERADOR!$E$4:$E$220,PPTO_GENERADOR!$Q$4:$Q$220,A1254,PPTO_GENERADOR!$B$4:$B$220,PLAN_ETAPA!$C$4))</f>
        <v>0</v>
      </c>
      <c r="M1254" s="216">
        <f>IFERROR(VLOOKUP(A1254,PARTIDAS!$A$2:$F$269,6,FALSE()),1)</f>
        <v>1</v>
      </c>
      <c r="N1254" s="216">
        <f>IFERROR(VLOOKUP(A1254,PARTIDAS!$A$2:$I$269,9,FALSE()),1)</f>
        <v>1</v>
      </c>
      <c r="O1254" s="217">
        <f t="shared" si="38"/>
        <v>0</v>
      </c>
      <c r="P1254" s="216">
        <f>IF(O1254=0,0,IF(B1254="MAT",G1254*(1+H1254)*L1254*PLAN_ETAPA!$C$5,IF(B1254="MO",IF(M1254=0,0,G1254*L1254*PLAN_ETAPA!$C$5*N1254/M1254),IF(B1254="EQ",IF(M1254=0,0,G1254*L1254*PLAN_ETAPA!$C$5/M1254),0))))</f>
        <v>0</v>
      </c>
      <c r="Q1254" s="218">
        <f t="shared" si="39"/>
        <v>0</v>
      </c>
    </row>
    <row r="1255" spans="1:17" x14ac:dyDescent="0.35">
      <c r="A1255" s="212" t="str">
        <f>COMPOSICIÓN!A1255</f>
        <v>PTO-1303</v>
      </c>
      <c r="B1255" s="212" t="str">
        <f>COMPOSICIÓN!B1255</f>
        <v>MO</v>
      </c>
      <c r="C1255" s="212" t="str">
        <f>COMPOSICIÓN!C1255</f>
        <v>ALB</v>
      </c>
      <c r="D1255" s="212" t="str">
        <f>COMPOSICIÓN!D1255</f>
        <v>MO-EAYUD</v>
      </c>
      <c r="E1255" s="212" t="str">
        <f>COMPOSICIÓN!E1255</f>
        <v>AYUDANTE</v>
      </c>
      <c r="F1255" s="212" t="str">
        <f>COMPOSICIÓN!F1255</f>
        <v>j</v>
      </c>
      <c r="G1255" s="213">
        <f>COMPOSICIÓN!G1255</f>
        <v>0.15</v>
      </c>
      <c r="H1255" s="214">
        <f>COMPOSICIÓN!H1255</f>
        <v>0</v>
      </c>
      <c r="I1255" s="215">
        <f>COMPOSICIÓN!I1255</f>
        <v>60860.580776572002</v>
      </c>
      <c r="J1255" s="212" t="str">
        <f>IFERROR(VLOOKUP(A1255,PARTIDAS!$A$2:$C$269,3,FALSE()),"")</f>
        <v>REVESTIMIENTOS</v>
      </c>
      <c r="K1255" s="212" t="str">
        <f>IFERROR(INDEX(PPTO_GENERADOR!$B$4:$B$220,MATCH(A1255,PPTO_GENERADOR!$Q$4:$Q$220,0)),"")</f>
        <v>REVESTIMIENTOS</v>
      </c>
      <c r="L1255" s="216">
        <f>IF(PLAN_ETAPA!$C$4="(TODOS)",SUMIFS(PPTO_GENERADOR!$E$4:$E$220,PPTO_GENERADOR!$Q$4:$Q$220,A1255),SUMIFS(PPTO_GENERADOR!$E$4:$E$220,PPTO_GENERADOR!$Q$4:$Q$220,A1255,PPTO_GENERADOR!$B$4:$B$220,PLAN_ETAPA!$C$4))</f>
        <v>0</v>
      </c>
      <c r="M1255" s="216">
        <f>IFERROR(VLOOKUP(A1255,PARTIDAS!$A$2:$F$269,6,FALSE()),1)</f>
        <v>1</v>
      </c>
      <c r="N1255" s="216">
        <f>IFERROR(VLOOKUP(A1255,PARTIDAS!$A$2:$I$269,9,FALSE()),1)</f>
        <v>1</v>
      </c>
      <c r="O1255" s="217">
        <f t="shared" si="38"/>
        <v>0</v>
      </c>
      <c r="P1255" s="216">
        <f>IF(O1255=0,0,IF(B1255="MAT",G1255*(1+H1255)*L1255*PLAN_ETAPA!$C$5,IF(B1255="MO",IF(M1255=0,0,G1255*L1255*PLAN_ETAPA!$C$5*N1255/M1255),IF(B1255="EQ",IF(M1255=0,0,G1255*L1255*PLAN_ETAPA!$C$5/M1255),0))))</f>
        <v>0</v>
      </c>
      <c r="Q1255" s="218">
        <f t="shared" si="39"/>
        <v>0</v>
      </c>
    </row>
    <row r="1256" spans="1:17" x14ac:dyDescent="0.35">
      <c r="A1256" s="212" t="str">
        <f>COMPOSICIÓN!A1256</f>
        <v>PTO-1303</v>
      </c>
      <c r="B1256" s="212" t="str">
        <f>COMPOSICIÓN!B1256</f>
        <v>MO</v>
      </c>
      <c r="C1256" s="212" t="str">
        <f>COMPOSICIÓN!C1256</f>
        <v>ALB</v>
      </c>
      <c r="D1256" s="212" t="str">
        <f>COMPOSICIÓN!D1256</f>
        <v>MO-EOFIC</v>
      </c>
      <c r="E1256" s="212" t="str">
        <f>COMPOSICIÓN!E1256</f>
        <v>OFICIAL</v>
      </c>
      <c r="F1256" s="212" t="str">
        <f>COMPOSICIÓN!F1256</f>
        <v>j</v>
      </c>
      <c r="G1256" s="213">
        <f>COMPOSICIÓN!G1256</f>
        <v>0.3</v>
      </c>
      <c r="H1256" s="214">
        <f>COMPOSICIÓN!H1256</f>
        <v>0</v>
      </c>
      <c r="I1256" s="215">
        <f>COMPOSICIÓN!I1256</f>
        <v>76955.079706571996</v>
      </c>
      <c r="J1256" s="212" t="str">
        <f>IFERROR(VLOOKUP(A1256,PARTIDAS!$A$2:$C$269,3,FALSE()),"")</f>
        <v>REVESTIMIENTOS</v>
      </c>
      <c r="K1256" s="212" t="str">
        <f>IFERROR(INDEX(PPTO_GENERADOR!$B$4:$B$220,MATCH(A1256,PPTO_GENERADOR!$Q$4:$Q$220,0)),"")</f>
        <v>REVESTIMIENTOS</v>
      </c>
      <c r="L1256" s="216">
        <f>IF(PLAN_ETAPA!$C$4="(TODOS)",SUMIFS(PPTO_GENERADOR!$E$4:$E$220,PPTO_GENERADOR!$Q$4:$Q$220,A1256),SUMIFS(PPTO_GENERADOR!$E$4:$E$220,PPTO_GENERADOR!$Q$4:$Q$220,A1256,PPTO_GENERADOR!$B$4:$B$220,PLAN_ETAPA!$C$4))</f>
        <v>0</v>
      </c>
      <c r="M1256" s="216">
        <f>IFERROR(VLOOKUP(A1256,PARTIDAS!$A$2:$F$269,6,FALSE()),1)</f>
        <v>1</v>
      </c>
      <c r="N1256" s="216">
        <f>IFERROR(VLOOKUP(A1256,PARTIDAS!$A$2:$I$269,9,FALSE()),1)</f>
        <v>1</v>
      </c>
      <c r="O1256" s="217">
        <f t="shared" si="38"/>
        <v>0</v>
      </c>
      <c r="P1256" s="216">
        <f>IF(O1256=0,0,IF(B1256="MAT",G1256*(1+H1256)*L1256*PLAN_ETAPA!$C$5,IF(B1256="MO",IF(M1256=0,0,G1256*L1256*PLAN_ETAPA!$C$5*N1256/M1256),IF(B1256="EQ",IF(M1256=0,0,G1256*L1256*PLAN_ETAPA!$C$5/M1256),0))))</f>
        <v>0</v>
      </c>
      <c r="Q1256" s="218">
        <f t="shared" si="39"/>
        <v>0</v>
      </c>
    </row>
    <row r="1257" spans="1:17" x14ac:dyDescent="0.35">
      <c r="A1257" s="212" t="str">
        <f>COMPOSICIÓN!A1257</f>
        <v>PTO-1401</v>
      </c>
      <c r="B1257" s="212" t="str">
        <f>COMPOSICIÓN!B1257</f>
        <v>EQ</v>
      </c>
      <c r="C1257" s="212">
        <f>COMPOSICIÓN!C1257</f>
        <v>0</v>
      </c>
      <c r="D1257" s="212" t="str">
        <f>COMPOSICIÓN!D1257</f>
        <v>EQ-PTO067</v>
      </c>
      <c r="E1257" s="212" t="str">
        <f>COMPOSICIÓN!E1257</f>
        <v>Herramientas menores y consumibles - Aplicado de yeso</v>
      </c>
      <c r="F1257" s="212">
        <f>COMPOSICIÓN!F1257</f>
        <v>0</v>
      </c>
      <c r="G1257" s="213">
        <f>COMPOSICIÓN!G1257</f>
        <v>1</v>
      </c>
      <c r="H1257" s="214">
        <f>COMPOSICIÓN!H1257</f>
        <v>0</v>
      </c>
      <c r="I1257" s="215">
        <f>COMPOSICIÓN!I1257</f>
        <v>261.95176772476799</v>
      </c>
      <c r="J1257" s="212" t="str">
        <f>IFERROR(VLOOKUP(A1257,PARTIDAS!$A$2:$C$269,3,FALSE()),"")</f>
        <v>REVOQUES FINOS Y CIELORRASOS</v>
      </c>
      <c r="K1257" s="212" t="str">
        <f>IFERROR(INDEX(PPTO_GENERADOR!$B$4:$B$220,MATCH(A1257,PPTO_GENERADOR!$Q$4:$Q$220,0)),"")</f>
        <v>REVOQUES FINOS Y CIELORRASOS</v>
      </c>
      <c r="L1257" s="216">
        <f>IF(PLAN_ETAPA!$C$4="(TODOS)",SUMIFS(PPTO_GENERADOR!$E$4:$E$220,PPTO_GENERADOR!$Q$4:$Q$220,A1257),SUMIFS(PPTO_GENERADOR!$E$4:$E$220,PPTO_GENERADOR!$Q$4:$Q$220,A1257,PPTO_GENERADOR!$B$4:$B$220,PLAN_ETAPA!$C$4))</f>
        <v>0</v>
      </c>
      <c r="M1257" s="216">
        <f>IFERROR(VLOOKUP(A1257,PARTIDAS!$A$2:$F$269,6,FALSE()),1)</f>
        <v>1</v>
      </c>
      <c r="N1257" s="216">
        <f>IFERROR(VLOOKUP(A1257,PARTIDAS!$A$2:$I$269,9,FALSE()),1)</f>
        <v>1</v>
      </c>
      <c r="O1257" s="217">
        <f t="shared" si="38"/>
        <v>0</v>
      </c>
      <c r="P1257" s="216">
        <f>IF(O1257=0,0,IF(B1257="MAT",G1257*(1+H1257)*L1257*PLAN_ETAPA!$C$5,IF(B1257="MO",IF(M1257=0,0,G1257*L1257*PLAN_ETAPA!$C$5*N1257/M1257),IF(B1257="EQ",IF(M1257=0,0,G1257*L1257*PLAN_ETAPA!$C$5/M1257),0))))</f>
        <v>0</v>
      </c>
      <c r="Q1257" s="218">
        <f t="shared" si="39"/>
        <v>0</v>
      </c>
    </row>
    <row r="1258" spans="1:17" x14ac:dyDescent="0.35">
      <c r="A1258" s="212" t="str">
        <f>COMPOSICIÓN!A1258</f>
        <v>PTO-1401</v>
      </c>
      <c r="B1258" s="212" t="str">
        <f>COMPOSICIÓN!B1258</f>
        <v>MAT</v>
      </c>
      <c r="C1258" s="212" t="str">
        <f>COMPOSICIÓN!C1258</f>
        <v>COR</v>
      </c>
      <c r="D1258" s="212" t="str">
        <f>COMPOSICIÓN!D1258</f>
        <v>OTR-PTO078</v>
      </c>
      <c r="E1258" s="212" t="str">
        <f>COMPOSICIÓN!E1258</f>
        <v>Yeso Knauf MP 40/75 Proyectable x 25 kg - (17 kg/m2)</v>
      </c>
      <c r="F1258" s="212" t="str">
        <f>COMPOSICIÓN!F1258</f>
        <v>bol</v>
      </c>
      <c r="G1258" s="213">
        <f>COMPOSICIÓN!G1258</f>
        <v>0.71521739130434803</v>
      </c>
      <c r="H1258" s="214">
        <f>COMPOSICIÓN!H1258</f>
        <v>0</v>
      </c>
      <c r="I1258" s="215">
        <f>COMPOSICIÓN!I1258</f>
        <v>6965.28</v>
      </c>
      <c r="J1258" s="212" t="str">
        <f>IFERROR(VLOOKUP(A1258,PARTIDAS!$A$2:$C$269,3,FALSE()),"")</f>
        <v>REVOQUES FINOS Y CIELORRASOS</v>
      </c>
      <c r="K1258" s="212" t="str">
        <f>IFERROR(INDEX(PPTO_GENERADOR!$B$4:$B$220,MATCH(A1258,PPTO_GENERADOR!$Q$4:$Q$220,0)),"")</f>
        <v>REVOQUES FINOS Y CIELORRASOS</v>
      </c>
      <c r="L1258" s="216">
        <f>IF(PLAN_ETAPA!$C$4="(TODOS)",SUMIFS(PPTO_GENERADOR!$E$4:$E$220,PPTO_GENERADOR!$Q$4:$Q$220,A1258),SUMIFS(PPTO_GENERADOR!$E$4:$E$220,PPTO_GENERADOR!$Q$4:$Q$220,A1258,PPTO_GENERADOR!$B$4:$B$220,PLAN_ETAPA!$C$4))</f>
        <v>0</v>
      </c>
      <c r="M1258" s="216">
        <f>IFERROR(VLOOKUP(A1258,PARTIDAS!$A$2:$F$269,6,FALSE()),1)</f>
        <v>1</v>
      </c>
      <c r="N1258" s="216">
        <f>IFERROR(VLOOKUP(A1258,PARTIDAS!$A$2:$I$269,9,FALSE()),1)</f>
        <v>1</v>
      </c>
      <c r="O1258" s="217">
        <f t="shared" si="38"/>
        <v>0</v>
      </c>
      <c r="P1258" s="216">
        <f>IF(O1258=0,0,IF(B1258="MAT",G1258*(1+H1258)*L1258*PLAN_ETAPA!$C$5,IF(B1258="MO",IF(M1258=0,0,G1258*L1258*PLAN_ETAPA!$C$5*N1258/M1258),IF(B1258="EQ",IF(M1258=0,0,G1258*L1258*PLAN_ETAPA!$C$5/M1258),0))))</f>
        <v>0</v>
      </c>
      <c r="Q1258" s="218">
        <f t="shared" si="39"/>
        <v>0</v>
      </c>
    </row>
    <row r="1259" spans="1:17" x14ac:dyDescent="0.35">
      <c r="A1259" s="212" t="str">
        <f>COMPOSICIÓN!A1259</f>
        <v>PTO-1401</v>
      </c>
      <c r="B1259" s="212" t="str">
        <f>COMPOSICIÓN!B1259</f>
        <v>MAT</v>
      </c>
      <c r="C1259" s="212" t="str">
        <f>COMPOSICIÓN!C1259</f>
        <v>COR</v>
      </c>
      <c r="D1259" s="212" t="str">
        <f>COMPOSICIÓN!D1259</f>
        <v>OTR-PTO102</v>
      </c>
      <c r="E1259" s="212" t="str">
        <f>COMPOSICIÓN!E1259</f>
        <v>PA-MAX PUENTE DE ADHERENCIA 20LT (150 m2/tac) - Contemplo el 100% de los m2</v>
      </c>
      <c r="F1259" s="212" t="str">
        <f>COMPOSICIÓN!F1259</f>
        <v>tac</v>
      </c>
      <c r="G1259" s="213">
        <f>COMPOSICIÓN!G1259</f>
        <v>6.5217391304347797E-3</v>
      </c>
      <c r="H1259" s="214">
        <f>COMPOSICIÓN!H1259</f>
        <v>0</v>
      </c>
      <c r="I1259" s="215">
        <f>COMPOSICIÓN!I1259</f>
        <v>127350</v>
      </c>
      <c r="J1259" s="212" t="str">
        <f>IFERROR(VLOOKUP(A1259,PARTIDAS!$A$2:$C$269,3,FALSE()),"")</f>
        <v>REVOQUES FINOS Y CIELORRASOS</v>
      </c>
      <c r="K1259" s="212" t="str">
        <f>IFERROR(INDEX(PPTO_GENERADOR!$B$4:$B$220,MATCH(A1259,PPTO_GENERADOR!$Q$4:$Q$220,0)),"")</f>
        <v>REVOQUES FINOS Y CIELORRASOS</v>
      </c>
      <c r="L1259" s="216">
        <f>IF(PLAN_ETAPA!$C$4="(TODOS)",SUMIFS(PPTO_GENERADOR!$E$4:$E$220,PPTO_GENERADOR!$Q$4:$Q$220,A1259),SUMIFS(PPTO_GENERADOR!$E$4:$E$220,PPTO_GENERADOR!$Q$4:$Q$220,A1259,PPTO_GENERADOR!$B$4:$B$220,PLAN_ETAPA!$C$4))</f>
        <v>0</v>
      </c>
      <c r="M1259" s="216">
        <f>IFERROR(VLOOKUP(A1259,PARTIDAS!$A$2:$F$269,6,FALSE()),1)</f>
        <v>1</v>
      </c>
      <c r="N1259" s="216">
        <f>IFERROR(VLOOKUP(A1259,PARTIDAS!$A$2:$I$269,9,FALSE()),1)</f>
        <v>1</v>
      </c>
      <c r="O1259" s="217">
        <f t="shared" si="38"/>
        <v>0</v>
      </c>
      <c r="P1259" s="216">
        <f>IF(O1259=0,0,IF(B1259="MAT",G1259*(1+H1259)*L1259*PLAN_ETAPA!$C$5,IF(B1259="MO",IF(M1259=0,0,G1259*L1259*PLAN_ETAPA!$C$5*N1259/M1259),IF(B1259="EQ",IF(M1259=0,0,G1259*L1259*PLAN_ETAPA!$C$5/M1259),0))))</f>
        <v>0</v>
      </c>
      <c r="Q1259" s="218">
        <f t="shared" si="39"/>
        <v>0</v>
      </c>
    </row>
    <row r="1260" spans="1:17" x14ac:dyDescent="0.35">
      <c r="A1260" s="212" t="str">
        <f>COMPOSICIÓN!A1260</f>
        <v>PTO-1401</v>
      </c>
      <c r="B1260" s="212" t="str">
        <f>COMPOSICIÓN!B1260</f>
        <v>MO</v>
      </c>
      <c r="C1260" s="212" t="str">
        <f>COMPOSICIÓN!C1260</f>
        <v>OTR</v>
      </c>
      <c r="D1260" s="212" t="str">
        <f>COMPOSICIÓN!D1260</f>
        <v>SUB-PTO025</v>
      </c>
      <c r="E1260" s="212" t="str">
        <f>COMPOSICIÓN!E1260</f>
        <v>M.Obra</v>
      </c>
      <c r="F1260" s="212" t="str">
        <f>COMPOSICIÓN!F1260</f>
        <v>j</v>
      </c>
      <c r="G1260" s="213">
        <f>COMPOSICIÓN!G1260</f>
        <v>1</v>
      </c>
      <c r="H1260" s="214">
        <f>COMPOSICIÓN!H1260</f>
        <v>0</v>
      </c>
      <c r="I1260" s="215">
        <f>COMPOSICIÓN!I1260</f>
        <v>11651.218312086001</v>
      </c>
      <c r="J1260" s="212" t="str">
        <f>IFERROR(VLOOKUP(A1260,PARTIDAS!$A$2:$C$269,3,FALSE()),"")</f>
        <v>REVOQUES FINOS Y CIELORRASOS</v>
      </c>
      <c r="K1260" s="212" t="str">
        <f>IFERROR(INDEX(PPTO_GENERADOR!$B$4:$B$220,MATCH(A1260,PPTO_GENERADOR!$Q$4:$Q$220,0)),"")</f>
        <v>REVOQUES FINOS Y CIELORRASOS</v>
      </c>
      <c r="L1260" s="216">
        <f>IF(PLAN_ETAPA!$C$4="(TODOS)",SUMIFS(PPTO_GENERADOR!$E$4:$E$220,PPTO_GENERADOR!$Q$4:$Q$220,A1260),SUMIFS(PPTO_GENERADOR!$E$4:$E$220,PPTO_GENERADOR!$Q$4:$Q$220,A1260,PPTO_GENERADOR!$B$4:$B$220,PLAN_ETAPA!$C$4))</f>
        <v>0</v>
      </c>
      <c r="M1260" s="216">
        <f>IFERROR(VLOOKUP(A1260,PARTIDAS!$A$2:$F$269,6,FALSE()),1)</f>
        <v>1</v>
      </c>
      <c r="N1260" s="216">
        <f>IFERROR(VLOOKUP(A1260,PARTIDAS!$A$2:$I$269,9,FALSE()),1)</f>
        <v>1</v>
      </c>
      <c r="O1260" s="217">
        <f t="shared" si="38"/>
        <v>0</v>
      </c>
      <c r="P1260" s="216">
        <f>IF(O1260=0,0,IF(B1260="MAT",G1260*(1+H1260)*L1260*PLAN_ETAPA!$C$5,IF(B1260="MO",IF(M1260=0,0,G1260*L1260*PLAN_ETAPA!$C$5*N1260/M1260),IF(B1260="EQ",IF(M1260=0,0,G1260*L1260*PLAN_ETAPA!$C$5/M1260),0))))</f>
        <v>0</v>
      </c>
      <c r="Q1260" s="218">
        <f t="shared" si="39"/>
        <v>0</v>
      </c>
    </row>
    <row r="1261" spans="1:17" x14ac:dyDescent="0.35">
      <c r="A1261" s="212" t="str">
        <f>COMPOSICIÓN!A1261</f>
        <v>PTO-1402</v>
      </c>
      <c r="B1261" s="212" t="str">
        <f>COMPOSICIÓN!B1261</f>
        <v>MO</v>
      </c>
      <c r="C1261" s="212" t="str">
        <f>COMPOSICIÓN!C1261</f>
        <v>OTR</v>
      </c>
      <c r="D1261" s="212" t="str">
        <f>COMPOSICIÓN!D1261</f>
        <v>SUB-PTO030</v>
      </c>
      <c r="E1261" s="212" t="str">
        <f>COMPOSICIÓN!E1261</f>
        <v>MO Buña en yeso aplicado [SUBCONTRATOS]</v>
      </c>
      <c r="F1261" s="212" t="str">
        <f>COMPOSICIÓN!F1261</f>
        <v>j</v>
      </c>
      <c r="G1261" s="213">
        <f>COMPOSICIÓN!G1261</f>
        <v>1</v>
      </c>
      <c r="H1261" s="214">
        <f>COMPOSICIÓN!H1261</f>
        <v>0</v>
      </c>
      <c r="I1261" s="215">
        <f>COMPOSICIÓN!I1261</f>
        <v>12499.4731571067</v>
      </c>
      <c r="J1261" s="212" t="str">
        <f>IFERROR(VLOOKUP(A1261,PARTIDAS!$A$2:$C$269,3,FALSE()),"")</f>
        <v>REVOQUES FINOS Y CIELORRASOS</v>
      </c>
      <c r="K1261" s="212" t="str">
        <f>IFERROR(INDEX(PPTO_GENERADOR!$B$4:$B$220,MATCH(A1261,PPTO_GENERADOR!$Q$4:$Q$220,0)),"")</f>
        <v>REVOQUES FINOS Y CIELORRASOS</v>
      </c>
      <c r="L1261" s="216">
        <f>IF(PLAN_ETAPA!$C$4="(TODOS)",SUMIFS(PPTO_GENERADOR!$E$4:$E$220,PPTO_GENERADOR!$Q$4:$Q$220,A1261),SUMIFS(PPTO_GENERADOR!$E$4:$E$220,PPTO_GENERADOR!$Q$4:$Q$220,A1261,PPTO_GENERADOR!$B$4:$B$220,PLAN_ETAPA!$C$4))</f>
        <v>0</v>
      </c>
      <c r="M1261" s="216">
        <f>IFERROR(VLOOKUP(A1261,PARTIDAS!$A$2:$F$269,6,FALSE()),1)</f>
        <v>1</v>
      </c>
      <c r="N1261" s="216">
        <f>IFERROR(VLOOKUP(A1261,PARTIDAS!$A$2:$I$269,9,FALSE()),1)</f>
        <v>1</v>
      </c>
      <c r="O1261" s="217">
        <f t="shared" si="38"/>
        <v>0</v>
      </c>
      <c r="P1261" s="216">
        <f>IF(O1261=0,0,IF(B1261="MAT",G1261*(1+H1261)*L1261*PLAN_ETAPA!$C$5,IF(B1261="MO",IF(M1261=0,0,G1261*L1261*PLAN_ETAPA!$C$5*N1261/M1261),IF(B1261="EQ",IF(M1261=0,0,G1261*L1261*PLAN_ETAPA!$C$5/M1261),0))))</f>
        <v>0</v>
      </c>
      <c r="Q1261" s="218">
        <f t="shared" si="39"/>
        <v>0</v>
      </c>
    </row>
    <row r="1262" spans="1:17" x14ac:dyDescent="0.35">
      <c r="A1262" s="212" t="str">
        <f>COMPOSICIÓN!A1262</f>
        <v>PTO-1403</v>
      </c>
      <c r="B1262" s="212" t="str">
        <f>COMPOSICIÓN!B1262</f>
        <v>EQ</v>
      </c>
      <c r="C1262" s="212">
        <f>COMPOSICIÓN!C1262</f>
        <v>0</v>
      </c>
      <c r="D1262" s="212" t="str">
        <f>COMPOSICIÓN!D1262</f>
        <v>EQ-ESCALE</v>
      </c>
      <c r="E1262" s="212" t="str">
        <f>COMPOSICIÓN!E1262</f>
        <v>ESCALERA GLOSS ALUMINIO ARTICULADA 4 X 4 ESCALONES HASTA 150KG</v>
      </c>
      <c r="F1262" s="212">
        <f>COMPOSICIÓN!F1262</f>
        <v>0</v>
      </c>
      <c r="G1262" s="213">
        <f>COMPOSICIÓN!G1262</f>
        <v>1</v>
      </c>
      <c r="H1262" s="214">
        <f>COMPOSICIÓN!H1262</f>
        <v>0</v>
      </c>
      <c r="I1262" s="215">
        <f>COMPOSICIÓN!I1262</f>
        <v>140.19809259430903</v>
      </c>
      <c r="J1262" s="212" t="str">
        <f>IFERROR(VLOOKUP(A1262,PARTIDAS!$A$2:$C$269,3,FALSE()),"")</f>
        <v>REVOQUES FINOS Y CIELORRASOS</v>
      </c>
      <c r="K1262" s="212" t="str">
        <f>IFERROR(INDEX(PPTO_GENERADOR!$B$4:$B$220,MATCH(A1262,PPTO_GENERADOR!$Q$4:$Q$220,0)),"")</f>
        <v>REVOQUES FINOS Y CIELORRASOS</v>
      </c>
      <c r="L1262" s="216">
        <f>IF(PLAN_ETAPA!$C$4="(TODOS)",SUMIFS(PPTO_GENERADOR!$E$4:$E$220,PPTO_GENERADOR!$Q$4:$Q$220,A1262),SUMIFS(PPTO_GENERADOR!$E$4:$E$220,PPTO_GENERADOR!$Q$4:$Q$220,A1262,PPTO_GENERADOR!$B$4:$B$220,PLAN_ETAPA!$C$4))</f>
        <v>0</v>
      </c>
      <c r="M1262" s="216">
        <f>IFERROR(VLOOKUP(A1262,PARTIDAS!$A$2:$F$269,6,FALSE()),1)</f>
        <v>9.5</v>
      </c>
      <c r="N1262" s="216">
        <f>IFERROR(VLOOKUP(A1262,PARTIDAS!$A$2:$I$269,9,FALSE()),1)</f>
        <v>1</v>
      </c>
      <c r="O1262" s="217">
        <f t="shared" si="38"/>
        <v>0</v>
      </c>
      <c r="P1262" s="216">
        <f>IF(O1262=0,0,IF(B1262="MAT",G1262*(1+H1262)*L1262*PLAN_ETAPA!$C$5,IF(B1262="MO",IF(M1262=0,0,G1262*L1262*PLAN_ETAPA!$C$5*N1262/M1262),IF(B1262="EQ",IF(M1262=0,0,G1262*L1262*PLAN_ETAPA!$C$5/M1262),0))))</f>
        <v>0</v>
      </c>
      <c r="Q1262" s="218">
        <f t="shared" si="39"/>
        <v>0</v>
      </c>
    </row>
    <row r="1263" spans="1:17" x14ac:dyDescent="0.35">
      <c r="A1263" s="212" t="str">
        <f>COMPOSICIÓN!A1263</f>
        <v>PTO-1403</v>
      </c>
      <c r="B1263" s="212" t="str">
        <f>COMPOSICIÓN!B1263</f>
        <v>EQ</v>
      </c>
      <c r="C1263" s="212">
        <f>COMPOSICIÓN!C1263</f>
        <v>0</v>
      </c>
      <c r="D1263" s="212" t="str">
        <f>COMPOSICIÓN!D1263</f>
        <v>EQ-PTO024</v>
      </c>
      <c r="E1263" s="212" t="str">
        <f>COMPOSICIÓN!E1263</f>
        <v>EQUIPO DE CONSTRUCCION EN SECO</v>
      </c>
      <c r="F1263" s="212">
        <f>COMPOSICIÓN!F1263</f>
        <v>0</v>
      </c>
      <c r="G1263" s="213">
        <f>COMPOSICIÓN!G1263</f>
        <v>1</v>
      </c>
      <c r="H1263" s="214">
        <f>COMPOSICIÓN!H1263</f>
        <v>0</v>
      </c>
      <c r="I1263" s="215">
        <f>COMPOSICIÓN!I1263</f>
        <v>2365.2381485799501</v>
      </c>
      <c r="J1263" s="212" t="str">
        <f>IFERROR(VLOOKUP(A1263,PARTIDAS!$A$2:$C$269,3,FALSE()),"")</f>
        <v>REVOQUES FINOS Y CIELORRASOS</v>
      </c>
      <c r="K1263" s="212" t="str">
        <f>IFERROR(INDEX(PPTO_GENERADOR!$B$4:$B$220,MATCH(A1263,PPTO_GENERADOR!$Q$4:$Q$220,0)),"")</f>
        <v>REVOQUES FINOS Y CIELORRASOS</v>
      </c>
      <c r="L1263" s="216">
        <f>IF(PLAN_ETAPA!$C$4="(TODOS)",SUMIFS(PPTO_GENERADOR!$E$4:$E$220,PPTO_GENERADOR!$Q$4:$Q$220,A1263),SUMIFS(PPTO_GENERADOR!$E$4:$E$220,PPTO_GENERADOR!$Q$4:$Q$220,A1263,PPTO_GENERADOR!$B$4:$B$220,PLAN_ETAPA!$C$4))</f>
        <v>0</v>
      </c>
      <c r="M1263" s="216">
        <f>IFERROR(VLOOKUP(A1263,PARTIDAS!$A$2:$F$269,6,FALSE()),1)</f>
        <v>9.5</v>
      </c>
      <c r="N1263" s="216">
        <f>IFERROR(VLOOKUP(A1263,PARTIDAS!$A$2:$I$269,9,FALSE()),1)</f>
        <v>1</v>
      </c>
      <c r="O1263" s="217">
        <f t="shared" si="38"/>
        <v>0</v>
      </c>
      <c r="P1263" s="216">
        <f>IF(O1263=0,0,IF(B1263="MAT",G1263*(1+H1263)*L1263*PLAN_ETAPA!$C$5,IF(B1263="MO",IF(M1263=0,0,G1263*L1263*PLAN_ETAPA!$C$5*N1263/M1263),IF(B1263="EQ",IF(M1263=0,0,G1263*L1263*PLAN_ETAPA!$C$5/M1263),0))))</f>
        <v>0</v>
      </c>
      <c r="Q1263" s="218">
        <f t="shared" si="39"/>
        <v>0</v>
      </c>
    </row>
    <row r="1264" spans="1:17" x14ac:dyDescent="0.35">
      <c r="A1264" s="212" t="str">
        <f>COMPOSICIÓN!A1264</f>
        <v>PTO-1403</v>
      </c>
      <c r="B1264" s="212" t="str">
        <f>COMPOSICIÓN!B1264</f>
        <v>MAT</v>
      </c>
      <c r="C1264" s="212" t="str">
        <f>COMPOSICIÓN!C1264</f>
        <v>OTR</v>
      </c>
      <c r="D1264" s="212" t="str">
        <f>COMPOSICIÓN!D1264</f>
        <v>DUR-003</v>
      </c>
      <c r="E1264" s="212" t="str">
        <f>COMPOSICIÓN!E1264</f>
        <v>Solera 35mm x 2.60m</v>
      </c>
      <c r="F1264" s="212" t="str">
        <f>COMPOSICIÓN!F1264</f>
        <v>u</v>
      </c>
      <c r="G1264" s="213">
        <f>COMPOSICIÓN!G1264</f>
        <v>0.507692307692308</v>
      </c>
      <c r="H1264" s="214">
        <f>COMPOSICIÓN!H1264</f>
        <v>0.1</v>
      </c>
      <c r="I1264" s="215">
        <f>COMPOSICIÓN!I1264</f>
        <v>2147.85</v>
      </c>
      <c r="J1264" s="212" t="str">
        <f>IFERROR(VLOOKUP(A1264,PARTIDAS!$A$2:$C$269,3,FALSE()),"")</f>
        <v>REVOQUES FINOS Y CIELORRASOS</v>
      </c>
      <c r="K1264" s="212" t="str">
        <f>IFERROR(INDEX(PPTO_GENERADOR!$B$4:$B$220,MATCH(A1264,PPTO_GENERADOR!$Q$4:$Q$220,0)),"")</f>
        <v>REVOQUES FINOS Y CIELORRASOS</v>
      </c>
      <c r="L1264" s="216">
        <f>IF(PLAN_ETAPA!$C$4="(TODOS)",SUMIFS(PPTO_GENERADOR!$E$4:$E$220,PPTO_GENERADOR!$Q$4:$Q$220,A1264),SUMIFS(PPTO_GENERADOR!$E$4:$E$220,PPTO_GENERADOR!$Q$4:$Q$220,A1264,PPTO_GENERADOR!$B$4:$B$220,PLAN_ETAPA!$C$4))</f>
        <v>0</v>
      </c>
      <c r="M1264" s="216">
        <f>IFERROR(VLOOKUP(A1264,PARTIDAS!$A$2:$F$269,6,FALSE()),1)</f>
        <v>9.5</v>
      </c>
      <c r="N1264" s="216">
        <f>IFERROR(VLOOKUP(A1264,PARTIDAS!$A$2:$I$269,9,FALSE()),1)</f>
        <v>1</v>
      </c>
      <c r="O1264" s="217">
        <f t="shared" si="38"/>
        <v>0</v>
      </c>
      <c r="P1264" s="216">
        <f>IF(O1264=0,0,IF(B1264="MAT",G1264*(1+H1264)*L1264*PLAN_ETAPA!$C$5,IF(B1264="MO",IF(M1264=0,0,G1264*L1264*PLAN_ETAPA!$C$5*N1264/M1264),IF(B1264="EQ",IF(M1264=0,0,G1264*L1264*PLAN_ETAPA!$C$5/M1264),0))))</f>
        <v>0</v>
      </c>
      <c r="Q1264" s="218">
        <f t="shared" si="39"/>
        <v>0</v>
      </c>
    </row>
    <row r="1265" spans="1:17" x14ac:dyDescent="0.35">
      <c r="A1265" s="212" t="str">
        <f>COMPOSICIÓN!A1265</f>
        <v>PTO-1403</v>
      </c>
      <c r="B1265" s="212" t="str">
        <f>COMPOSICIÓN!B1265</f>
        <v>MAT</v>
      </c>
      <c r="C1265" s="212" t="str">
        <f>COMPOSICIÓN!C1265</f>
        <v>OTR</v>
      </c>
      <c r="D1265" s="212" t="str">
        <f>COMPOSICIÓN!D1265</f>
        <v>DUR-004</v>
      </c>
      <c r="E1265" s="212" t="str">
        <f>COMPOSICIÓN!E1265</f>
        <v>Montante 34mm x 2.60m</v>
      </c>
      <c r="F1265" s="212" t="str">
        <f>COMPOSICIÓN!F1265</f>
        <v>u</v>
      </c>
      <c r="G1265" s="213">
        <f>COMPOSICIÓN!G1265</f>
        <v>1.2307692307692299</v>
      </c>
      <c r="H1265" s="214">
        <f>COMPOSICIÓN!H1265</f>
        <v>0.1</v>
      </c>
      <c r="I1265" s="215">
        <f>COMPOSICIÓN!I1265</f>
        <v>2468.66</v>
      </c>
      <c r="J1265" s="212" t="str">
        <f>IFERROR(VLOOKUP(A1265,PARTIDAS!$A$2:$C$269,3,FALSE()),"")</f>
        <v>REVOQUES FINOS Y CIELORRASOS</v>
      </c>
      <c r="K1265" s="212" t="str">
        <f>IFERROR(INDEX(PPTO_GENERADOR!$B$4:$B$220,MATCH(A1265,PPTO_GENERADOR!$Q$4:$Q$220,0)),"")</f>
        <v>REVOQUES FINOS Y CIELORRASOS</v>
      </c>
      <c r="L1265" s="216">
        <f>IF(PLAN_ETAPA!$C$4="(TODOS)",SUMIFS(PPTO_GENERADOR!$E$4:$E$220,PPTO_GENERADOR!$Q$4:$Q$220,A1265),SUMIFS(PPTO_GENERADOR!$E$4:$E$220,PPTO_GENERADOR!$Q$4:$Q$220,A1265,PPTO_GENERADOR!$B$4:$B$220,PLAN_ETAPA!$C$4))</f>
        <v>0</v>
      </c>
      <c r="M1265" s="216">
        <f>IFERROR(VLOOKUP(A1265,PARTIDAS!$A$2:$F$269,6,FALSE()),1)</f>
        <v>9.5</v>
      </c>
      <c r="N1265" s="216">
        <f>IFERROR(VLOOKUP(A1265,PARTIDAS!$A$2:$I$269,9,FALSE()),1)</f>
        <v>1</v>
      </c>
      <c r="O1265" s="217">
        <f t="shared" si="38"/>
        <v>0</v>
      </c>
      <c r="P1265" s="216">
        <f>IF(O1265=0,0,IF(B1265="MAT",G1265*(1+H1265)*L1265*PLAN_ETAPA!$C$5,IF(B1265="MO",IF(M1265=0,0,G1265*L1265*PLAN_ETAPA!$C$5*N1265/M1265),IF(B1265="EQ",IF(M1265=0,0,G1265*L1265*PLAN_ETAPA!$C$5/M1265),0))))</f>
        <v>0</v>
      </c>
      <c r="Q1265" s="218">
        <f t="shared" si="39"/>
        <v>0</v>
      </c>
    </row>
    <row r="1266" spans="1:17" x14ac:dyDescent="0.35">
      <c r="A1266" s="212" t="str">
        <f>COMPOSICIÓN!A1266</f>
        <v>PTO-1403</v>
      </c>
      <c r="B1266" s="212" t="str">
        <f>COMPOSICIÓN!B1266</f>
        <v>MAT</v>
      </c>
      <c r="C1266" s="212" t="str">
        <f>COMPOSICIÓN!C1266</f>
        <v>OTR</v>
      </c>
      <c r="D1266" s="212" t="str">
        <f>COMPOSICIÓN!D1266</f>
        <v>DUR-005</v>
      </c>
      <c r="E1266" s="212" t="str">
        <f>COMPOSICIÓN!E1266</f>
        <v>Masilla x 32kg</v>
      </c>
      <c r="F1266" s="212" t="str">
        <f>COMPOSICIÓN!F1266</f>
        <v>u</v>
      </c>
      <c r="G1266" s="213">
        <f>COMPOSICIÓN!G1266</f>
        <v>2.8125000000000001E-2</v>
      </c>
      <c r="H1266" s="214">
        <f>COMPOSICIÓN!H1266</f>
        <v>0.05</v>
      </c>
      <c r="I1266" s="215">
        <f>COMPOSICIÓN!I1266</f>
        <v>26872.02</v>
      </c>
      <c r="J1266" s="212" t="str">
        <f>IFERROR(VLOOKUP(A1266,PARTIDAS!$A$2:$C$269,3,FALSE()),"")</f>
        <v>REVOQUES FINOS Y CIELORRASOS</v>
      </c>
      <c r="K1266" s="212" t="str">
        <f>IFERROR(INDEX(PPTO_GENERADOR!$B$4:$B$220,MATCH(A1266,PPTO_GENERADOR!$Q$4:$Q$220,0)),"")</f>
        <v>REVOQUES FINOS Y CIELORRASOS</v>
      </c>
      <c r="L1266" s="216">
        <f>IF(PLAN_ETAPA!$C$4="(TODOS)",SUMIFS(PPTO_GENERADOR!$E$4:$E$220,PPTO_GENERADOR!$Q$4:$Q$220,A1266),SUMIFS(PPTO_GENERADOR!$E$4:$E$220,PPTO_GENERADOR!$Q$4:$Q$220,A1266,PPTO_GENERADOR!$B$4:$B$220,PLAN_ETAPA!$C$4))</f>
        <v>0</v>
      </c>
      <c r="M1266" s="216">
        <f>IFERROR(VLOOKUP(A1266,PARTIDAS!$A$2:$F$269,6,FALSE()),1)</f>
        <v>9.5</v>
      </c>
      <c r="N1266" s="216">
        <f>IFERROR(VLOOKUP(A1266,PARTIDAS!$A$2:$I$269,9,FALSE()),1)</f>
        <v>1</v>
      </c>
      <c r="O1266" s="217">
        <f t="shared" si="38"/>
        <v>0</v>
      </c>
      <c r="P1266" s="216">
        <f>IF(O1266=0,0,IF(B1266="MAT",G1266*(1+H1266)*L1266*PLAN_ETAPA!$C$5,IF(B1266="MO",IF(M1266=0,0,G1266*L1266*PLAN_ETAPA!$C$5*N1266/M1266),IF(B1266="EQ",IF(M1266=0,0,G1266*L1266*PLAN_ETAPA!$C$5/M1266),0))))</f>
        <v>0</v>
      </c>
      <c r="Q1266" s="218">
        <f t="shared" si="39"/>
        <v>0</v>
      </c>
    </row>
    <row r="1267" spans="1:17" x14ac:dyDescent="0.35">
      <c r="A1267" s="212" t="str">
        <f>COMPOSICIÓN!A1267</f>
        <v>PTO-1403</v>
      </c>
      <c r="B1267" s="212" t="str">
        <f>COMPOSICIÓN!B1267</f>
        <v>MAT</v>
      </c>
      <c r="C1267" s="212" t="str">
        <f>COMPOSICIÓN!C1267</f>
        <v>OTR</v>
      </c>
      <c r="D1267" s="212" t="str">
        <f>COMPOSICIÓN!D1267</f>
        <v>OTR-007</v>
      </c>
      <c r="E1267" s="212" t="str">
        <f>COMPOSICIÓN!E1267</f>
        <v>Tornillo T1 - Aguja</v>
      </c>
      <c r="F1267" s="212" t="str">
        <f>COMPOSICIÓN!F1267</f>
        <v>u</v>
      </c>
      <c r="G1267" s="213">
        <f>COMPOSICIÓN!G1267</f>
        <v>16</v>
      </c>
      <c r="H1267" s="214">
        <f>COMPOSICIÓN!H1267</f>
        <v>0.05</v>
      </c>
      <c r="I1267" s="215">
        <f>COMPOSICIÓN!I1267</f>
        <v>32.707173553719002</v>
      </c>
      <c r="J1267" s="212" t="str">
        <f>IFERROR(VLOOKUP(A1267,PARTIDAS!$A$2:$C$269,3,FALSE()),"")</f>
        <v>REVOQUES FINOS Y CIELORRASOS</v>
      </c>
      <c r="K1267" s="212" t="str">
        <f>IFERROR(INDEX(PPTO_GENERADOR!$B$4:$B$220,MATCH(A1267,PPTO_GENERADOR!$Q$4:$Q$220,0)),"")</f>
        <v>REVOQUES FINOS Y CIELORRASOS</v>
      </c>
      <c r="L1267" s="216">
        <f>IF(PLAN_ETAPA!$C$4="(TODOS)",SUMIFS(PPTO_GENERADOR!$E$4:$E$220,PPTO_GENERADOR!$Q$4:$Q$220,A1267),SUMIFS(PPTO_GENERADOR!$E$4:$E$220,PPTO_GENERADOR!$Q$4:$Q$220,A1267,PPTO_GENERADOR!$B$4:$B$220,PLAN_ETAPA!$C$4))</f>
        <v>0</v>
      </c>
      <c r="M1267" s="216">
        <f>IFERROR(VLOOKUP(A1267,PARTIDAS!$A$2:$F$269,6,FALSE()),1)</f>
        <v>9.5</v>
      </c>
      <c r="N1267" s="216">
        <f>IFERROR(VLOOKUP(A1267,PARTIDAS!$A$2:$I$269,9,FALSE()),1)</f>
        <v>1</v>
      </c>
      <c r="O1267" s="217">
        <f t="shared" si="38"/>
        <v>0</v>
      </c>
      <c r="P1267" s="216">
        <f>IF(O1267=0,0,IF(B1267="MAT",G1267*(1+H1267)*L1267*PLAN_ETAPA!$C$5,IF(B1267="MO",IF(M1267=0,0,G1267*L1267*PLAN_ETAPA!$C$5*N1267/M1267),IF(B1267="EQ",IF(M1267=0,0,G1267*L1267*PLAN_ETAPA!$C$5/M1267),0))))</f>
        <v>0</v>
      </c>
      <c r="Q1267" s="218">
        <f t="shared" si="39"/>
        <v>0</v>
      </c>
    </row>
    <row r="1268" spans="1:17" x14ac:dyDescent="0.35">
      <c r="A1268" s="212" t="str">
        <f>COMPOSICIÓN!A1268</f>
        <v>PTO-1403</v>
      </c>
      <c r="B1268" s="212" t="str">
        <f>COMPOSICIÓN!B1268</f>
        <v>MAT</v>
      </c>
      <c r="C1268" s="212" t="str">
        <f>COMPOSICIÓN!C1268</f>
        <v>OTR</v>
      </c>
      <c r="D1268" s="212" t="str">
        <f>COMPOSICIÓN!D1268</f>
        <v>OTR-008</v>
      </c>
      <c r="E1268" s="212" t="str">
        <f>COMPOSICIÓN!E1268</f>
        <v>Tornillo T2 - Aguja</v>
      </c>
      <c r="F1268" s="212" t="str">
        <f>COMPOSICIÓN!F1268</f>
        <v>u</v>
      </c>
      <c r="G1268" s="213">
        <f>COMPOSICIÓN!G1268</f>
        <v>18</v>
      </c>
      <c r="H1268" s="214">
        <f>COMPOSICIÓN!H1268</f>
        <v>0.05</v>
      </c>
      <c r="I1268" s="215">
        <f>COMPOSICIÓN!I1268</f>
        <v>17.1963177226814</v>
      </c>
      <c r="J1268" s="212" t="str">
        <f>IFERROR(VLOOKUP(A1268,PARTIDAS!$A$2:$C$269,3,FALSE()),"")</f>
        <v>REVOQUES FINOS Y CIELORRASOS</v>
      </c>
      <c r="K1268" s="212" t="str">
        <f>IFERROR(INDEX(PPTO_GENERADOR!$B$4:$B$220,MATCH(A1268,PPTO_GENERADOR!$Q$4:$Q$220,0)),"")</f>
        <v>REVOQUES FINOS Y CIELORRASOS</v>
      </c>
      <c r="L1268" s="216">
        <f>IF(PLAN_ETAPA!$C$4="(TODOS)",SUMIFS(PPTO_GENERADOR!$E$4:$E$220,PPTO_GENERADOR!$Q$4:$Q$220,A1268),SUMIFS(PPTO_GENERADOR!$E$4:$E$220,PPTO_GENERADOR!$Q$4:$Q$220,A1268,PPTO_GENERADOR!$B$4:$B$220,PLAN_ETAPA!$C$4))</f>
        <v>0</v>
      </c>
      <c r="M1268" s="216">
        <f>IFERROR(VLOOKUP(A1268,PARTIDAS!$A$2:$F$269,6,FALSE()),1)</f>
        <v>9.5</v>
      </c>
      <c r="N1268" s="216">
        <f>IFERROR(VLOOKUP(A1268,PARTIDAS!$A$2:$I$269,9,FALSE()),1)</f>
        <v>1</v>
      </c>
      <c r="O1268" s="217">
        <f t="shared" si="38"/>
        <v>0</v>
      </c>
      <c r="P1268" s="216">
        <f>IF(O1268=0,0,IF(B1268="MAT",G1268*(1+H1268)*L1268*PLAN_ETAPA!$C$5,IF(B1268="MO",IF(M1268=0,0,G1268*L1268*PLAN_ETAPA!$C$5*N1268/M1268),IF(B1268="EQ",IF(M1268=0,0,G1268*L1268*PLAN_ETAPA!$C$5/M1268),0))))</f>
        <v>0</v>
      </c>
      <c r="Q1268" s="218">
        <f t="shared" si="39"/>
        <v>0</v>
      </c>
    </row>
    <row r="1269" spans="1:17" x14ac:dyDescent="0.35">
      <c r="A1269" s="212" t="str">
        <f>COMPOSICIÓN!A1269</f>
        <v>PTO-1403</v>
      </c>
      <c r="B1269" s="212" t="str">
        <f>COMPOSICIÓN!B1269</f>
        <v>MAT</v>
      </c>
      <c r="C1269" s="212" t="str">
        <f>COMPOSICIÓN!C1269</f>
        <v>OTR</v>
      </c>
      <c r="D1269" s="212" t="str">
        <f>COMPOSICIÓN!D1269</f>
        <v>OTR-010</v>
      </c>
      <c r="E1269" s="212" t="str">
        <f>COMPOSICIÓN!E1269</f>
        <v>Fijacion completa del 8</v>
      </c>
      <c r="F1269" s="212" t="str">
        <f>COMPOSICIÓN!F1269</f>
        <v>u</v>
      </c>
      <c r="G1269" s="213">
        <f>COMPOSICIÓN!G1269</f>
        <v>6</v>
      </c>
      <c r="H1269" s="214">
        <f>COMPOSICIÓN!H1269</f>
        <v>0.05</v>
      </c>
      <c r="I1269" s="215">
        <f>COMPOSICIÓN!I1269</f>
        <v>65.919008264462803</v>
      </c>
      <c r="J1269" s="212" t="str">
        <f>IFERROR(VLOOKUP(A1269,PARTIDAS!$A$2:$C$269,3,FALSE()),"")</f>
        <v>REVOQUES FINOS Y CIELORRASOS</v>
      </c>
      <c r="K1269" s="212" t="str">
        <f>IFERROR(INDEX(PPTO_GENERADOR!$B$4:$B$220,MATCH(A1269,PPTO_GENERADOR!$Q$4:$Q$220,0)),"")</f>
        <v>REVOQUES FINOS Y CIELORRASOS</v>
      </c>
      <c r="L1269" s="216">
        <f>IF(PLAN_ETAPA!$C$4="(TODOS)",SUMIFS(PPTO_GENERADOR!$E$4:$E$220,PPTO_GENERADOR!$Q$4:$Q$220,A1269),SUMIFS(PPTO_GENERADOR!$E$4:$E$220,PPTO_GENERADOR!$Q$4:$Q$220,A1269,PPTO_GENERADOR!$B$4:$B$220,PLAN_ETAPA!$C$4))</f>
        <v>0</v>
      </c>
      <c r="M1269" s="216">
        <f>IFERROR(VLOOKUP(A1269,PARTIDAS!$A$2:$F$269,6,FALSE()),1)</f>
        <v>9.5</v>
      </c>
      <c r="N1269" s="216">
        <f>IFERROR(VLOOKUP(A1269,PARTIDAS!$A$2:$I$269,9,FALSE()),1)</f>
        <v>1</v>
      </c>
      <c r="O1269" s="217">
        <f t="shared" si="38"/>
        <v>0</v>
      </c>
      <c r="P1269" s="216">
        <f>IF(O1269=0,0,IF(B1269="MAT",G1269*(1+H1269)*L1269*PLAN_ETAPA!$C$5,IF(B1269="MO",IF(M1269=0,0,G1269*L1269*PLAN_ETAPA!$C$5*N1269/M1269),IF(B1269="EQ",IF(M1269=0,0,G1269*L1269*PLAN_ETAPA!$C$5/M1269),0))))</f>
        <v>0</v>
      </c>
      <c r="Q1269" s="218">
        <f t="shared" si="39"/>
        <v>0</v>
      </c>
    </row>
    <row r="1270" spans="1:17" x14ac:dyDescent="0.35">
      <c r="A1270" s="212" t="str">
        <f>COMPOSICIÓN!A1270</f>
        <v>PTO-1403</v>
      </c>
      <c r="B1270" s="212" t="str">
        <f>COMPOSICIÓN!B1270</f>
        <v>MAT</v>
      </c>
      <c r="C1270" s="212" t="str">
        <f>COMPOSICIÓN!C1270</f>
        <v>OTR</v>
      </c>
      <c r="D1270" s="212" t="str">
        <f>COMPOSICIÓN!D1270</f>
        <v>OTR-011</v>
      </c>
      <c r="E1270" s="212" t="str">
        <f>COMPOSICIÓN!E1270</f>
        <v>Cinta Entramada - 90m</v>
      </c>
      <c r="F1270" s="212" t="str">
        <f>COMPOSICIÓN!F1270</f>
        <v>u</v>
      </c>
      <c r="G1270" s="213">
        <f>COMPOSICIÓN!G1270</f>
        <v>1.8333333333333299E-2</v>
      </c>
      <c r="H1270" s="214">
        <f>COMPOSICIÓN!H1270</f>
        <v>0.05</v>
      </c>
      <c r="I1270" s="215">
        <f>COMPOSICIÓN!I1270</f>
        <v>4042.71</v>
      </c>
      <c r="J1270" s="212" t="str">
        <f>IFERROR(VLOOKUP(A1270,PARTIDAS!$A$2:$C$269,3,FALSE()),"")</f>
        <v>REVOQUES FINOS Y CIELORRASOS</v>
      </c>
      <c r="K1270" s="212" t="str">
        <f>IFERROR(INDEX(PPTO_GENERADOR!$B$4:$B$220,MATCH(A1270,PPTO_GENERADOR!$Q$4:$Q$220,0)),"")</f>
        <v>REVOQUES FINOS Y CIELORRASOS</v>
      </c>
      <c r="L1270" s="216">
        <f>IF(PLAN_ETAPA!$C$4="(TODOS)",SUMIFS(PPTO_GENERADOR!$E$4:$E$220,PPTO_GENERADOR!$Q$4:$Q$220,A1270),SUMIFS(PPTO_GENERADOR!$E$4:$E$220,PPTO_GENERADOR!$Q$4:$Q$220,A1270,PPTO_GENERADOR!$B$4:$B$220,PLAN_ETAPA!$C$4))</f>
        <v>0</v>
      </c>
      <c r="M1270" s="216">
        <f>IFERROR(VLOOKUP(A1270,PARTIDAS!$A$2:$F$269,6,FALSE()),1)</f>
        <v>9.5</v>
      </c>
      <c r="N1270" s="216">
        <f>IFERROR(VLOOKUP(A1270,PARTIDAS!$A$2:$I$269,9,FALSE()),1)</f>
        <v>1</v>
      </c>
      <c r="O1270" s="217">
        <f t="shared" si="38"/>
        <v>0</v>
      </c>
      <c r="P1270" s="216">
        <f>IF(O1270=0,0,IF(B1270="MAT",G1270*(1+H1270)*L1270*PLAN_ETAPA!$C$5,IF(B1270="MO",IF(M1270=0,0,G1270*L1270*PLAN_ETAPA!$C$5*N1270/M1270),IF(B1270="EQ",IF(M1270=0,0,G1270*L1270*PLAN_ETAPA!$C$5/M1270),0))))</f>
        <v>0</v>
      </c>
      <c r="Q1270" s="218">
        <f t="shared" si="39"/>
        <v>0</v>
      </c>
    </row>
    <row r="1271" spans="1:17" x14ac:dyDescent="0.35">
      <c r="A1271" s="212" t="str">
        <f>COMPOSICIÓN!A1271</f>
        <v>PTO-1403</v>
      </c>
      <c r="B1271" s="212" t="str">
        <f>COMPOSICIÓN!B1271</f>
        <v>MAT</v>
      </c>
      <c r="C1271" s="212" t="str">
        <f>COMPOSICIÓN!C1271</f>
        <v>OTR</v>
      </c>
      <c r="D1271" s="212" t="str">
        <f>COMPOSICIÓN!D1271</f>
        <v>REV-006</v>
      </c>
      <c r="E1271" s="212" t="str">
        <f>COMPOSICIÓN!E1271</f>
        <v>Placa Roca de Yeso 1220 x 2440 - 12.5mm - STD</v>
      </c>
      <c r="F1271" s="212" t="str">
        <f>COMPOSICIÓN!F1271</f>
        <v>u</v>
      </c>
      <c r="G1271" s="213">
        <f>COMPOSICIÓN!G1271</f>
        <v>0.36</v>
      </c>
      <c r="H1271" s="214">
        <f>COMPOSICIÓN!H1271</f>
        <v>0.1</v>
      </c>
      <c r="I1271" s="215">
        <f>COMPOSICIÓN!I1271</f>
        <v>10022.959999999999</v>
      </c>
      <c r="J1271" s="212" t="str">
        <f>IFERROR(VLOOKUP(A1271,PARTIDAS!$A$2:$C$269,3,FALSE()),"")</f>
        <v>REVOQUES FINOS Y CIELORRASOS</v>
      </c>
      <c r="K1271" s="212" t="str">
        <f>IFERROR(INDEX(PPTO_GENERADOR!$B$4:$B$220,MATCH(A1271,PPTO_GENERADOR!$Q$4:$Q$220,0)),"")</f>
        <v>REVOQUES FINOS Y CIELORRASOS</v>
      </c>
      <c r="L1271" s="216">
        <f>IF(PLAN_ETAPA!$C$4="(TODOS)",SUMIFS(PPTO_GENERADOR!$E$4:$E$220,PPTO_GENERADOR!$Q$4:$Q$220,A1271),SUMIFS(PPTO_GENERADOR!$E$4:$E$220,PPTO_GENERADOR!$Q$4:$Q$220,A1271,PPTO_GENERADOR!$B$4:$B$220,PLAN_ETAPA!$C$4))</f>
        <v>0</v>
      </c>
      <c r="M1271" s="216">
        <f>IFERROR(VLOOKUP(A1271,PARTIDAS!$A$2:$F$269,6,FALSE()),1)</f>
        <v>9.5</v>
      </c>
      <c r="N1271" s="216">
        <f>IFERROR(VLOOKUP(A1271,PARTIDAS!$A$2:$I$269,9,FALSE()),1)</f>
        <v>1</v>
      </c>
      <c r="O1271" s="217">
        <f t="shared" si="38"/>
        <v>0</v>
      </c>
      <c r="P1271" s="216">
        <f>IF(O1271=0,0,IF(B1271="MAT",G1271*(1+H1271)*L1271*PLAN_ETAPA!$C$5,IF(B1271="MO",IF(M1271=0,0,G1271*L1271*PLAN_ETAPA!$C$5*N1271/M1271),IF(B1271="EQ",IF(M1271=0,0,G1271*L1271*PLAN_ETAPA!$C$5/M1271),0))))</f>
        <v>0</v>
      </c>
      <c r="Q1271" s="218">
        <f t="shared" si="39"/>
        <v>0</v>
      </c>
    </row>
    <row r="1272" spans="1:17" x14ac:dyDescent="0.35">
      <c r="A1272" s="212" t="str">
        <f>COMPOSICIÓN!A1272</f>
        <v>PTO-1403</v>
      </c>
      <c r="B1272" s="212" t="str">
        <f>COMPOSICIÓN!B1272</f>
        <v>MO</v>
      </c>
      <c r="C1272" s="212" t="str">
        <f>COMPOSICIÓN!C1272</f>
        <v>ALB</v>
      </c>
      <c r="D1272" s="212" t="str">
        <f>COMPOSICIÓN!D1272</f>
        <v>MO-EMEDI</v>
      </c>
      <c r="E1272" s="212" t="str">
        <f>COMPOSICIÓN!E1272</f>
        <v>MEDIO OFICIAL</v>
      </c>
      <c r="F1272" s="212" t="str">
        <f>COMPOSICIÓN!F1272</f>
        <v>j</v>
      </c>
      <c r="G1272" s="213">
        <f>COMPOSICIÓN!G1272</f>
        <v>1</v>
      </c>
      <c r="H1272" s="214">
        <f>COMPOSICIÓN!H1272</f>
        <v>0</v>
      </c>
      <c r="I1272" s="215">
        <f>COMPOSICIÓN!I1272</f>
        <v>65493.071636572</v>
      </c>
      <c r="J1272" s="212" t="str">
        <f>IFERROR(VLOOKUP(A1272,PARTIDAS!$A$2:$C$269,3,FALSE()),"")</f>
        <v>REVOQUES FINOS Y CIELORRASOS</v>
      </c>
      <c r="K1272" s="212" t="str">
        <f>IFERROR(INDEX(PPTO_GENERADOR!$B$4:$B$220,MATCH(A1272,PPTO_GENERADOR!$Q$4:$Q$220,0)),"")</f>
        <v>REVOQUES FINOS Y CIELORRASOS</v>
      </c>
      <c r="L1272" s="216">
        <f>IF(PLAN_ETAPA!$C$4="(TODOS)",SUMIFS(PPTO_GENERADOR!$E$4:$E$220,PPTO_GENERADOR!$Q$4:$Q$220,A1272),SUMIFS(PPTO_GENERADOR!$E$4:$E$220,PPTO_GENERADOR!$Q$4:$Q$220,A1272,PPTO_GENERADOR!$B$4:$B$220,PLAN_ETAPA!$C$4))</f>
        <v>0</v>
      </c>
      <c r="M1272" s="216">
        <f>IFERROR(VLOOKUP(A1272,PARTIDAS!$A$2:$F$269,6,FALSE()),1)</f>
        <v>9.5</v>
      </c>
      <c r="N1272" s="216">
        <f>IFERROR(VLOOKUP(A1272,PARTIDAS!$A$2:$I$269,9,FALSE()),1)</f>
        <v>1</v>
      </c>
      <c r="O1272" s="217">
        <f t="shared" si="38"/>
        <v>0</v>
      </c>
      <c r="P1272" s="216">
        <f>IF(O1272=0,0,IF(B1272="MAT",G1272*(1+H1272)*L1272*PLAN_ETAPA!$C$5,IF(B1272="MO",IF(M1272=0,0,G1272*L1272*PLAN_ETAPA!$C$5*N1272/M1272),IF(B1272="EQ",IF(M1272=0,0,G1272*L1272*PLAN_ETAPA!$C$5/M1272),0))))</f>
        <v>0</v>
      </c>
      <c r="Q1272" s="218">
        <f t="shared" si="39"/>
        <v>0</v>
      </c>
    </row>
    <row r="1273" spans="1:17" x14ac:dyDescent="0.35">
      <c r="A1273" s="212" t="str">
        <f>COMPOSICIÓN!A1273</f>
        <v>PTO-1403</v>
      </c>
      <c r="B1273" s="212" t="str">
        <f>COMPOSICIÓN!B1273</f>
        <v>MO</v>
      </c>
      <c r="C1273" s="212" t="str">
        <f>COMPOSICIÓN!C1273</f>
        <v>ALB</v>
      </c>
      <c r="D1273" s="212" t="str">
        <f>COMPOSICIÓN!D1273</f>
        <v>MO-EESPE</v>
      </c>
      <c r="E1273" s="212" t="str">
        <f>COMPOSICIÓN!E1273</f>
        <v>ESPECIALIZADO</v>
      </c>
      <c r="F1273" s="212" t="str">
        <f>COMPOSICIÓN!F1273</f>
        <v>j</v>
      </c>
      <c r="G1273" s="213">
        <f>COMPOSICIÓN!G1273</f>
        <v>1</v>
      </c>
      <c r="H1273" s="214">
        <f>COMPOSICIÓN!H1273</f>
        <v>0</v>
      </c>
      <c r="I1273" s="215">
        <f>COMPOSICIÓN!I1273</f>
        <v>85927.097156571996</v>
      </c>
      <c r="J1273" s="212" t="str">
        <f>IFERROR(VLOOKUP(A1273,PARTIDAS!$A$2:$C$269,3,FALSE()),"")</f>
        <v>REVOQUES FINOS Y CIELORRASOS</v>
      </c>
      <c r="K1273" s="212" t="str">
        <f>IFERROR(INDEX(PPTO_GENERADOR!$B$4:$B$220,MATCH(A1273,PPTO_GENERADOR!$Q$4:$Q$220,0)),"")</f>
        <v>REVOQUES FINOS Y CIELORRASOS</v>
      </c>
      <c r="L1273" s="216">
        <f>IF(PLAN_ETAPA!$C$4="(TODOS)",SUMIFS(PPTO_GENERADOR!$E$4:$E$220,PPTO_GENERADOR!$Q$4:$Q$220,A1273),SUMIFS(PPTO_GENERADOR!$E$4:$E$220,PPTO_GENERADOR!$Q$4:$Q$220,A1273,PPTO_GENERADOR!$B$4:$B$220,PLAN_ETAPA!$C$4))</f>
        <v>0</v>
      </c>
      <c r="M1273" s="216">
        <f>IFERROR(VLOOKUP(A1273,PARTIDAS!$A$2:$F$269,6,FALSE()),1)</f>
        <v>9.5</v>
      </c>
      <c r="N1273" s="216">
        <f>IFERROR(VLOOKUP(A1273,PARTIDAS!$A$2:$I$269,9,FALSE()),1)</f>
        <v>1</v>
      </c>
      <c r="O1273" s="217">
        <f t="shared" si="38"/>
        <v>0</v>
      </c>
      <c r="P1273" s="216">
        <f>IF(O1273=0,0,IF(B1273="MAT",G1273*(1+H1273)*L1273*PLAN_ETAPA!$C$5,IF(B1273="MO",IF(M1273=0,0,G1273*L1273*PLAN_ETAPA!$C$5*N1273/M1273),IF(B1273="EQ",IF(M1273=0,0,G1273*L1273*PLAN_ETAPA!$C$5/M1273),0))))</f>
        <v>0</v>
      </c>
      <c r="Q1273" s="218">
        <f t="shared" si="39"/>
        <v>0</v>
      </c>
    </row>
    <row r="1274" spans="1:17" x14ac:dyDescent="0.35">
      <c r="A1274" s="212" t="str">
        <f>COMPOSICIÓN!A1274</f>
        <v>PTO-1404</v>
      </c>
      <c r="B1274" s="212" t="str">
        <f>COMPOSICIÓN!B1274</f>
        <v>EQ</v>
      </c>
      <c r="C1274" s="212">
        <f>COMPOSICIÓN!C1274</f>
        <v>0</v>
      </c>
      <c r="D1274" s="212" t="str">
        <f>COMPOSICIÓN!D1274</f>
        <v>EQ-ESCALE</v>
      </c>
      <c r="E1274" s="212" t="str">
        <f>COMPOSICIÓN!E1274</f>
        <v>ESCALERA GLOSS ALUMINIO ARTICULADA 4 X 4 ESCALONES HASTA 150KG</v>
      </c>
      <c r="F1274" s="212">
        <f>COMPOSICIÓN!F1274</f>
        <v>0</v>
      </c>
      <c r="G1274" s="213">
        <f>COMPOSICIÓN!G1274</f>
        <v>1</v>
      </c>
      <c r="H1274" s="214">
        <f>COMPOSICIÓN!H1274</f>
        <v>0</v>
      </c>
      <c r="I1274" s="215">
        <f>COMPOSICIÓN!I1274</f>
        <v>140.19809259430903</v>
      </c>
      <c r="J1274" s="212" t="str">
        <f>IFERROR(VLOOKUP(A1274,PARTIDAS!$A$2:$C$269,3,FALSE()),"")</f>
        <v>REVOQUES FINOS Y CIELORRASOS</v>
      </c>
      <c r="K1274" s="212" t="str">
        <f>IFERROR(INDEX(PPTO_GENERADOR!$B$4:$B$220,MATCH(A1274,PPTO_GENERADOR!$Q$4:$Q$220,0)),"")</f>
        <v>REVOQUES FINOS Y CIELORRASOS</v>
      </c>
      <c r="L1274" s="216">
        <f>IF(PLAN_ETAPA!$C$4="(TODOS)",SUMIFS(PPTO_GENERADOR!$E$4:$E$220,PPTO_GENERADOR!$Q$4:$Q$220,A1274),SUMIFS(PPTO_GENERADOR!$E$4:$E$220,PPTO_GENERADOR!$Q$4:$Q$220,A1274,PPTO_GENERADOR!$B$4:$B$220,PLAN_ETAPA!$C$4))</f>
        <v>0</v>
      </c>
      <c r="M1274" s="216">
        <f>IFERROR(VLOOKUP(A1274,PARTIDAS!$A$2:$F$269,6,FALSE()),1)</f>
        <v>9.5</v>
      </c>
      <c r="N1274" s="216">
        <f>IFERROR(VLOOKUP(A1274,PARTIDAS!$A$2:$I$269,9,FALSE()),1)</f>
        <v>1</v>
      </c>
      <c r="O1274" s="217">
        <f t="shared" si="38"/>
        <v>0</v>
      </c>
      <c r="P1274" s="216">
        <f>IF(O1274=0,0,IF(B1274="MAT",G1274*(1+H1274)*L1274*PLAN_ETAPA!$C$5,IF(B1274="MO",IF(M1274=0,0,G1274*L1274*PLAN_ETAPA!$C$5*N1274/M1274),IF(B1274="EQ",IF(M1274=0,0,G1274*L1274*PLAN_ETAPA!$C$5/M1274),0))))</f>
        <v>0</v>
      </c>
      <c r="Q1274" s="218">
        <f t="shared" si="39"/>
        <v>0</v>
      </c>
    </row>
    <row r="1275" spans="1:17" x14ac:dyDescent="0.35">
      <c r="A1275" s="212" t="str">
        <f>COMPOSICIÓN!A1275</f>
        <v>PTO-1404</v>
      </c>
      <c r="B1275" s="212" t="str">
        <f>COMPOSICIÓN!B1275</f>
        <v>EQ</v>
      </c>
      <c r="C1275" s="212">
        <f>COMPOSICIÓN!C1275</f>
        <v>0</v>
      </c>
      <c r="D1275" s="212" t="str">
        <f>COMPOSICIÓN!D1275</f>
        <v>EQ-PTO024</v>
      </c>
      <c r="E1275" s="212" t="str">
        <f>COMPOSICIÓN!E1275</f>
        <v>EQUIPO DE CONSTRUCCION EN SECO</v>
      </c>
      <c r="F1275" s="212">
        <f>COMPOSICIÓN!F1275</f>
        <v>0</v>
      </c>
      <c r="G1275" s="213">
        <f>COMPOSICIÓN!G1275</f>
        <v>1</v>
      </c>
      <c r="H1275" s="214">
        <f>COMPOSICIÓN!H1275</f>
        <v>0</v>
      </c>
      <c r="I1275" s="215">
        <f>COMPOSICIÓN!I1275</f>
        <v>2365.2381485799501</v>
      </c>
      <c r="J1275" s="212" t="str">
        <f>IFERROR(VLOOKUP(A1275,PARTIDAS!$A$2:$C$269,3,FALSE()),"")</f>
        <v>REVOQUES FINOS Y CIELORRASOS</v>
      </c>
      <c r="K1275" s="212" t="str">
        <f>IFERROR(INDEX(PPTO_GENERADOR!$B$4:$B$220,MATCH(A1275,PPTO_GENERADOR!$Q$4:$Q$220,0)),"")</f>
        <v>REVOQUES FINOS Y CIELORRASOS</v>
      </c>
      <c r="L1275" s="216">
        <f>IF(PLAN_ETAPA!$C$4="(TODOS)",SUMIFS(PPTO_GENERADOR!$E$4:$E$220,PPTO_GENERADOR!$Q$4:$Q$220,A1275),SUMIFS(PPTO_GENERADOR!$E$4:$E$220,PPTO_GENERADOR!$Q$4:$Q$220,A1275,PPTO_GENERADOR!$B$4:$B$220,PLAN_ETAPA!$C$4))</f>
        <v>0</v>
      </c>
      <c r="M1275" s="216">
        <f>IFERROR(VLOOKUP(A1275,PARTIDAS!$A$2:$F$269,6,FALSE()),1)</f>
        <v>9.5</v>
      </c>
      <c r="N1275" s="216">
        <f>IFERROR(VLOOKUP(A1275,PARTIDAS!$A$2:$I$269,9,FALSE()),1)</f>
        <v>1</v>
      </c>
      <c r="O1275" s="217">
        <f t="shared" si="38"/>
        <v>0</v>
      </c>
      <c r="P1275" s="216">
        <f>IF(O1275=0,0,IF(B1275="MAT",G1275*(1+H1275)*L1275*PLAN_ETAPA!$C$5,IF(B1275="MO",IF(M1275=0,0,G1275*L1275*PLAN_ETAPA!$C$5*N1275/M1275),IF(B1275="EQ",IF(M1275=0,0,G1275*L1275*PLAN_ETAPA!$C$5/M1275),0))))</f>
        <v>0</v>
      </c>
      <c r="Q1275" s="218">
        <f t="shared" si="39"/>
        <v>0</v>
      </c>
    </row>
    <row r="1276" spans="1:17" x14ac:dyDescent="0.35">
      <c r="A1276" s="212" t="str">
        <f>COMPOSICIÓN!A1276</f>
        <v>PTO-1404</v>
      </c>
      <c r="B1276" s="212" t="str">
        <f>COMPOSICIÓN!B1276</f>
        <v>MAT</v>
      </c>
      <c r="C1276" s="212" t="str">
        <f>COMPOSICIÓN!C1276</f>
        <v>OTR</v>
      </c>
      <c r="D1276" s="212" t="str">
        <f>COMPOSICIÓN!D1276</f>
        <v>DUR-001</v>
      </c>
      <c r="E1276" s="212" t="str">
        <f>COMPOSICIÓN!E1276</f>
        <v>Solera 70mm x 2.60m</v>
      </c>
      <c r="F1276" s="212" t="str">
        <f>COMPOSICIÓN!F1276</f>
        <v>u</v>
      </c>
      <c r="G1276" s="213">
        <f>COMPOSICIÓN!G1276</f>
        <v>0.507692307692308</v>
      </c>
      <c r="H1276" s="214">
        <f>COMPOSICIÓN!H1276</f>
        <v>0.1</v>
      </c>
      <c r="I1276" s="215">
        <f>COMPOSICIÓN!I1276</f>
        <v>2932.93</v>
      </c>
      <c r="J1276" s="212" t="str">
        <f>IFERROR(VLOOKUP(A1276,PARTIDAS!$A$2:$C$269,3,FALSE()),"")</f>
        <v>REVOQUES FINOS Y CIELORRASOS</v>
      </c>
      <c r="K1276" s="212" t="str">
        <f>IFERROR(INDEX(PPTO_GENERADOR!$B$4:$B$220,MATCH(A1276,PPTO_GENERADOR!$Q$4:$Q$220,0)),"")</f>
        <v>REVOQUES FINOS Y CIELORRASOS</v>
      </c>
      <c r="L1276" s="216">
        <f>IF(PLAN_ETAPA!$C$4="(TODOS)",SUMIFS(PPTO_GENERADOR!$E$4:$E$220,PPTO_GENERADOR!$Q$4:$Q$220,A1276),SUMIFS(PPTO_GENERADOR!$E$4:$E$220,PPTO_GENERADOR!$Q$4:$Q$220,A1276,PPTO_GENERADOR!$B$4:$B$220,PLAN_ETAPA!$C$4))</f>
        <v>0</v>
      </c>
      <c r="M1276" s="216">
        <f>IFERROR(VLOOKUP(A1276,PARTIDAS!$A$2:$F$269,6,FALSE()),1)</f>
        <v>9.5</v>
      </c>
      <c r="N1276" s="216">
        <f>IFERROR(VLOOKUP(A1276,PARTIDAS!$A$2:$I$269,9,FALSE()),1)</f>
        <v>1</v>
      </c>
      <c r="O1276" s="217">
        <f t="shared" si="38"/>
        <v>0</v>
      </c>
      <c r="P1276" s="216">
        <f>IF(O1276=0,0,IF(B1276="MAT",G1276*(1+H1276)*L1276*PLAN_ETAPA!$C$5,IF(B1276="MO",IF(M1276=0,0,G1276*L1276*PLAN_ETAPA!$C$5*N1276/M1276),IF(B1276="EQ",IF(M1276=0,0,G1276*L1276*PLAN_ETAPA!$C$5/M1276),0))))</f>
        <v>0</v>
      </c>
      <c r="Q1276" s="218">
        <f t="shared" si="39"/>
        <v>0</v>
      </c>
    </row>
    <row r="1277" spans="1:17" x14ac:dyDescent="0.35">
      <c r="A1277" s="212" t="str">
        <f>COMPOSICIÓN!A1277</f>
        <v>PTO-1404</v>
      </c>
      <c r="B1277" s="212" t="str">
        <f>COMPOSICIÓN!B1277</f>
        <v>MAT</v>
      </c>
      <c r="C1277" s="212" t="str">
        <f>COMPOSICIÓN!C1277</f>
        <v>OTR</v>
      </c>
      <c r="D1277" s="212" t="str">
        <f>COMPOSICIÓN!D1277</f>
        <v>DUR-002</v>
      </c>
      <c r="E1277" s="212" t="str">
        <f>COMPOSICIÓN!E1277</f>
        <v>Montante 69mm x 2.60m</v>
      </c>
      <c r="F1277" s="212" t="str">
        <f>COMPOSICIÓN!F1277</f>
        <v>u</v>
      </c>
      <c r="G1277" s="213">
        <f>COMPOSICIÓN!G1277</f>
        <v>1.2307692307692299</v>
      </c>
      <c r="H1277" s="214">
        <f>COMPOSICIÓN!H1277</f>
        <v>0.1</v>
      </c>
      <c r="I1277" s="215">
        <f>COMPOSICIÓN!I1277</f>
        <v>3295.47</v>
      </c>
      <c r="J1277" s="212" t="str">
        <f>IFERROR(VLOOKUP(A1277,PARTIDAS!$A$2:$C$269,3,FALSE()),"")</f>
        <v>REVOQUES FINOS Y CIELORRASOS</v>
      </c>
      <c r="K1277" s="212" t="str">
        <f>IFERROR(INDEX(PPTO_GENERADOR!$B$4:$B$220,MATCH(A1277,PPTO_GENERADOR!$Q$4:$Q$220,0)),"")</f>
        <v>REVOQUES FINOS Y CIELORRASOS</v>
      </c>
      <c r="L1277" s="216">
        <f>IF(PLAN_ETAPA!$C$4="(TODOS)",SUMIFS(PPTO_GENERADOR!$E$4:$E$220,PPTO_GENERADOR!$Q$4:$Q$220,A1277),SUMIFS(PPTO_GENERADOR!$E$4:$E$220,PPTO_GENERADOR!$Q$4:$Q$220,A1277,PPTO_GENERADOR!$B$4:$B$220,PLAN_ETAPA!$C$4))</f>
        <v>0</v>
      </c>
      <c r="M1277" s="216">
        <f>IFERROR(VLOOKUP(A1277,PARTIDAS!$A$2:$F$269,6,FALSE()),1)</f>
        <v>9.5</v>
      </c>
      <c r="N1277" s="216">
        <f>IFERROR(VLOOKUP(A1277,PARTIDAS!$A$2:$I$269,9,FALSE()),1)</f>
        <v>1</v>
      </c>
      <c r="O1277" s="217">
        <f t="shared" si="38"/>
        <v>0</v>
      </c>
      <c r="P1277" s="216">
        <f>IF(O1277=0,0,IF(B1277="MAT",G1277*(1+H1277)*L1277*PLAN_ETAPA!$C$5,IF(B1277="MO",IF(M1277=0,0,G1277*L1277*PLAN_ETAPA!$C$5*N1277/M1277),IF(B1277="EQ",IF(M1277=0,0,G1277*L1277*PLAN_ETAPA!$C$5/M1277),0))))</f>
        <v>0</v>
      </c>
      <c r="Q1277" s="218">
        <f t="shared" si="39"/>
        <v>0</v>
      </c>
    </row>
    <row r="1278" spans="1:17" x14ac:dyDescent="0.35">
      <c r="A1278" s="212" t="str">
        <f>COMPOSICIÓN!A1278</f>
        <v>PTO-1404</v>
      </c>
      <c r="B1278" s="212" t="str">
        <f>COMPOSICIÓN!B1278</f>
        <v>MAT</v>
      </c>
      <c r="C1278" s="212" t="str">
        <f>COMPOSICIÓN!C1278</f>
        <v>OTR</v>
      </c>
      <c r="D1278" s="212" t="str">
        <f>COMPOSICIÓN!D1278</f>
        <v>DUR-005</v>
      </c>
      <c r="E1278" s="212" t="str">
        <f>COMPOSICIÓN!E1278</f>
        <v>Masilla x 32kg</v>
      </c>
      <c r="F1278" s="212" t="str">
        <f>COMPOSICIÓN!F1278</f>
        <v>u</v>
      </c>
      <c r="G1278" s="213">
        <f>COMPOSICIÓN!G1278</f>
        <v>2.8125000000000001E-2</v>
      </c>
      <c r="H1278" s="214">
        <f>COMPOSICIÓN!H1278</f>
        <v>0.05</v>
      </c>
      <c r="I1278" s="215">
        <f>COMPOSICIÓN!I1278</f>
        <v>26872.02</v>
      </c>
      <c r="J1278" s="212" t="str">
        <f>IFERROR(VLOOKUP(A1278,PARTIDAS!$A$2:$C$269,3,FALSE()),"")</f>
        <v>REVOQUES FINOS Y CIELORRASOS</v>
      </c>
      <c r="K1278" s="212" t="str">
        <f>IFERROR(INDEX(PPTO_GENERADOR!$B$4:$B$220,MATCH(A1278,PPTO_GENERADOR!$Q$4:$Q$220,0)),"")</f>
        <v>REVOQUES FINOS Y CIELORRASOS</v>
      </c>
      <c r="L1278" s="216">
        <f>IF(PLAN_ETAPA!$C$4="(TODOS)",SUMIFS(PPTO_GENERADOR!$E$4:$E$220,PPTO_GENERADOR!$Q$4:$Q$220,A1278),SUMIFS(PPTO_GENERADOR!$E$4:$E$220,PPTO_GENERADOR!$Q$4:$Q$220,A1278,PPTO_GENERADOR!$B$4:$B$220,PLAN_ETAPA!$C$4))</f>
        <v>0</v>
      </c>
      <c r="M1278" s="216">
        <f>IFERROR(VLOOKUP(A1278,PARTIDAS!$A$2:$F$269,6,FALSE()),1)</f>
        <v>9.5</v>
      </c>
      <c r="N1278" s="216">
        <f>IFERROR(VLOOKUP(A1278,PARTIDAS!$A$2:$I$269,9,FALSE()),1)</f>
        <v>1</v>
      </c>
      <c r="O1278" s="217">
        <f t="shared" si="38"/>
        <v>0</v>
      </c>
      <c r="P1278" s="216">
        <f>IF(O1278=0,0,IF(B1278="MAT",G1278*(1+H1278)*L1278*PLAN_ETAPA!$C$5,IF(B1278="MO",IF(M1278=0,0,G1278*L1278*PLAN_ETAPA!$C$5*N1278/M1278),IF(B1278="EQ",IF(M1278=0,0,G1278*L1278*PLAN_ETAPA!$C$5/M1278),0))))</f>
        <v>0</v>
      </c>
      <c r="Q1278" s="218">
        <f t="shared" si="39"/>
        <v>0</v>
      </c>
    </row>
    <row r="1279" spans="1:17" x14ac:dyDescent="0.35">
      <c r="A1279" s="212" t="str">
        <f>COMPOSICIÓN!A1279</f>
        <v>PTO-1404</v>
      </c>
      <c r="B1279" s="212" t="str">
        <f>COMPOSICIÓN!B1279</f>
        <v>MAT</v>
      </c>
      <c r="C1279" s="212" t="str">
        <f>COMPOSICIÓN!C1279</f>
        <v>OTR</v>
      </c>
      <c r="D1279" s="212" t="str">
        <f>COMPOSICIÓN!D1279</f>
        <v>OTR-007</v>
      </c>
      <c r="E1279" s="212" t="str">
        <f>COMPOSICIÓN!E1279</f>
        <v>Tornillo T1 - Aguja</v>
      </c>
      <c r="F1279" s="212" t="str">
        <f>COMPOSICIÓN!F1279</f>
        <v>u</v>
      </c>
      <c r="G1279" s="213">
        <f>COMPOSICIÓN!G1279</f>
        <v>16</v>
      </c>
      <c r="H1279" s="214">
        <f>COMPOSICIÓN!H1279</f>
        <v>0.05</v>
      </c>
      <c r="I1279" s="215">
        <f>COMPOSICIÓN!I1279</f>
        <v>32.707173553719002</v>
      </c>
      <c r="J1279" s="212" t="str">
        <f>IFERROR(VLOOKUP(A1279,PARTIDAS!$A$2:$C$269,3,FALSE()),"")</f>
        <v>REVOQUES FINOS Y CIELORRASOS</v>
      </c>
      <c r="K1279" s="212" t="str">
        <f>IFERROR(INDEX(PPTO_GENERADOR!$B$4:$B$220,MATCH(A1279,PPTO_GENERADOR!$Q$4:$Q$220,0)),"")</f>
        <v>REVOQUES FINOS Y CIELORRASOS</v>
      </c>
      <c r="L1279" s="216">
        <f>IF(PLAN_ETAPA!$C$4="(TODOS)",SUMIFS(PPTO_GENERADOR!$E$4:$E$220,PPTO_GENERADOR!$Q$4:$Q$220,A1279),SUMIFS(PPTO_GENERADOR!$E$4:$E$220,PPTO_GENERADOR!$Q$4:$Q$220,A1279,PPTO_GENERADOR!$B$4:$B$220,PLAN_ETAPA!$C$4))</f>
        <v>0</v>
      </c>
      <c r="M1279" s="216">
        <f>IFERROR(VLOOKUP(A1279,PARTIDAS!$A$2:$F$269,6,FALSE()),1)</f>
        <v>9.5</v>
      </c>
      <c r="N1279" s="216">
        <f>IFERROR(VLOOKUP(A1279,PARTIDAS!$A$2:$I$269,9,FALSE()),1)</f>
        <v>1</v>
      </c>
      <c r="O1279" s="217">
        <f t="shared" si="38"/>
        <v>0</v>
      </c>
      <c r="P1279" s="216">
        <f>IF(O1279=0,0,IF(B1279="MAT",G1279*(1+H1279)*L1279*PLAN_ETAPA!$C$5,IF(B1279="MO",IF(M1279=0,0,G1279*L1279*PLAN_ETAPA!$C$5*N1279/M1279),IF(B1279="EQ",IF(M1279=0,0,G1279*L1279*PLAN_ETAPA!$C$5/M1279),0))))</f>
        <v>0</v>
      </c>
      <c r="Q1279" s="218">
        <f t="shared" si="39"/>
        <v>0</v>
      </c>
    </row>
    <row r="1280" spans="1:17" x14ac:dyDescent="0.35">
      <c r="A1280" s="212" t="str">
        <f>COMPOSICIÓN!A1280</f>
        <v>PTO-1404</v>
      </c>
      <c r="B1280" s="212" t="str">
        <f>COMPOSICIÓN!B1280</f>
        <v>MAT</v>
      </c>
      <c r="C1280" s="212" t="str">
        <f>COMPOSICIÓN!C1280</f>
        <v>OTR</v>
      </c>
      <c r="D1280" s="212" t="str">
        <f>COMPOSICIÓN!D1280</f>
        <v>OTR-008</v>
      </c>
      <c r="E1280" s="212" t="str">
        <f>COMPOSICIÓN!E1280</f>
        <v>Tornillo T2 - Aguja</v>
      </c>
      <c r="F1280" s="212" t="str">
        <f>COMPOSICIÓN!F1280</f>
        <v>u</v>
      </c>
      <c r="G1280" s="213">
        <f>COMPOSICIÓN!G1280</f>
        <v>18</v>
      </c>
      <c r="H1280" s="214">
        <f>COMPOSICIÓN!H1280</f>
        <v>0.05</v>
      </c>
      <c r="I1280" s="215">
        <f>COMPOSICIÓN!I1280</f>
        <v>17.1963177226814</v>
      </c>
      <c r="J1280" s="212" t="str">
        <f>IFERROR(VLOOKUP(A1280,PARTIDAS!$A$2:$C$269,3,FALSE()),"")</f>
        <v>REVOQUES FINOS Y CIELORRASOS</v>
      </c>
      <c r="K1280" s="212" t="str">
        <f>IFERROR(INDEX(PPTO_GENERADOR!$B$4:$B$220,MATCH(A1280,PPTO_GENERADOR!$Q$4:$Q$220,0)),"")</f>
        <v>REVOQUES FINOS Y CIELORRASOS</v>
      </c>
      <c r="L1280" s="216">
        <f>IF(PLAN_ETAPA!$C$4="(TODOS)",SUMIFS(PPTO_GENERADOR!$E$4:$E$220,PPTO_GENERADOR!$Q$4:$Q$220,A1280),SUMIFS(PPTO_GENERADOR!$E$4:$E$220,PPTO_GENERADOR!$Q$4:$Q$220,A1280,PPTO_GENERADOR!$B$4:$B$220,PLAN_ETAPA!$C$4))</f>
        <v>0</v>
      </c>
      <c r="M1280" s="216">
        <f>IFERROR(VLOOKUP(A1280,PARTIDAS!$A$2:$F$269,6,FALSE()),1)</f>
        <v>9.5</v>
      </c>
      <c r="N1280" s="216">
        <f>IFERROR(VLOOKUP(A1280,PARTIDAS!$A$2:$I$269,9,FALSE()),1)</f>
        <v>1</v>
      </c>
      <c r="O1280" s="217">
        <f t="shared" si="38"/>
        <v>0</v>
      </c>
      <c r="P1280" s="216">
        <f>IF(O1280=0,0,IF(B1280="MAT",G1280*(1+H1280)*L1280*PLAN_ETAPA!$C$5,IF(B1280="MO",IF(M1280=0,0,G1280*L1280*PLAN_ETAPA!$C$5*N1280/M1280),IF(B1280="EQ",IF(M1280=0,0,G1280*L1280*PLAN_ETAPA!$C$5/M1280),0))))</f>
        <v>0</v>
      </c>
      <c r="Q1280" s="218">
        <f t="shared" si="39"/>
        <v>0</v>
      </c>
    </row>
    <row r="1281" spans="1:17" x14ac:dyDescent="0.35">
      <c r="A1281" s="212" t="str">
        <f>COMPOSICIÓN!A1281</f>
        <v>PTO-1404</v>
      </c>
      <c r="B1281" s="212" t="str">
        <f>COMPOSICIÓN!B1281</f>
        <v>MAT</v>
      </c>
      <c r="C1281" s="212" t="str">
        <f>COMPOSICIÓN!C1281</f>
        <v>OTR</v>
      </c>
      <c r="D1281" s="212" t="str">
        <f>COMPOSICIÓN!D1281</f>
        <v>OTR-010</v>
      </c>
      <c r="E1281" s="212" t="str">
        <f>COMPOSICIÓN!E1281</f>
        <v>Fijacion completa del 8</v>
      </c>
      <c r="F1281" s="212" t="str">
        <f>COMPOSICIÓN!F1281</f>
        <v>u</v>
      </c>
      <c r="G1281" s="213">
        <f>COMPOSICIÓN!G1281</f>
        <v>6</v>
      </c>
      <c r="H1281" s="214">
        <f>COMPOSICIÓN!H1281</f>
        <v>0.05</v>
      </c>
      <c r="I1281" s="215">
        <f>COMPOSICIÓN!I1281</f>
        <v>65.919008264462803</v>
      </c>
      <c r="J1281" s="212" t="str">
        <f>IFERROR(VLOOKUP(A1281,PARTIDAS!$A$2:$C$269,3,FALSE()),"")</f>
        <v>REVOQUES FINOS Y CIELORRASOS</v>
      </c>
      <c r="K1281" s="212" t="str">
        <f>IFERROR(INDEX(PPTO_GENERADOR!$B$4:$B$220,MATCH(A1281,PPTO_GENERADOR!$Q$4:$Q$220,0)),"")</f>
        <v>REVOQUES FINOS Y CIELORRASOS</v>
      </c>
      <c r="L1281" s="216">
        <f>IF(PLAN_ETAPA!$C$4="(TODOS)",SUMIFS(PPTO_GENERADOR!$E$4:$E$220,PPTO_GENERADOR!$Q$4:$Q$220,A1281),SUMIFS(PPTO_GENERADOR!$E$4:$E$220,PPTO_GENERADOR!$Q$4:$Q$220,A1281,PPTO_GENERADOR!$B$4:$B$220,PLAN_ETAPA!$C$4))</f>
        <v>0</v>
      </c>
      <c r="M1281" s="216">
        <f>IFERROR(VLOOKUP(A1281,PARTIDAS!$A$2:$F$269,6,FALSE()),1)</f>
        <v>9.5</v>
      </c>
      <c r="N1281" s="216">
        <f>IFERROR(VLOOKUP(A1281,PARTIDAS!$A$2:$I$269,9,FALSE()),1)</f>
        <v>1</v>
      </c>
      <c r="O1281" s="217">
        <f t="shared" si="38"/>
        <v>0</v>
      </c>
      <c r="P1281" s="216">
        <f>IF(O1281=0,0,IF(B1281="MAT",G1281*(1+H1281)*L1281*PLAN_ETAPA!$C$5,IF(B1281="MO",IF(M1281=0,0,G1281*L1281*PLAN_ETAPA!$C$5*N1281/M1281),IF(B1281="EQ",IF(M1281=0,0,G1281*L1281*PLAN_ETAPA!$C$5/M1281),0))))</f>
        <v>0</v>
      </c>
      <c r="Q1281" s="218">
        <f t="shared" si="39"/>
        <v>0</v>
      </c>
    </row>
    <row r="1282" spans="1:17" x14ac:dyDescent="0.35">
      <c r="A1282" s="212" t="str">
        <f>COMPOSICIÓN!A1282</f>
        <v>PTO-1404</v>
      </c>
      <c r="B1282" s="212" t="str">
        <f>COMPOSICIÓN!B1282</f>
        <v>MAT</v>
      </c>
      <c r="C1282" s="212" t="str">
        <f>COMPOSICIÓN!C1282</f>
        <v>OTR</v>
      </c>
      <c r="D1282" s="212" t="str">
        <f>COMPOSICIÓN!D1282</f>
        <v>OTR-011</v>
      </c>
      <c r="E1282" s="212" t="str">
        <f>COMPOSICIÓN!E1282</f>
        <v>Cinta Entramada - 90m</v>
      </c>
      <c r="F1282" s="212" t="str">
        <f>COMPOSICIÓN!F1282</f>
        <v>u</v>
      </c>
      <c r="G1282" s="213">
        <f>COMPOSICIÓN!G1282</f>
        <v>1.8333333333333299E-2</v>
      </c>
      <c r="H1282" s="214">
        <f>COMPOSICIÓN!H1282</f>
        <v>0.05</v>
      </c>
      <c r="I1282" s="215">
        <f>COMPOSICIÓN!I1282</f>
        <v>4042.71</v>
      </c>
      <c r="J1282" s="212" t="str">
        <f>IFERROR(VLOOKUP(A1282,PARTIDAS!$A$2:$C$269,3,FALSE()),"")</f>
        <v>REVOQUES FINOS Y CIELORRASOS</v>
      </c>
      <c r="K1282" s="212" t="str">
        <f>IFERROR(INDEX(PPTO_GENERADOR!$B$4:$B$220,MATCH(A1282,PPTO_GENERADOR!$Q$4:$Q$220,0)),"")</f>
        <v>REVOQUES FINOS Y CIELORRASOS</v>
      </c>
      <c r="L1282" s="216">
        <f>IF(PLAN_ETAPA!$C$4="(TODOS)",SUMIFS(PPTO_GENERADOR!$E$4:$E$220,PPTO_GENERADOR!$Q$4:$Q$220,A1282),SUMIFS(PPTO_GENERADOR!$E$4:$E$220,PPTO_GENERADOR!$Q$4:$Q$220,A1282,PPTO_GENERADOR!$B$4:$B$220,PLAN_ETAPA!$C$4))</f>
        <v>0</v>
      </c>
      <c r="M1282" s="216">
        <f>IFERROR(VLOOKUP(A1282,PARTIDAS!$A$2:$F$269,6,FALSE()),1)</f>
        <v>9.5</v>
      </c>
      <c r="N1282" s="216">
        <f>IFERROR(VLOOKUP(A1282,PARTIDAS!$A$2:$I$269,9,FALSE()),1)</f>
        <v>1</v>
      </c>
      <c r="O1282" s="217">
        <f t="shared" ref="O1282:O1345" si="40">IF(L1282&gt;0,1,0)</f>
        <v>0</v>
      </c>
      <c r="P1282" s="216">
        <f>IF(O1282=0,0,IF(B1282="MAT",G1282*(1+H1282)*L1282*PLAN_ETAPA!$C$5,IF(B1282="MO",IF(M1282=0,0,G1282*L1282*PLAN_ETAPA!$C$5*N1282/M1282),IF(B1282="EQ",IF(M1282=0,0,G1282*L1282*PLAN_ETAPA!$C$5/M1282),0))))</f>
        <v>0</v>
      </c>
      <c r="Q1282" s="218">
        <f t="shared" ref="Q1282:Q1345" si="41">P1282*I1282</f>
        <v>0</v>
      </c>
    </row>
    <row r="1283" spans="1:17" x14ac:dyDescent="0.35">
      <c r="A1283" s="212" t="str">
        <f>COMPOSICIÓN!A1283</f>
        <v>PTO-1404</v>
      </c>
      <c r="B1283" s="212" t="str">
        <f>COMPOSICIÓN!B1283</f>
        <v>MAT</v>
      </c>
      <c r="C1283" s="212" t="str">
        <f>COMPOSICIÓN!C1283</f>
        <v>OTR</v>
      </c>
      <c r="D1283" s="212" t="str">
        <f>COMPOSICIÓN!D1283</f>
        <v>REV-007</v>
      </c>
      <c r="E1283" s="212" t="str">
        <f>COMPOSICIÓN!E1283</f>
        <v>Placa Roca de Yeso 1220 x 2440 - 12.5mm - RH</v>
      </c>
      <c r="F1283" s="212" t="str">
        <f>COMPOSICIÓN!F1283</f>
        <v>u</v>
      </c>
      <c r="G1283" s="213">
        <f>COMPOSICIÓN!G1283</f>
        <v>0.36</v>
      </c>
      <c r="H1283" s="214">
        <f>COMPOSICIÓN!H1283</f>
        <v>0.1</v>
      </c>
      <c r="I1283" s="215">
        <f>COMPOSICIÓN!I1283</f>
        <v>16160.1</v>
      </c>
      <c r="J1283" s="212" t="str">
        <f>IFERROR(VLOOKUP(A1283,PARTIDAS!$A$2:$C$269,3,FALSE()),"")</f>
        <v>REVOQUES FINOS Y CIELORRASOS</v>
      </c>
      <c r="K1283" s="212" t="str">
        <f>IFERROR(INDEX(PPTO_GENERADOR!$B$4:$B$220,MATCH(A1283,PPTO_GENERADOR!$Q$4:$Q$220,0)),"")</f>
        <v>REVOQUES FINOS Y CIELORRASOS</v>
      </c>
      <c r="L1283" s="216">
        <f>IF(PLAN_ETAPA!$C$4="(TODOS)",SUMIFS(PPTO_GENERADOR!$E$4:$E$220,PPTO_GENERADOR!$Q$4:$Q$220,A1283),SUMIFS(PPTO_GENERADOR!$E$4:$E$220,PPTO_GENERADOR!$Q$4:$Q$220,A1283,PPTO_GENERADOR!$B$4:$B$220,PLAN_ETAPA!$C$4))</f>
        <v>0</v>
      </c>
      <c r="M1283" s="216">
        <f>IFERROR(VLOOKUP(A1283,PARTIDAS!$A$2:$F$269,6,FALSE()),1)</f>
        <v>9.5</v>
      </c>
      <c r="N1283" s="216">
        <f>IFERROR(VLOOKUP(A1283,PARTIDAS!$A$2:$I$269,9,FALSE()),1)</f>
        <v>1</v>
      </c>
      <c r="O1283" s="217">
        <f t="shared" si="40"/>
        <v>0</v>
      </c>
      <c r="P1283" s="216">
        <f>IF(O1283=0,0,IF(B1283="MAT",G1283*(1+H1283)*L1283*PLAN_ETAPA!$C$5,IF(B1283="MO",IF(M1283=0,0,G1283*L1283*PLAN_ETAPA!$C$5*N1283/M1283),IF(B1283="EQ",IF(M1283=0,0,G1283*L1283*PLAN_ETAPA!$C$5/M1283),0))))</f>
        <v>0</v>
      </c>
      <c r="Q1283" s="218">
        <f t="shared" si="41"/>
        <v>0</v>
      </c>
    </row>
    <row r="1284" spans="1:17" x14ac:dyDescent="0.35">
      <c r="A1284" s="212" t="str">
        <f>COMPOSICIÓN!A1284</f>
        <v>PTO-1404</v>
      </c>
      <c r="B1284" s="212" t="str">
        <f>COMPOSICIÓN!B1284</f>
        <v>MO</v>
      </c>
      <c r="C1284" s="212" t="str">
        <f>COMPOSICIÓN!C1284</f>
        <v>ALB</v>
      </c>
      <c r="D1284" s="212" t="str">
        <f>COMPOSICIÓN!D1284</f>
        <v>MO-EMEDI</v>
      </c>
      <c r="E1284" s="212" t="str">
        <f>COMPOSICIÓN!E1284</f>
        <v>MEDIO OFICIAL</v>
      </c>
      <c r="F1284" s="212" t="str">
        <f>COMPOSICIÓN!F1284</f>
        <v>j</v>
      </c>
      <c r="G1284" s="213">
        <f>COMPOSICIÓN!G1284</f>
        <v>1</v>
      </c>
      <c r="H1284" s="214">
        <f>COMPOSICIÓN!H1284</f>
        <v>0</v>
      </c>
      <c r="I1284" s="215">
        <f>COMPOSICIÓN!I1284</f>
        <v>65493.071636572</v>
      </c>
      <c r="J1284" s="212" t="str">
        <f>IFERROR(VLOOKUP(A1284,PARTIDAS!$A$2:$C$269,3,FALSE()),"")</f>
        <v>REVOQUES FINOS Y CIELORRASOS</v>
      </c>
      <c r="K1284" s="212" t="str">
        <f>IFERROR(INDEX(PPTO_GENERADOR!$B$4:$B$220,MATCH(A1284,PPTO_GENERADOR!$Q$4:$Q$220,0)),"")</f>
        <v>REVOQUES FINOS Y CIELORRASOS</v>
      </c>
      <c r="L1284" s="216">
        <f>IF(PLAN_ETAPA!$C$4="(TODOS)",SUMIFS(PPTO_GENERADOR!$E$4:$E$220,PPTO_GENERADOR!$Q$4:$Q$220,A1284),SUMIFS(PPTO_GENERADOR!$E$4:$E$220,PPTO_GENERADOR!$Q$4:$Q$220,A1284,PPTO_GENERADOR!$B$4:$B$220,PLAN_ETAPA!$C$4))</f>
        <v>0</v>
      </c>
      <c r="M1284" s="216">
        <f>IFERROR(VLOOKUP(A1284,PARTIDAS!$A$2:$F$269,6,FALSE()),1)</f>
        <v>9.5</v>
      </c>
      <c r="N1284" s="216">
        <f>IFERROR(VLOOKUP(A1284,PARTIDAS!$A$2:$I$269,9,FALSE()),1)</f>
        <v>1</v>
      </c>
      <c r="O1284" s="217">
        <f t="shared" si="40"/>
        <v>0</v>
      </c>
      <c r="P1284" s="216">
        <f>IF(O1284=0,0,IF(B1284="MAT",G1284*(1+H1284)*L1284*PLAN_ETAPA!$C$5,IF(B1284="MO",IF(M1284=0,0,G1284*L1284*PLAN_ETAPA!$C$5*N1284/M1284),IF(B1284="EQ",IF(M1284=0,0,G1284*L1284*PLAN_ETAPA!$C$5/M1284),0))))</f>
        <v>0</v>
      </c>
      <c r="Q1284" s="218">
        <f t="shared" si="41"/>
        <v>0</v>
      </c>
    </row>
    <row r="1285" spans="1:17" x14ac:dyDescent="0.35">
      <c r="A1285" s="212" t="str">
        <f>COMPOSICIÓN!A1285</f>
        <v>PTO-1404</v>
      </c>
      <c r="B1285" s="212" t="str">
        <f>COMPOSICIÓN!B1285</f>
        <v>MO</v>
      </c>
      <c r="C1285" s="212" t="str">
        <f>COMPOSICIÓN!C1285</f>
        <v>ALB</v>
      </c>
      <c r="D1285" s="212" t="str">
        <f>COMPOSICIÓN!D1285</f>
        <v>MO-EESPE</v>
      </c>
      <c r="E1285" s="212" t="str">
        <f>COMPOSICIÓN!E1285</f>
        <v>ESPECIALIZADO</v>
      </c>
      <c r="F1285" s="212" t="str">
        <f>COMPOSICIÓN!F1285</f>
        <v>j</v>
      </c>
      <c r="G1285" s="213">
        <f>COMPOSICIÓN!G1285</f>
        <v>1</v>
      </c>
      <c r="H1285" s="214">
        <f>COMPOSICIÓN!H1285</f>
        <v>0</v>
      </c>
      <c r="I1285" s="215">
        <f>COMPOSICIÓN!I1285</f>
        <v>85927.097156571996</v>
      </c>
      <c r="J1285" s="212" t="str">
        <f>IFERROR(VLOOKUP(A1285,PARTIDAS!$A$2:$C$269,3,FALSE()),"")</f>
        <v>REVOQUES FINOS Y CIELORRASOS</v>
      </c>
      <c r="K1285" s="212" t="str">
        <f>IFERROR(INDEX(PPTO_GENERADOR!$B$4:$B$220,MATCH(A1285,PPTO_GENERADOR!$Q$4:$Q$220,0)),"")</f>
        <v>REVOQUES FINOS Y CIELORRASOS</v>
      </c>
      <c r="L1285" s="216">
        <f>IF(PLAN_ETAPA!$C$4="(TODOS)",SUMIFS(PPTO_GENERADOR!$E$4:$E$220,PPTO_GENERADOR!$Q$4:$Q$220,A1285),SUMIFS(PPTO_GENERADOR!$E$4:$E$220,PPTO_GENERADOR!$Q$4:$Q$220,A1285,PPTO_GENERADOR!$B$4:$B$220,PLAN_ETAPA!$C$4))</f>
        <v>0</v>
      </c>
      <c r="M1285" s="216">
        <f>IFERROR(VLOOKUP(A1285,PARTIDAS!$A$2:$F$269,6,FALSE()),1)</f>
        <v>9.5</v>
      </c>
      <c r="N1285" s="216">
        <f>IFERROR(VLOOKUP(A1285,PARTIDAS!$A$2:$I$269,9,FALSE()),1)</f>
        <v>1</v>
      </c>
      <c r="O1285" s="217">
        <f t="shared" si="40"/>
        <v>0</v>
      </c>
      <c r="P1285" s="216">
        <f>IF(O1285=0,0,IF(B1285="MAT",G1285*(1+H1285)*L1285*PLAN_ETAPA!$C$5,IF(B1285="MO",IF(M1285=0,0,G1285*L1285*PLAN_ETAPA!$C$5*N1285/M1285),IF(B1285="EQ",IF(M1285=0,0,G1285*L1285*PLAN_ETAPA!$C$5/M1285),0))))</f>
        <v>0</v>
      </c>
      <c r="Q1285" s="218">
        <f t="shared" si="41"/>
        <v>0</v>
      </c>
    </row>
    <row r="1286" spans="1:17" x14ac:dyDescent="0.35">
      <c r="A1286" s="212" t="str">
        <f>COMPOSICIÓN!A1286</f>
        <v>PTO-1405</v>
      </c>
      <c r="B1286" s="212" t="str">
        <f>COMPOSICIÓN!B1286</f>
        <v>EQ</v>
      </c>
      <c r="C1286" s="212">
        <f>COMPOSICIÓN!C1286</f>
        <v>0</v>
      </c>
      <c r="D1286" s="212" t="str">
        <f>COMPOSICIÓN!D1286</f>
        <v>EQ-ESCALE</v>
      </c>
      <c r="E1286" s="212" t="str">
        <f>COMPOSICIÓN!E1286</f>
        <v>ESCALERA GLOSS ALUMINIO ARTICULADA 4 X 4 ESCALONES HASTA 150KG</v>
      </c>
      <c r="F1286" s="212">
        <f>COMPOSICIÓN!F1286</f>
        <v>0</v>
      </c>
      <c r="G1286" s="213">
        <f>COMPOSICIÓN!G1286</f>
        <v>1</v>
      </c>
      <c r="H1286" s="214">
        <f>COMPOSICIÓN!H1286</f>
        <v>0</v>
      </c>
      <c r="I1286" s="215">
        <f>COMPOSICIÓN!I1286</f>
        <v>140.19809259430903</v>
      </c>
      <c r="J1286" s="212" t="str">
        <f>IFERROR(VLOOKUP(A1286,PARTIDAS!$A$2:$C$269,3,FALSE()),"")</f>
        <v>REVOQUES FINOS Y CIELORRASOS</v>
      </c>
      <c r="K1286" s="212" t="str">
        <f>IFERROR(INDEX(PPTO_GENERADOR!$B$4:$B$220,MATCH(A1286,PPTO_GENERADOR!$Q$4:$Q$220,0)),"")</f>
        <v>REVOQUES FINOS Y CIELORRASOS</v>
      </c>
      <c r="L1286" s="216">
        <f>IF(PLAN_ETAPA!$C$4="(TODOS)",SUMIFS(PPTO_GENERADOR!$E$4:$E$220,PPTO_GENERADOR!$Q$4:$Q$220,A1286),SUMIFS(PPTO_GENERADOR!$E$4:$E$220,PPTO_GENERADOR!$Q$4:$Q$220,A1286,PPTO_GENERADOR!$B$4:$B$220,PLAN_ETAPA!$C$4))</f>
        <v>0</v>
      </c>
      <c r="M1286" s="216">
        <f>IFERROR(VLOOKUP(A1286,PARTIDAS!$A$2:$F$269,6,FALSE()),1)</f>
        <v>15</v>
      </c>
      <c r="N1286" s="216">
        <f>IFERROR(VLOOKUP(A1286,PARTIDAS!$A$2:$I$269,9,FALSE()),1)</f>
        <v>1</v>
      </c>
      <c r="O1286" s="217">
        <f t="shared" si="40"/>
        <v>0</v>
      </c>
      <c r="P1286" s="216">
        <f>IF(O1286=0,0,IF(B1286="MAT",G1286*(1+H1286)*L1286*PLAN_ETAPA!$C$5,IF(B1286="MO",IF(M1286=0,0,G1286*L1286*PLAN_ETAPA!$C$5*N1286/M1286),IF(B1286="EQ",IF(M1286=0,0,G1286*L1286*PLAN_ETAPA!$C$5/M1286),0))))</f>
        <v>0</v>
      </c>
      <c r="Q1286" s="218">
        <f t="shared" si="41"/>
        <v>0</v>
      </c>
    </row>
    <row r="1287" spans="1:17" x14ac:dyDescent="0.35">
      <c r="A1287" s="212" t="str">
        <f>COMPOSICIÓN!A1287</f>
        <v>PTO-1405</v>
      </c>
      <c r="B1287" s="212" t="str">
        <f>COMPOSICIÓN!B1287</f>
        <v>EQ</v>
      </c>
      <c r="C1287" s="212">
        <f>COMPOSICIÓN!C1287</f>
        <v>0</v>
      </c>
      <c r="D1287" s="212" t="str">
        <f>COMPOSICIÓN!D1287</f>
        <v>EQ-PTO024</v>
      </c>
      <c r="E1287" s="212" t="str">
        <f>COMPOSICIÓN!E1287</f>
        <v>EQUIPO DE CONSTRUCCION EN SECO</v>
      </c>
      <c r="F1287" s="212">
        <f>COMPOSICIÓN!F1287</f>
        <v>0</v>
      </c>
      <c r="G1287" s="213">
        <f>COMPOSICIÓN!G1287</f>
        <v>1</v>
      </c>
      <c r="H1287" s="214">
        <f>COMPOSICIÓN!H1287</f>
        <v>0</v>
      </c>
      <c r="I1287" s="215">
        <f>COMPOSICIÓN!I1287</f>
        <v>2365.2381485799501</v>
      </c>
      <c r="J1287" s="212" t="str">
        <f>IFERROR(VLOOKUP(A1287,PARTIDAS!$A$2:$C$269,3,FALSE()),"")</f>
        <v>REVOQUES FINOS Y CIELORRASOS</v>
      </c>
      <c r="K1287" s="212" t="str">
        <f>IFERROR(INDEX(PPTO_GENERADOR!$B$4:$B$220,MATCH(A1287,PPTO_GENERADOR!$Q$4:$Q$220,0)),"")</f>
        <v>REVOQUES FINOS Y CIELORRASOS</v>
      </c>
      <c r="L1287" s="216">
        <f>IF(PLAN_ETAPA!$C$4="(TODOS)",SUMIFS(PPTO_GENERADOR!$E$4:$E$220,PPTO_GENERADOR!$Q$4:$Q$220,A1287),SUMIFS(PPTO_GENERADOR!$E$4:$E$220,PPTO_GENERADOR!$Q$4:$Q$220,A1287,PPTO_GENERADOR!$B$4:$B$220,PLAN_ETAPA!$C$4))</f>
        <v>0</v>
      </c>
      <c r="M1287" s="216">
        <f>IFERROR(VLOOKUP(A1287,PARTIDAS!$A$2:$F$269,6,FALSE()),1)</f>
        <v>15</v>
      </c>
      <c r="N1287" s="216">
        <f>IFERROR(VLOOKUP(A1287,PARTIDAS!$A$2:$I$269,9,FALSE()),1)</f>
        <v>1</v>
      </c>
      <c r="O1287" s="217">
        <f t="shared" si="40"/>
        <v>0</v>
      </c>
      <c r="P1287" s="216">
        <f>IF(O1287=0,0,IF(B1287="MAT",G1287*(1+H1287)*L1287*PLAN_ETAPA!$C$5,IF(B1287="MO",IF(M1287=0,0,G1287*L1287*PLAN_ETAPA!$C$5*N1287/M1287),IF(B1287="EQ",IF(M1287=0,0,G1287*L1287*PLAN_ETAPA!$C$5/M1287),0))))</f>
        <v>0</v>
      </c>
      <c r="Q1287" s="218">
        <f t="shared" si="41"/>
        <v>0</v>
      </c>
    </row>
    <row r="1288" spans="1:17" x14ac:dyDescent="0.35">
      <c r="A1288" s="212" t="str">
        <f>COMPOSICIÓN!A1288</f>
        <v>PTO-1405</v>
      </c>
      <c r="B1288" s="212" t="str">
        <f>COMPOSICIÓN!B1288</f>
        <v>MAT</v>
      </c>
      <c r="C1288" s="212" t="str">
        <f>COMPOSICIÓN!C1288</f>
        <v>OTR</v>
      </c>
      <c r="D1288" s="212" t="str">
        <f>COMPOSICIÓN!D1288</f>
        <v>OTR-008</v>
      </c>
      <c r="E1288" s="212" t="str">
        <f>COMPOSICIÓN!E1288</f>
        <v>Tornillo T2 - Aguja</v>
      </c>
      <c r="F1288" s="212" t="str">
        <f>COMPOSICIÓN!F1288</f>
        <v>u</v>
      </c>
      <c r="G1288" s="213">
        <f>COMPOSICIÓN!G1288</f>
        <v>3</v>
      </c>
      <c r="H1288" s="214">
        <f>COMPOSICIÓN!H1288</f>
        <v>0.05</v>
      </c>
      <c r="I1288" s="215">
        <f>COMPOSICIÓN!I1288</f>
        <v>17.1963177226814</v>
      </c>
      <c r="J1288" s="212" t="str">
        <f>IFERROR(VLOOKUP(A1288,PARTIDAS!$A$2:$C$269,3,FALSE()),"")</f>
        <v>REVOQUES FINOS Y CIELORRASOS</v>
      </c>
      <c r="K1288" s="212" t="str">
        <f>IFERROR(INDEX(PPTO_GENERADOR!$B$4:$B$220,MATCH(A1288,PPTO_GENERADOR!$Q$4:$Q$220,0)),"")</f>
        <v>REVOQUES FINOS Y CIELORRASOS</v>
      </c>
      <c r="L1288" s="216">
        <f>IF(PLAN_ETAPA!$C$4="(TODOS)",SUMIFS(PPTO_GENERADOR!$E$4:$E$220,PPTO_GENERADOR!$Q$4:$Q$220,A1288),SUMIFS(PPTO_GENERADOR!$E$4:$E$220,PPTO_GENERADOR!$Q$4:$Q$220,A1288,PPTO_GENERADOR!$B$4:$B$220,PLAN_ETAPA!$C$4))</f>
        <v>0</v>
      </c>
      <c r="M1288" s="216">
        <f>IFERROR(VLOOKUP(A1288,PARTIDAS!$A$2:$F$269,6,FALSE()),1)</f>
        <v>15</v>
      </c>
      <c r="N1288" s="216">
        <f>IFERROR(VLOOKUP(A1288,PARTIDAS!$A$2:$I$269,9,FALSE()),1)</f>
        <v>1</v>
      </c>
      <c r="O1288" s="217">
        <f t="shared" si="40"/>
        <v>0</v>
      </c>
      <c r="P1288" s="216">
        <f>IF(O1288=0,0,IF(B1288="MAT",G1288*(1+H1288)*L1288*PLAN_ETAPA!$C$5,IF(B1288="MO",IF(M1288=0,0,G1288*L1288*PLAN_ETAPA!$C$5*N1288/M1288),IF(B1288="EQ",IF(M1288=0,0,G1288*L1288*PLAN_ETAPA!$C$5/M1288),0))))</f>
        <v>0</v>
      </c>
      <c r="Q1288" s="218">
        <f t="shared" si="41"/>
        <v>0</v>
      </c>
    </row>
    <row r="1289" spans="1:17" x14ac:dyDescent="0.35">
      <c r="A1289" s="212" t="str">
        <f>COMPOSICIÓN!A1289</f>
        <v>PTO-1405</v>
      </c>
      <c r="B1289" s="212" t="str">
        <f>COMPOSICIÓN!B1289</f>
        <v>MAT</v>
      </c>
      <c r="C1289" s="212" t="str">
        <f>COMPOSICIÓN!C1289</f>
        <v>OTR</v>
      </c>
      <c r="D1289" s="212" t="str">
        <f>COMPOSICIÓN!D1289</f>
        <v>OTR-014</v>
      </c>
      <c r="E1289" s="212" t="str">
        <f>COMPOSICIÓN!E1289</f>
        <v>Buña Z x 2.60m</v>
      </c>
      <c r="F1289" s="212" t="str">
        <f>COMPOSICIÓN!F1289</f>
        <v>u</v>
      </c>
      <c r="G1289" s="213">
        <f>COMPOSICIÓN!G1289</f>
        <v>0.39</v>
      </c>
      <c r="H1289" s="214">
        <f>COMPOSICIÓN!H1289</f>
        <v>0.1</v>
      </c>
      <c r="I1289" s="215">
        <f>COMPOSICIÓN!I1289</f>
        <v>2351.29</v>
      </c>
      <c r="J1289" s="212" t="str">
        <f>IFERROR(VLOOKUP(A1289,PARTIDAS!$A$2:$C$269,3,FALSE()),"")</f>
        <v>REVOQUES FINOS Y CIELORRASOS</v>
      </c>
      <c r="K1289" s="212" t="str">
        <f>IFERROR(INDEX(PPTO_GENERADOR!$B$4:$B$220,MATCH(A1289,PPTO_GENERADOR!$Q$4:$Q$220,0)),"")</f>
        <v>REVOQUES FINOS Y CIELORRASOS</v>
      </c>
      <c r="L1289" s="216">
        <f>IF(PLAN_ETAPA!$C$4="(TODOS)",SUMIFS(PPTO_GENERADOR!$E$4:$E$220,PPTO_GENERADOR!$Q$4:$Q$220,A1289),SUMIFS(PPTO_GENERADOR!$E$4:$E$220,PPTO_GENERADOR!$Q$4:$Q$220,A1289,PPTO_GENERADOR!$B$4:$B$220,PLAN_ETAPA!$C$4))</f>
        <v>0</v>
      </c>
      <c r="M1289" s="216">
        <f>IFERROR(VLOOKUP(A1289,PARTIDAS!$A$2:$F$269,6,FALSE()),1)</f>
        <v>15</v>
      </c>
      <c r="N1289" s="216">
        <f>IFERROR(VLOOKUP(A1289,PARTIDAS!$A$2:$I$269,9,FALSE()),1)</f>
        <v>1</v>
      </c>
      <c r="O1289" s="217">
        <f t="shared" si="40"/>
        <v>0</v>
      </c>
      <c r="P1289" s="216">
        <f>IF(O1289=0,0,IF(B1289="MAT",G1289*(1+H1289)*L1289*PLAN_ETAPA!$C$5,IF(B1289="MO",IF(M1289=0,0,G1289*L1289*PLAN_ETAPA!$C$5*N1289/M1289),IF(B1289="EQ",IF(M1289=0,0,G1289*L1289*PLAN_ETAPA!$C$5/M1289),0))))</f>
        <v>0</v>
      </c>
      <c r="Q1289" s="218">
        <f t="shared" si="41"/>
        <v>0</v>
      </c>
    </row>
    <row r="1290" spans="1:17" x14ac:dyDescent="0.35">
      <c r="A1290" s="212" t="str">
        <f>COMPOSICIÓN!A1290</f>
        <v>PTO-1405</v>
      </c>
      <c r="B1290" s="212" t="str">
        <f>COMPOSICIÓN!B1290</f>
        <v>MO</v>
      </c>
      <c r="C1290" s="212" t="str">
        <f>COMPOSICIÓN!C1290</f>
        <v>ALB</v>
      </c>
      <c r="D1290" s="212" t="str">
        <f>COMPOSICIÓN!D1290</f>
        <v>MO-EESPE</v>
      </c>
      <c r="E1290" s="212" t="str">
        <f>COMPOSICIÓN!E1290</f>
        <v>ESPECIALIZADO</v>
      </c>
      <c r="F1290" s="212" t="str">
        <f>COMPOSICIÓN!F1290</f>
        <v>j</v>
      </c>
      <c r="G1290" s="213">
        <f>COMPOSICIÓN!G1290</f>
        <v>1</v>
      </c>
      <c r="H1290" s="214">
        <f>COMPOSICIÓN!H1290</f>
        <v>0</v>
      </c>
      <c r="I1290" s="215">
        <f>COMPOSICIÓN!I1290</f>
        <v>85927.097156571996</v>
      </c>
      <c r="J1290" s="212" t="str">
        <f>IFERROR(VLOOKUP(A1290,PARTIDAS!$A$2:$C$269,3,FALSE()),"")</f>
        <v>REVOQUES FINOS Y CIELORRASOS</v>
      </c>
      <c r="K1290" s="212" t="str">
        <f>IFERROR(INDEX(PPTO_GENERADOR!$B$4:$B$220,MATCH(A1290,PPTO_GENERADOR!$Q$4:$Q$220,0)),"")</f>
        <v>REVOQUES FINOS Y CIELORRASOS</v>
      </c>
      <c r="L1290" s="216">
        <f>IF(PLAN_ETAPA!$C$4="(TODOS)",SUMIFS(PPTO_GENERADOR!$E$4:$E$220,PPTO_GENERADOR!$Q$4:$Q$220,A1290),SUMIFS(PPTO_GENERADOR!$E$4:$E$220,PPTO_GENERADOR!$Q$4:$Q$220,A1290,PPTO_GENERADOR!$B$4:$B$220,PLAN_ETAPA!$C$4))</f>
        <v>0</v>
      </c>
      <c r="M1290" s="216">
        <f>IFERROR(VLOOKUP(A1290,PARTIDAS!$A$2:$F$269,6,FALSE()),1)</f>
        <v>15</v>
      </c>
      <c r="N1290" s="216">
        <f>IFERROR(VLOOKUP(A1290,PARTIDAS!$A$2:$I$269,9,FALSE()),1)</f>
        <v>1</v>
      </c>
      <c r="O1290" s="217">
        <f t="shared" si="40"/>
        <v>0</v>
      </c>
      <c r="P1290" s="216">
        <f>IF(O1290=0,0,IF(B1290="MAT",G1290*(1+H1290)*L1290*PLAN_ETAPA!$C$5,IF(B1290="MO",IF(M1290=0,0,G1290*L1290*PLAN_ETAPA!$C$5*N1290/M1290),IF(B1290="EQ",IF(M1290=0,0,G1290*L1290*PLAN_ETAPA!$C$5/M1290),0))))</f>
        <v>0</v>
      </c>
      <c r="Q1290" s="218">
        <f t="shared" si="41"/>
        <v>0</v>
      </c>
    </row>
    <row r="1291" spans="1:17" x14ac:dyDescent="0.35">
      <c r="A1291" s="212" t="str">
        <f>COMPOSICIÓN!A1291</f>
        <v>PTO-1406</v>
      </c>
      <c r="B1291" s="212" t="str">
        <f>COMPOSICIÓN!B1291</f>
        <v>EQ</v>
      </c>
      <c r="C1291" s="212">
        <f>COMPOSICIÓN!C1291</f>
        <v>0</v>
      </c>
      <c r="D1291" s="212" t="str">
        <f>COMPOSICIÓN!D1291</f>
        <v>EQ-PTO069</v>
      </c>
      <c r="E1291" s="212" t="str">
        <f>COMPOSICIÓN!E1291</f>
        <v xml:space="preserve">Herramientas menores y consumibles - Cantonera / Cajón </v>
      </c>
      <c r="F1291" s="212">
        <f>COMPOSICIÓN!F1291</f>
        <v>0</v>
      </c>
      <c r="G1291" s="213">
        <f>COMPOSICIÓN!G1291</f>
        <v>1</v>
      </c>
      <c r="H1291" s="214">
        <f>COMPOSICIÓN!H1291</f>
        <v>0</v>
      </c>
      <c r="I1291" s="215">
        <f>COMPOSICIÓN!I1291</f>
        <v>167.02908274495101</v>
      </c>
      <c r="J1291" s="212" t="str">
        <f>IFERROR(VLOOKUP(A1291,PARTIDAS!$A$2:$C$269,3,FALSE()),"")</f>
        <v>REVOQUES FINOS Y CIELORRASOS</v>
      </c>
      <c r="K1291" s="212" t="str">
        <f>IFERROR(INDEX(PPTO_GENERADOR!$B$4:$B$220,MATCH(A1291,PPTO_GENERADOR!$Q$4:$Q$220,0)),"")</f>
        <v/>
      </c>
      <c r="L1291" s="216">
        <f>IF(PLAN_ETAPA!$C$4="(TODOS)",SUMIFS(PPTO_GENERADOR!$E$4:$E$220,PPTO_GENERADOR!$Q$4:$Q$220,A1291),SUMIFS(PPTO_GENERADOR!$E$4:$E$220,PPTO_GENERADOR!$Q$4:$Q$220,A1291,PPTO_GENERADOR!$B$4:$B$220,PLAN_ETAPA!$C$4))</f>
        <v>0</v>
      </c>
      <c r="M1291" s="216">
        <f>IFERROR(VLOOKUP(A1291,PARTIDAS!$A$2:$F$269,6,FALSE()),1)</f>
        <v>15</v>
      </c>
      <c r="N1291" s="216">
        <f>IFERROR(VLOOKUP(A1291,PARTIDAS!$A$2:$I$269,9,FALSE()),1)</f>
        <v>1</v>
      </c>
      <c r="O1291" s="217">
        <f t="shared" si="40"/>
        <v>0</v>
      </c>
      <c r="P1291" s="216">
        <f>IF(O1291=0,0,IF(B1291="MAT",G1291*(1+H1291)*L1291*PLAN_ETAPA!$C$5,IF(B1291="MO",IF(M1291=0,0,G1291*L1291*PLAN_ETAPA!$C$5*N1291/M1291),IF(B1291="EQ",IF(M1291=0,0,G1291*L1291*PLAN_ETAPA!$C$5/M1291),0))))</f>
        <v>0</v>
      </c>
      <c r="Q1291" s="218">
        <f t="shared" si="41"/>
        <v>0</v>
      </c>
    </row>
    <row r="1292" spans="1:17" x14ac:dyDescent="0.35">
      <c r="A1292" s="212" t="str">
        <f>COMPOSICIÓN!A1292</f>
        <v>PTO-1407</v>
      </c>
      <c r="B1292" s="212" t="str">
        <f>COMPOSICIÓN!B1292</f>
        <v>EQ</v>
      </c>
      <c r="C1292" s="212">
        <f>COMPOSICIÓN!C1292</f>
        <v>0</v>
      </c>
      <c r="D1292" s="212" t="str">
        <f>COMPOSICIÓN!D1292</f>
        <v>EQ-PTO070</v>
      </c>
      <c r="E1292" s="212" t="str">
        <f>COMPOSICIÓN!E1292</f>
        <v>Herramientas menores y consumibles - Hormigon visto, maquillaje</v>
      </c>
      <c r="F1292" s="212">
        <f>COMPOSICIÓN!F1292</f>
        <v>0</v>
      </c>
      <c r="G1292" s="213">
        <f>COMPOSICIÓN!G1292</f>
        <v>1</v>
      </c>
      <c r="H1292" s="214">
        <f>COMPOSICIÓN!H1292</f>
        <v>0</v>
      </c>
      <c r="I1292" s="215">
        <f>COMPOSICIÓN!I1292</f>
        <v>59.159286192318298</v>
      </c>
      <c r="J1292" s="212" t="str">
        <f>IFERROR(VLOOKUP(A1292,PARTIDAS!$A$2:$C$269,3,FALSE()),"")</f>
        <v>REVOQUES FINOS Y CIELORRASOS</v>
      </c>
      <c r="K1292" s="212" t="str">
        <f>IFERROR(INDEX(PPTO_GENERADOR!$B$4:$B$220,MATCH(A1292,PPTO_GENERADOR!$Q$4:$Q$220,0)),"")</f>
        <v>REVOQUES FINOS Y CIELORRASOS</v>
      </c>
      <c r="L1292" s="216">
        <f>IF(PLAN_ETAPA!$C$4="(TODOS)",SUMIFS(PPTO_GENERADOR!$E$4:$E$220,PPTO_GENERADOR!$Q$4:$Q$220,A1292),SUMIFS(PPTO_GENERADOR!$E$4:$E$220,PPTO_GENERADOR!$Q$4:$Q$220,A1292,PPTO_GENERADOR!$B$4:$B$220,PLAN_ETAPA!$C$4))</f>
        <v>0</v>
      </c>
      <c r="M1292" s="216">
        <f>IFERROR(VLOOKUP(A1292,PARTIDAS!$A$2:$F$269,6,FALSE()),1)</f>
        <v>1</v>
      </c>
      <c r="N1292" s="216">
        <f>IFERROR(VLOOKUP(A1292,PARTIDAS!$A$2:$I$269,9,FALSE()),1)</f>
        <v>1</v>
      </c>
      <c r="O1292" s="217">
        <f t="shared" si="40"/>
        <v>0</v>
      </c>
      <c r="P1292" s="216">
        <f>IF(O1292=0,0,IF(B1292="MAT",G1292*(1+H1292)*L1292*PLAN_ETAPA!$C$5,IF(B1292="MO",IF(M1292=0,0,G1292*L1292*PLAN_ETAPA!$C$5*N1292/M1292),IF(B1292="EQ",IF(M1292=0,0,G1292*L1292*PLAN_ETAPA!$C$5/M1292),0))))</f>
        <v>0</v>
      </c>
      <c r="Q1292" s="218">
        <f t="shared" si="41"/>
        <v>0</v>
      </c>
    </row>
    <row r="1293" spans="1:17" x14ac:dyDescent="0.35">
      <c r="A1293" s="212" t="str">
        <f>COMPOSICIÓN!A1293</f>
        <v>PTO-1407</v>
      </c>
      <c r="B1293" s="212" t="str">
        <f>COMPOSICIÓN!B1293</f>
        <v>MAT</v>
      </c>
      <c r="C1293" s="212" t="str">
        <f>COMPOSICIÓN!C1293</f>
        <v>COR</v>
      </c>
      <c r="D1293" s="212" t="str">
        <f>COMPOSICIÓN!D1293</f>
        <v>OTR-PTO015</v>
      </c>
      <c r="E1293" s="212" t="str">
        <f>COMPOSICIÓN!E1293</f>
        <v xml:space="preserve">Materiales varios </v>
      </c>
      <c r="F1293" s="212" t="str">
        <f>COMPOSICIÓN!F1293</f>
        <v>gl</v>
      </c>
      <c r="G1293" s="213">
        <f>COMPOSICIÓN!G1293</f>
        <v>533.04904051172696</v>
      </c>
      <c r="H1293" s="214">
        <f>COMPOSICIÓN!H1293</f>
        <v>0</v>
      </c>
      <c r="I1293" s="215">
        <f>COMPOSICIÓN!I1293</f>
        <v>1</v>
      </c>
      <c r="J1293" s="212" t="str">
        <f>IFERROR(VLOOKUP(A1293,PARTIDAS!$A$2:$C$269,3,FALSE()),"")</f>
        <v>REVOQUES FINOS Y CIELORRASOS</v>
      </c>
      <c r="K1293" s="212" t="str">
        <f>IFERROR(INDEX(PPTO_GENERADOR!$B$4:$B$220,MATCH(A1293,PPTO_GENERADOR!$Q$4:$Q$220,0)),"")</f>
        <v>REVOQUES FINOS Y CIELORRASOS</v>
      </c>
      <c r="L1293" s="216">
        <f>IF(PLAN_ETAPA!$C$4="(TODOS)",SUMIFS(PPTO_GENERADOR!$E$4:$E$220,PPTO_GENERADOR!$Q$4:$Q$220,A1293),SUMIFS(PPTO_GENERADOR!$E$4:$E$220,PPTO_GENERADOR!$Q$4:$Q$220,A1293,PPTO_GENERADOR!$B$4:$B$220,PLAN_ETAPA!$C$4))</f>
        <v>0</v>
      </c>
      <c r="M1293" s="216">
        <f>IFERROR(VLOOKUP(A1293,PARTIDAS!$A$2:$F$269,6,FALSE()),1)</f>
        <v>1</v>
      </c>
      <c r="N1293" s="216">
        <f>IFERROR(VLOOKUP(A1293,PARTIDAS!$A$2:$I$269,9,FALSE()),1)</f>
        <v>1</v>
      </c>
      <c r="O1293" s="217">
        <f t="shared" si="40"/>
        <v>0</v>
      </c>
      <c r="P1293" s="216">
        <f>IF(O1293=0,0,IF(B1293="MAT",G1293*(1+H1293)*L1293*PLAN_ETAPA!$C$5,IF(B1293="MO",IF(M1293=0,0,G1293*L1293*PLAN_ETAPA!$C$5*N1293/M1293),IF(B1293="EQ",IF(M1293=0,0,G1293*L1293*PLAN_ETAPA!$C$5/M1293),0))))</f>
        <v>0</v>
      </c>
      <c r="Q1293" s="218">
        <f t="shared" si="41"/>
        <v>0</v>
      </c>
    </row>
    <row r="1294" spans="1:17" x14ac:dyDescent="0.35">
      <c r="A1294" s="212" t="str">
        <f>COMPOSICIÓN!A1294</f>
        <v>PTO-1407</v>
      </c>
      <c r="B1294" s="212" t="str">
        <f>COMPOSICIÓN!B1294</f>
        <v>MAT</v>
      </c>
      <c r="C1294" s="212" t="str">
        <f>COMPOSICIÓN!C1294</f>
        <v>OTR</v>
      </c>
      <c r="D1294" s="212" t="str">
        <f>COMPOSICIÓN!D1294</f>
        <v>OTR-PTO015</v>
      </c>
      <c r="E1294" s="212" t="str">
        <f>COMPOSICIÓN!E1294</f>
        <v xml:space="preserve">Materiales varios </v>
      </c>
      <c r="F1294" s="212" t="str">
        <f>COMPOSICIÓN!F1294</f>
        <v>gl</v>
      </c>
      <c r="G1294" s="213">
        <f>COMPOSICIÓN!G1294</f>
        <v>533.04904051172696</v>
      </c>
      <c r="H1294" s="214">
        <f>COMPOSICIÓN!H1294</f>
        <v>0</v>
      </c>
      <c r="I1294" s="215">
        <f>COMPOSICIÓN!I1294</f>
        <v>1</v>
      </c>
      <c r="J1294" s="212" t="str">
        <f>IFERROR(VLOOKUP(A1294,PARTIDAS!$A$2:$C$269,3,FALSE()),"")</f>
        <v>REVOQUES FINOS Y CIELORRASOS</v>
      </c>
      <c r="K1294" s="212" t="str">
        <f>IFERROR(INDEX(PPTO_GENERADOR!$B$4:$B$220,MATCH(A1294,PPTO_GENERADOR!$Q$4:$Q$220,0)),"")</f>
        <v>REVOQUES FINOS Y CIELORRASOS</v>
      </c>
      <c r="L1294" s="216">
        <f>IF(PLAN_ETAPA!$C$4="(TODOS)",SUMIFS(PPTO_GENERADOR!$E$4:$E$220,PPTO_GENERADOR!$Q$4:$Q$220,A1294),SUMIFS(PPTO_GENERADOR!$E$4:$E$220,PPTO_GENERADOR!$Q$4:$Q$220,A1294,PPTO_GENERADOR!$B$4:$B$220,PLAN_ETAPA!$C$4))</f>
        <v>0</v>
      </c>
      <c r="M1294" s="216">
        <f>IFERROR(VLOOKUP(A1294,PARTIDAS!$A$2:$F$269,6,FALSE()),1)</f>
        <v>1</v>
      </c>
      <c r="N1294" s="216">
        <f>IFERROR(VLOOKUP(A1294,PARTIDAS!$A$2:$I$269,9,FALSE()),1)</f>
        <v>1</v>
      </c>
      <c r="O1294" s="217">
        <f t="shared" si="40"/>
        <v>0</v>
      </c>
      <c r="P1294" s="216">
        <f>IF(O1294=0,0,IF(B1294="MAT",G1294*(1+H1294)*L1294*PLAN_ETAPA!$C$5,IF(B1294="MO",IF(M1294=0,0,G1294*L1294*PLAN_ETAPA!$C$5*N1294/M1294),IF(B1294="EQ",IF(M1294=0,0,G1294*L1294*PLAN_ETAPA!$C$5/M1294),0))))</f>
        <v>0</v>
      </c>
      <c r="Q1294" s="218">
        <f t="shared" si="41"/>
        <v>0</v>
      </c>
    </row>
    <row r="1295" spans="1:17" x14ac:dyDescent="0.35">
      <c r="A1295" s="212" t="str">
        <f>COMPOSICIÓN!A1295</f>
        <v>PTO-1407</v>
      </c>
      <c r="B1295" s="212" t="str">
        <f>COMPOSICIÓN!B1295</f>
        <v>MO</v>
      </c>
      <c r="C1295" s="212" t="str">
        <f>COMPOSICIÓN!C1295</f>
        <v>ALB</v>
      </c>
      <c r="D1295" s="212" t="str">
        <f>COMPOSICIÓN!D1295</f>
        <v>MO-EAYUD</v>
      </c>
      <c r="E1295" s="212" t="str">
        <f>COMPOSICIÓN!E1295</f>
        <v>AYUDANTE</v>
      </c>
      <c r="F1295" s="212" t="str">
        <f>COMPOSICIÓN!F1295</f>
        <v>j</v>
      </c>
      <c r="G1295" s="213">
        <f>COMPOSICIÓN!G1295</f>
        <v>2.7718550106609799E-2</v>
      </c>
      <c r="H1295" s="214">
        <f>COMPOSICIÓN!H1295</f>
        <v>0</v>
      </c>
      <c r="I1295" s="215">
        <f>COMPOSICIÓN!I1295</f>
        <v>60860.580776572002</v>
      </c>
      <c r="J1295" s="212" t="str">
        <f>IFERROR(VLOOKUP(A1295,PARTIDAS!$A$2:$C$269,3,FALSE()),"")</f>
        <v>REVOQUES FINOS Y CIELORRASOS</v>
      </c>
      <c r="K1295" s="212" t="str">
        <f>IFERROR(INDEX(PPTO_GENERADOR!$B$4:$B$220,MATCH(A1295,PPTO_GENERADOR!$Q$4:$Q$220,0)),"")</f>
        <v>REVOQUES FINOS Y CIELORRASOS</v>
      </c>
      <c r="L1295" s="216">
        <f>IF(PLAN_ETAPA!$C$4="(TODOS)",SUMIFS(PPTO_GENERADOR!$E$4:$E$220,PPTO_GENERADOR!$Q$4:$Q$220,A1295),SUMIFS(PPTO_GENERADOR!$E$4:$E$220,PPTO_GENERADOR!$Q$4:$Q$220,A1295,PPTO_GENERADOR!$B$4:$B$220,PLAN_ETAPA!$C$4))</f>
        <v>0</v>
      </c>
      <c r="M1295" s="216">
        <f>IFERROR(VLOOKUP(A1295,PARTIDAS!$A$2:$F$269,6,FALSE()),1)</f>
        <v>1</v>
      </c>
      <c r="N1295" s="216">
        <f>IFERROR(VLOOKUP(A1295,PARTIDAS!$A$2:$I$269,9,FALSE()),1)</f>
        <v>1</v>
      </c>
      <c r="O1295" s="217">
        <f t="shared" si="40"/>
        <v>0</v>
      </c>
      <c r="P1295" s="216">
        <f>IF(O1295=0,0,IF(B1295="MAT",G1295*(1+H1295)*L1295*PLAN_ETAPA!$C$5,IF(B1295="MO",IF(M1295=0,0,G1295*L1295*PLAN_ETAPA!$C$5*N1295/M1295),IF(B1295="EQ",IF(M1295=0,0,G1295*L1295*PLAN_ETAPA!$C$5/M1295),0))))</f>
        <v>0</v>
      </c>
      <c r="Q1295" s="218">
        <f t="shared" si="41"/>
        <v>0</v>
      </c>
    </row>
    <row r="1296" spans="1:17" x14ac:dyDescent="0.35">
      <c r="A1296" s="212" t="str">
        <f>COMPOSICIÓN!A1296</f>
        <v>PTO-1407</v>
      </c>
      <c r="B1296" s="212" t="str">
        <f>COMPOSICIÓN!B1296</f>
        <v>MO</v>
      </c>
      <c r="C1296" s="212" t="str">
        <f>COMPOSICIÓN!C1296</f>
        <v>ALB</v>
      </c>
      <c r="D1296" s="212" t="str">
        <f>COMPOSICIÓN!D1296</f>
        <v>MO-EESPE</v>
      </c>
      <c r="E1296" s="212" t="str">
        <f>COMPOSICIÓN!E1296</f>
        <v>ESPECIALIZADO</v>
      </c>
      <c r="F1296" s="212" t="str">
        <f>COMPOSICIÓN!F1296</f>
        <v>j</v>
      </c>
      <c r="G1296" s="213">
        <f>COMPOSICIÓN!G1296</f>
        <v>1.3859275053304899E-2</v>
      </c>
      <c r="H1296" s="214">
        <f>COMPOSICIÓN!H1296</f>
        <v>0</v>
      </c>
      <c r="I1296" s="215">
        <f>COMPOSICIÓN!I1296</f>
        <v>85927.097156571996</v>
      </c>
      <c r="J1296" s="212" t="str">
        <f>IFERROR(VLOOKUP(A1296,PARTIDAS!$A$2:$C$269,3,FALSE()),"")</f>
        <v>REVOQUES FINOS Y CIELORRASOS</v>
      </c>
      <c r="K1296" s="212" t="str">
        <f>IFERROR(INDEX(PPTO_GENERADOR!$B$4:$B$220,MATCH(A1296,PPTO_GENERADOR!$Q$4:$Q$220,0)),"")</f>
        <v>REVOQUES FINOS Y CIELORRASOS</v>
      </c>
      <c r="L1296" s="216">
        <f>IF(PLAN_ETAPA!$C$4="(TODOS)",SUMIFS(PPTO_GENERADOR!$E$4:$E$220,PPTO_GENERADOR!$Q$4:$Q$220,A1296),SUMIFS(PPTO_GENERADOR!$E$4:$E$220,PPTO_GENERADOR!$Q$4:$Q$220,A1296,PPTO_GENERADOR!$B$4:$B$220,PLAN_ETAPA!$C$4))</f>
        <v>0</v>
      </c>
      <c r="M1296" s="216">
        <f>IFERROR(VLOOKUP(A1296,PARTIDAS!$A$2:$F$269,6,FALSE()),1)</f>
        <v>1</v>
      </c>
      <c r="N1296" s="216">
        <f>IFERROR(VLOOKUP(A1296,PARTIDAS!$A$2:$I$269,9,FALSE()),1)</f>
        <v>1</v>
      </c>
      <c r="O1296" s="217">
        <f t="shared" si="40"/>
        <v>0</v>
      </c>
      <c r="P1296" s="216">
        <f>IF(O1296=0,0,IF(B1296="MAT",G1296*(1+H1296)*L1296*PLAN_ETAPA!$C$5,IF(B1296="MO",IF(M1296=0,0,G1296*L1296*PLAN_ETAPA!$C$5*N1296/M1296),IF(B1296="EQ",IF(M1296=0,0,G1296*L1296*PLAN_ETAPA!$C$5/M1296),0))))</f>
        <v>0</v>
      </c>
      <c r="Q1296" s="218">
        <f t="shared" si="41"/>
        <v>0</v>
      </c>
    </row>
    <row r="1297" spans="1:17" x14ac:dyDescent="0.35">
      <c r="A1297" s="212" t="str">
        <f>COMPOSICIÓN!A1297</f>
        <v>PTO-1501</v>
      </c>
      <c r="B1297" s="212" t="str">
        <f>COMPOSICIÓN!B1297</f>
        <v>EQ</v>
      </c>
      <c r="C1297" s="212">
        <f>COMPOSICIÓN!C1297</f>
        <v>0</v>
      </c>
      <c r="D1297" s="212" t="str">
        <f>COMPOSICIÓN!D1297</f>
        <v>EQ-PTO025</v>
      </c>
      <c r="E1297" s="212" t="str">
        <f>COMPOSICIÓN!E1297</f>
        <v>[EQ] Latex exterior mate en paredes, color bco., sin enduido, a mas de 3 m de altura - Medianeras</v>
      </c>
      <c r="F1297" s="212">
        <f>COMPOSICIÓN!F1297</f>
        <v>0</v>
      </c>
      <c r="G1297" s="213">
        <f>COMPOSICIÓN!G1297</f>
        <v>1</v>
      </c>
      <c r="H1297" s="214">
        <f>COMPOSICIÓN!H1297</f>
        <v>0</v>
      </c>
      <c r="I1297" s="215">
        <f>COMPOSICIÓN!I1297</f>
        <v>234.442307493812</v>
      </c>
      <c r="J1297" s="212" t="str">
        <f>IFERROR(VLOOKUP(A1297,PARTIDAS!$A$2:$C$269,3,FALSE()),"")</f>
        <v>PINTURA</v>
      </c>
      <c r="K1297" s="212" t="str">
        <f>IFERROR(INDEX(PPTO_GENERADOR!$B$4:$B$220,MATCH(A1297,PPTO_GENERADOR!$Q$4:$Q$220,0)),"")</f>
        <v/>
      </c>
      <c r="L1297" s="216">
        <f>IF(PLAN_ETAPA!$C$4="(TODOS)",SUMIFS(PPTO_GENERADOR!$E$4:$E$220,PPTO_GENERADOR!$Q$4:$Q$220,A1297),SUMIFS(PPTO_GENERADOR!$E$4:$E$220,PPTO_GENERADOR!$Q$4:$Q$220,A1297,PPTO_GENERADOR!$B$4:$B$220,PLAN_ETAPA!$C$4))</f>
        <v>0</v>
      </c>
      <c r="M1297" s="216">
        <f>IFERROR(VLOOKUP(A1297,PARTIDAS!$A$2:$F$269,6,FALSE()),1)</f>
        <v>1</v>
      </c>
      <c r="N1297" s="216">
        <f>IFERROR(VLOOKUP(A1297,PARTIDAS!$A$2:$I$269,9,FALSE()),1)</f>
        <v>1</v>
      </c>
      <c r="O1297" s="217">
        <f t="shared" si="40"/>
        <v>0</v>
      </c>
      <c r="P1297" s="216">
        <f>IF(O1297=0,0,IF(B1297="MAT",G1297*(1+H1297)*L1297*PLAN_ETAPA!$C$5,IF(B1297="MO",IF(M1297=0,0,G1297*L1297*PLAN_ETAPA!$C$5*N1297/M1297),IF(B1297="EQ",IF(M1297=0,0,G1297*L1297*PLAN_ETAPA!$C$5/M1297),0))))</f>
        <v>0</v>
      </c>
      <c r="Q1297" s="218">
        <f t="shared" si="41"/>
        <v>0</v>
      </c>
    </row>
    <row r="1298" spans="1:17" x14ac:dyDescent="0.35">
      <c r="A1298" s="212" t="str">
        <f>COMPOSICIÓN!A1298</f>
        <v>PTO-1501</v>
      </c>
      <c r="B1298" s="212" t="str">
        <f>COMPOSICIÓN!B1298</f>
        <v>MAT</v>
      </c>
      <c r="C1298" s="212" t="str">
        <f>COMPOSICIÓN!C1298</f>
        <v>OTR</v>
      </c>
      <c r="D1298" s="212" t="str">
        <f>COMPOSICIÓN!D1298</f>
        <v>OTR-PTO103</v>
      </c>
      <c r="E1298" s="212" t="str">
        <f>COMPOSICIÓN!E1298</f>
        <v>[Materiales] Latex exterior mate en paredes, color bco., sin enduido, a mas de 3 m de altura - Medianeras</v>
      </c>
      <c r="F1298" s="212" t="str">
        <f>COMPOSICIÓN!F1298</f>
        <v>m2</v>
      </c>
      <c r="G1298" s="213">
        <f>COMPOSICIÓN!G1298</f>
        <v>1</v>
      </c>
      <c r="H1298" s="214">
        <f>COMPOSICIÓN!H1298</f>
        <v>0</v>
      </c>
      <c r="I1298" s="215">
        <f>COMPOSICIÓN!I1298</f>
        <v>1824.926273</v>
      </c>
      <c r="J1298" s="212" t="str">
        <f>IFERROR(VLOOKUP(A1298,PARTIDAS!$A$2:$C$269,3,FALSE()),"")</f>
        <v>PINTURA</v>
      </c>
      <c r="K1298" s="212" t="str">
        <f>IFERROR(INDEX(PPTO_GENERADOR!$B$4:$B$220,MATCH(A1298,PPTO_GENERADOR!$Q$4:$Q$220,0)),"")</f>
        <v/>
      </c>
      <c r="L1298" s="216">
        <f>IF(PLAN_ETAPA!$C$4="(TODOS)",SUMIFS(PPTO_GENERADOR!$E$4:$E$220,PPTO_GENERADOR!$Q$4:$Q$220,A1298),SUMIFS(PPTO_GENERADOR!$E$4:$E$220,PPTO_GENERADOR!$Q$4:$Q$220,A1298,PPTO_GENERADOR!$B$4:$B$220,PLAN_ETAPA!$C$4))</f>
        <v>0</v>
      </c>
      <c r="M1298" s="216">
        <f>IFERROR(VLOOKUP(A1298,PARTIDAS!$A$2:$F$269,6,FALSE()),1)</f>
        <v>1</v>
      </c>
      <c r="N1298" s="216">
        <f>IFERROR(VLOOKUP(A1298,PARTIDAS!$A$2:$I$269,9,FALSE()),1)</f>
        <v>1</v>
      </c>
      <c r="O1298" s="217">
        <f t="shared" si="40"/>
        <v>0</v>
      </c>
      <c r="P1298" s="216">
        <f>IF(O1298=0,0,IF(B1298="MAT",G1298*(1+H1298)*L1298*PLAN_ETAPA!$C$5,IF(B1298="MO",IF(M1298=0,0,G1298*L1298*PLAN_ETAPA!$C$5*N1298/M1298),IF(B1298="EQ",IF(M1298=0,0,G1298*L1298*PLAN_ETAPA!$C$5/M1298),0))))</f>
        <v>0</v>
      </c>
      <c r="Q1298" s="218">
        <f t="shared" si="41"/>
        <v>0</v>
      </c>
    </row>
    <row r="1299" spans="1:17" x14ac:dyDescent="0.35">
      <c r="A1299" s="212" t="str">
        <f>COMPOSICIÓN!A1299</f>
        <v>PTO-1501</v>
      </c>
      <c r="B1299" s="212" t="str">
        <f>COMPOSICIÓN!B1299</f>
        <v>MO</v>
      </c>
      <c r="C1299" s="212" t="str">
        <f>COMPOSICIÓN!C1299</f>
        <v>OTR</v>
      </c>
      <c r="D1299" s="212" t="str">
        <f>COMPOSICIÓN!D1299</f>
        <v>SUB-PTO031</v>
      </c>
      <c r="E1299" s="212" t="str">
        <f>COMPOSICIÓN!E1299</f>
        <v>[MO] Latex exterior mate en paredes, color bco., sin enduido, a mas de 3 m de altura - Medianeras</v>
      </c>
      <c r="F1299" s="212" t="str">
        <f>COMPOSICIÓN!F1299</f>
        <v>j</v>
      </c>
      <c r="G1299" s="213">
        <f>COMPOSICIÓN!G1299</f>
        <v>1</v>
      </c>
      <c r="H1299" s="214">
        <f>COMPOSICIÓN!H1299</f>
        <v>0</v>
      </c>
      <c r="I1299" s="215">
        <f>COMPOSICIÓN!I1299</f>
        <v>14504.129532884899</v>
      </c>
      <c r="J1299" s="212" t="str">
        <f>IFERROR(VLOOKUP(A1299,PARTIDAS!$A$2:$C$269,3,FALSE()),"")</f>
        <v>PINTURA</v>
      </c>
      <c r="K1299" s="212" t="str">
        <f>IFERROR(INDEX(PPTO_GENERADOR!$B$4:$B$220,MATCH(A1299,PPTO_GENERADOR!$Q$4:$Q$220,0)),"")</f>
        <v/>
      </c>
      <c r="L1299" s="216">
        <f>IF(PLAN_ETAPA!$C$4="(TODOS)",SUMIFS(PPTO_GENERADOR!$E$4:$E$220,PPTO_GENERADOR!$Q$4:$Q$220,A1299),SUMIFS(PPTO_GENERADOR!$E$4:$E$220,PPTO_GENERADOR!$Q$4:$Q$220,A1299,PPTO_GENERADOR!$B$4:$B$220,PLAN_ETAPA!$C$4))</f>
        <v>0</v>
      </c>
      <c r="M1299" s="216">
        <f>IFERROR(VLOOKUP(A1299,PARTIDAS!$A$2:$F$269,6,FALSE()),1)</f>
        <v>1</v>
      </c>
      <c r="N1299" s="216">
        <f>IFERROR(VLOOKUP(A1299,PARTIDAS!$A$2:$I$269,9,FALSE()),1)</f>
        <v>1</v>
      </c>
      <c r="O1299" s="217">
        <f t="shared" si="40"/>
        <v>0</v>
      </c>
      <c r="P1299" s="216">
        <f>IF(O1299=0,0,IF(B1299="MAT",G1299*(1+H1299)*L1299*PLAN_ETAPA!$C$5,IF(B1299="MO",IF(M1299=0,0,G1299*L1299*PLAN_ETAPA!$C$5*N1299/M1299),IF(B1299="EQ",IF(M1299=0,0,G1299*L1299*PLAN_ETAPA!$C$5/M1299),0))))</f>
        <v>0</v>
      </c>
      <c r="Q1299" s="218">
        <f t="shared" si="41"/>
        <v>0</v>
      </c>
    </row>
    <row r="1300" spans="1:17" x14ac:dyDescent="0.35">
      <c r="A1300" s="212" t="str">
        <f>COMPOSICIÓN!A1300</f>
        <v>PTO-1502</v>
      </c>
      <c r="B1300" s="212" t="str">
        <f>COMPOSICIÓN!B1300</f>
        <v>EQ</v>
      </c>
      <c r="C1300" s="212">
        <f>COMPOSICIÓN!C1300</f>
        <v>0</v>
      </c>
      <c r="D1300" s="212" t="str">
        <f>COMPOSICIÓN!D1300</f>
        <v>EQ-EQUIPI</v>
      </c>
      <c r="E1300" s="212" t="str">
        <f>COMPOSICIÓN!E1300</f>
        <v>EQUIPO PARA PINTAR</v>
      </c>
      <c r="F1300" s="212">
        <f>COMPOSICIÓN!F1300</f>
        <v>0</v>
      </c>
      <c r="G1300" s="213">
        <f>COMPOSICIÓN!G1300</f>
        <v>1</v>
      </c>
      <c r="H1300" s="214">
        <f>COMPOSICIÓN!H1300</f>
        <v>0</v>
      </c>
      <c r="I1300" s="215">
        <f>COMPOSICIÓN!I1300</f>
        <v>1723.6259595547085</v>
      </c>
      <c r="J1300" s="212" t="str">
        <f>IFERROR(VLOOKUP(A1300,PARTIDAS!$A$2:$C$269,3,FALSE()),"")</f>
        <v>PINTURA</v>
      </c>
      <c r="K1300" s="212" t="str">
        <f>IFERROR(INDEX(PPTO_GENERADOR!$B$4:$B$220,MATCH(A1300,PPTO_GENERADOR!$Q$4:$Q$220,0)),"")</f>
        <v/>
      </c>
      <c r="L1300" s="216">
        <f>IF(PLAN_ETAPA!$C$4="(TODOS)",SUMIFS(PPTO_GENERADOR!$E$4:$E$220,PPTO_GENERADOR!$Q$4:$Q$220,A1300),SUMIFS(PPTO_GENERADOR!$E$4:$E$220,PPTO_GENERADOR!$Q$4:$Q$220,A1300,PPTO_GENERADOR!$B$4:$B$220,PLAN_ETAPA!$C$4))</f>
        <v>0</v>
      </c>
      <c r="M1300" s="216">
        <f>IFERROR(VLOOKUP(A1300,PARTIDAS!$A$2:$F$269,6,FALSE()),1)</f>
        <v>20</v>
      </c>
      <c r="N1300" s="216">
        <f>IFERROR(VLOOKUP(A1300,PARTIDAS!$A$2:$I$269,9,FALSE()),1)</f>
        <v>1</v>
      </c>
      <c r="O1300" s="217">
        <f t="shared" si="40"/>
        <v>0</v>
      </c>
      <c r="P1300" s="216">
        <f>IF(O1300=0,0,IF(B1300="MAT",G1300*(1+H1300)*L1300*PLAN_ETAPA!$C$5,IF(B1300="MO",IF(M1300=0,0,G1300*L1300*PLAN_ETAPA!$C$5*N1300/M1300),IF(B1300="EQ",IF(M1300=0,0,G1300*L1300*PLAN_ETAPA!$C$5/M1300),0))))</f>
        <v>0</v>
      </c>
      <c r="Q1300" s="218">
        <f t="shared" si="41"/>
        <v>0</v>
      </c>
    </row>
    <row r="1301" spans="1:17" x14ac:dyDescent="0.35">
      <c r="A1301" s="212" t="str">
        <f>COMPOSICIÓN!A1301</f>
        <v>PTO-1502</v>
      </c>
      <c r="B1301" s="212" t="str">
        <f>COMPOSICIÓN!B1301</f>
        <v>EQ</v>
      </c>
      <c r="C1301" s="212">
        <f>COMPOSICIÓN!C1301</f>
        <v>0</v>
      </c>
      <c r="D1301" s="212" t="str">
        <f>COMPOSICIÓN!D1301</f>
        <v>EQ-PTO026</v>
      </c>
      <c r="E1301" s="212" t="str">
        <f>COMPOSICIÓN!E1301</f>
        <v>ESCALERA MADERA PINTOR 8 ESCALONES</v>
      </c>
      <c r="F1301" s="212">
        <f>COMPOSICIÓN!F1301</f>
        <v>0</v>
      </c>
      <c r="G1301" s="213">
        <f>COMPOSICIÓN!G1301</f>
        <v>1</v>
      </c>
      <c r="H1301" s="214">
        <f>COMPOSICIÓN!H1301</f>
        <v>0</v>
      </c>
      <c r="I1301" s="215">
        <f>COMPOSICIÓN!I1301</f>
        <v>200.25307946474501</v>
      </c>
      <c r="J1301" s="212" t="str">
        <f>IFERROR(VLOOKUP(A1301,PARTIDAS!$A$2:$C$269,3,FALSE()),"")</f>
        <v>PINTURA</v>
      </c>
      <c r="K1301" s="212" t="str">
        <f>IFERROR(INDEX(PPTO_GENERADOR!$B$4:$B$220,MATCH(A1301,PPTO_GENERADOR!$Q$4:$Q$220,0)),"")</f>
        <v/>
      </c>
      <c r="L1301" s="216">
        <f>IF(PLAN_ETAPA!$C$4="(TODOS)",SUMIFS(PPTO_GENERADOR!$E$4:$E$220,PPTO_GENERADOR!$Q$4:$Q$220,A1301),SUMIFS(PPTO_GENERADOR!$E$4:$E$220,PPTO_GENERADOR!$Q$4:$Q$220,A1301,PPTO_GENERADOR!$B$4:$B$220,PLAN_ETAPA!$C$4))</f>
        <v>0</v>
      </c>
      <c r="M1301" s="216">
        <f>IFERROR(VLOOKUP(A1301,PARTIDAS!$A$2:$F$269,6,FALSE()),1)</f>
        <v>20</v>
      </c>
      <c r="N1301" s="216">
        <f>IFERROR(VLOOKUP(A1301,PARTIDAS!$A$2:$I$269,9,FALSE()),1)</f>
        <v>1</v>
      </c>
      <c r="O1301" s="217">
        <f t="shared" si="40"/>
        <v>0</v>
      </c>
      <c r="P1301" s="216">
        <f>IF(O1301=0,0,IF(B1301="MAT",G1301*(1+H1301)*L1301*PLAN_ETAPA!$C$5,IF(B1301="MO",IF(M1301=0,0,G1301*L1301*PLAN_ETAPA!$C$5*N1301/M1301),IF(B1301="EQ",IF(M1301=0,0,G1301*L1301*PLAN_ETAPA!$C$5/M1301),0))))</f>
        <v>0</v>
      </c>
      <c r="Q1301" s="218">
        <f t="shared" si="41"/>
        <v>0</v>
      </c>
    </row>
    <row r="1302" spans="1:17" x14ac:dyDescent="0.35">
      <c r="A1302" s="212" t="str">
        <f>COMPOSICIÓN!A1302</f>
        <v>PTO-1502</v>
      </c>
      <c r="B1302" s="212" t="str">
        <f>COMPOSICIÓN!B1302</f>
        <v>MAT</v>
      </c>
      <c r="C1302" s="212" t="str">
        <f>COMPOSICIÓN!C1302</f>
        <v>OTR</v>
      </c>
      <c r="D1302" s="212" t="str">
        <f>COMPOSICIÓN!D1302</f>
        <v>OTR-021</v>
      </c>
      <c r="E1302" s="212" t="str">
        <f>COMPOSICIÓN!E1302</f>
        <v>Fijador al agua x 20 lts</v>
      </c>
      <c r="F1302" s="212" t="str">
        <f>COMPOSICIÓN!F1302</f>
        <v>b</v>
      </c>
      <c r="G1302" s="213">
        <f>COMPOSICIÓN!G1302</f>
        <v>4.0000000000000001E-3</v>
      </c>
      <c r="H1302" s="214">
        <f>COMPOSICIÓN!H1302</f>
        <v>0.05</v>
      </c>
      <c r="I1302" s="215">
        <f>COMPOSICIÓN!I1302</f>
        <v>30467.49</v>
      </c>
      <c r="J1302" s="212" t="str">
        <f>IFERROR(VLOOKUP(A1302,PARTIDAS!$A$2:$C$269,3,FALSE()),"")</f>
        <v>PINTURA</v>
      </c>
      <c r="K1302" s="212" t="str">
        <f>IFERROR(INDEX(PPTO_GENERADOR!$B$4:$B$220,MATCH(A1302,PPTO_GENERADOR!$Q$4:$Q$220,0)),"")</f>
        <v/>
      </c>
      <c r="L1302" s="216">
        <f>IF(PLAN_ETAPA!$C$4="(TODOS)",SUMIFS(PPTO_GENERADOR!$E$4:$E$220,PPTO_GENERADOR!$Q$4:$Q$220,A1302),SUMIFS(PPTO_GENERADOR!$E$4:$E$220,PPTO_GENERADOR!$Q$4:$Q$220,A1302,PPTO_GENERADOR!$B$4:$B$220,PLAN_ETAPA!$C$4))</f>
        <v>0</v>
      </c>
      <c r="M1302" s="216">
        <f>IFERROR(VLOOKUP(A1302,PARTIDAS!$A$2:$F$269,6,FALSE()),1)</f>
        <v>20</v>
      </c>
      <c r="N1302" s="216">
        <f>IFERROR(VLOOKUP(A1302,PARTIDAS!$A$2:$I$269,9,FALSE()),1)</f>
        <v>1</v>
      </c>
      <c r="O1302" s="217">
        <f t="shared" si="40"/>
        <v>0</v>
      </c>
      <c r="P1302" s="216">
        <f>IF(O1302=0,0,IF(B1302="MAT",G1302*(1+H1302)*L1302*PLAN_ETAPA!$C$5,IF(B1302="MO",IF(M1302=0,0,G1302*L1302*PLAN_ETAPA!$C$5*N1302/M1302),IF(B1302="EQ",IF(M1302=0,0,G1302*L1302*PLAN_ETAPA!$C$5/M1302),0))))</f>
        <v>0</v>
      </c>
      <c r="Q1302" s="218">
        <f t="shared" si="41"/>
        <v>0</v>
      </c>
    </row>
    <row r="1303" spans="1:17" x14ac:dyDescent="0.35">
      <c r="A1303" s="212" t="str">
        <f>COMPOSICIÓN!A1303</f>
        <v>PTO-1502</v>
      </c>
      <c r="B1303" s="212" t="str">
        <f>COMPOSICIÓN!B1303</f>
        <v>MAT</v>
      </c>
      <c r="C1303" s="212" t="str">
        <f>COMPOSICIÓN!C1303</f>
        <v>OTR</v>
      </c>
      <c r="D1303" s="212" t="str">
        <f>COMPOSICIÓN!D1303</f>
        <v>OTR-023</v>
      </c>
      <c r="E1303" s="212" t="str">
        <f>COMPOSICIÓN!E1303</f>
        <v>Lija 180 al agua x 10u</v>
      </c>
      <c r="F1303" s="212" t="str">
        <f>COMPOSICIÓN!F1303</f>
        <v>u</v>
      </c>
      <c r="G1303" s="213">
        <f>COMPOSICIÓN!G1303</f>
        <v>1.4999999999999999E-2</v>
      </c>
      <c r="H1303" s="214">
        <f>COMPOSICIÓN!H1303</f>
        <v>0.05</v>
      </c>
      <c r="I1303" s="215">
        <f>COMPOSICIÓN!I1303</f>
        <v>5661.4</v>
      </c>
      <c r="J1303" s="212" t="str">
        <f>IFERROR(VLOOKUP(A1303,PARTIDAS!$A$2:$C$269,3,FALSE()),"")</f>
        <v>PINTURA</v>
      </c>
      <c r="K1303" s="212" t="str">
        <f>IFERROR(INDEX(PPTO_GENERADOR!$B$4:$B$220,MATCH(A1303,PPTO_GENERADOR!$Q$4:$Q$220,0)),"")</f>
        <v/>
      </c>
      <c r="L1303" s="216">
        <f>IF(PLAN_ETAPA!$C$4="(TODOS)",SUMIFS(PPTO_GENERADOR!$E$4:$E$220,PPTO_GENERADOR!$Q$4:$Q$220,A1303),SUMIFS(PPTO_GENERADOR!$E$4:$E$220,PPTO_GENERADOR!$Q$4:$Q$220,A1303,PPTO_GENERADOR!$B$4:$B$220,PLAN_ETAPA!$C$4))</f>
        <v>0</v>
      </c>
      <c r="M1303" s="216">
        <f>IFERROR(VLOOKUP(A1303,PARTIDAS!$A$2:$F$269,6,FALSE()),1)</f>
        <v>20</v>
      </c>
      <c r="N1303" s="216">
        <f>IFERROR(VLOOKUP(A1303,PARTIDAS!$A$2:$I$269,9,FALSE()),1)</f>
        <v>1</v>
      </c>
      <c r="O1303" s="217">
        <f t="shared" si="40"/>
        <v>0</v>
      </c>
      <c r="P1303" s="216">
        <f>IF(O1303=0,0,IF(B1303="MAT",G1303*(1+H1303)*L1303*PLAN_ETAPA!$C$5,IF(B1303="MO",IF(M1303=0,0,G1303*L1303*PLAN_ETAPA!$C$5*N1303/M1303),IF(B1303="EQ",IF(M1303=0,0,G1303*L1303*PLAN_ETAPA!$C$5/M1303),0))))</f>
        <v>0</v>
      </c>
      <c r="Q1303" s="218">
        <f t="shared" si="41"/>
        <v>0</v>
      </c>
    </row>
    <row r="1304" spans="1:17" x14ac:dyDescent="0.35">
      <c r="A1304" s="212" t="str">
        <f>COMPOSICIÓN!A1304</f>
        <v>PTO-1502</v>
      </c>
      <c r="B1304" s="212" t="str">
        <f>COMPOSICIÓN!B1304</f>
        <v>MAT</v>
      </c>
      <c r="C1304" s="212" t="str">
        <f>COMPOSICIÓN!C1304</f>
        <v>OTR</v>
      </c>
      <c r="D1304" s="212" t="str">
        <f>COMPOSICIÓN!D1304</f>
        <v>OTR-024</v>
      </c>
      <c r="E1304" s="212" t="str">
        <f>COMPOSICIÓN!E1304</f>
        <v>Cinta de Papel 36 mm x 40m</v>
      </c>
      <c r="F1304" s="212" t="str">
        <f>COMPOSICIÓN!F1304</f>
        <v>u</v>
      </c>
      <c r="G1304" s="213">
        <f>COMPOSICIÓN!G1304</f>
        <v>0.05</v>
      </c>
      <c r="H1304" s="214">
        <f>COMPOSICIÓN!H1304</f>
        <v>0.1</v>
      </c>
      <c r="I1304" s="215">
        <f>COMPOSICIÓN!I1304</f>
        <v>3293.01</v>
      </c>
      <c r="J1304" s="212" t="str">
        <f>IFERROR(VLOOKUP(A1304,PARTIDAS!$A$2:$C$269,3,FALSE()),"")</f>
        <v>PINTURA</v>
      </c>
      <c r="K1304" s="212" t="str">
        <f>IFERROR(INDEX(PPTO_GENERADOR!$B$4:$B$220,MATCH(A1304,PPTO_GENERADOR!$Q$4:$Q$220,0)),"")</f>
        <v/>
      </c>
      <c r="L1304" s="216">
        <f>IF(PLAN_ETAPA!$C$4="(TODOS)",SUMIFS(PPTO_GENERADOR!$E$4:$E$220,PPTO_GENERADOR!$Q$4:$Q$220,A1304),SUMIFS(PPTO_GENERADOR!$E$4:$E$220,PPTO_GENERADOR!$Q$4:$Q$220,A1304,PPTO_GENERADOR!$B$4:$B$220,PLAN_ETAPA!$C$4))</f>
        <v>0</v>
      </c>
      <c r="M1304" s="216">
        <f>IFERROR(VLOOKUP(A1304,PARTIDAS!$A$2:$F$269,6,FALSE()),1)</f>
        <v>20</v>
      </c>
      <c r="N1304" s="216">
        <f>IFERROR(VLOOKUP(A1304,PARTIDAS!$A$2:$I$269,9,FALSE()),1)</f>
        <v>1</v>
      </c>
      <c r="O1304" s="217">
        <f t="shared" si="40"/>
        <v>0</v>
      </c>
      <c r="P1304" s="216">
        <f>IF(O1304=0,0,IF(B1304="MAT",G1304*(1+H1304)*L1304*PLAN_ETAPA!$C$5,IF(B1304="MO",IF(M1304=0,0,G1304*L1304*PLAN_ETAPA!$C$5*N1304/M1304),IF(B1304="EQ",IF(M1304=0,0,G1304*L1304*PLAN_ETAPA!$C$5/M1304),0))))</f>
        <v>0</v>
      </c>
      <c r="Q1304" s="218">
        <f t="shared" si="41"/>
        <v>0</v>
      </c>
    </row>
    <row r="1305" spans="1:17" x14ac:dyDescent="0.35">
      <c r="A1305" s="212" t="str">
        <f>COMPOSICIÓN!A1305</f>
        <v>PTO-1502</v>
      </c>
      <c r="B1305" s="212" t="str">
        <f>COMPOSICIÓN!B1305</f>
        <v>MAT</v>
      </c>
      <c r="C1305" s="212" t="str">
        <f>COMPOSICIÓN!C1305</f>
        <v>OTR</v>
      </c>
      <c r="D1305" s="212" t="str">
        <f>COMPOSICIÓN!D1305</f>
        <v>OTR-025</v>
      </c>
      <c r="E1305" s="212" t="str">
        <f>COMPOSICIÓN!E1305</f>
        <v>Trapo</v>
      </c>
      <c r="F1305" s="212" t="str">
        <f>COMPOSICIÓN!F1305</f>
        <v>u</v>
      </c>
      <c r="G1305" s="213">
        <f>COMPOSICIÓN!G1305</f>
        <v>0.03</v>
      </c>
      <c r="H1305" s="214">
        <f>COMPOSICIÓN!H1305</f>
        <v>0.05</v>
      </c>
      <c r="I1305" s="215">
        <f>COMPOSICIÓN!I1305</f>
        <v>735.06</v>
      </c>
      <c r="J1305" s="212" t="str">
        <f>IFERROR(VLOOKUP(A1305,PARTIDAS!$A$2:$C$269,3,FALSE()),"")</f>
        <v>PINTURA</v>
      </c>
      <c r="K1305" s="212" t="str">
        <f>IFERROR(INDEX(PPTO_GENERADOR!$B$4:$B$220,MATCH(A1305,PPTO_GENERADOR!$Q$4:$Q$220,0)),"")</f>
        <v/>
      </c>
      <c r="L1305" s="216">
        <f>IF(PLAN_ETAPA!$C$4="(TODOS)",SUMIFS(PPTO_GENERADOR!$E$4:$E$220,PPTO_GENERADOR!$Q$4:$Q$220,A1305),SUMIFS(PPTO_GENERADOR!$E$4:$E$220,PPTO_GENERADOR!$Q$4:$Q$220,A1305,PPTO_GENERADOR!$B$4:$B$220,PLAN_ETAPA!$C$4))</f>
        <v>0</v>
      </c>
      <c r="M1305" s="216">
        <f>IFERROR(VLOOKUP(A1305,PARTIDAS!$A$2:$F$269,6,FALSE()),1)</f>
        <v>20</v>
      </c>
      <c r="N1305" s="216">
        <f>IFERROR(VLOOKUP(A1305,PARTIDAS!$A$2:$I$269,9,FALSE()),1)</f>
        <v>1</v>
      </c>
      <c r="O1305" s="217">
        <f t="shared" si="40"/>
        <v>0</v>
      </c>
      <c r="P1305" s="216">
        <f>IF(O1305=0,0,IF(B1305="MAT",G1305*(1+H1305)*L1305*PLAN_ETAPA!$C$5,IF(B1305="MO",IF(M1305=0,0,G1305*L1305*PLAN_ETAPA!$C$5*N1305/M1305),IF(B1305="EQ",IF(M1305=0,0,G1305*L1305*PLAN_ETAPA!$C$5/M1305),0))))</f>
        <v>0</v>
      </c>
      <c r="Q1305" s="218">
        <f t="shared" si="41"/>
        <v>0</v>
      </c>
    </row>
    <row r="1306" spans="1:17" x14ac:dyDescent="0.35">
      <c r="A1306" s="212" t="str">
        <f>COMPOSICIÓN!A1306</f>
        <v>PTO-1502</v>
      </c>
      <c r="B1306" s="212" t="str">
        <f>COMPOSICIÓN!B1306</f>
        <v>MAT</v>
      </c>
      <c r="C1306" s="212" t="str">
        <f>COMPOSICIÓN!C1306</f>
        <v>OTR</v>
      </c>
      <c r="D1306" s="212" t="str">
        <f>COMPOSICIÓN!D1306</f>
        <v>OTR-026</v>
      </c>
      <c r="E1306" s="212" t="str">
        <f>COMPOSICIÓN!E1306</f>
        <v>Rodillo de lana pelo corto antigota N°22 - El Galgo</v>
      </c>
      <c r="F1306" s="212" t="str">
        <f>COMPOSICIÓN!F1306</f>
        <v>u</v>
      </c>
      <c r="G1306" s="213">
        <f>COMPOSICIÓN!G1306</f>
        <v>5.0000000000000001E-3</v>
      </c>
      <c r="H1306" s="214">
        <f>COMPOSICIÓN!H1306</f>
        <v>0.05</v>
      </c>
      <c r="I1306" s="215">
        <f>COMPOSICIÓN!I1306</f>
        <v>6678.36</v>
      </c>
      <c r="J1306" s="212" t="str">
        <f>IFERROR(VLOOKUP(A1306,PARTIDAS!$A$2:$C$269,3,FALSE()),"")</f>
        <v>PINTURA</v>
      </c>
      <c r="K1306" s="212" t="str">
        <f>IFERROR(INDEX(PPTO_GENERADOR!$B$4:$B$220,MATCH(A1306,PPTO_GENERADOR!$Q$4:$Q$220,0)),"")</f>
        <v/>
      </c>
      <c r="L1306" s="216">
        <f>IF(PLAN_ETAPA!$C$4="(TODOS)",SUMIFS(PPTO_GENERADOR!$E$4:$E$220,PPTO_GENERADOR!$Q$4:$Q$220,A1306),SUMIFS(PPTO_GENERADOR!$E$4:$E$220,PPTO_GENERADOR!$Q$4:$Q$220,A1306,PPTO_GENERADOR!$B$4:$B$220,PLAN_ETAPA!$C$4))</f>
        <v>0</v>
      </c>
      <c r="M1306" s="216">
        <f>IFERROR(VLOOKUP(A1306,PARTIDAS!$A$2:$F$269,6,FALSE()),1)</f>
        <v>20</v>
      </c>
      <c r="N1306" s="216">
        <f>IFERROR(VLOOKUP(A1306,PARTIDAS!$A$2:$I$269,9,FALSE()),1)</f>
        <v>1</v>
      </c>
      <c r="O1306" s="217">
        <f t="shared" si="40"/>
        <v>0</v>
      </c>
      <c r="P1306" s="216">
        <f>IF(O1306=0,0,IF(B1306="MAT",G1306*(1+H1306)*L1306*PLAN_ETAPA!$C$5,IF(B1306="MO",IF(M1306=0,0,G1306*L1306*PLAN_ETAPA!$C$5*N1306/M1306),IF(B1306="EQ",IF(M1306=0,0,G1306*L1306*PLAN_ETAPA!$C$5/M1306),0))))</f>
        <v>0</v>
      </c>
      <c r="Q1306" s="218">
        <f t="shared" si="41"/>
        <v>0</v>
      </c>
    </row>
    <row r="1307" spans="1:17" x14ac:dyDescent="0.35">
      <c r="A1307" s="212" t="str">
        <f>COMPOSICIÓN!A1307</f>
        <v>PTO-1502</v>
      </c>
      <c r="B1307" s="212" t="str">
        <f>COMPOSICIÓN!B1307</f>
        <v>MAT</v>
      </c>
      <c r="C1307" s="212" t="str">
        <f>COMPOSICIÓN!C1307</f>
        <v>OTR</v>
      </c>
      <c r="D1307" s="212" t="str">
        <f>COMPOSICIÓN!D1307</f>
        <v>OTR-028</v>
      </c>
      <c r="E1307" s="212" t="str">
        <f>COMPOSICIÓN!E1307</f>
        <v>Pincel N° 20 - El Galgo</v>
      </c>
      <c r="F1307" s="212" t="str">
        <f>COMPOSICIÓN!F1307</f>
        <v>u</v>
      </c>
      <c r="G1307" s="213">
        <f>COMPOSICIÓN!G1307</f>
        <v>5.0000000000000001E-3</v>
      </c>
      <c r="H1307" s="214">
        <f>COMPOSICIÓN!H1307</f>
        <v>0.05</v>
      </c>
      <c r="I1307" s="215">
        <f>COMPOSICIÓN!I1307</f>
        <v>5282.24</v>
      </c>
      <c r="J1307" s="212" t="str">
        <f>IFERROR(VLOOKUP(A1307,PARTIDAS!$A$2:$C$269,3,FALSE()),"")</f>
        <v>PINTURA</v>
      </c>
      <c r="K1307" s="212" t="str">
        <f>IFERROR(INDEX(PPTO_GENERADOR!$B$4:$B$220,MATCH(A1307,PPTO_GENERADOR!$Q$4:$Q$220,0)),"")</f>
        <v/>
      </c>
      <c r="L1307" s="216">
        <f>IF(PLAN_ETAPA!$C$4="(TODOS)",SUMIFS(PPTO_GENERADOR!$E$4:$E$220,PPTO_GENERADOR!$Q$4:$Q$220,A1307),SUMIFS(PPTO_GENERADOR!$E$4:$E$220,PPTO_GENERADOR!$Q$4:$Q$220,A1307,PPTO_GENERADOR!$B$4:$B$220,PLAN_ETAPA!$C$4))</f>
        <v>0</v>
      </c>
      <c r="M1307" s="216">
        <f>IFERROR(VLOOKUP(A1307,PARTIDAS!$A$2:$F$269,6,FALSE()),1)</f>
        <v>20</v>
      </c>
      <c r="N1307" s="216">
        <f>IFERROR(VLOOKUP(A1307,PARTIDAS!$A$2:$I$269,9,FALSE()),1)</f>
        <v>1</v>
      </c>
      <c r="O1307" s="217">
        <f t="shared" si="40"/>
        <v>0</v>
      </c>
      <c r="P1307" s="216">
        <f>IF(O1307=0,0,IF(B1307="MAT",G1307*(1+H1307)*L1307*PLAN_ETAPA!$C$5,IF(B1307="MO",IF(M1307=0,0,G1307*L1307*PLAN_ETAPA!$C$5*N1307/M1307),IF(B1307="EQ",IF(M1307=0,0,G1307*L1307*PLAN_ETAPA!$C$5/M1307),0))))</f>
        <v>0</v>
      </c>
      <c r="Q1307" s="218">
        <f t="shared" si="41"/>
        <v>0</v>
      </c>
    </row>
    <row r="1308" spans="1:17" x14ac:dyDescent="0.35">
      <c r="A1308" s="212" t="str">
        <f>COMPOSICIÓN!A1308</f>
        <v>PTO-1502</v>
      </c>
      <c r="B1308" s="212" t="str">
        <f>COMPOSICIÓN!B1308</f>
        <v>MAT</v>
      </c>
      <c r="C1308" s="212" t="str">
        <f>COMPOSICIÓN!C1308</f>
        <v>OTR</v>
      </c>
      <c r="D1308" s="212" t="str">
        <f>COMPOSICIÓN!D1308</f>
        <v>OTR-029</v>
      </c>
      <c r="E1308" s="212" t="str">
        <f>COMPOSICIÓN!E1308</f>
        <v>Rollo de cartón corrugado 0,90 x 25 mts</v>
      </c>
      <c r="F1308" s="212" t="str">
        <f>COMPOSICIÓN!F1308</f>
        <v>u</v>
      </c>
      <c r="G1308" s="213">
        <f>COMPOSICIÓN!G1308</f>
        <v>0.01</v>
      </c>
      <c r="H1308" s="214">
        <f>COMPOSICIÓN!H1308</f>
        <v>0.05</v>
      </c>
      <c r="I1308" s="215">
        <f>COMPOSICIÓN!I1308</f>
        <v>7427.6</v>
      </c>
      <c r="J1308" s="212" t="str">
        <f>IFERROR(VLOOKUP(A1308,PARTIDAS!$A$2:$C$269,3,FALSE()),"")</f>
        <v>PINTURA</v>
      </c>
      <c r="K1308" s="212" t="str">
        <f>IFERROR(INDEX(PPTO_GENERADOR!$B$4:$B$220,MATCH(A1308,PPTO_GENERADOR!$Q$4:$Q$220,0)),"")</f>
        <v/>
      </c>
      <c r="L1308" s="216">
        <f>IF(PLAN_ETAPA!$C$4="(TODOS)",SUMIFS(PPTO_GENERADOR!$E$4:$E$220,PPTO_GENERADOR!$Q$4:$Q$220,A1308),SUMIFS(PPTO_GENERADOR!$E$4:$E$220,PPTO_GENERADOR!$Q$4:$Q$220,A1308,PPTO_GENERADOR!$B$4:$B$220,PLAN_ETAPA!$C$4))</f>
        <v>0</v>
      </c>
      <c r="M1308" s="216">
        <f>IFERROR(VLOOKUP(A1308,PARTIDAS!$A$2:$F$269,6,FALSE()),1)</f>
        <v>20</v>
      </c>
      <c r="N1308" s="216">
        <f>IFERROR(VLOOKUP(A1308,PARTIDAS!$A$2:$I$269,9,FALSE()),1)</f>
        <v>1</v>
      </c>
      <c r="O1308" s="217">
        <f t="shared" si="40"/>
        <v>0</v>
      </c>
      <c r="P1308" s="216">
        <f>IF(O1308=0,0,IF(B1308="MAT",G1308*(1+H1308)*L1308*PLAN_ETAPA!$C$5,IF(B1308="MO",IF(M1308=0,0,G1308*L1308*PLAN_ETAPA!$C$5*N1308/M1308),IF(B1308="EQ",IF(M1308=0,0,G1308*L1308*PLAN_ETAPA!$C$5/M1308),0))))</f>
        <v>0</v>
      </c>
      <c r="Q1308" s="218">
        <f t="shared" si="41"/>
        <v>0</v>
      </c>
    </row>
    <row r="1309" spans="1:17" x14ac:dyDescent="0.35">
      <c r="A1309" s="212" t="str">
        <f>COMPOSICIÓN!A1309</f>
        <v>PTO-1502</v>
      </c>
      <c r="B1309" s="212" t="str">
        <f>COMPOSICIÓN!B1309</f>
        <v>MAT</v>
      </c>
      <c r="C1309" s="212" t="str">
        <f>COMPOSICIÓN!C1309</f>
        <v>OTR</v>
      </c>
      <c r="D1309" s="212" t="str">
        <f>COMPOSICIÓN!D1309</f>
        <v>PIN-001</v>
      </c>
      <c r="E1309" s="212" t="str">
        <f>COMPOSICIÓN!E1309</f>
        <v>Latex Loxon Interior Sherwin Williams Mate Bco x 20lts</v>
      </c>
      <c r="F1309" s="212" t="str">
        <f>COMPOSICIÓN!F1309</f>
        <v>B</v>
      </c>
      <c r="G1309" s="213">
        <f>COMPOSICIÓN!G1309</f>
        <v>1.2500000000000001E-2</v>
      </c>
      <c r="H1309" s="214">
        <f>COMPOSICIÓN!H1309</f>
        <v>0.1</v>
      </c>
      <c r="I1309" s="215">
        <f>COMPOSICIÓN!I1309</f>
        <v>120622.23</v>
      </c>
      <c r="J1309" s="212" t="str">
        <f>IFERROR(VLOOKUP(A1309,PARTIDAS!$A$2:$C$269,3,FALSE()),"")</f>
        <v>PINTURA</v>
      </c>
      <c r="K1309" s="212" t="str">
        <f>IFERROR(INDEX(PPTO_GENERADOR!$B$4:$B$220,MATCH(A1309,PPTO_GENERADOR!$Q$4:$Q$220,0)),"")</f>
        <v/>
      </c>
      <c r="L1309" s="216">
        <f>IF(PLAN_ETAPA!$C$4="(TODOS)",SUMIFS(PPTO_GENERADOR!$E$4:$E$220,PPTO_GENERADOR!$Q$4:$Q$220,A1309),SUMIFS(PPTO_GENERADOR!$E$4:$E$220,PPTO_GENERADOR!$Q$4:$Q$220,A1309,PPTO_GENERADOR!$B$4:$B$220,PLAN_ETAPA!$C$4))</f>
        <v>0</v>
      </c>
      <c r="M1309" s="216">
        <f>IFERROR(VLOOKUP(A1309,PARTIDAS!$A$2:$F$269,6,FALSE()),1)</f>
        <v>20</v>
      </c>
      <c r="N1309" s="216">
        <f>IFERROR(VLOOKUP(A1309,PARTIDAS!$A$2:$I$269,9,FALSE()),1)</f>
        <v>1</v>
      </c>
      <c r="O1309" s="217">
        <f t="shared" si="40"/>
        <v>0</v>
      </c>
      <c r="P1309" s="216">
        <f>IF(O1309=0,0,IF(B1309="MAT",G1309*(1+H1309)*L1309*PLAN_ETAPA!$C$5,IF(B1309="MO",IF(M1309=0,0,G1309*L1309*PLAN_ETAPA!$C$5*N1309/M1309),IF(B1309="EQ",IF(M1309=0,0,G1309*L1309*PLAN_ETAPA!$C$5/M1309),0))))</f>
        <v>0</v>
      </c>
      <c r="Q1309" s="218">
        <f t="shared" si="41"/>
        <v>0</v>
      </c>
    </row>
    <row r="1310" spans="1:17" x14ac:dyDescent="0.35">
      <c r="A1310" s="212" t="str">
        <f>COMPOSICIÓN!A1310</f>
        <v>PTO-1502</v>
      </c>
      <c r="B1310" s="212" t="str">
        <f>COMPOSICIÓN!B1310</f>
        <v>MAT</v>
      </c>
      <c r="C1310" s="212" t="str">
        <f>COMPOSICIÓN!C1310</f>
        <v>OTR</v>
      </c>
      <c r="D1310" s="212" t="str">
        <f>COMPOSICIÓN!D1310</f>
        <v>PIN-007</v>
      </c>
      <c r="E1310" s="212" t="str">
        <f>COMPOSICIÓN!E1310</f>
        <v>Enduido Interior x 20lts</v>
      </c>
      <c r="F1310" s="212" t="str">
        <f>COMPOSICIÓN!F1310</f>
        <v>B</v>
      </c>
      <c r="G1310" s="213">
        <f>COMPOSICIÓN!G1310</f>
        <v>2E-3</v>
      </c>
      <c r="H1310" s="214">
        <f>COMPOSICIÓN!H1310</f>
        <v>0.1</v>
      </c>
      <c r="I1310" s="215">
        <f>COMPOSICIÓN!I1310</f>
        <v>18735.77</v>
      </c>
      <c r="J1310" s="212" t="str">
        <f>IFERROR(VLOOKUP(A1310,PARTIDAS!$A$2:$C$269,3,FALSE()),"")</f>
        <v>PINTURA</v>
      </c>
      <c r="K1310" s="212" t="str">
        <f>IFERROR(INDEX(PPTO_GENERADOR!$B$4:$B$220,MATCH(A1310,PPTO_GENERADOR!$Q$4:$Q$220,0)),"")</f>
        <v/>
      </c>
      <c r="L1310" s="216">
        <f>IF(PLAN_ETAPA!$C$4="(TODOS)",SUMIFS(PPTO_GENERADOR!$E$4:$E$220,PPTO_GENERADOR!$Q$4:$Q$220,A1310),SUMIFS(PPTO_GENERADOR!$E$4:$E$220,PPTO_GENERADOR!$Q$4:$Q$220,A1310,PPTO_GENERADOR!$B$4:$B$220,PLAN_ETAPA!$C$4))</f>
        <v>0</v>
      </c>
      <c r="M1310" s="216">
        <f>IFERROR(VLOOKUP(A1310,PARTIDAS!$A$2:$F$269,6,FALSE()),1)</f>
        <v>20</v>
      </c>
      <c r="N1310" s="216">
        <f>IFERROR(VLOOKUP(A1310,PARTIDAS!$A$2:$I$269,9,FALSE()),1)</f>
        <v>1</v>
      </c>
      <c r="O1310" s="217">
        <f t="shared" si="40"/>
        <v>0</v>
      </c>
      <c r="P1310" s="216">
        <f>IF(O1310=0,0,IF(B1310="MAT",G1310*(1+H1310)*L1310*PLAN_ETAPA!$C$5,IF(B1310="MO",IF(M1310=0,0,G1310*L1310*PLAN_ETAPA!$C$5*N1310/M1310),IF(B1310="EQ",IF(M1310=0,0,G1310*L1310*PLAN_ETAPA!$C$5/M1310),0))))</f>
        <v>0</v>
      </c>
      <c r="Q1310" s="218">
        <f t="shared" si="41"/>
        <v>0</v>
      </c>
    </row>
    <row r="1311" spans="1:17" x14ac:dyDescent="0.35">
      <c r="A1311" s="212" t="str">
        <f>COMPOSICIÓN!A1311</f>
        <v>PTO-1502</v>
      </c>
      <c r="B1311" s="212" t="str">
        <f>COMPOSICIÓN!B1311</f>
        <v>MAT</v>
      </c>
      <c r="C1311" s="212" t="str">
        <f>COMPOSICIÓN!C1311</f>
        <v>OTR</v>
      </c>
      <c r="D1311" s="212" t="str">
        <f>COMPOSICIÓN!D1311</f>
        <v>REV-001</v>
      </c>
      <c r="E1311" s="212" t="str">
        <f>COMPOSICIÓN!E1311</f>
        <v>Yeso Tuyango x 30kg</v>
      </c>
      <c r="F1311" s="212" t="str">
        <f>COMPOSICIÓN!F1311</f>
        <v>b</v>
      </c>
      <c r="G1311" s="213">
        <f>COMPOSICIÓN!G1311</f>
        <v>1E-3</v>
      </c>
      <c r="H1311" s="214">
        <f>COMPOSICIÓN!H1311</f>
        <v>0.05</v>
      </c>
      <c r="I1311" s="215">
        <f>COMPOSICIÓN!I1311</f>
        <v>9639</v>
      </c>
      <c r="J1311" s="212" t="str">
        <f>IFERROR(VLOOKUP(A1311,PARTIDAS!$A$2:$C$269,3,FALSE()),"")</f>
        <v>PINTURA</v>
      </c>
      <c r="K1311" s="212" t="str">
        <f>IFERROR(INDEX(PPTO_GENERADOR!$B$4:$B$220,MATCH(A1311,PPTO_GENERADOR!$Q$4:$Q$220,0)),"")</f>
        <v/>
      </c>
      <c r="L1311" s="216">
        <f>IF(PLAN_ETAPA!$C$4="(TODOS)",SUMIFS(PPTO_GENERADOR!$E$4:$E$220,PPTO_GENERADOR!$Q$4:$Q$220,A1311),SUMIFS(PPTO_GENERADOR!$E$4:$E$220,PPTO_GENERADOR!$Q$4:$Q$220,A1311,PPTO_GENERADOR!$B$4:$B$220,PLAN_ETAPA!$C$4))</f>
        <v>0</v>
      </c>
      <c r="M1311" s="216">
        <f>IFERROR(VLOOKUP(A1311,PARTIDAS!$A$2:$F$269,6,FALSE()),1)</f>
        <v>20</v>
      </c>
      <c r="N1311" s="216">
        <f>IFERROR(VLOOKUP(A1311,PARTIDAS!$A$2:$I$269,9,FALSE()),1)</f>
        <v>1</v>
      </c>
      <c r="O1311" s="217">
        <f t="shared" si="40"/>
        <v>0</v>
      </c>
      <c r="P1311" s="216">
        <f>IF(O1311=0,0,IF(B1311="MAT",G1311*(1+H1311)*L1311*PLAN_ETAPA!$C$5,IF(B1311="MO",IF(M1311=0,0,G1311*L1311*PLAN_ETAPA!$C$5*N1311/M1311),IF(B1311="EQ",IF(M1311=0,0,G1311*L1311*PLAN_ETAPA!$C$5/M1311),0))))</f>
        <v>0</v>
      </c>
      <c r="Q1311" s="218">
        <f t="shared" si="41"/>
        <v>0</v>
      </c>
    </row>
    <row r="1312" spans="1:17" x14ac:dyDescent="0.35">
      <c r="A1312" s="212" t="str">
        <f>COMPOSICIÓN!A1312</f>
        <v>PTO-1502</v>
      </c>
      <c r="B1312" s="212" t="str">
        <f>COMPOSICIÓN!B1312</f>
        <v>MO</v>
      </c>
      <c r="C1312" s="212" t="str">
        <f>COMPOSICIÓN!C1312</f>
        <v>ALB</v>
      </c>
      <c r="D1312" s="212" t="str">
        <f>COMPOSICIÓN!D1312</f>
        <v>MO-EESPE</v>
      </c>
      <c r="E1312" s="212" t="str">
        <f>COMPOSICIÓN!E1312</f>
        <v>ESPECIALIZADO</v>
      </c>
      <c r="F1312" s="212" t="str">
        <f>COMPOSICIÓN!F1312</f>
        <v>j</v>
      </c>
      <c r="G1312" s="213">
        <f>COMPOSICIÓN!G1312</f>
        <v>1</v>
      </c>
      <c r="H1312" s="214">
        <f>COMPOSICIÓN!H1312</f>
        <v>0</v>
      </c>
      <c r="I1312" s="215">
        <f>COMPOSICIÓN!I1312</f>
        <v>85927.097156571996</v>
      </c>
      <c r="J1312" s="212" t="str">
        <f>IFERROR(VLOOKUP(A1312,PARTIDAS!$A$2:$C$269,3,FALSE()),"")</f>
        <v>PINTURA</v>
      </c>
      <c r="K1312" s="212" t="str">
        <f>IFERROR(INDEX(PPTO_GENERADOR!$B$4:$B$220,MATCH(A1312,PPTO_GENERADOR!$Q$4:$Q$220,0)),"")</f>
        <v/>
      </c>
      <c r="L1312" s="216">
        <f>IF(PLAN_ETAPA!$C$4="(TODOS)",SUMIFS(PPTO_GENERADOR!$E$4:$E$220,PPTO_GENERADOR!$Q$4:$Q$220,A1312),SUMIFS(PPTO_GENERADOR!$E$4:$E$220,PPTO_GENERADOR!$Q$4:$Q$220,A1312,PPTO_GENERADOR!$B$4:$B$220,PLAN_ETAPA!$C$4))</f>
        <v>0</v>
      </c>
      <c r="M1312" s="216">
        <f>IFERROR(VLOOKUP(A1312,PARTIDAS!$A$2:$F$269,6,FALSE()),1)</f>
        <v>20</v>
      </c>
      <c r="N1312" s="216">
        <f>IFERROR(VLOOKUP(A1312,PARTIDAS!$A$2:$I$269,9,FALSE()),1)</f>
        <v>1</v>
      </c>
      <c r="O1312" s="217">
        <f t="shared" si="40"/>
        <v>0</v>
      </c>
      <c r="P1312" s="216">
        <f>IF(O1312=0,0,IF(B1312="MAT",G1312*(1+H1312)*L1312*PLAN_ETAPA!$C$5,IF(B1312="MO",IF(M1312=0,0,G1312*L1312*PLAN_ETAPA!$C$5*N1312/M1312),IF(B1312="EQ",IF(M1312=0,0,G1312*L1312*PLAN_ETAPA!$C$5/M1312),0))))</f>
        <v>0</v>
      </c>
      <c r="Q1312" s="218">
        <f t="shared" si="41"/>
        <v>0</v>
      </c>
    </row>
    <row r="1313" spans="1:17" x14ac:dyDescent="0.35">
      <c r="A1313" s="212" t="str">
        <f>COMPOSICIÓN!A1313</f>
        <v>PTO-1503</v>
      </c>
      <c r="B1313" s="212" t="str">
        <f>COMPOSICIÓN!B1313</f>
        <v>EQ</v>
      </c>
      <c r="C1313" s="212">
        <f>COMPOSICIÓN!C1313</f>
        <v>0</v>
      </c>
      <c r="D1313" s="212" t="str">
        <f>COMPOSICIÓN!D1313</f>
        <v>EQ-EQUIPI</v>
      </c>
      <c r="E1313" s="212" t="str">
        <f>COMPOSICIÓN!E1313</f>
        <v>EQUIPO PARA PINTAR</v>
      </c>
      <c r="F1313" s="212">
        <f>COMPOSICIÓN!F1313</f>
        <v>0</v>
      </c>
      <c r="G1313" s="213">
        <f>COMPOSICIÓN!G1313</f>
        <v>2</v>
      </c>
      <c r="H1313" s="214">
        <f>COMPOSICIÓN!H1313</f>
        <v>0</v>
      </c>
      <c r="I1313" s="215">
        <f>COMPOSICIÓN!I1313</f>
        <v>1723.6259595547085</v>
      </c>
      <c r="J1313" s="212" t="str">
        <f>IFERROR(VLOOKUP(A1313,PARTIDAS!$A$2:$C$269,3,FALSE()),"")</f>
        <v>PINTURA</v>
      </c>
      <c r="K1313" s="212" t="str">
        <f>IFERROR(INDEX(PPTO_GENERADOR!$B$4:$B$220,MATCH(A1313,PPTO_GENERADOR!$Q$4:$Q$220,0)),"")</f>
        <v>PINTURA</v>
      </c>
      <c r="L1313" s="216">
        <f>IF(PLAN_ETAPA!$C$4="(TODOS)",SUMIFS(PPTO_GENERADOR!$E$4:$E$220,PPTO_GENERADOR!$Q$4:$Q$220,A1313),SUMIFS(PPTO_GENERADOR!$E$4:$E$220,PPTO_GENERADOR!$Q$4:$Q$220,A1313,PPTO_GENERADOR!$B$4:$B$220,PLAN_ETAPA!$C$4))</f>
        <v>0</v>
      </c>
      <c r="M1313" s="216">
        <f>IFERROR(VLOOKUP(A1313,PARTIDAS!$A$2:$F$269,6,FALSE()),1)</f>
        <v>22</v>
      </c>
      <c r="N1313" s="216">
        <f>IFERROR(VLOOKUP(A1313,PARTIDAS!$A$2:$I$269,9,FALSE()),1)</f>
        <v>1</v>
      </c>
      <c r="O1313" s="217">
        <f t="shared" si="40"/>
        <v>0</v>
      </c>
      <c r="P1313" s="216">
        <f>IF(O1313=0,0,IF(B1313="MAT",G1313*(1+H1313)*L1313*PLAN_ETAPA!$C$5,IF(B1313="MO",IF(M1313=0,0,G1313*L1313*PLAN_ETAPA!$C$5*N1313/M1313),IF(B1313="EQ",IF(M1313=0,0,G1313*L1313*PLAN_ETAPA!$C$5/M1313),0))))</f>
        <v>0</v>
      </c>
      <c r="Q1313" s="218">
        <f t="shared" si="41"/>
        <v>0</v>
      </c>
    </row>
    <row r="1314" spans="1:17" x14ac:dyDescent="0.35">
      <c r="A1314" s="212" t="str">
        <f>COMPOSICIÓN!A1314</f>
        <v>PTO-1503</v>
      </c>
      <c r="B1314" s="212" t="str">
        <f>COMPOSICIÓN!B1314</f>
        <v>EQ</v>
      </c>
      <c r="C1314" s="212">
        <f>COMPOSICIÓN!C1314</f>
        <v>0</v>
      </c>
      <c r="D1314" s="212" t="str">
        <f>COMPOSICIÓN!D1314</f>
        <v>EQ-PTO026</v>
      </c>
      <c r="E1314" s="212" t="str">
        <f>COMPOSICIÓN!E1314</f>
        <v>ESCALERA MADERA PINTOR 8 ESCALONES</v>
      </c>
      <c r="F1314" s="212">
        <f>COMPOSICIÓN!F1314</f>
        <v>0</v>
      </c>
      <c r="G1314" s="213">
        <f>COMPOSICIÓN!G1314</f>
        <v>2</v>
      </c>
      <c r="H1314" s="214">
        <f>COMPOSICIÓN!H1314</f>
        <v>0</v>
      </c>
      <c r="I1314" s="215">
        <f>COMPOSICIÓN!I1314</f>
        <v>200.25307946474501</v>
      </c>
      <c r="J1314" s="212" t="str">
        <f>IFERROR(VLOOKUP(A1314,PARTIDAS!$A$2:$C$269,3,FALSE()),"")</f>
        <v>PINTURA</v>
      </c>
      <c r="K1314" s="212" t="str">
        <f>IFERROR(INDEX(PPTO_GENERADOR!$B$4:$B$220,MATCH(A1314,PPTO_GENERADOR!$Q$4:$Q$220,0)),"")</f>
        <v>PINTURA</v>
      </c>
      <c r="L1314" s="216">
        <f>IF(PLAN_ETAPA!$C$4="(TODOS)",SUMIFS(PPTO_GENERADOR!$E$4:$E$220,PPTO_GENERADOR!$Q$4:$Q$220,A1314),SUMIFS(PPTO_GENERADOR!$E$4:$E$220,PPTO_GENERADOR!$Q$4:$Q$220,A1314,PPTO_GENERADOR!$B$4:$B$220,PLAN_ETAPA!$C$4))</f>
        <v>0</v>
      </c>
      <c r="M1314" s="216">
        <f>IFERROR(VLOOKUP(A1314,PARTIDAS!$A$2:$F$269,6,FALSE()),1)</f>
        <v>22</v>
      </c>
      <c r="N1314" s="216">
        <f>IFERROR(VLOOKUP(A1314,PARTIDAS!$A$2:$I$269,9,FALSE()),1)</f>
        <v>1</v>
      </c>
      <c r="O1314" s="217">
        <f t="shared" si="40"/>
        <v>0</v>
      </c>
      <c r="P1314" s="216">
        <f>IF(O1314=0,0,IF(B1314="MAT",G1314*(1+H1314)*L1314*PLAN_ETAPA!$C$5,IF(B1314="MO",IF(M1314=0,0,G1314*L1314*PLAN_ETAPA!$C$5*N1314/M1314),IF(B1314="EQ",IF(M1314=0,0,G1314*L1314*PLAN_ETAPA!$C$5/M1314),0))))</f>
        <v>0</v>
      </c>
      <c r="Q1314" s="218">
        <f t="shared" si="41"/>
        <v>0</v>
      </c>
    </row>
    <row r="1315" spans="1:17" x14ac:dyDescent="0.35">
      <c r="A1315" s="212" t="str">
        <f>COMPOSICIÓN!A1315</f>
        <v>PTO-1503</v>
      </c>
      <c r="B1315" s="212" t="str">
        <f>COMPOSICIÓN!B1315</f>
        <v>MAT</v>
      </c>
      <c r="C1315" s="212" t="str">
        <f>COMPOSICIÓN!C1315</f>
        <v>OTR</v>
      </c>
      <c r="D1315" s="212" t="str">
        <f>COMPOSICIÓN!D1315</f>
        <v>OTR-021</v>
      </c>
      <c r="E1315" s="212" t="str">
        <f>COMPOSICIÓN!E1315</f>
        <v>Fijador al agua x 20 lts</v>
      </c>
      <c r="F1315" s="212" t="str">
        <f>COMPOSICIÓN!F1315</f>
        <v>b</v>
      </c>
      <c r="G1315" s="213">
        <f>COMPOSICIÓN!G1315</f>
        <v>4.0000000000000001E-3</v>
      </c>
      <c r="H1315" s="214">
        <f>COMPOSICIÓN!H1315</f>
        <v>0.05</v>
      </c>
      <c r="I1315" s="215">
        <f>COMPOSICIÓN!I1315</f>
        <v>30467.49</v>
      </c>
      <c r="J1315" s="212" t="str">
        <f>IFERROR(VLOOKUP(A1315,PARTIDAS!$A$2:$C$269,3,FALSE()),"")</f>
        <v>PINTURA</v>
      </c>
      <c r="K1315" s="212" t="str">
        <f>IFERROR(INDEX(PPTO_GENERADOR!$B$4:$B$220,MATCH(A1315,PPTO_GENERADOR!$Q$4:$Q$220,0)),"")</f>
        <v>PINTURA</v>
      </c>
      <c r="L1315" s="216">
        <f>IF(PLAN_ETAPA!$C$4="(TODOS)",SUMIFS(PPTO_GENERADOR!$E$4:$E$220,PPTO_GENERADOR!$Q$4:$Q$220,A1315),SUMIFS(PPTO_GENERADOR!$E$4:$E$220,PPTO_GENERADOR!$Q$4:$Q$220,A1315,PPTO_GENERADOR!$B$4:$B$220,PLAN_ETAPA!$C$4))</f>
        <v>0</v>
      </c>
      <c r="M1315" s="216">
        <f>IFERROR(VLOOKUP(A1315,PARTIDAS!$A$2:$F$269,6,FALSE()),1)</f>
        <v>22</v>
      </c>
      <c r="N1315" s="216">
        <f>IFERROR(VLOOKUP(A1315,PARTIDAS!$A$2:$I$269,9,FALSE()),1)</f>
        <v>1</v>
      </c>
      <c r="O1315" s="217">
        <f t="shared" si="40"/>
        <v>0</v>
      </c>
      <c r="P1315" s="216">
        <f>IF(O1315=0,0,IF(B1315="MAT",G1315*(1+H1315)*L1315*PLAN_ETAPA!$C$5,IF(B1315="MO",IF(M1315=0,0,G1315*L1315*PLAN_ETAPA!$C$5*N1315/M1315),IF(B1315="EQ",IF(M1315=0,0,G1315*L1315*PLAN_ETAPA!$C$5/M1315),0))))</f>
        <v>0</v>
      </c>
      <c r="Q1315" s="218">
        <f t="shared" si="41"/>
        <v>0</v>
      </c>
    </row>
    <row r="1316" spans="1:17" x14ac:dyDescent="0.35">
      <c r="A1316" s="212" t="str">
        <f>COMPOSICIÓN!A1316</f>
        <v>PTO-1503</v>
      </c>
      <c r="B1316" s="212" t="str">
        <f>COMPOSICIÓN!B1316</f>
        <v>MAT</v>
      </c>
      <c r="C1316" s="212" t="str">
        <f>COMPOSICIÓN!C1316</f>
        <v>OTR</v>
      </c>
      <c r="D1316" s="212" t="str">
        <f>COMPOSICIÓN!D1316</f>
        <v>OTR-023</v>
      </c>
      <c r="E1316" s="212" t="str">
        <f>COMPOSICIÓN!E1316</f>
        <v>Lija 180 al agua x 10u</v>
      </c>
      <c r="F1316" s="212" t="str">
        <f>COMPOSICIÓN!F1316</f>
        <v>u</v>
      </c>
      <c r="G1316" s="213">
        <f>COMPOSICIÓN!G1316</f>
        <v>2.5000000000000001E-2</v>
      </c>
      <c r="H1316" s="214">
        <f>COMPOSICIÓN!H1316</f>
        <v>0.05</v>
      </c>
      <c r="I1316" s="215">
        <f>COMPOSICIÓN!I1316</f>
        <v>5661.4</v>
      </c>
      <c r="J1316" s="212" t="str">
        <f>IFERROR(VLOOKUP(A1316,PARTIDAS!$A$2:$C$269,3,FALSE()),"")</f>
        <v>PINTURA</v>
      </c>
      <c r="K1316" s="212" t="str">
        <f>IFERROR(INDEX(PPTO_GENERADOR!$B$4:$B$220,MATCH(A1316,PPTO_GENERADOR!$Q$4:$Q$220,0)),"")</f>
        <v>PINTURA</v>
      </c>
      <c r="L1316" s="216">
        <f>IF(PLAN_ETAPA!$C$4="(TODOS)",SUMIFS(PPTO_GENERADOR!$E$4:$E$220,PPTO_GENERADOR!$Q$4:$Q$220,A1316),SUMIFS(PPTO_GENERADOR!$E$4:$E$220,PPTO_GENERADOR!$Q$4:$Q$220,A1316,PPTO_GENERADOR!$B$4:$B$220,PLAN_ETAPA!$C$4))</f>
        <v>0</v>
      </c>
      <c r="M1316" s="216">
        <f>IFERROR(VLOOKUP(A1316,PARTIDAS!$A$2:$F$269,6,FALSE()),1)</f>
        <v>22</v>
      </c>
      <c r="N1316" s="216">
        <f>IFERROR(VLOOKUP(A1316,PARTIDAS!$A$2:$I$269,9,FALSE()),1)</f>
        <v>1</v>
      </c>
      <c r="O1316" s="217">
        <f t="shared" si="40"/>
        <v>0</v>
      </c>
      <c r="P1316" s="216">
        <f>IF(O1316=0,0,IF(B1316="MAT",G1316*(1+H1316)*L1316*PLAN_ETAPA!$C$5,IF(B1316="MO",IF(M1316=0,0,G1316*L1316*PLAN_ETAPA!$C$5*N1316/M1316),IF(B1316="EQ",IF(M1316=0,0,G1316*L1316*PLAN_ETAPA!$C$5/M1316),0))))</f>
        <v>0</v>
      </c>
      <c r="Q1316" s="218">
        <f t="shared" si="41"/>
        <v>0</v>
      </c>
    </row>
    <row r="1317" spans="1:17" x14ac:dyDescent="0.35">
      <c r="A1317" s="212" t="str">
        <f>COMPOSICIÓN!A1317</f>
        <v>PTO-1503</v>
      </c>
      <c r="B1317" s="212" t="str">
        <f>COMPOSICIÓN!B1317</f>
        <v>MAT</v>
      </c>
      <c r="C1317" s="212" t="str">
        <f>COMPOSICIÓN!C1317</f>
        <v>OTR</v>
      </c>
      <c r="D1317" s="212" t="str">
        <f>COMPOSICIÓN!D1317</f>
        <v>OTR-024</v>
      </c>
      <c r="E1317" s="212" t="str">
        <f>COMPOSICIÓN!E1317</f>
        <v>Cinta de Papel 36 mm x 40m</v>
      </c>
      <c r="F1317" s="212" t="str">
        <f>COMPOSICIÓN!F1317</f>
        <v>u</v>
      </c>
      <c r="G1317" s="213">
        <f>COMPOSICIÓN!G1317</f>
        <v>0.05</v>
      </c>
      <c r="H1317" s="214">
        <f>COMPOSICIÓN!H1317</f>
        <v>0.1</v>
      </c>
      <c r="I1317" s="215">
        <f>COMPOSICIÓN!I1317</f>
        <v>3293.01</v>
      </c>
      <c r="J1317" s="212" t="str">
        <f>IFERROR(VLOOKUP(A1317,PARTIDAS!$A$2:$C$269,3,FALSE()),"")</f>
        <v>PINTURA</v>
      </c>
      <c r="K1317" s="212" t="str">
        <f>IFERROR(INDEX(PPTO_GENERADOR!$B$4:$B$220,MATCH(A1317,PPTO_GENERADOR!$Q$4:$Q$220,0)),"")</f>
        <v>PINTURA</v>
      </c>
      <c r="L1317" s="216">
        <f>IF(PLAN_ETAPA!$C$4="(TODOS)",SUMIFS(PPTO_GENERADOR!$E$4:$E$220,PPTO_GENERADOR!$Q$4:$Q$220,A1317),SUMIFS(PPTO_GENERADOR!$E$4:$E$220,PPTO_GENERADOR!$Q$4:$Q$220,A1317,PPTO_GENERADOR!$B$4:$B$220,PLAN_ETAPA!$C$4))</f>
        <v>0</v>
      </c>
      <c r="M1317" s="216">
        <f>IFERROR(VLOOKUP(A1317,PARTIDAS!$A$2:$F$269,6,FALSE()),1)</f>
        <v>22</v>
      </c>
      <c r="N1317" s="216">
        <f>IFERROR(VLOOKUP(A1317,PARTIDAS!$A$2:$I$269,9,FALSE()),1)</f>
        <v>1</v>
      </c>
      <c r="O1317" s="217">
        <f t="shared" si="40"/>
        <v>0</v>
      </c>
      <c r="P1317" s="216">
        <f>IF(O1317=0,0,IF(B1317="MAT",G1317*(1+H1317)*L1317*PLAN_ETAPA!$C$5,IF(B1317="MO",IF(M1317=0,0,G1317*L1317*PLAN_ETAPA!$C$5*N1317/M1317),IF(B1317="EQ",IF(M1317=0,0,G1317*L1317*PLAN_ETAPA!$C$5/M1317),0))))</f>
        <v>0</v>
      </c>
      <c r="Q1317" s="218">
        <f t="shared" si="41"/>
        <v>0</v>
      </c>
    </row>
    <row r="1318" spans="1:17" x14ac:dyDescent="0.35">
      <c r="A1318" s="212" t="str">
        <f>COMPOSICIÓN!A1318</f>
        <v>PTO-1503</v>
      </c>
      <c r="B1318" s="212" t="str">
        <f>COMPOSICIÓN!B1318</f>
        <v>MAT</v>
      </c>
      <c r="C1318" s="212" t="str">
        <f>COMPOSICIÓN!C1318</f>
        <v>OTR</v>
      </c>
      <c r="D1318" s="212" t="str">
        <f>COMPOSICIÓN!D1318</f>
        <v>OTR-025</v>
      </c>
      <c r="E1318" s="212" t="str">
        <f>COMPOSICIÓN!E1318</f>
        <v>Trapo</v>
      </c>
      <c r="F1318" s="212" t="str">
        <f>COMPOSICIÓN!F1318</f>
        <v>u</v>
      </c>
      <c r="G1318" s="213">
        <f>COMPOSICIÓN!G1318</f>
        <v>0.03</v>
      </c>
      <c r="H1318" s="214">
        <f>COMPOSICIÓN!H1318</f>
        <v>0.05</v>
      </c>
      <c r="I1318" s="215">
        <f>COMPOSICIÓN!I1318</f>
        <v>735.06</v>
      </c>
      <c r="J1318" s="212" t="str">
        <f>IFERROR(VLOOKUP(A1318,PARTIDAS!$A$2:$C$269,3,FALSE()),"")</f>
        <v>PINTURA</v>
      </c>
      <c r="K1318" s="212" t="str">
        <f>IFERROR(INDEX(PPTO_GENERADOR!$B$4:$B$220,MATCH(A1318,PPTO_GENERADOR!$Q$4:$Q$220,0)),"")</f>
        <v>PINTURA</v>
      </c>
      <c r="L1318" s="216">
        <f>IF(PLAN_ETAPA!$C$4="(TODOS)",SUMIFS(PPTO_GENERADOR!$E$4:$E$220,PPTO_GENERADOR!$Q$4:$Q$220,A1318),SUMIFS(PPTO_GENERADOR!$E$4:$E$220,PPTO_GENERADOR!$Q$4:$Q$220,A1318,PPTO_GENERADOR!$B$4:$B$220,PLAN_ETAPA!$C$4))</f>
        <v>0</v>
      </c>
      <c r="M1318" s="216">
        <f>IFERROR(VLOOKUP(A1318,PARTIDAS!$A$2:$F$269,6,FALSE()),1)</f>
        <v>22</v>
      </c>
      <c r="N1318" s="216">
        <f>IFERROR(VLOOKUP(A1318,PARTIDAS!$A$2:$I$269,9,FALSE()),1)</f>
        <v>1</v>
      </c>
      <c r="O1318" s="217">
        <f t="shared" si="40"/>
        <v>0</v>
      </c>
      <c r="P1318" s="216">
        <f>IF(O1318=0,0,IF(B1318="MAT",G1318*(1+H1318)*L1318*PLAN_ETAPA!$C$5,IF(B1318="MO",IF(M1318=0,0,G1318*L1318*PLAN_ETAPA!$C$5*N1318/M1318),IF(B1318="EQ",IF(M1318=0,0,G1318*L1318*PLAN_ETAPA!$C$5/M1318),0))))</f>
        <v>0</v>
      </c>
      <c r="Q1318" s="218">
        <f t="shared" si="41"/>
        <v>0</v>
      </c>
    </row>
    <row r="1319" spans="1:17" x14ac:dyDescent="0.35">
      <c r="A1319" s="212" t="str">
        <f>COMPOSICIÓN!A1319</f>
        <v>PTO-1503</v>
      </c>
      <c r="B1319" s="212" t="str">
        <f>COMPOSICIÓN!B1319</f>
        <v>MAT</v>
      </c>
      <c r="C1319" s="212" t="str">
        <f>COMPOSICIÓN!C1319</f>
        <v>OTR</v>
      </c>
      <c r="D1319" s="212" t="str">
        <f>COMPOSICIÓN!D1319</f>
        <v>OTR-026</v>
      </c>
      <c r="E1319" s="212" t="str">
        <f>COMPOSICIÓN!E1319</f>
        <v>Rodillo de lana pelo corto antigota N°22 - El Galgo</v>
      </c>
      <c r="F1319" s="212" t="str">
        <f>COMPOSICIÓN!F1319</f>
        <v>u</v>
      </c>
      <c r="G1319" s="213">
        <f>COMPOSICIÓN!G1319</f>
        <v>5.0000000000000001E-3</v>
      </c>
      <c r="H1319" s="214">
        <f>COMPOSICIÓN!H1319</f>
        <v>0.05</v>
      </c>
      <c r="I1319" s="215">
        <f>COMPOSICIÓN!I1319</f>
        <v>6678.36</v>
      </c>
      <c r="J1319" s="212" t="str">
        <f>IFERROR(VLOOKUP(A1319,PARTIDAS!$A$2:$C$269,3,FALSE()),"")</f>
        <v>PINTURA</v>
      </c>
      <c r="K1319" s="212" t="str">
        <f>IFERROR(INDEX(PPTO_GENERADOR!$B$4:$B$220,MATCH(A1319,PPTO_GENERADOR!$Q$4:$Q$220,0)),"")</f>
        <v>PINTURA</v>
      </c>
      <c r="L1319" s="216">
        <f>IF(PLAN_ETAPA!$C$4="(TODOS)",SUMIFS(PPTO_GENERADOR!$E$4:$E$220,PPTO_GENERADOR!$Q$4:$Q$220,A1319),SUMIFS(PPTO_GENERADOR!$E$4:$E$220,PPTO_GENERADOR!$Q$4:$Q$220,A1319,PPTO_GENERADOR!$B$4:$B$220,PLAN_ETAPA!$C$4))</f>
        <v>0</v>
      </c>
      <c r="M1319" s="216">
        <f>IFERROR(VLOOKUP(A1319,PARTIDAS!$A$2:$F$269,6,FALSE()),1)</f>
        <v>22</v>
      </c>
      <c r="N1319" s="216">
        <f>IFERROR(VLOOKUP(A1319,PARTIDAS!$A$2:$I$269,9,FALSE()),1)</f>
        <v>1</v>
      </c>
      <c r="O1319" s="217">
        <f t="shared" si="40"/>
        <v>0</v>
      </c>
      <c r="P1319" s="216">
        <f>IF(O1319=0,0,IF(B1319="MAT",G1319*(1+H1319)*L1319*PLAN_ETAPA!$C$5,IF(B1319="MO",IF(M1319=0,0,G1319*L1319*PLAN_ETAPA!$C$5*N1319/M1319),IF(B1319="EQ",IF(M1319=0,0,G1319*L1319*PLAN_ETAPA!$C$5/M1319),0))))</f>
        <v>0</v>
      </c>
      <c r="Q1319" s="218">
        <f t="shared" si="41"/>
        <v>0</v>
      </c>
    </row>
    <row r="1320" spans="1:17" x14ac:dyDescent="0.35">
      <c r="A1320" s="212" t="str">
        <f>COMPOSICIÓN!A1320</f>
        <v>PTO-1503</v>
      </c>
      <c r="B1320" s="212" t="str">
        <f>COMPOSICIÓN!B1320</f>
        <v>MAT</v>
      </c>
      <c r="C1320" s="212" t="str">
        <f>COMPOSICIÓN!C1320</f>
        <v>OTR</v>
      </c>
      <c r="D1320" s="212" t="str">
        <f>COMPOSICIÓN!D1320</f>
        <v>OTR-028</v>
      </c>
      <c r="E1320" s="212" t="str">
        <f>COMPOSICIÓN!E1320</f>
        <v>Pincel N° 20 - El Galgo</v>
      </c>
      <c r="F1320" s="212" t="str">
        <f>COMPOSICIÓN!F1320</f>
        <v>u</v>
      </c>
      <c r="G1320" s="213">
        <f>COMPOSICIÓN!G1320</f>
        <v>5.0000000000000001E-3</v>
      </c>
      <c r="H1320" s="214">
        <f>COMPOSICIÓN!H1320</f>
        <v>0.05</v>
      </c>
      <c r="I1320" s="215">
        <f>COMPOSICIÓN!I1320</f>
        <v>5282.24</v>
      </c>
      <c r="J1320" s="212" t="str">
        <f>IFERROR(VLOOKUP(A1320,PARTIDAS!$A$2:$C$269,3,FALSE()),"")</f>
        <v>PINTURA</v>
      </c>
      <c r="K1320" s="212" t="str">
        <f>IFERROR(INDEX(PPTO_GENERADOR!$B$4:$B$220,MATCH(A1320,PPTO_GENERADOR!$Q$4:$Q$220,0)),"")</f>
        <v>PINTURA</v>
      </c>
      <c r="L1320" s="216">
        <f>IF(PLAN_ETAPA!$C$4="(TODOS)",SUMIFS(PPTO_GENERADOR!$E$4:$E$220,PPTO_GENERADOR!$Q$4:$Q$220,A1320),SUMIFS(PPTO_GENERADOR!$E$4:$E$220,PPTO_GENERADOR!$Q$4:$Q$220,A1320,PPTO_GENERADOR!$B$4:$B$220,PLAN_ETAPA!$C$4))</f>
        <v>0</v>
      </c>
      <c r="M1320" s="216">
        <f>IFERROR(VLOOKUP(A1320,PARTIDAS!$A$2:$F$269,6,FALSE()),1)</f>
        <v>22</v>
      </c>
      <c r="N1320" s="216">
        <f>IFERROR(VLOOKUP(A1320,PARTIDAS!$A$2:$I$269,9,FALSE()),1)</f>
        <v>1</v>
      </c>
      <c r="O1320" s="217">
        <f t="shared" si="40"/>
        <v>0</v>
      </c>
      <c r="P1320" s="216">
        <f>IF(O1320=0,0,IF(B1320="MAT",G1320*(1+H1320)*L1320*PLAN_ETAPA!$C$5,IF(B1320="MO",IF(M1320=0,0,G1320*L1320*PLAN_ETAPA!$C$5*N1320/M1320),IF(B1320="EQ",IF(M1320=0,0,G1320*L1320*PLAN_ETAPA!$C$5/M1320),0))))</f>
        <v>0</v>
      </c>
      <c r="Q1320" s="218">
        <f t="shared" si="41"/>
        <v>0</v>
      </c>
    </row>
    <row r="1321" spans="1:17" x14ac:dyDescent="0.35">
      <c r="A1321" s="212" t="str">
        <f>COMPOSICIÓN!A1321</f>
        <v>PTO-1503</v>
      </c>
      <c r="B1321" s="212" t="str">
        <f>COMPOSICIÓN!B1321</f>
        <v>MAT</v>
      </c>
      <c r="C1321" s="212" t="str">
        <f>COMPOSICIÓN!C1321</f>
        <v>OTR</v>
      </c>
      <c r="D1321" s="212" t="str">
        <f>COMPOSICIÓN!D1321</f>
        <v>OTR-029</v>
      </c>
      <c r="E1321" s="212" t="str">
        <f>COMPOSICIÓN!E1321</f>
        <v>Rollo de cartón corrugado 0,90 x 25 mts</v>
      </c>
      <c r="F1321" s="212" t="str">
        <f>COMPOSICIÓN!F1321</f>
        <v>u</v>
      </c>
      <c r="G1321" s="213">
        <f>COMPOSICIÓN!G1321</f>
        <v>0.01</v>
      </c>
      <c r="H1321" s="214">
        <f>COMPOSICIÓN!H1321</f>
        <v>0.05</v>
      </c>
      <c r="I1321" s="215">
        <f>COMPOSICIÓN!I1321</f>
        <v>7427.6</v>
      </c>
      <c r="J1321" s="212" t="str">
        <f>IFERROR(VLOOKUP(A1321,PARTIDAS!$A$2:$C$269,3,FALSE()),"")</f>
        <v>PINTURA</v>
      </c>
      <c r="K1321" s="212" t="str">
        <f>IFERROR(INDEX(PPTO_GENERADOR!$B$4:$B$220,MATCH(A1321,PPTO_GENERADOR!$Q$4:$Q$220,0)),"")</f>
        <v>PINTURA</v>
      </c>
      <c r="L1321" s="216">
        <f>IF(PLAN_ETAPA!$C$4="(TODOS)",SUMIFS(PPTO_GENERADOR!$E$4:$E$220,PPTO_GENERADOR!$Q$4:$Q$220,A1321),SUMIFS(PPTO_GENERADOR!$E$4:$E$220,PPTO_GENERADOR!$Q$4:$Q$220,A1321,PPTO_GENERADOR!$B$4:$B$220,PLAN_ETAPA!$C$4))</f>
        <v>0</v>
      </c>
      <c r="M1321" s="216">
        <f>IFERROR(VLOOKUP(A1321,PARTIDAS!$A$2:$F$269,6,FALSE()),1)</f>
        <v>22</v>
      </c>
      <c r="N1321" s="216">
        <f>IFERROR(VLOOKUP(A1321,PARTIDAS!$A$2:$I$269,9,FALSE()),1)</f>
        <v>1</v>
      </c>
      <c r="O1321" s="217">
        <f t="shared" si="40"/>
        <v>0</v>
      </c>
      <c r="P1321" s="216">
        <f>IF(O1321=0,0,IF(B1321="MAT",G1321*(1+H1321)*L1321*PLAN_ETAPA!$C$5,IF(B1321="MO",IF(M1321=0,0,G1321*L1321*PLAN_ETAPA!$C$5*N1321/M1321),IF(B1321="EQ",IF(M1321=0,0,G1321*L1321*PLAN_ETAPA!$C$5/M1321),0))))</f>
        <v>0</v>
      </c>
      <c r="Q1321" s="218">
        <f t="shared" si="41"/>
        <v>0</v>
      </c>
    </row>
    <row r="1322" spans="1:17" x14ac:dyDescent="0.35">
      <c r="A1322" s="212" t="str">
        <f>COMPOSICIÓN!A1322</f>
        <v>PTO-1503</v>
      </c>
      <c r="B1322" s="212" t="str">
        <f>COMPOSICIÓN!B1322</f>
        <v>MAT</v>
      </c>
      <c r="C1322" s="212" t="str">
        <f>COMPOSICIÓN!C1322</f>
        <v>OTR</v>
      </c>
      <c r="D1322" s="212" t="str">
        <f>COMPOSICIÓN!D1322</f>
        <v>PIN-001</v>
      </c>
      <c r="E1322" s="212" t="str">
        <f>COMPOSICIÓN!E1322</f>
        <v>Latex Loxon Interior Sherwin Williams Mate Bco x 20lts</v>
      </c>
      <c r="F1322" s="212" t="str">
        <f>COMPOSICIÓN!F1322</f>
        <v>B</v>
      </c>
      <c r="G1322" s="213">
        <f>COMPOSICIÓN!G1322</f>
        <v>1.2500000000000001E-2</v>
      </c>
      <c r="H1322" s="214">
        <f>COMPOSICIÓN!H1322</f>
        <v>0.1</v>
      </c>
      <c r="I1322" s="215">
        <f>COMPOSICIÓN!I1322</f>
        <v>120622.23</v>
      </c>
      <c r="J1322" s="212" t="str">
        <f>IFERROR(VLOOKUP(A1322,PARTIDAS!$A$2:$C$269,3,FALSE()),"")</f>
        <v>PINTURA</v>
      </c>
      <c r="K1322" s="212" t="str">
        <f>IFERROR(INDEX(PPTO_GENERADOR!$B$4:$B$220,MATCH(A1322,PPTO_GENERADOR!$Q$4:$Q$220,0)),"")</f>
        <v>PINTURA</v>
      </c>
      <c r="L1322" s="216">
        <f>IF(PLAN_ETAPA!$C$4="(TODOS)",SUMIFS(PPTO_GENERADOR!$E$4:$E$220,PPTO_GENERADOR!$Q$4:$Q$220,A1322),SUMIFS(PPTO_GENERADOR!$E$4:$E$220,PPTO_GENERADOR!$Q$4:$Q$220,A1322,PPTO_GENERADOR!$B$4:$B$220,PLAN_ETAPA!$C$4))</f>
        <v>0</v>
      </c>
      <c r="M1322" s="216">
        <f>IFERROR(VLOOKUP(A1322,PARTIDAS!$A$2:$F$269,6,FALSE()),1)</f>
        <v>22</v>
      </c>
      <c r="N1322" s="216">
        <f>IFERROR(VLOOKUP(A1322,PARTIDAS!$A$2:$I$269,9,FALSE()),1)</f>
        <v>1</v>
      </c>
      <c r="O1322" s="217">
        <f t="shared" si="40"/>
        <v>0</v>
      </c>
      <c r="P1322" s="216">
        <f>IF(O1322=0,0,IF(B1322="MAT",G1322*(1+H1322)*L1322*PLAN_ETAPA!$C$5,IF(B1322="MO",IF(M1322=0,0,G1322*L1322*PLAN_ETAPA!$C$5*N1322/M1322),IF(B1322="EQ",IF(M1322=0,0,G1322*L1322*PLAN_ETAPA!$C$5/M1322),0))))</f>
        <v>0</v>
      </c>
      <c r="Q1322" s="218">
        <f t="shared" si="41"/>
        <v>0</v>
      </c>
    </row>
    <row r="1323" spans="1:17" x14ac:dyDescent="0.35">
      <c r="A1323" s="212" t="str">
        <f>COMPOSICIÓN!A1323</f>
        <v>PTO-1503</v>
      </c>
      <c r="B1323" s="212" t="str">
        <f>COMPOSICIÓN!B1323</f>
        <v>MAT</v>
      </c>
      <c r="C1323" s="212" t="str">
        <f>COMPOSICIÓN!C1323</f>
        <v>OTR</v>
      </c>
      <c r="D1323" s="212" t="str">
        <f>COMPOSICIÓN!D1323</f>
        <v>PIN-007</v>
      </c>
      <c r="E1323" s="212" t="str">
        <f>COMPOSICIÓN!E1323</f>
        <v>Enduido Interior x 20lts</v>
      </c>
      <c r="F1323" s="212" t="str">
        <f>COMPOSICIÓN!F1323</f>
        <v>B</v>
      </c>
      <c r="G1323" s="213">
        <f>COMPOSICIÓN!G1323</f>
        <v>0.03</v>
      </c>
      <c r="H1323" s="214">
        <f>COMPOSICIÓN!H1323</f>
        <v>0.1</v>
      </c>
      <c r="I1323" s="215">
        <f>COMPOSICIÓN!I1323</f>
        <v>18735.77</v>
      </c>
      <c r="J1323" s="212" t="str">
        <f>IFERROR(VLOOKUP(A1323,PARTIDAS!$A$2:$C$269,3,FALSE()),"")</f>
        <v>PINTURA</v>
      </c>
      <c r="K1323" s="212" t="str">
        <f>IFERROR(INDEX(PPTO_GENERADOR!$B$4:$B$220,MATCH(A1323,PPTO_GENERADOR!$Q$4:$Q$220,0)),"")</f>
        <v>PINTURA</v>
      </c>
      <c r="L1323" s="216">
        <f>IF(PLAN_ETAPA!$C$4="(TODOS)",SUMIFS(PPTO_GENERADOR!$E$4:$E$220,PPTO_GENERADOR!$Q$4:$Q$220,A1323),SUMIFS(PPTO_GENERADOR!$E$4:$E$220,PPTO_GENERADOR!$Q$4:$Q$220,A1323,PPTO_GENERADOR!$B$4:$B$220,PLAN_ETAPA!$C$4))</f>
        <v>0</v>
      </c>
      <c r="M1323" s="216">
        <f>IFERROR(VLOOKUP(A1323,PARTIDAS!$A$2:$F$269,6,FALSE()),1)</f>
        <v>22</v>
      </c>
      <c r="N1323" s="216">
        <f>IFERROR(VLOOKUP(A1323,PARTIDAS!$A$2:$I$269,9,FALSE()),1)</f>
        <v>1</v>
      </c>
      <c r="O1323" s="217">
        <f t="shared" si="40"/>
        <v>0</v>
      </c>
      <c r="P1323" s="216">
        <f>IF(O1323=0,0,IF(B1323="MAT",G1323*(1+H1323)*L1323*PLAN_ETAPA!$C$5,IF(B1323="MO",IF(M1323=0,0,G1323*L1323*PLAN_ETAPA!$C$5*N1323/M1323),IF(B1323="EQ",IF(M1323=0,0,G1323*L1323*PLAN_ETAPA!$C$5/M1323),0))))</f>
        <v>0</v>
      </c>
      <c r="Q1323" s="218">
        <f t="shared" si="41"/>
        <v>0</v>
      </c>
    </row>
    <row r="1324" spans="1:17" x14ac:dyDescent="0.35">
      <c r="A1324" s="212" t="str">
        <f>COMPOSICIÓN!A1324</f>
        <v>PTO-1503</v>
      </c>
      <c r="B1324" s="212" t="str">
        <f>COMPOSICIÓN!B1324</f>
        <v>MAT</v>
      </c>
      <c r="C1324" s="212" t="str">
        <f>COMPOSICIÓN!C1324</f>
        <v>OTR</v>
      </c>
      <c r="D1324" s="212" t="str">
        <f>COMPOSICIÓN!D1324</f>
        <v>REV-001</v>
      </c>
      <c r="E1324" s="212" t="str">
        <f>COMPOSICIÓN!E1324</f>
        <v>Yeso Tuyango x 30kg</v>
      </c>
      <c r="F1324" s="212" t="str">
        <f>COMPOSICIÓN!F1324</f>
        <v>b</v>
      </c>
      <c r="G1324" s="213">
        <f>COMPOSICIÓN!G1324</f>
        <v>2.5000000000000001E-3</v>
      </c>
      <c r="H1324" s="214">
        <f>COMPOSICIÓN!H1324</f>
        <v>0.05</v>
      </c>
      <c r="I1324" s="215">
        <f>COMPOSICIÓN!I1324</f>
        <v>9639</v>
      </c>
      <c r="J1324" s="212" t="str">
        <f>IFERROR(VLOOKUP(A1324,PARTIDAS!$A$2:$C$269,3,FALSE()),"")</f>
        <v>PINTURA</v>
      </c>
      <c r="K1324" s="212" t="str">
        <f>IFERROR(INDEX(PPTO_GENERADOR!$B$4:$B$220,MATCH(A1324,PPTO_GENERADOR!$Q$4:$Q$220,0)),"")</f>
        <v>PINTURA</v>
      </c>
      <c r="L1324" s="216">
        <f>IF(PLAN_ETAPA!$C$4="(TODOS)",SUMIFS(PPTO_GENERADOR!$E$4:$E$220,PPTO_GENERADOR!$Q$4:$Q$220,A1324),SUMIFS(PPTO_GENERADOR!$E$4:$E$220,PPTO_GENERADOR!$Q$4:$Q$220,A1324,PPTO_GENERADOR!$B$4:$B$220,PLAN_ETAPA!$C$4))</f>
        <v>0</v>
      </c>
      <c r="M1324" s="216">
        <f>IFERROR(VLOOKUP(A1324,PARTIDAS!$A$2:$F$269,6,FALSE()),1)</f>
        <v>22</v>
      </c>
      <c r="N1324" s="216">
        <f>IFERROR(VLOOKUP(A1324,PARTIDAS!$A$2:$I$269,9,FALSE()),1)</f>
        <v>1</v>
      </c>
      <c r="O1324" s="217">
        <f t="shared" si="40"/>
        <v>0</v>
      </c>
      <c r="P1324" s="216">
        <f>IF(O1324=0,0,IF(B1324="MAT",G1324*(1+H1324)*L1324*PLAN_ETAPA!$C$5,IF(B1324="MO",IF(M1324=0,0,G1324*L1324*PLAN_ETAPA!$C$5*N1324/M1324),IF(B1324="EQ",IF(M1324=0,0,G1324*L1324*PLAN_ETAPA!$C$5/M1324),0))))</f>
        <v>0</v>
      </c>
      <c r="Q1324" s="218">
        <f t="shared" si="41"/>
        <v>0</v>
      </c>
    </row>
    <row r="1325" spans="1:17" x14ac:dyDescent="0.35">
      <c r="A1325" s="212" t="str">
        <f>COMPOSICIÓN!A1325</f>
        <v>PTO-1503</v>
      </c>
      <c r="B1325" s="212" t="str">
        <f>COMPOSICIÓN!B1325</f>
        <v>MO</v>
      </c>
      <c r="C1325" s="212" t="str">
        <f>COMPOSICIÓN!C1325</f>
        <v>ALB</v>
      </c>
      <c r="D1325" s="212" t="str">
        <f>COMPOSICIÓN!D1325</f>
        <v>MO-EMEDI</v>
      </c>
      <c r="E1325" s="212" t="str">
        <f>COMPOSICIÓN!E1325</f>
        <v>MEDIO OFICIAL</v>
      </c>
      <c r="F1325" s="212" t="str">
        <f>COMPOSICIÓN!F1325</f>
        <v>j</v>
      </c>
      <c r="G1325" s="213">
        <f>COMPOSICIÓN!G1325</f>
        <v>1.25</v>
      </c>
      <c r="H1325" s="214">
        <f>COMPOSICIÓN!H1325</f>
        <v>0</v>
      </c>
      <c r="I1325" s="215">
        <f>COMPOSICIÓN!I1325</f>
        <v>65493.071636572</v>
      </c>
      <c r="J1325" s="212" t="str">
        <f>IFERROR(VLOOKUP(A1325,PARTIDAS!$A$2:$C$269,3,FALSE()),"")</f>
        <v>PINTURA</v>
      </c>
      <c r="K1325" s="212" t="str">
        <f>IFERROR(INDEX(PPTO_GENERADOR!$B$4:$B$220,MATCH(A1325,PPTO_GENERADOR!$Q$4:$Q$220,0)),"")</f>
        <v>PINTURA</v>
      </c>
      <c r="L1325" s="216">
        <f>IF(PLAN_ETAPA!$C$4="(TODOS)",SUMIFS(PPTO_GENERADOR!$E$4:$E$220,PPTO_GENERADOR!$Q$4:$Q$220,A1325),SUMIFS(PPTO_GENERADOR!$E$4:$E$220,PPTO_GENERADOR!$Q$4:$Q$220,A1325,PPTO_GENERADOR!$B$4:$B$220,PLAN_ETAPA!$C$4))</f>
        <v>0</v>
      </c>
      <c r="M1325" s="216">
        <f>IFERROR(VLOOKUP(A1325,PARTIDAS!$A$2:$F$269,6,FALSE()),1)</f>
        <v>22</v>
      </c>
      <c r="N1325" s="216">
        <f>IFERROR(VLOOKUP(A1325,PARTIDAS!$A$2:$I$269,9,FALSE()),1)</f>
        <v>1</v>
      </c>
      <c r="O1325" s="217">
        <f t="shared" si="40"/>
        <v>0</v>
      </c>
      <c r="P1325" s="216">
        <f>IF(O1325=0,0,IF(B1325="MAT",G1325*(1+H1325)*L1325*PLAN_ETAPA!$C$5,IF(B1325="MO",IF(M1325=0,0,G1325*L1325*PLAN_ETAPA!$C$5*N1325/M1325),IF(B1325="EQ",IF(M1325=0,0,G1325*L1325*PLAN_ETAPA!$C$5/M1325),0))))</f>
        <v>0</v>
      </c>
      <c r="Q1325" s="218">
        <f t="shared" si="41"/>
        <v>0</v>
      </c>
    </row>
    <row r="1326" spans="1:17" x14ac:dyDescent="0.35">
      <c r="A1326" s="212" t="str">
        <f>COMPOSICIÓN!A1326</f>
        <v>PTO-1503</v>
      </c>
      <c r="B1326" s="212" t="str">
        <f>COMPOSICIÓN!B1326</f>
        <v>MO</v>
      </c>
      <c r="C1326" s="212" t="str">
        <f>COMPOSICIÓN!C1326</f>
        <v>ALB</v>
      </c>
      <c r="D1326" s="212" t="str">
        <f>COMPOSICIÓN!D1326</f>
        <v>MO-EESPE</v>
      </c>
      <c r="E1326" s="212" t="str">
        <f>COMPOSICIÓN!E1326</f>
        <v>ESPECIALIZADO</v>
      </c>
      <c r="F1326" s="212" t="str">
        <f>COMPOSICIÓN!F1326</f>
        <v>j</v>
      </c>
      <c r="G1326" s="213">
        <f>COMPOSICIÓN!G1326</f>
        <v>1</v>
      </c>
      <c r="H1326" s="214">
        <f>COMPOSICIÓN!H1326</f>
        <v>0</v>
      </c>
      <c r="I1326" s="215">
        <f>COMPOSICIÓN!I1326</f>
        <v>85927.097156571996</v>
      </c>
      <c r="J1326" s="212" t="str">
        <f>IFERROR(VLOOKUP(A1326,PARTIDAS!$A$2:$C$269,3,FALSE()),"")</f>
        <v>PINTURA</v>
      </c>
      <c r="K1326" s="212" t="str">
        <f>IFERROR(INDEX(PPTO_GENERADOR!$B$4:$B$220,MATCH(A1326,PPTO_GENERADOR!$Q$4:$Q$220,0)),"")</f>
        <v>PINTURA</v>
      </c>
      <c r="L1326" s="216">
        <f>IF(PLAN_ETAPA!$C$4="(TODOS)",SUMIFS(PPTO_GENERADOR!$E$4:$E$220,PPTO_GENERADOR!$Q$4:$Q$220,A1326),SUMIFS(PPTO_GENERADOR!$E$4:$E$220,PPTO_GENERADOR!$Q$4:$Q$220,A1326,PPTO_GENERADOR!$B$4:$B$220,PLAN_ETAPA!$C$4))</f>
        <v>0</v>
      </c>
      <c r="M1326" s="216">
        <f>IFERROR(VLOOKUP(A1326,PARTIDAS!$A$2:$F$269,6,FALSE()),1)</f>
        <v>22</v>
      </c>
      <c r="N1326" s="216">
        <f>IFERROR(VLOOKUP(A1326,PARTIDAS!$A$2:$I$269,9,FALSE()),1)</f>
        <v>1</v>
      </c>
      <c r="O1326" s="217">
        <f t="shared" si="40"/>
        <v>0</v>
      </c>
      <c r="P1326" s="216">
        <f>IF(O1326=0,0,IF(B1326="MAT",G1326*(1+H1326)*L1326*PLAN_ETAPA!$C$5,IF(B1326="MO",IF(M1326=0,0,G1326*L1326*PLAN_ETAPA!$C$5*N1326/M1326),IF(B1326="EQ",IF(M1326=0,0,G1326*L1326*PLAN_ETAPA!$C$5/M1326),0))))</f>
        <v>0</v>
      </c>
      <c r="Q1326" s="218">
        <f t="shared" si="41"/>
        <v>0</v>
      </c>
    </row>
    <row r="1327" spans="1:17" x14ac:dyDescent="0.35">
      <c r="A1327" s="212" t="str">
        <f>COMPOSICIÓN!A1327</f>
        <v>PTO-1504</v>
      </c>
      <c r="B1327" s="212" t="str">
        <f>COMPOSICIÓN!B1327</f>
        <v>EQ</v>
      </c>
      <c r="C1327" s="212">
        <f>COMPOSICIÓN!C1327</f>
        <v>0</v>
      </c>
      <c r="D1327" s="212" t="str">
        <f>COMPOSICIÓN!D1327</f>
        <v>EQ-EQUIPI</v>
      </c>
      <c r="E1327" s="212" t="str">
        <f>COMPOSICIÓN!E1327</f>
        <v>EQUIPO PARA PINTAR</v>
      </c>
      <c r="F1327" s="212">
        <f>COMPOSICIÓN!F1327</f>
        <v>0</v>
      </c>
      <c r="G1327" s="213">
        <f>COMPOSICIÓN!G1327</f>
        <v>1</v>
      </c>
      <c r="H1327" s="214">
        <f>COMPOSICIÓN!H1327</f>
        <v>0</v>
      </c>
      <c r="I1327" s="215">
        <f>COMPOSICIÓN!I1327</f>
        <v>1723.6259595547085</v>
      </c>
      <c r="J1327" s="212" t="str">
        <f>IFERROR(VLOOKUP(A1327,PARTIDAS!$A$2:$C$269,3,FALSE()),"")</f>
        <v>PINTURA</v>
      </c>
      <c r="K1327" s="212" t="str">
        <f>IFERROR(INDEX(PPTO_GENERADOR!$B$4:$B$220,MATCH(A1327,PPTO_GENERADOR!$Q$4:$Q$220,0)),"")</f>
        <v>PINTURA</v>
      </c>
      <c r="L1327" s="216">
        <f>IF(PLAN_ETAPA!$C$4="(TODOS)",SUMIFS(PPTO_GENERADOR!$E$4:$E$220,PPTO_GENERADOR!$Q$4:$Q$220,A1327),SUMIFS(PPTO_GENERADOR!$E$4:$E$220,PPTO_GENERADOR!$Q$4:$Q$220,A1327,PPTO_GENERADOR!$B$4:$B$220,PLAN_ETAPA!$C$4))</f>
        <v>0</v>
      </c>
      <c r="M1327" s="216">
        <f>IFERROR(VLOOKUP(A1327,PARTIDAS!$A$2:$F$269,6,FALSE()),1)</f>
        <v>25</v>
      </c>
      <c r="N1327" s="216">
        <f>IFERROR(VLOOKUP(A1327,PARTIDAS!$A$2:$I$269,9,FALSE()),1)</f>
        <v>1</v>
      </c>
      <c r="O1327" s="217">
        <f t="shared" si="40"/>
        <v>0</v>
      </c>
      <c r="P1327" s="216">
        <f>IF(O1327=0,0,IF(B1327="MAT",G1327*(1+H1327)*L1327*PLAN_ETAPA!$C$5,IF(B1327="MO",IF(M1327=0,0,G1327*L1327*PLAN_ETAPA!$C$5*N1327/M1327),IF(B1327="EQ",IF(M1327=0,0,G1327*L1327*PLAN_ETAPA!$C$5/M1327),0))))</f>
        <v>0</v>
      </c>
      <c r="Q1327" s="218">
        <f t="shared" si="41"/>
        <v>0</v>
      </c>
    </row>
    <row r="1328" spans="1:17" x14ac:dyDescent="0.35">
      <c r="A1328" s="212" t="str">
        <f>COMPOSICIÓN!A1328</f>
        <v>PTO-1504</v>
      </c>
      <c r="B1328" s="212" t="str">
        <f>COMPOSICIÓN!B1328</f>
        <v>EQ</v>
      </c>
      <c r="C1328" s="212">
        <f>COMPOSICIÓN!C1328</f>
        <v>0</v>
      </c>
      <c r="D1328" s="212" t="str">
        <f>COMPOSICIÓN!D1328</f>
        <v>EQ-PTO026</v>
      </c>
      <c r="E1328" s="212" t="str">
        <f>COMPOSICIÓN!E1328</f>
        <v>ESCALERA MADERA PINTOR 8 ESCALONES</v>
      </c>
      <c r="F1328" s="212">
        <f>COMPOSICIÓN!F1328</f>
        <v>0</v>
      </c>
      <c r="G1328" s="213">
        <f>COMPOSICIÓN!G1328</f>
        <v>1</v>
      </c>
      <c r="H1328" s="214">
        <f>COMPOSICIÓN!H1328</f>
        <v>0</v>
      </c>
      <c r="I1328" s="215">
        <f>COMPOSICIÓN!I1328</f>
        <v>200.25307946474501</v>
      </c>
      <c r="J1328" s="212" t="str">
        <f>IFERROR(VLOOKUP(A1328,PARTIDAS!$A$2:$C$269,3,FALSE()),"")</f>
        <v>PINTURA</v>
      </c>
      <c r="K1328" s="212" t="str">
        <f>IFERROR(INDEX(PPTO_GENERADOR!$B$4:$B$220,MATCH(A1328,PPTO_GENERADOR!$Q$4:$Q$220,0)),"")</f>
        <v>PINTURA</v>
      </c>
      <c r="L1328" s="216">
        <f>IF(PLAN_ETAPA!$C$4="(TODOS)",SUMIFS(PPTO_GENERADOR!$E$4:$E$220,PPTO_GENERADOR!$Q$4:$Q$220,A1328),SUMIFS(PPTO_GENERADOR!$E$4:$E$220,PPTO_GENERADOR!$Q$4:$Q$220,A1328,PPTO_GENERADOR!$B$4:$B$220,PLAN_ETAPA!$C$4))</f>
        <v>0</v>
      </c>
      <c r="M1328" s="216">
        <f>IFERROR(VLOOKUP(A1328,PARTIDAS!$A$2:$F$269,6,FALSE()),1)</f>
        <v>25</v>
      </c>
      <c r="N1328" s="216">
        <f>IFERROR(VLOOKUP(A1328,PARTIDAS!$A$2:$I$269,9,FALSE()),1)</f>
        <v>1</v>
      </c>
      <c r="O1328" s="217">
        <f t="shared" si="40"/>
        <v>0</v>
      </c>
      <c r="P1328" s="216">
        <f>IF(O1328=0,0,IF(B1328="MAT",G1328*(1+H1328)*L1328*PLAN_ETAPA!$C$5,IF(B1328="MO",IF(M1328=0,0,G1328*L1328*PLAN_ETAPA!$C$5*N1328/M1328),IF(B1328="EQ",IF(M1328=0,0,G1328*L1328*PLAN_ETAPA!$C$5/M1328),0))))</f>
        <v>0</v>
      </c>
      <c r="Q1328" s="218">
        <f t="shared" si="41"/>
        <v>0</v>
      </c>
    </row>
    <row r="1329" spans="1:17" x14ac:dyDescent="0.35">
      <c r="A1329" s="212" t="str">
        <f>COMPOSICIÓN!A1329</f>
        <v>PTO-1504</v>
      </c>
      <c r="B1329" s="212" t="str">
        <f>COMPOSICIÓN!B1329</f>
        <v>MAT</v>
      </c>
      <c r="C1329" s="212" t="str">
        <f>COMPOSICIÓN!C1329</f>
        <v>OTR</v>
      </c>
      <c r="D1329" s="212" t="str">
        <f>COMPOSICIÓN!D1329</f>
        <v>OTR-021</v>
      </c>
      <c r="E1329" s="212" t="str">
        <f>COMPOSICIÓN!E1329</f>
        <v>Fijador al agua x 20 lts</v>
      </c>
      <c r="F1329" s="212" t="str">
        <f>COMPOSICIÓN!F1329</f>
        <v>b</v>
      </c>
      <c r="G1329" s="213">
        <f>COMPOSICIÓN!G1329</f>
        <v>4.0000000000000001E-3</v>
      </c>
      <c r="H1329" s="214">
        <f>COMPOSICIÓN!H1329</f>
        <v>0.05</v>
      </c>
      <c r="I1329" s="215">
        <f>COMPOSICIÓN!I1329</f>
        <v>30467.49</v>
      </c>
      <c r="J1329" s="212" t="str">
        <f>IFERROR(VLOOKUP(A1329,PARTIDAS!$A$2:$C$269,3,FALSE()),"")</f>
        <v>PINTURA</v>
      </c>
      <c r="K1329" s="212" t="str">
        <f>IFERROR(INDEX(PPTO_GENERADOR!$B$4:$B$220,MATCH(A1329,PPTO_GENERADOR!$Q$4:$Q$220,0)),"")</f>
        <v>PINTURA</v>
      </c>
      <c r="L1329" s="216">
        <f>IF(PLAN_ETAPA!$C$4="(TODOS)",SUMIFS(PPTO_GENERADOR!$E$4:$E$220,PPTO_GENERADOR!$Q$4:$Q$220,A1329),SUMIFS(PPTO_GENERADOR!$E$4:$E$220,PPTO_GENERADOR!$Q$4:$Q$220,A1329,PPTO_GENERADOR!$B$4:$B$220,PLAN_ETAPA!$C$4))</f>
        <v>0</v>
      </c>
      <c r="M1329" s="216">
        <f>IFERROR(VLOOKUP(A1329,PARTIDAS!$A$2:$F$269,6,FALSE()),1)</f>
        <v>25</v>
      </c>
      <c r="N1329" s="216">
        <f>IFERROR(VLOOKUP(A1329,PARTIDAS!$A$2:$I$269,9,FALSE()),1)</f>
        <v>1</v>
      </c>
      <c r="O1329" s="217">
        <f t="shared" si="40"/>
        <v>0</v>
      </c>
      <c r="P1329" s="216">
        <f>IF(O1329=0,0,IF(B1329="MAT",G1329*(1+H1329)*L1329*PLAN_ETAPA!$C$5,IF(B1329="MO",IF(M1329=0,0,G1329*L1329*PLAN_ETAPA!$C$5*N1329/M1329),IF(B1329="EQ",IF(M1329=0,0,G1329*L1329*PLAN_ETAPA!$C$5/M1329),0))))</f>
        <v>0</v>
      </c>
      <c r="Q1329" s="218">
        <f t="shared" si="41"/>
        <v>0</v>
      </c>
    </row>
    <row r="1330" spans="1:17" x14ac:dyDescent="0.35">
      <c r="A1330" s="212" t="str">
        <f>COMPOSICIÓN!A1330</f>
        <v>PTO-1504</v>
      </c>
      <c r="B1330" s="212" t="str">
        <f>COMPOSICIÓN!B1330</f>
        <v>MAT</v>
      </c>
      <c r="C1330" s="212" t="str">
        <f>COMPOSICIÓN!C1330</f>
        <v>OTR</v>
      </c>
      <c r="D1330" s="212" t="str">
        <f>COMPOSICIÓN!D1330</f>
        <v>OTR-024</v>
      </c>
      <c r="E1330" s="212" t="str">
        <f>COMPOSICIÓN!E1330</f>
        <v>Cinta de Papel 36 mm x 40m</v>
      </c>
      <c r="F1330" s="212" t="str">
        <f>COMPOSICIÓN!F1330</f>
        <v>u</v>
      </c>
      <c r="G1330" s="213">
        <f>COMPOSICIÓN!G1330</f>
        <v>0.05</v>
      </c>
      <c r="H1330" s="214">
        <f>COMPOSICIÓN!H1330</f>
        <v>0.1</v>
      </c>
      <c r="I1330" s="215">
        <f>COMPOSICIÓN!I1330</f>
        <v>3293.01</v>
      </c>
      <c r="J1330" s="212" t="str">
        <f>IFERROR(VLOOKUP(A1330,PARTIDAS!$A$2:$C$269,3,FALSE()),"")</f>
        <v>PINTURA</v>
      </c>
      <c r="K1330" s="212" t="str">
        <f>IFERROR(INDEX(PPTO_GENERADOR!$B$4:$B$220,MATCH(A1330,PPTO_GENERADOR!$Q$4:$Q$220,0)),"")</f>
        <v>PINTURA</v>
      </c>
      <c r="L1330" s="216">
        <f>IF(PLAN_ETAPA!$C$4="(TODOS)",SUMIFS(PPTO_GENERADOR!$E$4:$E$220,PPTO_GENERADOR!$Q$4:$Q$220,A1330),SUMIFS(PPTO_GENERADOR!$E$4:$E$220,PPTO_GENERADOR!$Q$4:$Q$220,A1330,PPTO_GENERADOR!$B$4:$B$220,PLAN_ETAPA!$C$4))</f>
        <v>0</v>
      </c>
      <c r="M1330" s="216">
        <f>IFERROR(VLOOKUP(A1330,PARTIDAS!$A$2:$F$269,6,FALSE()),1)</f>
        <v>25</v>
      </c>
      <c r="N1330" s="216">
        <f>IFERROR(VLOOKUP(A1330,PARTIDAS!$A$2:$I$269,9,FALSE()),1)</f>
        <v>1</v>
      </c>
      <c r="O1330" s="217">
        <f t="shared" si="40"/>
        <v>0</v>
      </c>
      <c r="P1330" s="216">
        <f>IF(O1330=0,0,IF(B1330="MAT",G1330*(1+H1330)*L1330*PLAN_ETAPA!$C$5,IF(B1330="MO",IF(M1330=0,0,G1330*L1330*PLAN_ETAPA!$C$5*N1330/M1330),IF(B1330="EQ",IF(M1330=0,0,G1330*L1330*PLAN_ETAPA!$C$5/M1330),0))))</f>
        <v>0</v>
      </c>
      <c r="Q1330" s="218">
        <f t="shared" si="41"/>
        <v>0</v>
      </c>
    </row>
    <row r="1331" spans="1:17" x14ac:dyDescent="0.35">
      <c r="A1331" s="212" t="str">
        <f>COMPOSICIÓN!A1331</f>
        <v>PTO-1504</v>
      </c>
      <c r="B1331" s="212" t="str">
        <f>COMPOSICIÓN!B1331</f>
        <v>MAT</v>
      </c>
      <c r="C1331" s="212" t="str">
        <f>COMPOSICIÓN!C1331</f>
        <v>OTR</v>
      </c>
      <c r="D1331" s="212" t="str">
        <f>COMPOSICIÓN!D1331</f>
        <v>OTR-025</v>
      </c>
      <c r="E1331" s="212" t="str">
        <f>COMPOSICIÓN!E1331</f>
        <v>Trapo</v>
      </c>
      <c r="F1331" s="212" t="str">
        <f>COMPOSICIÓN!F1331</f>
        <v>u</v>
      </c>
      <c r="G1331" s="213">
        <f>COMPOSICIÓN!G1331</f>
        <v>0.03</v>
      </c>
      <c r="H1331" s="214">
        <f>COMPOSICIÓN!H1331</f>
        <v>0.05</v>
      </c>
      <c r="I1331" s="215">
        <f>COMPOSICIÓN!I1331</f>
        <v>735.06</v>
      </c>
      <c r="J1331" s="212" t="str">
        <f>IFERROR(VLOOKUP(A1331,PARTIDAS!$A$2:$C$269,3,FALSE()),"")</f>
        <v>PINTURA</v>
      </c>
      <c r="K1331" s="212" t="str">
        <f>IFERROR(INDEX(PPTO_GENERADOR!$B$4:$B$220,MATCH(A1331,PPTO_GENERADOR!$Q$4:$Q$220,0)),"")</f>
        <v>PINTURA</v>
      </c>
      <c r="L1331" s="216">
        <f>IF(PLAN_ETAPA!$C$4="(TODOS)",SUMIFS(PPTO_GENERADOR!$E$4:$E$220,PPTO_GENERADOR!$Q$4:$Q$220,A1331),SUMIFS(PPTO_GENERADOR!$E$4:$E$220,PPTO_GENERADOR!$Q$4:$Q$220,A1331,PPTO_GENERADOR!$B$4:$B$220,PLAN_ETAPA!$C$4))</f>
        <v>0</v>
      </c>
      <c r="M1331" s="216">
        <f>IFERROR(VLOOKUP(A1331,PARTIDAS!$A$2:$F$269,6,FALSE()),1)</f>
        <v>25</v>
      </c>
      <c r="N1331" s="216">
        <f>IFERROR(VLOOKUP(A1331,PARTIDAS!$A$2:$I$269,9,FALSE()),1)</f>
        <v>1</v>
      </c>
      <c r="O1331" s="217">
        <f t="shared" si="40"/>
        <v>0</v>
      </c>
      <c r="P1331" s="216">
        <f>IF(O1331=0,0,IF(B1331="MAT",G1331*(1+H1331)*L1331*PLAN_ETAPA!$C$5,IF(B1331="MO",IF(M1331=0,0,G1331*L1331*PLAN_ETAPA!$C$5*N1331/M1331),IF(B1331="EQ",IF(M1331=0,0,G1331*L1331*PLAN_ETAPA!$C$5/M1331),0))))</f>
        <v>0</v>
      </c>
      <c r="Q1331" s="218">
        <f t="shared" si="41"/>
        <v>0</v>
      </c>
    </row>
    <row r="1332" spans="1:17" x14ac:dyDescent="0.35">
      <c r="A1332" s="212" t="str">
        <f>COMPOSICIÓN!A1332</f>
        <v>PTO-1504</v>
      </c>
      <c r="B1332" s="212" t="str">
        <f>COMPOSICIÓN!B1332</f>
        <v>MAT</v>
      </c>
      <c r="C1332" s="212" t="str">
        <f>COMPOSICIÓN!C1332</f>
        <v>OTR</v>
      </c>
      <c r="D1332" s="212" t="str">
        <f>COMPOSICIÓN!D1332</f>
        <v>OTR-026</v>
      </c>
      <c r="E1332" s="212" t="str">
        <f>COMPOSICIÓN!E1332</f>
        <v>Rodillo de lana pelo corto antigota N°22 - El Galgo</v>
      </c>
      <c r="F1332" s="212" t="str">
        <f>COMPOSICIÓN!F1332</f>
        <v>u</v>
      </c>
      <c r="G1332" s="213">
        <f>COMPOSICIÓN!G1332</f>
        <v>5.0000000000000001E-3</v>
      </c>
      <c r="H1332" s="214">
        <f>COMPOSICIÓN!H1332</f>
        <v>0.05</v>
      </c>
      <c r="I1332" s="215">
        <f>COMPOSICIÓN!I1332</f>
        <v>6678.36</v>
      </c>
      <c r="J1332" s="212" t="str">
        <f>IFERROR(VLOOKUP(A1332,PARTIDAS!$A$2:$C$269,3,FALSE()),"")</f>
        <v>PINTURA</v>
      </c>
      <c r="K1332" s="212" t="str">
        <f>IFERROR(INDEX(PPTO_GENERADOR!$B$4:$B$220,MATCH(A1332,PPTO_GENERADOR!$Q$4:$Q$220,0)),"")</f>
        <v>PINTURA</v>
      </c>
      <c r="L1332" s="216">
        <f>IF(PLAN_ETAPA!$C$4="(TODOS)",SUMIFS(PPTO_GENERADOR!$E$4:$E$220,PPTO_GENERADOR!$Q$4:$Q$220,A1332),SUMIFS(PPTO_GENERADOR!$E$4:$E$220,PPTO_GENERADOR!$Q$4:$Q$220,A1332,PPTO_GENERADOR!$B$4:$B$220,PLAN_ETAPA!$C$4))</f>
        <v>0</v>
      </c>
      <c r="M1332" s="216">
        <f>IFERROR(VLOOKUP(A1332,PARTIDAS!$A$2:$F$269,6,FALSE()),1)</f>
        <v>25</v>
      </c>
      <c r="N1332" s="216">
        <f>IFERROR(VLOOKUP(A1332,PARTIDAS!$A$2:$I$269,9,FALSE()),1)</f>
        <v>1</v>
      </c>
      <c r="O1332" s="217">
        <f t="shared" si="40"/>
        <v>0</v>
      </c>
      <c r="P1332" s="216">
        <f>IF(O1332=0,0,IF(B1332="MAT",G1332*(1+H1332)*L1332*PLAN_ETAPA!$C$5,IF(B1332="MO",IF(M1332=0,0,G1332*L1332*PLAN_ETAPA!$C$5*N1332/M1332),IF(B1332="EQ",IF(M1332=0,0,G1332*L1332*PLAN_ETAPA!$C$5/M1332),0))))</f>
        <v>0</v>
      </c>
      <c r="Q1332" s="218">
        <f t="shared" si="41"/>
        <v>0</v>
      </c>
    </row>
    <row r="1333" spans="1:17" x14ac:dyDescent="0.35">
      <c r="A1333" s="212" t="str">
        <f>COMPOSICIÓN!A1333</f>
        <v>PTO-1504</v>
      </c>
      <c r="B1333" s="212" t="str">
        <f>COMPOSICIÓN!B1333</f>
        <v>MAT</v>
      </c>
      <c r="C1333" s="212" t="str">
        <f>COMPOSICIÓN!C1333</f>
        <v>OTR</v>
      </c>
      <c r="D1333" s="212" t="str">
        <f>COMPOSICIÓN!D1333</f>
        <v>OTR-028</v>
      </c>
      <c r="E1333" s="212" t="str">
        <f>COMPOSICIÓN!E1333</f>
        <v>Pincel N° 20 - El Galgo</v>
      </c>
      <c r="F1333" s="212" t="str">
        <f>COMPOSICIÓN!F1333</f>
        <v>u</v>
      </c>
      <c r="G1333" s="213">
        <f>COMPOSICIÓN!G1333</f>
        <v>5.0000000000000001E-3</v>
      </c>
      <c r="H1333" s="214">
        <f>COMPOSICIÓN!H1333</f>
        <v>0.05</v>
      </c>
      <c r="I1333" s="215">
        <f>COMPOSICIÓN!I1333</f>
        <v>5282.24</v>
      </c>
      <c r="J1333" s="212" t="str">
        <f>IFERROR(VLOOKUP(A1333,PARTIDAS!$A$2:$C$269,3,FALSE()),"")</f>
        <v>PINTURA</v>
      </c>
      <c r="K1333" s="212" t="str">
        <f>IFERROR(INDEX(PPTO_GENERADOR!$B$4:$B$220,MATCH(A1333,PPTO_GENERADOR!$Q$4:$Q$220,0)),"")</f>
        <v>PINTURA</v>
      </c>
      <c r="L1333" s="216">
        <f>IF(PLAN_ETAPA!$C$4="(TODOS)",SUMIFS(PPTO_GENERADOR!$E$4:$E$220,PPTO_GENERADOR!$Q$4:$Q$220,A1333),SUMIFS(PPTO_GENERADOR!$E$4:$E$220,PPTO_GENERADOR!$Q$4:$Q$220,A1333,PPTO_GENERADOR!$B$4:$B$220,PLAN_ETAPA!$C$4))</f>
        <v>0</v>
      </c>
      <c r="M1333" s="216">
        <f>IFERROR(VLOOKUP(A1333,PARTIDAS!$A$2:$F$269,6,FALSE()),1)</f>
        <v>25</v>
      </c>
      <c r="N1333" s="216">
        <f>IFERROR(VLOOKUP(A1333,PARTIDAS!$A$2:$I$269,9,FALSE()),1)</f>
        <v>1</v>
      </c>
      <c r="O1333" s="217">
        <f t="shared" si="40"/>
        <v>0</v>
      </c>
      <c r="P1333" s="216">
        <f>IF(O1333=0,0,IF(B1333="MAT",G1333*(1+H1333)*L1333*PLAN_ETAPA!$C$5,IF(B1333="MO",IF(M1333=0,0,G1333*L1333*PLAN_ETAPA!$C$5*N1333/M1333),IF(B1333="EQ",IF(M1333=0,0,G1333*L1333*PLAN_ETAPA!$C$5/M1333),0))))</f>
        <v>0</v>
      </c>
      <c r="Q1333" s="218">
        <f t="shared" si="41"/>
        <v>0</v>
      </c>
    </row>
    <row r="1334" spans="1:17" x14ac:dyDescent="0.35">
      <c r="A1334" s="212" t="str">
        <f>COMPOSICIÓN!A1334</f>
        <v>PTO-1504</v>
      </c>
      <c r="B1334" s="212" t="str">
        <f>COMPOSICIÓN!B1334</f>
        <v>MAT</v>
      </c>
      <c r="C1334" s="212" t="str">
        <f>COMPOSICIÓN!C1334</f>
        <v>OTR</v>
      </c>
      <c r="D1334" s="212" t="str">
        <f>COMPOSICIÓN!D1334</f>
        <v>OTR-029</v>
      </c>
      <c r="E1334" s="212" t="str">
        <f>COMPOSICIÓN!E1334</f>
        <v>Rollo de cartón corrugado 0,90 x 25 mts</v>
      </c>
      <c r="F1334" s="212" t="str">
        <f>COMPOSICIÓN!F1334</f>
        <v>u</v>
      </c>
      <c r="G1334" s="213">
        <f>COMPOSICIÓN!G1334</f>
        <v>0.01</v>
      </c>
      <c r="H1334" s="214">
        <f>COMPOSICIÓN!H1334</f>
        <v>0.05</v>
      </c>
      <c r="I1334" s="215">
        <f>COMPOSICIÓN!I1334</f>
        <v>7427.6</v>
      </c>
      <c r="J1334" s="212" t="str">
        <f>IFERROR(VLOOKUP(A1334,PARTIDAS!$A$2:$C$269,3,FALSE()),"")</f>
        <v>PINTURA</v>
      </c>
      <c r="K1334" s="212" t="str">
        <f>IFERROR(INDEX(PPTO_GENERADOR!$B$4:$B$220,MATCH(A1334,PPTO_GENERADOR!$Q$4:$Q$220,0)),"")</f>
        <v>PINTURA</v>
      </c>
      <c r="L1334" s="216">
        <f>IF(PLAN_ETAPA!$C$4="(TODOS)",SUMIFS(PPTO_GENERADOR!$E$4:$E$220,PPTO_GENERADOR!$Q$4:$Q$220,A1334),SUMIFS(PPTO_GENERADOR!$E$4:$E$220,PPTO_GENERADOR!$Q$4:$Q$220,A1334,PPTO_GENERADOR!$B$4:$B$220,PLAN_ETAPA!$C$4))</f>
        <v>0</v>
      </c>
      <c r="M1334" s="216">
        <f>IFERROR(VLOOKUP(A1334,PARTIDAS!$A$2:$F$269,6,FALSE()),1)</f>
        <v>25</v>
      </c>
      <c r="N1334" s="216">
        <f>IFERROR(VLOOKUP(A1334,PARTIDAS!$A$2:$I$269,9,FALSE()),1)</f>
        <v>1</v>
      </c>
      <c r="O1334" s="217">
        <f t="shared" si="40"/>
        <v>0</v>
      </c>
      <c r="P1334" s="216">
        <f>IF(O1334=0,0,IF(B1334="MAT",G1334*(1+H1334)*L1334*PLAN_ETAPA!$C$5,IF(B1334="MO",IF(M1334=0,0,G1334*L1334*PLAN_ETAPA!$C$5*N1334/M1334),IF(B1334="EQ",IF(M1334=0,0,G1334*L1334*PLAN_ETAPA!$C$5/M1334),0))))</f>
        <v>0</v>
      </c>
      <c r="Q1334" s="218">
        <f t="shared" si="41"/>
        <v>0</v>
      </c>
    </row>
    <row r="1335" spans="1:17" x14ac:dyDescent="0.35">
      <c r="A1335" s="212" t="str">
        <f>COMPOSICIÓN!A1335</f>
        <v>PTO-1504</v>
      </c>
      <c r="B1335" s="212" t="str">
        <f>COMPOSICIÓN!B1335</f>
        <v>MAT</v>
      </c>
      <c r="C1335" s="212" t="str">
        <f>COMPOSICIÓN!C1335</f>
        <v>OTR</v>
      </c>
      <c r="D1335" s="212" t="str">
        <f>COMPOSICIÓN!D1335</f>
        <v>PIN-001</v>
      </c>
      <c r="E1335" s="212" t="str">
        <f>COMPOSICIÓN!E1335</f>
        <v>Latex Loxon Interior Sherwin Williams Mate Bco x 20lts</v>
      </c>
      <c r="F1335" s="212" t="str">
        <f>COMPOSICIÓN!F1335</f>
        <v>B</v>
      </c>
      <c r="G1335" s="213">
        <f>COMPOSICIÓN!G1335</f>
        <v>1.2500000000000001E-2</v>
      </c>
      <c r="H1335" s="214">
        <f>COMPOSICIÓN!H1335</f>
        <v>0.1</v>
      </c>
      <c r="I1335" s="215">
        <f>COMPOSICIÓN!I1335</f>
        <v>120622.23</v>
      </c>
      <c r="J1335" s="212" t="str">
        <f>IFERROR(VLOOKUP(A1335,PARTIDAS!$A$2:$C$269,3,FALSE()),"")</f>
        <v>PINTURA</v>
      </c>
      <c r="K1335" s="212" t="str">
        <f>IFERROR(INDEX(PPTO_GENERADOR!$B$4:$B$220,MATCH(A1335,PPTO_GENERADOR!$Q$4:$Q$220,0)),"")</f>
        <v>PINTURA</v>
      </c>
      <c r="L1335" s="216">
        <f>IF(PLAN_ETAPA!$C$4="(TODOS)",SUMIFS(PPTO_GENERADOR!$E$4:$E$220,PPTO_GENERADOR!$Q$4:$Q$220,A1335),SUMIFS(PPTO_GENERADOR!$E$4:$E$220,PPTO_GENERADOR!$Q$4:$Q$220,A1335,PPTO_GENERADOR!$B$4:$B$220,PLAN_ETAPA!$C$4))</f>
        <v>0</v>
      </c>
      <c r="M1335" s="216">
        <f>IFERROR(VLOOKUP(A1335,PARTIDAS!$A$2:$F$269,6,FALSE()),1)</f>
        <v>25</v>
      </c>
      <c r="N1335" s="216">
        <f>IFERROR(VLOOKUP(A1335,PARTIDAS!$A$2:$I$269,9,FALSE()),1)</f>
        <v>1</v>
      </c>
      <c r="O1335" s="217">
        <f t="shared" si="40"/>
        <v>0</v>
      </c>
      <c r="P1335" s="216">
        <f>IF(O1335=0,0,IF(B1335="MAT",G1335*(1+H1335)*L1335*PLAN_ETAPA!$C$5,IF(B1335="MO",IF(M1335=0,0,G1335*L1335*PLAN_ETAPA!$C$5*N1335/M1335),IF(B1335="EQ",IF(M1335=0,0,G1335*L1335*PLAN_ETAPA!$C$5/M1335),0))))</f>
        <v>0</v>
      </c>
      <c r="Q1335" s="218">
        <f t="shared" si="41"/>
        <v>0</v>
      </c>
    </row>
    <row r="1336" spans="1:17" x14ac:dyDescent="0.35">
      <c r="A1336" s="212" t="str">
        <f>COMPOSICIÓN!A1336</f>
        <v>PTO-1504</v>
      </c>
      <c r="B1336" s="212" t="str">
        <f>COMPOSICIÓN!B1336</f>
        <v>MAT</v>
      </c>
      <c r="C1336" s="212" t="str">
        <f>COMPOSICIÓN!C1336</f>
        <v>OTR</v>
      </c>
      <c r="D1336" s="212" t="str">
        <f>COMPOSICIÓN!D1336</f>
        <v>REV-001</v>
      </c>
      <c r="E1336" s="212" t="str">
        <f>COMPOSICIÓN!E1336</f>
        <v>Yeso Tuyango x 30kg</v>
      </c>
      <c r="F1336" s="212" t="str">
        <f>COMPOSICIÓN!F1336</f>
        <v>b</v>
      </c>
      <c r="G1336" s="213">
        <f>COMPOSICIÓN!G1336</f>
        <v>1E-3</v>
      </c>
      <c r="H1336" s="214">
        <f>COMPOSICIÓN!H1336</f>
        <v>0.05</v>
      </c>
      <c r="I1336" s="215">
        <f>COMPOSICIÓN!I1336</f>
        <v>9639</v>
      </c>
      <c r="J1336" s="212" t="str">
        <f>IFERROR(VLOOKUP(A1336,PARTIDAS!$A$2:$C$269,3,FALSE()),"")</f>
        <v>PINTURA</v>
      </c>
      <c r="K1336" s="212" t="str">
        <f>IFERROR(INDEX(PPTO_GENERADOR!$B$4:$B$220,MATCH(A1336,PPTO_GENERADOR!$Q$4:$Q$220,0)),"")</f>
        <v>PINTURA</v>
      </c>
      <c r="L1336" s="216">
        <f>IF(PLAN_ETAPA!$C$4="(TODOS)",SUMIFS(PPTO_GENERADOR!$E$4:$E$220,PPTO_GENERADOR!$Q$4:$Q$220,A1336),SUMIFS(PPTO_GENERADOR!$E$4:$E$220,PPTO_GENERADOR!$Q$4:$Q$220,A1336,PPTO_GENERADOR!$B$4:$B$220,PLAN_ETAPA!$C$4))</f>
        <v>0</v>
      </c>
      <c r="M1336" s="216">
        <f>IFERROR(VLOOKUP(A1336,PARTIDAS!$A$2:$F$269,6,FALSE()),1)</f>
        <v>25</v>
      </c>
      <c r="N1336" s="216">
        <f>IFERROR(VLOOKUP(A1336,PARTIDAS!$A$2:$I$269,9,FALSE()),1)</f>
        <v>1</v>
      </c>
      <c r="O1336" s="217">
        <f t="shared" si="40"/>
        <v>0</v>
      </c>
      <c r="P1336" s="216">
        <f>IF(O1336=0,0,IF(B1336="MAT",G1336*(1+H1336)*L1336*PLAN_ETAPA!$C$5,IF(B1336="MO",IF(M1336=0,0,G1336*L1336*PLAN_ETAPA!$C$5*N1336/M1336),IF(B1336="EQ",IF(M1336=0,0,G1336*L1336*PLAN_ETAPA!$C$5/M1336),0))))</f>
        <v>0</v>
      </c>
      <c r="Q1336" s="218">
        <f t="shared" si="41"/>
        <v>0</v>
      </c>
    </row>
    <row r="1337" spans="1:17" x14ac:dyDescent="0.35">
      <c r="A1337" s="212" t="str">
        <f>COMPOSICIÓN!A1337</f>
        <v>PTO-1504</v>
      </c>
      <c r="B1337" s="212" t="str">
        <f>COMPOSICIÓN!B1337</f>
        <v>MO</v>
      </c>
      <c r="C1337" s="212" t="str">
        <f>COMPOSICIÓN!C1337</f>
        <v>ALB</v>
      </c>
      <c r="D1337" s="212" t="str">
        <f>COMPOSICIÓN!D1337</f>
        <v>MO-EESPE</v>
      </c>
      <c r="E1337" s="212" t="str">
        <f>COMPOSICIÓN!E1337</f>
        <v>ESPECIALIZADO</v>
      </c>
      <c r="F1337" s="212" t="str">
        <f>COMPOSICIÓN!F1337</f>
        <v>j</v>
      </c>
      <c r="G1337" s="213">
        <f>COMPOSICIÓN!G1337</f>
        <v>1</v>
      </c>
      <c r="H1337" s="214">
        <f>COMPOSICIÓN!H1337</f>
        <v>0</v>
      </c>
      <c r="I1337" s="215">
        <f>COMPOSICIÓN!I1337</f>
        <v>85927.097156571996</v>
      </c>
      <c r="J1337" s="212" t="str">
        <f>IFERROR(VLOOKUP(A1337,PARTIDAS!$A$2:$C$269,3,FALSE()),"")</f>
        <v>PINTURA</v>
      </c>
      <c r="K1337" s="212" t="str">
        <f>IFERROR(INDEX(PPTO_GENERADOR!$B$4:$B$220,MATCH(A1337,PPTO_GENERADOR!$Q$4:$Q$220,0)),"")</f>
        <v>PINTURA</v>
      </c>
      <c r="L1337" s="216">
        <f>IF(PLAN_ETAPA!$C$4="(TODOS)",SUMIFS(PPTO_GENERADOR!$E$4:$E$220,PPTO_GENERADOR!$Q$4:$Q$220,A1337),SUMIFS(PPTO_GENERADOR!$E$4:$E$220,PPTO_GENERADOR!$Q$4:$Q$220,A1337,PPTO_GENERADOR!$B$4:$B$220,PLAN_ETAPA!$C$4))</f>
        <v>0</v>
      </c>
      <c r="M1337" s="216">
        <f>IFERROR(VLOOKUP(A1337,PARTIDAS!$A$2:$F$269,6,FALSE()),1)</f>
        <v>25</v>
      </c>
      <c r="N1337" s="216">
        <f>IFERROR(VLOOKUP(A1337,PARTIDAS!$A$2:$I$269,9,FALSE()),1)</f>
        <v>1</v>
      </c>
      <c r="O1337" s="217">
        <f t="shared" si="40"/>
        <v>0</v>
      </c>
      <c r="P1337" s="216">
        <f>IF(O1337=0,0,IF(B1337="MAT",G1337*(1+H1337)*L1337*PLAN_ETAPA!$C$5,IF(B1337="MO",IF(M1337=0,0,G1337*L1337*PLAN_ETAPA!$C$5*N1337/M1337),IF(B1337="EQ",IF(M1337=0,0,G1337*L1337*PLAN_ETAPA!$C$5/M1337),0))))</f>
        <v>0</v>
      </c>
      <c r="Q1337" s="218">
        <f t="shared" si="41"/>
        <v>0</v>
      </c>
    </row>
    <row r="1338" spans="1:17" x14ac:dyDescent="0.35">
      <c r="A1338" s="212" t="str">
        <f>COMPOSICIÓN!A1338</f>
        <v>PTO-1505</v>
      </c>
      <c r="B1338" s="212" t="str">
        <f>COMPOSICIÓN!B1338</f>
        <v>EQ</v>
      </c>
      <c r="C1338" s="212">
        <f>COMPOSICIÓN!C1338</f>
        <v>0</v>
      </c>
      <c r="D1338" s="212" t="str">
        <f>COMPOSICIÓN!D1338</f>
        <v>EQ-EQUIPI</v>
      </c>
      <c r="E1338" s="212" t="str">
        <f>COMPOSICIÓN!E1338</f>
        <v>EQUIPO PARA PINTAR</v>
      </c>
      <c r="F1338" s="212">
        <f>COMPOSICIÓN!F1338</f>
        <v>0</v>
      </c>
      <c r="G1338" s="213">
        <f>COMPOSICIÓN!G1338</f>
        <v>1</v>
      </c>
      <c r="H1338" s="214">
        <f>COMPOSICIÓN!H1338</f>
        <v>0</v>
      </c>
      <c r="I1338" s="215">
        <f>COMPOSICIÓN!I1338</f>
        <v>1723.6259595547085</v>
      </c>
      <c r="J1338" s="212" t="str">
        <f>IFERROR(VLOOKUP(A1338,PARTIDAS!$A$2:$C$269,3,FALSE()),"")</f>
        <v>PINTURA</v>
      </c>
      <c r="K1338" s="212" t="str">
        <f>IFERROR(INDEX(PPTO_GENERADOR!$B$4:$B$220,MATCH(A1338,PPTO_GENERADOR!$Q$4:$Q$220,0)),"")</f>
        <v/>
      </c>
      <c r="L1338" s="216">
        <f>IF(PLAN_ETAPA!$C$4="(TODOS)",SUMIFS(PPTO_GENERADOR!$E$4:$E$220,PPTO_GENERADOR!$Q$4:$Q$220,A1338),SUMIFS(PPTO_GENERADOR!$E$4:$E$220,PPTO_GENERADOR!$Q$4:$Q$220,A1338,PPTO_GENERADOR!$B$4:$B$220,PLAN_ETAPA!$C$4))</f>
        <v>0</v>
      </c>
      <c r="M1338" s="216">
        <f>IFERROR(VLOOKUP(A1338,PARTIDAS!$A$2:$F$269,6,FALSE()),1)</f>
        <v>20</v>
      </c>
      <c r="N1338" s="216">
        <f>IFERROR(VLOOKUP(A1338,PARTIDAS!$A$2:$I$269,9,FALSE()),1)</f>
        <v>1</v>
      </c>
      <c r="O1338" s="217">
        <f t="shared" si="40"/>
        <v>0</v>
      </c>
      <c r="P1338" s="216">
        <f>IF(O1338=0,0,IF(B1338="MAT",G1338*(1+H1338)*L1338*PLAN_ETAPA!$C$5,IF(B1338="MO",IF(M1338=0,0,G1338*L1338*PLAN_ETAPA!$C$5*N1338/M1338),IF(B1338="EQ",IF(M1338=0,0,G1338*L1338*PLAN_ETAPA!$C$5/M1338),0))))</f>
        <v>0</v>
      </c>
      <c r="Q1338" s="218">
        <f t="shared" si="41"/>
        <v>0</v>
      </c>
    </row>
    <row r="1339" spans="1:17" x14ac:dyDescent="0.35">
      <c r="A1339" s="212" t="str">
        <f>COMPOSICIÓN!A1339</f>
        <v>PTO-1505</v>
      </c>
      <c r="B1339" s="212" t="str">
        <f>COMPOSICIÓN!B1339</f>
        <v>EQ</v>
      </c>
      <c r="C1339" s="212">
        <f>COMPOSICIÓN!C1339</f>
        <v>0</v>
      </c>
      <c r="D1339" s="212" t="str">
        <f>COMPOSICIÓN!D1339</f>
        <v>EQ-PTO026</v>
      </c>
      <c r="E1339" s="212" t="str">
        <f>COMPOSICIÓN!E1339</f>
        <v>ESCALERA MADERA PINTOR 8 ESCALONES</v>
      </c>
      <c r="F1339" s="212">
        <f>COMPOSICIÓN!F1339</f>
        <v>0</v>
      </c>
      <c r="G1339" s="213">
        <f>COMPOSICIÓN!G1339</f>
        <v>1</v>
      </c>
      <c r="H1339" s="214">
        <f>COMPOSICIÓN!H1339</f>
        <v>0</v>
      </c>
      <c r="I1339" s="215">
        <f>COMPOSICIÓN!I1339</f>
        <v>200.25307946474501</v>
      </c>
      <c r="J1339" s="212" t="str">
        <f>IFERROR(VLOOKUP(A1339,PARTIDAS!$A$2:$C$269,3,FALSE()),"")</f>
        <v>PINTURA</v>
      </c>
      <c r="K1339" s="212" t="str">
        <f>IFERROR(INDEX(PPTO_GENERADOR!$B$4:$B$220,MATCH(A1339,PPTO_GENERADOR!$Q$4:$Q$220,0)),"")</f>
        <v/>
      </c>
      <c r="L1339" s="216">
        <f>IF(PLAN_ETAPA!$C$4="(TODOS)",SUMIFS(PPTO_GENERADOR!$E$4:$E$220,PPTO_GENERADOR!$Q$4:$Q$220,A1339),SUMIFS(PPTO_GENERADOR!$E$4:$E$220,PPTO_GENERADOR!$Q$4:$Q$220,A1339,PPTO_GENERADOR!$B$4:$B$220,PLAN_ETAPA!$C$4))</f>
        <v>0</v>
      </c>
      <c r="M1339" s="216">
        <f>IFERROR(VLOOKUP(A1339,PARTIDAS!$A$2:$F$269,6,FALSE()),1)</f>
        <v>20</v>
      </c>
      <c r="N1339" s="216">
        <f>IFERROR(VLOOKUP(A1339,PARTIDAS!$A$2:$I$269,9,FALSE()),1)</f>
        <v>1</v>
      </c>
      <c r="O1339" s="217">
        <f t="shared" si="40"/>
        <v>0</v>
      </c>
      <c r="P1339" s="216">
        <f>IF(O1339=0,0,IF(B1339="MAT",G1339*(1+H1339)*L1339*PLAN_ETAPA!$C$5,IF(B1339="MO",IF(M1339=0,0,G1339*L1339*PLAN_ETAPA!$C$5*N1339/M1339),IF(B1339="EQ",IF(M1339=0,0,G1339*L1339*PLAN_ETAPA!$C$5/M1339),0))))</f>
        <v>0</v>
      </c>
      <c r="Q1339" s="218">
        <f t="shared" si="41"/>
        <v>0</v>
      </c>
    </row>
    <row r="1340" spans="1:17" x14ac:dyDescent="0.35">
      <c r="A1340" s="212" t="str">
        <f>COMPOSICIÓN!A1340</f>
        <v>PTO-1505</v>
      </c>
      <c r="B1340" s="212" t="str">
        <f>COMPOSICIÓN!B1340</f>
        <v>MAT</v>
      </c>
      <c r="C1340" s="212" t="str">
        <f>COMPOSICIÓN!C1340</f>
        <v>OTR</v>
      </c>
      <c r="D1340" s="212" t="str">
        <f>COMPOSICIÓN!D1340</f>
        <v>OTR-021</v>
      </c>
      <c r="E1340" s="212" t="str">
        <f>COMPOSICIÓN!E1340</f>
        <v>Fijador al agua x 20 lts</v>
      </c>
      <c r="F1340" s="212" t="str">
        <f>COMPOSICIÓN!F1340</f>
        <v>b</v>
      </c>
      <c r="G1340" s="213">
        <f>COMPOSICIÓN!G1340</f>
        <v>4.0000000000000001E-3</v>
      </c>
      <c r="H1340" s="214">
        <f>COMPOSICIÓN!H1340</f>
        <v>0.05</v>
      </c>
      <c r="I1340" s="215">
        <f>COMPOSICIÓN!I1340</f>
        <v>30467.49</v>
      </c>
      <c r="J1340" s="212" t="str">
        <f>IFERROR(VLOOKUP(A1340,PARTIDAS!$A$2:$C$269,3,FALSE()),"")</f>
        <v>PINTURA</v>
      </c>
      <c r="K1340" s="212" t="str">
        <f>IFERROR(INDEX(PPTO_GENERADOR!$B$4:$B$220,MATCH(A1340,PPTO_GENERADOR!$Q$4:$Q$220,0)),"")</f>
        <v/>
      </c>
      <c r="L1340" s="216">
        <f>IF(PLAN_ETAPA!$C$4="(TODOS)",SUMIFS(PPTO_GENERADOR!$E$4:$E$220,PPTO_GENERADOR!$Q$4:$Q$220,A1340),SUMIFS(PPTO_GENERADOR!$E$4:$E$220,PPTO_GENERADOR!$Q$4:$Q$220,A1340,PPTO_GENERADOR!$B$4:$B$220,PLAN_ETAPA!$C$4))</f>
        <v>0</v>
      </c>
      <c r="M1340" s="216">
        <f>IFERROR(VLOOKUP(A1340,PARTIDAS!$A$2:$F$269,6,FALSE()),1)</f>
        <v>20</v>
      </c>
      <c r="N1340" s="216">
        <f>IFERROR(VLOOKUP(A1340,PARTIDAS!$A$2:$I$269,9,FALSE()),1)</f>
        <v>1</v>
      </c>
      <c r="O1340" s="217">
        <f t="shared" si="40"/>
        <v>0</v>
      </c>
      <c r="P1340" s="216">
        <f>IF(O1340=0,0,IF(B1340="MAT",G1340*(1+H1340)*L1340*PLAN_ETAPA!$C$5,IF(B1340="MO",IF(M1340=0,0,G1340*L1340*PLAN_ETAPA!$C$5*N1340/M1340),IF(B1340="EQ",IF(M1340=0,0,G1340*L1340*PLAN_ETAPA!$C$5/M1340),0))))</f>
        <v>0</v>
      </c>
      <c r="Q1340" s="218">
        <f t="shared" si="41"/>
        <v>0</v>
      </c>
    </row>
    <row r="1341" spans="1:17" x14ac:dyDescent="0.35">
      <c r="A1341" s="212" t="str">
        <f>COMPOSICIÓN!A1341</f>
        <v>PTO-1505</v>
      </c>
      <c r="B1341" s="212" t="str">
        <f>COMPOSICIÓN!B1341</f>
        <v>MAT</v>
      </c>
      <c r="C1341" s="212" t="str">
        <f>COMPOSICIÓN!C1341</f>
        <v>OTR</v>
      </c>
      <c r="D1341" s="212" t="str">
        <f>COMPOSICIÓN!D1341</f>
        <v>OTR-023</v>
      </c>
      <c r="E1341" s="212" t="str">
        <f>COMPOSICIÓN!E1341</f>
        <v>Lija 180 al agua x 10u</v>
      </c>
      <c r="F1341" s="212" t="str">
        <f>COMPOSICIÓN!F1341</f>
        <v>u</v>
      </c>
      <c r="G1341" s="213">
        <f>COMPOSICIÓN!G1341</f>
        <v>1.4999999999999999E-2</v>
      </c>
      <c r="H1341" s="214">
        <f>COMPOSICIÓN!H1341</f>
        <v>0.05</v>
      </c>
      <c r="I1341" s="215">
        <f>COMPOSICIÓN!I1341</f>
        <v>5661.4</v>
      </c>
      <c r="J1341" s="212" t="str">
        <f>IFERROR(VLOOKUP(A1341,PARTIDAS!$A$2:$C$269,3,FALSE()),"")</f>
        <v>PINTURA</v>
      </c>
      <c r="K1341" s="212" t="str">
        <f>IFERROR(INDEX(PPTO_GENERADOR!$B$4:$B$220,MATCH(A1341,PPTO_GENERADOR!$Q$4:$Q$220,0)),"")</f>
        <v/>
      </c>
      <c r="L1341" s="216">
        <f>IF(PLAN_ETAPA!$C$4="(TODOS)",SUMIFS(PPTO_GENERADOR!$E$4:$E$220,PPTO_GENERADOR!$Q$4:$Q$220,A1341),SUMIFS(PPTO_GENERADOR!$E$4:$E$220,PPTO_GENERADOR!$Q$4:$Q$220,A1341,PPTO_GENERADOR!$B$4:$B$220,PLAN_ETAPA!$C$4))</f>
        <v>0</v>
      </c>
      <c r="M1341" s="216">
        <f>IFERROR(VLOOKUP(A1341,PARTIDAS!$A$2:$F$269,6,FALSE()),1)</f>
        <v>20</v>
      </c>
      <c r="N1341" s="216">
        <f>IFERROR(VLOOKUP(A1341,PARTIDAS!$A$2:$I$269,9,FALSE()),1)</f>
        <v>1</v>
      </c>
      <c r="O1341" s="217">
        <f t="shared" si="40"/>
        <v>0</v>
      </c>
      <c r="P1341" s="216">
        <f>IF(O1341=0,0,IF(B1341="MAT",G1341*(1+H1341)*L1341*PLAN_ETAPA!$C$5,IF(B1341="MO",IF(M1341=0,0,G1341*L1341*PLAN_ETAPA!$C$5*N1341/M1341),IF(B1341="EQ",IF(M1341=0,0,G1341*L1341*PLAN_ETAPA!$C$5/M1341),0))))</f>
        <v>0</v>
      </c>
      <c r="Q1341" s="218">
        <f t="shared" si="41"/>
        <v>0</v>
      </c>
    </row>
    <row r="1342" spans="1:17" x14ac:dyDescent="0.35">
      <c r="A1342" s="212" t="str">
        <f>COMPOSICIÓN!A1342</f>
        <v>PTO-1505</v>
      </c>
      <c r="B1342" s="212" t="str">
        <f>COMPOSICIÓN!B1342</f>
        <v>MAT</v>
      </c>
      <c r="C1342" s="212" t="str">
        <f>COMPOSICIÓN!C1342</f>
        <v>OTR</v>
      </c>
      <c r="D1342" s="212" t="str">
        <f>COMPOSICIÓN!D1342</f>
        <v>OTR-024</v>
      </c>
      <c r="E1342" s="212" t="str">
        <f>COMPOSICIÓN!E1342</f>
        <v>Cinta de Papel 36 mm x 40m</v>
      </c>
      <c r="F1342" s="212" t="str">
        <f>COMPOSICIÓN!F1342</f>
        <v>u</v>
      </c>
      <c r="G1342" s="213">
        <f>COMPOSICIÓN!G1342</f>
        <v>0.05</v>
      </c>
      <c r="H1342" s="214">
        <f>COMPOSICIÓN!H1342</f>
        <v>0.1</v>
      </c>
      <c r="I1342" s="215">
        <f>COMPOSICIÓN!I1342</f>
        <v>3293.01</v>
      </c>
      <c r="J1342" s="212" t="str">
        <f>IFERROR(VLOOKUP(A1342,PARTIDAS!$A$2:$C$269,3,FALSE()),"")</f>
        <v>PINTURA</v>
      </c>
      <c r="K1342" s="212" t="str">
        <f>IFERROR(INDEX(PPTO_GENERADOR!$B$4:$B$220,MATCH(A1342,PPTO_GENERADOR!$Q$4:$Q$220,0)),"")</f>
        <v/>
      </c>
      <c r="L1342" s="216">
        <f>IF(PLAN_ETAPA!$C$4="(TODOS)",SUMIFS(PPTO_GENERADOR!$E$4:$E$220,PPTO_GENERADOR!$Q$4:$Q$220,A1342),SUMIFS(PPTO_GENERADOR!$E$4:$E$220,PPTO_GENERADOR!$Q$4:$Q$220,A1342,PPTO_GENERADOR!$B$4:$B$220,PLAN_ETAPA!$C$4))</f>
        <v>0</v>
      </c>
      <c r="M1342" s="216">
        <f>IFERROR(VLOOKUP(A1342,PARTIDAS!$A$2:$F$269,6,FALSE()),1)</f>
        <v>20</v>
      </c>
      <c r="N1342" s="216">
        <f>IFERROR(VLOOKUP(A1342,PARTIDAS!$A$2:$I$269,9,FALSE()),1)</f>
        <v>1</v>
      </c>
      <c r="O1342" s="217">
        <f t="shared" si="40"/>
        <v>0</v>
      </c>
      <c r="P1342" s="216">
        <f>IF(O1342=0,0,IF(B1342="MAT",G1342*(1+H1342)*L1342*PLAN_ETAPA!$C$5,IF(B1342="MO",IF(M1342=0,0,G1342*L1342*PLAN_ETAPA!$C$5*N1342/M1342),IF(B1342="EQ",IF(M1342=0,0,G1342*L1342*PLAN_ETAPA!$C$5/M1342),0))))</f>
        <v>0</v>
      </c>
      <c r="Q1342" s="218">
        <f t="shared" si="41"/>
        <v>0</v>
      </c>
    </row>
    <row r="1343" spans="1:17" x14ac:dyDescent="0.35">
      <c r="A1343" s="212" t="str">
        <f>COMPOSICIÓN!A1343</f>
        <v>PTO-1505</v>
      </c>
      <c r="B1343" s="212" t="str">
        <f>COMPOSICIÓN!B1343</f>
        <v>MAT</v>
      </c>
      <c r="C1343" s="212" t="str">
        <f>COMPOSICIÓN!C1343</f>
        <v>OTR</v>
      </c>
      <c r="D1343" s="212" t="str">
        <f>COMPOSICIÓN!D1343</f>
        <v>OTR-025</v>
      </c>
      <c r="E1343" s="212" t="str">
        <f>COMPOSICIÓN!E1343</f>
        <v>Trapo</v>
      </c>
      <c r="F1343" s="212" t="str">
        <f>COMPOSICIÓN!F1343</f>
        <v>u</v>
      </c>
      <c r="G1343" s="213">
        <f>COMPOSICIÓN!G1343</f>
        <v>0.03</v>
      </c>
      <c r="H1343" s="214">
        <f>COMPOSICIÓN!H1343</f>
        <v>0.05</v>
      </c>
      <c r="I1343" s="215">
        <f>COMPOSICIÓN!I1343</f>
        <v>735.06</v>
      </c>
      <c r="J1343" s="212" t="str">
        <f>IFERROR(VLOOKUP(A1343,PARTIDAS!$A$2:$C$269,3,FALSE()),"")</f>
        <v>PINTURA</v>
      </c>
      <c r="K1343" s="212" t="str">
        <f>IFERROR(INDEX(PPTO_GENERADOR!$B$4:$B$220,MATCH(A1343,PPTO_GENERADOR!$Q$4:$Q$220,0)),"")</f>
        <v/>
      </c>
      <c r="L1343" s="216">
        <f>IF(PLAN_ETAPA!$C$4="(TODOS)",SUMIFS(PPTO_GENERADOR!$E$4:$E$220,PPTO_GENERADOR!$Q$4:$Q$220,A1343),SUMIFS(PPTO_GENERADOR!$E$4:$E$220,PPTO_GENERADOR!$Q$4:$Q$220,A1343,PPTO_GENERADOR!$B$4:$B$220,PLAN_ETAPA!$C$4))</f>
        <v>0</v>
      </c>
      <c r="M1343" s="216">
        <f>IFERROR(VLOOKUP(A1343,PARTIDAS!$A$2:$F$269,6,FALSE()),1)</f>
        <v>20</v>
      </c>
      <c r="N1343" s="216">
        <f>IFERROR(VLOOKUP(A1343,PARTIDAS!$A$2:$I$269,9,FALSE()),1)</f>
        <v>1</v>
      </c>
      <c r="O1343" s="217">
        <f t="shared" si="40"/>
        <v>0</v>
      </c>
      <c r="P1343" s="216">
        <f>IF(O1343=0,0,IF(B1343="MAT",G1343*(1+H1343)*L1343*PLAN_ETAPA!$C$5,IF(B1343="MO",IF(M1343=0,0,G1343*L1343*PLAN_ETAPA!$C$5*N1343/M1343),IF(B1343="EQ",IF(M1343=0,0,G1343*L1343*PLAN_ETAPA!$C$5/M1343),0))))</f>
        <v>0</v>
      </c>
      <c r="Q1343" s="218">
        <f t="shared" si="41"/>
        <v>0</v>
      </c>
    </row>
    <row r="1344" spans="1:17" x14ac:dyDescent="0.35">
      <c r="A1344" s="212" t="str">
        <f>COMPOSICIÓN!A1344</f>
        <v>PTO-1505</v>
      </c>
      <c r="B1344" s="212" t="str">
        <f>COMPOSICIÓN!B1344</f>
        <v>MAT</v>
      </c>
      <c r="C1344" s="212" t="str">
        <f>COMPOSICIÓN!C1344</f>
        <v>OTR</v>
      </c>
      <c r="D1344" s="212" t="str">
        <f>COMPOSICIÓN!D1344</f>
        <v>OTR-026</v>
      </c>
      <c r="E1344" s="212" t="str">
        <f>COMPOSICIÓN!E1344</f>
        <v>Rodillo de lana pelo corto antigota N°22 - El Galgo</v>
      </c>
      <c r="F1344" s="212" t="str">
        <f>COMPOSICIÓN!F1344</f>
        <v>u</v>
      </c>
      <c r="G1344" s="213">
        <f>COMPOSICIÓN!G1344</f>
        <v>5.0000000000000001E-3</v>
      </c>
      <c r="H1344" s="214">
        <f>COMPOSICIÓN!H1344</f>
        <v>0.05</v>
      </c>
      <c r="I1344" s="215">
        <f>COMPOSICIÓN!I1344</f>
        <v>6678.36</v>
      </c>
      <c r="J1344" s="212" t="str">
        <f>IFERROR(VLOOKUP(A1344,PARTIDAS!$A$2:$C$269,3,FALSE()),"")</f>
        <v>PINTURA</v>
      </c>
      <c r="K1344" s="212" t="str">
        <f>IFERROR(INDEX(PPTO_GENERADOR!$B$4:$B$220,MATCH(A1344,PPTO_GENERADOR!$Q$4:$Q$220,0)),"")</f>
        <v/>
      </c>
      <c r="L1344" s="216">
        <f>IF(PLAN_ETAPA!$C$4="(TODOS)",SUMIFS(PPTO_GENERADOR!$E$4:$E$220,PPTO_GENERADOR!$Q$4:$Q$220,A1344),SUMIFS(PPTO_GENERADOR!$E$4:$E$220,PPTO_GENERADOR!$Q$4:$Q$220,A1344,PPTO_GENERADOR!$B$4:$B$220,PLAN_ETAPA!$C$4))</f>
        <v>0</v>
      </c>
      <c r="M1344" s="216">
        <f>IFERROR(VLOOKUP(A1344,PARTIDAS!$A$2:$F$269,6,FALSE()),1)</f>
        <v>20</v>
      </c>
      <c r="N1344" s="216">
        <f>IFERROR(VLOOKUP(A1344,PARTIDAS!$A$2:$I$269,9,FALSE()),1)</f>
        <v>1</v>
      </c>
      <c r="O1344" s="217">
        <f t="shared" si="40"/>
        <v>0</v>
      </c>
      <c r="P1344" s="216">
        <f>IF(O1344=0,0,IF(B1344="MAT",G1344*(1+H1344)*L1344*PLAN_ETAPA!$C$5,IF(B1344="MO",IF(M1344=0,0,G1344*L1344*PLAN_ETAPA!$C$5*N1344/M1344),IF(B1344="EQ",IF(M1344=0,0,G1344*L1344*PLAN_ETAPA!$C$5/M1344),0))))</f>
        <v>0</v>
      </c>
      <c r="Q1344" s="218">
        <f t="shared" si="41"/>
        <v>0</v>
      </c>
    </row>
    <row r="1345" spans="1:17" x14ac:dyDescent="0.35">
      <c r="A1345" s="212" t="str">
        <f>COMPOSICIÓN!A1345</f>
        <v>PTO-1505</v>
      </c>
      <c r="B1345" s="212" t="str">
        <f>COMPOSICIÓN!B1345</f>
        <v>MAT</v>
      </c>
      <c r="C1345" s="212" t="str">
        <f>COMPOSICIÓN!C1345</f>
        <v>OTR</v>
      </c>
      <c r="D1345" s="212" t="str">
        <f>COMPOSICIÓN!D1345</f>
        <v>OTR-028</v>
      </c>
      <c r="E1345" s="212" t="str">
        <f>COMPOSICIÓN!E1345</f>
        <v>Pincel N° 20 - El Galgo</v>
      </c>
      <c r="F1345" s="212" t="str">
        <f>COMPOSICIÓN!F1345</f>
        <v>u</v>
      </c>
      <c r="G1345" s="213">
        <f>COMPOSICIÓN!G1345</f>
        <v>5.0000000000000001E-3</v>
      </c>
      <c r="H1345" s="214">
        <f>COMPOSICIÓN!H1345</f>
        <v>0.05</v>
      </c>
      <c r="I1345" s="215">
        <f>COMPOSICIÓN!I1345</f>
        <v>5282.24</v>
      </c>
      <c r="J1345" s="212" t="str">
        <f>IFERROR(VLOOKUP(A1345,PARTIDAS!$A$2:$C$269,3,FALSE()),"")</f>
        <v>PINTURA</v>
      </c>
      <c r="K1345" s="212" t="str">
        <f>IFERROR(INDEX(PPTO_GENERADOR!$B$4:$B$220,MATCH(A1345,PPTO_GENERADOR!$Q$4:$Q$220,0)),"")</f>
        <v/>
      </c>
      <c r="L1345" s="216">
        <f>IF(PLAN_ETAPA!$C$4="(TODOS)",SUMIFS(PPTO_GENERADOR!$E$4:$E$220,PPTO_GENERADOR!$Q$4:$Q$220,A1345),SUMIFS(PPTO_GENERADOR!$E$4:$E$220,PPTO_GENERADOR!$Q$4:$Q$220,A1345,PPTO_GENERADOR!$B$4:$B$220,PLAN_ETAPA!$C$4))</f>
        <v>0</v>
      </c>
      <c r="M1345" s="216">
        <f>IFERROR(VLOOKUP(A1345,PARTIDAS!$A$2:$F$269,6,FALSE()),1)</f>
        <v>20</v>
      </c>
      <c r="N1345" s="216">
        <f>IFERROR(VLOOKUP(A1345,PARTIDAS!$A$2:$I$269,9,FALSE()),1)</f>
        <v>1</v>
      </c>
      <c r="O1345" s="217">
        <f t="shared" si="40"/>
        <v>0</v>
      </c>
      <c r="P1345" s="216">
        <f>IF(O1345=0,0,IF(B1345="MAT",G1345*(1+H1345)*L1345*PLAN_ETAPA!$C$5,IF(B1345="MO",IF(M1345=0,0,G1345*L1345*PLAN_ETAPA!$C$5*N1345/M1345),IF(B1345="EQ",IF(M1345=0,0,G1345*L1345*PLAN_ETAPA!$C$5/M1345),0))))</f>
        <v>0</v>
      </c>
      <c r="Q1345" s="218">
        <f t="shared" si="41"/>
        <v>0</v>
      </c>
    </row>
    <row r="1346" spans="1:17" x14ac:dyDescent="0.35">
      <c r="A1346" s="212" t="str">
        <f>COMPOSICIÓN!A1346</f>
        <v>PTO-1505</v>
      </c>
      <c r="B1346" s="212" t="str">
        <f>COMPOSICIÓN!B1346</f>
        <v>MAT</v>
      </c>
      <c r="C1346" s="212" t="str">
        <f>COMPOSICIÓN!C1346</f>
        <v>OTR</v>
      </c>
      <c r="D1346" s="212" t="str">
        <f>COMPOSICIÓN!D1346</f>
        <v>OTR-029</v>
      </c>
      <c r="E1346" s="212" t="str">
        <f>COMPOSICIÓN!E1346</f>
        <v>Rollo de cartón corrugado 0,90 x 25 mts</v>
      </c>
      <c r="F1346" s="212" t="str">
        <f>COMPOSICIÓN!F1346</f>
        <v>u</v>
      </c>
      <c r="G1346" s="213">
        <f>COMPOSICIÓN!G1346</f>
        <v>0.01</v>
      </c>
      <c r="H1346" s="214">
        <f>COMPOSICIÓN!H1346</f>
        <v>0.05</v>
      </c>
      <c r="I1346" s="215">
        <f>COMPOSICIÓN!I1346</f>
        <v>7427.6</v>
      </c>
      <c r="J1346" s="212" t="str">
        <f>IFERROR(VLOOKUP(A1346,PARTIDAS!$A$2:$C$269,3,FALSE()),"")</f>
        <v>PINTURA</v>
      </c>
      <c r="K1346" s="212" t="str">
        <f>IFERROR(INDEX(PPTO_GENERADOR!$B$4:$B$220,MATCH(A1346,PPTO_GENERADOR!$Q$4:$Q$220,0)),"")</f>
        <v/>
      </c>
      <c r="L1346" s="216">
        <f>IF(PLAN_ETAPA!$C$4="(TODOS)",SUMIFS(PPTO_GENERADOR!$E$4:$E$220,PPTO_GENERADOR!$Q$4:$Q$220,A1346),SUMIFS(PPTO_GENERADOR!$E$4:$E$220,PPTO_GENERADOR!$Q$4:$Q$220,A1346,PPTO_GENERADOR!$B$4:$B$220,PLAN_ETAPA!$C$4))</f>
        <v>0</v>
      </c>
      <c r="M1346" s="216">
        <f>IFERROR(VLOOKUP(A1346,PARTIDAS!$A$2:$F$269,6,FALSE()),1)</f>
        <v>20</v>
      </c>
      <c r="N1346" s="216">
        <f>IFERROR(VLOOKUP(A1346,PARTIDAS!$A$2:$I$269,9,FALSE()),1)</f>
        <v>1</v>
      </c>
      <c r="O1346" s="217">
        <f t="shared" ref="O1346:O1409" si="42">IF(L1346&gt;0,1,0)</f>
        <v>0</v>
      </c>
      <c r="P1346" s="216">
        <f>IF(O1346=0,0,IF(B1346="MAT",G1346*(1+H1346)*L1346*PLAN_ETAPA!$C$5,IF(B1346="MO",IF(M1346=0,0,G1346*L1346*PLAN_ETAPA!$C$5*N1346/M1346),IF(B1346="EQ",IF(M1346=0,0,G1346*L1346*PLAN_ETAPA!$C$5/M1346),0))))</f>
        <v>0</v>
      </c>
      <c r="Q1346" s="218">
        <f t="shared" ref="Q1346:Q1409" si="43">P1346*I1346</f>
        <v>0</v>
      </c>
    </row>
    <row r="1347" spans="1:17" x14ac:dyDescent="0.35">
      <c r="A1347" s="212" t="str">
        <f>COMPOSICIÓN!A1347</f>
        <v>PTO-1505</v>
      </c>
      <c r="B1347" s="212" t="str">
        <f>COMPOSICIÓN!B1347</f>
        <v>MAT</v>
      </c>
      <c r="C1347" s="212" t="str">
        <f>COMPOSICIÓN!C1347</f>
        <v>OTR</v>
      </c>
      <c r="D1347" s="212" t="str">
        <f>COMPOSICIÓN!D1347</f>
        <v>PIN-001</v>
      </c>
      <c r="E1347" s="212" t="str">
        <f>COMPOSICIÓN!E1347</f>
        <v>Latex Loxon Interior Sherwin Williams Mate Bco x 20lts</v>
      </c>
      <c r="F1347" s="212" t="str">
        <f>COMPOSICIÓN!F1347</f>
        <v>B</v>
      </c>
      <c r="G1347" s="213">
        <f>COMPOSICIÓN!G1347</f>
        <v>1.2500000000000001E-2</v>
      </c>
      <c r="H1347" s="214">
        <f>COMPOSICIÓN!H1347</f>
        <v>0.1</v>
      </c>
      <c r="I1347" s="215">
        <f>COMPOSICIÓN!I1347</f>
        <v>120622.23</v>
      </c>
      <c r="J1347" s="212" t="str">
        <f>IFERROR(VLOOKUP(A1347,PARTIDAS!$A$2:$C$269,3,FALSE()),"")</f>
        <v>PINTURA</v>
      </c>
      <c r="K1347" s="212" t="str">
        <f>IFERROR(INDEX(PPTO_GENERADOR!$B$4:$B$220,MATCH(A1347,PPTO_GENERADOR!$Q$4:$Q$220,0)),"")</f>
        <v/>
      </c>
      <c r="L1347" s="216">
        <f>IF(PLAN_ETAPA!$C$4="(TODOS)",SUMIFS(PPTO_GENERADOR!$E$4:$E$220,PPTO_GENERADOR!$Q$4:$Q$220,A1347),SUMIFS(PPTO_GENERADOR!$E$4:$E$220,PPTO_GENERADOR!$Q$4:$Q$220,A1347,PPTO_GENERADOR!$B$4:$B$220,PLAN_ETAPA!$C$4))</f>
        <v>0</v>
      </c>
      <c r="M1347" s="216">
        <f>IFERROR(VLOOKUP(A1347,PARTIDAS!$A$2:$F$269,6,FALSE()),1)</f>
        <v>20</v>
      </c>
      <c r="N1347" s="216">
        <f>IFERROR(VLOOKUP(A1347,PARTIDAS!$A$2:$I$269,9,FALSE()),1)</f>
        <v>1</v>
      </c>
      <c r="O1347" s="217">
        <f t="shared" si="42"/>
        <v>0</v>
      </c>
      <c r="P1347" s="216">
        <f>IF(O1347=0,0,IF(B1347="MAT",G1347*(1+H1347)*L1347*PLAN_ETAPA!$C$5,IF(B1347="MO",IF(M1347=0,0,G1347*L1347*PLAN_ETAPA!$C$5*N1347/M1347),IF(B1347="EQ",IF(M1347=0,0,G1347*L1347*PLAN_ETAPA!$C$5/M1347),0))))</f>
        <v>0</v>
      </c>
      <c r="Q1347" s="218">
        <f t="shared" si="43"/>
        <v>0</v>
      </c>
    </row>
    <row r="1348" spans="1:17" x14ac:dyDescent="0.35">
      <c r="A1348" s="212" t="str">
        <f>COMPOSICIÓN!A1348</f>
        <v>PTO-1505</v>
      </c>
      <c r="B1348" s="212" t="str">
        <f>COMPOSICIÓN!B1348</f>
        <v>MAT</v>
      </c>
      <c r="C1348" s="212" t="str">
        <f>COMPOSICIÓN!C1348</f>
        <v>OTR</v>
      </c>
      <c r="D1348" s="212" t="str">
        <f>COMPOSICIÓN!D1348</f>
        <v>PIN-007</v>
      </c>
      <c r="E1348" s="212" t="str">
        <f>COMPOSICIÓN!E1348</f>
        <v>Enduido Interior x 20lts</v>
      </c>
      <c r="F1348" s="212" t="str">
        <f>COMPOSICIÓN!F1348</f>
        <v>B</v>
      </c>
      <c r="G1348" s="213">
        <f>COMPOSICIÓN!G1348</f>
        <v>2E-3</v>
      </c>
      <c r="H1348" s="214">
        <f>COMPOSICIÓN!H1348</f>
        <v>0.1</v>
      </c>
      <c r="I1348" s="215">
        <f>COMPOSICIÓN!I1348</f>
        <v>18735.77</v>
      </c>
      <c r="J1348" s="212" t="str">
        <f>IFERROR(VLOOKUP(A1348,PARTIDAS!$A$2:$C$269,3,FALSE()),"")</f>
        <v>PINTURA</v>
      </c>
      <c r="K1348" s="212" t="str">
        <f>IFERROR(INDEX(PPTO_GENERADOR!$B$4:$B$220,MATCH(A1348,PPTO_GENERADOR!$Q$4:$Q$220,0)),"")</f>
        <v/>
      </c>
      <c r="L1348" s="216">
        <f>IF(PLAN_ETAPA!$C$4="(TODOS)",SUMIFS(PPTO_GENERADOR!$E$4:$E$220,PPTO_GENERADOR!$Q$4:$Q$220,A1348),SUMIFS(PPTO_GENERADOR!$E$4:$E$220,PPTO_GENERADOR!$Q$4:$Q$220,A1348,PPTO_GENERADOR!$B$4:$B$220,PLAN_ETAPA!$C$4))</f>
        <v>0</v>
      </c>
      <c r="M1348" s="216">
        <f>IFERROR(VLOOKUP(A1348,PARTIDAS!$A$2:$F$269,6,FALSE()),1)</f>
        <v>20</v>
      </c>
      <c r="N1348" s="216">
        <f>IFERROR(VLOOKUP(A1348,PARTIDAS!$A$2:$I$269,9,FALSE()),1)</f>
        <v>1</v>
      </c>
      <c r="O1348" s="217">
        <f t="shared" si="42"/>
        <v>0</v>
      </c>
      <c r="P1348" s="216">
        <f>IF(O1348=0,0,IF(B1348="MAT",G1348*(1+H1348)*L1348*PLAN_ETAPA!$C$5,IF(B1348="MO",IF(M1348=0,0,G1348*L1348*PLAN_ETAPA!$C$5*N1348/M1348),IF(B1348="EQ",IF(M1348=0,0,G1348*L1348*PLAN_ETAPA!$C$5/M1348),0))))</f>
        <v>0</v>
      </c>
      <c r="Q1348" s="218">
        <f t="shared" si="43"/>
        <v>0</v>
      </c>
    </row>
    <row r="1349" spans="1:17" x14ac:dyDescent="0.35">
      <c r="A1349" s="212" t="str">
        <f>COMPOSICIÓN!A1349</f>
        <v>PTO-1505</v>
      </c>
      <c r="B1349" s="212" t="str">
        <f>COMPOSICIÓN!B1349</f>
        <v>MAT</v>
      </c>
      <c r="C1349" s="212" t="str">
        <f>COMPOSICIÓN!C1349</f>
        <v>OTR</v>
      </c>
      <c r="D1349" s="212" t="str">
        <f>COMPOSICIÓN!D1349</f>
        <v>REV-001</v>
      </c>
      <c r="E1349" s="212" t="str">
        <f>COMPOSICIÓN!E1349</f>
        <v>Yeso Tuyango x 30kg</v>
      </c>
      <c r="F1349" s="212" t="str">
        <f>COMPOSICIÓN!F1349</f>
        <v>b</v>
      </c>
      <c r="G1349" s="213">
        <f>COMPOSICIÓN!G1349</f>
        <v>1E-3</v>
      </c>
      <c r="H1349" s="214">
        <f>COMPOSICIÓN!H1349</f>
        <v>0.05</v>
      </c>
      <c r="I1349" s="215">
        <f>COMPOSICIÓN!I1349</f>
        <v>9639</v>
      </c>
      <c r="J1349" s="212" t="str">
        <f>IFERROR(VLOOKUP(A1349,PARTIDAS!$A$2:$C$269,3,FALSE()),"")</f>
        <v>PINTURA</v>
      </c>
      <c r="K1349" s="212" t="str">
        <f>IFERROR(INDEX(PPTO_GENERADOR!$B$4:$B$220,MATCH(A1349,PPTO_GENERADOR!$Q$4:$Q$220,0)),"")</f>
        <v/>
      </c>
      <c r="L1349" s="216">
        <f>IF(PLAN_ETAPA!$C$4="(TODOS)",SUMIFS(PPTO_GENERADOR!$E$4:$E$220,PPTO_GENERADOR!$Q$4:$Q$220,A1349),SUMIFS(PPTO_GENERADOR!$E$4:$E$220,PPTO_GENERADOR!$Q$4:$Q$220,A1349,PPTO_GENERADOR!$B$4:$B$220,PLAN_ETAPA!$C$4))</f>
        <v>0</v>
      </c>
      <c r="M1349" s="216">
        <f>IFERROR(VLOOKUP(A1349,PARTIDAS!$A$2:$F$269,6,FALSE()),1)</f>
        <v>20</v>
      </c>
      <c r="N1349" s="216">
        <f>IFERROR(VLOOKUP(A1349,PARTIDAS!$A$2:$I$269,9,FALSE()),1)</f>
        <v>1</v>
      </c>
      <c r="O1349" s="217">
        <f t="shared" si="42"/>
        <v>0</v>
      </c>
      <c r="P1349" s="216">
        <f>IF(O1349=0,0,IF(B1349="MAT",G1349*(1+H1349)*L1349*PLAN_ETAPA!$C$5,IF(B1349="MO",IF(M1349=0,0,G1349*L1349*PLAN_ETAPA!$C$5*N1349/M1349),IF(B1349="EQ",IF(M1349=0,0,G1349*L1349*PLAN_ETAPA!$C$5/M1349),0))))</f>
        <v>0</v>
      </c>
      <c r="Q1349" s="218">
        <f t="shared" si="43"/>
        <v>0</v>
      </c>
    </row>
    <row r="1350" spans="1:17" x14ac:dyDescent="0.35">
      <c r="A1350" s="212" t="str">
        <f>COMPOSICIÓN!A1350</f>
        <v>PTO-1505</v>
      </c>
      <c r="B1350" s="212" t="str">
        <f>COMPOSICIÓN!B1350</f>
        <v>MO</v>
      </c>
      <c r="C1350" s="212" t="str">
        <f>COMPOSICIÓN!C1350</f>
        <v>ALB</v>
      </c>
      <c r="D1350" s="212" t="str">
        <f>COMPOSICIÓN!D1350</f>
        <v>MO-EESPE</v>
      </c>
      <c r="E1350" s="212" t="str">
        <f>COMPOSICIÓN!E1350</f>
        <v>ESPECIALIZADO</v>
      </c>
      <c r="F1350" s="212" t="str">
        <f>COMPOSICIÓN!F1350</f>
        <v>j</v>
      </c>
      <c r="G1350" s="213">
        <f>COMPOSICIÓN!G1350</f>
        <v>1</v>
      </c>
      <c r="H1350" s="214">
        <f>COMPOSICIÓN!H1350</f>
        <v>0</v>
      </c>
      <c r="I1350" s="215">
        <f>COMPOSICIÓN!I1350</f>
        <v>85927.097156571996</v>
      </c>
      <c r="J1350" s="212" t="str">
        <f>IFERROR(VLOOKUP(A1350,PARTIDAS!$A$2:$C$269,3,FALSE()),"")</f>
        <v>PINTURA</v>
      </c>
      <c r="K1350" s="212" t="str">
        <f>IFERROR(INDEX(PPTO_GENERADOR!$B$4:$B$220,MATCH(A1350,PPTO_GENERADOR!$Q$4:$Q$220,0)),"")</f>
        <v/>
      </c>
      <c r="L1350" s="216">
        <f>IF(PLAN_ETAPA!$C$4="(TODOS)",SUMIFS(PPTO_GENERADOR!$E$4:$E$220,PPTO_GENERADOR!$Q$4:$Q$220,A1350),SUMIFS(PPTO_GENERADOR!$E$4:$E$220,PPTO_GENERADOR!$Q$4:$Q$220,A1350,PPTO_GENERADOR!$B$4:$B$220,PLAN_ETAPA!$C$4))</f>
        <v>0</v>
      </c>
      <c r="M1350" s="216">
        <f>IFERROR(VLOOKUP(A1350,PARTIDAS!$A$2:$F$269,6,FALSE()),1)</f>
        <v>20</v>
      </c>
      <c r="N1350" s="216">
        <f>IFERROR(VLOOKUP(A1350,PARTIDAS!$A$2:$I$269,9,FALSE()),1)</f>
        <v>1</v>
      </c>
      <c r="O1350" s="217">
        <f t="shared" si="42"/>
        <v>0</v>
      </c>
      <c r="P1350" s="216">
        <f>IF(O1350=0,0,IF(B1350="MAT",G1350*(1+H1350)*L1350*PLAN_ETAPA!$C$5,IF(B1350="MO",IF(M1350=0,0,G1350*L1350*PLAN_ETAPA!$C$5*N1350/M1350),IF(B1350="EQ",IF(M1350=0,0,G1350*L1350*PLAN_ETAPA!$C$5/M1350),0))))</f>
        <v>0</v>
      </c>
      <c r="Q1350" s="218">
        <f t="shared" si="43"/>
        <v>0</v>
      </c>
    </row>
    <row r="1351" spans="1:17" x14ac:dyDescent="0.35">
      <c r="A1351" s="212" t="str">
        <f>COMPOSICIÓN!A1351</f>
        <v>PTO-1506</v>
      </c>
      <c r="B1351" s="212" t="str">
        <f>COMPOSICIÓN!B1351</f>
        <v>EQ</v>
      </c>
      <c r="C1351" s="212">
        <f>COMPOSICIÓN!C1351</f>
        <v>0</v>
      </c>
      <c r="D1351" s="212" t="str">
        <f>COMPOSICIÓN!D1351</f>
        <v>EQ-ANDAM0</v>
      </c>
      <c r="E1351" s="212" t="str">
        <f>COMPOSICIÓN!E1351</f>
        <v>ANDAMIO TUBULAR DE UNO A TRES CUERPOS</v>
      </c>
      <c r="F1351" s="212">
        <f>COMPOSICIÓN!F1351</f>
        <v>0</v>
      </c>
      <c r="G1351" s="213">
        <f>COMPOSICIÓN!G1351</f>
        <v>1</v>
      </c>
      <c r="H1351" s="214">
        <f>COMPOSICIÓN!H1351</f>
        <v>0</v>
      </c>
      <c r="I1351" s="215">
        <f>COMPOSICIÓN!I1351</f>
        <v>571.1794909807611</v>
      </c>
      <c r="J1351" s="212" t="str">
        <f>IFERROR(VLOOKUP(A1351,PARTIDAS!$A$2:$C$269,3,FALSE()),"")</f>
        <v>PINTURA</v>
      </c>
      <c r="K1351" s="212" t="str">
        <f>IFERROR(INDEX(PPTO_GENERADOR!$B$4:$B$220,MATCH(A1351,PPTO_GENERADOR!$Q$4:$Q$220,0)),"")</f>
        <v>PINTURA</v>
      </c>
      <c r="L1351" s="216">
        <f>IF(PLAN_ETAPA!$C$4="(TODOS)",SUMIFS(PPTO_GENERADOR!$E$4:$E$220,PPTO_GENERADOR!$Q$4:$Q$220,A1351),SUMIFS(PPTO_GENERADOR!$E$4:$E$220,PPTO_GENERADOR!$Q$4:$Q$220,A1351,PPTO_GENERADOR!$B$4:$B$220,PLAN_ETAPA!$C$4))</f>
        <v>0</v>
      </c>
      <c r="M1351" s="216">
        <f>IFERROR(VLOOKUP(A1351,PARTIDAS!$A$2:$F$269,6,FALSE()),1)</f>
        <v>17.5</v>
      </c>
      <c r="N1351" s="216">
        <f>IFERROR(VLOOKUP(A1351,PARTIDAS!$A$2:$I$269,9,FALSE()),1)</f>
        <v>1</v>
      </c>
      <c r="O1351" s="217">
        <f t="shared" si="42"/>
        <v>0</v>
      </c>
      <c r="P1351" s="216">
        <f>IF(O1351=0,0,IF(B1351="MAT",G1351*(1+H1351)*L1351*PLAN_ETAPA!$C$5,IF(B1351="MO",IF(M1351=0,0,G1351*L1351*PLAN_ETAPA!$C$5*N1351/M1351),IF(B1351="EQ",IF(M1351=0,0,G1351*L1351*PLAN_ETAPA!$C$5/M1351),0))))</f>
        <v>0</v>
      </c>
      <c r="Q1351" s="218">
        <f t="shared" si="43"/>
        <v>0</v>
      </c>
    </row>
    <row r="1352" spans="1:17" x14ac:dyDescent="0.35">
      <c r="A1352" s="212" t="str">
        <f>COMPOSICIÓN!A1352</f>
        <v>PTO-1506</v>
      </c>
      <c r="B1352" s="212" t="str">
        <f>COMPOSICIÓN!B1352</f>
        <v>EQ</v>
      </c>
      <c r="C1352" s="212">
        <f>COMPOSICIÓN!C1352</f>
        <v>0</v>
      </c>
      <c r="D1352" s="212" t="str">
        <f>COMPOSICIÓN!D1352</f>
        <v>EQ-EQUIPI</v>
      </c>
      <c r="E1352" s="212" t="str">
        <f>COMPOSICIÓN!E1352</f>
        <v>EQUIPO PARA PINTAR</v>
      </c>
      <c r="F1352" s="212">
        <f>COMPOSICIÓN!F1352</f>
        <v>0</v>
      </c>
      <c r="G1352" s="213">
        <f>COMPOSICIÓN!G1352</f>
        <v>2</v>
      </c>
      <c r="H1352" s="214">
        <f>COMPOSICIÓN!H1352</f>
        <v>0</v>
      </c>
      <c r="I1352" s="215">
        <f>COMPOSICIÓN!I1352</f>
        <v>1723.6259595547085</v>
      </c>
      <c r="J1352" s="212" t="str">
        <f>IFERROR(VLOOKUP(A1352,PARTIDAS!$A$2:$C$269,3,FALSE()),"")</f>
        <v>PINTURA</v>
      </c>
      <c r="K1352" s="212" t="str">
        <f>IFERROR(INDEX(PPTO_GENERADOR!$B$4:$B$220,MATCH(A1352,PPTO_GENERADOR!$Q$4:$Q$220,0)),"")</f>
        <v>PINTURA</v>
      </c>
      <c r="L1352" s="216">
        <f>IF(PLAN_ETAPA!$C$4="(TODOS)",SUMIFS(PPTO_GENERADOR!$E$4:$E$220,PPTO_GENERADOR!$Q$4:$Q$220,A1352),SUMIFS(PPTO_GENERADOR!$E$4:$E$220,PPTO_GENERADOR!$Q$4:$Q$220,A1352,PPTO_GENERADOR!$B$4:$B$220,PLAN_ETAPA!$C$4))</f>
        <v>0</v>
      </c>
      <c r="M1352" s="216">
        <f>IFERROR(VLOOKUP(A1352,PARTIDAS!$A$2:$F$269,6,FALSE()),1)</f>
        <v>17.5</v>
      </c>
      <c r="N1352" s="216">
        <f>IFERROR(VLOOKUP(A1352,PARTIDAS!$A$2:$I$269,9,FALSE()),1)</f>
        <v>1</v>
      </c>
      <c r="O1352" s="217">
        <f t="shared" si="42"/>
        <v>0</v>
      </c>
      <c r="P1352" s="216">
        <f>IF(O1352=0,0,IF(B1352="MAT",G1352*(1+H1352)*L1352*PLAN_ETAPA!$C$5,IF(B1352="MO",IF(M1352=0,0,G1352*L1352*PLAN_ETAPA!$C$5*N1352/M1352),IF(B1352="EQ",IF(M1352=0,0,G1352*L1352*PLAN_ETAPA!$C$5/M1352),0))))</f>
        <v>0</v>
      </c>
      <c r="Q1352" s="218">
        <f t="shared" si="43"/>
        <v>0</v>
      </c>
    </row>
    <row r="1353" spans="1:17" x14ac:dyDescent="0.35">
      <c r="A1353" s="212" t="str">
        <f>COMPOSICIÓN!A1353</f>
        <v>PTO-1506</v>
      </c>
      <c r="B1353" s="212" t="str">
        <f>COMPOSICIÓN!B1353</f>
        <v>EQ</v>
      </c>
      <c r="C1353" s="212">
        <f>COMPOSICIÓN!C1353</f>
        <v>0</v>
      </c>
      <c r="D1353" s="212" t="str">
        <f>COMPOSICIÓN!D1353</f>
        <v>EQ-PTO026</v>
      </c>
      <c r="E1353" s="212" t="str">
        <f>COMPOSICIÓN!E1353</f>
        <v>ESCALERA MADERA PINTOR 8 ESCALONES</v>
      </c>
      <c r="F1353" s="212">
        <f>COMPOSICIÓN!F1353</f>
        <v>0</v>
      </c>
      <c r="G1353" s="213">
        <f>COMPOSICIÓN!G1353</f>
        <v>1</v>
      </c>
      <c r="H1353" s="214">
        <f>COMPOSICIÓN!H1353</f>
        <v>0</v>
      </c>
      <c r="I1353" s="215">
        <f>COMPOSICIÓN!I1353</f>
        <v>200.25307946474501</v>
      </c>
      <c r="J1353" s="212" t="str">
        <f>IFERROR(VLOOKUP(A1353,PARTIDAS!$A$2:$C$269,3,FALSE()),"")</f>
        <v>PINTURA</v>
      </c>
      <c r="K1353" s="212" t="str">
        <f>IFERROR(INDEX(PPTO_GENERADOR!$B$4:$B$220,MATCH(A1353,PPTO_GENERADOR!$Q$4:$Q$220,0)),"")</f>
        <v>PINTURA</v>
      </c>
      <c r="L1353" s="216">
        <f>IF(PLAN_ETAPA!$C$4="(TODOS)",SUMIFS(PPTO_GENERADOR!$E$4:$E$220,PPTO_GENERADOR!$Q$4:$Q$220,A1353),SUMIFS(PPTO_GENERADOR!$E$4:$E$220,PPTO_GENERADOR!$Q$4:$Q$220,A1353,PPTO_GENERADOR!$B$4:$B$220,PLAN_ETAPA!$C$4))</f>
        <v>0</v>
      </c>
      <c r="M1353" s="216">
        <f>IFERROR(VLOOKUP(A1353,PARTIDAS!$A$2:$F$269,6,FALSE()),1)</f>
        <v>17.5</v>
      </c>
      <c r="N1353" s="216">
        <f>IFERROR(VLOOKUP(A1353,PARTIDAS!$A$2:$I$269,9,FALSE()),1)</f>
        <v>1</v>
      </c>
      <c r="O1353" s="217">
        <f t="shared" si="42"/>
        <v>0</v>
      </c>
      <c r="P1353" s="216">
        <f>IF(O1353=0,0,IF(B1353="MAT",G1353*(1+H1353)*L1353*PLAN_ETAPA!$C$5,IF(B1353="MO",IF(M1353=0,0,G1353*L1353*PLAN_ETAPA!$C$5*N1353/M1353),IF(B1353="EQ",IF(M1353=0,0,G1353*L1353*PLAN_ETAPA!$C$5/M1353),0))))</f>
        <v>0</v>
      </c>
      <c r="Q1353" s="218">
        <f t="shared" si="43"/>
        <v>0</v>
      </c>
    </row>
    <row r="1354" spans="1:17" x14ac:dyDescent="0.35">
      <c r="A1354" s="212" t="str">
        <f>COMPOSICIÓN!A1354</f>
        <v>PTO-1506</v>
      </c>
      <c r="B1354" s="212" t="str">
        <f>COMPOSICIÓN!B1354</f>
        <v>MAT</v>
      </c>
      <c r="C1354" s="212" t="str">
        <f>COMPOSICIÓN!C1354</f>
        <v>OTR</v>
      </c>
      <c r="D1354" s="212" t="str">
        <f>COMPOSICIÓN!D1354</f>
        <v>OTR-021</v>
      </c>
      <c r="E1354" s="212" t="str">
        <f>COMPOSICIÓN!E1354</f>
        <v>Fijador al agua x 20 lts</v>
      </c>
      <c r="F1354" s="212" t="str">
        <f>COMPOSICIÓN!F1354</f>
        <v>b</v>
      </c>
      <c r="G1354" s="213">
        <f>COMPOSICIÓN!G1354</f>
        <v>4.0000000000000001E-3</v>
      </c>
      <c r="H1354" s="214">
        <f>COMPOSICIÓN!H1354</f>
        <v>0.05</v>
      </c>
      <c r="I1354" s="215">
        <f>COMPOSICIÓN!I1354</f>
        <v>30467.49</v>
      </c>
      <c r="J1354" s="212" t="str">
        <f>IFERROR(VLOOKUP(A1354,PARTIDAS!$A$2:$C$269,3,FALSE()),"")</f>
        <v>PINTURA</v>
      </c>
      <c r="K1354" s="212" t="str">
        <f>IFERROR(INDEX(PPTO_GENERADOR!$B$4:$B$220,MATCH(A1354,PPTO_GENERADOR!$Q$4:$Q$220,0)),"")</f>
        <v>PINTURA</v>
      </c>
      <c r="L1354" s="216">
        <f>IF(PLAN_ETAPA!$C$4="(TODOS)",SUMIFS(PPTO_GENERADOR!$E$4:$E$220,PPTO_GENERADOR!$Q$4:$Q$220,A1354),SUMIFS(PPTO_GENERADOR!$E$4:$E$220,PPTO_GENERADOR!$Q$4:$Q$220,A1354,PPTO_GENERADOR!$B$4:$B$220,PLAN_ETAPA!$C$4))</f>
        <v>0</v>
      </c>
      <c r="M1354" s="216">
        <f>IFERROR(VLOOKUP(A1354,PARTIDAS!$A$2:$F$269,6,FALSE()),1)</f>
        <v>17.5</v>
      </c>
      <c r="N1354" s="216">
        <f>IFERROR(VLOOKUP(A1354,PARTIDAS!$A$2:$I$269,9,FALSE()),1)</f>
        <v>1</v>
      </c>
      <c r="O1354" s="217">
        <f t="shared" si="42"/>
        <v>0</v>
      </c>
      <c r="P1354" s="216">
        <f>IF(O1354=0,0,IF(B1354="MAT",G1354*(1+H1354)*L1354*PLAN_ETAPA!$C$5,IF(B1354="MO",IF(M1354=0,0,G1354*L1354*PLAN_ETAPA!$C$5*N1354/M1354),IF(B1354="EQ",IF(M1354=0,0,G1354*L1354*PLAN_ETAPA!$C$5/M1354),0))))</f>
        <v>0</v>
      </c>
      <c r="Q1354" s="218">
        <f t="shared" si="43"/>
        <v>0</v>
      </c>
    </row>
    <row r="1355" spans="1:17" x14ac:dyDescent="0.35">
      <c r="A1355" s="212" t="str">
        <f>COMPOSICIÓN!A1355</f>
        <v>PTO-1506</v>
      </c>
      <c r="B1355" s="212" t="str">
        <f>COMPOSICIÓN!B1355</f>
        <v>MAT</v>
      </c>
      <c r="C1355" s="212" t="str">
        <f>COMPOSICIÓN!C1355</f>
        <v>OTR</v>
      </c>
      <c r="D1355" s="212" t="str">
        <f>COMPOSICIÓN!D1355</f>
        <v>OTR-023</v>
      </c>
      <c r="E1355" s="212" t="str">
        <f>COMPOSICIÓN!E1355</f>
        <v>Lija 180 al agua x 10u</v>
      </c>
      <c r="F1355" s="212" t="str">
        <f>COMPOSICIÓN!F1355</f>
        <v>u</v>
      </c>
      <c r="G1355" s="213">
        <f>COMPOSICIÓN!G1355</f>
        <v>2.5000000000000001E-2</v>
      </c>
      <c r="H1355" s="214">
        <f>COMPOSICIÓN!H1355</f>
        <v>0.05</v>
      </c>
      <c r="I1355" s="215">
        <f>COMPOSICIÓN!I1355</f>
        <v>5661.4</v>
      </c>
      <c r="J1355" s="212" t="str">
        <f>IFERROR(VLOOKUP(A1355,PARTIDAS!$A$2:$C$269,3,FALSE()),"")</f>
        <v>PINTURA</v>
      </c>
      <c r="K1355" s="212" t="str">
        <f>IFERROR(INDEX(PPTO_GENERADOR!$B$4:$B$220,MATCH(A1355,PPTO_GENERADOR!$Q$4:$Q$220,0)),"")</f>
        <v>PINTURA</v>
      </c>
      <c r="L1355" s="216">
        <f>IF(PLAN_ETAPA!$C$4="(TODOS)",SUMIFS(PPTO_GENERADOR!$E$4:$E$220,PPTO_GENERADOR!$Q$4:$Q$220,A1355),SUMIFS(PPTO_GENERADOR!$E$4:$E$220,PPTO_GENERADOR!$Q$4:$Q$220,A1355,PPTO_GENERADOR!$B$4:$B$220,PLAN_ETAPA!$C$4))</f>
        <v>0</v>
      </c>
      <c r="M1355" s="216">
        <f>IFERROR(VLOOKUP(A1355,PARTIDAS!$A$2:$F$269,6,FALSE()),1)</f>
        <v>17.5</v>
      </c>
      <c r="N1355" s="216">
        <f>IFERROR(VLOOKUP(A1355,PARTIDAS!$A$2:$I$269,9,FALSE()),1)</f>
        <v>1</v>
      </c>
      <c r="O1355" s="217">
        <f t="shared" si="42"/>
        <v>0</v>
      </c>
      <c r="P1355" s="216">
        <f>IF(O1355=0,0,IF(B1355="MAT",G1355*(1+H1355)*L1355*PLAN_ETAPA!$C$5,IF(B1355="MO",IF(M1355=0,0,G1355*L1355*PLAN_ETAPA!$C$5*N1355/M1355),IF(B1355="EQ",IF(M1355=0,0,G1355*L1355*PLAN_ETAPA!$C$5/M1355),0))))</f>
        <v>0</v>
      </c>
      <c r="Q1355" s="218">
        <f t="shared" si="43"/>
        <v>0</v>
      </c>
    </row>
    <row r="1356" spans="1:17" x14ac:dyDescent="0.35">
      <c r="A1356" s="212" t="str">
        <f>COMPOSICIÓN!A1356</f>
        <v>PTO-1506</v>
      </c>
      <c r="B1356" s="212" t="str">
        <f>COMPOSICIÓN!B1356</f>
        <v>MAT</v>
      </c>
      <c r="C1356" s="212" t="str">
        <f>COMPOSICIÓN!C1356</f>
        <v>OTR</v>
      </c>
      <c r="D1356" s="212" t="str">
        <f>COMPOSICIÓN!D1356</f>
        <v>OTR-024</v>
      </c>
      <c r="E1356" s="212" t="str">
        <f>COMPOSICIÓN!E1356</f>
        <v>Cinta de Papel 36 mm x 40m</v>
      </c>
      <c r="F1356" s="212" t="str">
        <f>COMPOSICIÓN!F1356</f>
        <v>u</v>
      </c>
      <c r="G1356" s="213">
        <f>COMPOSICIÓN!G1356</f>
        <v>0.05</v>
      </c>
      <c r="H1356" s="214">
        <f>COMPOSICIÓN!H1356</f>
        <v>0.1</v>
      </c>
      <c r="I1356" s="215">
        <f>COMPOSICIÓN!I1356</f>
        <v>3293.01</v>
      </c>
      <c r="J1356" s="212" t="str">
        <f>IFERROR(VLOOKUP(A1356,PARTIDAS!$A$2:$C$269,3,FALSE()),"")</f>
        <v>PINTURA</v>
      </c>
      <c r="K1356" s="212" t="str">
        <f>IFERROR(INDEX(PPTO_GENERADOR!$B$4:$B$220,MATCH(A1356,PPTO_GENERADOR!$Q$4:$Q$220,0)),"")</f>
        <v>PINTURA</v>
      </c>
      <c r="L1356" s="216">
        <f>IF(PLAN_ETAPA!$C$4="(TODOS)",SUMIFS(PPTO_GENERADOR!$E$4:$E$220,PPTO_GENERADOR!$Q$4:$Q$220,A1356),SUMIFS(PPTO_GENERADOR!$E$4:$E$220,PPTO_GENERADOR!$Q$4:$Q$220,A1356,PPTO_GENERADOR!$B$4:$B$220,PLAN_ETAPA!$C$4))</f>
        <v>0</v>
      </c>
      <c r="M1356" s="216">
        <f>IFERROR(VLOOKUP(A1356,PARTIDAS!$A$2:$F$269,6,FALSE()),1)</f>
        <v>17.5</v>
      </c>
      <c r="N1356" s="216">
        <f>IFERROR(VLOOKUP(A1356,PARTIDAS!$A$2:$I$269,9,FALSE()),1)</f>
        <v>1</v>
      </c>
      <c r="O1356" s="217">
        <f t="shared" si="42"/>
        <v>0</v>
      </c>
      <c r="P1356" s="216">
        <f>IF(O1356=0,0,IF(B1356="MAT",G1356*(1+H1356)*L1356*PLAN_ETAPA!$C$5,IF(B1356="MO",IF(M1356=0,0,G1356*L1356*PLAN_ETAPA!$C$5*N1356/M1356),IF(B1356="EQ",IF(M1356=0,0,G1356*L1356*PLAN_ETAPA!$C$5/M1356),0))))</f>
        <v>0</v>
      </c>
      <c r="Q1356" s="218">
        <f t="shared" si="43"/>
        <v>0</v>
      </c>
    </row>
    <row r="1357" spans="1:17" x14ac:dyDescent="0.35">
      <c r="A1357" s="212" t="str">
        <f>COMPOSICIÓN!A1357</f>
        <v>PTO-1506</v>
      </c>
      <c r="B1357" s="212" t="str">
        <f>COMPOSICIÓN!B1357</f>
        <v>MAT</v>
      </c>
      <c r="C1357" s="212" t="str">
        <f>COMPOSICIÓN!C1357</f>
        <v>OTR</v>
      </c>
      <c r="D1357" s="212" t="str">
        <f>COMPOSICIÓN!D1357</f>
        <v>OTR-025</v>
      </c>
      <c r="E1357" s="212" t="str">
        <f>COMPOSICIÓN!E1357</f>
        <v>Trapo</v>
      </c>
      <c r="F1357" s="212" t="str">
        <f>COMPOSICIÓN!F1357</f>
        <v>u</v>
      </c>
      <c r="G1357" s="213">
        <f>COMPOSICIÓN!G1357</f>
        <v>0.03</v>
      </c>
      <c r="H1357" s="214">
        <f>COMPOSICIÓN!H1357</f>
        <v>0.05</v>
      </c>
      <c r="I1357" s="215">
        <f>COMPOSICIÓN!I1357</f>
        <v>735.06</v>
      </c>
      <c r="J1357" s="212" t="str">
        <f>IFERROR(VLOOKUP(A1357,PARTIDAS!$A$2:$C$269,3,FALSE()),"")</f>
        <v>PINTURA</v>
      </c>
      <c r="K1357" s="212" t="str">
        <f>IFERROR(INDEX(PPTO_GENERADOR!$B$4:$B$220,MATCH(A1357,PPTO_GENERADOR!$Q$4:$Q$220,0)),"")</f>
        <v>PINTURA</v>
      </c>
      <c r="L1357" s="216">
        <f>IF(PLAN_ETAPA!$C$4="(TODOS)",SUMIFS(PPTO_GENERADOR!$E$4:$E$220,PPTO_GENERADOR!$Q$4:$Q$220,A1357),SUMIFS(PPTO_GENERADOR!$E$4:$E$220,PPTO_GENERADOR!$Q$4:$Q$220,A1357,PPTO_GENERADOR!$B$4:$B$220,PLAN_ETAPA!$C$4))</f>
        <v>0</v>
      </c>
      <c r="M1357" s="216">
        <f>IFERROR(VLOOKUP(A1357,PARTIDAS!$A$2:$F$269,6,FALSE()),1)</f>
        <v>17.5</v>
      </c>
      <c r="N1357" s="216">
        <f>IFERROR(VLOOKUP(A1357,PARTIDAS!$A$2:$I$269,9,FALSE()),1)</f>
        <v>1</v>
      </c>
      <c r="O1357" s="217">
        <f t="shared" si="42"/>
        <v>0</v>
      </c>
      <c r="P1357" s="216">
        <f>IF(O1357=0,0,IF(B1357="MAT",G1357*(1+H1357)*L1357*PLAN_ETAPA!$C$5,IF(B1357="MO",IF(M1357=0,0,G1357*L1357*PLAN_ETAPA!$C$5*N1357/M1357),IF(B1357="EQ",IF(M1357=0,0,G1357*L1357*PLAN_ETAPA!$C$5/M1357),0))))</f>
        <v>0</v>
      </c>
      <c r="Q1357" s="218">
        <f t="shared" si="43"/>
        <v>0</v>
      </c>
    </row>
    <row r="1358" spans="1:17" x14ac:dyDescent="0.35">
      <c r="A1358" s="212" t="str">
        <f>COMPOSICIÓN!A1358</f>
        <v>PTO-1506</v>
      </c>
      <c r="B1358" s="212" t="str">
        <f>COMPOSICIÓN!B1358</f>
        <v>MAT</v>
      </c>
      <c r="C1358" s="212" t="str">
        <f>COMPOSICIÓN!C1358</f>
        <v>OTR</v>
      </c>
      <c r="D1358" s="212" t="str">
        <f>COMPOSICIÓN!D1358</f>
        <v>OTR-026</v>
      </c>
      <c r="E1358" s="212" t="str">
        <f>COMPOSICIÓN!E1358</f>
        <v>Rodillo de lana pelo corto antigota N°22 - El Galgo</v>
      </c>
      <c r="F1358" s="212" t="str">
        <f>COMPOSICIÓN!F1358</f>
        <v>u</v>
      </c>
      <c r="G1358" s="213">
        <f>COMPOSICIÓN!G1358</f>
        <v>5.0000000000000001E-3</v>
      </c>
      <c r="H1358" s="214">
        <f>COMPOSICIÓN!H1358</f>
        <v>0.05</v>
      </c>
      <c r="I1358" s="215">
        <f>COMPOSICIÓN!I1358</f>
        <v>6678.36</v>
      </c>
      <c r="J1358" s="212" t="str">
        <f>IFERROR(VLOOKUP(A1358,PARTIDAS!$A$2:$C$269,3,FALSE()),"")</f>
        <v>PINTURA</v>
      </c>
      <c r="K1358" s="212" t="str">
        <f>IFERROR(INDEX(PPTO_GENERADOR!$B$4:$B$220,MATCH(A1358,PPTO_GENERADOR!$Q$4:$Q$220,0)),"")</f>
        <v>PINTURA</v>
      </c>
      <c r="L1358" s="216">
        <f>IF(PLAN_ETAPA!$C$4="(TODOS)",SUMIFS(PPTO_GENERADOR!$E$4:$E$220,PPTO_GENERADOR!$Q$4:$Q$220,A1358),SUMIFS(PPTO_GENERADOR!$E$4:$E$220,PPTO_GENERADOR!$Q$4:$Q$220,A1358,PPTO_GENERADOR!$B$4:$B$220,PLAN_ETAPA!$C$4))</f>
        <v>0</v>
      </c>
      <c r="M1358" s="216">
        <f>IFERROR(VLOOKUP(A1358,PARTIDAS!$A$2:$F$269,6,FALSE()),1)</f>
        <v>17.5</v>
      </c>
      <c r="N1358" s="216">
        <f>IFERROR(VLOOKUP(A1358,PARTIDAS!$A$2:$I$269,9,FALSE()),1)</f>
        <v>1</v>
      </c>
      <c r="O1358" s="217">
        <f t="shared" si="42"/>
        <v>0</v>
      </c>
      <c r="P1358" s="216">
        <f>IF(O1358=0,0,IF(B1358="MAT",G1358*(1+H1358)*L1358*PLAN_ETAPA!$C$5,IF(B1358="MO",IF(M1358=0,0,G1358*L1358*PLAN_ETAPA!$C$5*N1358/M1358),IF(B1358="EQ",IF(M1358=0,0,G1358*L1358*PLAN_ETAPA!$C$5/M1358),0))))</f>
        <v>0</v>
      </c>
      <c r="Q1358" s="218">
        <f t="shared" si="43"/>
        <v>0</v>
      </c>
    </row>
    <row r="1359" spans="1:17" x14ac:dyDescent="0.35">
      <c r="A1359" s="212" t="str">
        <f>COMPOSICIÓN!A1359</f>
        <v>PTO-1506</v>
      </c>
      <c r="B1359" s="212" t="str">
        <f>COMPOSICIÓN!B1359</f>
        <v>MAT</v>
      </c>
      <c r="C1359" s="212" t="str">
        <f>COMPOSICIÓN!C1359</f>
        <v>OTR</v>
      </c>
      <c r="D1359" s="212" t="str">
        <f>COMPOSICIÓN!D1359</f>
        <v>OTR-028</v>
      </c>
      <c r="E1359" s="212" t="str">
        <f>COMPOSICIÓN!E1359</f>
        <v>Pincel N° 20 - El Galgo</v>
      </c>
      <c r="F1359" s="212" t="str">
        <f>COMPOSICIÓN!F1359</f>
        <v>u</v>
      </c>
      <c r="G1359" s="213">
        <f>COMPOSICIÓN!G1359</f>
        <v>5.0000000000000001E-3</v>
      </c>
      <c r="H1359" s="214">
        <f>COMPOSICIÓN!H1359</f>
        <v>0.05</v>
      </c>
      <c r="I1359" s="215">
        <f>COMPOSICIÓN!I1359</f>
        <v>5282.24</v>
      </c>
      <c r="J1359" s="212" t="str">
        <f>IFERROR(VLOOKUP(A1359,PARTIDAS!$A$2:$C$269,3,FALSE()),"")</f>
        <v>PINTURA</v>
      </c>
      <c r="K1359" s="212" t="str">
        <f>IFERROR(INDEX(PPTO_GENERADOR!$B$4:$B$220,MATCH(A1359,PPTO_GENERADOR!$Q$4:$Q$220,0)),"")</f>
        <v>PINTURA</v>
      </c>
      <c r="L1359" s="216">
        <f>IF(PLAN_ETAPA!$C$4="(TODOS)",SUMIFS(PPTO_GENERADOR!$E$4:$E$220,PPTO_GENERADOR!$Q$4:$Q$220,A1359),SUMIFS(PPTO_GENERADOR!$E$4:$E$220,PPTO_GENERADOR!$Q$4:$Q$220,A1359,PPTO_GENERADOR!$B$4:$B$220,PLAN_ETAPA!$C$4))</f>
        <v>0</v>
      </c>
      <c r="M1359" s="216">
        <f>IFERROR(VLOOKUP(A1359,PARTIDAS!$A$2:$F$269,6,FALSE()),1)</f>
        <v>17.5</v>
      </c>
      <c r="N1359" s="216">
        <f>IFERROR(VLOOKUP(A1359,PARTIDAS!$A$2:$I$269,9,FALSE()),1)</f>
        <v>1</v>
      </c>
      <c r="O1359" s="217">
        <f t="shared" si="42"/>
        <v>0</v>
      </c>
      <c r="P1359" s="216">
        <f>IF(O1359=0,0,IF(B1359="MAT",G1359*(1+H1359)*L1359*PLAN_ETAPA!$C$5,IF(B1359="MO",IF(M1359=0,0,G1359*L1359*PLAN_ETAPA!$C$5*N1359/M1359),IF(B1359="EQ",IF(M1359=0,0,G1359*L1359*PLAN_ETAPA!$C$5/M1359),0))))</f>
        <v>0</v>
      </c>
      <c r="Q1359" s="218">
        <f t="shared" si="43"/>
        <v>0</v>
      </c>
    </row>
    <row r="1360" spans="1:17" x14ac:dyDescent="0.35">
      <c r="A1360" s="212" t="str">
        <f>COMPOSICIÓN!A1360</f>
        <v>PTO-1506</v>
      </c>
      <c r="B1360" s="212" t="str">
        <f>COMPOSICIÓN!B1360</f>
        <v>MAT</v>
      </c>
      <c r="C1360" s="212" t="str">
        <f>COMPOSICIÓN!C1360</f>
        <v>OTR</v>
      </c>
      <c r="D1360" s="212" t="str">
        <f>COMPOSICIÓN!D1360</f>
        <v>OTR-029</v>
      </c>
      <c r="E1360" s="212" t="str">
        <f>COMPOSICIÓN!E1360</f>
        <v>Rollo de cartón corrugado 0,90 x 25 mts</v>
      </c>
      <c r="F1360" s="212" t="str">
        <f>COMPOSICIÓN!F1360</f>
        <v>u</v>
      </c>
      <c r="G1360" s="213">
        <f>COMPOSICIÓN!G1360</f>
        <v>0.01</v>
      </c>
      <c r="H1360" s="214">
        <f>COMPOSICIÓN!H1360</f>
        <v>0.05</v>
      </c>
      <c r="I1360" s="215">
        <f>COMPOSICIÓN!I1360</f>
        <v>7427.6</v>
      </c>
      <c r="J1360" s="212" t="str">
        <f>IFERROR(VLOOKUP(A1360,PARTIDAS!$A$2:$C$269,3,FALSE()),"")</f>
        <v>PINTURA</v>
      </c>
      <c r="K1360" s="212" t="str">
        <f>IFERROR(INDEX(PPTO_GENERADOR!$B$4:$B$220,MATCH(A1360,PPTO_GENERADOR!$Q$4:$Q$220,0)),"")</f>
        <v>PINTURA</v>
      </c>
      <c r="L1360" s="216">
        <f>IF(PLAN_ETAPA!$C$4="(TODOS)",SUMIFS(PPTO_GENERADOR!$E$4:$E$220,PPTO_GENERADOR!$Q$4:$Q$220,A1360),SUMIFS(PPTO_GENERADOR!$E$4:$E$220,PPTO_GENERADOR!$Q$4:$Q$220,A1360,PPTO_GENERADOR!$B$4:$B$220,PLAN_ETAPA!$C$4))</f>
        <v>0</v>
      </c>
      <c r="M1360" s="216">
        <f>IFERROR(VLOOKUP(A1360,PARTIDAS!$A$2:$F$269,6,FALSE()),1)</f>
        <v>17.5</v>
      </c>
      <c r="N1360" s="216">
        <f>IFERROR(VLOOKUP(A1360,PARTIDAS!$A$2:$I$269,9,FALSE()),1)</f>
        <v>1</v>
      </c>
      <c r="O1360" s="217">
        <f t="shared" si="42"/>
        <v>0</v>
      </c>
      <c r="P1360" s="216">
        <f>IF(O1360=0,0,IF(B1360="MAT",G1360*(1+H1360)*L1360*PLAN_ETAPA!$C$5,IF(B1360="MO",IF(M1360=0,0,G1360*L1360*PLAN_ETAPA!$C$5*N1360/M1360),IF(B1360="EQ",IF(M1360=0,0,G1360*L1360*PLAN_ETAPA!$C$5/M1360),0))))</f>
        <v>0</v>
      </c>
      <c r="Q1360" s="218">
        <f t="shared" si="43"/>
        <v>0</v>
      </c>
    </row>
    <row r="1361" spans="1:17" x14ac:dyDescent="0.35">
      <c r="A1361" s="212" t="str">
        <f>COMPOSICIÓN!A1361</f>
        <v>PTO-1506</v>
      </c>
      <c r="B1361" s="212" t="str">
        <f>COMPOSICIÓN!B1361</f>
        <v>MAT</v>
      </c>
      <c r="C1361" s="212" t="str">
        <f>COMPOSICIÓN!C1361</f>
        <v>OTR</v>
      </c>
      <c r="D1361" s="212" t="str">
        <f>COMPOSICIÓN!D1361</f>
        <v>PIN-001</v>
      </c>
      <c r="E1361" s="212" t="str">
        <f>COMPOSICIÓN!E1361</f>
        <v>Latex Loxon Interior Sherwin Williams Mate Bco x 20lts</v>
      </c>
      <c r="F1361" s="212" t="str">
        <f>COMPOSICIÓN!F1361</f>
        <v>B</v>
      </c>
      <c r="G1361" s="213">
        <f>COMPOSICIÓN!G1361</f>
        <v>1.2500000000000001E-2</v>
      </c>
      <c r="H1361" s="214">
        <f>COMPOSICIÓN!H1361</f>
        <v>0.1</v>
      </c>
      <c r="I1361" s="215">
        <f>COMPOSICIÓN!I1361</f>
        <v>120622.23</v>
      </c>
      <c r="J1361" s="212" t="str">
        <f>IFERROR(VLOOKUP(A1361,PARTIDAS!$A$2:$C$269,3,FALSE()),"")</f>
        <v>PINTURA</v>
      </c>
      <c r="K1361" s="212" t="str">
        <f>IFERROR(INDEX(PPTO_GENERADOR!$B$4:$B$220,MATCH(A1361,PPTO_GENERADOR!$Q$4:$Q$220,0)),"")</f>
        <v>PINTURA</v>
      </c>
      <c r="L1361" s="216">
        <f>IF(PLAN_ETAPA!$C$4="(TODOS)",SUMIFS(PPTO_GENERADOR!$E$4:$E$220,PPTO_GENERADOR!$Q$4:$Q$220,A1361),SUMIFS(PPTO_GENERADOR!$E$4:$E$220,PPTO_GENERADOR!$Q$4:$Q$220,A1361,PPTO_GENERADOR!$B$4:$B$220,PLAN_ETAPA!$C$4))</f>
        <v>0</v>
      </c>
      <c r="M1361" s="216">
        <f>IFERROR(VLOOKUP(A1361,PARTIDAS!$A$2:$F$269,6,FALSE()),1)</f>
        <v>17.5</v>
      </c>
      <c r="N1361" s="216">
        <f>IFERROR(VLOOKUP(A1361,PARTIDAS!$A$2:$I$269,9,FALSE()),1)</f>
        <v>1</v>
      </c>
      <c r="O1361" s="217">
        <f t="shared" si="42"/>
        <v>0</v>
      </c>
      <c r="P1361" s="216">
        <f>IF(O1361=0,0,IF(B1361="MAT",G1361*(1+H1361)*L1361*PLAN_ETAPA!$C$5,IF(B1361="MO",IF(M1361=0,0,G1361*L1361*PLAN_ETAPA!$C$5*N1361/M1361),IF(B1361="EQ",IF(M1361=0,0,G1361*L1361*PLAN_ETAPA!$C$5/M1361),0))))</f>
        <v>0</v>
      </c>
      <c r="Q1361" s="218">
        <f t="shared" si="43"/>
        <v>0</v>
      </c>
    </row>
    <row r="1362" spans="1:17" x14ac:dyDescent="0.35">
      <c r="A1362" s="212" t="str">
        <f>COMPOSICIÓN!A1362</f>
        <v>PTO-1506</v>
      </c>
      <c r="B1362" s="212" t="str">
        <f>COMPOSICIÓN!B1362</f>
        <v>MAT</v>
      </c>
      <c r="C1362" s="212" t="str">
        <f>COMPOSICIÓN!C1362</f>
        <v>OTR</v>
      </c>
      <c r="D1362" s="212" t="str">
        <f>COMPOSICIÓN!D1362</f>
        <v>PIN-007</v>
      </c>
      <c r="E1362" s="212" t="str">
        <f>COMPOSICIÓN!E1362</f>
        <v>Enduido Interior x 20lts</v>
      </c>
      <c r="F1362" s="212" t="str">
        <f>COMPOSICIÓN!F1362</f>
        <v>B</v>
      </c>
      <c r="G1362" s="213">
        <f>COMPOSICIÓN!G1362</f>
        <v>0.03</v>
      </c>
      <c r="H1362" s="214">
        <f>COMPOSICIÓN!H1362</f>
        <v>0.1</v>
      </c>
      <c r="I1362" s="215">
        <f>COMPOSICIÓN!I1362</f>
        <v>18735.77</v>
      </c>
      <c r="J1362" s="212" t="str">
        <f>IFERROR(VLOOKUP(A1362,PARTIDAS!$A$2:$C$269,3,FALSE()),"")</f>
        <v>PINTURA</v>
      </c>
      <c r="K1362" s="212" t="str">
        <f>IFERROR(INDEX(PPTO_GENERADOR!$B$4:$B$220,MATCH(A1362,PPTO_GENERADOR!$Q$4:$Q$220,0)),"")</f>
        <v>PINTURA</v>
      </c>
      <c r="L1362" s="216">
        <f>IF(PLAN_ETAPA!$C$4="(TODOS)",SUMIFS(PPTO_GENERADOR!$E$4:$E$220,PPTO_GENERADOR!$Q$4:$Q$220,A1362),SUMIFS(PPTO_GENERADOR!$E$4:$E$220,PPTO_GENERADOR!$Q$4:$Q$220,A1362,PPTO_GENERADOR!$B$4:$B$220,PLAN_ETAPA!$C$4))</f>
        <v>0</v>
      </c>
      <c r="M1362" s="216">
        <f>IFERROR(VLOOKUP(A1362,PARTIDAS!$A$2:$F$269,6,FALSE()),1)</f>
        <v>17.5</v>
      </c>
      <c r="N1362" s="216">
        <f>IFERROR(VLOOKUP(A1362,PARTIDAS!$A$2:$I$269,9,FALSE()),1)</f>
        <v>1</v>
      </c>
      <c r="O1362" s="217">
        <f t="shared" si="42"/>
        <v>0</v>
      </c>
      <c r="P1362" s="216">
        <f>IF(O1362=0,0,IF(B1362="MAT",G1362*(1+H1362)*L1362*PLAN_ETAPA!$C$5,IF(B1362="MO",IF(M1362=0,0,G1362*L1362*PLAN_ETAPA!$C$5*N1362/M1362),IF(B1362="EQ",IF(M1362=0,0,G1362*L1362*PLAN_ETAPA!$C$5/M1362),0))))</f>
        <v>0</v>
      </c>
      <c r="Q1362" s="218">
        <f t="shared" si="43"/>
        <v>0</v>
      </c>
    </row>
    <row r="1363" spans="1:17" x14ac:dyDescent="0.35">
      <c r="A1363" s="212" t="str">
        <f>COMPOSICIÓN!A1363</f>
        <v>PTO-1506</v>
      </c>
      <c r="B1363" s="212" t="str">
        <f>COMPOSICIÓN!B1363</f>
        <v>MAT</v>
      </c>
      <c r="C1363" s="212" t="str">
        <f>COMPOSICIÓN!C1363</f>
        <v>OTR</v>
      </c>
      <c r="D1363" s="212" t="str">
        <f>COMPOSICIÓN!D1363</f>
        <v>REV-001</v>
      </c>
      <c r="E1363" s="212" t="str">
        <f>COMPOSICIÓN!E1363</f>
        <v>Yeso Tuyango x 30kg</v>
      </c>
      <c r="F1363" s="212" t="str">
        <f>COMPOSICIÓN!F1363</f>
        <v>b</v>
      </c>
      <c r="G1363" s="213">
        <f>COMPOSICIÓN!G1363</f>
        <v>2.5000000000000001E-3</v>
      </c>
      <c r="H1363" s="214">
        <f>COMPOSICIÓN!H1363</f>
        <v>0.05</v>
      </c>
      <c r="I1363" s="215">
        <f>COMPOSICIÓN!I1363</f>
        <v>9639</v>
      </c>
      <c r="J1363" s="212" t="str">
        <f>IFERROR(VLOOKUP(A1363,PARTIDAS!$A$2:$C$269,3,FALSE()),"")</f>
        <v>PINTURA</v>
      </c>
      <c r="K1363" s="212" t="str">
        <f>IFERROR(INDEX(PPTO_GENERADOR!$B$4:$B$220,MATCH(A1363,PPTO_GENERADOR!$Q$4:$Q$220,0)),"")</f>
        <v>PINTURA</v>
      </c>
      <c r="L1363" s="216">
        <f>IF(PLAN_ETAPA!$C$4="(TODOS)",SUMIFS(PPTO_GENERADOR!$E$4:$E$220,PPTO_GENERADOR!$Q$4:$Q$220,A1363),SUMIFS(PPTO_GENERADOR!$E$4:$E$220,PPTO_GENERADOR!$Q$4:$Q$220,A1363,PPTO_GENERADOR!$B$4:$B$220,PLAN_ETAPA!$C$4))</f>
        <v>0</v>
      </c>
      <c r="M1363" s="216">
        <f>IFERROR(VLOOKUP(A1363,PARTIDAS!$A$2:$F$269,6,FALSE()),1)</f>
        <v>17.5</v>
      </c>
      <c r="N1363" s="216">
        <f>IFERROR(VLOOKUP(A1363,PARTIDAS!$A$2:$I$269,9,FALSE()),1)</f>
        <v>1</v>
      </c>
      <c r="O1363" s="217">
        <f t="shared" si="42"/>
        <v>0</v>
      </c>
      <c r="P1363" s="216">
        <f>IF(O1363=0,0,IF(B1363="MAT",G1363*(1+H1363)*L1363*PLAN_ETAPA!$C$5,IF(B1363="MO",IF(M1363=0,0,G1363*L1363*PLAN_ETAPA!$C$5*N1363/M1363),IF(B1363="EQ",IF(M1363=0,0,G1363*L1363*PLAN_ETAPA!$C$5/M1363),0))))</f>
        <v>0</v>
      </c>
      <c r="Q1363" s="218">
        <f t="shared" si="43"/>
        <v>0</v>
      </c>
    </row>
    <row r="1364" spans="1:17" x14ac:dyDescent="0.35">
      <c r="A1364" s="212" t="str">
        <f>COMPOSICIÓN!A1364</f>
        <v>PTO-1506</v>
      </c>
      <c r="B1364" s="212" t="str">
        <f>COMPOSICIÓN!B1364</f>
        <v>MO</v>
      </c>
      <c r="C1364" s="212" t="str">
        <f>COMPOSICIÓN!C1364</f>
        <v>ALB</v>
      </c>
      <c r="D1364" s="212" t="str">
        <f>COMPOSICIÓN!D1364</f>
        <v>MO-EMEDI</v>
      </c>
      <c r="E1364" s="212" t="str">
        <f>COMPOSICIÓN!E1364</f>
        <v>MEDIO OFICIAL</v>
      </c>
      <c r="F1364" s="212" t="str">
        <f>COMPOSICIÓN!F1364</f>
        <v>j</v>
      </c>
      <c r="G1364" s="213">
        <f>COMPOSICIÓN!G1364</f>
        <v>1</v>
      </c>
      <c r="H1364" s="214">
        <f>COMPOSICIÓN!H1364</f>
        <v>0</v>
      </c>
      <c r="I1364" s="215">
        <f>COMPOSICIÓN!I1364</f>
        <v>65493.071636572</v>
      </c>
      <c r="J1364" s="212" t="str">
        <f>IFERROR(VLOOKUP(A1364,PARTIDAS!$A$2:$C$269,3,FALSE()),"")</f>
        <v>PINTURA</v>
      </c>
      <c r="K1364" s="212" t="str">
        <f>IFERROR(INDEX(PPTO_GENERADOR!$B$4:$B$220,MATCH(A1364,PPTO_GENERADOR!$Q$4:$Q$220,0)),"")</f>
        <v>PINTURA</v>
      </c>
      <c r="L1364" s="216">
        <f>IF(PLAN_ETAPA!$C$4="(TODOS)",SUMIFS(PPTO_GENERADOR!$E$4:$E$220,PPTO_GENERADOR!$Q$4:$Q$220,A1364),SUMIFS(PPTO_GENERADOR!$E$4:$E$220,PPTO_GENERADOR!$Q$4:$Q$220,A1364,PPTO_GENERADOR!$B$4:$B$220,PLAN_ETAPA!$C$4))</f>
        <v>0</v>
      </c>
      <c r="M1364" s="216">
        <f>IFERROR(VLOOKUP(A1364,PARTIDAS!$A$2:$F$269,6,FALSE()),1)</f>
        <v>17.5</v>
      </c>
      <c r="N1364" s="216">
        <f>IFERROR(VLOOKUP(A1364,PARTIDAS!$A$2:$I$269,9,FALSE()),1)</f>
        <v>1</v>
      </c>
      <c r="O1364" s="217">
        <f t="shared" si="42"/>
        <v>0</v>
      </c>
      <c r="P1364" s="216">
        <f>IF(O1364=0,0,IF(B1364="MAT",G1364*(1+H1364)*L1364*PLAN_ETAPA!$C$5,IF(B1364="MO",IF(M1364=0,0,G1364*L1364*PLAN_ETAPA!$C$5*N1364/M1364),IF(B1364="EQ",IF(M1364=0,0,G1364*L1364*PLAN_ETAPA!$C$5/M1364),0))))</f>
        <v>0</v>
      </c>
      <c r="Q1364" s="218">
        <f t="shared" si="43"/>
        <v>0</v>
      </c>
    </row>
    <row r="1365" spans="1:17" x14ac:dyDescent="0.35">
      <c r="A1365" s="212" t="str">
        <f>COMPOSICIÓN!A1365</f>
        <v>PTO-1506</v>
      </c>
      <c r="B1365" s="212" t="str">
        <f>COMPOSICIÓN!B1365</f>
        <v>MO</v>
      </c>
      <c r="C1365" s="212" t="str">
        <f>COMPOSICIÓN!C1365</f>
        <v>ALB</v>
      </c>
      <c r="D1365" s="212" t="str">
        <f>COMPOSICIÓN!D1365</f>
        <v>MO-EESPE</v>
      </c>
      <c r="E1365" s="212" t="str">
        <f>COMPOSICIÓN!E1365</f>
        <v>ESPECIALIZADO</v>
      </c>
      <c r="F1365" s="212" t="str">
        <f>COMPOSICIÓN!F1365</f>
        <v>j</v>
      </c>
      <c r="G1365" s="213">
        <f>COMPOSICIÓN!G1365</f>
        <v>1</v>
      </c>
      <c r="H1365" s="214">
        <f>COMPOSICIÓN!H1365</f>
        <v>0</v>
      </c>
      <c r="I1365" s="215">
        <f>COMPOSICIÓN!I1365</f>
        <v>85927.097156571996</v>
      </c>
      <c r="J1365" s="212" t="str">
        <f>IFERROR(VLOOKUP(A1365,PARTIDAS!$A$2:$C$269,3,FALSE()),"")</f>
        <v>PINTURA</v>
      </c>
      <c r="K1365" s="212" t="str">
        <f>IFERROR(INDEX(PPTO_GENERADOR!$B$4:$B$220,MATCH(A1365,PPTO_GENERADOR!$Q$4:$Q$220,0)),"")</f>
        <v>PINTURA</v>
      </c>
      <c r="L1365" s="216">
        <f>IF(PLAN_ETAPA!$C$4="(TODOS)",SUMIFS(PPTO_GENERADOR!$E$4:$E$220,PPTO_GENERADOR!$Q$4:$Q$220,A1365),SUMIFS(PPTO_GENERADOR!$E$4:$E$220,PPTO_GENERADOR!$Q$4:$Q$220,A1365,PPTO_GENERADOR!$B$4:$B$220,PLAN_ETAPA!$C$4))</f>
        <v>0</v>
      </c>
      <c r="M1365" s="216">
        <f>IFERROR(VLOOKUP(A1365,PARTIDAS!$A$2:$F$269,6,FALSE()),1)</f>
        <v>17.5</v>
      </c>
      <c r="N1365" s="216">
        <f>IFERROR(VLOOKUP(A1365,PARTIDAS!$A$2:$I$269,9,FALSE()),1)</f>
        <v>1</v>
      </c>
      <c r="O1365" s="217">
        <f t="shared" si="42"/>
        <v>0</v>
      </c>
      <c r="P1365" s="216">
        <f>IF(O1365=0,0,IF(B1365="MAT",G1365*(1+H1365)*L1365*PLAN_ETAPA!$C$5,IF(B1365="MO",IF(M1365=0,0,G1365*L1365*PLAN_ETAPA!$C$5*N1365/M1365),IF(B1365="EQ",IF(M1365=0,0,G1365*L1365*PLAN_ETAPA!$C$5/M1365),0))))</f>
        <v>0</v>
      </c>
      <c r="Q1365" s="218">
        <f t="shared" si="43"/>
        <v>0</v>
      </c>
    </row>
    <row r="1366" spans="1:17" x14ac:dyDescent="0.35">
      <c r="A1366" s="212" t="str">
        <f>COMPOSICIÓN!A1366</f>
        <v>PTO-1507</v>
      </c>
      <c r="B1366" s="212" t="str">
        <f>COMPOSICIÓN!B1366</f>
        <v>EQ</v>
      </c>
      <c r="C1366" s="212">
        <f>COMPOSICIÓN!C1366</f>
        <v>0</v>
      </c>
      <c r="D1366" s="212" t="str">
        <f>COMPOSICIÓN!D1366</f>
        <v>EQ-PTO071</v>
      </c>
      <c r="E1366" s="212" t="str">
        <f>COMPOSICIÓN!E1366</f>
        <v xml:space="preserve">Herramientas menores y consumibles - Impermeabilizane de Hº, silicona transparente </v>
      </c>
      <c r="F1366" s="212">
        <f>COMPOSICIÓN!F1366</f>
        <v>0</v>
      </c>
      <c r="G1366" s="213">
        <f>COMPOSICIÓN!G1366</f>
        <v>30</v>
      </c>
      <c r="H1366" s="214">
        <f>COMPOSICIÓN!H1366</f>
        <v>0</v>
      </c>
      <c r="I1366" s="215">
        <f>COMPOSICIÓN!I1366</f>
        <v>190.21390119046501</v>
      </c>
      <c r="J1366" s="212" t="str">
        <f>IFERROR(VLOOKUP(A1366,PARTIDAS!$A$2:$C$269,3,FALSE()),"")</f>
        <v>PINTURA</v>
      </c>
      <c r="K1366" s="212" t="str">
        <f>IFERROR(INDEX(PPTO_GENERADOR!$B$4:$B$220,MATCH(A1366,PPTO_GENERADOR!$Q$4:$Q$220,0)),"")</f>
        <v>PINTURA</v>
      </c>
      <c r="L1366" s="216">
        <f>IF(PLAN_ETAPA!$C$4="(TODOS)",SUMIFS(PPTO_GENERADOR!$E$4:$E$220,PPTO_GENERADOR!$Q$4:$Q$220,A1366),SUMIFS(PPTO_GENERADOR!$E$4:$E$220,PPTO_GENERADOR!$Q$4:$Q$220,A1366,PPTO_GENERADOR!$B$4:$B$220,PLAN_ETAPA!$C$4))</f>
        <v>0</v>
      </c>
      <c r="M1366" s="216">
        <f>IFERROR(VLOOKUP(A1366,PARTIDAS!$A$2:$F$269,6,FALSE()),1)</f>
        <v>30</v>
      </c>
      <c r="N1366" s="216">
        <f>IFERROR(VLOOKUP(A1366,PARTIDAS!$A$2:$I$269,9,FALSE()),1)</f>
        <v>1</v>
      </c>
      <c r="O1366" s="217">
        <f t="shared" si="42"/>
        <v>0</v>
      </c>
      <c r="P1366" s="216">
        <f>IF(O1366=0,0,IF(B1366="MAT",G1366*(1+H1366)*L1366*PLAN_ETAPA!$C$5,IF(B1366="MO",IF(M1366=0,0,G1366*L1366*PLAN_ETAPA!$C$5*N1366/M1366),IF(B1366="EQ",IF(M1366=0,0,G1366*L1366*PLAN_ETAPA!$C$5/M1366),0))))</f>
        <v>0</v>
      </c>
      <c r="Q1366" s="218">
        <f t="shared" si="43"/>
        <v>0</v>
      </c>
    </row>
    <row r="1367" spans="1:17" x14ac:dyDescent="0.35">
      <c r="A1367" s="212" t="str">
        <f>COMPOSICIÓN!A1367</f>
        <v>PTO-1507</v>
      </c>
      <c r="B1367" s="212" t="str">
        <f>COMPOSICIÓN!B1367</f>
        <v>MAT</v>
      </c>
      <c r="C1367" s="212" t="str">
        <f>COMPOSICIÓN!C1367</f>
        <v>OTR</v>
      </c>
      <c r="D1367" s="212" t="str">
        <f>COMPOSICIÓN!D1367</f>
        <v>OTR-PTO104</v>
      </c>
      <c r="E1367" s="212" t="str">
        <f>COMPOSICIÓN!E1367</f>
        <v>Sikaguard 0,350 lts/m2</v>
      </c>
      <c r="F1367" s="212" t="str">
        <f>COMPOSICIÓN!F1367</f>
        <v>tac</v>
      </c>
      <c r="G1367" s="213">
        <f>COMPOSICIÓN!G1367</f>
        <v>3.8167938931297697E-2</v>
      </c>
      <c r="H1367" s="214">
        <f>COMPOSICIÓN!H1367</f>
        <v>0</v>
      </c>
      <c r="I1367" s="215">
        <f>COMPOSICIÓN!I1367</f>
        <v>200000</v>
      </c>
      <c r="J1367" s="212" t="str">
        <f>IFERROR(VLOOKUP(A1367,PARTIDAS!$A$2:$C$269,3,FALSE()),"")</f>
        <v>PINTURA</v>
      </c>
      <c r="K1367" s="212" t="str">
        <f>IFERROR(INDEX(PPTO_GENERADOR!$B$4:$B$220,MATCH(A1367,PPTO_GENERADOR!$Q$4:$Q$220,0)),"")</f>
        <v>PINTURA</v>
      </c>
      <c r="L1367" s="216">
        <f>IF(PLAN_ETAPA!$C$4="(TODOS)",SUMIFS(PPTO_GENERADOR!$E$4:$E$220,PPTO_GENERADOR!$Q$4:$Q$220,A1367),SUMIFS(PPTO_GENERADOR!$E$4:$E$220,PPTO_GENERADOR!$Q$4:$Q$220,A1367,PPTO_GENERADOR!$B$4:$B$220,PLAN_ETAPA!$C$4))</f>
        <v>0</v>
      </c>
      <c r="M1367" s="216">
        <f>IFERROR(VLOOKUP(A1367,PARTIDAS!$A$2:$F$269,6,FALSE()),1)</f>
        <v>30</v>
      </c>
      <c r="N1367" s="216">
        <f>IFERROR(VLOOKUP(A1367,PARTIDAS!$A$2:$I$269,9,FALSE()),1)</f>
        <v>1</v>
      </c>
      <c r="O1367" s="217">
        <f t="shared" si="42"/>
        <v>0</v>
      </c>
      <c r="P1367" s="216">
        <f>IF(O1367=0,0,IF(B1367="MAT",G1367*(1+H1367)*L1367*PLAN_ETAPA!$C$5,IF(B1367="MO",IF(M1367=0,0,G1367*L1367*PLAN_ETAPA!$C$5*N1367/M1367),IF(B1367="EQ",IF(M1367=0,0,G1367*L1367*PLAN_ETAPA!$C$5/M1367),0))))</f>
        <v>0</v>
      </c>
      <c r="Q1367" s="218">
        <f t="shared" si="43"/>
        <v>0</v>
      </c>
    </row>
    <row r="1368" spans="1:17" x14ac:dyDescent="0.35">
      <c r="A1368" s="212" t="str">
        <f>COMPOSICIÓN!A1368</f>
        <v>PTO-1507</v>
      </c>
      <c r="B1368" s="212" t="str">
        <f>COMPOSICIÓN!B1368</f>
        <v>MO</v>
      </c>
      <c r="C1368" s="212" t="str">
        <f>COMPOSICIÓN!C1368</f>
        <v>ALB</v>
      </c>
      <c r="D1368" s="212" t="str">
        <f>COMPOSICIÓN!D1368</f>
        <v>MO-EMEDI</v>
      </c>
      <c r="E1368" s="212" t="str">
        <f>COMPOSICIÓN!E1368</f>
        <v>MEDIO OFICIAL</v>
      </c>
      <c r="F1368" s="212" t="str">
        <f>COMPOSICIÓN!F1368</f>
        <v>j</v>
      </c>
      <c r="G1368" s="213">
        <f>COMPOSICIÓN!G1368</f>
        <v>1</v>
      </c>
      <c r="H1368" s="214">
        <f>COMPOSICIÓN!H1368</f>
        <v>0</v>
      </c>
      <c r="I1368" s="215">
        <f>COMPOSICIÓN!I1368</f>
        <v>65493.071636572</v>
      </c>
      <c r="J1368" s="212" t="str">
        <f>IFERROR(VLOOKUP(A1368,PARTIDAS!$A$2:$C$269,3,FALSE()),"")</f>
        <v>PINTURA</v>
      </c>
      <c r="K1368" s="212" t="str">
        <f>IFERROR(INDEX(PPTO_GENERADOR!$B$4:$B$220,MATCH(A1368,PPTO_GENERADOR!$Q$4:$Q$220,0)),"")</f>
        <v>PINTURA</v>
      </c>
      <c r="L1368" s="216">
        <f>IF(PLAN_ETAPA!$C$4="(TODOS)",SUMIFS(PPTO_GENERADOR!$E$4:$E$220,PPTO_GENERADOR!$Q$4:$Q$220,A1368),SUMIFS(PPTO_GENERADOR!$E$4:$E$220,PPTO_GENERADOR!$Q$4:$Q$220,A1368,PPTO_GENERADOR!$B$4:$B$220,PLAN_ETAPA!$C$4))</f>
        <v>0</v>
      </c>
      <c r="M1368" s="216">
        <f>IFERROR(VLOOKUP(A1368,PARTIDAS!$A$2:$F$269,6,FALSE()),1)</f>
        <v>30</v>
      </c>
      <c r="N1368" s="216">
        <f>IFERROR(VLOOKUP(A1368,PARTIDAS!$A$2:$I$269,9,FALSE()),1)</f>
        <v>1</v>
      </c>
      <c r="O1368" s="217">
        <f t="shared" si="42"/>
        <v>0</v>
      </c>
      <c r="P1368" s="216">
        <f>IF(O1368=0,0,IF(B1368="MAT",G1368*(1+H1368)*L1368*PLAN_ETAPA!$C$5,IF(B1368="MO",IF(M1368=0,0,G1368*L1368*PLAN_ETAPA!$C$5*N1368/M1368),IF(B1368="EQ",IF(M1368=0,0,G1368*L1368*PLAN_ETAPA!$C$5/M1368),0))))</f>
        <v>0</v>
      </c>
      <c r="Q1368" s="218">
        <f t="shared" si="43"/>
        <v>0</v>
      </c>
    </row>
    <row r="1369" spans="1:17" x14ac:dyDescent="0.35">
      <c r="A1369" s="212" t="str">
        <f>COMPOSICIÓN!A1369</f>
        <v>PTO-1507</v>
      </c>
      <c r="B1369" s="212" t="str">
        <f>COMPOSICIÓN!B1369</f>
        <v>MO</v>
      </c>
      <c r="C1369" s="212" t="str">
        <f>COMPOSICIÓN!C1369</f>
        <v>ALB</v>
      </c>
      <c r="D1369" s="212" t="str">
        <f>COMPOSICIÓN!D1369</f>
        <v>MO-EESPE</v>
      </c>
      <c r="E1369" s="212" t="str">
        <f>COMPOSICIÓN!E1369</f>
        <v>ESPECIALIZADO</v>
      </c>
      <c r="F1369" s="212" t="str">
        <f>COMPOSICIÓN!F1369</f>
        <v>j</v>
      </c>
      <c r="G1369" s="213">
        <f>COMPOSICIÓN!G1369</f>
        <v>1</v>
      </c>
      <c r="H1369" s="214">
        <f>COMPOSICIÓN!H1369</f>
        <v>0</v>
      </c>
      <c r="I1369" s="215">
        <f>COMPOSICIÓN!I1369</f>
        <v>85927.097156571996</v>
      </c>
      <c r="J1369" s="212" t="str">
        <f>IFERROR(VLOOKUP(A1369,PARTIDAS!$A$2:$C$269,3,FALSE()),"")</f>
        <v>PINTURA</v>
      </c>
      <c r="K1369" s="212" t="str">
        <f>IFERROR(INDEX(PPTO_GENERADOR!$B$4:$B$220,MATCH(A1369,PPTO_GENERADOR!$Q$4:$Q$220,0)),"")</f>
        <v>PINTURA</v>
      </c>
      <c r="L1369" s="216">
        <f>IF(PLAN_ETAPA!$C$4="(TODOS)",SUMIFS(PPTO_GENERADOR!$E$4:$E$220,PPTO_GENERADOR!$Q$4:$Q$220,A1369),SUMIFS(PPTO_GENERADOR!$E$4:$E$220,PPTO_GENERADOR!$Q$4:$Q$220,A1369,PPTO_GENERADOR!$B$4:$B$220,PLAN_ETAPA!$C$4))</f>
        <v>0</v>
      </c>
      <c r="M1369" s="216">
        <f>IFERROR(VLOOKUP(A1369,PARTIDAS!$A$2:$F$269,6,FALSE()),1)</f>
        <v>30</v>
      </c>
      <c r="N1369" s="216">
        <f>IFERROR(VLOOKUP(A1369,PARTIDAS!$A$2:$I$269,9,FALSE()),1)</f>
        <v>1</v>
      </c>
      <c r="O1369" s="217">
        <f t="shared" si="42"/>
        <v>0</v>
      </c>
      <c r="P1369" s="216">
        <f>IF(O1369=0,0,IF(B1369="MAT",G1369*(1+H1369)*L1369*PLAN_ETAPA!$C$5,IF(B1369="MO",IF(M1369=0,0,G1369*L1369*PLAN_ETAPA!$C$5*N1369/M1369),IF(B1369="EQ",IF(M1369=0,0,G1369*L1369*PLAN_ETAPA!$C$5/M1369),0))))</f>
        <v>0</v>
      </c>
      <c r="Q1369" s="218">
        <f t="shared" si="43"/>
        <v>0</v>
      </c>
    </row>
    <row r="1370" spans="1:17" x14ac:dyDescent="0.35">
      <c r="A1370" s="212" t="str">
        <f>COMPOSICIÓN!A1370</f>
        <v>PTO-1508</v>
      </c>
      <c r="B1370" s="212" t="str">
        <f>COMPOSICIÓN!B1370</f>
        <v>EQ</v>
      </c>
      <c r="C1370" s="212">
        <f>COMPOSICIÓN!C1370</f>
        <v>0</v>
      </c>
      <c r="D1370" s="212" t="str">
        <f>COMPOSICIÓN!D1370</f>
        <v>EQ-PTO072</v>
      </c>
      <c r="E1370" s="212" t="str">
        <f>COMPOSICIÓN!E1370</f>
        <v>Herramientas menores y consumibles - Revestimiento tipo Tarquini hasta 3 m de altura</v>
      </c>
      <c r="F1370" s="212">
        <f>COMPOSICIÓN!F1370</f>
        <v>0</v>
      </c>
      <c r="G1370" s="213">
        <f>COMPOSICIÓN!G1370</f>
        <v>1</v>
      </c>
      <c r="H1370" s="214">
        <f>COMPOSICIÓN!H1370</f>
        <v>0</v>
      </c>
      <c r="I1370" s="215">
        <f>COMPOSICIÓN!I1370</f>
        <v>294.22469027430799</v>
      </c>
      <c r="J1370" s="212" t="str">
        <f>IFERROR(VLOOKUP(A1370,PARTIDAS!$A$2:$C$269,3,FALSE()),"")</f>
        <v>PINTURA</v>
      </c>
      <c r="K1370" s="212" t="str">
        <f>IFERROR(INDEX(PPTO_GENERADOR!$B$4:$B$220,MATCH(A1370,PPTO_GENERADOR!$Q$4:$Q$220,0)),"")</f>
        <v>PINTURA</v>
      </c>
      <c r="L1370" s="216">
        <f>IF(PLAN_ETAPA!$C$4="(TODOS)",SUMIFS(PPTO_GENERADOR!$E$4:$E$220,PPTO_GENERADOR!$Q$4:$Q$220,A1370),SUMIFS(PPTO_GENERADOR!$E$4:$E$220,PPTO_GENERADOR!$Q$4:$Q$220,A1370,PPTO_GENERADOR!$B$4:$B$220,PLAN_ETAPA!$C$4))</f>
        <v>0</v>
      </c>
      <c r="M1370" s="216">
        <f>IFERROR(VLOOKUP(A1370,PARTIDAS!$A$2:$F$269,6,FALSE()),1)</f>
        <v>1</v>
      </c>
      <c r="N1370" s="216">
        <f>IFERROR(VLOOKUP(A1370,PARTIDAS!$A$2:$I$269,9,FALSE()),1)</f>
        <v>1</v>
      </c>
      <c r="O1370" s="217">
        <f t="shared" si="42"/>
        <v>0</v>
      </c>
      <c r="P1370" s="216">
        <f>IF(O1370=0,0,IF(B1370="MAT",G1370*(1+H1370)*L1370*PLAN_ETAPA!$C$5,IF(B1370="MO",IF(M1370=0,0,G1370*L1370*PLAN_ETAPA!$C$5*N1370/M1370),IF(B1370="EQ",IF(M1370=0,0,G1370*L1370*PLAN_ETAPA!$C$5/M1370),0))))</f>
        <v>0</v>
      </c>
      <c r="Q1370" s="218">
        <f t="shared" si="43"/>
        <v>0</v>
      </c>
    </row>
    <row r="1371" spans="1:17" x14ac:dyDescent="0.35">
      <c r="A1371" s="212" t="str">
        <f>COMPOSICIÓN!A1371</f>
        <v>PTO-1508</v>
      </c>
      <c r="B1371" s="212" t="str">
        <f>COMPOSICIÓN!B1371</f>
        <v>MAT</v>
      </c>
      <c r="C1371" s="212" t="str">
        <f>COMPOSICIÓN!C1371</f>
        <v>OTR</v>
      </c>
      <c r="D1371" s="212" t="str">
        <f>COMPOSICIÓN!D1371</f>
        <v>OTR-PTO141</v>
      </c>
      <c r="E1371" s="212" t="str">
        <f>COMPOSICIÓN!E1371</f>
        <v>MT para Revestimiento tipo Tarquini hasta 3 m de altura</v>
      </c>
      <c r="F1371" s="212" t="str">
        <f>COMPOSICIÓN!F1371</f>
        <v>u</v>
      </c>
      <c r="G1371" s="213">
        <f>COMPOSICIÓN!G1371</f>
        <v>1</v>
      </c>
      <c r="H1371" s="214">
        <f>COMPOSICIÓN!H1371</f>
        <v>0</v>
      </c>
      <c r="I1371" s="215">
        <f>COMPOSICIÓN!I1371</f>
        <v>10000</v>
      </c>
      <c r="J1371" s="212" t="str">
        <f>IFERROR(VLOOKUP(A1371,PARTIDAS!$A$2:$C$269,3,FALSE()),"")</f>
        <v>PINTURA</v>
      </c>
      <c r="K1371" s="212" t="str">
        <f>IFERROR(INDEX(PPTO_GENERADOR!$B$4:$B$220,MATCH(A1371,PPTO_GENERADOR!$Q$4:$Q$220,0)),"")</f>
        <v>PINTURA</v>
      </c>
      <c r="L1371" s="216">
        <f>IF(PLAN_ETAPA!$C$4="(TODOS)",SUMIFS(PPTO_GENERADOR!$E$4:$E$220,PPTO_GENERADOR!$Q$4:$Q$220,A1371),SUMIFS(PPTO_GENERADOR!$E$4:$E$220,PPTO_GENERADOR!$Q$4:$Q$220,A1371,PPTO_GENERADOR!$B$4:$B$220,PLAN_ETAPA!$C$4))</f>
        <v>0</v>
      </c>
      <c r="M1371" s="216">
        <f>IFERROR(VLOOKUP(A1371,PARTIDAS!$A$2:$F$269,6,FALSE()),1)</f>
        <v>1</v>
      </c>
      <c r="N1371" s="216">
        <f>IFERROR(VLOOKUP(A1371,PARTIDAS!$A$2:$I$269,9,FALSE()),1)</f>
        <v>1</v>
      </c>
      <c r="O1371" s="217">
        <f t="shared" si="42"/>
        <v>0</v>
      </c>
      <c r="P1371" s="216">
        <f>IF(O1371=0,0,IF(B1371="MAT",G1371*(1+H1371)*L1371*PLAN_ETAPA!$C$5,IF(B1371="MO",IF(M1371=0,0,G1371*L1371*PLAN_ETAPA!$C$5*N1371/M1371),IF(B1371="EQ",IF(M1371=0,0,G1371*L1371*PLAN_ETAPA!$C$5/M1371),0))))</f>
        <v>0</v>
      </c>
      <c r="Q1371" s="218">
        <f t="shared" si="43"/>
        <v>0</v>
      </c>
    </row>
    <row r="1372" spans="1:17" x14ac:dyDescent="0.35">
      <c r="A1372" s="212" t="str">
        <f>COMPOSICIÓN!A1372</f>
        <v>PTO-1508</v>
      </c>
      <c r="B1372" s="212" t="str">
        <f>COMPOSICIÓN!B1372</f>
        <v>MO</v>
      </c>
      <c r="C1372" s="212" t="str">
        <f>COMPOSICIÓN!C1372</f>
        <v>OTR</v>
      </c>
      <c r="D1372" s="212" t="str">
        <f>COMPOSICIÓN!D1372</f>
        <v>SUB-PTO032</v>
      </c>
      <c r="E1372" s="212" t="str">
        <f>COMPOSICIÓN!E1372</f>
        <v>MO Revestimiento tipo Tarquini hasta 3 m de altura [SUBCONTRATOS]</v>
      </c>
      <c r="F1372" s="212" t="str">
        <f>COMPOSICIÓN!F1372</f>
        <v>j</v>
      </c>
      <c r="G1372" s="213">
        <f>COMPOSICIÓN!G1372</f>
        <v>1</v>
      </c>
      <c r="H1372" s="214">
        <f>COMPOSICIÓN!H1372</f>
        <v>0</v>
      </c>
      <c r="I1372" s="215">
        <f>COMPOSICIÓN!I1372</f>
        <v>9614.97935162053</v>
      </c>
      <c r="J1372" s="212" t="str">
        <f>IFERROR(VLOOKUP(A1372,PARTIDAS!$A$2:$C$269,3,FALSE()),"")</f>
        <v>PINTURA</v>
      </c>
      <c r="K1372" s="212" t="str">
        <f>IFERROR(INDEX(PPTO_GENERADOR!$B$4:$B$220,MATCH(A1372,PPTO_GENERADOR!$Q$4:$Q$220,0)),"")</f>
        <v>PINTURA</v>
      </c>
      <c r="L1372" s="216">
        <f>IF(PLAN_ETAPA!$C$4="(TODOS)",SUMIFS(PPTO_GENERADOR!$E$4:$E$220,PPTO_GENERADOR!$Q$4:$Q$220,A1372),SUMIFS(PPTO_GENERADOR!$E$4:$E$220,PPTO_GENERADOR!$Q$4:$Q$220,A1372,PPTO_GENERADOR!$B$4:$B$220,PLAN_ETAPA!$C$4))</f>
        <v>0</v>
      </c>
      <c r="M1372" s="216">
        <f>IFERROR(VLOOKUP(A1372,PARTIDAS!$A$2:$F$269,6,FALSE()),1)</f>
        <v>1</v>
      </c>
      <c r="N1372" s="216">
        <f>IFERROR(VLOOKUP(A1372,PARTIDAS!$A$2:$I$269,9,FALSE()),1)</f>
        <v>1</v>
      </c>
      <c r="O1372" s="217">
        <f t="shared" si="42"/>
        <v>0</v>
      </c>
      <c r="P1372" s="216">
        <f>IF(O1372=0,0,IF(B1372="MAT",G1372*(1+H1372)*L1372*PLAN_ETAPA!$C$5,IF(B1372="MO",IF(M1372=0,0,G1372*L1372*PLAN_ETAPA!$C$5*N1372/M1372),IF(B1372="EQ",IF(M1372=0,0,G1372*L1372*PLAN_ETAPA!$C$5/M1372),0))))</f>
        <v>0</v>
      </c>
      <c r="Q1372" s="218">
        <f t="shared" si="43"/>
        <v>0</v>
      </c>
    </row>
    <row r="1373" spans="1:17" x14ac:dyDescent="0.35">
      <c r="A1373" s="212" t="str">
        <f>COMPOSICIÓN!A1373</f>
        <v>PTO-1509</v>
      </c>
      <c r="B1373" s="212" t="str">
        <f>COMPOSICIÓN!B1373</f>
        <v>EQ</v>
      </c>
      <c r="C1373" s="212">
        <f>COMPOSICIÓN!C1373</f>
        <v>0</v>
      </c>
      <c r="D1373" s="212" t="str">
        <f>COMPOSICIÓN!D1373</f>
        <v>EQ-PTO073</v>
      </c>
      <c r="E1373" s="212" t="str">
        <f>COMPOSICIÓN!E1373</f>
        <v>Herramientas menores y consumibles - Revestimiento tipo Tarquini a mas de 3 m de altura</v>
      </c>
      <c r="F1373" s="212">
        <f>COMPOSICIÓN!F1373</f>
        <v>0</v>
      </c>
      <c r="G1373" s="213">
        <f>COMPOSICIÓN!G1373</f>
        <v>1</v>
      </c>
      <c r="H1373" s="214">
        <f>COMPOSICIÓN!H1373</f>
        <v>0</v>
      </c>
      <c r="I1373" s="215">
        <f>COMPOSICIÓN!I1373</f>
        <v>351.91456638403099</v>
      </c>
      <c r="J1373" s="212" t="str">
        <f>IFERROR(VLOOKUP(A1373,PARTIDAS!$A$2:$C$269,3,FALSE()),"")</f>
        <v>PINTURA</v>
      </c>
      <c r="K1373" s="212" t="str">
        <f>IFERROR(INDEX(PPTO_GENERADOR!$B$4:$B$220,MATCH(A1373,PPTO_GENERADOR!$Q$4:$Q$220,0)),"")</f>
        <v>PINTURA</v>
      </c>
      <c r="L1373" s="216">
        <f>IF(PLAN_ETAPA!$C$4="(TODOS)",SUMIFS(PPTO_GENERADOR!$E$4:$E$220,PPTO_GENERADOR!$Q$4:$Q$220,A1373),SUMIFS(PPTO_GENERADOR!$E$4:$E$220,PPTO_GENERADOR!$Q$4:$Q$220,A1373,PPTO_GENERADOR!$B$4:$B$220,PLAN_ETAPA!$C$4))</f>
        <v>0</v>
      </c>
      <c r="M1373" s="216">
        <f>IFERROR(VLOOKUP(A1373,PARTIDAS!$A$2:$F$269,6,FALSE()),1)</f>
        <v>1</v>
      </c>
      <c r="N1373" s="216">
        <f>IFERROR(VLOOKUP(A1373,PARTIDAS!$A$2:$I$269,9,FALSE()),1)</f>
        <v>1</v>
      </c>
      <c r="O1373" s="217">
        <f t="shared" si="42"/>
        <v>0</v>
      </c>
      <c r="P1373" s="216">
        <f>IF(O1373=0,0,IF(B1373="MAT",G1373*(1+H1373)*L1373*PLAN_ETAPA!$C$5,IF(B1373="MO",IF(M1373=0,0,G1373*L1373*PLAN_ETAPA!$C$5*N1373/M1373),IF(B1373="EQ",IF(M1373=0,0,G1373*L1373*PLAN_ETAPA!$C$5/M1373),0))))</f>
        <v>0</v>
      </c>
      <c r="Q1373" s="218">
        <f t="shared" si="43"/>
        <v>0</v>
      </c>
    </row>
    <row r="1374" spans="1:17" x14ac:dyDescent="0.35">
      <c r="A1374" s="212" t="str">
        <f>COMPOSICIÓN!A1374</f>
        <v>PTO-1509</v>
      </c>
      <c r="B1374" s="212" t="str">
        <f>COMPOSICIÓN!B1374</f>
        <v>MAT</v>
      </c>
      <c r="C1374" s="212" t="str">
        <f>COMPOSICIÓN!C1374</f>
        <v>OTR</v>
      </c>
      <c r="D1374" s="212" t="str">
        <f>COMPOSICIÓN!D1374</f>
        <v>OTR-PTO141</v>
      </c>
      <c r="E1374" s="212" t="str">
        <f>COMPOSICIÓN!E1374</f>
        <v>MT para Revestimiento tipo Tarquini hasta 3 m de altura</v>
      </c>
      <c r="F1374" s="212" t="str">
        <f>COMPOSICIÓN!F1374</f>
        <v>u</v>
      </c>
      <c r="G1374" s="213">
        <f>COMPOSICIÓN!G1374</f>
        <v>1</v>
      </c>
      <c r="H1374" s="214">
        <f>COMPOSICIÓN!H1374</f>
        <v>0</v>
      </c>
      <c r="I1374" s="215">
        <f>COMPOSICIÓN!I1374</f>
        <v>10000</v>
      </c>
      <c r="J1374" s="212" t="str">
        <f>IFERROR(VLOOKUP(A1374,PARTIDAS!$A$2:$C$269,3,FALSE()),"")</f>
        <v>PINTURA</v>
      </c>
      <c r="K1374" s="212" t="str">
        <f>IFERROR(INDEX(PPTO_GENERADOR!$B$4:$B$220,MATCH(A1374,PPTO_GENERADOR!$Q$4:$Q$220,0)),"")</f>
        <v>PINTURA</v>
      </c>
      <c r="L1374" s="216">
        <f>IF(PLAN_ETAPA!$C$4="(TODOS)",SUMIFS(PPTO_GENERADOR!$E$4:$E$220,PPTO_GENERADOR!$Q$4:$Q$220,A1374),SUMIFS(PPTO_GENERADOR!$E$4:$E$220,PPTO_GENERADOR!$Q$4:$Q$220,A1374,PPTO_GENERADOR!$B$4:$B$220,PLAN_ETAPA!$C$4))</f>
        <v>0</v>
      </c>
      <c r="M1374" s="216">
        <f>IFERROR(VLOOKUP(A1374,PARTIDAS!$A$2:$F$269,6,FALSE()),1)</f>
        <v>1</v>
      </c>
      <c r="N1374" s="216">
        <f>IFERROR(VLOOKUP(A1374,PARTIDAS!$A$2:$I$269,9,FALSE()),1)</f>
        <v>1</v>
      </c>
      <c r="O1374" s="217">
        <f t="shared" si="42"/>
        <v>0</v>
      </c>
      <c r="P1374" s="216">
        <f>IF(O1374=0,0,IF(B1374="MAT",G1374*(1+H1374)*L1374*PLAN_ETAPA!$C$5,IF(B1374="MO",IF(M1374=0,0,G1374*L1374*PLAN_ETAPA!$C$5*N1374/M1374),IF(B1374="EQ",IF(M1374=0,0,G1374*L1374*PLAN_ETAPA!$C$5/M1374),0))))</f>
        <v>0</v>
      </c>
      <c r="Q1374" s="218">
        <f t="shared" si="43"/>
        <v>0</v>
      </c>
    </row>
    <row r="1375" spans="1:17" x14ac:dyDescent="0.35">
      <c r="A1375" s="212" t="str">
        <f>COMPOSICIÓN!A1375</f>
        <v>PTO-1509</v>
      </c>
      <c r="B1375" s="212" t="str">
        <f>COMPOSICIÓN!B1375</f>
        <v>MO</v>
      </c>
      <c r="C1375" s="212" t="str">
        <f>COMPOSICIÓN!C1375</f>
        <v>OTR</v>
      </c>
      <c r="D1375" s="212" t="str">
        <f>COMPOSICIÓN!D1375</f>
        <v>SUB-PTO033</v>
      </c>
      <c r="E1375" s="212" t="str">
        <f>COMPOSICIÓN!E1375</f>
        <v>MO Revestimiento tipo Tarquini a mas de 3 m de altura [SUBCONTRATOS]</v>
      </c>
      <c r="F1375" s="212" t="str">
        <f>COMPOSICIÓN!F1375</f>
        <v>j</v>
      </c>
      <c r="G1375" s="213">
        <f>COMPOSICIÓN!G1375</f>
        <v>1</v>
      </c>
      <c r="H1375" s="214">
        <f>COMPOSICIÓN!H1375</f>
        <v>0</v>
      </c>
      <c r="I1375" s="215">
        <f>COMPOSICIÓN!I1375</f>
        <v>13460.971092268701</v>
      </c>
      <c r="J1375" s="212" t="str">
        <f>IFERROR(VLOOKUP(A1375,PARTIDAS!$A$2:$C$269,3,FALSE()),"")</f>
        <v>PINTURA</v>
      </c>
      <c r="K1375" s="212" t="str">
        <f>IFERROR(INDEX(PPTO_GENERADOR!$B$4:$B$220,MATCH(A1375,PPTO_GENERADOR!$Q$4:$Q$220,0)),"")</f>
        <v>PINTURA</v>
      </c>
      <c r="L1375" s="216">
        <f>IF(PLAN_ETAPA!$C$4="(TODOS)",SUMIFS(PPTO_GENERADOR!$E$4:$E$220,PPTO_GENERADOR!$Q$4:$Q$220,A1375),SUMIFS(PPTO_GENERADOR!$E$4:$E$220,PPTO_GENERADOR!$Q$4:$Q$220,A1375,PPTO_GENERADOR!$B$4:$B$220,PLAN_ETAPA!$C$4))</f>
        <v>0</v>
      </c>
      <c r="M1375" s="216">
        <f>IFERROR(VLOOKUP(A1375,PARTIDAS!$A$2:$F$269,6,FALSE()),1)</f>
        <v>1</v>
      </c>
      <c r="N1375" s="216">
        <f>IFERROR(VLOOKUP(A1375,PARTIDAS!$A$2:$I$269,9,FALSE()),1)</f>
        <v>1</v>
      </c>
      <c r="O1375" s="217">
        <f t="shared" si="42"/>
        <v>0</v>
      </c>
      <c r="P1375" s="216">
        <f>IF(O1375=0,0,IF(B1375="MAT",G1375*(1+H1375)*L1375*PLAN_ETAPA!$C$5,IF(B1375="MO",IF(M1375=0,0,G1375*L1375*PLAN_ETAPA!$C$5*N1375/M1375),IF(B1375="EQ",IF(M1375=0,0,G1375*L1375*PLAN_ETAPA!$C$5/M1375),0))))</f>
        <v>0</v>
      </c>
      <c r="Q1375" s="218">
        <f t="shared" si="43"/>
        <v>0</v>
      </c>
    </row>
    <row r="1376" spans="1:17" x14ac:dyDescent="0.35">
      <c r="A1376" s="212" t="str">
        <f>COMPOSICIÓN!A1376</f>
        <v>PTO-1510</v>
      </c>
      <c r="B1376" s="212" t="str">
        <f>COMPOSICIÓN!B1376</f>
        <v>EQ</v>
      </c>
      <c r="C1376" s="212">
        <f>COMPOSICIÓN!C1376</f>
        <v>0</v>
      </c>
      <c r="D1376" s="212" t="str">
        <f>COMPOSICIÓN!D1376</f>
        <v>EQ-PTO074</v>
      </c>
      <c r="E1376" s="212" t="str">
        <f>COMPOSICIÓN!E1376</f>
        <v>Herramientas menores y consumibles - Franjas división cocheras</v>
      </c>
      <c r="F1376" s="212">
        <f>COMPOSICIÓN!F1376</f>
        <v>0</v>
      </c>
      <c r="G1376" s="213">
        <f>COMPOSICIÓN!G1376</f>
        <v>1</v>
      </c>
      <c r="H1376" s="214">
        <f>COMPOSICIÓN!H1376</f>
        <v>0</v>
      </c>
      <c r="I1376" s="215">
        <f>COMPOSICIÓN!I1376</f>
        <v>9813.9075956914803</v>
      </c>
      <c r="J1376" s="212" t="str">
        <f>IFERROR(VLOOKUP(A1376,PARTIDAS!$A$2:$C$269,3,FALSE()),"")</f>
        <v>PINTURA</v>
      </c>
      <c r="K1376" s="212" t="str">
        <f>IFERROR(INDEX(PPTO_GENERADOR!$B$4:$B$220,MATCH(A1376,PPTO_GENERADOR!$Q$4:$Q$220,0)),"")</f>
        <v>PINTURA</v>
      </c>
      <c r="L1376" s="216">
        <f>IF(PLAN_ETAPA!$C$4="(TODOS)",SUMIFS(PPTO_GENERADOR!$E$4:$E$220,PPTO_GENERADOR!$Q$4:$Q$220,A1376),SUMIFS(PPTO_GENERADOR!$E$4:$E$220,PPTO_GENERADOR!$Q$4:$Q$220,A1376,PPTO_GENERADOR!$B$4:$B$220,PLAN_ETAPA!$C$4))</f>
        <v>0</v>
      </c>
      <c r="M1376" s="216">
        <f>IFERROR(VLOOKUP(A1376,PARTIDAS!$A$2:$F$269,6,FALSE()),1)</f>
        <v>1</v>
      </c>
      <c r="N1376" s="216">
        <f>IFERROR(VLOOKUP(A1376,PARTIDAS!$A$2:$I$269,9,FALSE()),1)</f>
        <v>1</v>
      </c>
      <c r="O1376" s="217">
        <f t="shared" si="42"/>
        <v>0</v>
      </c>
      <c r="P1376" s="216">
        <f>IF(O1376=0,0,IF(B1376="MAT",G1376*(1+H1376)*L1376*PLAN_ETAPA!$C$5,IF(B1376="MO",IF(M1376=0,0,G1376*L1376*PLAN_ETAPA!$C$5*N1376/M1376),IF(B1376="EQ",IF(M1376=0,0,G1376*L1376*PLAN_ETAPA!$C$5/M1376),0))))</f>
        <v>0</v>
      </c>
      <c r="Q1376" s="218">
        <f t="shared" si="43"/>
        <v>0</v>
      </c>
    </row>
    <row r="1377" spans="1:17" x14ac:dyDescent="0.35">
      <c r="A1377" s="212" t="str">
        <f>COMPOSICIÓN!A1377</f>
        <v>PTO-1510</v>
      </c>
      <c r="B1377" s="212" t="str">
        <f>COMPOSICIÓN!B1377</f>
        <v>MAT</v>
      </c>
      <c r="C1377" s="212" t="str">
        <f>COMPOSICIÓN!C1377</f>
        <v>OTR</v>
      </c>
      <c r="D1377" s="212" t="str">
        <f>COMPOSICIÓN!D1377</f>
        <v>MAT-CONS</v>
      </c>
      <c r="E1377" s="212" t="str">
        <f>COMPOSICIÓN!E1377</f>
        <v>Consumibles</v>
      </c>
      <c r="F1377" s="212" t="str">
        <f>COMPOSICIÓN!F1377</f>
        <v>gl</v>
      </c>
      <c r="G1377" s="213">
        <f>COMPOSICIÓN!G1377</f>
        <v>150000</v>
      </c>
      <c r="H1377" s="214">
        <f>COMPOSICIÓN!H1377</f>
        <v>0</v>
      </c>
      <c r="I1377" s="215">
        <f>COMPOSICIÓN!I1377</f>
        <v>1</v>
      </c>
      <c r="J1377" s="212" t="str">
        <f>IFERROR(VLOOKUP(A1377,PARTIDAS!$A$2:$C$269,3,FALSE()),"")</f>
        <v>PINTURA</v>
      </c>
      <c r="K1377" s="212" t="str">
        <f>IFERROR(INDEX(PPTO_GENERADOR!$B$4:$B$220,MATCH(A1377,PPTO_GENERADOR!$Q$4:$Q$220,0)),"")</f>
        <v>PINTURA</v>
      </c>
      <c r="L1377" s="216">
        <f>IF(PLAN_ETAPA!$C$4="(TODOS)",SUMIFS(PPTO_GENERADOR!$E$4:$E$220,PPTO_GENERADOR!$Q$4:$Q$220,A1377),SUMIFS(PPTO_GENERADOR!$E$4:$E$220,PPTO_GENERADOR!$Q$4:$Q$220,A1377,PPTO_GENERADOR!$B$4:$B$220,PLAN_ETAPA!$C$4))</f>
        <v>0</v>
      </c>
      <c r="M1377" s="216">
        <f>IFERROR(VLOOKUP(A1377,PARTIDAS!$A$2:$F$269,6,FALSE()),1)</f>
        <v>1</v>
      </c>
      <c r="N1377" s="216">
        <f>IFERROR(VLOOKUP(A1377,PARTIDAS!$A$2:$I$269,9,FALSE()),1)</f>
        <v>1</v>
      </c>
      <c r="O1377" s="217">
        <f t="shared" si="42"/>
        <v>0</v>
      </c>
      <c r="P1377" s="216">
        <f>IF(O1377=0,0,IF(B1377="MAT",G1377*(1+H1377)*L1377*PLAN_ETAPA!$C$5,IF(B1377="MO",IF(M1377=0,0,G1377*L1377*PLAN_ETAPA!$C$5*N1377/M1377),IF(B1377="EQ",IF(M1377=0,0,G1377*L1377*PLAN_ETAPA!$C$5/M1377),0))))</f>
        <v>0</v>
      </c>
      <c r="Q1377" s="218">
        <f t="shared" si="43"/>
        <v>0</v>
      </c>
    </row>
    <row r="1378" spans="1:17" x14ac:dyDescent="0.35">
      <c r="A1378" s="212" t="str">
        <f>COMPOSICIÓN!A1378</f>
        <v>PTO-1510</v>
      </c>
      <c r="B1378" s="212" t="str">
        <f>COMPOSICIÓN!B1378</f>
        <v>MAT</v>
      </c>
      <c r="C1378" s="212" t="str">
        <f>COMPOSICIÓN!C1378</f>
        <v>OTR</v>
      </c>
      <c r="D1378" s="212" t="str">
        <f>COMPOSICIÓN!D1378</f>
        <v>OTR-PTO105</v>
      </c>
      <c r="E1378" s="212" t="str">
        <f>COMPOSICIÓN!E1378</f>
        <v>Pintura acrílica Sintevial para demarcación vial brillante amarillo</v>
      </c>
      <c r="F1378" s="212" t="str">
        <f>COMPOSICIÓN!F1378</f>
        <v>tac</v>
      </c>
      <c r="G1378" s="213">
        <f>COMPOSICIÓN!G1378</f>
        <v>1</v>
      </c>
      <c r="H1378" s="214">
        <f>COMPOSICIÓN!H1378</f>
        <v>0</v>
      </c>
      <c r="I1378" s="215">
        <f>COMPOSICIÓN!I1378</f>
        <v>50000</v>
      </c>
      <c r="J1378" s="212" t="str">
        <f>IFERROR(VLOOKUP(A1378,PARTIDAS!$A$2:$C$269,3,FALSE()),"")</f>
        <v>PINTURA</v>
      </c>
      <c r="K1378" s="212" t="str">
        <f>IFERROR(INDEX(PPTO_GENERADOR!$B$4:$B$220,MATCH(A1378,PPTO_GENERADOR!$Q$4:$Q$220,0)),"")</f>
        <v>PINTURA</v>
      </c>
      <c r="L1378" s="216">
        <f>IF(PLAN_ETAPA!$C$4="(TODOS)",SUMIFS(PPTO_GENERADOR!$E$4:$E$220,PPTO_GENERADOR!$Q$4:$Q$220,A1378),SUMIFS(PPTO_GENERADOR!$E$4:$E$220,PPTO_GENERADOR!$Q$4:$Q$220,A1378,PPTO_GENERADOR!$B$4:$B$220,PLAN_ETAPA!$C$4))</f>
        <v>0</v>
      </c>
      <c r="M1378" s="216">
        <f>IFERROR(VLOOKUP(A1378,PARTIDAS!$A$2:$F$269,6,FALSE()),1)</f>
        <v>1</v>
      </c>
      <c r="N1378" s="216">
        <f>IFERROR(VLOOKUP(A1378,PARTIDAS!$A$2:$I$269,9,FALSE()),1)</f>
        <v>1</v>
      </c>
      <c r="O1378" s="217">
        <f t="shared" si="42"/>
        <v>0</v>
      </c>
      <c r="P1378" s="216">
        <f>IF(O1378=0,0,IF(B1378="MAT",G1378*(1+H1378)*L1378*PLAN_ETAPA!$C$5,IF(B1378="MO",IF(M1378=0,0,G1378*L1378*PLAN_ETAPA!$C$5*N1378/M1378),IF(B1378="EQ",IF(M1378=0,0,G1378*L1378*PLAN_ETAPA!$C$5/M1378),0))))</f>
        <v>0</v>
      </c>
      <c r="Q1378" s="218">
        <f t="shared" si="43"/>
        <v>0</v>
      </c>
    </row>
    <row r="1379" spans="1:17" x14ac:dyDescent="0.35">
      <c r="A1379" s="212" t="str">
        <f>COMPOSICIÓN!A1379</f>
        <v>PTO-1510</v>
      </c>
      <c r="B1379" s="212" t="str">
        <f>COMPOSICIÓN!B1379</f>
        <v>MO</v>
      </c>
      <c r="C1379" s="212" t="str">
        <f>COMPOSICIÓN!C1379</f>
        <v>ALB</v>
      </c>
      <c r="D1379" s="212" t="str">
        <f>COMPOSICIÓN!D1379</f>
        <v>MO-EESPE</v>
      </c>
      <c r="E1379" s="212" t="str">
        <f>COMPOSICIÓN!E1379</f>
        <v>ESPECIALIZADO</v>
      </c>
      <c r="F1379" s="212" t="str">
        <f>COMPOSICIÓN!F1379</f>
        <v>j</v>
      </c>
      <c r="G1379" s="213">
        <f>COMPOSICIÓN!G1379</f>
        <v>3</v>
      </c>
      <c r="H1379" s="214">
        <f>COMPOSICIÓN!H1379</f>
        <v>0</v>
      </c>
      <c r="I1379" s="215">
        <f>COMPOSICIÓN!I1379</f>
        <v>85927.097156571996</v>
      </c>
      <c r="J1379" s="212" t="str">
        <f>IFERROR(VLOOKUP(A1379,PARTIDAS!$A$2:$C$269,3,FALSE()),"")</f>
        <v>PINTURA</v>
      </c>
      <c r="K1379" s="212" t="str">
        <f>IFERROR(INDEX(PPTO_GENERADOR!$B$4:$B$220,MATCH(A1379,PPTO_GENERADOR!$Q$4:$Q$220,0)),"")</f>
        <v>PINTURA</v>
      </c>
      <c r="L1379" s="216">
        <f>IF(PLAN_ETAPA!$C$4="(TODOS)",SUMIFS(PPTO_GENERADOR!$E$4:$E$220,PPTO_GENERADOR!$Q$4:$Q$220,A1379),SUMIFS(PPTO_GENERADOR!$E$4:$E$220,PPTO_GENERADOR!$Q$4:$Q$220,A1379,PPTO_GENERADOR!$B$4:$B$220,PLAN_ETAPA!$C$4))</f>
        <v>0</v>
      </c>
      <c r="M1379" s="216">
        <f>IFERROR(VLOOKUP(A1379,PARTIDAS!$A$2:$F$269,6,FALSE()),1)</f>
        <v>1</v>
      </c>
      <c r="N1379" s="216">
        <f>IFERROR(VLOOKUP(A1379,PARTIDAS!$A$2:$I$269,9,FALSE()),1)</f>
        <v>1</v>
      </c>
      <c r="O1379" s="217">
        <f t="shared" si="42"/>
        <v>0</v>
      </c>
      <c r="P1379" s="216">
        <f>IF(O1379=0,0,IF(B1379="MAT",G1379*(1+H1379)*L1379*PLAN_ETAPA!$C$5,IF(B1379="MO",IF(M1379=0,0,G1379*L1379*PLAN_ETAPA!$C$5*N1379/M1379),IF(B1379="EQ",IF(M1379=0,0,G1379*L1379*PLAN_ETAPA!$C$5/M1379),0))))</f>
        <v>0</v>
      </c>
      <c r="Q1379" s="218">
        <f t="shared" si="43"/>
        <v>0</v>
      </c>
    </row>
    <row r="1380" spans="1:17" x14ac:dyDescent="0.35">
      <c r="A1380" s="212" t="str">
        <f>COMPOSICIÓN!A1380</f>
        <v>PTO-1510</v>
      </c>
      <c r="B1380" s="212" t="str">
        <f>COMPOSICIÓN!B1380</f>
        <v>MO</v>
      </c>
      <c r="C1380" s="212" t="str">
        <f>COMPOSICIÓN!C1380</f>
        <v>ALB</v>
      </c>
      <c r="D1380" s="212" t="str">
        <f>COMPOSICIÓN!D1380</f>
        <v>MO-EMEDI</v>
      </c>
      <c r="E1380" s="212" t="str">
        <f>COMPOSICIÓN!E1380</f>
        <v>MEDIO OFICIAL</v>
      </c>
      <c r="F1380" s="212" t="str">
        <f>COMPOSICIÓN!F1380</f>
        <v>j</v>
      </c>
      <c r="G1380" s="213">
        <f>COMPOSICIÓN!G1380</f>
        <v>3</v>
      </c>
      <c r="H1380" s="214">
        <f>COMPOSICIÓN!H1380</f>
        <v>0</v>
      </c>
      <c r="I1380" s="215">
        <f>COMPOSICIÓN!I1380</f>
        <v>65493.071636572</v>
      </c>
      <c r="J1380" s="212" t="str">
        <f>IFERROR(VLOOKUP(A1380,PARTIDAS!$A$2:$C$269,3,FALSE()),"")</f>
        <v>PINTURA</v>
      </c>
      <c r="K1380" s="212" t="str">
        <f>IFERROR(INDEX(PPTO_GENERADOR!$B$4:$B$220,MATCH(A1380,PPTO_GENERADOR!$Q$4:$Q$220,0)),"")</f>
        <v>PINTURA</v>
      </c>
      <c r="L1380" s="216">
        <f>IF(PLAN_ETAPA!$C$4="(TODOS)",SUMIFS(PPTO_GENERADOR!$E$4:$E$220,PPTO_GENERADOR!$Q$4:$Q$220,A1380),SUMIFS(PPTO_GENERADOR!$E$4:$E$220,PPTO_GENERADOR!$Q$4:$Q$220,A1380,PPTO_GENERADOR!$B$4:$B$220,PLAN_ETAPA!$C$4))</f>
        <v>0</v>
      </c>
      <c r="M1380" s="216">
        <f>IFERROR(VLOOKUP(A1380,PARTIDAS!$A$2:$F$269,6,FALSE()),1)</f>
        <v>1</v>
      </c>
      <c r="N1380" s="216">
        <f>IFERROR(VLOOKUP(A1380,PARTIDAS!$A$2:$I$269,9,FALSE()),1)</f>
        <v>1</v>
      </c>
      <c r="O1380" s="217">
        <f t="shared" si="42"/>
        <v>0</v>
      </c>
      <c r="P1380" s="216">
        <f>IF(O1380=0,0,IF(B1380="MAT",G1380*(1+H1380)*L1380*PLAN_ETAPA!$C$5,IF(B1380="MO",IF(M1380=0,0,G1380*L1380*PLAN_ETAPA!$C$5*N1380/M1380),IF(B1380="EQ",IF(M1380=0,0,G1380*L1380*PLAN_ETAPA!$C$5/M1380),0))))</f>
        <v>0</v>
      </c>
      <c r="Q1380" s="218">
        <f t="shared" si="43"/>
        <v>0</v>
      </c>
    </row>
    <row r="1381" spans="1:17" x14ac:dyDescent="0.35">
      <c r="A1381" s="212" t="str">
        <f>COMPOSICIÓN!A1381</f>
        <v>PTO-1511</v>
      </c>
      <c r="B1381" s="212" t="str">
        <f>COMPOSICIÓN!B1381</f>
        <v>MAT</v>
      </c>
      <c r="C1381" s="212" t="str">
        <f>COMPOSICIÓN!C1381</f>
        <v>OTR</v>
      </c>
      <c r="D1381" s="212" t="str">
        <f>COMPOSICIÓN!D1381</f>
        <v>OTR-022</v>
      </c>
      <c r="E1381" s="212" t="str">
        <f>COMPOSICIÓN!E1381</f>
        <v>Aguarras Hydrarras Hydra x 18lts</v>
      </c>
      <c r="F1381" s="212" t="str">
        <f>COMPOSICIÓN!F1381</f>
        <v>b</v>
      </c>
      <c r="G1381" s="213">
        <f>COMPOSICIÓN!G1381</f>
        <v>2.27188356164384E-2</v>
      </c>
      <c r="H1381" s="214">
        <f>COMPOSICIÓN!H1381</f>
        <v>0.1</v>
      </c>
      <c r="I1381" s="215">
        <f>COMPOSICIÓN!I1381</f>
        <v>26907.33</v>
      </c>
      <c r="J1381" s="212" t="str">
        <f>IFERROR(VLOOKUP(A1381,PARTIDAS!$A$2:$C$269,3,FALSE()),"")</f>
        <v>PINTURA</v>
      </c>
      <c r="K1381" s="212" t="str">
        <f>IFERROR(INDEX(PPTO_GENERADOR!$B$4:$B$220,MATCH(A1381,PPTO_GENERADOR!$Q$4:$Q$220,0)),"")</f>
        <v>PINTURA</v>
      </c>
      <c r="L1381" s="216">
        <f>IF(PLAN_ETAPA!$C$4="(TODOS)",SUMIFS(PPTO_GENERADOR!$E$4:$E$220,PPTO_GENERADOR!$Q$4:$Q$220,A1381),SUMIFS(PPTO_GENERADOR!$E$4:$E$220,PPTO_GENERADOR!$Q$4:$Q$220,A1381,PPTO_GENERADOR!$B$4:$B$220,PLAN_ETAPA!$C$4))</f>
        <v>0</v>
      </c>
      <c r="M1381" s="216">
        <f>IFERROR(VLOOKUP(A1381,PARTIDAS!$A$2:$F$269,6,FALSE()),1)</f>
        <v>1</v>
      </c>
      <c r="N1381" s="216">
        <f>IFERROR(VLOOKUP(A1381,PARTIDAS!$A$2:$I$269,9,FALSE()),1)</f>
        <v>1</v>
      </c>
      <c r="O1381" s="217">
        <f t="shared" si="42"/>
        <v>0</v>
      </c>
      <c r="P1381" s="216">
        <f>IF(O1381=0,0,IF(B1381="MAT",G1381*(1+H1381)*L1381*PLAN_ETAPA!$C$5,IF(B1381="MO",IF(M1381=0,0,G1381*L1381*PLAN_ETAPA!$C$5*N1381/M1381),IF(B1381="EQ",IF(M1381=0,0,G1381*L1381*PLAN_ETAPA!$C$5/M1381),0))))</f>
        <v>0</v>
      </c>
      <c r="Q1381" s="218">
        <f t="shared" si="43"/>
        <v>0</v>
      </c>
    </row>
    <row r="1382" spans="1:17" x14ac:dyDescent="0.35">
      <c r="A1382" s="212" t="str">
        <f>COMPOSICIÓN!A1382</f>
        <v>PTO-1511</v>
      </c>
      <c r="B1382" s="212" t="str">
        <f>COMPOSICIÓN!B1382</f>
        <v>MAT</v>
      </c>
      <c r="C1382" s="212" t="str">
        <f>COMPOSICIÓN!C1382</f>
        <v>OTR</v>
      </c>
      <c r="D1382" s="212" t="str">
        <f>COMPOSICIÓN!D1382</f>
        <v>OTR-023</v>
      </c>
      <c r="E1382" s="212" t="str">
        <f>COMPOSICIÓN!E1382</f>
        <v>Lija 180 al agua x 10u</v>
      </c>
      <c r="F1382" s="212" t="str">
        <f>COMPOSICIÓN!F1382</f>
        <v>u</v>
      </c>
      <c r="G1382" s="213">
        <f>COMPOSICIÓN!G1382</f>
        <v>9.0875342465753406E-2</v>
      </c>
      <c r="H1382" s="214">
        <f>COMPOSICIÓN!H1382</f>
        <v>0.05</v>
      </c>
      <c r="I1382" s="215">
        <f>COMPOSICIÓN!I1382</f>
        <v>5661.4</v>
      </c>
      <c r="J1382" s="212" t="str">
        <f>IFERROR(VLOOKUP(A1382,PARTIDAS!$A$2:$C$269,3,FALSE()),"")</f>
        <v>PINTURA</v>
      </c>
      <c r="K1382" s="212" t="str">
        <f>IFERROR(INDEX(PPTO_GENERADOR!$B$4:$B$220,MATCH(A1382,PPTO_GENERADOR!$Q$4:$Q$220,0)),"")</f>
        <v>PINTURA</v>
      </c>
      <c r="L1382" s="216">
        <f>IF(PLAN_ETAPA!$C$4="(TODOS)",SUMIFS(PPTO_GENERADOR!$E$4:$E$220,PPTO_GENERADOR!$Q$4:$Q$220,A1382),SUMIFS(PPTO_GENERADOR!$E$4:$E$220,PPTO_GENERADOR!$Q$4:$Q$220,A1382,PPTO_GENERADOR!$B$4:$B$220,PLAN_ETAPA!$C$4))</f>
        <v>0</v>
      </c>
      <c r="M1382" s="216">
        <f>IFERROR(VLOOKUP(A1382,PARTIDAS!$A$2:$F$269,6,FALSE()),1)</f>
        <v>1</v>
      </c>
      <c r="N1382" s="216">
        <f>IFERROR(VLOOKUP(A1382,PARTIDAS!$A$2:$I$269,9,FALSE()),1)</f>
        <v>1</v>
      </c>
      <c r="O1382" s="217">
        <f t="shared" si="42"/>
        <v>0</v>
      </c>
      <c r="P1382" s="216">
        <f>IF(O1382=0,0,IF(B1382="MAT",G1382*(1+H1382)*L1382*PLAN_ETAPA!$C$5,IF(B1382="MO",IF(M1382=0,0,G1382*L1382*PLAN_ETAPA!$C$5*N1382/M1382),IF(B1382="EQ",IF(M1382=0,0,G1382*L1382*PLAN_ETAPA!$C$5/M1382),0))))</f>
        <v>0</v>
      </c>
      <c r="Q1382" s="218">
        <f t="shared" si="43"/>
        <v>0</v>
      </c>
    </row>
    <row r="1383" spans="1:17" x14ac:dyDescent="0.35">
      <c r="A1383" s="212" t="str">
        <f>COMPOSICIÓN!A1383</f>
        <v>PTO-1511</v>
      </c>
      <c r="B1383" s="212" t="str">
        <f>COMPOSICIÓN!B1383</f>
        <v>MAT</v>
      </c>
      <c r="C1383" s="212" t="str">
        <f>COMPOSICIÓN!C1383</f>
        <v>OTR</v>
      </c>
      <c r="D1383" s="212" t="str">
        <f>COMPOSICIÓN!D1383</f>
        <v>OTR-024</v>
      </c>
      <c r="E1383" s="212" t="str">
        <f>COMPOSICIÓN!E1383</f>
        <v>Cinta de Papel 36 mm x 40m</v>
      </c>
      <c r="F1383" s="212" t="str">
        <f>COMPOSICIÓN!F1383</f>
        <v>u</v>
      </c>
      <c r="G1383" s="213">
        <f>COMPOSICIÓN!G1383</f>
        <v>0.22718835616438399</v>
      </c>
      <c r="H1383" s="214">
        <f>COMPOSICIÓN!H1383</f>
        <v>0.1</v>
      </c>
      <c r="I1383" s="215">
        <f>COMPOSICIÓN!I1383</f>
        <v>3293.01</v>
      </c>
      <c r="J1383" s="212" t="str">
        <f>IFERROR(VLOOKUP(A1383,PARTIDAS!$A$2:$C$269,3,FALSE()),"")</f>
        <v>PINTURA</v>
      </c>
      <c r="K1383" s="212" t="str">
        <f>IFERROR(INDEX(PPTO_GENERADOR!$B$4:$B$220,MATCH(A1383,PPTO_GENERADOR!$Q$4:$Q$220,0)),"")</f>
        <v>PINTURA</v>
      </c>
      <c r="L1383" s="216">
        <f>IF(PLAN_ETAPA!$C$4="(TODOS)",SUMIFS(PPTO_GENERADOR!$E$4:$E$220,PPTO_GENERADOR!$Q$4:$Q$220,A1383),SUMIFS(PPTO_GENERADOR!$E$4:$E$220,PPTO_GENERADOR!$Q$4:$Q$220,A1383,PPTO_GENERADOR!$B$4:$B$220,PLAN_ETAPA!$C$4))</f>
        <v>0</v>
      </c>
      <c r="M1383" s="216">
        <f>IFERROR(VLOOKUP(A1383,PARTIDAS!$A$2:$F$269,6,FALSE()),1)</f>
        <v>1</v>
      </c>
      <c r="N1383" s="216">
        <f>IFERROR(VLOOKUP(A1383,PARTIDAS!$A$2:$I$269,9,FALSE()),1)</f>
        <v>1</v>
      </c>
      <c r="O1383" s="217">
        <f t="shared" si="42"/>
        <v>0</v>
      </c>
      <c r="P1383" s="216">
        <f>IF(O1383=0,0,IF(B1383="MAT",G1383*(1+H1383)*L1383*PLAN_ETAPA!$C$5,IF(B1383="MO",IF(M1383=0,0,G1383*L1383*PLAN_ETAPA!$C$5*N1383/M1383),IF(B1383="EQ",IF(M1383=0,0,G1383*L1383*PLAN_ETAPA!$C$5/M1383),0))))</f>
        <v>0</v>
      </c>
      <c r="Q1383" s="218">
        <f t="shared" si="43"/>
        <v>0</v>
      </c>
    </row>
    <row r="1384" spans="1:17" x14ac:dyDescent="0.35">
      <c r="A1384" s="212" t="str">
        <f>COMPOSICIÓN!A1384</f>
        <v>PTO-1511</v>
      </c>
      <c r="B1384" s="212" t="str">
        <f>COMPOSICIÓN!B1384</f>
        <v>MAT</v>
      </c>
      <c r="C1384" s="212" t="str">
        <f>COMPOSICIÓN!C1384</f>
        <v>OTR</v>
      </c>
      <c r="D1384" s="212" t="str">
        <f>COMPOSICIÓN!D1384</f>
        <v>OTR-025</v>
      </c>
      <c r="E1384" s="212" t="str">
        <f>COMPOSICIÓN!E1384</f>
        <v>Trapo</v>
      </c>
      <c r="F1384" s="212" t="str">
        <f>COMPOSICIÓN!F1384</f>
        <v>u</v>
      </c>
      <c r="G1384" s="213">
        <f>COMPOSICIÓN!G1384</f>
        <v>4.5437671232876703E-2</v>
      </c>
      <c r="H1384" s="214">
        <f>COMPOSICIÓN!H1384</f>
        <v>0.05</v>
      </c>
      <c r="I1384" s="215">
        <f>COMPOSICIÓN!I1384</f>
        <v>735.06</v>
      </c>
      <c r="J1384" s="212" t="str">
        <f>IFERROR(VLOOKUP(A1384,PARTIDAS!$A$2:$C$269,3,FALSE()),"")</f>
        <v>PINTURA</v>
      </c>
      <c r="K1384" s="212" t="str">
        <f>IFERROR(INDEX(PPTO_GENERADOR!$B$4:$B$220,MATCH(A1384,PPTO_GENERADOR!$Q$4:$Q$220,0)),"")</f>
        <v>PINTURA</v>
      </c>
      <c r="L1384" s="216">
        <f>IF(PLAN_ETAPA!$C$4="(TODOS)",SUMIFS(PPTO_GENERADOR!$E$4:$E$220,PPTO_GENERADOR!$Q$4:$Q$220,A1384),SUMIFS(PPTO_GENERADOR!$E$4:$E$220,PPTO_GENERADOR!$Q$4:$Q$220,A1384,PPTO_GENERADOR!$B$4:$B$220,PLAN_ETAPA!$C$4))</f>
        <v>0</v>
      </c>
      <c r="M1384" s="216">
        <f>IFERROR(VLOOKUP(A1384,PARTIDAS!$A$2:$F$269,6,FALSE()),1)</f>
        <v>1</v>
      </c>
      <c r="N1384" s="216">
        <f>IFERROR(VLOOKUP(A1384,PARTIDAS!$A$2:$I$269,9,FALSE()),1)</f>
        <v>1</v>
      </c>
      <c r="O1384" s="217">
        <f t="shared" si="42"/>
        <v>0</v>
      </c>
      <c r="P1384" s="216">
        <f>IF(O1384=0,0,IF(B1384="MAT",G1384*(1+H1384)*L1384*PLAN_ETAPA!$C$5,IF(B1384="MO",IF(M1384=0,0,G1384*L1384*PLAN_ETAPA!$C$5*N1384/M1384),IF(B1384="EQ",IF(M1384=0,0,G1384*L1384*PLAN_ETAPA!$C$5/M1384),0))))</f>
        <v>0</v>
      </c>
      <c r="Q1384" s="218">
        <f t="shared" si="43"/>
        <v>0</v>
      </c>
    </row>
    <row r="1385" spans="1:17" x14ac:dyDescent="0.35">
      <c r="A1385" s="212" t="str">
        <f>COMPOSICIÓN!A1385</f>
        <v>PTO-1511</v>
      </c>
      <c r="B1385" s="212" t="str">
        <f>COMPOSICIÓN!B1385</f>
        <v>MAT</v>
      </c>
      <c r="C1385" s="212" t="str">
        <f>COMPOSICIÓN!C1385</f>
        <v>OTR</v>
      </c>
      <c r="D1385" s="212" t="str">
        <f>COMPOSICIÓN!D1385</f>
        <v>OTR-027</v>
      </c>
      <c r="E1385" s="212" t="str">
        <f>COMPOSICIÓN!E1385</f>
        <v>Rodillo de lana pelo largo N°22 - El Galgo</v>
      </c>
      <c r="F1385" s="212" t="str">
        <f>COMPOSICIÓN!F1385</f>
        <v>u</v>
      </c>
      <c r="G1385" s="213">
        <f>COMPOSICIÓN!G1385</f>
        <v>4.5437671232876703E-2</v>
      </c>
      <c r="H1385" s="214">
        <f>COMPOSICIÓN!H1385</f>
        <v>0.05</v>
      </c>
      <c r="I1385" s="215">
        <f>COMPOSICIÓN!I1385</f>
        <v>6678.36</v>
      </c>
      <c r="J1385" s="212" t="str">
        <f>IFERROR(VLOOKUP(A1385,PARTIDAS!$A$2:$C$269,3,FALSE()),"")</f>
        <v>PINTURA</v>
      </c>
      <c r="K1385" s="212" t="str">
        <f>IFERROR(INDEX(PPTO_GENERADOR!$B$4:$B$220,MATCH(A1385,PPTO_GENERADOR!$Q$4:$Q$220,0)),"")</f>
        <v>PINTURA</v>
      </c>
      <c r="L1385" s="216">
        <f>IF(PLAN_ETAPA!$C$4="(TODOS)",SUMIFS(PPTO_GENERADOR!$E$4:$E$220,PPTO_GENERADOR!$Q$4:$Q$220,A1385),SUMIFS(PPTO_GENERADOR!$E$4:$E$220,PPTO_GENERADOR!$Q$4:$Q$220,A1385,PPTO_GENERADOR!$B$4:$B$220,PLAN_ETAPA!$C$4))</f>
        <v>0</v>
      </c>
      <c r="M1385" s="216">
        <f>IFERROR(VLOOKUP(A1385,PARTIDAS!$A$2:$F$269,6,FALSE()),1)</f>
        <v>1</v>
      </c>
      <c r="N1385" s="216">
        <f>IFERROR(VLOOKUP(A1385,PARTIDAS!$A$2:$I$269,9,FALSE()),1)</f>
        <v>1</v>
      </c>
      <c r="O1385" s="217">
        <f t="shared" si="42"/>
        <v>0</v>
      </c>
      <c r="P1385" s="216">
        <f>IF(O1385=0,0,IF(B1385="MAT",G1385*(1+H1385)*L1385*PLAN_ETAPA!$C$5,IF(B1385="MO",IF(M1385=0,0,G1385*L1385*PLAN_ETAPA!$C$5*N1385/M1385),IF(B1385="EQ",IF(M1385=0,0,G1385*L1385*PLAN_ETAPA!$C$5/M1385),0))))</f>
        <v>0</v>
      </c>
      <c r="Q1385" s="218">
        <f t="shared" si="43"/>
        <v>0</v>
      </c>
    </row>
    <row r="1386" spans="1:17" x14ac:dyDescent="0.35">
      <c r="A1386" s="212" t="str">
        <f>COMPOSICIÓN!A1386</f>
        <v>PTO-1511</v>
      </c>
      <c r="B1386" s="212" t="str">
        <f>COMPOSICIÓN!B1386</f>
        <v>MAT</v>
      </c>
      <c r="C1386" s="212" t="str">
        <f>COMPOSICIÓN!C1386</f>
        <v>OTR</v>
      </c>
      <c r="D1386" s="212" t="str">
        <f>COMPOSICIÓN!D1386</f>
        <v>OTR-028</v>
      </c>
      <c r="E1386" s="212" t="str">
        <f>COMPOSICIÓN!E1386</f>
        <v>Pincel N° 20 - El Galgo</v>
      </c>
      <c r="F1386" s="212" t="str">
        <f>COMPOSICIÓN!F1386</f>
        <v>u</v>
      </c>
      <c r="G1386" s="213">
        <f>COMPOSICIÓN!G1386</f>
        <v>4.5437671232876703E-2</v>
      </c>
      <c r="H1386" s="214">
        <f>COMPOSICIÓN!H1386</f>
        <v>0.05</v>
      </c>
      <c r="I1386" s="215">
        <f>COMPOSICIÓN!I1386</f>
        <v>5282.24</v>
      </c>
      <c r="J1386" s="212" t="str">
        <f>IFERROR(VLOOKUP(A1386,PARTIDAS!$A$2:$C$269,3,FALSE()),"")</f>
        <v>PINTURA</v>
      </c>
      <c r="K1386" s="212" t="str">
        <f>IFERROR(INDEX(PPTO_GENERADOR!$B$4:$B$220,MATCH(A1386,PPTO_GENERADOR!$Q$4:$Q$220,0)),"")</f>
        <v>PINTURA</v>
      </c>
      <c r="L1386" s="216">
        <f>IF(PLAN_ETAPA!$C$4="(TODOS)",SUMIFS(PPTO_GENERADOR!$E$4:$E$220,PPTO_GENERADOR!$Q$4:$Q$220,A1386),SUMIFS(PPTO_GENERADOR!$E$4:$E$220,PPTO_GENERADOR!$Q$4:$Q$220,A1386,PPTO_GENERADOR!$B$4:$B$220,PLAN_ETAPA!$C$4))</f>
        <v>0</v>
      </c>
      <c r="M1386" s="216">
        <f>IFERROR(VLOOKUP(A1386,PARTIDAS!$A$2:$F$269,6,FALSE()),1)</f>
        <v>1</v>
      </c>
      <c r="N1386" s="216">
        <f>IFERROR(VLOOKUP(A1386,PARTIDAS!$A$2:$I$269,9,FALSE()),1)</f>
        <v>1</v>
      </c>
      <c r="O1386" s="217">
        <f t="shared" si="42"/>
        <v>0</v>
      </c>
      <c r="P1386" s="216">
        <f>IF(O1386=0,0,IF(B1386="MAT",G1386*(1+H1386)*L1386*PLAN_ETAPA!$C$5,IF(B1386="MO",IF(M1386=0,0,G1386*L1386*PLAN_ETAPA!$C$5*N1386/M1386),IF(B1386="EQ",IF(M1386=0,0,G1386*L1386*PLAN_ETAPA!$C$5/M1386),0))))</f>
        <v>0</v>
      </c>
      <c r="Q1386" s="218">
        <f t="shared" si="43"/>
        <v>0</v>
      </c>
    </row>
    <row r="1387" spans="1:17" x14ac:dyDescent="0.35">
      <c r="A1387" s="212" t="str">
        <f>COMPOSICIÓN!A1387</f>
        <v>PTO-1511</v>
      </c>
      <c r="B1387" s="212" t="str">
        <f>COMPOSICIÓN!B1387</f>
        <v>MAT</v>
      </c>
      <c r="C1387" s="212" t="str">
        <f>COMPOSICIÓN!C1387</f>
        <v>OTR</v>
      </c>
      <c r="D1387" s="212" t="str">
        <f>COMPOSICIÓN!D1387</f>
        <v>OTR-029</v>
      </c>
      <c r="E1387" s="212" t="str">
        <f>COMPOSICIÓN!E1387</f>
        <v>Rollo de cartón corrugado 0,90 x 25 mts</v>
      </c>
      <c r="F1387" s="212" t="str">
        <f>COMPOSICIÓN!F1387</f>
        <v>u</v>
      </c>
      <c r="G1387" s="213">
        <f>COMPOSICIÓN!G1387</f>
        <v>4.5437671232876703E-2</v>
      </c>
      <c r="H1387" s="214">
        <f>COMPOSICIÓN!H1387</f>
        <v>0.05</v>
      </c>
      <c r="I1387" s="215">
        <f>COMPOSICIÓN!I1387</f>
        <v>7427.6</v>
      </c>
      <c r="J1387" s="212" t="str">
        <f>IFERROR(VLOOKUP(A1387,PARTIDAS!$A$2:$C$269,3,FALSE()),"")</f>
        <v>PINTURA</v>
      </c>
      <c r="K1387" s="212" t="str">
        <f>IFERROR(INDEX(PPTO_GENERADOR!$B$4:$B$220,MATCH(A1387,PPTO_GENERADOR!$Q$4:$Q$220,0)),"")</f>
        <v>PINTURA</v>
      </c>
      <c r="L1387" s="216">
        <f>IF(PLAN_ETAPA!$C$4="(TODOS)",SUMIFS(PPTO_GENERADOR!$E$4:$E$220,PPTO_GENERADOR!$Q$4:$Q$220,A1387),SUMIFS(PPTO_GENERADOR!$E$4:$E$220,PPTO_GENERADOR!$Q$4:$Q$220,A1387,PPTO_GENERADOR!$B$4:$B$220,PLAN_ETAPA!$C$4))</f>
        <v>0</v>
      </c>
      <c r="M1387" s="216">
        <f>IFERROR(VLOOKUP(A1387,PARTIDAS!$A$2:$F$269,6,FALSE()),1)</f>
        <v>1</v>
      </c>
      <c r="N1387" s="216">
        <f>IFERROR(VLOOKUP(A1387,PARTIDAS!$A$2:$I$269,9,FALSE()),1)</f>
        <v>1</v>
      </c>
      <c r="O1387" s="217">
        <f t="shared" si="42"/>
        <v>0</v>
      </c>
      <c r="P1387" s="216">
        <f>IF(O1387=0,0,IF(B1387="MAT",G1387*(1+H1387)*L1387*PLAN_ETAPA!$C$5,IF(B1387="MO",IF(M1387=0,0,G1387*L1387*PLAN_ETAPA!$C$5*N1387/M1387),IF(B1387="EQ",IF(M1387=0,0,G1387*L1387*PLAN_ETAPA!$C$5/M1387),0))))</f>
        <v>0</v>
      </c>
      <c r="Q1387" s="218">
        <f t="shared" si="43"/>
        <v>0</v>
      </c>
    </row>
    <row r="1388" spans="1:17" x14ac:dyDescent="0.35">
      <c r="A1388" s="212" t="str">
        <f>COMPOSICIÓN!A1388</f>
        <v>PTO-1511</v>
      </c>
      <c r="B1388" s="212" t="str">
        <f>COMPOSICIÓN!B1388</f>
        <v>MAT</v>
      </c>
      <c r="C1388" s="212" t="str">
        <f>COMPOSICIÓN!C1388</f>
        <v>OTR</v>
      </c>
      <c r="D1388" s="212" t="str">
        <f>COMPOSICIÓN!D1388</f>
        <v>PIN-006</v>
      </c>
      <c r="E1388" s="212" t="str">
        <f>COMPOSICIÓN!E1388</f>
        <v>Esmalte sintetico satinado Satinol Blanco x 4lts</v>
      </c>
      <c r="F1388" s="212" t="str">
        <f>COMPOSICIÓN!F1388</f>
        <v>b</v>
      </c>
      <c r="G1388" s="213">
        <f>COMPOSICIÓN!G1388</f>
        <v>0.28398544520548002</v>
      </c>
      <c r="H1388" s="214">
        <f>COMPOSICIÓN!H1388</f>
        <v>0.1</v>
      </c>
      <c r="I1388" s="215">
        <f>COMPOSICIÓN!I1388</f>
        <v>28011.57</v>
      </c>
      <c r="J1388" s="212" t="str">
        <f>IFERROR(VLOOKUP(A1388,PARTIDAS!$A$2:$C$269,3,FALSE()),"")</f>
        <v>PINTURA</v>
      </c>
      <c r="K1388" s="212" t="str">
        <f>IFERROR(INDEX(PPTO_GENERADOR!$B$4:$B$220,MATCH(A1388,PPTO_GENERADOR!$Q$4:$Q$220,0)),"")</f>
        <v>PINTURA</v>
      </c>
      <c r="L1388" s="216">
        <f>IF(PLAN_ETAPA!$C$4="(TODOS)",SUMIFS(PPTO_GENERADOR!$E$4:$E$220,PPTO_GENERADOR!$Q$4:$Q$220,A1388),SUMIFS(PPTO_GENERADOR!$E$4:$E$220,PPTO_GENERADOR!$Q$4:$Q$220,A1388,PPTO_GENERADOR!$B$4:$B$220,PLAN_ETAPA!$C$4))</f>
        <v>0</v>
      </c>
      <c r="M1388" s="216">
        <f>IFERROR(VLOOKUP(A1388,PARTIDAS!$A$2:$F$269,6,FALSE()),1)</f>
        <v>1</v>
      </c>
      <c r="N1388" s="216">
        <f>IFERROR(VLOOKUP(A1388,PARTIDAS!$A$2:$I$269,9,FALSE()),1)</f>
        <v>1</v>
      </c>
      <c r="O1388" s="217">
        <f t="shared" si="42"/>
        <v>0</v>
      </c>
      <c r="P1388" s="216">
        <f>IF(O1388=0,0,IF(B1388="MAT",G1388*(1+H1388)*L1388*PLAN_ETAPA!$C$5,IF(B1388="MO",IF(M1388=0,0,G1388*L1388*PLAN_ETAPA!$C$5*N1388/M1388),IF(B1388="EQ",IF(M1388=0,0,G1388*L1388*PLAN_ETAPA!$C$5/M1388),0))))</f>
        <v>0</v>
      </c>
      <c r="Q1388" s="218">
        <f t="shared" si="43"/>
        <v>0</v>
      </c>
    </row>
    <row r="1389" spans="1:17" x14ac:dyDescent="0.35">
      <c r="A1389" s="212" t="str">
        <f>COMPOSICIÓN!A1389</f>
        <v>PTO-1511</v>
      </c>
      <c r="B1389" s="212" t="str">
        <f>COMPOSICIÓN!B1389</f>
        <v>EQ</v>
      </c>
      <c r="C1389" s="212">
        <f>COMPOSICIÓN!C1389</f>
        <v>0</v>
      </c>
      <c r="D1389" s="212" t="str">
        <f>COMPOSICIÓN!D1389</f>
        <v>EQ-PTO075</v>
      </c>
      <c r="E1389" s="212" t="str">
        <f>COMPOSICIÓN!E1389</f>
        <v xml:space="preserve">Herramientas menores y consumibles - Esmalte sintetico en puertas color bco. - Puertas </v>
      </c>
      <c r="F1389" s="212">
        <f>COMPOSICIÓN!F1389</f>
        <v>0</v>
      </c>
      <c r="G1389" s="213">
        <f>COMPOSICIÓN!G1389</f>
        <v>1</v>
      </c>
      <c r="H1389" s="214">
        <f>COMPOSICIÓN!H1389</f>
        <v>0</v>
      </c>
      <c r="I1389" s="215">
        <f>COMPOSICIÓN!I1389</f>
        <v>924.64231650722797</v>
      </c>
      <c r="J1389" s="212" t="str">
        <f>IFERROR(VLOOKUP(A1389,PARTIDAS!$A$2:$C$269,3,FALSE()),"")</f>
        <v>PINTURA</v>
      </c>
      <c r="K1389" s="212" t="str">
        <f>IFERROR(INDEX(PPTO_GENERADOR!$B$4:$B$220,MATCH(A1389,PPTO_GENERADOR!$Q$4:$Q$220,0)),"")</f>
        <v>PINTURA</v>
      </c>
      <c r="L1389" s="216">
        <f>IF(PLAN_ETAPA!$C$4="(TODOS)",SUMIFS(PPTO_GENERADOR!$E$4:$E$220,PPTO_GENERADOR!$Q$4:$Q$220,A1389),SUMIFS(PPTO_GENERADOR!$E$4:$E$220,PPTO_GENERADOR!$Q$4:$Q$220,A1389,PPTO_GENERADOR!$B$4:$B$220,PLAN_ETAPA!$C$4))</f>
        <v>0</v>
      </c>
      <c r="M1389" s="216">
        <f>IFERROR(VLOOKUP(A1389,PARTIDAS!$A$2:$F$269,6,FALSE()),1)</f>
        <v>1</v>
      </c>
      <c r="N1389" s="216">
        <f>IFERROR(VLOOKUP(A1389,PARTIDAS!$A$2:$I$269,9,FALSE()),1)</f>
        <v>1</v>
      </c>
      <c r="O1389" s="217">
        <f t="shared" si="42"/>
        <v>0</v>
      </c>
      <c r="P1389" s="216">
        <f>IF(O1389=0,0,IF(B1389="MAT",G1389*(1+H1389)*L1389*PLAN_ETAPA!$C$5,IF(B1389="MO",IF(M1389=0,0,G1389*L1389*PLAN_ETAPA!$C$5*N1389/M1389),IF(B1389="EQ",IF(M1389=0,0,G1389*L1389*PLAN_ETAPA!$C$5/M1389),0))))</f>
        <v>0</v>
      </c>
      <c r="Q1389" s="218">
        <f t="shared" si="43"/>
        <v>0</v>
      </c>
    </row>
    <row r="1390" spans="1:17" x14ac:dyDescent="0.35">
      <c r="A1390" s="212" t="str">
        <f>COMPOSICIÓN!A1390</f>
        <v>PTO-1511</v>
      </c>
      <c r="B1390" s="212" t="str">
        <f>COMPOSICIÓN!B1390</f>
        <v>MO</v>
      </c>
      <c r="C1390" s="212" t="str">
        <f>COMPOSICIÓN!C1390</f>
        <v>OTR</v>
      </c>
      <c r="D1390" s="212" t="str">
        <f>COMPOSICIÓN!D1390</f>
        <v>SUB-PTO034</v>
      </c>
      <c r="E1390" s="212" t="str">
        <f>COMPOSICIÓN!E1390</f>
        <v>Esmalte sintetico</v>
      </c>
      <c r="F1390" s="212" t="str">
        <f>COMPOSICIÓN!F1390</f>
        <v>j</v>
      </c>
      <c r="G1390" s="213">
        <f>COMPOSICIÓN!G1390</f>
        <v>4.5437671232876697</v>
      </c>
      <c r="H1390" s="214">
        <f>COMPOSICIÓN!H1390</f>
        <v>0</v>
      </c>
      <c r="I1390" s="215">
        <f>COMPOSICIÓN!I1390</f>
        <v>10981.3720244489</v>
      </c>
      <c r="J1390" s="212" t="str">
        <f>IFERROR(VLOOKUP(A1390,PARTIDAS!$A$2:$C$269,3,FALSE()),"")</f>
        <v>PINTURA</v>
      </c>
      <c r="K1390" s="212" t="str">
        <f>IFERROR(INDEX(PPTO_GENERADOR!$B$4:$B$220,MATCH(A1390,PPTO_GENERADOR!$Q$4:$Q$220,0)),"")</f>
        <v>PINTURA</v>
      </c>
      <c r="L1390" s="216">
        <f>IF(PLAN_ETAPA!$C$4="(TODOS)",SUMIFS(PPTO_GENERADOR!$E$4:$E$220,PPTO_GENERADOR!$Q$4:$Q$220,A1390),SUMIFS(PPTO_GENERADOR!$E$4:$E$220,PPTO_GENERADOR!$Q$4:$Q$220,A1390,PPTO_GENERADOR!$B$4:$B$220,PLAN_ETAPA!$C$4))</f>
        <v>0</v>
      </c>
      <c r="M1390" s="216">
        <f>IFERROR(VLOOKUP(A1390,PARTIDAS!$A$2:$F$269,6,FALSE()),1)</f>
        <v>1</v>
      </c>
      <c r="N1390" s="216">
        <f>IFERROR(VLOOKUP(A1390,PARTIDAS!$A$2:$I$269,9,FALSE()),1)</f>
        <v>1</v>
      </c>
      <c r="O1390" s="217">
        <f t="shared" si="42"/>
        <v>0</v>
      </c>
      <c r="P1390" s="216">
        <f>IF(O1390=0,0,IF(B1390="MAT",G1390*(1+H1390)*L1390*PLAN_ETAPA!$C$5,IF(B1390="MO",IF(M1390=0,0,G1390*L1390*PLAN_ETAPA!$C$5*N1390/M1390),IF(B1390="EQ",IF(M1390=0,0,G1390*L1390*PLAN_ETAPA!$C$5/M1390),0))))</f>
        <v>0</v>
      </c>
      <c r="Q1390" s="218">
        <f t="shared" si="43"/>
        <v>0</v>
      </c>
    </row>
    <row r="1391" spans="1:17" x14ac:dyDescent="0.35">
      <c r="A1391" s="212" t="str">
        <f>COMPOSICIÓN!A1391</f>
        <v>PTO-1512</v>
      </c>
      <c r="B1391" s="212" t="str">
        <f>COMPOSICIÓN!B1391</f>
        <v>EQ</v>
      </c>
      <c r="C1391" s="212">
        <f>COMPOSICIÓN!C1391</f>
        <v>0</v>
      </c>
      <c r="D1391" s="212" t="str">
        <f>COMPOSICIÓN!D1391</f>
        <v>EQ-PTO076</v>
      </c>
      <c r="E1391" s="212" t="str">
        <f>COMPOSICIÓN!E1391</f>
        <v>Herramientas menores y consumibles - Esmalte sintético convertidor antioxido color negr</v>
      </c>
      <c r="F1391" s="212">
        <f>COMPOSICIÓN!F1391</f>
        <v>0</v>
      </c>
      <c r="G1391" s="213">
        <f>COMPOSICIÓN!G1391</f>
        <v>1</v>
      </c>
      <c r="H1391" s="214">
        <f>COMPOSICIÓN!H1391</f>
        <v>0</v>
      </c>
      <c r="I1391" s="215">
        <f>COMPOSICIÓN!I1391</f>
        <v>47531.971299682802</v>
      </c>
      <c r="J1391" s="212" t="str">
        <f>IFERROR(VLOOKUP(A1391,PARTIDAS!$A$2:$C$269,3,FALSE()),"")</f>
        <v>PINTURA</v>
      </c>
      <c r="K1391" s="212" t="str">
        <f>IFERROR(INDEX(PPTO_GENERADOR!$B$4:$B$220,MATCH(A1391,PPTO_GENERADOR!$Q$4:$Q$220,0)),"")</f>
        <v>PINTURA</v>
      </c>
      <c r="L1391" s="216">
        <f>IF(PLAN_ETAPA!$C$4="(TODOS)",SUMIFS(PPTO_GENERADOR!$E$4:$E$220,PPTO_GENERADOR!$Q$4:$Q$220,A1391),SUMIFS(PPTO_GENERADOR!$E$4:$E$220,PPTO_GENERADOR!$Q$4:$Q$220,A1391,PPTO_GENERADOR!$B$4:$B$220,PLAN_ETAPA!$C$4))</f>
        <v>0</v>
      </c>
      <c r="M1391" s="216">
        <f>IFERROR(VLOOKUP(A1391,PARTIDAS!$A$2:$F$269,6,FALSE()),1)</f>
        <v>1</v>
      </c>
      <c r="N1391" s="216">
        <f>IFERROR(VLOOKUP(A1391,PARTIDAS!$A$2:$I$269,9,FALSE()),1)</f>
        <v>1</v>
      </c>
      <c r="O1391" s="217">
        <f t="shared" si="42"/>
        <v>0</v>
      </c>
      <c r="P1391" s="216">
        <f>IF(O1391=0,0,IF(B1391="MAT",G1391*(1+H1391)*L1391*PLAN_ETAPA!$C$5,IF(B1391="MO",IF(M1391=0,0,G1391*L1391*PLAN_ETAPA!$C$5*N1391/M1391),IF(B1391="EQ",IF(M1391=0,0,G1391*L1391*PLAN_ETAPA!$C$5/M1391),0))))</f>
        <v>0</v>
      </c>
      <c r="Q1391" s="218">
        <f t="shared" si="43"/>
        <v>0</v>
      </c>
    </row>
    <row r="1392" spans="1:17" x14ac:dyDescent="0.35">
      <c r="A1392" s="212" t="str">
        <f>COMPOSICIÓN!A1392</f>
        <v>PTO-1512</v>
      </c>
      <c r="B1392" s="212" t="str">
        <f>COMPOSICIÓN!B1392</f>
        <v>MAT</v>
      </c>
      <c r="C1392" s="212" t="str">
        <f>COMPOSICIÓN!C1392</f>
        <v>OTR</v>
      </c>
      <c r="D1392" s="212" t="str">
        <f>COMPOSICIÓN!D1392</f>
        <v>OTR-022</v>
      </c>
      <c r="E1392" s="212" t="str">
        <f>COMPOSICIÓN!E1392</f>
        <v>Aguarras Hydrarras Hydra x 18lts</v>
      </c>
      <c r="F1392" s="212" t="str">
        <f>COMPOSICIÓN!F1392</f>
        <v>b</v>
      </c>
      <c r="G1392" s="213">
        <f>COMPOSICIÓN!G1392</f>
        <v>0.758544</v>
      </c>
      <c r="H1392" s="214">
        <f>COMPOSICIÓN!H1392</f>
        <v>0.1</v>
      </c>
      <c r="I1392" s="215">
        <f>COMPOSICIÓN!I1392</f>
        <v>26907.33</v>
      </c>
      <c r="J1392" s="212" t="str">
        <f>IFERROR(VLOOKUP(A1392,PARTIDAS!$A$2:$C$269,3,FALSE()),"")</f>
        <v>PINTURA</v>
      </c>
      <c r="K1392" s="212" t="str">
        <f>IFERROR(INDEX(PPTO_GENERADOR!$B$4:$B$220,MATCH(A1392,PPTO_GENERADOR!$Q$4:$Q$220,0)),"")</f>
        <v>PINTURA</v>
      </c>
      <c r="L1392" s="216">
        <f>IF(PLAN_ETAPA!$C$4="(TODOS)",SUMIFS(PPTO_GENERADOR!$E$4:$E$220,PPTO_GENERADOR!$Q$4:$Q$220,A1392),SUMIFS(PPTO_GENERADOR!$E$4:$E$220,PPTO_GENERADOR!$Q$4:$Q$220,A1392,PPTO_GENERADOR!$B$4:$B$220,PLAN_ETAPA!$C$4))</f>
        <v>0</v>
      </c>
      <c r="M1392" s="216">
        <f>IFERROR(VLOOKUP(A1392,PARTIDAS!$A$2:$F$269,6,FALSE()),1)</f>
        <v>1</v>
      </c>
      <c r="N1392" s="216">
        <f>IFERROR(VLOOKUP(A1392,PARTIDAS!$A$2:$I$269,9,FALSE()),1)</f>
        <v>1</v>
      </c>
      <c r="O1392" s="217">
        <f t="shared" si="42"/>
        <v>0</v>
      </c>
      <c r="P1392" s="216">
        <f>IF(O1392=0,0,IF(B1392="MAT",G1392*(1+H1392)*L1392*PLAN_ETAPA!$C$5,IF(B1392="MO",IF(M1392=0,0,G1392*L1392*PLAN_ETAPA!$C$5*N1392/M1392),IF(B1392="EQ",IF(M1392=0,0,G1392*L1392*PLAN_ETAPA!$C$5/M1392),0))))</f>
        <v>0</v>
      </c>
      <c r="Q1392" s="218">
        <f t="shared" si="43"/>
        <v>0</v>
      </c>
    </row>
    <row r="1393" spans="1:17" x14ac:dyDescent="0.35">
      <c r="A1393" s="212" t="str">
        <f>COMPOSICIÓN!A1393</f>
        <v>PTO-1512</v>
      </c>
      <c r="B1393" s="212" t="str">
        <f>COMPOSICIÓN!B1393</f>
        <v>MAT</v>
      </c>
      <c r="C1393" s="212" t="str">
        <f>COMPOSICIÓN!C1393</f>
        <v>OTR</v>
      </c>
      <c r="D1393" s="212" t="str">
        <f>COMPOSICIÓN!D1393</f>
        <v>OTR-023</v>
      </c>
      <c r="E1393" s="212" t="str">
        <f>COMPOSICIÓN!E1393</f>
        <v>Lija 180 al agua x 10u</v>
      </c>
      <c r="F1393" s="212" t="str">
        <f>COMPOSICIÓN!F1393</f>
        <v>u</v>
      </c>
      <c r="G1393" s="213">
        <f>COMPOSICIÓN!G1393</f>
        <v>3.034176</v>
      </c>
      <c r="H1393" s="214">
        <f>COMPOSICIÓN!H1393</f>
        <v>0.05</v>
      </c>
      <c r="I1393" s="215">
        <f>COMPOSICIÓN!I1393</f>
        <v>5661.4</v>
      </c>
      <c r="J1393" s="212" t="str">
        <f>IFERROR(VLOOKUP(A1393,PARTIDAS!$A$2:$C$269,3,FALSE()),"")</f>
        <v>PINTURA</v>
      </c>
      <c r="K1393" s="212" t="str">
        <f>IFERROR(INDEX(PPTO_GENERADOR!$B$4:$B$220,MATCH(A1393,PPTO_GENERADOR!$Q$4:$Q$220,0)),"")</f>
        <v>PINTURA</v>
      </c>
      <c r="L1393" s="216">
        <f>IF(PLAN_ETAPA!$C$4="(TODOS)",SUMIFS(PPTO_GENERADOR!$E$4:$E$220,PPTO_GENERADOR!$Q$4:$Q$220,A1393),SUMIFS(PPTO_GENERADOR!$E$4:$E$220,PPTO_GENERADOR!$Q$4:$Q$220,A1393,PPTO_GENERADOR!$B$4:$B$220,PLAN_ETAPA!$C$4))</f>
        <v>0</v>
      </c>
      <c r="M1393" s="216">
        <f>IFERROR(VLOOKUP(A1393,PARTIDAS!$A$2:$F$269,6,FALSE()),1)</f>
        <v>1</v>
      </c>
      <c r="N1393" s="216">
        <f>IFERROR(VLOOKUP(A1393,PARTIDAS!$A$2:$I$269,9,FALSE()),1)</f>
        <v>1</v>
      </c>
      <c r="O1393" s="217">
        <f t="shared" si="42"/>
        <v>0</v>
      </c>
      <c r="P1393" s="216">
        <f>IF(O1393=0,0,IF(B1393="MAT",G1393*(1+H1393)*L1393*PLAN_ETAPA!$C$5,IF(B1393="MO",IF(M1393=0,0,G1393*L1393*PLAN_ETAPA!$C$5*N1393/M1393),IF(B1393="EQ",IF(M1393=0,0,G1393*L1393*PLAN_ETAPA!$C$5/M1393),0))))</f>
        <v>0</v>
      </c>
      <c r="Q1393" s="218">
        <f t="shared" si="43"/>
        <v>0</v>
      </c>
    </row>
    <row r="1394" spans="1:17" x14ac:dyDescent="0.35">
      <c r="A1394" s="212" t="str">
        <f>COMPOSICIÓN!A1394</f>
        <v>PTO-1512</v>
      </c>
      <c r="B1394" s="212" t="str">
        <f>COMPOSICIÓN!B1394</f>
        <v>MAT</v>
      </c>
      <c r="C1394" s="212" t="str">
        <f>COMPOSICIÓN!C1394</f>
        <v>OTR</v>
      </c>
      <c r="D1394" s="212" t="str">
        <f>COMPOSICIÓN!D1394</f>
        <v>OTR-024</v>
      </c>
      <c r="E1394" s="212" t="str">
        <f>COMPOSICIÓN!E1394</f>
        <v>Cinta de Papel 36 mm x 40m</v>
      </c>
      <c r="F1394" s="212" t="str">
        <f>COMPOSICIÓN!F1394</f>
        <v>u</v>
      </c>
      <c r="G1394" s="213">
        <f>COMPOSICIÓN!G1394</f>
        <v>7.5854400000000002</v>
      </c>
      <c r="H1394" s="214">
        <f>COMPOSICIÓN!H1394</f>
        <v>0.1</v>
      </c>
      <c r="I1394" s="215">
        <f>COMPOSICIÓN!I1394</f>
        <v>3293.01</v>
      </c>
      <c r="J1394" s="212" t="str">
        <f>IFERROR(VLOOKUP(A1394,PARTIDAS!$A$2:$C$269,3,FALSE()),"")</f>
        <v>PINTURA</v>
      </c>
      <c r="K1394" s="212" t="str">
        <f>IFERROR(INDEX(PPTO_GENERADOR!$B$4:$B$220,MATCH(A1394,PPTO_GENERADOR!$Q$4:$Q$220,0)),"")</f>
        <v>PINTURA</v>
      </c>
      <c r="L1394" s="216">
        <f>IF(PLAN_ETAPA!$C$4="(TODOS)",SUMIFS(PPTO_GENERADOR!$E$4:$E$220,PPTO_GENERADOR!$Q$4:$Q$220,A1394),SUMIFS(PPTO_GENERADOR!$E$4:$E$220,PPTO_GENERADOR!$Q$4:$Q$220,A1394,PPTO_GENERADOR!$B$4:$B$220,PLAN_ETAPA!$C$4))</f>
        <v>0</v>
      </c>
      <c r="M1394" s="216">
        <f>IFERROR(VLOOKUP(A1394,PARTIDAS!$A$2:$F$269,6,FALSE()),1)</f>
        <v>1</v>
      </c>
      <c r="N1394" s="216">
        <f>IFERROR(VLOOKUP(A1394,PARTIDAS!$A$2:$I$269,9,FALSE()),1)</f>
        <v>1</v>
      </c>
      <c r="O1394" s="217">
        <f t="shared" si="42"/>
        <v>0</v>
      </c>
      <c r="P1394" s="216">
        <f>IF(O1394=0,0,IF(B1394="MAT",G1394*(1+H1394)*L1394*PLAN_ETAPA!$C$5,IF(B1394="MO",IF(M1394=0,0,G1394*L1394*PLAN_ETAPA!$C$5*N1394/M1394),IF(B1394="EQ",IF(M1394=0,0,G1394*L1394*PLAN_ETAPA!$C$5/M1394),0))))</f>
        <v>0</v>
      </c>
      <c r="Q1394" s="218">
        <f t="shared" si="43"/>
        <v>0</v>
      </c>
    </row>
    <row r="1395" spans="1:17" x14ac:dyDescent="0.35">
      <c r="A1395" s="212" t="str">
        <f>COMPOSICIÓN!A1395</f>
        <v>PTO-1512</v>
      </c>
      <c r="B1395" s="212" t="str">
        <f>COMPOSICIÓN!B1395</f>
        <v>MAT</v>
      </c>
      <c r="C1395" s="212" t="str">
        <f>COMPOSICIÓN!C1395</f>
        <v>OTR</v>
      </c>
      <c r="D1395" s="212" t="str">
        <f>COMPOSICIÓN!D1395</f>
        <v>OTR-025</v>
      </c>
      <c r="E1395" s="212" t="str">
        <f>COMPOSICIÓN!E1395</f>
        <v>Trapo</v>
      </c>
      <c r="F1395" s="212" t="str">
        <f>COMPOSICIÓN!F1395</f>
        <v>u</v>
      </c>
      <c r="G1395" s="213">
        <f>COMPOSICIÓN!G1395</f>
        <v>1.517088</v>
      </c>
      <c r="H1395" s="214">
        <f>COMPOSICIÓN!H1395</f>
        <v>0.05</v>
      </c>
      <c r="I1395" s="215">
        <f>COMPOSICIÓN!I1395</f>
        <v>735.06</v>
      </c>
      <c r="J1395" s="212" t="str">
        <f>IFERROR(VLOOKUP(A1395,PARTIDAS!$A$2:$C$269,3,FALSE()),"")</f>
        <v>PINTURA</v>
      </c>
      <c r="K1395" s="212" t="str">
        <f>IFERROR(INDEX(PPTO_GENERADOR!$B$4:$B$220,MATCH(A1395,PPTO_GENERADOR!$Q$4:$Q$220,0)),"")</f>
        <v>PINTURA</v>
      </c>
      <c r="L1395" s="216">
        <f>IF(PLAN_ETAPA!$C$4="(TODOS)",SUMIFS(PPTO_GENERADOR!$E$4:$E$220,PPTO_GENERADOR!$Q$4:$Q$220,A1395),SUMIFS(PPTO_GENERADOR!$E$4:$E$220,PPTO_GENERADOR!$Q$4:$Q$220,A1395,PPTO_GENERADOR!$B$4:$B$220,PLAN_ETAPA!$C$4))</f>
        <v>0</v>
      </c>
      <c r="M1395" s="216">
        <f>IFERROR(VLOOKUP(A1395,PARTIDAS!$A$2:$F$269,6,FALSE()),1)</f>
        <v>1</v>
      </c>
      <c r="N1395" s="216">
        <f>IFERROR(VLOOKUP(A1395,PARTIDAS!$A$2:$I$269,9,FALSE()),1)</f>
        <v>1</v>
      </c>
      <c r="O1395" s="217">
        <f t="shared" si="42"/>
        <v>0</v>
      </c>
      <c r="P1395" s="216">
        <f>IF(O1395=0,0,IF(B1395="MAT",G1395*(1+H1395)*L1395*PLAN_ETAPA!$C$5,IF(B1395="MO",IF(M1395=0,0,G1395*L1395*PLAN_ETAPA!$C$5*N1395/M1395),IF(B1395="EQ",IF(M1395=0,0,G1395*L1395*PLAN_ETAPA!$C$5/M1395),0))))</f>
        <v>0</v>
      </c>
      <c r="Q1395" s="218">
        <f t="shared" si="43"/>
        <v>0</v>
      </c>
    </row>
    <row r="1396" spans="1:17" x14ac:dyDescent="0.35">
      <c r="A1396" s="212" t="str">
        <f>COMPOSICIÓN!A1396</f>
        <v>PTO-1512</v>
      </c>
      <c r="B1396" s="212" t="str">
        <f>COMPOSICIÓN!B1396</f>
        <v>MAT</v>
      </c>
      <c r="C1396" s="212" t="str">
        <f>COMPOSICIÓN!C1396</f>
        <v>OTR</v>
      </c>
      <c r="D1396" s="212" t="str">
        <f>COMPOSICIÓN!D1396</f>
        <v>OTR-027</v>
      </c>
      <c r="E1396" s="212" t="str">
        <f>COMPOSICIÓN!E1396</f>
        <v>Rodillo de lana pelo largo N°22 - El Galgo</v>
      </c>
      <c r="F1396" s="212" t="str">
        <f>COMPOSICIÓN!F1396</f>
        <v>u</v>
      </c>
      <c r="G1396" s="213">
        <f>COMPOSICIÓN!G1396</f>
        <v>1.517088</v>
      </c>
      <c r="H1396" s="214">
        <f>COMPOSICIÓN!H1396</f>
        <v>0.05</v>
      </c>
      <c r="I1396" s="215">
        <f>COMPOSICIÓN!I1396</f>
        <v>6678.36</v>
      </c>
      <c r="J1396" s="212" t="str">
        <f>IFERROR(VLOOKUP(A1396,PARTIDAS!$A$2:$C$269,3,FALSE()),"")</f>
        <v>PINTURA</v>
      </c>
      <c r="K1396" s="212" t="str">
        <f>IFERROR(INDEX(PPTO_GENERADOR!$B$4:$B$220,MATCH(A1396,PPTO_GENERADOR!$Q$4:$Q$220,0)),"")</f>
        <v>PINTURA</v>
      </c>
      <c r="L1396" s="216">
        <f>IF(PLAN_ETAPA!$C$4="(TODOS)",SUMIFS(PPTO_GENERADOR!$E$4:$E$220,PPTO_GENERADOR!$Q$4:$Q$220,A1396),SUMIFS(PPTO_GENERADOR!$E$4:$E$220,PPTO_GENERADOR!$Q$4:$Q$220,A1396,PPTO_GENERADOR!$B$4:$B$220,PLAN_ETAPA!$C$4))</f>
        <v>0</v>
      </c>
      <c r="M1396" s="216">
        <f>IFERROR(VLOOKUP(A1396,PARTIDAS!$A$2:$F$269,6,FALSE()),1)</f>
        <v>1</v>
      </c>
      <c r="N1396" s="216">
        <f>IFERROR(VLOOKUP(A1396,PARTIDAS!$A$2:$I$269,9,FALSE()),1)</f>
        <v>1</v>
      </c>
      <c r="O1396" s="217">
        <f t="shared" si="42"/>
        <v>0</v>
      </c>
      <c r="P1396" s="216">
        <f>IF(O1396=0,0,IF(B1396="MAT",G1396*(1+H1396)*L1396*PLAN_ETAPA!$C$5,IF(B1396="MO",IF(M1396=0,0,G1396*L1396*PLAN_ETAPA!$C$5*N1396/M1396),IF(B1396="EQ",IF(M1396=0,0,G1396*L1396*PLAN_ETAPA!$C$5/M1396),0))))</f>
        <v>0</v>
      </c>
      <c r="Q1396" s="218">
        <f t="shared" si="43"/>
        <v>0</v>
      </c>
    </row>
    <row r="1397" spans="1:17" x14ac:dyDescent="0.35">
      <c r="A1397" s="212" t="str">
        <f>COMPOSICIÓN!A1397</f>
        <v>PTO-1512</v>
      </c>
      <c r="B1397" s="212" t="str">
        <f>COMPOSICIÓN!B1397</f>
        <v>MAT</v>
      </c>
      <c r="C1397" s="212" t="str">
        <f>COMPOSICIÓN!C1397</f>
        <v>OTR</v>
      </c>
      <c r="D1397" s="212" t="str">
        <f>COMPOSICIÓN!D1397</f>
        <v>OTR-028</v>
      </c>
      <c r="E1397" s="212" t="str">
        <f>COMPOSICIÓN!E1397</f>
        <v>Pincel N° 20 - El Galgo</v>
      </c>
      <c r="F1397" s="212" t="str">
        <f>COMPOSICIÓN!F1397</f>
        <v>u</v>
      </c>
      <c r="G1397" s="213">
        <f>COMPOSICIÓN!G1397</f>
        <v>1.517088</v>
      </c>
      <c r="H1397" s="214">
        <f>COMPOSICIÓN!H1397</f>
        <v>0.05</v>
      </c>
      <c r="I1397" s="215">
        <f>COMPOSICIÓN!I1397</f>
        <v>5282.24</v>
      </c>
      <c r="J1397" s="212" t="str">
        <f>IFERROR(VLOOKUP(A1397,PARTIDAS!$A$2:$C$269,3,FALSE()),"")</f>
        <v>PINTURA</v>
      </c>
      <c r="K1397" s="212" t="str">
        <f>IFERROR(INDEX(PPTO_GENERADOR!$B$4:$B$220,MATCH(A1397,PPTO_GENERADOR!$Q$4:$Q$220,0)),"")</f>
        <v>PINTURA</v>
      </c>
      <c r="L1397" s="216">
        <f>IF(PLAN_ETAPA!$C$4="(TODOS)",SUMIFS(PPTO_GENERADOR!$E$4:$E$220,PPTO_GENERADOR!$Q$4:$Q$220,A1397),SUMIFS(PPTO_GENERADOR!$E$4:$E$220,PPTO_GENERADOR!$Q$4:$Q$220,A1397,PPTO_GENERADOR!$B$4:$B$220,PLAN_ETAPA!$C$4))</f>
        <v>0</v>
      </c>
      <c r="M1397" s="216">
        <f>IFERROR(VLOOKUP(A1397,PARTIDAS!$A$2:$F$269,6,FALSE()),1)</f>
        <v>1</v>
      </c>
      <c r="N1397" s="216">
        <f>IFERROR(VLOOKUP(A1397,PARTIDAS!$A$2:$I$269,9,FALSE()),1)</f>
        <v>1</v>
      </c>
      <c r="O1397" s="217">
        <f t="shared" si="42"/>
        <v>0</v>
      </c>
      <c r="P1397" s="216">
        <f>IF(O1397=0,0,IF(B1397="MAT",G1397*(1+H1397)*L1397*PLAN_ETAPA!$C$5,IF(B1397="MO",IF(M1397=0,0,G1397*L1397*PLAN_ETAPA!$C$5*N1397/M1397),IF(B1397="EQ",IF(M1397=0,0,G1397*L1397*PLAN_ETAPA!$C$5/M1397),0))))</f>
        <v>0</v>
      </c>
      <c r="Q1397" s="218">
        <f t="shared" si="43"/>
        <v>0</v>
      </c>
    </row>
    <row r="1398" spans="1:17" x14ac:dyDescent="0.35">
      <c r="A1398" s="212" t="str">
        <f>COMPOSICIÓN!A1398</f>
        <v>PTO-1512</v>
      </c>
      <c r="B1398" s="212" t="str">
        <f>COMPOSICIÓN!B1398</f>
        <v>MAT</v>
      </c>
      <c r="C1398" s="212" t="str">
        <f>COMPOSICIÓN!C1398</f>
        <v>OTR</v>
      </c>
      <c r="D1398" s="212" t="str">
        <f>COMPOSICIÓN!D1398</f>
        <v>OTR-029</v>
      </c>
      <c r="E1398" s="212" t="str">
        <f>COMPOSICIÓN!E1398</f>
        <v>Rollo de cartón corrugado 0,90 x 25 mts</v>
      </c>
      <c r="F1398" s="212" t="str">
        <f>COMPOSICIÓN!F1398</f>
        <v>u</v>
      </c>
      <c r="G1398" s="213">
        <f>COMPOSICIÓN!G1398</f>
        <v>1.517088</v>
      </c>
      <c r="H1398" s="214">
        <f>COMPOSICIÓN!H1398</f>
        <v>0.05</v>
      </c>
      <c r="I1398" s="215">
        <f>COMPOSICIÓN!I1398</f>
        <v>7427.6</v>
      </c>
      <c r="J1398" s="212" t="str">
        <f>IFERROR(VLOOKUP(A1398,PARTIDAS!$A$2:$C$269,3,FALSE()),"")</f>
        <v>PINTURA</v>
      </c>
      <c r="K1398" s="212" t="str">
        <f>IFERROR(INDEX(PPTO_GENERADOR!$B$4:$B$220,MATCH(A1398,PPTO_GENERADOR!$Q$4:$Q$220,0)),"")</f>
        <v>PINTURA</v>
      </c>
      <c r="L1398" s="216">
        <f>IF(PLAN_ETAPA!$C$4="(TODOS)",SUMIFS(PPTO_GENERADOR!$E$4:$E$220,PPTO_GENERADOR!$Q$4:$Q$220,A1398),SUMIFS(PPTO_GENERADOR!$E$4:$E$220,PPTO_GENERADOR!$Q$4:$Q$220,A1398,PPTO_GENERADOR!$B$4:$B$220,PLAN_ETAPA!$C$4))</f>
        <v>0</v>
      </c>
      <c r="M1398" s="216">
        <f>IFERROR(VLOOKUP(A1398,PARTIDAS!$A$2:$F$269,6,FALSE()),1)</f>
        <v>1</v>
      </c>
      <c r="N1398" s="216">
        <f>IFERROR(VLOOKUP(A1398,PARTIDAS!$A$2:$I$269,9,FALSE()),1)</f>
        <v>1</v>
      </c>
      <c r="O1398" s="217">
        <f t="shared" si="42"/>
        <v>0</v>
      </c>
      <c r="P1398" s="216">
        <f>IF(O1398=0,0,IF(B1398="MAT",G1398*(1+H1398)*L1398*PLAN_ETAPA!$C$5,IF(B1398="MO",IF(M1398=0,0,G1398*L1398*PLAN_ETAPA!$C$5*N1398/M1398),IF(B1398="EQ",IF(M1398=0,0,G1398*L1398*PLAN_ETAPA!$C$5/M1398),0))))</f>
        <v>0</v>
      </c>
      <c r="Q1398" s="218">
        <f t="shared" si="43"/>
        <v>0</v>
      </c>
    </row>
    <row r="1399" spans="1:17" x14ac:dyDescent="0.35">
      <c r="A1399" s="212" t="str">
        <f>COMPOSICIÓN!A1399</f>
        <v>PTO-1512</v>
      </c>
      <c r="B1399" s="212" t="str">
        <f>COMPOSICIÓN!B1399</f>
        <v>MAT</v>
      </c>
      <c r="C1399" s="212" t="str">
        <f>COMPOSICIÓN!C1399</f>
        <v>OTR</v>
      </c>
      <c r="D1399" s="212" t="str">
        <f>COMPOSICIÓN!D1399</f>
        <v>PIN-006</v>
      </c>
      <c r="E1399" s="212" t="str">
        <f>COMPOSICIÓN!E1399</f>
        <v>Esmalte sintetico satinado Satinol Blanco x 4lts</v>
      </c>
      <c r="F1399" s="212" t="str">
        <f>COMPOSICIÓN!F1399</f>
        <v>b</v>
      </c>
      <c r="G1399" s="213">
        <f>COMPOSICIÓN!G1399</f>
        <v>9.4817999999999998</v>
      </c>
      <c r="H1399" s="214">
        <f>COMPOSICIÓN!H1399</f>
        <v>0.1</v>
      </c>
      <c r="I1399" s="215">
        <f>COMPOSICIÓN!I1399</f>
        <v>28011.57</v>
      </c>
      <c r="J1399" s="212" t="str">
        <f>IFERROR(VLOOKUP(A1399,PARTIDAS!$A$2:$C$269,3,FALSE()),"")</f>
        <v>PINTURA</v>
      </c>
      <c r="K1399" s="212" t="str">
        <f>IFERROR(INDEX(PPTO_GENERADOR!$B$4:$B$220,MATCH(A1399,PPTO_GENERADOR!$Q$4:$Q$220,0)),"")</f>
        <v>PINTURA</v>
      </c>
      <c r="L1399" s="216">
        <f>IF(PLAN_ETAPA!$C$4="(TODOS)",SUMIFS(PPTO_GENERADOR!$E$4:$E$220,PPTO_GENERADOR!$Q$4:$Q$220,A1399),SUMIFS(PPTO_GENERADOR!$E$4:$E$220,PPTO_GENERADOR!$Q$4:$Q$220,A1399,PPTO_GENERADOR!$B$4:$B$220,PLAN_ETAPA!$C$4))</f>
        <v>0</v>
      </c>
      <c r="M1399" s="216">
        <f>IFERROR(VLOOKUP(A1399,PARTIDAS!$A$2:$F$269,6,FALSE()),1)</f>
        <v>1</v>
      </c>
      <c r="N1399" s="216">
        <f>IFERROR(VLOOKUP(A1399,PARTIDAS!$A$2:$I$269,9,FALSE()),1)</f>
        <v>1</v>
      </c>
      <c r="O1399" s="217">
        <f t="shared" si="42"/>
        <v>0</v>
      </c>
      <c r="P1399" s="216">
        <f>IF(O1399=0,0,IF(B1399="MAT",G1399*(1+H1399)*L1399*PLAN_ETAPA!$C$5,IF(B1399="MO",IF(M1399=0,0,G1399*L1399*PLAN_ETAPA!$C$5*N1399/M1399),IF(B1399="EQ",IF(M1399=0,0,G1399*L1399*PLAN_ETAPA!$C$5/M1399),0))))</f>
        <v>0</v>
      </c>
      <c r="Q1399" s="218">
        <f t="shared" si="43"/>
        <v>0</v>
      </c>
    </row>
    <row r="1400" spans="1:17" x14ac:dyDescent="0.35">
      <c r="A1400" s="212" t="str">
        <f>COMPOSICIÓN!A1400</f>
        <v>PTO-1512</v>
      </c>
      <c r="B1400" s="212" t="str">
        <f>COMPOSICIÓN!B1400</f>
        <v>MO</v>
      </c>
      <c r="C1400" s="212" t="str">
        <f>COMPOSICIÓN!C1400</f>
        <v>OTR</v>
      </c>
      <c r="D1400" s="212" t="str">
        <f>COMPOSICIÓN!D1400</f>
        <v>SUB-PTO035</v>
      </c>
      <c r="E1400" s="212" t="str">
        <f>COMPOSICIÓN!E1400</f>
        <v>MO Esmalte sintético sobre carpintería metálica</v>
      </c>
      <c r="F1400" s="212" t="str">
        <f>COMPOSICIÓN!F1400</f>
        <v>j</v>
      </c>
      <c r="G1400" s="213">
        <f>COMPOSICIÓN!G1400</f>
        <v>252.84800000000001</v>
      </c>
      <c r="H1400" s="214">
        <f>COMPOSICIÓN!H1400</f>
        <v>0</v>
      </c>
      <c r="I1400" s="215">
        <f>COMPOSICIÓN!I1400</f>
        <v>10981.3720244489</v>
      </c>
      <c r="J1400" s="212" t="str">
        <f>IFERROR(VLOOKUP(A1400,PARTIDAS!$A$2:$C$269,3,FALSE()),"")</f>
        <v>PINTURA</v>
      </c>
      <c r="K1400" s="212" t="str">
        <f>IFERROR(INDEX(PPTO_GENERADOR!$B$4:$B$220,MATCH(A1400,PPTO_GENERADOR!$Q$4:$Q$220,0)),"")</f>
        <v>PINTURA</v>
      </c>
      <c r="L1400" s="216">
        <f>IF(PLAN_ETAPA!$C$4="(TODOS)",SUMIFS(PPTO_GENERADOR!$E$4:$E$220,PPTO_GENERADOR!$Q$4:$Q$220,A1400),SUMIFS(PPTO_GENERADOR!$E$4:$E$220,PPTO_GENERADOR!$Q$4:$Q$220,A1400,PPTO_GENERADOR!$B$4:$B$220,PLAN_ETAPA!$C$4))</f>
        <v>0</v>
      </c>
      <c r="M1400" s="216">
        <f>IFERROR(VLOOKUP(A1400,PARTIDAS!$A$2:$F$269,6,FALSE()),1)</f>
        <v>1</v>
      </c>
      <c r="N1400" s="216">
        <f>IFERROR(VLOOKUP(A1400,PARTIDAS!$A$2:$I$269,9,FALSE()),1)</f>
        <v>1</v>
      </c>
      <c r="O1400" s="217">
        <f t="shared" si="42"/>
        <v>0</v>
      </c>
      <c r="P1400" s="216">
        <f>IF(O1400=0,0,IF(B1400="MAT",G1400*(1+H1400)*L1400*PLAN_ETAPA!$C$5,IF(B1400="MO",IF(M1400=0,0,G1400*L1400*PLAN_ETAPA!$C$5*N1400/M1400),IF(B1400="EQ",IF(M1400=0,0,G1400*L1400*PLAN_ETAPA!$C$5/M1400),0))))</f>
        <v>0</v>
      </c>
      <c r="Q1400" s="218">
        <f t="shared" si="43"/>
        <v>0</v>
      </c>
    </row>
    <row r="1401" spans="1:17" x14ac:dyDescent="0.35">
      <c r="A1401" s="212" t="str">
        <f>COMPOSICIÓN!A1401</f>
        <v>PTO-1701</v>
      </c>
      <c r="B1401" s="212" t="str">
        <f>COMPOSICIÓN!B1401</f>
        <v>EQ</v>
      </c>
      <c r="C1401" s="212">
        <f>COMPOSICIÓN!C1401</f>
        <v>0</v>
      </c>
      <c r="D1401" s="212" t="str">
        <f>COMPOSICIÓN!D1401</f>
        <v>EQ-EQALBA</v>
      </c>
      <c r="E1401" s="212" t="str">
        <f>COMPOSICIÓN!E1401</f>
        <v>EQUIPO DE ALBAÑILERIA, carpetas, ladrillo</v>
      </c>
      <c r="F1401" s="212">
        <f>COMPOSICIÓN!F1401</f>
        <v>0</v>
      </c>
      <c r="G1401" s="213">
        <f>COMPOSICIÓN!G1401</f>
        <v>0.25</v>
      </c>
      <c r="H1401" s="214">
        <f>COMPOSICIÓN!H1401</f>
        <v>0</v>
      </c>
      <c r="I1401" s="215">
        <f>COMPOSICIÓN!I1401</f>
        <v>2287.1357450968057</v>
      </c>
      <c r="J1401" s="212" t="str">
        <f>IFERROR(VLOOKUP(A1401,PARTIDAS!$A$2:$C$269,3,FALSE()),"")</f>
        <v>CARPINTERIA</v>
      </c>
      <c r="K1401" s="212" t="str">
        <f>IFERROR(INDEX(PPTO_GENERADOR!$B$4:$B$220,MATCH(A1401,PPTO_GENERADOR!$Q$4:$Q$220,0)),"")</f>
        <v>CARPINTERIA</v>
      </c>
      <c r="L1401" s="216">
        <f>IF(PLAN_ETAPA!$C$4="(TODOS)",SUMIFS(PPTO_GENERADOR!$E$4:$E$220,PPTO_GENERADOR!$Q$4:$Q$220,A1401),SUMIFS(PPTO_GENERADOR!$E$4:$E$220,PPTO_GENERADOR!$Q$4:$Q$220,A1401,PPTO_GENERADOR!$B$4:$B$220,PLAN_ETAPA!$C$4))</f>
        <v>0</v>
      </c>
      <c r="M1401" s="216">
        <f>IFERROR(VLOOKUP(A1401,PARTIDAS!$A$2:$F$269,6,FALSE()),1)</f>
        <v>2</v>
      </c>
      <c r="N1401" s="216">
        <f>IFERROR(VLOOKUP(A1401,PARTIDAS!$A$2:$I$269,9,FALSE()),1)</f>
        <v>1</v>
      </c>
      <c r="O1401" s="217">
        <f t="shared" si="42"/>
        <v>0</v>
      </c>
      <c r="P1401" s="216">
        <f>IF(O1401=0,0,IF(B1401="MAT",G1401*(1+H1401)*L1401*PLAN_ETAPA!$C$5,IF(B1401="MO",IF(M1401=0,0,G1401*L1401*PLAN_ETAPA!$C$5*N1401/M1401),IF(B1401="EQ",IF(M1401=0,0,G1401*L1401*PLAN_ETAPA!$C$5/M1401),0))))</f>
        <v>0</v>
      </c>
      <c r="Q1401" s="218">
        <f t="shared" si="43"/>
        <v>0</v>
      </c>
    </row>
    <row r="1402" spans="1:17" x14ac:dyDescent="0.35">
      <c r="A1402" s="212" t="str">
        <f>COMPOSICIÓN!A1402</f>
        <v>PTO-1701</v>
      </c>
      <c r="B1402" s="212" t="str">
        <f>COMPOSICIÓN!B1402</f>
        <v>EQ</v>
      </c>
      <c r="C1402" s="212">
        <f>COMPOSICIÓN!C1402</f>
        <v>0</v>
      </c>
      <c r="D1402" s="212" t="str">
        <f>COMPOSICIÓN!D1402</f>
        <v>EQ-TROMPO</v>
      </c>
      <c r="E1402" s="212" t="str">
        <f>COMPOSICIÓN!E1402</f>
        <v>Hormigonera De 150 Litros 1hp Con Rueda Maciza</v>
      </c>
      <c r="F1402" s="212">
        <f>COMPOSICIÓN!F1402</f>
        <v>0</v>
      </c>
      <c r="G1402" s="213">
        <f>COMPOSICIÓN!G1402</f>
        <v>0.25</v>
      </c>
      <c r="H1402" s="214">
        <f>COMPOSICIÓN!H1402</f>
        <v>0</v>
      </c>
      <c r="I1402" s="215">
        <f>COMPOSICIÓN!I1402</f>
        <v>957.25319614994726</v>
      </c>
      <c r="J1402" s="212" t="str">
        <f>IFERROR(VLOOKUP(A1402,PARTIDAS!$A$2:$C$269,3,FALSE()),"")</f>
        <v>CARPINTERIA</v>
      </c>
      <c r="K1402" s="212" t="str">
        <f>IFERROR(INDEX(PPTO_GENERADOR!$B$4:$B$220,MATCH(A1402,PPTO_GENERADOR!$Q$4:$Q$220,0)),"")</f>
        <v>CARPINTERIA</v>
      </c>
      <c r="L1402" s="216">
        <f>IF(PLAN_ETAPA!$C$4="(TODOS)",SUMIFS(PPTO_GENERADOR!$E$4:$E$220,PPTO_GENERADOR!$Q$4:$Q$220,A1402),SUMIFS(PPTO_GENERADOR!$E$4:$E$220,PPTO_GENERADOR!$Q$4:$Q$220,A1402,PPTO_GENERADOR!$B$4:$B$220,PLAN_ETAPA!$C$4))</f>
        <v>0</v>
      </c>
      <c r="M1402" s="216">
        <f>IFERROR(VLOOKUP(A1402,PARTIDAS!$A$2:$F$269,6,FALSE()),1)</f>
        <v>2</v>
      </c>
      <c r="N1402" s="216">
        <f>IFERROR(VLOOKUP(A1402,PARTIDAS!$A$2:$I$269,9,FALSE()),1)</f>
        <v>1</v>
      </c>
      <c r="O1402" s="217">
        <f t="shared" si="42"/>
        <v>0</v>
      </c>
      <c r="P1402" s="216">
        <f>IF(O1402=0,0,IF(B1402="MAT",G1402*(1+H1402)*L1402*PLAN_ETAPA!$C$5,IF(B1402="MO",IF(M1402=0,0,G1402*L1402*PLAN_ETAPA!$C$5*N1402/M1402),IF(B1402="EQ",IF(M1402=0,0,G1402*L1402*PLAN_ETAPA!$C$5/M1402),0))))</f>
        <v>0</v>
      </c>
      <c r="Q1402" s="218">
        <f t="shared" si="43"/>
        <v>0</v>
      </c>
    </row>
    <row r="1403" spans="1:17" x14ac:dyDescent="0.35">
      <c r="A1403" s="212" t="str">
        <f>COMPOSICIÓN!A1403</f>
        <v>PTO-1701</v>
      </c>
      <c r="B1403" s="212" t="str">
        <f>COMPOSICIÓN!B1403</f>
        <v>MAT</v>
      </c>
      <c r="C1403" s="212" t="str">
        <f>COMPOSICIÓN!C1403</f>
        <v>OTR</v>
      </c>
      <c r="D1403" s="212" t="str">
        <f>COMPOSICIÓN!D1403</f>
        <v>AGR-001</v>
      </c>
      <c r="E1403" s="212" t="str">
        <f>COMPOSICIÓN!E1403</f>
        <v>ARENA LAVADA</v>
      </c>
      <c r="F1403" s="212" t="str">
        <f>COMPOSICIÓN!F1403</f>
        <v>m3</v>
      </c>
      <c r="G1403" s="213">
        <f>COMPOSICIÓN!G1403</f>
        <v>3.5999999999999997E-2</v>
      </c>
      <c r="H1403" s="214">
        <f>COMPOSICIÓN!H1403</f>
        <v>0.1</v>
      </c>
      <c r="I1403" s="215">
        <f>COMPOSICIÓN!I1403</f>
        <v>32399.77</v>
      </c>
      <c r="J1403" s="212" t="str">
        <f>IFERROR(VLOOKUP(A1403,PARTIDAS!$A$2:$C$269,3,FALSE()),"")</f>
        <v>CARPINTERIA</v>
      </c>
      <c r="K1403" s="212" t="str">
        <f>IFERROR(INDEX(PPTO_GENERADOR!$B$4:$B$220,MATCH(A1403,PPTO_GENERADOR!$Q$4:$Q$220,0)),"")</f>
        <v>CARPINTERIA</v>
      </c>
      <c r="L1403" s="216">
        <f>IF(PLAN_ETAPA!$C$4="(TODOS)",SUMIFS(PPTO_GENERADOR!$E$4:$E$220,PPTO_GENERADOR!$Q$4:$Q$220,A1403),SUMIFS(PPTO_GENERADOR!$E$4:$E$220,PPTO_GENERADOR!$Q$4:$Q$220,A1403,PPTO_GENERADOR!$B$4:$B$220,PLAN_ETAPA!$C$4))</f>
        <v>0</v>
      </c>
      <c r="M1403" s="216">
        <f>IFERROR(VLOOKUP(A1403,PARTIDAS!$A$2:$F$269,6,FALSE()),1)</f>
        <v>2</v>
      </c>
      <c r="N1403" s="216">
        <f>IFERROR(VLOOKUP(A1403,PARTIDAS!$A$2:$I$269,9,FALSE()),1)</f>
        <v>1</v>
      </c>
      <c r="O1403" s="217">
        <f t="shared" si="42"/>
        <v>0</v>
      </c>
      <c r="P1403" s="216">
        <f>IF(O1403=0,0,IF(B1403="MAT",G1403*(1+H1403)*L1403*PLAN_ETAPA!$C$5,IF(B1403="MO",IF(M1403=0,0,G1403*L1403*PLAN_ETAPA!$C$5*N1403/M1403),IF(B1403="EQ",IF(M1403=0,0,G1403*L1403*PLAN_ETAPA!$C$5/M1403),0))))</f>
        <v>0</v>
      </c>
      <c r="Q1403" s="218">
        <f t="shared" si="43"/>
        <v>0</v>
      </c>
    </row>
    <row r="1404" spans="1:17" x14ac:dyDescent="0.35">
      <c r="A1404" s="212" t="str">
        <f>COMPOSICIÓN!A1404</f>
        <v>PTO-1701</v>
      </c>
      <c r="B1404" s="212" t="str">
        <f>COMPOSICIÓN!B1404</f>
        <v>MAT</v>
      </c>
      <c r="C1404" s="212" t="str">
        <f>COMPOSICIÓN!C1404</f>
        <v>OTR</v>
      </c>
      <c r="D1404" s="212" t="str">
        <f>COMPOSICIÓN!D1404</f>
        <v>AGR-004</v>
      </c>
      <c r="E1404" s="212" t="str">
        <f>COMPOSICIÓN!E1404</f>
        <v>Cemento Portland x 50kg</v>
      </c>
      <c r="F1404" s="212" t="str">
        <f>COMPOSICIÓN!F1404</f>
        <v>Bol</v>
      </c>
      <c r="G1404" s="213">
        <f>COMPOSICIÓN!G1404</f>
        <v>0.32400000000000001</v>
      </c>
      <c r="H1404" s="214">
        <f>COMPOSICIÓN!H1404</f>
        <v>0.1</v>
      </c>
      <c r="I1404" s="215">
        <f>COMPOSICIÓN!I1404</f>
        <v>7809.48</v>
      </c>
      <c r="J1404" s="212" t="str">
        <f>IFERROR(VLOOKUP(A1404,PARTIDAS!$A$2:$C$269,3,FALSE()),"")</f>
        <v>CARPINTERIA</v>
      </c>
      <c r="K1404" s="212" t="str">
        <f>IFERROR(INDEX(PPTO_GENERADOR!$B$4:$B$220,MATCH(A1404,PPTO_GENERADOR!$Q$4:$Q$220,0)),"")</f>
        <v>CARPINTERIA</v>
      </c>
      <c r="L1404" s="216">
        <f>IF(PLAN_ETAPA!$C$4="(TODOS)",SUMIFS(PPTO_GENERADOR!$E$4:$E$220,PPTO_GENERADOR!$Q$4:$Q$220,A1404),SUMIFS(PPTO_GENERADOR!$E$4:$E$220,PPTO_GENERADOR!$Q$4:$Q$220,A1404,PPTO_GENERADOR!$B$4:$B$220,PLAN_ETAPA!$C$4))</f>
        <v>0</v>
      </c>
      <c r="M1404" s="216">
        <f>IFERROR(VLOOKUP(A1404,PARTIDAS!$A$2:$F$269,6,FALSE()),1)</f>
        <v>2</v>
      </c>
      <c r="N1404" s="216">
        <f>IFERROR(VLOOKUP(A1404,PARTIDAS!$A$2:$I$269,9,FALSE()),1)</f>
        <v>1</v>
      </c>
      <c r="O1404" s="217">
        <f t="shared" si="42"/>
        <v>0</v>
      </c>
      <c r="P1404" s="216">
        <f>IF(O1404=0,0,IF(B1404="MAT",G1404*(1+H1404)*L1404*PLAN_ETAPA!$C$5,IF(B1404="MO",IF(M1404=0,0,G1404*L1404*PLAN_ETAPA!$C$5*N1404/M1404),IF(B1404="EQ",IF(M1404=0,0,G1404*L1404*PLAN_ETAPA!$C$5/M1404),0))))</f>
        <v>0</v>
      </c>
      <c r="Q1404" s="218">
        <f t="shared" si="43"/>
        <v>0</v>
      </c>
    </row>
    <row r="1405" spans="1:17" x14ac:dyDescent="0.35">
      <c r="A1405" s="212" t="str">
        <f>COMPOSICIÓN!A1405</f>
        <v>PTO-1701</v>
      </c>
      <c r="B1405" s="212" t="str">
        <f>COMPOSICIÓN!B1405</f>
        <v>MO</v>
      </c>
      <c r="C1405" s="212" t="str">
        <f>COMPOSICIÓN!C1405</f>
        <v>ALB</v>
      </c>
      <c r="D1405" s="212" t="str">
        <f>COMPOSICIÓN!D1405</f>
        <v>MO-EAYUD</v>
      </c>
      <c r="E1405" s="212" t="str">
        <f>COMPOSICIÓN!E1405</f>
        <v>AYUDANTE</v>
      </c>
      <c r="F1405" s="212" t="str">
        <f>COMPOSICIÓN!F1405</f>
        <v>j</v>
      </c>
      <c r="G1405" s="213">
        <f>COMPOSICIÓN!G1405</f>
        <v>0.75</v>
      </c>
      <c r="H1405" s="214">
        <f>COMPOSICIÓN!H1405</f>
        <v>0</v>
      </c>
      <c r="I1405" s="215">
        <f>COMPOSICIÓN!I1405</f>
        <v>60860.580776572002</v>
      </c>
      <c r="J1405" s="212" t="str">
        <f>IFERROR(VLOOKUP(A1405,PARTIDAS!$A$2:$C$269,3,FALSE()),"")</f>
        <v>CARPINTERIA</v>
      </c>
      <c r="K1405" s="212" t="str">
        <f>IFERROR(INDEX(PPTO_GENERADOR!$B$4:$B$220,MATCH(A1405,PPTO_GENERADOR!$Q$4:$Q$220,0)),"")</f>
        <v>CARPINTERIA</v>
      </c>
      <c r="L1405" s="216">
        <f>IF(PLAN_ETAPA!$C$4="(TODOS)",SUMIFS(PPTO_GENERADOR!$E$4:$E$220,PPTO_GENERADOR!$Q$4:$Q$220,A1405),SUMIFS(PPTO_GENERADOR!$E$4:$E$220,PPTO_GENERADOR!$Q$4:$Q$220,A1405,PPTO_GENERADOR!$B$4:$B$220,PLAN_ETAPA!$C$4))</f>
        <v>0</v>
      </c>
      <c r="M1405" s="216">
        <f>IFERROR(VLOOKUP(A1405,PARTIDAS!$A$2:$F$269,6,FALSE()),1)</f>
        <v>2</v>
      </c>
      <c r="N1405" s="216">
        <f>IFERROR(VLOOKUP(A1405,PARTIDAS!$A$2:$I$269,9,FALSE()),1)</f>
        <v>1</v>
      </c>
      <c r="O1405" s="217">
        <f t="shared" si="42"/>
        <v>0</v>
      </c>
      <c r="P1405" s="216">
        <f>IF(O1405=0,0,IF(B1405="MAT",G1405*(1+H1405)*L1405*PLAN_ETAPA!$C$5,IF(B1405="MO",IF(M1405=0,0,G1405*L1405*PLAN_ETAPA!$C$5*N1405/M1405),IF(B1405="EQ",IF(M1405=0,0,G1405*L1405*PLAN_ETAPA!$C$5/M1405),0))))</f>
        <v>0</v>
      </c>
      <c r="Q1405" s="218">
        <f t="shared" si="43"/>
        <v>0</v>
      </c>
    </row>
    <row r="1406" spans="1:17" x14ac:dyDescent="0.35">
      <c r="A1406" s="212" t="str">
        <f>COMPOSICIÓN!A1406</f>
        <v>PTO-1701</v>
      </c>
      <c r="B1406" s="212" t="str">
        <f>COMPOSICIÓN!B1406</f>
        <v>MO</v>
      </c>
      <c r="C1406" s="212" t="str">
        <f>COMPOSICIÓN!C1406</f>
        <v>ALB</v>
      </c>
      <c r="D1406" s="212" t="str">
        <f>COMPOSICIÓN!D1406</f>
        <v>MO-EESPE</v>
      </c>
      <c r="E1406" s="212" t="str">
        <f>COMPOSICIÓN!E1406</f>
        <v>ESPECIALIZADO</v>
      </c>
      <c r="F1406" s="212" t="str">
        <f>COMPOSICIÓN!F1406</f>
        <v>j</v>
      </c>
      <c r="G1406" s="213">
        <f>COMPOSICIÓN!G1406</f>
        <v>0.75</v>
      </c>
      <c r="H1406" s="214">
        <f>COMPOSICIÓN!H1406</f>
        <v>0</v>
      </c>
      <c r="I1406" s="215">
        <f>COMPOSICIÓN!I1406</f>
        <v>85927.097156571996</v>
      </c>
      <c r="J1406" s="212" t="str">
        <f>IFERROR(VLOOKUP(A1406,PARTIDAS!$A$2:$C$269,3,FALSE()),"")</f>
        <v>CARPINTERIA</v>
      </c>
      <c r="K1406" s="212" t="str">
        <f>IFERROR(INDEX(PPTO_GENERADOR!$B$4:$B$220,MATCH(A1406,PPTO_GENERADOR!$Q$4:$Q$220,0)),"")</f>
        <v>CARPINTERIA</v>
      </c>
      <c r="L1406" s="216">
        <f>IF(PLAN_ETAPA!$C$4="(TODOS)",SUMIFS(PPTO_GENERADOR!$E$4:$E$220,PPTO_GENERADOR!$Q$4:$Q$220,A1406),SUMIFS(PPTO_GENERADOR!$E$4:$E$220,PPTO_GENERADOR!$Q$4:$Q$220,A1406,PPTO_GENERADOR!$B$4:$B$220,PLAN_ETAPA!$C$4))</f>
        <v>0</v>
      </c>
      <c r="M1406" s="216">
        <f>IFERROR(VLOOKUP(A1406,PARTIDAS!$A$2:$F$269,6,FALSE()),1)</f>
        <v>2</v>
      </c>
      <c r="N1406" s="216">
        <f>IFERROR(VLOOKUP(A1406,PARTIDAS!$A$2:$I$269,9,FALSE()),1)</f>
        <v>1</v>
      </c>
      <c r="O1406" s="217">
        <f t="shared" si="42"/>
        <v>0</v>
      </c>
      <c r="P1406" s="216">
        <f>IF(O1406=0,0,IF(B1406="MAT",G1406*(1+H1406)*L1406*PLAN_ETAPA!$C$5,IF(B1406="MO",IF(M1406=0,0,G1406*L1406*PLAN_ETAPA!$C$5*N1406/M1406),IF(B1406="EQ",IF(M1406=0,0,G1406*L1406*PLAN_ETAPA!$C$5/M1406),0))))</f>
        <v>0</v>
      </c>
      <c r="Q1406" s="218">
        <f t="shared" si="43"/>
        <v>0</v>
      </c>
    </row>
    <row r="1407" spans="1:17" x14ac:dyDescent="0.35">
      <c r="A1407" s="212" t="str">
        <f>COMPOSICIÓN!A1407</f>
        <v>PTO-1702</v>
      </c>
      <c r="B1407" s="212" t="str">
        <f>COMPOSICIÓN!B1407</f>
        <v>EQ</v>
      </c>
      <c r="C1407" s="212">
        <f>COMPOSICIÓN!C1407</f>
        <v>0</v>
      </c>
      <c r="D1407" s="212" t="str">
        <f>COMPOSICIÓN!D1407</f>
        <v>EQ-EQALBA</v>
      </c>
      <c r="E1407" s="212" t="str">
        <f>COMPOSICIÓN!E1407</f>
        <v>EQUIPO DE ALBAÑILERIA, carpetas, ladrillo</v>
      </c>
      <c r="F1407" s="212">
        <f>COMPOSICIÓN!F1407</f>
        <v>0</v>
      </c>
      <c r="G1407" s="213">
        <f>COMPOSICIÓN!G1407</f>
        <v>0.25</v>
      </c>
      <c r="H1407" s="214">
        <f>COMPOSICIÓN!H1407</f>
        <v>0</v>
      </c>
      <c r="I1407" s="215">
        <f>COMPOSICIÓN!I1407</f>
        <v>2287.1357450968057</v>
      </c>
      <c r="J1407" s="212" t="str">
        <f>IFERROR(VLOOKUP(A1407,PARTIDAS!$A$2:$C$269,3,FALSE()),"")</f>
        <v>CARPINTERIA</v>
      </c>
      <c r="K1407" s="212" t="str">
        <f>IFERROR(INDEX(PPTO_GENERADOR!$B$4:$B$220,MATCH(A1407,PPTO_GENERADOR!$Q$4:$Q$220,0)),"")</f>
        <v>CARPINTERIA</v>
      </c>
      <c r="L1407" s="216">
        <f>IF(PLAN_ETAPA!$C$4="(TODOS)",SUMIFS(PPTO_GENERADOR!$E$4:$E$220,PPTO_GENERADOR!$Q$4:$Q$220,A1407),SUMIFS(PPTO_GENERADOR!$E$4:$E$220,PPTO_GENERADOR!$Q$4:$Q$220,A1407,PPTO_GENERADOR!$B$4:$B$220,PLAN_ETAPA!$C$4))</f>
        <v>0</v>
      </c>
      <c r="M1407" s="216">
        <f>IFERROR(VLOOKUP(A1407,PARTIDAS!$A$2:$F$269,6,FALSE()),1)</f>
        <v>2</v>
      </c>
      <c r="N1407" s="216">
        <f>IFERROR(VLOOKUP(A1407,PARTIDAS!$A$2:$I$269,9,FALSE()),1)</f>
        <v>1</v>
      </c>
      <c r="O1407" s="217">
        <f t="shared" si="42"/>
        <v>0</v>
      </c>
      <c r="P1407" s="216">
        <f>IF(O1407=0,0,IF(B1407="MAT",G1407*(1+H1407)*L1407*PLAN_ETAPA!$C$5,IF(B1407="MO",IF(M1407=0,0,G1407*L1407*PLAN_ETAPA!$C$5*N1407/M1407),IF(B1407="EQ",IF(M1407=0,0,G1407*L1407*PLAN_ETAPA!$C$5/M1407),0))))</f>
        <v>0</v>
      </c>
      <c r="Q1407" s="218">
        <f t="shared" si="43"/>
        <v>0</v>
      </c>
    </row>
    <row r="1408" spans="1:17" x14ac:dyDescent="0.35">
      <c r="A1408" s="212" t="str">
        <f>COMPOSICIÓN!A1408</f>
        <v>PTO-1702</v>
      </c>
      <c r="B1408" s="212" t="str">
        <f>COMPOSICIÓN!B1408</f>
        <v>EQ</v>
      </c>
      <c r="C1408" s="212">
        <f>COMPOSICIÓN!C1408</f>
        <v>0</v>
      </c>
      <c r="D1408" s="212" t="str">
        <f>COMPOSICIÓN!D1408</f>
        <v>EQ-TROMPO</v>
      </c>
      <c r="E1408" s="212" t="str">
        <f>COMPOSICIÓN!E1408</f>
        <v>Hormigonera De 150 Litros 1hp Con Rueda Maciza</v>
      </c>
      <c r="F1408" s="212">
        <f>COMPOSICIÓN!F1408</f>
        <v>0</v>
      </c>
      <c r="G1408" s="213">
        <f>COMPOSICIÓN!G1408</f>
        <v>0.25</v>
      </c>
      <c r="H1408" s="214">
        <f>COMPOSICIÓN!H1408</f>
        <v>0</v>
      </c>
      <c r="I1408" s="215">
        <f>COMPOSICIÓN!I1408</f>
        <v>957.25319614994726</v>
      </c>
      <c r="J1408" s="212" t="str">
        <f>IFERROR(VLOOKUP(A1408,PARTIDAS!$A$2:$C$269,3,FALSE()),"")</f>
        <v>CARPINTERIA</v>
      </c>
      <c r="K1408" s="212" t="str">
        <f>IFERROR(INDEX(PPTO_GENERADOR!$B$4:$B$220,MATCH(A1408,PPTO_GENERADOR!$Q$4:$Q$220,0)),"")</f>
        <v>CARPINTERIA</v>
      </c>
      <c r="L1408" s="216">
        <f>IF(PLAN_ETAPA!$C$4="(TODOS)",SUMIFS(PPTO_GENERADOR!$E$4:$E$220,PPTO_GENERADOR!$Q$4:$Q$220,A1408),SUMIFS(PPTO_GENERADOR!$E$4:$E$220,PPTO_GENERADOR!$Q$4:$Q$220,A1408,PPTO_GENERADOR!$B$4:$B$220,PLAN_ETAPA!$C$4))</f>
        <v>0</v>
      </c>
      <c r="M1408" s="216">
        <f>IFERROR(VLOOKUP(A1408,PARTIDAS!$A$2:$F$269,6,FALSE()),1)</f>
        <v>2</v>
      </c>
      <c r="N1408" s="216">
        <f>IFERROR(VLOOKUP(A1408,PARTIDAS!$A$2:$I$269,9,FALSE()),1)</f>
        <v>1</v>
      </c>
      <c r="O1408" s="217">
        <f t="shared" si="42"/>
        <v>0</v>
      </c>
      <c r="P1408" s="216">
        <f>IF(O1408=0,0,IF(B1408="MAT",G1408*(1+H1408)*L1408*PLAN_ETAPA!$C$5,IF(B1408="MO",IF(M1408=0,0,G1408*L1408*PLAN_ETAPA!$C$5*N1408/M1408),IF(B1408="EQ",IF(M1408=0,0,G1408*L1408*PLAN_ETAPA!$C$5/M1408),0))))</f>
        <v>0</v>
      </c>
      <c r="Q1408" s="218">
        <f t="shared" si="43"/>
        <v>0</v>
      </c>
    </row>
    <row r="1409" spans="1:17" x14ac:dyDescent="0.35">
      <c r="A1409" s="212" t="str">
        <f>COMPOSICIÓN!A1409</f>
        <v>PTO-1702</v>
      </c>
      <c r="B1409" s="212" t="str">
        <f>COMPOSICIÓN!B1409</f>
        <v>MAT</v>
      </c>
      <c r="C1409" s="212" t="str">
        <f>COMPOSICIÓN!C1409</f>
        <v>OTR</v>
      </c>
      <c r="D1409" s="212" t="str">
        <f>COMPOSICIÓN!D1409</f>
        <v>AGR-001</v>
      </c>
      <c r="E1409" s="212" t="str">
        <f>COMPOSICIÓN!E1409</f>
        <v>ARENA LAVADA</v>
      </c>
      <c r="F1409" s="212" t="str">
        <f>COMPOSICIÓN!F1409</f>
        <v>m3</v>
      </c>
      <c r="G1409" s="213">
        <f>COMPOSICIÓN!G1409</f>
        <v>3.5999999999999997E-2</v>
      </c>
      <c r="H1409" s="214">
        <f>COMPOSICIÓN!H1409</f>
        <v>0.1</v>
      </c>
      <c r="I1409" s="215">
        <f>COMPOSICIÓN!I1409</f>
        <v>32399.77</v>
      </c>
      <c r="J1409" s="212" t="str">
        <f>IFERROR(VLOOKUP(A1409,PARTIDAS!$A$2:$C$269,3,FALSE()),"")</f>
        <v>CARPINTERIA</v>
      </c>
      <c r="K1409" s="212" t="str">
        <f>IFERROR(INDEX(PPTO_GENERADOR!$B$4:$B$220,MATCH(A1409,PPTO_GENERADOR!$Q$4:$Q$220,0)),"")</f>
        <v>CARPINTERIA</v>
      </c>
      <c r="L1409" s="216">
        <f>IF(PLAN_ETAPA!$C$4="(TODOS)",SUMIFS(PPTO_GENERADOR!$E$4:$E$220,PPTO_GENERADOR!$Q$4:$Q$220,A1409),SUMIFS(PPTO_GENERADOR!$E$4:$E$220,PPTO_GENERADOR!$Q$4:$Q$220,A1409,PPTO_GENERADOR!$B$4:$B$220,PLAN_ETAPA!$C$4))</f>
        <v>0</v>
      </c>
      <c r="M1409" s="216">
        <f>IFERROR(VLOOKUP(A1409,PARTIDAS!$A$2:$F$269,6,FALSE()),1)</f>
        <v>2</v>
      </c>
      <c r="N1409" s="216">
        <f>IFERROR(VLOOKUP(A1409,PARTIDAS!$A$2:$I$269,9,FALSE()),1)</f>
        <v>1</v>
      </c>
      <c r="O1409" s="217">
        <f t="shared" si="42"/>
        <v>0</v>
      </c>
      <c r="P1409" s="216">
        <f>IF(O1409=0,0,IF(B1409="MAT",G1409*(1+H1409)*L1409*PLAN_ETAPA!$C$5,IF(B1409="MO",IF(M1409=0,0,G1409*L1409*PLAN_ETAPA!$C$5*N1409/M1409),IF(B1409="EQ",IF(M1409=0,0,G1409*L1409*PLAN_ETAPA!$C$5/M1409),0))))</f>
        <v>0</v>
      </c>
      <c r="Q1409" s="218">
        <f t="shared" si="43"/>
        <v>0</v>
      </c>
    </row>
    <row r="1410" spans="1:17" x14ac:dyDescent="0.35">
      <c r="A1410" s="212" t="str">
        <f>COMPOSICIÓN!A1410</f>
        <v>PTO-1702</v>
      </c>
      <c r="B1410" s="212" t="str">
        <f>COMPOSICIÓN!B1410</f>
        <v>MAT</v>
      </c>
      <c r="C1410" s="212" t="str">
        <f>COMPOSICIÓN!C1410</f>
        <v>OTR</v>
      </c>
      <c r="D1410" s="212" t="str">
        <f>COMPOSICIÓN!D1410</f>
        <v>AGR-004</v>
      </c>
      <c r="E1410" s="212" t="str">
        <f>COMPOSICIÓN!E1410</f>
        <v>Cemento Portland x 50kg</v>
      </c>
      <c r="F1410" s="212" t="str">
        <f>COMPOSICIÓN!F1410</f>
        <v>Bol</v>
      </c>
      <c r="G1410" s="213">
        <f>COMPOSICIÓN!G1410</f>
        <v>0.32400000000000001</v>
      </c>
      <c r="H1410" s="214">
        <f>COMPOSICIÓN!H1410</f>
        <v>0.1</v>
      </c>
      <c r="I1410" s="215">
        <f>COMPOSICIÓN!I1410</f>
        <v>7809.48</v>
      </c>
      <c r="J1410" s="212" t="str">
        <f>IFERROR(VLOOKUP(A1410,PARTIDAS!$A$2:$C$269,3,FALSE()),"")</f>
        <v>CARPINTERIA</v>
      </c>
      <c r="K1410" s="212" t="str">
        <f>IFERROR(INDEX(PPTO_GENERADOR!$B$4:$B$220,MATCH(A1410,PPTO_GENERADOR!$Q$4:$Q$220,0)),"")</f>
        <v>CARPINTERIA</v>
      </c>
      <c r="L1410" s="216">
        <f>IF(PLAN_ETAPA!$C$4="(TODOS)",SUMIFS(PPTO_GENERADOR!$E$4:$E$220,PPTO_GENERADOR!$Q$4:$Q$220,A1410),SUMIFS(PPTO_GENERADOR!$E$4:$E$220,PPTO_GENERADOR!$Q$4:$Q$220,A1410,PPTO_GENERADOR!$B$4:$B$220,PLAN_ETAPA!$C$4))</f>
        <v>0</v>
      </c>
      <c r="M1410" s="216">
        <f>IFERROR(VLOOKUP(A1410,PARTIDAS!$A$2:$F$269,6,FALSE()),1)</f>
        <v>2</v>
      </c>
      <c r="N1410" s="216">
        <f>IFERROR(VLOOKUP(A1410,PARTIDAS!$A$2:$I$269,9,FALSE()),1)</f>
        <v>1</v>
      </c>
      <c r="O1410" s="217">
        <f t="shared" ref="O1410:O1473" si="44">IF(L1410&gt;0,1,0)</f>
        <v>0</v>
      </c>
      <c r="P1410" s="216">
        <f>IF(O1410=0,0,IF(B1410="MAT",G1410*(1+H1410)*L1410*PLAN_ETAPA!$C$5,IF(B1410="MO",IF(M1410=0,0,G1410*L1410*PLAN_ETAPA!$C$5*N1410/M1410),IF(B1410="EQ",IF(M1410=0,0,G1410*L1410*PLAN_ETAPA!$C$5/M1410),0))))</f>
        <v>0</v>
      </c>
      <c r="Q1410" s="218">
        <f t="shared" ref="Q1410:Q1473" si="45">P1410*I1410</f>
        <v>0</v>
      </c>
    </row>
    <row r="1411" spans="1:17" x14ac:dyDescent="0.35">
      <c r="A1411" s="212" t="str">
        <f>COMPOSICIÓN!A1411</f>
        <v>PTO-1702</v>
      </c>
      <c r="B1411" s="212" t="str">
        <f>COMPOSICIÓN!B1411</f>
        <v>MO</v>
      </c>
      <c r="C1411" s="212" t="str">
        <f>COMPOSICIÓN!C1411</f>
        <v>ALB</v>
      </c>
      <c r="D1411" s="212" t="str">
        <f>COMPOSICIÓN!D1411</f>
        <v>MO-EAYUD</v>
      </c>
      <c r="E1411" s="212" t="str">
        <f>COMPOSICIÓN!E1411</f>
        <v>AYUDANTE</v>
      </c>
      <c r="F1411" s="212" t="str">
        <f>COMPOSICIÓN!F1411</f>
        <v>j</v>
      </c>
      <c r="G1411" s="213">
        <f>COMPOSICIÓN!G1411</f>
        <v>0.75</v>
      </c>
      <c r="H1411" s="214">
        <f>COMPOSICIÓN!H1411</f>
        <v>0</v>
      </c>
      <c r="I1411" s="215">
        <f>COMPOSICIÓN!I1411</f>
        <v>60860.580776572002</v>
      </c>
      <c r="J1411" s="212" t="str">
        <f>IFERROR(VLOOKUP(A1411,PARTIDAS!$A$2:$C$269,3,FALSE()),"")</f>
        <v>CARPINTERIA</v>
      </c>
      <c r="K1411" s="212" t="str">
        <f>IFERROR(INDEX(PPTO_GENERADOR!$B$4:$B$220,MATCH(A1411,PPTO_GENERADOR!$Q$4:$Q$220,0)),"")</f>
        <v>CARPINTERIA</v>
      </c>
      <c r="L1411" s="216">
        <f>IF(PLAN_ETAPA!$C$4="(TODOS)",SUMIFS(PPTO_GENERADOR!$E$4:$E$220,PPTO_GENERADOR!$Q$4:$Q$220,A1411),SUMIFS(PPTO_GENERADOR!$E$4:$E$220,PPTO_GENERADOR!$Q$4:$Q$220,A1411,PPTO_GENERADOR!$B$4:$B$220,PLAN_ETAPA!$C$4))</f>
        <v>0</v>
      </c>
      <c r="M1411" s="216">
        <f>IFERROR(VLOOKUP(A1411,PARTIDAS!$A$2:$F$269,6,FALSE()),1)</f>
        <v>2</v>
      </c>
      <c r="N1411" s="216">
        <f>IFERROR(VLOOKUP(A1411,PARTIDAS!$A$2:$I$269,9,FALSE()),1)</f>
        <v>1</v>
      </c>
      <c r="O1411" s="217">
        <f t="shared" si="44"/>
        <v>0</v>
      </c>
      <c r="P1411" s="216">
        <f>IF(O1411=0,0,IF(B1411="MAT",G1411*(1+H1411)*L1411*PLAN_ETAPA!$C$5,IF(B1411="MO",IF(M1411=0,0,G1411*L1411*PLAN_ETAPA!$C$5*N1411/M1411),IF(B1411="EQ",IF(M1411=0,0,G1411*L1411*PLAN_ETAPA!$C$5/M1411),0))))</f>
        <v>0</v>
      </c>
      <c r="Q1411" s="218">
        <f t="shared" si="45"/>
        <v>0</v>
      </c>
    </row>
    <row r="1412" spans="1:17" x14ac:dyDescent="0.35">
      <c r="A1412" s="212" t="str">
        <f>COMPOSICIÓN!A1412</f>
        <v>PTO-1702</v>
      </c>
      <c r="B1412" s="212" t="str">
        <f>COMPOSICIÓN!B1412</f>
        <v>MO</v>
      </c>
      <c r="C1412" s="212" t="str">
        <f>COMPOSICIÓN!C1412</f>
        <v>ALB</v>
      </c>
      <c r="D1412" s="212" t="str">
        <f>COMPOSICIÓN!D1412</f>
        <v>MO-EESPE</v>
      </c>
      <c r="E1412" s="212" t="str">
        <f>COMPOSICIÓN!E1412</f>
        <v>ESPECIALIZADO</v>
      </c>
      <c r="F1412" s="212" t="str">
        <f>COMPOSICIÓN!F1412</f>
        <v>j</v>
      </c>
      <c r="G1412" s="213">
        <f>COMPOSICIÓN!G1412</f>
        <v>0.75</v>
      </c>
      <c r="H1412" s="214">
        <f>COMPOSICIÓN!H1412</f>
        <v>0</v>
      </c>
      <c r="I1412" s="215">
        <f>COMPOSICIÓN!I1412</f>
        <v>85927.097156571996</v>
      </c>
      <c r="J1412" s="212" t="str">
        <f>IFERROR(VLOOKUP(A1412,PARTIDAS!$A$2:$C$269,3,FALSE()),"")</f>
        <v>CARPINTERIA</v>
      </c>
      <c r="K1412" s="212" t="str">
        <f>IFERROR(INDEX(PPTO_GENERADOR!$B$4:$B$220,MATCH(A1412,PPTO_GENERADOR!$Q$4:$Q$220,0)),"")</f>
        <v>CARPINTERIA</v>
      </c>
      <c r="L1412" s="216">
        <f>IF(PLAN_ETAPA!$C$4="(TODOS)",SUMIFS(PPTO_GENERADOR!$E$4:$E$220,PPTO_GENERADOR!$Q$4:$Q$220,A1412),SUMIFS(PPTO_GENERADOR!$E$4:$E$220,PPTO_GENERADOR!$Q$4:$Q$220,A1412,PPTO_GENERADOR!$B$4:$B$220,PLAN_ETAPA!$C$4))</f>
        <v>0</v>
      </c>
      <c r="M1412" s="216">
        <f>IFERROR(VLOOKUP(A1412,PARTIDAS!$A$2:$F$269,6,FALSE()),1)</f>
        <v>2</v>
      </c>
      <c r="N1412" s="216">
        <f>IFERROR(VLOOKUP(A1412,PARTIDAS!$A$2:$I$269,9,FALSE()),1)</f>
        <v>1</v>
      </c>
      <c r="O1412" s="217">
        <f t="shared" si="44"/>
        <v>0</v>
      </c>
      <c r="P1412" s="216">
        <f>IF(O1412=0,0,IF(B1412="MAT",G1412*(1+H1412)*L1412*PLAN_ETAPA!$C$5,IF(B1412="MO",IF(M1412=0,0,G1412*L1412*PLAN_ETAPA!$C$5*N1412/M1412),IF(B1412="EQ",IF(M1412=0,0,G1412*L1412*PLAN_ETAPA!$C$5/M1412),0))))</f>
        <v>0</v>
      </c>
      <c r="Q1412" s="218">
        <f t="shared" si="45"/>
        <v>0</v>
      </c>
    </row>
    <row r="1413" spans="1:17" x14ac:dyDescent="0.35">
      <c r="A1413" s="212" t="str">
        <f>COMPOSICIÓN!A1413</f>
        <v>PTO-1703</v>
      </c>
      <c r="B1413" s="212" t="str">
        <f>COMPOSICIÓN!B1413</f>
        <v>EQ</v>
      </c>
      <c r="C1413" s="212">
        <f>COMPOSICIÓN!C1413</f>
        <v>0</v>
      </c>
      <c r="D1413" s="212" t="str">
        <f>COMPOSICIÓN!D1413</f>
        <v>EQ-EQALBA</v>
      </c>
      <c r="E1413" s="212" t="str">
        <f>COMPOSICIÓN!E1413</f>
        <v>EQUIPO DE ALBAÑILERIA, carpetas, ladrillo</v>
      </c>
      <c r="F1413" s="212">
        <f>COMPOSICIÓN!F1413</f>
        <v>0</v>
      </c>
      <c r="G1413" s="213">
        <f>COMPOSICIÓN!G1413</f>
        <v>0.25</v>
      </c>
      <c r="H1413" s="214">
        <f>COMPOSICIÓN!H1413</f>
        <v>0</v>
      </c>
      <c r="I1413" s="215">
        <f>COMPOSICIÓN!I1413</f>
        <v>2287.1357450968057</v>
      </c>
      <c r="J1413" s="212" t="str">
        <f>IFERROR(VLOOKUP(A1413,PARTIDAS!$A$2:$C$269,3,FALSE()),"")</f>
        <v>CARPINTERIA</v>
      </c>
      <c r="K1413" s="212" t="str">
        <f>IFERROR(INDEX(PPTO_GENERADOR!$B$4:$B$220,MATCH(A1413,PPTO_GENERADOR!$Q$4:$Q$220,0)),"")</f>
        <v>CARPINTERIA</v>
      </c>
      <c r="L1413" s="216">
        <f>IF(PLAN_ETAPA!$C$4="(TODOS)",SUMIFS(PPTO_GENERADOR!$E$4:$E$220,PPTO_GENERADOR!$Q$4:$Q$220,A1413),SUMIFS(PPTO_GENERADOR!$E$4:$E$220,PPTO_GENERADOR!$Q$4:$Q$220,A1413,PPTO_GENERADOR!$B$4:$B$220,PLAN_ETAPA!$C$4))</f>
        <v>0</v>
      </c>
      <c r="M1413" s="216">
        <f>IFERROR(VLOOKUP(A1413,PARTIDAS!$A$2:$F$269,6,FALSE()),1)</f>
        <v>4</v>
      </c>
      <c r="N1413" s="216">
        <f>IFERROR(VLOOKUP(A1413,PARTIDAS!$A$2:$I$269,9,FALSE()),1)</f>
        <v>1</v>
      </c>
      <c r="O1413" s="217">
        <f t="shared" si="44"/>
        <v>0</v>
      </c>
      <c r="P1413" s="216">
        <f>IF(O1413=0,0,IF(B1413="MAT",G1413*(1+H1413)*L1413*PLAN_ETAPA!$C$5,IF(B1413="MO",IF(M1413=0,0,G1413*L1413*PLAN_ETAPA!$C$5*N1413/M1413),IF(B1413="EQ",IF(M1413=0,0,G1413*L1413*PLAN_ETAPA!$C$5/M1413),0))))</f>
        <v>0</v>
      </c>
      <c r="Q1413" s="218">
        <f t="shared" si="45"/>
        <v>0</v>
      </c>
    </row>
    <row r="1414" spans="1:17" x14ac:dyDescent="0.35">
      <c r="A1414" s="212" t="str">
        <f>COMPOSICIÓN!A1414</f>
        <v>PTO-1703</v>
      </c>
      <c r="B1414" s="212" t="str">
        <f>COMPOSICIÓN!B1414</f>
        <v>EQ</v>
      </c>
      <c r="C1414" s="212">
        <f>COMPOSICIÓN!C1414</f>
        <v>0</v>
      </c>
      <c r="D1414" s="212" t="str">
        <f>COMPOSICIÓN!D1414</f>
        <v>EQ-TROMPO</v>
      </c>
      <c r="E1414" s="212" t="str">
        <f>COMPOSICIÓN!E1414</f>
        <v>Hormigonera De 150 Litros 1hp Con Rueda Maciza</v>
      </c>
      <c r="F1414" s="212">
        <f>COMPOSICIÓN!F1414</f>
        <v>0</v>
      </c>
      <c r="G1414" s="213">
        <f>COMPOSICIÓN!G1414</f>
        <v>0.25</v>
      </c>
      <c r="H1414" s="214">
        <f>COMPOSICIÓN!H1414</f>
        <v>0</v>
      </c>
      <c r="I1414" s="215">
        <f>COMPOSICIÓN!I1414</f>
        <v>957.25319614994726</v>
      </c>
      <c r="J1414" s="212" t="str">
        <f>IFERROR(VLOOKUP(A1414,PARTIDAS!$A$2:$C$269,3,FALSE()),"")</f>
        <v>CARPINTERIA</v>
      </c>
      <c r="K1414" s="212" t="str">
        <f>IFERROR(INDEX(PPTO_GENERADOR!$B$4:$B$220,MATCH(A1414,PPTO_GENERADOR!$Q$4:$Q$220,0)),"")</f>
        <v>CARPINTERIA</v>
      </c>
      <c r="L1414" s="216">
        <f>IF(PLAN_ETAPA!$C$4="(TODOS)",SUMIFS(PPTO_GENERADOR!$E$4:$E$220,PPTO_GENERADOR!$Q$4:$Q$220,A1414),SUMIFS(PPTO_GENERADOR!$E$4:$E$220,PPTO_GENERADOR!$Q$4:$Q$220,A1414,PPTO_GENERADOR!$B$4:$B$220,PLAN_ETAPA!$C$4))</f>
        <v>0</v>
      </c>
      <c r="M1414" s="216">
        <f>IFERROR(VLOOKUP(A1414,PARTIDAS!$A$2:$F$269,6,FALSE()),1)</f>
        <v>4</v>
      </c>
      <c r="N1414" s="216">
        <f>IFERROR(VLOOKUP(A1414,PARTIDAS!$A$2:$I$269,9,FALSE()),1)</f>
        <v>1</v>
      </c>
      <c r="O1414" s="217">
        <f t="shared" si="44"/>
        <v>0</v>
      </c>
      <c r="P1414" s="216">
        <f>IF(O1414=0,0,IF(B1414="MAT",G1414*(1+H1414)*L1414*PLAN_ETAPA!$C$5,IF(B1414="MO",IF(M1414=0,0,G1414*L1414*PLAN_ETAPA!$C$5*N1414/M1414),IF(B1414="EQ",IF(M1414=0,0,G1414*L1414*PLAN_ETAPA!$C$5/M1414),0))))</f>
        <v>0</v>
      </c>
      <c r="Q1414" s="218">
        <f t="shared" si="45"/>
        <v>0</v>
      </c>
    </row>
    <row r="1415" spans="1:17" x14ac:dyDescent="0.35">
      <c r="A1415" s="212" t="str">
        <f>COMPOSICIÓN!A1415</f>
        <v>PTO-1703</v>
      </c>
      <c r="B1415" s="212" t="str">
        <f>COMPOSICIÓN!B1415</f>
        <v>MAT</v>
      </c>
      <c r="C1415" s="212" t="str">
        <f>COMPOSICIÓN!C1415</f>
        <v>OTR</v>
      </c>
      <c r="D1415" s="212" t="str">
        <f>COMPOSICIÓN!D1415</f>
        <v>AGR-001</v>
      </c>
      <c r="E1415" s="212" t="str">
        <f>COMPOSICIÓN!E1415</f>
        <v>ARENA LAVADA</v>
      </c>
      <c r="F1415" s="212" t="str">
        <f>COMPOSICIÓN!F1415</f>
        <v>m3</v>
      </c>
      <c r="G1415" s="213">
        <f>COMPOSICIÓN!G1415</f>
        <v>1.38E-2</v>
      </c>
      <c r="H1415" s="214">
        <f>COMPOSICIÓN!H1415</f>
        <v>0.05</v>
      </c>
      <c r="I1415" s="215">
        <f>COMPOSICIÓN!I1415</f>
        <v>32399.77</v>
      </c>
      <c r="J1415" s="212" t="str">
        <f>IFERROR(VLOOKUP(A1415,PARTIDAS!$A$2:$C$269,3,FALSE()),"")</f>
        <v>CARPINTERIA</v>
      </c>
      <c r="K1415" s="212" t="str">
        <f>IFERROR(INDEX(PPTO_GENERADOR!$B$4:$B$220,MATCH(A1415,PPTO_GENERADOR!$Q$4:$Q$220,0)),"")</f>
        <v>CARPINTERIA</v>
      </c>
      <c r="L1415" s="216">
        <f>IF(PLAN_ETAPA!$C$4="(TODOS)",SUMIFS(PPTO_GENERADOR!$E$4:$E$220,PPTO_GENERADOR!$Q$4:$Q$220,A1415),SUMIFS(PPTO_GENERADOR!$E$4:$E$220,PPTO_GENERADOR!$Q$4:$Q$220,A1415,PPTO_GENERADOR!$B$4:$B$220,PLAN_ETAPA!$C$4))</f>
        <v>0</v>
      </c>
      <c r="M1415" s="216">
        <f>IFERROR(VLOOKUP(A1415,PARTIDAS!$A$2:$F$269,6,FALSE()),1)</f>
        <v>4</v>
      </c>
      <c r="N1415" s="216">
        <f>IFERROR(VLOOKUP(A1415,PARTIDAS!$A$2:$I$269,9,FALSE()),1)</f>
        <v>1</v>
      </c>
      <c r="O1415" s="217">
        <f t="shared" si="44"/>
        <v>0</v>
      </c>
      <c r="P1415" s="216">
        <f>IF(O1415=0,0,IF(B1415="MAT",G1415*(1+H1415)*L1415*PLAN_ETAPA!$C$5,IF(B1415="MO",IF(M1415=0,0,G1415*L1415*PLAN_ETAPA!$C$5*N1415/M1415),IF(B1415="EQ",IF(M1415=0,0,G1415*L1415*PLAN_ETAPA!$C$5/M1415),0))))</f>
        <v>0</v>
      </c>
      <c r="Q1415" s="218">
        <f t="shared" si="45"/>
        <v>0</v>
      </c>
    </row>
    <row r="1416" spans="1:17" x14ac:dyDescent="0.35">
      <c r="A1416" s="212" t="str">
        <f>COMPOSICIÓN!A1416</f>
        <v>PTO-1703</v>
      </c>
      <c r="B1416" s="212" t="str">
        <f>COMPOSICIÓN!B1416</f>
        <v>MAT</v>
      </c>
      <c r="C1416" s="212" t="str">
        <f>COMPOSICIÓN!C1416</f>
        <v>OTR</v>
      </c>
      <c r="D1416" s="212" t="str">
        <f>COMPOSICIÓN!D1416</f>
        <v>AGR-004</v>
      </c>
      <c r="E1416" s="212" t="str">
        <f>COMPOSICIÓN!E1416</f>
        <v>Cemento Portland x 50kg</v>
      </c>
      <c r="F1416" s="212" t="str">
        <f>COMPOSICIÓN!F1416</f>
        <v>Bol</v>
      </c>
      <c r="G1416" s="213">
        <f>COMPOSICIÓN!G1416</f>
        <v>0.1242</v>
      </c>
      <c r="H1416" s="214">
        <f>COMPOSICIÓN!H1416</f>
        <v>0.05</v>
      </c>
      <c r="I1416" s="215">
        <f>COMPOSICIÓN!I1416</f>
        <v>7809.48</v>
      </c>
      <c r="J1416" s="212" t="str">
        <f>IFERROR(VLOOKUP(A1416,PARTIDAS!$A$2:$C$269,3,FALSE()),"")</f>
        <v>CARPINTERIA</v>
      </c>
      <c r="K1416" s="212" t="str">
        <f>IFERROR(INDEX(PPTO_GENERADOR!$B$4:$B$220,MATCH(A1416,PPTO_GENERADOR!$Q$4:$Q$220,0)),"")</f>
        <v>CARPINTERIA</v>
      </c>
      <c r="L1416" s="216">
        <f>IF(PLAN_ETAPA!$C$4="(TODOS)",SUMIFS(PPTO_GENERADOR!$E$4:$E$220,PPTO_GENERADOR!$Q$4:$Q$220,A1416),SUMIFS(PPTO_GENERADOR!$E$4:$E$220,PPTO_GENERADOR!$Q$4:$Q$220,A1416,PPTO_GENERADOR!$B$4:$B$220,PLAN_ETAPA!$C$4))</f>
        <v>0</v>
      </c>
      <c r="M1416" s="216">
        <f>IFERROR(VLOOKUP(A1416,PARTIDAS!$A$2:$F$269,6,FALSE()),1)</f>
        <v>4</v>
      </c>
      <c r="N1416" s="216">
        <f>IFERROR(VLOOKUP(A1416,PARTIDAS!$A$2:$I$269,9,FALSE()),1)</f>
        <v>1</v>
      </c>
      <c r="O1416" s="217">
        <f t="shared" si="44"/>
        <v>0</v>
      </c>
      <c r="P1416" s="216">
        <f>IF(O1416=0,0,IF(B1416="MAT",G1416*(1+H1416)*L1416*PLAN_ETAPA!$C$5,IF(B1416="MO",IF(M1416=0,0,G1416*L1416*PLAN_ETAPA!$C$5*N1416/M1416),IF(B1416="EQ",IF(M1416=0,0,G1416*L1416*PLAN_ETAPA!$C$5/M1416),0))))</f>
        <v>0</v>
      </c>
      <c r="Q1416" s="218">
        <f t="shared" si="45"/>
        <v>0</v>
      </c>
    </row>
    <row r="1417" spans="1:17" x14ac:dyDescent="0.35">
      <c r="A1417" s="212" t="str">
        <f>COMPOSICIÓN!A1417</f>
        <v>PTO-1703</v>
      </c>
      <c r="B1417" s="212" t="str">
        <f>COMPOSICIÓN!B1417</f>
        <v>MO</v>
      </c>
      <c r="C1417" s="212" t="str">
        <f>COMPOSICIÓN!C1417</f>
        <v>ALB</v>
      </c>
      <c r="D1417" s="212" t="str">
        <f>COMPOSICIÓN!D1417</f>
        <v>MO-EAYUD</v>
      </c>
      <c r="E1417" s="212" t="str">
        <f>COMPOSICIÓN!E1417</f>
        <v>AYUDANTE</v>
      </c>
      <c r="F1417" s="212" t="str">
        <f>COMPOSICIÓN!F1417</f>
        <v>j</v>
      </c>
      <c r="G1417" s="213">
        <f>COMPOSICIÓN!G1417</f>
        <v>1</v>
      </c>
      <c r="H1417" s="214">
        <f>COMPOSICIÓN!H1417</f>
        <v>0</v>
      </c>
      <c r="I1417" s="215">
        <f>COMPOSICIÓN!I1417</f>
        <v>60860.580776572002</v>
      </c>
      <c r="J1417" s="212" t="str">
        <f>IFERROR(VLOOKUP(A1417,PARTIDAS!$A$2:$C$269,3,FALSE()),"")</f>
        <v>CARPINTERIA</v>
      </c>
      <c r="K1417" s="212" t="str">
        <f>IFERROR(INDEX(PPTO_GENERADOR!$B$4:$B$220,MATCH(A1417,PPTO_GENERADOR!$Q$4:$Q$220,0)),"")</f>
        <v>CARPINTERIA</v>
      </c>
      <c r="L1417" s="216">
        <f>IF(PLAN_ETAPA!$C$4="(TODOS)",SUMIFS(PPTO_GENERADOR!$E$4:$E$220,PPTO_GENERADOR!$Q$4:$Q$220,A1417),SUMIFS(PPTO_GENERADOR!$E$4:$E$220,PPTO_GENERADOR!$Q$4:$Q$220,A1417,PPTO_GENERADOR!$B$4:$B$220,PLAN_ETAPA!$C$4))</f>
        <v>0</v>
      </c>
      <c r="M1417" s="216">
        <f>IFERROR(VLOOKUP(A1417,PARTIDAS!$A$2:$F$269,6,FALSE()),1)</f>
        <v>4</v>
      </c>
      <c r="N1417" s="216">
        <f>IFERROR(VLOOKUP(A1417,PARTIDAS!$A$2:$I$269,9,FALSE()),1)</f>
        <v>1</v>
      </c>
      <c r="O1417" s="217">
        <f t="shared" si="44"/>
        <v>0</v>
      </c>
      <c r="P1417" s="216">
        <f>IF(O1417=0,0,IF(B1417="MAT",G1417*(1+H1417)*L1417*PLAN_ETAPA!$C$5,IF(B1417="MO",IF(M1417=0,0,G1417*L1417*PLAN_ETAPA!$C$5*N1417/M1417),IF(B1417="EQ",IF(M1417=0,0,G1417*L1417*PLAN_ETAPA!$C$5/M1417),0))))</f>
        <v>0</v>
      </c>
      <c r="Q1417" s="218">
        <f t="shared" si="45"/>
        <v>0</v>
      </c>
    </row>
    <row r="1418" spans="1:17" x14ac:dyDescent="0.35">
      <c r="A1418" s="212" t="str">
        <f>COMPOSICIÓN!A1418</f>
        <v>PTO-1703</v>
      </c>
      <c r="B1418" s="212" t="str">
        <f>COMPOSICIÓN!B1418</f>
        <v>MO</v>
      </c>
      <c r="C1418" s="212" t="str">
        <f>COMPOSICIÓN!C1418</f>
        <v>ALB</v>
      </c>
      <c r="D1418" s="212" t="str">
        <f>COMPOSICIÓN!D1418</f>
        <v>MO-EESPE</v>
      </c>
      <c r="E1418" s="212" t="str">
        <f>COMPOSICIÓN!E1418</f>
        <v>ESPECIALIZADO</v>
      </c>
      <c r="F1418" s="212" t="str">
        <f>COMPOSICIÓN!F1418</f>
        <v>j</v>
      </c>
      <c r="G1418" s="213">
        <f>COMPOSICIÓN!G1418</f>
        <v>1</v>
      </c>
      <c r="H1418" s="214">
        <f>COMPOSICIÓN!H1418</f>
        <v>0</v>
      </c>
      <c r="I1418" s="215">
        <f>COMPOSICIÓN!I1418</f>
        <v>85927.097156571996</v>
      </c>
      <c r="J1418" s="212" t="str">
        <f>IFERROR(VLOOKUP(A1418,PARTIDAS!$A$2:$C$269,3,FALSE()),"")</f>
        <v>CARPINTERIA</v>
      </c>
      <c r="K1418" s="212" t="str">
        <f>IFERROR(INDEX(PPTO_GENERADOR!$B$4:$B$220,MATCH(A1418,PPTO_GENERADOR!$Q$4:$Q$220,0)),"")</f>
        <v>CARPINTERIA</v>
      </c>
      <c r="L1418" s="216">
        <f>IF(PLAN_ETAPA!$C$4="(TODOS)",SUMIFS(PPTO_GENERADOR!$E$4:$E$220,PPTO_GENERADOR!$Q$4:$Q$220,A1418),SUMIFS(PPTO_GENERADOR!$E$4:$E$220,PPTO_GENERADOR!$Q$4:$Q$220,A1418,PPTO_GENERADOR!$B$4:$B$220,PLAN_ETAPA!$C$4))</f>
        <v>0</v>
      </c>
      <c r="M1418" s="216">
        <f>IFERROR(VLOOKUP(A1418,PARTIDAS!$A$2:$F$269,6,FALSE()),1)</f>
        <v>4</v>
      </c>
      <c r="N1418" s="216">
        <f>IFERROR(VLOOKUP(A1418,PARTIDAS!$A$2:$I$269,9,FALSE()),1)</f>
        <v>1</v>
      </c>
      <c r="O1418" s="217">
        <f t="shared" si="44"/>
        <v>0</v>
      </c>
      <c r="P1418" s="216">
        <f>IF(O1418=0,0,IF(B1418="MAT",G1418*(1+H1418)*L1418*PLAN_ETAPA!$C$5,IF(B1418="MO",IF(M1418=0,0,G1418*L1418*PLAN_ETAPA!$C$5*N1418/M1418),IF(B1418="EQ",IF(M1418=0,0,G1418*L1418*PLAN_ETAPA!$C$5/M1418),0))))</f>
        <v>0</v>
      </c>
      <c r="Q1418" s="218">
        <f t="shared" si="45"/>
        <v>0</v>
      </c>
    </row>
    <row r="1419" spans="1:17" x14ac:dyDescent="0.35">
      <c r="A1419" s="212" t="str">
        <f>COMPOSICIÓN!A1419</f>
        <v>PTO-1704</v>
      </c>
      <c r="B1419" s="212" t="str">
        <f>COMPOSICIÓN!B1419</f>
        <v>EQ</v>
      </c>
      <c r="C1419" s="212">
        <f>COMPOSICIÓN!C1419</f>
        <v>0</v>
      </c>
      <c r="D1419" s="212" t="str">
        <f>COMPOSICIÓN!D1419</f>
        <v>EQ-EQALBA</v>
      </c>
      <c r="E1419" s="212" t="str">
        <f>COMPOSICIÓN!E1419</f>
        <v>EQUIPO DE ALBAÑILERIA, carpetas, ladrillo</v>
      </c>
      <c r="F1419" s="212">
        <f>COMPOSICIÓN!F1419</f>
        <v>0</v>
      </c>
      <c r="G1419" s="213">
        <f>COMPOSICIÓN!G1419</f>
        <v>0.25</v>
      </c>
      <c r="H1419" s="214">
        <f>COMPOSICIÓN!H1419</f>
        <v>0</v>
      </c>
      <c r="I1419" s="215">
        <f>COMPOSICIÓN!I1419</f>
        <v>2287.1357450968057</v>
      </c>
      <c r="J1419" s="212" t="str">
        <f>IFERROR(VLOOKUP(A1419,PARTIDAS!$A$2:$C$269,3,FALSE()),"")</f>
        <v>CARPINTERIA</v>
      </c>
      <c r="K1419" s="212" t="str">
        <f>IFERROR(INDEX(PPTO_GENERADOR!$B$4:$B$220,MATCH(A1419,PPTO_GENERADOR!$Q$4:$Q$220,0)),"")</f>
        <v>CARPINTERIA</v>
      </c>
      <c r="L1419" s="216">
        <f>IF(PLAN_ETAPA!$C$4="(TODOS)",SUMIFS(PPTO_GENERADOR!$E$4:$E$220,PPTO_GENERADOR!$Q$4:$Q$220,A1419),SUMIFS(PPTO_GENERADOR!$E$4:$E$220,PPTO_GENERADOR!$Q$4:$Q$220,A1419,PPTO_GENERADOR!$B$4:$B$220,PLAN_ETAPA!$C$4))</f>
        <v>0</v>
      </c>
      <c r="M1419" s="216">
        <f>IFERROR(VLOOKUP(A1419,PARTIDAS!$A$2:$F$269,6,FALSE()),1)</f>
        <v>2</v>
      </c>
      <c r="N1419" s="216">
        <f>IFERROR(VLOOKUP(A1419,PARTIDAS!$A$2:$I$269,9,FALSE()),1)</f>
        <v>1</v>
      </c>
      <c r="O1419" s="217">
        <f t="shared" si="44"/>
        <v>0</v>
      </c>
      <c r="P1419" s="216">
        <f>IF(O1419=0,0,IF(B1419="MAT",G1419*(1+H1419)*L1419*PLAN_ETAPA!$C$5,IF(B1419="MO",IF(M1419=0,0,G1419*L1419*PLAN_ETAPA!$C$5*N1419/M1419),IF(B1419="EQ",IF(M1419=0,0,G1419*L1419*PLAN_ETAPA!$C$5/M1419),0))))</f>
        <v>0</v>
      </c>
      <c r="Q1419" s="218">
        <f t="shared" si="45"/>
        <v>0</v>
      </c>
    </row>
    <row r="1420" spans="1:17" x14ac:dyDescent="0.35">
      <c r="A1420" s="212" t="str">
        <f>COMPOSICIÓN!A1420</f>
        <v>PTO-1704</v>
      </c>
      <c r="B1420" s="212" t="str">
        <f>COMPOSICIÓN!B1420</f>
        <v>EQ</v>
      </c>
      <c r="C1420" s="212">
        <f>COMPOSICIÓN!C1420</f>
        <v>0</v>
      </c>
      <c r="D1420" s="212" t="str">
        <f>COMPOSICIÓN!D1420</f>
        <v>EQ-TROMPO</v>
      </c>
      <c r="E1420" s="212" t="str">
        <f>COMPOSICIÓN!E1420</f>
        <v>Hormigonera De 150 Litros 1hp Con Rueda Maciza</v>
      </c>
      <c r="F1420" s="212">
        <f>COMPOSICIÓN!F1420</f>
        <v>0</v>
      </c>
      <c r="G1420" s="213">
        <f>COMPOSICIÓN!G1420</f>
        <v>0.25</v>
      </c>
      <c r="H1420" s="214">
        <f>COMPOSICIÓN!H1420</f>
        <v>0</v>
      </c>
      <c r="I1420" s="215">
        <f>COMPOSICIÓN!I1420</f>
        <v>957.25319614994726</v>
      </c>
      <c r="J1420" s="212" t="str">
        <f>IFERROR(VLOOKUP(A1420,PARTIDAS!$A$2:$C$269,3,FALSE()),"")</f>
        <v>CARPINTERIA</v>
      </c>
      <c r="K1420" s="212" t="str">
        <f>IFERROR(INDEX(PPTO_GENERADOR!$B$4:$B$220,MATCH(A1420,PPTO_GENERADOR!$Q$4:$Q$220,0)),"")</f>
        <v>CARPINTERIA</v>
      </c>
      <c r="L1420" s="216">
        <f>IF(PLAN_ETAPA!$C$4="(TODOS)",SUMIFS(PPTO_GENERADOR!$E$4:$E$220,PPTO_GENERADOR!$Q$4:$Q$220,A1420),SUMIFS(PPTO_GENERADOR!$E$4:$E$220,PPTO_GENERADOR!$Q$4:$Q$220,A1420,PPTO_GENERADOR!$B$4:$B$220,PLAN_ETAPA!$C$4))</f>
        <v>0</v>
      </c>
      <c r="M1420" s="216">
        <f>IFERROR(VLOOKUP(A1420,PARTIDAS!$A$2:$F$269,6,FALSE()),1)</f>
        <v>2</v>
      </c>
      <c r="N1420" s="216">
        <f>IFERROR(VLOOKUP(A1420,PARTIDAS!$A$2:$I$269,9,FALSE()),1)</f>
        <v>1</v>
      </c>
      <c r="O1420" s="217">
        <f t="shared" si="44"/>
        <v>0</v>
      </c>
      <c r="P1420" s="216">
        <f>IF(O1420=0,0,IF(B1420="MAT",G1420*(1+H1420)*L1420*PLAN_ETAPA!$C$5,IF(B1420="MO",IF(M1420=0,0,G1420*L1420*PLAN_ETAPA!$C$5*N1420/M1420),IF(B1420="EQ",IF(M1420=0,0,G1420*L1420*PLAN_ETAPA!$C$5/M1420),0))))</f>
        <v>0</v>
      </c>
      <c r="Q1420" s="218">
        <f t="shared" si="45"/>
        <v>0</v>
      </c>
    </row>
    <row r="1421" spans="1:17" x14ac:dyDescent="0.35">
      <c r="A1421" s="212" t="str">
        <f>COMPOSICIÓN!A1421</f>
        <v>PTO-1704</v>
      </c>
      <c r="B1421" s="212" t="str">
        <f>COMPOSICIÓN!B1421</f>
        <v>MAT</v>
      </c>
      <c r="C1421" s="212" t="str">
        <f>COMPOSICIÓN!C1421</f>
        <v>OTR</v>
      </c>
      <c r="D1421" s="212" t="str">
        <f>COMPOSICIÓN!D1421</f>
        <v>AGR-001</v>
      </c>
      <c r="E1421" s="212" t="str">
        <f>COMPOSICIÓN!E1421</f>
        <v>ARENA LAVADA</v>
      </c>
      <c r="F1421" s="212" t="str">
        <f>COMPOSICIÓN!F1421</f>
        <v>m3</v>
      </c>
      <c r="G1421" s="213">
        <f>COMPOSICIÓN!G1421</f>
        <v>3.5999999999999997E-2</v>
      </c>
      <c r="H1421" s="214">
        <f>COMPOSICIÓN!H1421</f>
        <v>0.1</v>
      </c>
      <c r="I1421" s="215">
        <f>COMPOSICIÓN!I1421</f>
        <v>32399.77</v>
      </c>
      <c r="J1421" s="212" t="str">
        <f>IFERROR(VLOOKUP(A1421,PARTIDAS!$A$2:$C$269,3,FALSE()),"")</f>
        <v>CARPINTERIA</v>
      </c>
      <c r="K1421" s="212" t="str">
        <f>IFERROR(INDEX(PPTO_GENERADOR!$B$4:$B$220,MATCH(A1421,PPTO_GENERADOR!$Q$4:$Q$220,0)),"")</f>
        <v>CARPINTERIA</v>
      </c>
      <c r="L1421" s="216">
        <f>IF(PLAN_ETAPA!$C$4="(TODOS)",SUMIFS(PPTO_GENERADOR!$E$4:$E$220,PPTO_GENERADOR!$Q$4:$Q$220,A1421),SUMIFS(PPTO_GENERADOR!$E$4:$E$220,PPTO_GENERADOR!$Q$4:$Q$220,A1421,PPTO_GENERADOR!$B$4:$B$220,PLAN_ETAPA!$C$4))</f>
        <v>0</v>
      </c>
      <c r="M1421" s="216">
        <f>IFERROR(VLOOKUP(A1421,PARTIDAS!$A$2:$F$269,6,FALSE()),1)</f>
        <v>2</v>
      </c>
      <c r="N1421" s="216">
        <f>IFERROR(VLOOKUP(A1421,PARTIDAS!$A$2:$I$269,9,FALSE()),1)</f>
        <v>1</v>
      </c>
      <c r="O1421" s="217">
        <f t="shared" si="44"/>
        <v>0</v>
      </c>
      <c r="P1421" s="216">
        <f>IF(O1421=0,0,IF(B1421="MAT",G1421*(1+H1421)*L1421*PLAN_ETAPA!$C$5,IF(B1421="MO",IF(M1421=0,0,G1421*L1421*PLAN_ETAPA!$C$5*N1421/M1421),IF(B1421="EQ",IF(M1421=0,0,G1421*L1421*PLAN_ETAPA!$C$5/M1421),0))))</f>
        <v>0</v>
      </c>
      <c r="Q1421" s="218">
        <f t="shared" si="45"/>
        <v>0</v>
      </c>
    </row>
    <row r="1422" spans="1:17" x14ac:dyDescent="0.35">
      <c r="A1422" s="212" t="str">
        <f>COMPOSICIÓN!A1422</f>
        <v>PTO-1704</v>
      </c>
      <c r="B1422" s="212" t="str">
        <f>COMPOSICIÓN!B1422</f>
        <v>MAT</v>
      </c>
      <c r="C1422" s="212" t="str">
        <f>COMPOSICIÓN!C1422</f>
        <v>OTR</v>
      </c>
      <c r="D1422" s="212" t="str">
        <f>COMPOSICIÓN!D1422</f>
        <v>AGR-004</v>
      </c>
      <c r="E1422" s="212" t="str">
        <f>COMPOSICIÓN!E1422</f>
        <v>Cemento Portland x 50kg</v>
      </c>
      <c r="F1422" s="212" t="str">
        <f>COMPOSICIÓN!F1422</f>
        <v>Bol</v>
      </c>
      <c r="G1422" s="213">
        <f>COMPOSICIÓN!G1422</f>
        <v>0.32400000000000001</v>
      </c>
      <c r="H1422" s="214">
        <f>COMPOSICIÓN!H1422</f>
        <v>0.1</v>
      </c>
      <c r="I1422" s="215">
        <f>COMPOSICIÓN!I1422</f>
        <v>7809.48</v>
      </c>
      <c r="J1422" s="212" t="str">
        <f>IFERROR(VLOOKUP(A1422,PARTIDAS!$A$2:$C$269,3,FALSE()),"")</f>
        <v>CARPINTERIA</v>
      </c>
      <c r="K1422" s="212" t="str">
        <f>IFERROR(INDEX(PPTO_GENERADOR!$B$4:$B$220,MATCH(A1422,PPTO_GENERADOR!$Q$4:$Q$220,0)),"")</f>
        <v>CARPINTERIA</v>
      </c>
      <c r="L1422" s="216">
        <f>IF(PLAN_ETAPA!$C$4="(TODOS)",SUMIFS(PPTO_GENERADOR!$E$4:$E$220,PPTO_GENERADOR!$Q$4:$Q$220,A1422),SUMIFS(PPTO_GENERADOR!$E$4:$E$220,PPTO_GENERADOR!$Q$4:$Q$220,A1422,PPTO_GENERADOR!$B$4:$B$220,PLAN_ETAPA!$C$4))</f>
        <v>0</v>
      </c>
      <c r="M1422" s="216">
        <f>IFERROR(VLOOKUP(A1422,PARTIDAS!$A$2:$F$269,6,FALSE()),1)</f>
        <v>2</v>
      </c>
      <c r="N1422" s="216">
        <f>IFERROR(VLOOKUP(A1422,PARTIDAS!$A$2:$I$269,9,FALSE()),1)</f>
        <v>1</v>
      </c>
      <c r="O1422" s="217">
        <f t="shared" si="44"/>
        <v>0</v>
      </c>
      <c r="P1422" s="216">
        <f>IF(O1422=0,0,IF(B1422="MAT",G1422*(1+H1422)*L1422*PLAN_ETAPA!$C$5,IF(B1422="MO",IF(M1422=0,0,G1422*L1422*PLAN_ETAPA!$C$5*N1422/M1422),IF(B1422="EQ",IF(M1422=0,0,G1422*L1422*PLAN_ETAPA!$C$5/M1422),0))))</f>
        <v>0</v>
      </c>
      <c r="Q1422" s="218">
        <f t="shared" si="45"/>
        <v>0</v>
      </c>
    </row>
    <row r="1423" spans="1:17" x14ac:dyDescent="0.35">
      <c r="A1423" s="212" t="str">
        <f>COMPOSICIÓN!A1423</f>
        <v>PTO-1704</v>
      </c>
      <c r="B1423" s="212" t="str">
        <f>COMPOSICIÓN!B1423</f>
        <v>MO</v>
      </c>
      <c r="C1423" s="212" t="str">
        <f>COMPOSICIÓN!C1423</f>
        <v>OTR</v>
      </c>
      <c r="D1423" s="212" t="str">
        <f>COMPOSICIÓN!D1423</f>
        <v>SUB-PTO085</v>
      </c>
      <c r="E1423" s="212" t="str">
        <f>COMPOSICIÓN!E1423</f>
        <v xml:space="preserve">MO Amure Puertas de Ascensor </v>
      </c>
      <c r="F1423" s="212" t="str">
        <f>COMPOSICIÓN!F1423</f>
        <v>j</v>
      </c>
      <c r="G1423" s="213">
        <f>COMPOSICIÓN!G1423</f>
        <v>2</v>
      </c>
      <c r="H1423" s="214">
        <f>COMPOSICIÓN!H1423</f>
        <v>0</v>
      </c>
      <c r="I1423" s="215">
        <f>COMPOSICIÓN!I1423</f>
        <v>27522.689612464499</v>
      </c>
      <c r="J1423" s="212" t="str">
        <f>IFERROR(VLOOKUP(A1423,PARTIDAS!$A$2:$C$269,3,FALSE()),"")</f>
        <v>CARPINTERIA</v>
      </c>
      <c r="K1423" s="212" t="str">
        <f>IFERROR(INDEX(PPTO_GENERADOR!$B$4:$B$220,MATCH(A1423,PPTO_GENERADOR!$Q$4:$Q$220,0)),"")</f>
        <v>CARPINTERIA</v>
      </c>
      <c r="L1423" s="216">
        <f>IF(PLAN_ETAPA!$C$4="(TODOS)",SUMIFS(PPTO_GENERADOR!$E$4:$E$220,PPTO_GENERADOR!$Q$4:$Q$220,A1423),SUMIFS(PPTO_GENERADOR!$E$4:$E$220,PPTO_GENERADOR!$Q$4:$Q$220,A1423,PPTO_GENERADOR!$B$4:$B$220,PLAN_ETAPA!$C$4))</f>
        <v>0</v>
      </c>
      <c r="M1423" s="216">
        <f>IFERROR(VLOOKUP(A1423,PARTIDAS!$A$2:$F$269,6,FALSE()),1)</f>
        <v>2</v>
      </c>
      <c r="N1423" s="216">
        <f>IFERROR(VLOOKUP(A1423,PARTIDAS!$A$2:$I$269,9,FALSE()),1)</f>
        <v>1</v>
      </c>
      <c r="O1423" s="217">
        <f t="shared" si="44"/>
        <v>0</v>
      </c>
      <c r="P1423" s="216">
        <f>IF(O1423=0,0,IF(B1423="MAT",G1423*(1+H1423)*L1423*PLAN_ETAPA!$C$5,IF(B1423="MO",IF(M1423=0,0,G1423*L1423*PLAN_ETAPA!$C$5*N1423/M1423),IF(B1423="EQ",IF(M1423=0,0,G1423*L1423*PLAN_ETAPA!$C$5/M1423),0))))</f>
        <v>0</v>
      </c>
      <c r="Q1423" s="218">
        <f t="shared" si="45"/>
        <v>0</v>
      </c>
    </row>
    <row r="1424" spans="1:17" x14ac:dyDescent="0.35">
      <c r="A1424" s="212" t="str">
        <f>COMPOSICIÓN!A1424</f>
        <v>PTO-1704</v>
      </c>
      <c r="B1424" s="212" t="str">
        <f>COMPOSICIÓN!B1424</f>
        <v>MO</v>
      </c>
      <c r="C1424" s="212" t="str">
        <f>COMPOSICIÓN!C1424</f>
        <v>ALB</v>
      </c>
      <c r="D1424" s="212" t="str">
        <f>COMPOSICIÓN!D1424</f>
        <v>MO-EAYUD</v>
      </c>
      <c r="E1424" s="212" t="str">
        <f>COMPOSICIÓN!E1424</f>
        <v>AYUDANTE</v>
      </c>
      <c r="F1424" s="212" t="str">
        <f>COMPOSICIÓN!F1424</f>
        <v>j</v>
      </c>
      <c r="G1424" s="213">
        <f>COMPOSICIÓN!G1424</f>
        <v>0.75</v>
      </c>
      <c r="H1424" s="214">
        <f>COMPOSICIÓN!H1424</f>
        <v>0</v>
      </c>
      <c r="I1424" s="215">
        <f>COMPOSICIÓN!I1424</f>
        <v>60860.580776572002</v>
      </c>
      <c r="J1424" s="212" t="str">
        <f>IFERROR(VLOOKUP(A1424,PARTIDAS!$A$2:$C$269,3,FALSE()),"")</f>
        <v>CARPINTERIA</v>
      </c>
      <c r="K1424" s="212" t="str">
        <f>IFERROR(INDEX(PPTO_GENERADOR!$B$4:$B$220,MATCH(A1424,PPTO_GENERADOR!$Q$4:$Q$220,0)),"")</f>
        <v>CARPINTERIA</v>
      </c>
      <c r="L1424" s="216">
        <f>IF(PLAN_ETAPA!$C$4="(TODOS)",SUMIFS(PPTO_GENERADOR!$E$4:$E$220,PPTO_GENERADOR!$Q$4:$Q$220,A1424),SUMIFS(PPTO_GENERADOR!$E$4:$E$220,PPTO_GENERADOR!$Q$4:$Q$220,A1424,PPTO_GENERADOR!$B$4:$B$220,PLAN_ETAPA!$C$4))</f>
        <v>0</v>
      </c>
      <c r="M1424" s="216">
        <f>IFERROR(VLOOKUP(A1424,PARTIDAS!$A$2:$F$269,6,FALSE()),1)</f>
        <v>2</v>
      </c>
      <c r="N1424" s="216">
        <f>IFERROR(VLOOKUP(A1424,PARTIDAS!$A$2:$I$269,9,FALSE()),1)</f>
        <v>1</v>
      </c>
      <c r="O1424" s="217">
        <f t="shared" si="44"/>
        <v>0</v>
      </c>
      <c r="P1424" s="216">
        <f>IF(O1424=0,0,IF(B1424="MAT",G1424*(1+H1424)*L1424*PLAN_ETAPA!$C$5,IF(B1424="MO",IF(M1424=0,0,G1424*L1424*PLAN_ETAPA!$C$5*N1424/M1424),IF(B1424="EQ",IF(M1424=0,0,G1424*L1424*PLAN_ETAPA!$C$5/M1424),0))))</f>
        <v>0</v>
      </c>
      <c r="Q1424" s="218">
        <f t="shared" si="45"/>
        <v>0</v>
      </c>
    </row>
    <row r="1425" spans="1:17" x14ac:dyDescent="0.35">
      <c r="A1425" s="212" t="str">
        <f>COMPOSICIÓN!A1425</f>
        <v>PTO-1704</v>
      </c>
      <c r="B1425" s="212" t="str">
        <f>COMPOSICIÓN!B1425</f>
        <v>MO</v>
      </c>
      <c r="C1425" s="212" t="str">
        <f>COMPOSICIÓN!C1425</f>
        <v>ALB</v>
      </c>
      <c r="D1425" s="212" t="str">
        <f>COMPOSICIÓN!D1425</f>
        <v>MO-EESPE</v>
      </c>
      <c r="E1425" s="212" t="str">
        <f>COMPOSICIÓN!E1425</f>
        <v>ESPECIALIZADO</v>
      </c>
      <c r="F1425" s="212" t="str">
        <f>COMPOSICIÓN!F1425</f>
        <v>j</v>
      </c>
      <c r="G1425" s="213">
        <f>COMPOSICIÓN!G1425</f>
        <v>0.75</v>
      </c>
      <c r="H1425" s="214">
        <f>COMPOSICIÓN!H1425</f>
        <v>0</v>
      </c>
      <c r="I1425" s="215">
        <f>COMPOSICIÓN!I1425</f>
        <v>85927.097156571996</v>
      </c>
      <c r="J1425" s="212" t="str">
        <f>IFERROR(VLOOKUP(A1425,PARTIDAS!$A$2:$C$269,3,FALSE()),"")</f>
        <v>CARPINTERIA</v>
      </c>
      <c r="K1425" s="212" t="str">
        <f>IFERROR(INDEX(PPTO_GENERADOR!$B$4:$B$220,MATCH(A1425,PPTO_GENERADOR!$Q$4:$Q$220,0)),"")</f>
        <v>CARPINTERIA</v>
      </c>
      <c r="L1425" s="216">
        <f>IF(PLAN_ETAPA!$C$4="(TODOS)",SUMIFS(PPTO_GENERADOR!$E$4:$E$220,PPTO_GENERADOR!$Q$4:$Q$220,A1425),SUMIFS(PPTO_GENERADOR!$E$4:$E$220,PPTO_GENERADOR!$Q$4:$Q$220,A1425,PPTO_GENERADOR!$B$4:$B$220,PLAN_ETAPA!$C$4))</f>
        <v>0</v>
      </c>
      <c r="M1425" s="216">
        <f>IFERROR(VLOOKUP(A1425,PARTIDAS!$A$2:$F$269,6,FALSE()),1)</f>
        <v>2</v>
      </c>
      <c r="N1425" s="216">
        <f>IFERROR(VLOOKUP(A1425,PARTIDAS!$A$2:$I$269,9,FALSE()),1)</f>
        <v>1</v>
      </c>
      <c r="O1425" s="217">
        <f t="shared" si="44"/>
        <v>0</v>
      </c>
      <c r="P1425" s="216">
        <f>IF(O1425=0,0,IF(B1425="MAT",G1425*(1+H1425)*L1425*PLAN_ETAPA!$C$5,IF(B1425="MO",IF(M1425=0,0,G1425*L1425*PLAN_ETAPA!$C$5*N1425/M1425),IF(B1425="EQ",IF(M1425=0,0,G1425*L1425*PLAN_ETAPA!$C$5/M1425),0))))</f>
        <v>0</v>
      </c>
      <c r="Q1425" s="218">
        <f t="shared" si="45"/>
        <v>0</v>
      </c>
    </row>
    <row r="1426" spans="1:17" x14ac:dyDescent="0.35">
      <c r="A1426" s="212" t="str">
        <f>COMPOSICIÓN!A1426</f>
        <v>PTO-1801</v>
      </c>
      <c r="B1426" s="212" t="str">
        <f>COMPOSICIÓN!B1426</f>
        <v>EQ</v>
      </c>
      <c r="C1426" s="212">
        <f>COMPOSICIÓN!C1426</f>
        <v>0</v>
      </c>
      <c r="D1426" s="212" t="str">
        <f>COMPOSICIÓN!D1426</f>
        <v>EQ-ANDAM0</v>
      </c>
      <c r="E1426" s="212" t="str">
        <f>COMPOSICIÓN!E1426</f>
        <v>ANDAMIO TUBULAR DE UNO A TRES CUERPOS</v>
      </c>
      <c r="F1426" s="212">
        <f>COMPOSICIÓN!F1426</f>
        <v>0</v>
      </c>
      <c r="G1426" s="213">
        <f>COMPOSICIÓN!G1426</f>
        <v>0.5</v>
      </c>
      <c r="H1426" s="214">
        <f>COMPOSICIÓN!H1426</f>
        <v>0</v>
      </c>
      <c r="I1426" s="215">
        <f>COMPOSICIÓN!I1426</f>
        <v>571.1794909807611</v>
      </c>
      <c r="J1426" s="212" t="str">
        <f>IFERROR(VLOOKUP(A1426,PARTIDAS!$A$2:$C$269,3,FALSE()),"")</f>
        <v>INSTALACIÓN ELÉCTRICA</v>
      </c>
      <c r="K1426" s="212" t="str">
        <f>IFERROR(INDEX(PPTO_GENERADOR!$B$4:$B$220,MATCH(A1426,PPTO_GENERADOR!$Q$4:$Q$220,0)),"")</f>
        <v>INSTALACIÓN ELÉCTRICA</v>
      </c>
      <c r="L1426" s="216">
        <f>IF(PLAN_ETAPA!$C$4="(TODOS)",SUMIFS(PPTO_GENERADOR!$E$4:$E$220,PPTO_GENERADOR!$Q$4:$Q$220,A1426),SUMIFS(PPTO_GENERADOR!$E$4:$E$220,PPTO_GENERADOR!$Q$4:$Q$220,A1426,PPTO_GENERADOR!$B$4:$B$220,PLAN_ETAPA!$C$4))</f>
        <v>0</v>
      </c>
      <c r="M1426" s="216">
        <f>IFERROR(VLOOKUP(A1426,PARTIDAS!$A$2:$F$269,6,FALSE()),1)</f>
        <v>3.25</v>
      </c>
      <c r="N1426" s="216">
        <f>IFERROR(VLOOKUP(A1426,PARTIDAS!$A$2:$I$269,9,FALSE()),1)</f>
        <v>1</v>
      </c>
      <c r="O1426" s="217">
        <f t="shared" si="44"/>
        <v>0</v>
      </c>
      <c r="P1426" s="216">
        <f>IF(O1426=0,0,IF(B1426="MAT",G1426*(1+H1426)*L1426*PLAN_ETAPA!$C$5,IF(B1426="MO",IF(M1426=0,0,G1426*L1426*PLAN_ETAPA!$C$5*N1426/M1426),IF(B1426="EQ",IF(M1426=0,0,G1426*L1426*PLAN_ETAPA!$C$5/M1426),0))))</f>
        <v>0</v>
      </c>
      <c r="Q1426" s="218">
        <f t="shared" si="45"/>
        <v>0</v>
      </c>
    </row>
    <row r="1427" spans="1:17" x14ac:dyDescent="0.35">
      <c r="A1427" s="212" t="str">
        <f>COMPOSICIÓN!A1427</f>
        <v>PTO-1801</v>
      </c>
      <c r="B1427" s="212" t="str">
        <f>COMPOSICIÓN!B1427</f>
        <v>EQ</v>
      </c>
      <c r="C1427" s="212">
        <f>COMPOSICIÓN!C1427</f>
        <v>0</v>
      </c>
      <c r="D1427" s="212" t="str">
        <f>COMPOSICIÓN!D1427</f>
        <v>EQ-EQUIP0</v>
      </c>
      <c r="E1427" s="212" t="str">
        <f>COMPOSICIÓN!E1427</f>
        <v>EQUIPO PARA INSTALACION ELECTRICA</v>
      </c>
      <c r="F1427" s="212">
        <f>COMPOSICIÓN!F1427</f>
        <v>0</v>
      </c>
      <c r="G1427" s="213">
        <f>COMPOSICIÓN!G1427</f>
        <v>1</v>
      </c>
      <c r="H1427" s="214">
        <f>COMPOSICIÓN!H1427</f>
        <v>0</v>
      </c>
      <c r="I1427" s="215">
        <f>COMPOSICIÓN!I1427</f>
        <v>5063.0947914732405</v>
      </c>
      <c r="J1427" s="212" t="str">
        <f>IFERROR(VLOOKUP(A1427,PARTIDAS!$A$2:$C$269,3,FALSE()),"")</f>
        <v>INSTALACIÓN ELÉCTRICA</v>
      </c>
      <c r="K1427" s="212" t="str">
        <f>IFERROR(INDEX(PPTO_GENERADOR!$B$4:$B$220,MATCH(A1427,PPTO_GENERADOR!$Q$4:$Q$220,0)),"")</f>
        <v>INSTALACIÓN ELÉCTRICA</v>
      </c>
      <c r="L1427" s="216">
        <f>IF(PLAN_ETAPA!$C$4="(TODOS)",SUMIFS(PPTO_GENERADOR!$E$4:$E$220,PPTO_GENERADOR!$Q$4:$Q$220,A1427),SUMIFS(PPTO_GENERADOR!$E$4:$E$220,PPTO_GENERADOR!$Q$4:$Q$220,A1427,PPTO_GENERADOR!$B$4:$B$220,PLAN_ETAPA!$C$4))</f>
        <v>0</v>
      </c>
      <c r="M1427" s="216">
        <f>IFERROR(VLOOKUP(A1427,PARTIDAS!$A$2:$F$269,6,FALSE()),1)</f>
        <v>3.25</v>
      </c>
      <c r="N1427" s="216">
        <f>IFERROR(VLOOKUP(A1427,PARTIDAS!$A$2:$I$269,9,FALSE()),1)</f>
        <v>1</v>
      </c>
      <c r="O1427" s="217">
        <f t="shared" si="44"/>
        <v>0</v>
      </c>
      <c r="P1427" s="216">
        <f>IF(O1427=0,0,IF(B1427="MAT",G1427*(1+H1427)*L1427*PLAN_ETAPA!$C$5,IF(B1427="MO",IF(M1427=0,0,G1427*L1427*PLAN_ETAPA!$C$5*N1427/M1427),IF(B1427="EQ",IF(M1427=0,0,G1427*L1427*PLAN_ETAPA!$C$5/M1427),0))))</f>
        <v>0</v>
      </c>
      <c r="Q1427" s="218">
        <f t="shared" si="45"/>
        <v>0</v>
      </c>
    </row>
    <row r="1428" spans="1:17" x14ac:dyDescent="0.35">
      <c r="A1428" s="212" t="str">
        <f>COMPOSICIÓN!A1428</f>
        <v>PTO-1801</v>
      </c>
      <c r="B1428" s="212" t="str">
        <f>COMPOSICIÓN!B1428</f>
        <v>EQ</v>
      </c>
      <c r="C1428" s="212">
        <f>COMPOSICIÓN!C1428</f>
        <v>0</v>
      </c>
      <c r="D1428" s="212" t="str">
        <f>COMPOSICIÓN!D1428</f>
        <v>EQ-ESCALE</v>
      </c>
      <c r="E1428" s="212" t="str">
        <f>COMPOSICIÓN!E1428</f>
        <v>ESCALERA GLOSS ALUMINIO ARTICULADA 4 X 4 ESCALONES HASTA 150KG</v>
      </c>
      <c r="F1428" s="212">
        <f>COMPOSICIÓN!F1428</f>
        <v>0</v>
      </c>
      <c r="G1428" s="213">
        <f>COMPOSICIÓN!G1428</f>
        <v>0.5</v>
      </c>
      <c r="H1428" s="214">
        <f>COMPOSICIÓN!H1428</f>
        <v>0</v>
      </c>
      <c r="I1428" s="215">
        <f>COMPOSICIÓN!I1428</f>
        <v>140.19809259430903</v>
      </c>
      <c r="J1428" s="212" t="str">
        <f>IFERROR(VLOOKUP(A1428,PARTIDAS!$A$2:$C$269,3,FALSE()),"")</f>
        <v>INSTALACIÓN ELÉCTRICA</v>
      </c>
      <c r="K1428" s="212" t="str">
        <f>IFERROR(INDEX(PPTO_GENERADOR!$B$4:$B$220,MATCH(A1428,PPTO_GENERADOR!$Q$4:$Q$220,0)),"")</f>
        <v>INSTALACIÓN ELÉCTRICA</v>
      </c>
      <c r="L1428" s="216">
        <f>IF(PLAN_ETAPA!$C$4="(TODOS)",SUMIFS(PPTO_GENERADOR!$E$4:$E$220,PPTO_GENERADOR!$Q$4:$Q$220,A1428),SUMIFS(PPTO_GENERADOR!$E$4:$E$220,PPTO_GENERADOR!$Q$4:$Q$220,A1428,PPTO_GENERADOR!$B$4:$B$220,PLAN_ETAPA!$C$4))</f>
        <v>0</v>
      </c>
      <c r="M1428" s="216">
        <f>IFERROR(VLOOKUP(A1428,PARTIDAS!$A$2:$F$269,6,FALSE()),1)</f>
        <v>3.25</v>
      </c>
      <c r="N1428" s="216">
        <f>IFERROR(VLOOKUP(A1428,PARTIDAS!$A$2:$I$269,9,FALSE()),1)</f>
        <v>1</v>
      </c>
      <c r="O1428" s="217">
        <f t="shared" si="44"/>
        <v>0</v>
      </c>
      <c r="P1428" s="216">
        <f>IF(O1428=0,0,IF(B1428="MAT",G1428*(1+H1428)*L1428*PLAN_ETAPA!$C$5,IF(B1428="MO",IF(M1428=0,0,G1428*L1428*PLAN_ETAPA!$C$5*N1428/M1428),IF(B1428="EQ",IF(M1428=0,0,G1428*L1428*PLAN_ETAPA!$C$5/M1428),0))))</f>
        <v>0</v>
      </c>
      <c r="Q1428" s="218">
        <f t="shared" si="45"/>
        <v>0</v>
      </c>
    </row>
    <row r="1429" spans="1:17" x14ac:dyDescent="0.35">
      <c r="A1429" s="212" t="str">
        <f>COMPOSICIÓN!A1429</f>
        <v>PTO-1801</v>
      </c>
      <c r="B1429" s="212" t="str">
        <f>COMPOSICIÓN!B1429</f>
        <v>MAT</v>
      </c>
      <c r="C1429" s="212" t="str">
        <f>COMPOSICIÓN!C1429</f>
        <v>OTR</v>
      </c>
      <c r="D1429" s="212" t="str">
        <f>COMPOSICIÓN!D1429</f>
        <v>MAT-CONS</v>
      </c>
      <c r="E1429" s="212" t="str">
        <f>COMPOSICIÓN!E1429</f>
        <v>Consumibles</v>
      </c>
      <c r="F1429" s="212" t="str">
        <f>COMPOSICIÓN!F1429</f>
        <v>gl</v>
      </c>
      <c r="G1429" s="213">
        <f>COMPOSICIÓN!G1429</f>
        <v>3530.1140378925602</v>
      </c>
      <c r="H1429" s="214">
        <f>COMPOSICIÓN!H1429</f>
        <v>0</v>
      </c>
      <c r="I1429" s="215">
        <f>COMPOSICIÓN!I1429</f>
        <v>1</v>
      </c>
      <c r="J1429" s="212" t="str">
        <f>IFERROR(VLOOKUP(A1429,PARTIDAS!$A$2:$C$269,3,FALSE()),"")</f>
        <v>INSTALACIÓN ELÉCTRICA</v>
      </c>
      <c r="K1429" s="212" t="str">
        <f>IFERROR(INDEX(PPTO_GENERADOR!$B$4:$B$220,MATCH(A1429,PPTO_GENERADOR!$Q$4:$Q$220,0)),"")</f>
        <v>INSTALACIÓN ELÉCTRICA</v>
      </c>
      <c r="L1429" s="216">
        <f>IF(PLAN_ETAPA!$C$4="(TODOS)",SUMIFS(PPTO_GENERADOR!$E$4:$E$220,PPTO_GENERADOR!$Q$4:$Q$220,A1429),SUMIFS(PPTO_GENERADOR!$E$4:$E$220,PPTO_GENERADOR!$Q$4:$Q$220,A1429,PPTO_GENERADOR!$B$4:$B$220,PLAN_ETAPA!$C$4))</f>
        <v>0</v>
      </c>
      <c r="M1429" s="216">
        <f>IFERROR(VLOOKUP(A1429,PARTIDAS!$A$2:$F$269,6,FALSE()),1)</f>
        <v>3.25</v>
      </c>
      <c r="N1429" s="216">
        <f>IFERROR(VLOOKUP(A1429,PARTIDAS!$A$2:$I$269,9,FALSE()),1)</f>
        <v>1</v>
      </c>
      <c r="O1429" s="217">
        <f t="shared" si="44"/>
        <v>0</v>
      </c>
      <c r="P1429" s="216">
        <f>IF(O1429=0,0,IF(B1429="MAT",G1429*(1+H1429)*L1429*PLAN_ETAPA!$C$5,IF(B1429="MO",IF(M1429=0,0,G1429*L1429*PLAN_ETAPA!$C$5*N1429/M1429),IF(B1429="EQ",IF(M1429=0,0,G1429*L1429*PLAN_ETAPA!$C$5/M1429),0))))</f>
        <v>0</v>
      </c>
      <c r="Q1429" s="218">
        <f t="shared" si="45"/>
        <v>0</v>
      </c>
    </row>
    <row r="1430" spans="1:17" x14ac:dyDescent="0.35">
      <c r="A1430" s="212" t="str">
        <f>COMPOSICIÓN!A1430</f>
        <v>PTO-1801</v>
      </c>
      <c r="B1430" s="212" t="str">
        <f>COMPOSICIÓN!B1430</f>
        <v>MAT</v>
      </c>
      <c r="C1430" s="212" t="str">
        <f>COMPOSICIÓN!C1430</f>
        <v>OTR</v>
      </c>
      <c r="D1430" s="212" t="str">
        <f>COMPOSICIÓN!D1430</f>
        <v>ACE-018</v>
      </c>
      <c r="E1430" s="212" t="str">
        <f>COMPOSICIÓN!E1430</f>
        <v>Conector hierro 7/8"</v>
      </c>
      <c r="F1430" s="212" t="str">
        <f>COMPOSICIÓN!F1430</f>
        <v>u</v>
      </c>
      <c r="G1430" s="213">
        <f>COMPOSICIÓN!G1430</f>
        <v>3</v>
      </c>
      <c r="H1430" s="214">
        <f>COMPOSICIÓN!H1430</f>
        <v>0.1</v>
      </c>
      <c r="I1430" s="215">
        <f>COMPOSICIÓN!I1430</f>
        <v>282.29000000000002</v>
      </c>
      <c r="J1430" s="212" t="str">
        <f>IFERROR(VLOOKUP(A1430,PARTIDAS!$A$2:$C$269,3,FALSE()),"")</f>
        <v>INSTALACIÓN ELÉCTRICA</v>
      </c>
      <c r="K1430" s="212" t="str">
        <f>IFERROR(INDEX(PPTO_GENERADOR!$B$4:$B$220,MATCH(A1430,PPTO_GENERADOR!$Q$4:$Q$220,0)),"")</f>
        <v>INSTALACIÓN ELÉCTRICA</v>
      </c>
      <c r="L1430" s="216">
        <f>IF(PLAN_ETAPA!$C$4="(TODOS)",SUMIFS(PPTO_GENERADOR!$E$4:$E$220,PPTO_GENERADOR!$Q$4:$Q$220,A1430),SUMIFS(PPTO_GENERADOR!$E$4:$E$220,PPTO_GENERADOR!$Q$4:$Q$220,A1430,PPTO_GENERADOR!$B$4:$B$220,PLAN_ETAPA!$C$4))</f>
        <v>0</v>
      </c>
      <c r="M1430" s="216">
        <f>IFERROR(VLOOKUP(A1430,PARTIDAS!$A$2:$F$269,6,FALSE()),1)</f>
        <v>3.25</v>
      </c>
      <c r="N1430" s="216">
        <f>IFERROR(VLOOKUP(A1430,PARTIDAS!$A$2:$I$269,9,FALSE()),1)</f>
        <v>1</v>
      </c>
      <c r="O1430" s="217">
        <f t="shared" si="44"/>
        <v>0</v>
      </c>
      <c r="P1430" s="216">
        <f>IF(O1430=0,0,IF(B1430="MAT",G1430*(1+H1430)*L1430*PLAN_ETAPA!$C$5,IF(B1430="MO",IF(M1430=0,0,G1430*L1430*PLAN_ETAPA!$C$5*N1430/M1430),IF(B1430="EQ",IF(M1430=0,0,G1430*L1430*PLAN_ETAPA!$C$5/M1430),0))))</f>
        <v>0</v>
      </c>
      <c r="Q1430" s="218">
        <f t="shared" si="45"/>
        <v>0</v>
      </c>
    </row>
    <row r="1431" spans="1:17" x14ac:dyDescent="0.35">
      <c r="A1431" s="212" t="str">
        <f>COMPOSICIÓN!A1431</f>
        <v>PTO-1801</v>
      </c>
      <c r="B1431" s="212" t="str">
        <f>COMPOSICIÓN!B1431</f>
        <v>MAT</v>
      </c>
      <c r="C1431" s="212" t="str">
        <f>COMPOSICIÓN!C1431</f>
        <v>OTR</v>
      </c>
      <c r="D1431" s="212" t="str">
        <f>COMPOSICIÓN!D1431</f>
        <v>ELE-003</v>
      </c>
      <c r="E1431" s="212" t="str">
        <f>COMPOSICIÓN!E1431</f>
        <v>Caño rigido 7/8"</v>
      </c>
      <c r="F1431" s="212" t="str">
        <f>COMPOSICIÓN!F1431</f>
        <v>ml</v>
      </c>
      <c r="G1431" s="213">
        <f>COMPOSICIÓN!G1431</f>
        <v>5</v>
      </c>
      <c r="H1431" s="214">
        <f>COMPOSICIÓN!H1431</f>
        <v>0.1</v>
      </c>
      <c r="I1431" s="215">
        <f>COMPOSICIÓN!I1431</f>
        <v>635.55999999999995</v>
      </c>
      <c r="J1431" s="212" t="str">
        <f>IFERROR(VLOOKUP(A1431,PARTIDAS!$A$2:$C$269,3,FALSE()),"")</f>
        <v>INSTALACIÓN ELÉCTRICA</v>
      </c>
      <c r="K1431" s="212" t="str">
        <f>IFERROR(INDEX(PPTO_GENERADOR!$B$4:$B$220,MATCH(A1431,PPTO_GENERADOR!$Q$4:$Q$220,0)),"")</f>
        <v>INSTALACIÓN ELÉCTRICA</v>
      </c>
      <c r="L1431" s="216">
        <f>IF(PLAN_ETAPA!$C$4="(TODOS)",SUMIFS(PPTO_GENERADOR!$E$4:$E$220,PPTO_GENERADOR!$Q$4:$Q$220,A1431),SUMIFS(PPTO_GENERADOR!$E$4:$E$220,PPTO_GENERADOR!$Q$4:$Q$220,A1431,PPTO_GENERADOR!$B$4:$B$220,PLAN_ETAPA!$C$4))</f>
        <v>0</v>
      </c>
      <c r="M1431" s="216">
        <f>IFERROR(VLOOKUP(A1431,PARTIDAS!$A$2:$F$269,6,FALSE()),1)</f>
        <v>3.25</v>
      </c>
      <c r="N1431" s="216">
        <f>IFERROR(VLOOKUP(A1431,PARTIDAS!$A$2:$I$269,9,FALSE()),1)</f>
        <v>1</v>
      </c>
      <c r="O1431" s="217">
        <f t="shared" si="44"/>
        <v>0</v>
      </c>
      <c r="P1431" s="216">
        <f>IF(O1431=0,0,IF(B1431="MAT",G1431*(1+H1431)*L1431*PLAN_ETAPA!$C$5,IF(B1431="MO",IF(M1431=0,0,G1431*L1431*PLAN_ETAPA!$C$5*N1431/M1431),IF(B1431="EQ",IF(M1431=0,0,G1431*L1431*PLAN_ETAPA!$C$5/M1431),0))))</f>
        <v>0</v>
      </c>
      <c r="Q1431" s="218">
        <f t="shared" si="45"/>
        <v>0</v>
      </c>
    </row>
    <row r="1432" spans="1:17" x14ac:dyDescent="0.35">
      <c r="A1432" s="212" t="str">
        <f>COMPOSICIÓN!A1432</f>
        <v>PTO-1801</v>
      </c>
      <c r="B1432" s="212" t="str">
        <f>COMPOSICIÓN!B1432</f>
        <v>MAT</v>
      </c>
      <c r="C1432" s="212" t="str">
        <f>COMPOSICIÓN!C1432</f>
        <v>OTR</v>
      </c>
      <c r="D1432" s="212" t="str">
        <f>COMPOSICIÓN!D1432</f>
        <v>ELE-006</v>
      </c>
      <c r="E1432" s="212" t="str">
        <f>COMPOSICIÓN!E1432</f>
        <v>Cupla PVC 7/8"</v>
      </c>
      <c r="F1432" s="212" t="str">
        <f>COMPOSICIÓN!F1432</f>
        <v>u</v>
      </c>
      <c r="G1432" s="213">
        <f>COMPOSICIÓN!G1432</f>
        <v>2</v>
      </c>
      <c r="H1432" s="214">
        <f>COMPOSICIÓN!H1432</f>
        <v>0.1</v>
      </c>
      <c r="I1432" s="215">
        <f>COMPOSICIÓN!I1432</f>
        <v>184.87</v>
      </c>
      <c r="J1432" s="212" t="str">
        <f>IFERROR(VLOOKUP(A1432,PARTIDAS!$A$2:$C$269,3,FALSE()),"")</f>
        <v>INSTALACIÓN ELÉCTRICA</v>
      </c>
      <c r="K1432" s="212" t="str">
        <f>IFERROR(INDEX(PPTO_GENERADOR!$B$4:$B$220,MATCH(A1432,PPTO_GENERADOR!$Q$4:$Q$220,0)),"")</f>
        <v>INSTALACIÓN ELÉCTRICA</v>
      </c>
      <c r="L1432" s="216">
        <f>IF(PLAN_ETAPA!$C$4="(TODOS)",SUMIFS(PPTO_GENERADOR!$E$4:$E$220,PPTO_GENERADOR!$Q$4:$Q$220,A1432),SUMIFS(PPTO_GENERADOR!$E$4:$E$220,PPTO_GENERADOR!$Q$4:$Q$220,A1432,PPTO_GENERADOR!$B$4:$B$220,PLAN_ETAPA!$C$4))</f>
        <v>0</v>
      </c>
      <c r="M1432" s="216">
        <f>IFERROR(VLOOKUP(A1432,PARTIDAS!$A$2:$F$269,6,FALSE()),1)</f>
        <v>3.25</v>
      </c>
      <c r="N1432" s="216">
        <f>IFERROR(VLOOKUP(A1432,PARTIDAS!$A$2:$I$269,9,FALSE()),1)</f>
        <v>1</v>
      </c>
      <c r="O1432" s="217">
        <f t="shared" si="44"/>
        <v>0</v>
      </c>
      <c r="P1432" s="216">
        <f>IF(O1432=0,0,IF(B1432="MAT",G1432*(1+H1432)*L1432*PLAN_ETAPA!$C$5,IF(B1432="MO",IF(M1432=0,0,G1432*L1432*PLAN_ETAPA!$C$5*N1432/M1432),IF(B1432="EQ",IF(M1432=0,0,G1432*L1432*PLAN_ETAPA!$C$5/M1432),0))))</f>
        <v>0</v>
      </c>
      <c r="Q1432" s="218">
        <f t="shared" si="45"/>
        <v>0</v>
      </c>
    </row>
    <row r="1433" spans="1:17" x14ac:dyDescent="0.35">
      <c r="A1433" s="212" t="str">
        <f>COMPOSICIÓN!A1433</f>
        <v>PTO-1801</v>
      </c>
      <c r="B1433" s="212" t="str">
        <f>COMPOSICIÓN!B1433</f>
        <v>MAT</v>
      </c>
      <c r="C1433" s="212" t="str">
        <f>COMPOSICIÓN!C1433</f>
        <v>OTR</v>
      </c>
      <c r="D1433" s="212" t="str">
        <f>COMPOSICIÓN!D1433</f>
        <v>ELE-008</v>
      </c>
      <c r="E1433" s="212" t="str">
        <f>COMPOSICIÓN!E1433</f>
        <v>Cable unipolar 1 x 1,50</v>
      </c>
      <c r="F1433" s="212" t="str">
        <f>COMPOSICIÓN!F1433</f>
        <v>ml</v>
      </c>
      <c r="G1433" s="213">
        <f>COMPOSICIÓN!G1433</f>
        <v>7.5</v>
      </c>
      <c r="H1433" s="214">
        <f>COMPOSICIÓN!H1433</f>
        <v>0.1</v>
      </c>
      <c r="I1433" s="215">
        <f>COMPOSICIÓN!I1433</f>
        <v>316.44450000000001</v>
      </c>
      <c r="J1433" s="212" t="str">
        <f>IFERROR(VLOOKUP(A1433,PARTIDAS!$A$2:$C$269,3,FALSE()),"")</f>
        <v>INSTALACIÓN ELÉCTRICA</v>
      </c>
      <c r="K1433" s="212" t="str">
        <f>IFERROR(INDEX(PPTO_GENERADOR!$B$4:$B$220,MATCH(A1433,PPTO_GENERADOR!$Q$4:$Q$220,0)),"")</f>
        <v>INSTALACIÓN ELÉCTRICA</v>
      </c>
      <c r="L1433" s="216">
        <f>IF(PLAN_ETAPA!$C$4="(TODOS)",SUMIFS(PPTO_GENERADOR!$E$4:$E$220,PPTO_GENERADOR!$Q$4:$Q$220,A1433),SUMIFS(PPTO_GENERADOR!$E$4:$E$220,PPTO_GENERADOR!$Q$4:$Q$220,A1433,PPTO_GENERADOR!$B$4:$B$220,PLAN_ETAPA!$C$4))</f>
        <v>0</v>
      </c>
      <c r="M1433" s="216">
        <f>IFERROR(VLOOKUP(A1433,PARTIDAS!$A$2:$F$269,6,FALSE()),1)</f>
        <v>3.25</v>
      </c>
      <c r="N1433" s="216">
        <f>IFERROR(VLOOKUP(A1433,PARTIDAS!$A$2:$I$269,9,FALSE()),1)</f>
        <v>1</v>
      </c>
      <c r="O1433" s="217">
        <f t="shared" si="44"/>
        <v>0</v>
      </c>
      <c r="P1433" s="216">
        <f>IF(O1433=0,0,IF(B1433="MAT",G1433*(1+H1433)*L1433*PLAN_ETAPA!$C$5,IF(B1433="MO",IF(M1433=0,0,G1433*L1433*PLAN_ETAPA!$C$5*N1433/M1433),IF(B1433="EQ",IF(M1433=0,0,G1433*L1433*PLAN_ETAPA!$C$5/M1433),0))))</f>
        <v>0</v>
      </c>
      <c r="Q1433" s="218">
        <f t="shared" si="45"/>
        <v>0</v>
      </c>
    </row>
    <row r="1434" spans="1:17" x14ac:dyDescent="0.35">
      <c r="A1434" s="212" t="str">
        <f>COMPOSICIÓN!A1434</f>
        <v>PTO-1801</v>
      </c>
      <c r="B1434" s="212" t="str">
        <f>COMPOSICIÓN!B1434</f>
        <v>MAT</v>
      </c>
      <c r="C1434" s="212" t="str">
        <f>COMPOSICIÓN!C1434</f>
        <v>OTR</v>
      </c>
      <c r="D1434" s="212" t="str">
        <f>COMPOSICIÓN!D1434</f>
        <v>ELE-009</v>
      </c>
      <c r="E1434" s="212" t="str">
        <f>COMPOSICIÓN!E1434</f>
        <v>Cable unipolar 1 x 2,50 VA</v>
      </c>
      <c r="F1434" s="212" t="str">
        <f>COMPOSICIÓN!F1434</f>
        <v>ml</v>
      </c>
      <c r="G1434" s="213">
        <f>COMPOSICIÓN!G1434</f>
        <v>5</v>
      </c>
      <c r="H1434" s="214">
        <f>COMPOSICIÓN!H1434</f>
        <v>0.1</v>
      </c>
      <c r="I1434" s="215">
        <f>COMPOSICIÓN!I1434</f>
        <v>509.31490000000002</v>
      </c>
      <c r="J1434" s="212" t="str">
        <f>IFERROR(VLOOKUP(A1434,PARTIDAS!$A$2:$C$269,3,FALSE()),"")</f>
        <v>INSTALACIÓN ELÉCTRICA</v>
      </c>
      <c r="K1434" s="212" t="str">
        <f>IFERROR(INDEX(PPTO_GENERADOR!$B$4:$B$220,MATCH(A1434,PPTO_GENERADOR!$Q$4:$Q$220,0)),"")</f>
        <v>INSTALACIÓN ELÉCTRICA</v>
      </c>
      <c r="L1434" s="216">
        <f>IF(PLAN_ETAPA!$C$4="(TODOS)",SUMIFS(PPTO_GENERADOR!$E$4:$E$220,PPTO_GENERADOR!$Q$4:$Q$220,A1434),SUMIFS(PPTO_GENERADOR!$E$4:$E$220,PPTO_GENERADOR!$Q$4:$Q$220,A1434,PPTO_GENERADOR!$B$4:$B$220,PLAN_ETAPA!$C$4))</f>
        <v>0</v>
      </c>
      <c r="M1434" s="216">
        <f>IFERROR(VLOOKUP(A1434,PARTIDAS!$A$2:$F$269,6,FALSE()),1)</f>
        <v>3.25</v>
      </c>
      <c r="N1434" s="216">
        <f>IFERROR(VLOOKUP(A1434,PARTIDAS!$A$2:$I$269,9,FALSE()),1)</f>
        <v>1</v>
      </c>
      <c r="O1434" s="217">
        <f t="shared" si="44"/>
        <v>0</v>
      </c>
      <c r="P1434" s="216">
        <f>IF(O1434=0,0,IF(B1434="MAT",G1434*(1+H1434)*L1434*PLAN_ETAPA!$C$5,IF(B1434="MO",IF(M1434=0,0,G1434*L1434*PLAN_ETAPA!$C$5*N1434/M1434),IF(B1434="EQ",IF(M1434=0,0,G1434*L1434*PLAN_ETAPA!$C$5/M1434),0))))</f>
        <v>0</v>
      </c>
      <c r="Q1434" s="218">
        <f t="shared" si="45"/>
        <v>0</v>
      </c>
    </row>
    <row r="1435" spans="1:17" x14ac:dyDescent="0.35">
      <c r="A1435" s="212" t="str">
        <f>COMPOSICIÓN!A1435</f>
        <v>PTO-1801</v>
      </c>
      <c r="B1435" s="212" t="str">
        <f>COMPOSICIÓN!B1435</f>
        <v>MAT</v>
      </c>
      <c r="C1435" s="212" t="str">
        <f>COMPOSICIÓN!C1435</f>
        <v>OTR</v>
      </c>
      <c r="D1435" s="212" t="str">
        <f>COMPOSICIÓN!D1435</f>
        <v>ELE-010</v>
      </c>
      <c r="E1435" s="212" t="str">
        <f>COMPOSICIÓN!E1435</f>
        <v>Cable unipolar 1 x 2,50 Rojo/Marron/Negro</v>
      </c>
      <c r="F1435" s="212" t="str">
        <f>COMPOSICIÓN!F1435</f>
        <v>ml</v>
      </c>
      <c r="G1435" s="213">
        <f>COMPOSICIÓN!G1435</f>
        <v>7.5</v>
      </c>
      <c r="H1435" s="214">
        <f>COMPOSICIÓN!H1435</f>
        <v>0.1</v>
      </c>
      <c r="I1435" s="215">
        <f>COMPOSICIÓN!I1435</f>
        <v>509.31490000000002</v>
      </c>
      <c r="J1435" s="212" t="str">
        <f>IFERROR(VLOOKUP(A1435,PARTIDAS!$A$2:$C$269,3,FALSE()),"")</f>
        <v>INSTALACIÓN ELÉCTRICA</v>
      </c>
      <c r="K1435" s="212" t="str">
        <f>IFERROR(INDEX(PPTO_GENERADOR!$B$4:$B$220,MATCH(A1435,PPTO_GENERADOR!$Q$4:$Q$220,0)),"")</f>
        <v>INSTALACIÓN ELÉCTRICA</v>
      </c>
      <c r="L1435" s="216">
        <f>IF(PLAN_ETAPA!$C$4="(TODOS)",SUMIFS(PPTO_GENERADOR!$E$4:$E$220,PPTO_GENERADOR!$Q$4:$Q$220,A1435),SUMIFS(PPTO_GENERADOR!$E$4:$E$220,PPTO_GENERADOR!$Q$4:$Q$220,A1435,PPTO_GENERADOR!$B$4:$B$220,PLAN_ETAPA!$C$4))</f>
        <v>0</v>
      </c>
      <c r="M1435" s="216">
        <f>IFERROR(VLOOKUP(A1435,PARTIDAS!$A$2:$F$269,6,FALSE()),1)</f>
        <v>3.25</v>
      </c>
      <c r="N1435" s="216">
        <f>IFERROR(VLOOKUP(A1435,PARTIDAS!$A$2:$I$269,9,FALSE()),1)</f>
        <v>1</v>
      </c>
      <c r="O1435" s="217">
        <f t="shared" si="44"/>
        <v>0</v>
      </c>
      <c r="P1435" s="216">
        <f>IF(O1435=0,0,IF(B1435="MAT",G1435*(1+H1435)*L1435*PLAN_ETAPA!$C$5,IF(B1435="MO",IF(M1435=0,0,G1435*L1435*PLAN_ETAPA!$C$5*N1435/M1435),IF(B1435="EQ",IF(M1435=0,0,G1435*L1435*PLAN_ETAPA!$C$5/M1435),0))))</f>
        <v>0</v>
      </c>
      <c r="Q1435" s="218">
        <f t="shared" si="45"/>
        <v>0</v>
      </c>
    </row>
    <row r="1436" spans="1:17" x14ac:dyDescent="0.35">
      <c r="A1436" s="212" t="str">
        <f>COMPOSICIÓN!A1436</f>
        <v>PTO-1801</v>
      </c>
      <c r="B1436" s="212" t="str">
        <f>COMPOSICIÓN!B1436</f>
        <v>MAT</v>
      </c>
      <c r="C1436" s="212" t="str">
        <f>COMPOSICIÓN!C1436</f>
        <v>OTR</v>
      </c>
      <c r="D1436" s="212" t="str">
        <f>COMPOSICIÓN!D1436</f>
        <v>ELE-013</v>
      </c>
      <c r="E1436" s="212" t="str">
        <f>COMPOSICIÓN!E1436</f>
        <v>Caja octogonal profunda</v>
      </c>
      <c r="F1436" s="212" t="str">
        <f>COMPOSICIÓN!F1436</f>
        <v>u</v>
      </c>
      <c r="G1436" s="213">
        <f>COMPOSICIÓN!G1436</f>
        <v>1</v>
      </c>
      <c r="H1436" s="214">
        <f>COMPOSICIÓN!H1436</f>
        <v>0.05</v>
      </c>
      <c r="I1436" s="215">
        <f>COMPOSICIÓN!I1436</f>
        <v>2148.7603305785101</v>
      </c>
      <c r="J1436" s="212" t="str">
        <f>IFERROR(VLOOKUP(A1436,PARTIDAS!$A$2:$C$269,3,FALSE()),"")</f>
        <v>INSTALACIÓN ELÉCTRICA</v>
      </c>
      <c r="K1436" s="212" t="str">
        <f>IFERROR(INDEX(PPTO_GENERADOR!$B$4:$B$220,MATCH(A1436,PPTO_GENERADOR!$Q$4:$Q$220,0)),"")</f>
        <v>INSTALACIÓN ELÉCTRICA</v>
      </c>
      <c r="L1436" s="216">
        <f>IF(PLAN_ETAPA!$C$4="(TODOS)",SUMIFS(PPTO_GENERADOR!$E$4:$E$220,PPTO_GENERADOR!$Q$4:$Q$220,A1436),SUMIFS(PPTO_GENERADOR!$E$4:$E$220,PPTO_GENERADOR!$Q$4:$Q$220,A1436,PPTO_GENERADOR!$B$4:$B$220,PLAN_ETAPA!$C$4))</f>
        <v>0</v>
      </c>
      <c r="M1436" s="216">
        <f>IFERROR(VLOOKUP(A1436,PARTIDAS!$A$2:$F$269,6,FALSE()),1)</f>
        <v>3.25</v>
      </c>
      <c r="N1436" s="216">
        <f>IFERROR(VLOOKUP(A1436,PARTIDAS!$A$2:$I$269,9,FALSE()),1)</f>
        <v>1</v>
      </c>
      <c r="O1436" s="217">
        <f t="shared" si="44"/>
        <v>0</v>
      </c>
      <c r="P1436" s="216">
        <f>IF(O1436=0,0,IF(B1436="MAT",G1436*(1+H1436)*L1436*PLAN_ETAPA!$C$5,IF(B1436="MO",IF(M1436=0,0,G1436*L1436*PLAN_ETAPA!$C$5*N1436/M1436),IF(B1436="EQ",IF(M1436=0,0,G1436*L1436*PLAN_ETAPA!$C$5/M1436),0))))</f>
        <v>0</v>
      </c>
      <c r="Q1436" s="218">
        <f t="shared" si="45"/>
        <v>0</v>
      </c>
    </row>
    <row r="1437" spans="1:17" x14ac:dyDescent="0.35">
      <c r="A1437" s="212" t="str">
        <f>COMPOSICIÓN!A1437</f>
        <v>PTO-1801</v>
      </c>
      <c r="B1437" s="212" t="str">
        <f>COMPOSICIÓN!B1437</f>
        <v>MAT</v>
      </c>
      <c r="C1437" s="212" t="str">
        <f>COMPOSICIÓN!C1437</f>
        <v>OTR</v>
      </c>
      <c r="D1437" s="212" t="str">
        <f>COMPOSICIÓN!D1437</f>
        <v>ELE-014</v>
      </c>
      <c r="E1437" s="212" t="str">
        <f>COMPOSICIÓN!E1437</f>
        <v>Caja rectangular chica</v>
      </c>
      <c r="F1437" s="212" t="str">
        <f>COMPOSICIÓN!F1437</f>
        <v>u</v>
      </c>
      <c r="G1437" s="213">
        <f>COMPOSICIÓN!G1437</f>
        <v>0.5</v>
      </c>
      <c r="H1437" s="214">
        <f>COMPOSICIÓN!H1437</f>
        <v>0.05</v>
      </c>
      <c r="I1437" s="215">
        <f>COMPOSICIÓN!I1437</f>
        <v>202.42</v>
      </c>
      <c r="J1437" s="212" t="str">
        <f>IFERROR(VLOOKUP(A1437,PARTIDAS!$A$2:$C$269,3,FALSE()),"")</f>
        <v>INSTALACIÓN ELÉCTRICA</v>
      </c>
      <c r="K1437" s="212" t="str">
        <f>IFERROR(INDEX(PPTO_GENERADOR!$B$4:$B$220,MATCH(A1437,PPTO_GENERADOR!$Q$4:$Q$220,0)),"")</f>
        <v>INSTALACIÓN ELÉCTRICA</v>
      </c>
      <c r="L1437" s="216">
        <f>IF(PLAN_ETAPA!$C$4="(TODOS)",SUMIFS(PPTO_GENERADOR!$E$4:$E$220,PPTO_GENERADOR!$Q$4:$Q$220,A1437),SUMIFS(PPTO_GENERADOR!$E$4:$E$220,PPTO_GENERADOR!$Q$4:$Q$220,A1437,PPTO_GENERADOR!$B$4:$B$220,PLAN_ETAPA!$C$4))</f>
        <v>0</v>
      </c>
      <c r="M1437" s="216">
        <f>IFERROR(VLOOKUP(A1437,PARTIDAS!$A$2:$F$269,6,FALSE()),1)</f>
        <v>3.25</v>
      </c>
      <c r="N1437" s="216">
        <f>IFERROR(VLOOKUP(A1437,PARTIDAS!$A$2:$I$269,9,FALSE()),1)</f>
        <v>1</v>
      </c>
      <c r="O1437" s="217">
        <f t="shared" si="44"/>
        <v>0</v>
      </c>
      <c r="P1437" s="216">
        <f>IF(O1437=0,0,IF(B1437="MAT",G1437*(1+H1437)*L1437*PLAN_ETAPA!$C$5,IF(B1437="MO",IF(M1437=0,0,G1437*L1437*PLAN_ETAPA!$C$5*N1437/M1437),IF(B1437="EQ",IF(M1437=0,0,G1437*L1437*PLAN_ETAPA!$C$5/M1437),0))))</f>
        <v>0</v>
      </c>
      <c r="Q1437" s="218">
        <f t="shared" si="45"/>
        <v>0</v>
      </c>
    </row>
    <row r="1438" spans="1:17" x14ac:dyDescent="0.35">
      <c r="A1438" s="212" t="str">
        <f>COMPOSICIÓN!A1438</f>
        <v>PTO-1801</v>
      </c>
      <c r="B1438" s="212" t="str">
        <f>COMPOSICIÓN!B1438</f>
        <v>MO</v>
      </c>
      <c r="C1438" s="212" t="str">
        <f>COMPOSICIÓN!C1438</f>
        <v>OTR</v>
      </c>
      <c r="D1438" s="212" t="str">
        <f>COMPOSICIÓN!D1438</f>
        <v>SUB-BOCACOMP</v>
      </c>
      <c r="E1438" s="212" t="str">
        <f>COMPOSICIÓN!E1438</f>
        <v>Boca completa</v>
      </c>
      <c r="F1438" s="212" t="str">
        <f>COMPOSICIÓN!F1438</f>
        <v>j</v>
      </c>
      <c r="G1438" s="213">
        <f>COMPOSICIÓN!G1438</f>
        <v>3.25</v>
      </c>
      <c r="H1438" s="214">
        <f>COMPOSICIÓN!H1438</f>
        <v>0</v>
      </c>
      <c r="I1438" s="215">
        <f>COMPOSICIÓN!I1438</f>
        <v>35416.5</v>
      </c>
      <c r="J1438" s="212" t="str">
        <f>IFERROR(VLOOKUP(A1438,PARTIDAS!$A$2:$C$269,3,FALSE()),"")</f>
        <v>INSTALACIÓN ELÉCTRICA</v>
      </c>
      <c r="K1438" s="212" t="str">
        <f>IFERROR(INDEX(PPTO_GENERADOR!$B$4:$B$220,MATCH(A1438,PPTO_GENERADOR!$Q$4:$Q$220,0)),"")</f>
        <v>INSTALACIÓN ELÉCTRICA</v>
      </c>
      <c r="L1438" s="216">
        <f>IF(PLAN_ETAPA!$C$4="(TODOS)",SUMIFS(PPTO_GENERADOR!$E$4:$E$220,PPTO_GENERADOR!$Q$4:$Q$220,A1438),SUMIFS(PPTO_GENERADOR!$E$4:$E$220,PPTO_GENERADOR!$Q$4:$Q$220,A1438,PPTO_GENERADOR!$B$4:$B$220,PLAN_ETAPA!$C$4))</f>
        <v>0</v>
      </c>
      <c r="M1438" s="216">
        <f>IFERROR(VLOOKUP(A1438,PARTIDAS!$A$2:$F$269,6,FALSE()),1)</f>
        <v>3.25</v>
      </c>
      <c r="N1438" s="216">
        <f>IFERROR(VLOOKUP(A1438,PARTIDAS!$A$2:$I$269,9,FALSE()),1)</f>
        <v>1</v>
      </c>
      <c r="O1438" s="217">
        <f t="shared" si="44"/>
        <v>0</v>
      </c>
      <c r="P1438" s="216">
        <f>IF(O1438=0,0,IF(B1438="MAT",G1438*(1+H1438)*L1438*PLAN_ETAPA!$C$5,IF(B1438="MO",IF(M1438=0,0,G1438*L1438*PLAN_ETAPA!$C$5*N1438/M1438),IF(B1438="EQ",IF(M1438=0,0,G1438*L1438*PLAN_ETAPA!$C$5/M1438),0))))</f>
        <v>0</v>
      </c>
      <c r="Q1438" s="218">
        <f t="shared" si="45"/>
        <v>0</v>
      </c>
    </row>
    <row r="1439" spans="1:17" x14ac:dyDescent="0.35">
      <c r="A1439" s="212" t="str">
        <f>COMPOSICIÓN!A1439</f>
        <v>PTO-1802</v>
      </c>
      <c r="B1439" s="212" t="str">
        <f>COMPOSICIÓN!B1439</f>
        <v>MO</v>
      </c>
      <c r="C1439" s="212" t="str">
        <f>COMPOSICIÓN!C1439</f>
        <v>OTR</v>
      </c>
      <c r="D1439" s="212" t="str">
        <f>COMPOSICIÓN!D1439</f>
        <v>SUB-BOCACOMP</v>
      </c>
      <c r="E1439" s="212" t="str">
        <f>COMPOSICIÓN!E1439</f>
        <v>Boca completa</v>
      </c>
      <c r="F1439" s="212" t="str">
        <f>COMPOSICIÓN!F1439</f>
        <v>j</v>
      </c>
      <c r="G1439" s="213">
        <f>COMPOSICIÓN!G1439</f>
        <v>3.25</v>
      </c>
      <c r="H1439" s="214">
        <f>COMPOSICIÓN!H1439</f>
        <v>0</v>
      </c>
      <c r="I1439" s="215">
        <f>COMPOSICIÓN!I1439</f>
        <v>35416.5</v>
      </c>
      <c r="J1439" s="212" t="str">
        <f>IFERROR(VLOOKUP(A1439,PARTIDAS!$A$2:$C$269,3,FALSE()),"")</f>
        <v>INSTALACIÓN ELÉCTRICA</v>
      </c>
      <c r="K1439" s="212" t="str">
        <f>IFERROR(INDEX(PPTO_GENERADOR!$B$4:$B$220,MATCH(A1439,PPTO_GENERADOR!$Q$4:$Q$220,0)),"")</f>
        <v>INSTALACIÓN ELÉCTRICA</v>
      </c>
      <c r="L1439" s="216">
        <f>IF(PLAN_ETAPA!$C$4="(TODOS)",SUMIFS(PPTO_GENERADOR!$E$4:$E$220,PPTO_GENERADOR!$Q$4:$Q$220,A1439),SUMIFS(PPTO_GENERADOR!$E$4:$E$220,PPTO_GENERADOR!$Q$4:$Q$220,A1439,PPTO_GENERADOR!$B$4:$B$220,PLAN_ETAPA!$C$4))</f>
        <v>0</v>
      </c>
      <c r="M1439" s="216">
        <f>IFERROR(VLOOKUP(A1439,PARTIDAS!$A$2:$F$269,6,FALSE()),1)</f>
        <v>3.25</v>
      </c>
      <c r="N1439" s="216">
        <f>IFERROR(VLOOKUP(A1439,PARTIDAS!$A$2:$I$269,9,FALSE()),1)</f>
        <v>1</v>
      </c>
      <c r="O1439" s="217">
        <f t="shared" si="44"/>
        <v>0</v>
      </c>
      <c r="P1439" s="216">
        <f>IF(O1439=0,0,IF(B1439="MAT",G1439*(1+H1439)*L1439*PLAN_ETAPA!$C$5,IF(B1439="MO",IF(M1439=0,0,G1439*L1439*PLAN_ETAPA!$C$5*N1439/M1439),IF(B1439="EQ",IF(M1439=0,0,G1439*L1439*PLAN_ETAPA!$C$5/M1439),0))))</f>
        <v>0</v>
      </c>
      <c r="Q1439" s="218">
        <f t="shared" si="45"/>
        <v>0</v>
      </c>
    </row>
    <row r="1440" spans="1:17" x14ac:dyDescent="0.35">
      <c r="A1440" s="212" t="str">
        <f>COMPOSICIÓN!A1440</f>
        <v>PTO-1802</v>
      </c>
      <c r="B1440" s="212" t="str">
        <f>COMPOSICIÓN!B1440</f>
        <v>EQ</v>
      </c>
      <c r="C1440" s="212">
        <f>COMPOSICIÓN!C1440</f>
        <v>0</v>
      </c>
      <c r="D1440" s="212" t="str">
        <f>COMPOSICIÓN!D1440</f>
        <v>EQ-ANDAM0</v>
      </c>
      <c r="E1440" s="212" t="str">
        <f>COMPOSICIÓN!E1440</f>
        <v>ANDAMIO TUBULAR DE UNO A TRES CUERPOS</v>
      </c>
      <c r="F1440" s="212">
        <f>COMPOSICIÓN!F1440</f>
        <v>0</v>
      </c>
      <c r="G1440" s="213">
        <f>COMPOSICIÓN!G1440</f>
        <v>0.5</v>
      </c>
      <c r="H1440" s="214">
        <f>COMPOSICIÓN!H1440</f>
        <v>0</v>
      </c>
      <c r="I1440" s="215">
        <f>COMPOSICIÓN!I1440</f>
        <v>571.1794909807611</v>
      </c>
      <c r="J1440" s="212" t="str">
        <f>IFERROR(VLOOKUP(A1440,PARTIDAS!$A$2:$C$269,3,FALSE()),"")</f>
        <v>INSTALACIÓN ELÉCTRICA</v>
      </c>
      <c r="K1440" s="212" t="str">
        <f>IFERROR(INDEX(PPTO_GENERADOR!$B$4:$B$220,MATCH(A1440,PPTO_GENERADOR!$Q$4:$Q$220,0)),"")</f>
        <v>INSTALACIÓN ELÉCTRICA</v>
      </c>
      <c r="L1440" s="216">
        <f>IF(PLAN_ETAPA!$C$4="(TODOS)",SUMIFS(PPTO_GENERADOR!$E$4:$E$220,PPTO_GENERADOR!$Q$4:$Q$220,A1440),SUMIFS(PPTO_GENERADOR!$E$4:$E$220,PPTO_GENERADOR!$Q$4:$Q$220,A1440,PPTO_GENERADOR!$B$4:$B$220,PLAN_ETAPA!$C$4))</f>
        <v>0</v>
      </c>
      <c r="M1440" s="216">
        <f>IFERROR(VLOOKUP(A1440,PARTIDAS!$A$2:$F$269,6,FALSE()),1)</f>
        <v>3.25</v>
      </c>
      <c r="N1440" s="216">
        <f>IFERROR(VLOOKUP(A1440,PARTIDAS!$A$2:$I$269,9,FALSE()),1)</f>
        <v>1</v>
      </c>
      <c r="O1440" s="217">
        <f t="shared" si="44"/>
        <v>0</v>
      </c>
      <c r="P1440" s="216">
        <f>IF(O1440=0,0,IF(B1440="MAT",G1440*(1+H1440)*L1440*PLAN_ETAPA!$C$5,IF(B1440="MO",IF(M1440=0,0,G1440*L1440*PLAN_ETAPA!$C$5*N1440/M1440),IF(B1440="EQ",IF(M1440=0,0,G1440*L1440*PLAN_ETAPA!$C$5/M1440),0))))</f>
        <v>0</v>
      </c>
      <c r="Q1440" s="218">
        <f t="shared" si="45"/>
        <v>0</v>
      </c>
    </row>
    <row r="1441" spans="1:17" x14ac:dyDescent="0.35">
      <c r="A1441" s="212" t="str">
        <f>COMPOSICIÓN!A1441</f>
        <v>PTO-1802</v>
      </c>
      <c r="B1441" s="212" t="str">
        <f>COMPOSICIÓN!B1441</f>
        <v>EQ</v>
      </c>
      <c r="C1441" s="212">
        <f>COMPOSICIÓN!C1441</f>
        <v>0</v>
      </c>
      <c r="D1441" s="212" t="str">
        <f>COMPOSICIÓN!D1441</f>
        <v>EQ-EQUIP0</v>
      </c>
      <c r="E1441" s="212" t="str">
        <f>COMPOSICIÓN!E1441</f>
        <v>EQUIPO PARA INSTALACION ELECTRICA</v>
      </c>
      <c r="F1441" s="212">
        <f>COMPOSICIÓN!F1441</f>
        <v>0</v>
      </c>
      <c r="G1441" s="213">
        <f>COMPOSICIÓN!G1441</f>
        <v>1</v>
      </c>
      <c r="H1441" s="214">
        <f>COMPOSICIÓN!H1441</f>
        <v>0</v>
      </c>
      <c r="I1441" s="215">
        <f>COMPOSICIÓN!I1441</f>
        <v>5063.0947914732405</v>
      </c>
      <c r="J1441" s="212" t="str">
        <f>IFERROR(VLOOKUP(A1441,PARTIDAS!$A$2:$C$269,3,FALSE()),"")</f>
        <v>INSTALACIÓN ELÉCTRICA</v>
      </c>
      <c r="K1441" s="212" t="str">
        <f>IFERROR(INDEX(PPTO_GENERADOR!$B$4:$B$220,MATCH(A1441,PPTO_GENERADOR!$Q$4:$Q$220,0)),"")</f>
        <v>INSTALACIÓN ELÉCTRICA</v>
      </c>
      <c r="L1441" s="216">
        <f>IF(PLAN_ETAPA!$C$4="(TODOS)",SUMIFS(PPTO_GENERADOR!$E$4:$E$220,PPTO_GENERADOR!$Q$4:$Q$220,A1441),SUMIFS(PPTO_GENERADOR!$E$4:$E$220,PPTO_GENERADOR!$Q$4:$Q$220,A1441,PPTO_GENERADOR!$B$4:$B$220,PLAN_ETAPA!$C$4))</f>
        <v>0</v>
      </c>
      <c r="M1441" s="216">
        <f>IFERROR(VLOOKUP(A1441,PARTIDAS!$A$2:$F$269,6,FALSE()),1)</f>
        <v>3.25</v>
      </c>
      <c r="N1441" s="216">
        <f>IFERROR(VLOOKUP(A1441,PARTIDAS!$A$2:$I$269,9,FALSE()),1)</f>
        <v>1</v>
      </c>
      <c r="O1441" s="217">
        <f t="shared" si="44"/>
        <v>0</v>
      </c>
      <c r="P1441" s="216">
        <f>IF(O1441=0,0,IF(B1441="MAT",G1441*(1+H1441)*L1441*PLAN_ETAPA!$C$5,IF(B1441="MO",IF(M1441=0,0,G1441*L1441*PLAN_ETAPA!$C$5*N1441/M1441),IF(B1441="EQ",IF(M1441=0,0,G1441*L1441*PLAN_ETAPA!$C$5/M1441),0))))</f>
        <v>0</v>
      </c>
      <c r="Q1441" s="218">
        <f t="shared" si="45"/>
        <v>0</v>
      </c>
    </row>
    <row r="1442" spans="1:17" x14ac:dyDescent="0.35">
      <c r="A1442" s="212" t="str">
        <f>COMPOSICIÓN!A1442</f>
        <v>PTO-1802</v>
      </c>
      <c r="B1442" s="212" t="str">
        <f>COMPOSICIÓN!B1442</f>
        <v>EQ</v>
      </c>
      <c r="C1442" s="212">
        <f>COMPOSICIÓN!C1442</f>
        <v>0</v>
      </c>
      <c r="D1442" s="212" t="str">
        <f>COMPOSICIÓN!D1442</f>
        <v>EQ-ESCALE</v>
      </c>
      <c r="E1442" s="212" t="str">
        <f>COMPOSICIÓN!E1442</f>
        <v>ESCALERA GLOSS ALUMINIO ARTICULADA 4 X 4 ESCALONES HASTA 150KG</v>
      </c>
      <c r="F1442" s="212">
        <f>COMPOSICIÓN!F1442</f>
        <v>0</v>
      </c>
      <c r="G1442" s="213">
        <f>COMPOSICIÓN!G1442</f>
        <v>0.5</v>
      </c>
      <c r="H1442" s="214">
        <f>COMPOSICIÓN!H1442</f>
        <v>0</v>
      </c>
      <c r="I1442" s="215">
        <f>COMPOSICIÓN!I1442</f>
        <v>140.19809259430903</v>
      </c>
      <c r="J1442" s="212" t="str">
        <f>IFERROR(VLOOKUP(A1442,PARTIDAS!$A$2:$C$269,3,FALSE()),"")</f>
        <v>INSTALACIÓN ELÉCTRICA</v>
      </c>
      <c r="K1442" s="212" t="str">
        <f>IFERROR(INDEX(PPTO_GENERADOR!$B$4:$B$220,MATCH(A1442,PPTO_GENERADOR!$Q$4:$Q$220,0)),"")</f>
        <v>INSTALACIÓN ELÉCTRICA</v>
      </c>
      <c r="L1442" s="216">
        <f>IF(PLAN_ETAPA!$C$4="(TODOS)",SUMIFS(PPTO_GENERADOR!$E$4:$E$220,PPTO_GENERADOR!$Q$4:$Q$220,A1442),SUMIFS(PPTO_GENERADOR!$E$4:$E$220,PPTO_GENERADOR!$Q$4:$Q$220,A1442,PPTO_GENERADOR!$B$4:$B$220,PLAN_ETAPA!$C$4))</f>
        <v>0</v>
      </c>
      <c r="M1442" s="216">
        <f>IFERROR(VLOOKUP(A1442,PARTIDAS!$A$2:$F$269,6,FALSE()),1)</f>
        <v>3.25</v>
      </c>
      <c r="N1442" s="216">
        <f>IFERROR(VLOOKUP(A1442,PARTIDAS!$A$2:$I$269,9,FALSE()),1)</f>
        <v>1</v>
      </c>
      <c r="O1442" s="217">
        <f t="shared" si="44"/>
        <v>0</v>
      </c>
      <c r="P1442" s="216">
        <f>IF(O1442=0,0,IF(B1442="MAT",G1442*(1+H1442)*L1442*PLAN_ETAPA!$C$5,IF(B1442="MO",IF(M1442=0,0,G1442*L1442*PLAN_ETAPA!$C$5*N1442/M1442),IF(B1442="EQ",IF(M1442=0,0,G1442*L1442*PLAN_ETAPA!$C$5/M1442),0))))</f>
        <v>0</v>
      </c>
      <c r="Q1442" s="218">
        <f t="shared" si="45"/>
        <v>0</v>
      </c>
    </row>
    <row r="1443" spans="1:17" x14ac:dyDescent="0.35">
      <c r="A1443" s="212" t="str">
        <f>COMPOSICIÓN!A1443</f>
        <v>PTO-1802</v>
      </c>
      <c r="B1443" s="212" t="str">
        <f>COMPOSICIÓN!B1443</f>
        <v>MAT</v>
      </c>
      <c r="C1443" s="212" t="str">
        <f>COMPOSICIÓN!C1443</f>
        <v>OTR</v>
      </c>
      <c r="D1443" s="212" t="str">
        <f>COMPOSICIÓN!D1443</f>
        <v>MAT-CONS</v>
      </c>
      <c r="E1443" s="212" t="str">
        <f>COMPOSICIÓN!E1443</f>
        <v>Consumibles</v>
      </c>
      <c r="F1443" s="212" t="str">
        <f>COMPOSICIÓN!F1443</f>
        <v>gl</v>
      </c>
      <c r="G1443" s="213">
        <f>COMPOSICIÓN!G1443</f>
        <v>3100.945995</v>
      </c>
      <c r="H1443" s="214">
        <f>COMPOSICIÓN!H1443</f>
        <v>0</v>
      </c>
      <c r="I1443" s="215">
        <f>COMPOSICIÓN!I1443</f>
        <v>1</v>
      </c>
      <c r="J1443" s="212" t="str">
        <f>IFERROR(VLOOKUP(A1443,PARTIDAS!$A$2:$C$269,3,FALSE()),"")</f>
        <v>INSTALACIÓN ELÉCTRICA</v>
      </c>
      <c r="K1443" s="212" t="str">
        <f>IFERROR(INDEX(PPTO_GENERADOR!$B$4:$B$220,MATCH(A1443,PPTO_GENERADOR!$Q$4:$Q$220,0)),"")</f>
        <v>INSTALACIÓN ELÉCTRICA</v>
      </c>
      <c r="L1443" s="216">
        <f>IF(PLAN_ETAPA!$C$4="(TODOS)",SUMIFS(PPTO_GENERADOR!$E$4:$E$220,PPTO_GENERADOR!$Q$4:$Q$220,A1443),SUMIFS(PPTO_GENERADOR!$E$4:$E$220,PPTO_GENERADOR!$Q$4:$Q$220,A1443,PPTO_GENERADOR!$B$4:$B$220,PLAN_ETAPA!$C$4))</f>
        <v>0</v>
      </c>
      <c r="M1443" s="216">
        <f>IFERROR(VLOOKUP(A1443,PARTIDAS!$A$2:$F$269,6,FALSE()),1)</f>
        <v>3.25</v>
      </c>
      <c r="N1443" s="216">
        <f>IFERROR(VLOOKUP(A1443,PARTIDAS!$A$2:$I$269,9,FALSE()),1)</f>
        <v>1</v>
      </c>
      <c r="O1443" s="217">
        <f t="shared" si="44"/>
        <v>0</v>
      </c>
      <c r="P1443" s="216">
        <f>IF(O1443=0,0,IF(B1443="MAT",G1443*(1+H1443)*L1443*PLAN_ETAPA!$C$5,IF(B1443="MO",IF(M1443=0,0,G1443*L1443*PLAN_ETAPA!$C$5*N1443/M1443),IF(B1443="EQ",IF(M1443=0,0,G1443*L1443*PLAN_ETAPA!$C$5/M1443),0))))</f>
        <v>0</v>
      </c>
      <c r="Q1443" s="218">
        <f t="shared" si="45"/>
        <v>0</v>
      </c>
    </row>
    <row r="1444" spans="1:17" x14ac:dyDescent="0.35">
      <c r="A1444" s="212" t="str">
        <f>COMPOSICIÓN!A1444</f>
        <v>PTO-1802</v>
      </c>
      <c r="B1444" s="212" t="str">
        <f>COMPOSICIÓN!B1444</f>
        <v>MAT</v>
      </c>
      <c r="C1444" s="212" t="str">
        <f>COMPOSICIÓN!C1444</f>
        <v>OTR</v>
      </c>
      <c r="D1444" s="212" t="str">
        <f>COMPOSICIÓN!D1444</f>
        <v>ACE-018</v>
      </c>
      <c r="E1444" s="212" t="str">
        <f>COMPOSICIÓN!E1444</f>
        <v>Conector hierro 7/8"</v>
      </c>
      <c r="F1444" s="212" t="str">
        <f>COMPOSICIÓN!F1444</f>
        <v>u</v>
      </c>
      <c r="G1444" s="213">
        <f>COMPOSICIÓN!G1444</f>
        <v>3</v>
      </c>
      <c r="H1444" s="214">
        <f>COMPOSICIÓN!H1444</f>
        <v>0.1</v>
      </c>
      <c r="I1444" s="215">
        <f>COMPOSICIÓN!I1444</f>
        <v>282.29000000000002</v>
      </c>
      <c r="J1444" s="212" t="str">
        <f>IFERROR(VLOOKUP(A1444,PARTIDAS!$A$2:$C$269,3,FALSE()),"")</f>
        <v>INSTALACIÓN ELÉCTRICA</v>
      </c>
      <c r="K1444" s="212" t="str">
        <f>IFERROR(INDEX(PPTO_GENERADOR!$B$4:$B$220,MATCH(A1444,PPTO_GENERADOR!$Q$4:$Q$220,0)),"")</f>
        <v>INSTALACIÓN ELÉCTRICA</v>
      </c>
      <c r="L1444" s="216">
        <f>IF(PLAN_ETAPA!$C$4="(TODOS)",SUMIFS(PPTO_GENERADOR!$E$4:$E$220,PPTO_GENERADOR!$Q$4:$Q$220,A1444),SUMIFS(PPTO_GENERADOR!$E$4:$E$220,PPTO_GENERADOR!$Q$4:$Q$220,A1444,PPTO_GENERADOR!$B$4:$B$220,PLAN_ETAPA!$C$4))</f>
        <v>0</v>
      </c>
      <c r="M1444" s="216">
        <f>IFERROR(VLOOKUP(A1444,PARTIDAS!$A$2:$F$269,6,FALSE()),1)</f>
        <v>3.25</v>
      </c>
      <c r="N1444" s="216">
        <f>IFERROR(VLOOKUP(A1444,PARTIDAS!$A$2:$I$269,9,FALSE()),1)</f>
        <v>1</v>
      </c>
      <c r="O1444" s="217">
        <f t="shared" si="44"/>
        <v>0</v>
      </c>
      <c r="P1444" s="216">
        <f>IF(O1444=0,0,IF(B1444="MAT",G1444*(1+H1444)*L1444*PLAN_ETAPA!$C$5,IF(B1444="MO",IF(M1444=0,0,G1444*L1444*PLAN_ETAPA!$C$5*N1444/M1444),IF(B1444="EQ",IF(M1444=0,0,G1444*L1444*PLAN_ETAPA!$C$5/M1444),0))))</f>
        <v>0</v>
      </c>
      <c r="Q1444" s="218">
        <f t="shared" si="45"/>
        <v>0</v>
      </c>
    </row>
    <row r="1445" spans="1:17" x14ac:dyDescent="0.35">
      <c r="A1445" s="212" t="str">
        <f>COMPOSICIÓN!A1445</f>
        <v>PTO-1802</v>
      </c>
      <c r="B1445" s="212" t="str">
        <f>COMPOSICIÓN!B1445</f>
        <v>MAT</v>
      </c>
      <c r="C1445" s="212" t="str">
        <f>COMPOSICIÓN!C1445</f>
        <v>OTR</v>
      </c>
      <c r="D1445" s="212" t="str">
        <f>COMPOSICIÓN!D1445</f>
        <v>ELE-003</v>
      </c>
      <c r="E1445" s="212" t="str">
        <f>COMPOSICIÓN!E1445</f>
        <v>Caño rigido 7/8"</v>
      </c>
      <c r="F1445" s="212" t="str">
        <f>COMPOSICIÓN!F1445</f>
        <v>ml</v>
      </c>
      <c r="G1445" s="213">
        <f>COMPOSICIÓN!G1445</f>
        <v>5</v>
      </c>
      <c r="H1445" s="214">
        <f>COMPOSICIÓN!H1445</f>
        <v>0.1</v>
      </c>
      <c r="I1445" s="215">
        <f>COMPOSICIÓN!I1445</f>
        <v>635.55999999999995</v>
      </c>
      <c r="J1445" s="212" t="str">
        <f>IFERROR(VLOOKUP(A1445,PARTIDAS!$A$2:$C$269,3,FALSE()),"")</f>
        <v>INSTALACIÓN ELÉCTRICA</v>
      </c>
      <c r="K1445" s="212" t="str">
        <f>IFERROR(INDEX(PPTO_GENERADOR!$B$4:$B$220,MATCH(A1445,PPTO_GENERADOR!$Q$4:$Q$220,0)),"")</f>
        <v>INSTALACIÓN ELÉCTRICA</v>
      </c>
      <c r="L1445" s="216">
        <f>IF(PLAN_ETAPA!$C$4="(TODOS)",SUMIFS(PPTO_GENERADOR!$E$4:$E$220,PPTO_GENERADOR!$Q$4:$Q$220,A1445),SUMIFS(PPTO_GENERADOR!$E$4:$E$220,PPTO_GENERADOR!$Q$4:$Q$220,A1445,PPTO_GENERADOR!$B$4:$B$220,PLAN_ETAPA!$C$4))</f>
        <v>0</v>
      </c>
      <c r="M1445" s="216">
        <f>IFERROR(VLOOKUP(A1445,PARTIDAS!$A$2:$F$269,6,FALSE()),1)</f>
        <v>3.25</v>
      </c>
      <c r="N1445" s="216">
        <f>IFERROR(VLOOKUP(A1445,PARTIDAS!$A$2:$I$269,9,FALSE()),1)</f>
        <v>1</v>
      </c>
      <c r="O1445" s="217">
        <f t="shared" si="44"/>
        <v>0</v>
      </c>
      <c r="P1445" s="216">
        <f>IF(O1445=0,0,IF(B1445="MAT",G1445*(1+H1445)*L1445*PLAN_ETAPA!$C$5,IF(B1445="MO",IF(M1445=0,0,G1445*L1445*PLAN_ETAPA!$C$5*N1445/M1445),IF(B1445="EQ",IF(M1445=0,0,G1445*L1445*PLAN_ETAPA!$C$5/M1445),0))))</f>
        <v>0</v>
      </c>
      <c r="Q1445" s="218">
        <f t="shared" si="45"/>
        <v>0</v>
      </c>
    </row>
    <row r="1446" spans="1:17" x14ac:dyDescent="0.35">
      <c r="A1446" s="212" t="str">
        <f>COMPOSICIÓN!A1446</f>
        <v>PTO-1802</v>
      </c>
      <c r="B1446" s="212" t="str">
        <f>COMPOSICIÓN!B1446</f>
        <v>MAT</v>
      </c>
      <c r="C1446" s="212" t="str">
        <f>COMPOSICIÓN!C1446</f>
        <v>OTR</v>
      </c>
      <c r="D1446" s="212" t="str">
        <f>COMPOSICIÓN!D1446</f>
        <v>ELE-006</v>
      </c>
      <c r="E1446" s="212" t="str">
        <f>COMPOSICIÓN!E1446</f>
        <v>Cupla PVC 7/8"</v>
      </c>
      <c r="F1446" s="212" t="str">
        <f>COMPOSICIÓN!F1446</f>
        <v>u</v>
      </c>
      <c r="G1446" s="213">
        <f>COMPOSICIÓN!G1446</f>
        <v>2</v>
      </c>
      <c r="H1446" s="214">
        <f>COMPOSICIÓN!H1446</f>
        <v>0.1</v>
      </c>
      <c r="I1446" s="215">
        <f>COMPOSICIÓN!I1446</f>
        <v>184.87</v>
      </c>
      <c r="J1446" s="212" t="str">
        <f>IFERROR(VLOOKUP(A1446,PARTIDAS!$A$2:$C$269,3,FALSE()),"")</f>
        <v>INSTALACIÓN ELÉCTRICA</v>
      </c>
      <c r="K1446" s="212" t="str">
        <f>IFERROR(INDEX(PPTO_GENERADOR!$B$4:$B$220,MATCH(A1446,PPTO_GENERADOR!$Q$4:$Q$220,0)),"")</f>
        <v>INSTALACIÓN ELÉCTRICA</v>
      </c>
      <c r="L1446" s="216">
        <f>IF(PLAN_ETAPA!$C$4="(TODOS)",SUMIFS(PPTO_GENERADOR!$E$4:$E$220,PPTO_GENERADOR!$Q$4:$Q$220,A1446),SUMIFS(PPTO_GENERADOR!$E$4:$E$220,PPTO_GENERADOR!$Q$4:$Q$220,A1446,PPTO_GENERADOR!$B$4:$B$220,PLAN_ETAPA!$C$4))</f>
        <v>0</v>
      </c>
      <c r="M1446" s="216">
        <f>IFERROR(VLOOKUP(A1446,PARTIDAS!$A$2:$F$269,6,FALSE()),1)</f>
        <v>3.25</v>
      </c>
      <c r="N1446" s="216">
        <f>IFERROR(VLOOKUP(A1446,PARTIDAS!$A$2:$I$269,9,FALSE()),1)</f>
        <v>1</v>
      </c>
      <c r="O1446" s="217">
        <f t="shared" si="44"/>
        <v>0</v>
      </c>
      <c r="P1446" s="216">
        <f>IF(O1446=0,0,IF(B1446="MAT",G1446*(1+H1446)*L1446*PLAN_ETAPA!$C$5,IF(B1446="MO",IF(M1446=0,0,G1446*L1446*PLAN_ETAPA!$C$5*N1446/M1446),IF(B1446="EQ",IF(M1446=0,0,G1446*L1446*PLAN_ETAPA!$C$5/M1446),0))))</f>
        <v>0</v>
      </c>
      <c r="Q1446" s="218">
        <f t="shared" si="45"/>
        <v>0</v>
      </c>
    </row>
    <row r="1447" spans="1:17" x14ac:dyDescent="0.35">
      <c r="A1447" s="212" t="str">
        <f>COMPOSICIÓN!A1447</f>
        <v>PTO-1802</v>
      </c>
      <c r="B1447" s="212" t="str">
        <f>COMPOSICIÓN!B1447</f>
        <v>MAT</v>
      </c>
      <c r="C1447" s="212" t="str">
        <f>COMPOSICIÓN!C1447</f>
        <v>OTR</v>
      </c>
      <c r="D1447" s="212" t="str">
        <f>COMPOSICIÓN!D1447</f>
        <v>ELE-008</v>
      </c>
      <c r="E1447" s="212" t="str">
        <f>COMPOSICIÓN!E1447</f>
        <v>Cable unipolar 1 x 1,50</v>
      </c>
      <c r="F1447" s="212" t="str">
        <f>COMPOSICIÓN!F1447</f>
        <v>ml</v>
      </c>
      <c r="G1447" s="213">
        <f>COMPOSICIÓN!G1447</f>
        <v>7.5</v>
      </c>
      <c r="H1447" s="214">
        <f>COMPOSICIÓN!H1447</f>
        <v>0.1</v>
      </c>
      <c r="I1447" s="215">
        <f>COMPOSICIÓN!I1447</f>
        <v>316.44450000000001</v>
      </c>
      <c r="J1447" s="212" t="str">
        <f>IFERROR(VLOOKUP(A1447,PARTIDAS!$A$2:$C$269,3,FALSE()),"")</f>
        <v>INSTALACIÓN ELÉCTRICA</v>
      </c>
      <c r="K1447" s="212" t="str">
        <f>IFERROR(INDEX(PPTO_GENERADOR!$B$4:$B$220,MATCH(A1447,PPTO_GENERADOR!$Q$4:$Q$220,0)),"")</f>
        <v>INSTALACIÓN ELÉCTRICA</v>
      </c>
      <c r="L1447" s="216">
        <f>IF(PLAN_ETAPA!$C$4="(TODOS)",SUMIFS(PPTO_GENERADOR!$E$4:$E$220,PPTO_GENERADOR!$Q$4:$Q$220,A1447),SUMIFS(PPTO_GENERADOR!$E$4:$E$220,PPTO_GENERADOR!$Q$4:$Q$220,A1447,PPTO_GENERADOR!$B$4:$B$220,PLAN_ETAPA!$C$4))</f>
        <v>0</v>
      </c>
      <c r="M1447" s="216">
        <f>IFERROR(VLOOKUP(A1447,PARTIDAS!$A$2:$F$269,6,FALSE()),1)</f>
        <v>3.25</v>
      </c>
      <c r="N1447" s="216">
        <f>IFERROR(VLOOKUP(A1447,PARTIDAS!$A$2:$I$269,9,FALSE()),1)</f>
        <v>1</v>
      </c>
      <c r="O1447" s="217">
        <f t="shared" si="44"/>
        <v>0</v>
      </c>
      <c r="P1447" s="216">
        <f>IF(O1447=0,0,IF(B1447="MAT",G1447*(1+H1447)*L1447*PLAN_ETAPA!$C$5,IF(B1447="MO",IF(M1447=0,0,G1447*L1447*PLAN_ETAPA!$C$5*N1447/M1447),IF(B1447="EQ",IF(M1447=0,0,G1447*L1447*PLAN_ETAPA!$C$5/M1447),0))))</f>
        <v>0</v>
      </c>
      <c r="Q1447" s="218">
        <f t="shared" si="45"/>
        <v>0</v>
      </c>
    </row>
    <row r="1448" spans="1:17" x14ac:dyDescent="0.35">
      <c r="A1448" s="212" t="str">
        <f>COMPOSICIÓN!A1448</f>
        <v>PTO-1802</v>
      </c>
      <c r="B1448" s="212" t="str">
        <f>COMPOSICIÓN!B1448</f>
        <v>MAT</v>
      </c>
      <c r="C1448" s="212" t="str">
        <f>COMPOSICIÓN!C1448</f>
        <v>OTR</v>
      </c>
      <c r="D1448" s="212" t="str">
        <f>COMPOSICIÓN!D1448</f>
        <v>ELE-009</v>
      </c>
      <c r="E1448" s="212" t="str">
        <f>COMPOSICIÓN!E1448</f>
        <v>Cable unipolar 1 x 2,50 VA</v>
      </c>
      <c r="F1448" s="212" t="str">
        <f>COMPOSICIÓN!F1448</f>
        <v>ml</v>
      </c>
      <c r="G1448" s="213">
        <f>COMPOSICIÓN!G1448</f>
        <v>5</v>
      </c>
      <c r="H1448" s="214">
        <f>COMPOSICIÓN!H1448</f>
        <v>0.1</v>
      </c>
      <c r="I1448" s="215">
        <f>COMPOSICIÓN!I1448</f>
        <v>509.31490000000002</v>
      </c>
      <c r="J1448" s="212" t="str">
        <f>IFERROR(VLOOKUP(A1448,PARTIDAS!$A$2:$C$269,3,FALSE()),"")</f>
        <v>INSTALACIÓN ELÉCTRICA</v>
      </c>
      <c r="K1448" s="212" t="str">
        <f>IFERROR(INDEX(PPTO_GENERADOR!$B$4:$B$220,MATCH(A1448,PPTO_GENERADOR!$Q$4:$Q$220,0)),"")</f>
        <v>INSTALACIÓN ELÉCTRICA</v>
      </c>
      <c r="L1448" s="216">
        <f>IF(PLAN_ETAPA!$C$4="(TODOS)",SUMIFS(PPTO_GENERADOR!$E$4:$E$220,PPTO_GENERADOR!$Q$4:$Q$220,A1448),SUMIFS(PPTO_GENERADOR!$E$4:$E$220,PPTO_GENERADOR!$Q$4:$Q$220,A1448,PPTO_GENERADOR!$B$4:$B$220,PLAN_ETAPA!$C$4))</f>
        <v>0</v>
      </c>
      <c r="M1448" s="216">
        <f>IFERROR(VLOOKUP(A1448,PARTIDAS!$A$2:$F$269,6,FALSE()),1)</f>
        <v>3.25</v>
      </c>
      <c r="N1448" s="216">
        <f>IFERROR(VLOOKUP(A1448,PARTIDAS!$A$2:$I$269,9,FALSE()),1)</f>
        <v>1</v>
      </c>
      <c r="O1448" s="217">
        <f t="shared" si="44"/>
        <v>0</v>
      </c>
      <c r="P1448" s="216">
        <f>IF(O1448=0,0,IF(B1448="MAT",G1448*(1+H1448)*L1448*PLAN_ETAPA!$C$5,IF(B1448="MO",IF(M1448=0,0,G1448*L1448*PLAN_ETAPA!$C$5*N1448/M1448),IF(B1448="EQ",IF(M1448=0,0,G1448*L1448*PLAN_ETAPA!$C$5/M1448),0))))</f>
        <v>0</v>
      </c>
      <c r="Q1448" s="218">
        <f t="shared" si="45"/>
        <v>0</v>
      </c>
    </row>
    <row r="1449" spans="1:17" x14ac:dyDescent="0.35">
      <c r="A1449" s="212" t="str">
        <f>COMPOSICIÓN!A1449</f>
        <v>PTO-1802</v>
      </c>
      <c r="B1449" s="212" t="str">
        <f>COMPOSICIÓN!B1449</f>
        <v>MAT</v>
      </c>
      <c r="C1449" s="212" t="str">
        <f>COMPOSICIÓN!C1449</f>
        <v>OTR</v>
      </c>
      <c r="D1449" s="212" t="str">
        <f>COMPOSICIÓN!D1449</f>
        <v>ELE-010</v>
      </c>
      <c r="E1449" s="212" t="str">
        <f>COMPOSICIÓN!E1449</f>
        <v>Cable unipolar 1 x 2,50 Rojo/Marron/Negro</v>
      </c>
      <c r="F1449" s="212" t="str">
        <f>COMPOSICIÓN!F1449</f>
        <v>ml</v>
      </c>
      <c r="G1449" s="213">
        <f>COMPOSICIÓN!G1449</f>
        <v>7.5</v>
      </c>
      <c r="H1449" s="214">
        <f>COMPOSICIÓN!H1449</f>
        <v>0.1</v>
      </c>
      <c r="I1449" s="215">
        <f>COMPOSICIÓN!I1449</f>
        <v>509.31490000000002</v>
      </c>
      <c r="J1449" s="212" t="str">
        <f>IFERROR(VLOOKUP(A1449,PARTIDAS!$A$2:$C$269,3,FALSE()),"")</f>
        <v>INSTALACIÓN ELÉCTRICA</v>
      </c>
      <c r="K1449" s="212" t="str">
        <f>IFERROR(INDEX(PPTO_GENERADOR!$B$4:$B$220,MATCH(A1449,PPTO_GENERADOR!$Q$4:$Q$220,0)),"")</f>
        <v>INSTALACIÓN ELÉCTRICA</v>
      </c>
      <c r="L1449" s="216">
        <f>IF(PLAN_ETAPA!$C$4="(TODOS)",SUMIFS(PPTO_GENERADOR!$E$4:$E$220,PPTO_GENERADOR!$Q$4:$Q$220,A1449),SUMIFS(PPTO_GENERADOR!$E$4:$E$220,PPTO_GENERADOR!$Q$4:$Q$220,A1449,PPTO_GENERADOR!$B$4:$B$220,PLAN_ETAPA!$C$4))</f>
        <v>0</v>
      </c>
      <c r="M1449" s="216">
        <f>IFERROR(VLOOKUP(A1449,PARTIDAS!$A$2:$F$269,6,FALSE()),1)</f>
        <v>3.25</v>
      </c>
      <c r="N1449" s="216">
        <f>IFERROR(VLOOKUP(A1449,PARTIDAS!$A$2:$I$269,9,FALSE()),1)</f>
        <v>1</v>
      </c>
      <c r="O1449" s="217">
        <f t="shared" si="44"/>
        <v>0</v>
      </c>
      <c r="P1449" s="216">
        <f>IF(O1449=0,0,IF(B1449="MAT",G1449*(1+H1449)*L1449*PLAN_ETAPA!$C$5,IF(B1449="MO",IF(M1449=0,0,G1449*L1449*PLAN_ETAPA!$C$5*N1449/M1449),IF(B1449="EQ",IF(M1449=0,0,G1449*L1449*PLAN_ETAPA!$C$5/M1449),0))))</f>
        <v>0</v>
      </c>
      <c r="Q1449" s="218">
        <f t="shared" si="45"/>
        <v>0</v>
      </c>
    </row>
    <row r="1450" spans="1:17" x14ac:dyDescent="0.35">
      <c r="A1450" s="212" t="str">
        <f>COMPOSICIÓN!A1450</f>
        <v>PTO-1802</v>
      </c>
      <c r="B1450" s="212" t="str">
        <f>COMPOSICIÓN!B1450</f>
        <v>MAT</v>
      </c>
      <c r="C1450" s="212" t="str">
        <f>COMPOSICIÓN!C1450</f>
        <v>OTR</v>
      </c>
      <c r="D1450" s="212" t="str">
        <f>COMPOSICIÓN!D1450</f>
        <v>ELE-012</v>
      </c>
      <c r="E1450" s="212" t="str">
        <f>COMPOSICIÓN!E1450</f>
        <v>Caja octogonal chica</v>
      </c>
      <c r="F1450" s="212" t="str">
        <f>COMPOSICIÓN!F1450</f>
        <v>u</v>
      </c>
      <c r="G1450" s="213">
        <f>COMPOSICIÓN!G1450</f>
        <v>1</v>
      </c>
      <c r="H1450" s="214">
        <f>COMPOSICIÓN!H1450</f>
        <v>0.05</v>
      </c>
      <c r="I1450" s="215">
        <f>COMPOSICIÓN!I1450</f>
        <v>202.42</v>
      </c>
      <c r="J1450" s="212" t="str">
        <f>IFERROR(VLOOKUP(A1450,PARTIDAS!$A$2:$C$269,3,FALSE()),"")</f>
        <v>INSTALACIÓN ELÉCTRICA</v>
      </c>
      <c r="K1450" s="212" t="str">
        <f>IFERROR(INDEX(PPTO_GENERADOR!$B$4:$B$220,MATCH(A1450,PPTO_GENERADOR!$Q$4:$Q$220,0)),"")</f>
        <v>INSTALACIÓN ELÉCTRICA</v>
      </c>
      <c r="L1450" s="216">
        <f>IF(PLAN_ETAPA!$C$4="(TODOS)",SUMIFS(PPTO_GENERADOR!$E$4:$E$220,PPTO_GENERADOR!$Q$4:$Q$220,A1450),SUMIFS(PPTO_GENERADOR!$E$4:$E$220,PPTO_GENERADOR!$Q$4:$Q$220,A1450,PPTO_GENERADOR!$B$4:$B$220,PLAN_ETAPA!$C$4))</f>
        <v>0</v>
      </c>
      <c r="M1450" s="216">
        <f>IFERROR(VLOOKUP(A1450,PARTIDAS!$A$2:$F$269,6,FALSE()),1)</f>
        <v>3.25</v>
      </c>
      <c r="N1450" s="216">
        <f>IFERROR(VLOOKUP(A1450,PARTIDAS!$A$2:$I$269,9,FALSE()),1)</f>
        <v>1</v>
      </c>
      <c r="O1450" s="217">
        <f t="shared" si="44"/>
        <v>0</v>
      </c>
      <c r="P1450" s="216">
        <f>IF(O1450=0,0,IF(B1450="MAT",G1450*(1+H1450)*L1450*PLAN_ETAPA!$C$5,IF(B1450="MO",IF(M1450=0,0,G1450*L1450*PLAN_ETAPA!$C$5*N1450/M1450),IF(B1450="EQ",IF(M1450=0,0,G1450*L1450*PLAN_ETAPA!$C$5/M1450),0))))</f>
        <v>0</v>
      </c>
      <c r="Q1450" s="218">
        <f t="shared" si="45"/>
        <v>0</v>
      </c>
    </row>
    <row r="1451" spans="1:17" x14ac:dyDescent="0.35">
      <c r="A1451" s="212" t="str">
        <f>COMPOSICIÓN!A1451</f>
        <v>PTO-1802</v>
      </c>
      <c r="B1451" s="212" t="str">
        <f>COMPOSICIÓN!B1451</f>
        <v>MAT</v>
      </c>
      <c r="C1451" s="212" t="str">
        <f>COMPOSICIÓN!C1451</f>
        <v>OTR</v>
      </c>
      <c r="D1451" s="212" t="str">
        <f>COMPOSICIÓN!D1451</f>
        <v>ELE-014</v>
      </c>
      <c r="E1451" s="212" t="str">
        <f>COMPOSICIÓN!E1451</f>
        <v>Caja rectangular chica</v>
      </c>
      <c r="F1451" s="212" t="str">
        <f>COMPOSICIÓN!F1451</f>
        <v>u</v>
      </c>
      <c r="G1451" s="213">
        <f>COMPOSICIÓN!G1451</f>
        <v>0.5</v>
      </c>
      <c r="H1451" s="214">
        <f>COMPOSICIÓN!H1451</f>
        <v>0.05</v>
      </c>
      <c r="I1451" s="215">
        <f>COMPOSICIÓN!I1451</f>
        <v>202.42</v>
      </c>
      <c r="J1451" s="212" t="str">
        <f>IFERROR(VLOOKUP(A1451,PARTIDAS!$A$2:$C$269,3,FALSE()),"")</f>
        <v>INSTALACIÓN ELÉCTRICA</v>
      </c>
      <c r="K1451" s="212" t="str">
        <f>IFERROR(INDEX(PPTO_GENERADOR!$B$4:$B$220,MATCH(A1451,PPTO_GENERADOR!$Q$4:$Q$220,0)),"")</f>
        <v>INSTALACIÓN ELÉCTRICA</v>
      </c>
      <c r="L1451" s="216">
        <f>IF(PLAN_ETAPA!$C$4="(TODOS)",SUMIFS(PPTO_GENERADOR!$E$4:$E$220,PPTO_GENERADOR!$Q$4:$Q$220,A1451),SUMIFS(PPTO_GENERADOR!$E$4:$E$220,PPTO_GENERADOR!$Q$4:$Q$220,A1451,PPTO_GENERADOR!$B$4:$B$220,PLAN_ETAPA!$C$4))</f>
        <v>0</v>
      </c>
      <c r="M1451" s="216">
        <f>IFERROR(VLOOKUP(A1451,PARTIDAS!$A$2:$F$269,6,FALSE()),1)</f>
        <v>3.25</v>
      </c>
      <c r="N1451" s="216">
        <f>IFERROR(VLOOKUP(A1451,PARTIDAS!$A$2:$I$269,9,FALSE()),1)</f>
        <v>1</v>
      </c>
      <c r="O1451" s="217">
        <f t="shared" si="44"/>
        <v>0</v>
      </c>
      <c r="P1451" s="216">
        <f>IF(O1451=0,0,IF(B1451="MAT",G1451*(1+H1451)*L1451*PLAN_ETAPA!$C$5,IF(B1451="MO",IF(M1451=0,0,G1451*L1451*PLAN_ETAPA!$C$5*N1451/M1451),IF(B1451="EQ",IF(M1451=0,0,G1451*L1451*PLAN_ETAPA!$C$5/M1451),0))))</f>
        <v>0</v>
      </c>
      <c r="Q1451" s="218">
        <f t="shared" si="45"/>
        <v>0</v>
      </c>
    </row>
    <row r="1452" spans="1:17" x14ac:dyDescent="0.35">
      <c r="A1452" s="212" t="str">
        <f>COMPOSICIÓN!A1452</f>
        <v>PTO-1803</v>
      </c>
      <c r="B1452" s="212" t="str">
        <f>COMPOSICIÓN!B1452</f>
        <v>MO</v>
      </c>
      <c r="C1452" s="212" t="str">
        <f>COMPOSICIÓN!C1452</f>
        <v>OTR</v>
      </c>
      <c r="D1452" s="212" t="str">
        <f>COMPOSICIÓN!D1452</f>
        <v>SUB-BOCACOMP</v>
      </c>
      <c r="E1452" s="212" t="str">
        <f>COMPOSICIÓN!E1452</f>
        <v>Boca completa</v>
      </c>
      <c r="F1452" s="212" t="str">
        <f>COMPOSICIÓN!F1452</f>
        <v>j</v>
      </c>
      <c r="G1452" s="213">
        <f>COMPOSICIÓN!G1452</f>
        <v>3.25</v>
      </c>
      <c r="H1452" s="214">
        <f>COMPOSICIÓN!H1452</f>
        <v>0</v>
      </c>
      <c r="I1452" s="215">
        <f>COMPOSICIÓN!I1452</f>
        <v>35416.5</v>
      </c>
      <c r="J1452" s="212" t="str">
        <f>IFERROR(VLOOKUP(A1452,PARTIDAS!$A$2:$C$269,3,FALSE()),"")</f>
        <v>INSTALACIÓN ELÉCTRICA</v>
      </c>
      <c r="K1452" s="212" t="str">
        <f>IFERROR(INDEX(PPTO_GENERADOR!$B$4:$B$220,MATCH(A1452,PPTO_GENERADOR!$Q$4:$Q$220,0)),"")</f>
        <v/>
      </c>
      <c r="L1452" s="216">
        <f>IF(PLAN_ETAPA!$C$4="(TODOS)",SUMIFS(PPTO_GENERADOR!$E$4:$E$220,PPTO_GENERADOR!$Q$4:$Q$220,A1452),SUMIFS(PPTO_GENERADOR!$E$4:$E$220,PPTO_GENERADOR!$Q$4:$Q$220,A1452,PPTO_GENERADOR!$B$4:$B$220,PLAN_ETAPA!$C$4))</f>
        <v>0</v>
      </c>
      <c r="M1452" s="216">
        <f>IFERROR(VLOOKUP(A1452,PARTIDAS!$A$2:$F$269,6,FALSE()),1)</f>
        <v>3.25</v>
      </c>
      <c r="N1452" s="216">
        <f>IFERROR(VLOOKUP(A1452,PARTIDAS!$A$2:$I$269,9,FALSE()),1)</f>
        <v>1</v>
      </c>
      <c r="O1452" s="217">
        <f t="shared" si="44"/>
        <v>0</v>
      </c>
      <c r="P1452" s="216">
        <f>IF(O1452=0,0,IF(B1452="MAT",G1452*(1+H1452)*L1452*PLAN_ETAPA!$C$5,IF(B1452="MO",IF(M1452=0,0,G1452*L1452*PLAN_ETAPA!$C$5*N1452/M1452),IF(B1452="EQ",IF(M1452=0,0,G1452*L1452*PLAN_ETAPA!$C$5/M1452),0))))</f>
        <v>0</v>
      </c>
      <c r="Q1452" s="218">
        <f t="shared" si="45"/>
        <v>0</v>
      </c>
    </row>
    <row r="1453" spans="1:17" x14ac:dyDescent="0.35">
      <c r="A1453" s="212" t="str">
        <f>COMPOSICIÓN!A1453</f>
        <v>PTO-1804</v>
      </c>
      <c r="B1453" s="212" t="str">
        <f>COMPOSICIÓN!B1453</f>
        <v>MO</v>
      </c>
      <c r="C1453" s="212" t="str">
        <f>COMPOSICIÓN!C1453</f>
        <v>OTR</v>
      </c>
      <c r="D1453" s="212" t="str">
        <f>COMPOSICIÓN!D1453</f>
        <v>SUB-BOCACOMP</v>
      </c>
      <c r="E1453" s="212" t="str">
        <f>COMPOSICIÓN!E1453</f>
        <v>Boca completa</v>
      </c>
      <c r="F1453" s="212" t="str">
        <f>COMPOSICIÓN!F1453</f>
        <v>j</v>
      </c>
      <c r="G1453" s="213">
        <f>COMPOSICIÓN!G1453</f>
        <v>3.25</v>
      </c>
      <c r="H1453" s="214">
        <f>COMPOSICIÓN!H1453</f>
        <v>0</v>
      </c>
      <c r="I1453" s="215">
        <f>COMPOSICIÓN!I1453</f>
        <v>35416.5</v>
      </c>
      <c r="J1453" s="212" t="str">
        <f>IFERROR(VLOOKUP(A1453,PARTIDAS!$A$2:$C$269,3,FALSE()),"")</f>
        <v>INSTALACIÓN ELÉCTRICA</v>
      </c>
      <c r="K1453" s="212" t="str">
        <f>IFERROR(INDEX(PPTO_GENERADOR!$B$4:$B$220,MATCH(A1453,PPTO_GENERADOR!$Q$4:$Q$220,0)),"")</f>
        <v/>
      </c>
      <c r="L1453" s="216">
        <f>IF(PLAN_ETAPA!$C$4="(TODOS)",SUMIFS(PPTO_GENERADOR!$E$4:$E$220,PPTO_GENERADOR!$Q$4:$Q$220,A1453),SUMIFS(PPTO_GENERADOR!$E$4:$E$220,PPTO_GENERADOR!$Q$4:$Q$220,A1453,PPTO_GENERADOR!$B$4:$B$220,PLAN_ETAPA!$C$4))</f>
        <v>0</v>
      </c>
      <c r="M1453" s="216">
        <f>IFERROR(VLOOKUP(A1453,PARTIDAS!$A$2:$F$269,6,FALSE()),1)</f>
        <v>3.25</v>
      </c>
      <c r="N1453" s="216">
        <f>IFERROR(VLOOKUP(A1453,PARTIDAS!$A$2:$I$269,9,FALSE()),1)</f>
        <v>1</v>
      </c>
      <c r="O1453" s="217">
        <f t="shared" si="44"/>
        <v>0</v>
      </c>
      <c r="P1453" s="216">
        <f>IF(O1453=0,0,IF(B1453="MAT",G1453*(1+H1453)*L1453*PLAN_ETAPA!$C$5,IF(B1453="MO",IF(M1453=0,0,G1453*L1453*PLAN_ETAPA!$C$5*N1453/M1453),IF(B1453="EQ",IF(M1453=0,0,G1453*L1453*PLAN_ETAPA!$C$5/M1453),0))))</f>
        <v>0</v>
      </c>
      <c r="Q1453" s="218">
        <f t="shared" si="45"/>
        <v>0</v>
      </c>
    </row>
    <row r="1454" spans="1:17" x14ac:dyDescent="0.35">
      <c r="A1454" s="212" t="str">
        <f>COMPOSICIÓN!A1454</f>
        <v>PTO-1803</v>
      </c>
      <c r="B1454" s="212" t="str">
        <f>COMPOSICIÓN!B1454</f>
        <v>EQ</v>
      </c>
      <c r="C1454" s="212">
        <f>COMPOSICIÓN!C1454</f>
        <v>0</v>
      </c>
      <c r="D1454" s="212" t="str">
        <f>COMPOSICIÓN!D1454</f>
        <v>EQ-ANDAM0</v>
      </c>
      <c r="E1454" s="212" t="str">
        <f>COMPOSICIÓN!E1454</f>
        <v>ANDAMIO TUBULAR DE UNO A TRES CUERPOS</v>
      </c>
      <c r="F1454" s="212">
        <f>COMPOSICIÓN!F1454</f>
        <v>0</v>
      </c>
      <c r="G1454" s="213">
        <f>COMPOSICIÓN!G1454</f>
        <v>0.5</v>
      </c>
      <c r="H1454" s="214">
        <f>COMPOSICIÓN!H1454</f>
        <v>0</v>
      </c>
      <c r="I1454" s="215">
        <f>COMPOSICIÓN!I1454</f>
        <v>571.1794909807611</v>
      </c>
      <c r="J1454" s="212" t="str">
        <f>IFERROR(VLOOKUP(A1454,PARTIDAS!$A$2:$C$269,3,FALSE()),"")</f>
        <v>INSTALACIÓN ELÉCTRICA</v>
      </c>
      <c r="K1454" s="212" t="str">
        <f>IFERROR(INDEX(PPTO_GENERADOR!$B$4:$B$220,MATCH(A1454,PPTO_GENERADOR!$Q$4:$Q$220,0)),"")</f>
        <v/>
      </c>
      <c r="L1454" s="216">
        <f>IF(PLAN_ETAPA!$C$4="(TODOS)",SUMIFS(PPTO_GENERADOR!$E$4:$E$220,PPTO_GENERADOR!$Q$4:$Q$220,A1454),SUMIFS(PPTO_GENERADOR!$E$4:$E$220,PPTO_GENERADOR!$Q$4:$Q$220,A1454,PPTO_GENERADOR!$B$4:$B$220,PLAN_ETAPA!$C$4))</f>
        <v>0</v>
      </c>
      <c r="M1454" s="216">
        <f>IFERROR(VLOOKUP(A1454,PARTIDAS!$A$2:$F$269,6,FALSE()),1)</f>
        <v>3.25</v>
      </c>
      <c r="N1454" s="216">
        <f>IFERROR(VLOOKUP(A1454,PARTIDAS!$A$2:$I$269,9,FALSE()),1)</f>
        <v>1</v>
      </c>
      <c r="O1454" s="217">
        <f t="shared" si="44"/>
        <v>0</v>
      </c>
      <c r="P1454" s="216">
        <f>IF(O1454=0,0,IF(B1454="MAT",G1454*(1+H1454)*L1454*PLAN_ETAPA!$C$5,IF(B1454="MO",IF(M1454=0,0,G1454*L1454*PLAN_ETAPA!$C$5*N1454/M1454),IF(B1454="EQ",IF(M1454=0,0,G1454*L1454*PLAN_ETAPA!$C$5/M1454),0))))</f>
        <v>0</v>
      </c>
      <c r="Q1454" s="218">
        <f t="shared" si="45"/>
        <v>0</v>
      </c>
    </row>
    <row r="1455" spans="1:17" x14ac:dyDescent="0.35">
      <c r="A1455" s="212" t="str">
        <f>COMPOSICIÓN!A1455</f>
        <v>PTO-1803</v>
      </c>
      <c r="B1455" s="212" t="str">
        <f>COMPOSICIÓN!B1455</f>
        <v>EQ</v>
      </c>
      <c r="C1455" s="212">
        <f>COMPOSICIÓN!C1455</f>
        <v>0</v>
      </c>
      <c r="D1455" s="212" t="str">
        <f>COMPOSICIÓN!D1455</f>
        <v>EQ-EQUIP0</v>
      </c>
      <c r="E1455" s="212" t="str">
        <f>COMPOSICIÓN!E1455</f>
        <v>EQUIPO PARA INSTALACION ELECTRICA</v>
      </c>
      <c r="F1455" s="212">
        <f>COMPOSICIÓN!F1455</f>
        <v>0</v>
      </c>
      <c r="G1455" s="213">
        <f>COMPOSICIÓN!G1455</f>
        <v>1</v>
      </c>
      <c r="H1455" s="214">
        <f>COMPOSICIÓN!H1455</f>
        <v>0</v>
      </c>
      <c r="I1455" s="215">
        <f>COMPOSICIÓN!I1455</f>
        <v>5063.0947914732405</v>
      </c>
      <c r="J1455" s="212" t="str">
        <f>IFERROR(VLOOKUP(A1455,PARTIDAS!$A$2:$C$269,3,FALSE()),"")</f>
        <v>INSTALACIÓN ELÉCTRICA</v>
      </c>
      <c r="K1455" s="212" t="str">
        <f>IFERROR(INDEX(PPTO_GENERADOR!$B$4:$B$220,MATCH(A1455,PPTO_GENERADOR!$Q$4:$Q$220,0)),"")</f>
        <v/>
      </c>
      <c r="L1455" s="216">
        <f>IF(PLAN_ETAPA!$C$4="(TODOS)",SUMIFS(PPTO_GENERADOR!$E$4:$E$220,PPTO_GENERADOR!$Q$4:$Q$220,A1455),SUMIFS(PPTO_GENERADOR!$E$4:$E$220,PPTO_GENERADOR!$Q$4:$Q$220,A1455,PPTO_GENERADOR!$B$4:$B$220,PLAN_ETAPA!$C$4))</f>
        <v>0</v>
      </c>
      <c r="M1455" s="216">
        <f>IFERROR(VLOOKUP(A1455,PARTIDAS!$A$2:$F$269,6,FALSE()),1)</f>
        <v>3.25</v>
      </c>
      <c r="N1455" s="216">
        <f>IFERROR(VLOOKUP(A1455,PARTIDAS!$A$2:$I$269,9,FALSE()),1)</f>
        <v>1</v>
      </c>
      <c r="O1455" s="217">
        <f t="shared" si="44"/>
        <v>0</v>
      </c>
      <c r="P1455" s="216">
        <f>IF(O1455=0,0,IF(B1455="MAT",G1455*(1+H1455)*L1455*PLAN_ETAPA!$C$5,IF(B1455="MO",IF(M1455=0,0,G1455*L1455*PLAN_ETAPA!$C$5*N1455/M1455),IF(B1455="EQ",IF(M1455=0,0,G1455*L1455*PLAN_ETAPA!$C$5/M1455),0))))</f>
        <v>0</v>
      </c>
      <c r="Q1455" s="218">
        <f t="shared" si="45"/>
        <v>0</v>
      </c>
    </row>
    <row r="1456" spans="1:17" x14ac:dyDescent="0.35">
      <c r="A1456" s="212" t="str">
        <f>COMPOSICIÓN!A1456</f>
        <v>PTO-1803</v>
      </c>
      <c r="B1456" s="212" t="str">
        <f>COMPOSICIÓN!B1456</f>
        <v>EQ</v>
      </c>
      <c r="C1456" s="212">
        <f>COMPOSICIÓN!C1456</f>
        <v>0</v>
      </c>
      <c r="D1456" s="212" t="str">
        <f>COMPOSICIÓN!D1456</f>
        <v>EQ-ESCALE</v>
      </c>
      <c r="E1456" s="212" t="str">
        <f>COMPOSICIÓN!E1456</f>
        <v>ESCALERA GLOSS ALUMINIO ARTICULADA 4 X 4 ESCALONES HASTA 150KG</v>
      </c>
      <c r="F1456" s="212">
        <f>COMPOSICIÓN!F1456</f>
        <v>0</v>
      </c>
      <c r="G1456" s="213">
        <f>COMPOSICIÓN!G1456</f>
        <v>0.5</v>
      </c>
      <c r="H1456" s="214">
        <f>COMPOSICIÓN!H1456</f>
        <v>0</v>
      </c>
      <c r="I1456" s="215">
        <f>COMPOSICIÓN!I1456</f>
        <v>140.19809259430903</v>
      </c>
      <c r="J1456" s="212" t="str">
        <f>IFERROR(VLOOKUP(A1456,PARTIDAS!$A$2:$C$269,3,FALSE()),"")</f>
        <v>INSTALACIÓN ELÉCTRICA</v>
      </c>
      <c r="K1456" s="212" t="str">
        <f>IFERROR(INDEX(PPTO_GENERADOR!$B$4:$B$220,MATCH(A1456,PPTO_GENERADOR!$Q$4:$Q$220,0)),"")</f>
        <v/>
      </c>
      <c r="L1456" s="216">
        <f>IF(PLAN_ETAPA!$C$4="(TODOS)",SUMIFS(PPTO_GENERADOR!$E$4:$E$220,PPTO_GENERADOR!$Q$4:$Q$220,A1456),SUMIFS(PPTO_GENERADOR!$E$4:$E$220,PPTO_GENERADOR!$Q$4:$Q$220,A1456,PPTO_GENERADOR!$B$4:$B$220,PLAN_ETAPA!$C$4))</f>
        <v>0</v>
      </c>
      <c r="M1456" s="216">
        <f>IFERROR(VLOOKUP(A1456,PARTIDAS!$A$2:$F$269,6,FALSE()),1)</f>
        <v>3.25</v>
      </c>
      <c r="N1456" s="216">
        <f>IFERROR(VLOOKUP(A1456,PARTIDAS!$A$2:$I$269,9,FALSE()),1)</f>
        <v>1</v>
      </c>
      <c r="O1456" s="217">
        <f t="shared" si="44"/>
        <v>0</v>
      </c>
      <c r="P1456" s="216">
        <f>IF(O1456=0,0,IF(B1456="MAT",G1456*(1+H1456)*L1456*PLAN_ETAPA!$C$5,IF(B1456="MO",IF(M1456=0,0,G1456*L1456*PLAN_ETAPA!$C$5*N1456/M1456),IF(B1456="EQ",IF(M1456=0,0,G1456*L1456*PLAN_ETAPA!$C$5/M1456),0))))</f>
        <v>0</v>
      </c>
      <c r="Q1456" s="218">
        <f t="shared" si="45"/>
        <v>0</v>
      </c>
    </row>
    <row r="1457" spans="1:17" x14ac:dyDescent="0.35">
      <c r="A1457" s="212" t="str">
        <f>COMPOSICIÓN!A1457</f>
        <v>PTO-1803</v>
      </c>
      <c r="B1457" s="212" t="str">
        <f>COMPOSICIÓN!B1457</f>
        <v>MAT</v>
      </c>
      <c r="C1457" s="212" t="str">
        <f>COMPOSICIÓN!C1457</f>
        <v>OTR</v>
      </c>
      <c r="D1457" s="212" t="str">
        <f>COMPOSICIÓN!D1457</f>
        <v>ACE-018</v>
      </c>
      <c r="E1457" s="212" t="str">
        <f>COMPOSICIÓN!E1457</f>
        <v>Conector hierro 7/8"</v>
      </c>
      <c r="F1457" s="212" t="str">
        <f>COMPOSICIÓN!F1457</f>
        <v>u</v>
      </c>
      <c r="G1457" s="213">
        <f>COMPOSICIÓN!G1457</f>
        <v>3</v>
      </c>
      <c r="H1457" s="214">
        <f>COMPOSICIÓN!H1457</f>
        <v>0.1</v>
      </c>
      <c r="I1457" s="215">
        <f>COMPOSICIÓN!I1457</f>
        <v>282.29000000000002</v>
      </c>
      <c r="J1457" s="212" t="str">
        <f>IFERROR(VLOOKUP(A1457,PARTIDAS!$A$2:$C$269,3,FALSE()),"")</f>
        <v>INSTALACIÓN ELÉCTRICA</v>
      </c>
      <c r="K1457" s="212" t="str">
        <f>IFERROR(INDEX(PPTO_GENERADOR!$B$4:$B$220,MATCH(A1457,PPTO_GENERADOR!$Q$4:$Q$220,0)),"")</f>
        <v/>
      </c>
      <c r="L1457" s="216">
        <f>IF(PLAN_ETAPA!$C$4="(TODOS)",SUMIFS(PPTO_GENERADOR!$E$4:$E$220,PPTO_GENERADOR!$Q$4:$Q$220,A1457),SUMIFS(PPTO_GENERADOR!$E$4:$E$220,PPTO_GENERADOR!$Q$4:$Q$220,A1457,PPTO_GENERADOR!$B$4:$B$220,PLAN_ETAPA!$C$4))</f>
        <v>0</v>
      </c>
      <c r="M1457" s="216">
        <f>IFERROR(VLOOKUP(A1457,PARTIDAS!$A$2:$F$269,6,FALSE()),1)</f>
        <v>3.25</v>
      </c>
      <c r="N1457" s="216">
        <f>IFERROR(VLOOKUP(A1457,PARTIDAS!$A$2:$I$269,9,FALSE()),1)</f>
        <v>1</v>
      </c>
      <c r="O1457" s="217">
        <f t="shared" si="44"/>
        <v>0</v>
      </c>
      <c r="P1457" s="216">
        <f>IF(O1457=0,0,IF(B1457="MAT",G1457*(1+H1457)*L1457*PLAN_ETAPA!$C$5,IF(B1457="MO",IF(M1457=0,0,G1457*L1457*PLAN_ETAPA!$C$5*N1457/M1457),IF(B1457="EQ",IF(M1457=0,0,G1457*L1457*PLAN_ETAPA!$C$5/M1457),0))))</f>
        <v>0</v>
      </c>
      <c r="Q1457" s="218">
        <f t="shared" si="45"/>
        <v>0</v>
      </c>
    </row>
    <row r="1458" spans="1:17" x14ac:dyDescent="0.35">
      <c r="A1458" s="212" t="str">
        <f>COMPOSICIÓN!A1458</f>
        <v>PTO-1803</v>
      </c>
      <c r="B1458" s="212" t="str">
        <f>COMPOSICIÓN!B1458</f>
        <v>MAT</v>
      </c>
      <c r="C1458" s="212" t="str">
        <f>COMPOSICIÓN!C1458</f>
        <v>OTR</v>
      </c>
      <c r="D1458" s="212" t="str">
        <f>COMPOSICIÓN!D1458</f>
        <v>ELE-003</v>
      </c>
      <c r="E1458" s="212" t="str">
        <f>COMPOSICIÓN!E1458</f>
        <v>Caño rigido 7/8"</v>
      </c>
      <c r="F1458" s="212" t="str">
        <f>COMPOSICIÓN!F1458</f>
        <v>ml</v>
      </c>
      <c r="G1458" s="213">
        <f>COMPOSICIÓN!G1458</f>
        <v>5</v>
      </c>
      <c r="H1458" s="214">
        <f>COMPOSICIÓN!H1458</f>
        <v>0.1</v>
      </c>
      <c r="I1458" s="215">
        <f>COMPOSICIÓN!I1458</f>
        <v>635.55999999999995</v>
      </c>
      <c r="J1458" s="212" t="str">
        <f>IFERROR(VLOOKUP(A1458,PARTIDAS!$A$2:$C$269,3,FALSE()),"")</f>
        <v>INSTALACIÓN ELÉCTRICA</v>
      </c>
      <c r="K1458" s="212" t="str">
        <f>IFERROR(INDEX(PPTO_GENERADOR!$B$4:$B$220,MATCH(A1458,PPTO_GENERADOR!$Q$4:$Q$220,0)),"")</f>
        <v/>
      </c>
      <c r="L1458" s="216">
        <f>IF(PLAN_ETAPA!$C$4="(TODOS)",SUMIFS(PPTO_GENERADOR!$E$4:$E$220,PPTO_GENERADOR!$Q$4:$Q$220,A1458),SUMIFS(PPTO_GENERADOR!$E$4:$E$220,PPTO_GENERADOR!$Q$4:$Q$220,A1458,PPTO_GENERADOR!$B$4:$B$220,PLAN_ETAPA!$C$4))</f>
        <v>0</v>
      </c>
      <c r="M1458" s="216">
        <f>IFERROR(VLOOKUP(A1458,PARTIDAS!$A$2:$F$269,6,FALSE()),1)</f>
        <v>3.25</v>
      </c>
      <c r="N1458" s="216">
        <f>IFERROR(VLOOKUP(A1458,PARTIDAS!$A$2:$I$269,9,FALSE()),1)</f>
        <v>1</v>
      </c>
      <c r="O1458" s="217">
        <f t="shared" si="44"/>
        <v>0</v>
      </c>
      <c r="P1458" s="216">
        <f>IF(O1458=0,0,IF(B1458="MAT",G1458*(1+H1458)*L1458*PLAN_ETAPA!$C$5,IF(B1458="MO",IF(M1458=0,0,G1458*L1458*PLAN_ETAPA!$C$5*N1458/M1458),IF(B1458="EQ",IF(M1458=0,0,G1458*L1458*PLAN_ETAPA!$C$5/M1458),0))))</f>
        <v>0</v>
      </c>
      <c r="Q1458" s="218">
        <f t="shared" si="45"/>
        <v>0</v>
      </c>
    </row>
    <row r="1459" spans="1:17" x14ac:dyDescent="0.35">
      <c r="A1459" s="212" t="str">
        <f>COMPOSICIÓN!A1459</f>
        <v>PTO-1803</v>
      </c>
      <c r="B1459" s="212" t="str">
        <f>COMPOSICIÓN!B1459</f>
        <v>MAT</v>
      </c>
      <c r="C1459" s="212" t="str">
        <f>COMPOSICIÓN!C1459</f>
        <v>OTR</v>
      </c>
      <c r="D1459" s="212" t="str">
        <f>COMPOSICIÓN!D1459</f>
        <v>ELE-006</v>
      </c>
      <c r="E1459" s="212" t="str">
        <f>COMPOSICIÓN!E1459</f>
        <v>Cupla PVC 7/8"</v>
      </c>
      <c r="F1459" s="212" t="str">
        <f>COMPOSICIÓN!F1459</f>
        <v>u</v>
      </c>
      <c r="G1459" s="213">
        <f>COMPOSICIÓN!G1459</f>
        <v>2</v>
      </c>
      <c r="H1459" s="214">
        <f>COMPOSICIÓN!H1459</f>
        <v>0.1</v>
      </c>
      <c r="I1459" s="215">
        <f>COMPOSICIÓN!I1459</f>
        <v>184.87</v>
      </c>
      <c r="J1459" s="212" t="str">
        <f>IFERROR(VLOOKUP(A1459,PARTIDAS!$A$2:$C$269,3,FALSE()),"")</f>
        <v>INSTALACIÓN ELÉCTRICA</v>
      </c>
      <c r="K1459" s="212" t="str">
        <f>IFERROR(INDEX(PPTO_GENERADOR!$B$4:$B$220,MATCH(A1459,PPTO_GENERADOR!$Q$4:$Q$220,0)),"")</f>
        <v/>
      </c>
      <c r="L1459" s="216">
        <f>IF(PLAN_ETAPA!$C$4="(TODOS)",SUMIFS(PPTO_GENERADOR!$E$4:$E$220,PPTO_GENERADOR!$Q$4:$Q$220,A1459),SUMIFS(PPTO_GENERADOR!$E$4:$E$220,PPTO_GENERADOR!$Q$4:$Q$220,A1459,PPTO_GENERADOR!$B$4:$B$220,PLAN_ETAPA!$C$4))</f>
        <v>0</v>
      </c>
      <c r="M1459" s="216">
        <f>IFERROR(VLOOKUP(A1459,PARTIDAS!$A$2:$F$269,6,FALSE()),1)</f>
        <v>3.25</v>
      </c>
      <c r="N1459" s="216">
        <f>IFERROR(VLOOKUP(A1459,PARTIDAS!$A$2:$I$269,9,FALSE()),1)</f>
        <v>1</v>
      </c>
      <c r="O1459" s="217">
        <f t="shared" si="44"/>
        <v>0</v>
      </c>
      <c r="P1459" s="216">
        <f>IF(O1459=0,0,IF(B1459="MAT",G1459*(1+H1459)*L1459*PLAN_ETAPA!$C$5,IF(B1459="MO",IF(M1459=0,0,G1459*L1459*PLAN_ETAPA!$C$5*N1459/M1459),IF(B1459="EQ",IF(M1459=0,0,G1459*L1459*PLAN_ETAPA!$C$5/M1459),0))))</f>
        <v>0</v>
      </c>
      <c r="Q1459" s="218">
        <f t="shared" si="45"/>
        <v>0</v>
      </c>
    </row>
    <row r="1460" spans="1:17" x14ac:dyDescent="0.35">
      <c r="A1460" s="212" t="str">
        <f>COMPOSICIÓN!A1460</f>
        <v>PTO-1803</v>
      </c>
      <c r="B1460" s="212" t="str">
        <f>COMPOSICIÓN!B1460</f>
        <v>MAT</v>
      </c>
      <c r="C1460" s="212" t="str">
        <f>COMPOSICIÓN!C1460</f>
        <v>OTR</v>
      </c>
      <c r="D1460" s="212" t="str">
        <f>COMPOSICIÓN!D1460</f>
        <v>ELE-008</v>
      </c>
      <c r="E1460" s="212" t="str">
        <f>COMPOSICIÓN!E1460</f>
        <v>Cable unipolar 1 x 1,50</v>
      </c>
      <c r="F1460" s="212" t="str">
        <f>COMPOSICIÓN!F1460</f>
        <v>ml</v>
      </c>
      <c r="G1460" s="213">
        <f>COMPOSICIÓN!G1460</f>
        <v>7.5</v>
      </c>
      <c r="H1460" s="214">
        <f>COMPOSICIÓN!H1460</f>
        <v>0.1</v>
      </c>
      <c r="I1460" s="215">
        <f>COMPOSICIÓN!I1460</f>
        <v>316.44450000000001</v>
      </c>
      <c r="J1460" s="212" t="str">
        <f>IFERROR(VLOOKUP(A1460,PARTIDAS!$A$2:$C$269,3,FALSE()),"")</f>
        <v>INSTALACIÓN ELÉCTRICA</v>
      </c>
      <c r="K1460" s="212" t="str">
        <f>IFERROR(INDEX(PPTO_GENERADOR!$B$4:$B$220,MATCH(A1460,PPTO_GENERADOR!$Q$4:$Q$220,0)),"")</f>
        <v/>
      </c>
      <c r="L1460" s="216">
        <f>IF(PLAN_ETAPA!$C$4="(TODOS)",SUMIFS(PPTO_GENERADOR!$E$4:$E$220,PPTO_GENERADOR!$Q$4:$Q$220,A1460),SUMIFS(PPTO_GENERADOR!$E$4:$E$220,PPTO_GENERADOR!$Q$4:$Q$220,A1460,PPTO_GENERADOR!$B$4:$B$220,PLAN_ETAPA!$C$4))</f>
        <v>0</v>
      </c>
      <c r="M1460" s="216">
        <f>IFERROR(VLOOKUP(A1460,PARTIDAS!$A$2:$F$269,6,FALSE()),1)</f>
        <v>3.25</v>
      </c>
      <c r="N1460" s="216">
        <f>IFERROR(VLOOKUP(A1460,PARTIDAS!$A$2:$I$269,9,FALSE()),1)</f>
        <v>1</v>
      </c>
      <c r="O1460" s="217">
        <f t="shared" si="44"/>
        <v>0</v>
      </c>
      <c r="P1460" s="216">
        <f>IF(O1460=0,0,IF(B1460="MAT",G1460*(1+H1460)*L1460*PLAN_ETAPA!$C$5,IF(B1460="MO",IF(M1460=0,0,G1460*L1460*PLAN_ETAPA!$C$5*N1460/M1460),IF(B1460="EQ",IF(M1460=0,0,G1460*L1460*PLAN_ETAPA!$C$5/M1460),0))))</f>
        <v>0</v>
      </c>
      <c r="Q1460" s="218">
        <f t="shared" si="45"/>
        <v>0</v>
      </c>
    </row>
    <row r="1461" spans="1:17" x14ac:dyDescent="0.35">
      <c r="A1461" s="212" t="str">
        <f>COMPOSICIÓN!A1461</f>
        <v>PTO-1803</v>
      </c>
      <c r="B1461" s="212" t="str">
        <f>COMPOSICIÓN!B1461</f>
        <v>MAT</v>
      </c>
      <c r="C1461" s="212" t="str">
        <f>COMPOSICIÓN!C1461</f>
        <v>OTR</v>
      </c>
      <c r="D1461" s="212" t="str">
        <f>COMPOSICIÓN!D1461</f>
        <v>ELE-009</v>
      </c>
      <c r="E1461" s="212" t="str">
        <f>COMPOSICIÓN!E1461</f>
        <v>Cable unipolar 1 x 2,50 VA</v>
      </c>
      <c r="F1461" s="212" t="str">
        <f>COMPOSICIÓN!F1461</f>
        <v>ml</v>
      </c>
      <c r="G1461" s="213">
        <f>COMPOSICIÓN!G1461</f>
        <v>5</v>
      </c>
      <c r="H1461" s="214">
        <f>COMPOSICIÓN!H1461</f>
        <v>0.1</v>
      </c>
      <c r="I1461" s="215">
        <f>COMPOSICIÓN!I1461</f>
        <v>509.31490000000002</v>
      </c>
      <c r="J1461" s="212" t="str">
        <f>IFERROR(VLOOKUP(A1461,PARTIDAS!$A$2:$C$269,3,FALSE()),"")</f>
        <v>INSTALACIÓN ELÉCTRICA</v>
      </c>
      <c r="K1461" s="212" t="str">
        <f>IFERROR(INDEX(PPTO_GENERADOR!$B$4:$B$220,MATCH(A1461,PPTO_GENERADOR!$Q$4:$Q$220,0)),"")</f>
        <v/>
      </c>
      <c r="L1461" s="216">
        <f>IF(PLAN_ETAPA!$C$4="(TODOS)",SUMIFS(PPTO_GENERADOR!$E$4:$E$220,PPTO_GENERADOR!$Q$4:$Q$220,A1461),SUMIFS(PPTO_GENERADOR!$E$4:$E$220,PPTO_GENERADOR!$Q$4:$Q$220,A1461,PPTO_GENERADOR!$B$4:$B$220,PLAN_ETAPA!$C$4))</f>
        <v>0</v>
      </c>
      <c r="M1461" s="216">
        <f>IFERROR(VLOOKUP(A1461,PARTIDAS!$A$2:$F$269,6,FALSE()),1)</f>
        <v>3.25</v>
      </c>
      <c r="N1461" s="216">
        <f>IFERROR(VLOOKUP(A1461,PARTIDAS!$A$2:$I$269,9,FALSE()),1)</f>
        <v>1</v>
      </c>
      <c r="O1461" s="217">
        <f t="shared" si="44"/>
        <v>0</v>
      </c>
      <c r="P1461" s="216">
        <f>IF(O1461=0,0,IF(B1461="MAT",G1461*(1+H1461)*L1461*PLAN_ETAPA!$C$5,IF(B1461="MO",IF(M1461=0,0,G1461*L1461*PLAN_ETAPA!$C$5*N1461/M1461),IF(B1461="EQ",IF(M1461=0,0,G1461*L1461*PLAN_ETAPA!$C$5/M1461),0))))</f>
        <v>0</v>
      </c>
      <c r="Q1461" s="218">
        <f t="shared" si="45"/>
        <v>0</v>
      </c>
    </row>
    <row r="1462" spans="1:17" x14ac:dyDescent="0.35">
      <c r="A1462" s="212" t="str">
        <f>COMPOSICIÓN!A1462</f>
        <v>PTO-1803</v>
      </c>
      <c r="B1462" s="212" t="str">
        <f>COMPOSICIÓN!B1462</f>
        <v>MAT</v>
      </c>
      <c r="C1462" s="212" t="str">
        <f>COMPOSICIÓN!C1462</f>
        <v>OTR</v>
      </c>
      <c r="D1462" s="212" t="str">
        <f>COMPOSICIÓN!D1462</f>
        <v>ELE-010</v>
      </c>
      <c r="E1462" s="212" t="str">
        <f>COMPOSICIÓN!E1462</f>
        <v>Cable unipolar 1 x 2,50 Rojo/Marron/Negro</v>
      </c>
      <c r="F1462" s="212" t="str">
        <f>COMPOSICIÓN!F1462</f>
        <v>ml</v>
      </c>
      <c r="G1462" s="213">
        <f>COMPOSICIÓN!G1462</f>
        <v>7.5</v>
      </c>
      <c r="H1462" s="214">
        <f>COMPOSICIÓN!H1462</f>
        <v>0.1</v>
      </c>
      <c r="I1462" s="215">
        <f>COMPOSICIÓN!I1462</f>
        <v>509.31490000000002</v>
      </c>
      <c r="J1462" s="212" t="str">
        <f>IFERROR(VLOOKUP(A1462,PARTIDAS!$A$2:$C$269,3,FALSE()),"")</f>
        <v>INSTALACIÓN ELÉCTRICA</v>
      </c>
      <c r="K1462" s="212" t="str">
        <f>IFERROR(INDEX(PPTO_GENERADOR!$B$4:$B$220,MATCH(A1462,PPTO_GENERADOR!$Q$4:$Q$220,0)),"")</f>
        <v/>
      </c>
      <c r="L1462" s="216">
        <f>IF(PLAN_ETAPA!$C$4="(TODOS)",SUMIFS(PPTO_GENERADOR!$E$4:$E$220,PPTO_GENERADOR!$Q$4:$Q$220,A1462),SUMIFS(PPTO_GENERADOR!$E$4:$E$220,PPTO_GENERADOR!$Q$4:$Q$220,A1462,PPTO_GENERADOR!$B$4:$B$220,PLAN_ETAPA!$C$4))</f>
        <v>0</v>
      </c>
      <c r="M1462" s="216">
        <f>IFERROR(VLOOKUP(A1462,PARTIDAS!$A$2:$F$269,6,FALSE()),1)</f>
        <v>3.25</v>
      </c>
      <c r="N1462" s="216">
        <f>IFERROR(VLOOKUP(A1462,PARTIDAS!$A$2:$I$269,9,FALSE()),1)</f>
        <v>1</v>
      </c>
      <c r="O1462" s="217">
        <f t="shared" si="44"/>
        <v>0</v>
      </c>
      <c r="P1462" s="216">
        <f>IF(O1462=0,0,IF(B1462="MAT",G1462*(1+H1462)*L1462*PLAN_ETAPA!$C$5,IF(B1462="MO",IF(M1462=0,0,G1462*L1462*PLAN_ETAPA!$C$5*N1462/M1462),IF(B1462="EQ",IF(M1462=0,0,G1462*L1462*PLAN_ETAPA!$C$5/M1462),0))))</f>
        <v>0</v>
      </c>
      <c r="Q1462" s="218">
        <f t="shared" si="45"/>
        <v>0</v>
      </c>
    </row>
    <row r="1463" spans="1:17" x14ac:dyDescent="0.35">
      <c r="A1463" s="212" t="str">
        <f>COMPOSICIÓN!A1463</f>
        <v>PTO-1803</v>
      </c>
      <c r="B1463" s="212" t="str">
        <f>COMPOSICIÓN!B1463</f>
        <v>MAT</v>
      </c>
      <c r="C1463" s="212" t="str">
        <f>COMPOSICIÓN!C1463</f>
        <v>OTR</v>
      </c>
      <c r="D1463" s="212" t="str">
        <f>COMPOSICIÓN!D1463</f>
        <v>ELE-012</v>
      </c>
      <c r="E1463" s="212" t="str">
        <f>COMPOSICIÓN!E1463</f>
        <v>Caja octogonal chica</v>
      </c>
      <c r="F1463" s="212" t="str">
        <f>COMPOSICIÓN!F1463</f>
        <v>u</v>
      </c>
      <c r="G1463" s="213">
        <f>COMPOSICIÓN!G1463</f>
        <v>1</v>
      </c>
      <c r="H1463" s="214">
        <f>COMPOSICIÓN!H1463</f>
        <v>0.05</v>
      </c>
      <c r="I1463" s="215">
        <f>COMPOSICIÓN!I1463</f>
        <v>202.42</v>
      </c>
      <c r="J1463" s="212" t="str">
        <f>IFERROR(VLOOKUP(A1463,PARTIDAS!$A$2:$C$269,3,FALSE()),"")</f>
        <v>INSTALACIÓN ELÉCTRICA</v>
      </c>
      <c r="K1463" s="212" t="str">
        <f>IFERROR(INDEX(PPTO_GENERADOR!$B$4:$B$220,MATCH(A1463,PPTO_GENERADOR!$Q$4:$Q$220,0)),"")</f>
        <v/>
      </c>
      <c r="L1463" s="216">
        <f>IF(PLAN_ETAPA!$C$4="(TODOS)",SUMIFS(PPTO_GENERADOR!$E$4:$E$220,PPTO_GENERADOR!$Q$4:$Q$220,A1463),SUMIFS(PPTO_GENERADOR!$E$4:$E$220,PPTO_GENERADOR!$Q$4:$Q$220,A1463,PPTO_GENERADOR!$B$4:$B$220,PLAN_ETAPA!$C$4))</f>
        <v>0</v>
      </c>
      <c r="M1463" s="216">
        <f>IFERROR(VLOOKUP(A1463,PARTIDAS!$A$2:$F$269,6,FALSE()),1)</f>
        <v>3.25</v>
      </c>
      <c r="N1463" s="216">
        <f>IFERROR(VLOOKUP(A1463,PARTIDAS!$A$2:$I$269,9,FALSE()),1)</f>
        <v>1</v>
      </c>
      <c r="O1463" s="217">
        <f t="shared" si="44"/>
        <v>0</v>
      </c>
      <c r="P1463" s="216">
        <f>IF(O1463=0,0,IF(B1463="MAT",G1463*(1+H1463)*L1463*PLAN_ETAPA!$C$5,IF(B1463="MO",IF(M1463=0,0,G1463*L1463*PLAN_ETAPA!$C$5*N1463/M1463),IF(B1463="EQ",IF(M1463=0,0,G1463*L1463*PLAN_ETAPA!$C$5/M1463),0))))</f>
        <v>0</v>
      </c>
      <c r="Q1463" s="218">
        <f t="shared" si="45"/>
        <v>0</v>
      </c>
    </row>
    <row r="1464" spans="1:17" x14ac:dyDescent="0.35">
      <c r="A1464" s="212" t="str">
        <f>COMPOSICIÓN!A1464</f>
        <v>PTO-1803</v>
      </c>
      <c r="B1464" s="212" t="str">
        <f>COMPOSICIÓN!B1464</f>
        <v>MAT</v>
      </c>
      <c r="C1464" s="212" t="str">
        <f>COMPOSICIÓN!C1464</f>
        <v>OTR</v>
      </c>
      <c r="D1464" s="212" t="str">
        <f>COMPOSICIÓN!D1464</f>
        <v>ELE-014</v>
      </c>
      <c r="E1464" s="212" t="str">
        <f>COMPOSICIÓN!E1464</f>
        <v>Caja rectangular chica</v>
      </c>
      <c r="F1464" s="212" t="str">
        <f>COMPOSICIÓN!F1464</f>
        <v>u</v>
      </c>
      <c r="G1464" s="213">
        <f>COMPOSICIÓN!G1464</f>
        <v>0.5</v>
      </c>
      <c r="H1464" s="214">
        <f>COMPOSICIÓN!H1464</f>
        <v>0.05</v>
      </c>
      <c r="I1464" s="215">
        <f>COMPOSICIÓN!I1464</f>
        <v>202.42</v>
      </c>
      <c r="J1464" s="212" t="str">
        <f>IFERROR(VLOOKUP(A1464,PARTIDAS!$A$2:$C$269,3,FALSE()),"")</f>
        <v>INSTALACIÓN ELÉCTRICA</v>
      </c>
      <c r="K1464" s="212" t="str">
        <f>IFERROR(INDEX(PPTO_GENERADOR!$B$4:$B$220,MATCH(A1464,PPTO_GENERADOR!$Q$4:$Q$220,0)),"")</f>
        <v/>
      </c>
      <c r="L1464" s="216">
        <f>IF(PLAN_ETAPA!$C$4="(TODOS)",SUMIFS(PPTO_GENERADOR!$E$4:$E$220,PPTO_GENERADOR!$Q$4:$Q$220,A1464),SUMIFS(PPTO_GENERADOR!$E$4:$E$220,PPTO_GENERADOR!$Q$4:$Q$220,A1464,PPTO_GENERADOR!$B$4:$B$220,PLAN_ETAPA!$C$4))</f>
        <v>0</v>
      </c>
      <c r="M1464" s="216">
        <f>IFERROR(VLOOKUP(A1464,PARTIDAS!$A$2:$F$269,6,FALSE()),1)</f>
        <v>3.25</v>
      </c>
      <c r="N1464" s="216">
        <f>IFERROR(VLOOKUP(A1464,PARTIDAS!$A$2:$I$269,9,FALSE()),1)</f>
        <v>1</v>
      </c>
      <c r="O1464" s="217">
        <f t="shared" si="44"/>
        <v>0</v>
      </c>
      <c r="P1464" s="216">
        <f>IF(O1464=0,0,IF(B1464="MAT",G1464*(1+H1464)*L1464*PLAN_ETAPA!$C$5,IF(B1464="MO",IF(M1464=0,0,G1464*L1464*PLAN_ETAPA!$C$5*N1464/M1464),IF(B1464="EQ",IF(M1464=0,0,G1464*L1464*PLAN_ETAPA!$C$5/M1464),0))))</f>
        <v>0</v>
      </c>
      <c r="Q1464" s="218">
        <f t="shared" si="45"/>
        <v>0</v>
      </c>
    </row>
    <row r="1465" spans="1:17" x14ac:dyDescent="0.35">
      <c r="A1465" s="212" t="str">
        <f>COMPOSICIÓN!A1465</f>
        <v>PTO-1805</v>
      </c>
      <c r="B1465" s="212" t="str">
        <f>COMPOSICIÓN!B1465</f>
        <v>MO</v>
      </c>
      <c r="C1465" s="212" t="str">
        <f>COMPOSICIÓN!C1465</f>
        <v>OTR</v>
      </c>
      <c r="D1465" s="212" t="str">
        <f>COMPOSICIÓN!D1465</f>
        <v>SUB-BOCACOMP</v>
      </c>
      <c r="E1465" s="212" t="str">
        <f>COMPOSICIÓN!E1465</f>
        <v>Boca completa</v>
      </c>
      <c r="F1465" s="212" t="str">
        <f>COMPOSICIÓN!F1465</f>
        <v>j</v>
      </c>
      <c r="G1465" s="213">
        <f>COMPOSICIÓN!G1465</f>
        <v>3.25</v>
      </c>
      <c r="H1465" s="214">
        <f>COMPOSICIÓN!H1465</f>
        <v>0</v>
      </c>
      <c r="I1465" s="215">
        <f>COMPOSICIÓN!I1465</f>
        <v>35416.5</v>
      </c>
      <c r="J1465" s="212" t="str">
        <f>IFERROR(VLOOKUP(A1465,PARTIDAS!$A$2:$C$269,3,FALSE()),"")</f>
        <v>INSTALACIÓN ELÉCTRICA</v>
      </c>
      <c r="K1465" s="212" t="str">
        <f>IFERROR(INDEX(PPTO_GENERADOR!$B$4:$B$220,MATCH(A1465,PPTO_GENERADOR!$Q$4:$Q$220,0)),"")</f>
        <v/>
      </c>
      <c r="L1465" s="216">
        <f>IF(PLAN_ETAPA!$C$4="(TODOS)",SUMIFS(PPTO_GENERADOR!$E$4:$E$220,PPTO_GENERADOR!$Q$4:$Q$220,A1465),SUMIFS(PPTO_GENERADOR!$E$4:$E$220,PPTO_GENERADOR!$Q$4:$Q$220,A1465,PPTO_GENERADOR!$B$4:$B$220,PLAN_ETAPA!$C$4))</f>
        <v>0</v>
      </c>
      <c r="M1465" s="216">
        <f>IFERROR(VLOOKUP(A1465,PARTIDAS!$A$2:$F$269,6,FALSE()),1)</f>
        <v>3.25</v>
      </c>
      <c r="N1465" s="216">
        <f>IFERROR(VLOOKUP(A1465,PARTIDAS!$A$2:$I$269,9,FALSE()),1)</f>
        <v>1</v>
      </c>
      <c r="O1465" s="217">
        <f t="shared" si="44"/>
        <v>0</v>
      </c>
      <c r="P1465" s="216">
        <f>IF(O1465=0,0,IF(B1465="MAT",G1465*(1+H1465)*L1465*PLAN_ETAPA!$C$5,IF(B1465="MO",IF(M1465=0,0,G1465*L1465*PLAN_ETAPA!$C$5*N1465/M1465),IF(B1465="EQ",IF(M1465=0,0,G1465*L1465*PLAN_ETAPA!$C$5/M1465),0))))</f>
        <v>0</v>
      </c>
      <c r="Q1465" s="218">
        <f t="shared" si="45"/>
        <v>0</v>
      </c>
    </row>
    <row r="1466" spans="1:17" x14ac:dyDescent="0.35">
      <c r="A1466" s="212" t="str">
        <f>COMPOSICIÓN!A1466</f>
        <v>PTO-1806</v>
      </c>
      <c r="B1466" s="212" t="str">
        <f>COMPOSICIÓN!B1466</f>
        <v>MO</v>
      </c>
      <c r="C1466" s="212" t="str">
        <f>COMPOSICIÓN!C1466</f>
        <v>OTR</v>
      </c>
      <c r="D1466" s="212" t="str">
        <f>COMPOSICIÓN!D1466</f>
        <v>SUB-BOCACOMP</v>
      </c>
      <c r="E1466" s="212" t="str">
        <f>COMPOSICIÓN!E1466</f>
        <v>Boca completa</v>
      </c>
      <c r="F1466" s="212" t="str">
        <f>COMPOSICIÓN!F1466</f>
        <v>j</v>
      </c>
      <c r="G1466" s="213">
        <f>COMPOSICIÓN!G1466</f>
        <v>3.25</v>
      </c>
      <c r="H1466" s="214">
        <f>COMPOSICIÓN!H1466</f>
        <v>0</v>
      </c>
      <c r="I1466" s="215">
        <f>COMPOSICIÓN!I1466</f>
        <v>35416.5</v>
      </c>
      <c r="J1466" s="212" t="str">
        <f>IFERROR(VLOOKUP(A1466,PARTIDAS!$A$2:$C$269,3,FALSE()),"")</f>
        <v>INSTALACIÓN ELÉCTRICA</v>
      </c>
      <c r="K1466" s="212" t="str">
        <f>IFERROR(INDEX(PPTO_GENERADOR!$B$4:$B$220,MATCH(A1466,PPTO_GENERADOR!$Q$4:$Q$220,0)),"")</f>
        <v/>
      </c>
      <c r="L1466" s="216">
        <f>IF(PLAN_ETAPA!$C$4="(TODOS)",SUMIFS(PPTO_GENERADOR!$E$4:$E$220,PPTO_GENERADOR!$Q$4:$Q$220,A1466),SUMIFS(PPTO_GENERADOR!$E$4:$E$220,PPTO_GENERADOR!$Q$4:$Q$220,A1466,PPTO_GENERADOR!$B$4:$B$220,PLAN_ETAPA!$C$4))</f>
        <v>0</v>
      </c>
      <c r="M1466" s="216">
        <f>IFERROR(VLOOKUP(A1466,PARTIDAS!$A$2:$F$269,6,FALSE()),1)</f>
        <v>3.25</v>
      </c>
      <c r="N1466" s="216">
        <f>IFERROR(VLOOKUP(A1466,PARTIDAS!$A$2:$I$269,9,FALSE()),1)</f>
        <v>1</v>
      </c>
      <c r="O1466" s="217">
        <f t="shared" si="44"/>
        <v>0</v>
      </c>
      <c r="P1466" s="216">
        <f>IF(O1466=0,0,IF(B1466="MAT",G1466*(1+H1466)*L1466*PLAN_ETAPA!$C$5,IF(B1466="MO",IF(M1466=0,0,G1466*L1466*PLAN_ETAPA!$C$5*N1466/M1466),IF(B1466="EQ",IF(M1466=0,0,G1466*L1466*PLAN_ETAPA!$C$5/M1466),0))))</f>
        <v>0</v>
      </c>
      <c r="Q1466" s="218">
        <f t="shared" si="45"/>
        <v>0</v>
      </c>
    </row>
    <row r="1467" spans="1:17" x14ac:dyDescent="0.35">
      <c r="A1467" s="212" t="str">
        <f>COMPOSICIÓN!A1467</f>
        <v>PTO-1804</v>
      </c>
      <c r="B1467" s="212" t="str">
        <f>COMPOSICIÓN!B1467</f>
        <v>EQ</v>
      </c>
      <c r="C1467" s="212">
        <f>COMPOSICIÓN!C1467</f>
        <v>0</v>
      </c>
      <c r="D1467" s="212" t="str">
        <f>COMPOSICIÓN!D1467</f>
        <v>EQ-ANDAM0</v>
      </c>
      <c r="E1467" s="212" t="str">
        <f>COMPOSICIÓN!E1467</f>
        <v>ANDAMIO TUBULAR DE UNO A TRES CUERPOS</v>
      </c>
      <c r="F1467" s="212">
        <f>COMPOSICIÓN!F1467</f>
        <v>0</v>
      </c>
      <c r="G1467" s="213">
        <f>COMPOSICIÓN!G1467</f>
        <v>0.5</v>
      </c>
      <c r="H1467" s="214">
        <f>COMPOSICIÓN!H1467</f>
        <v>0</v>
      </c>
      <c r="I1467" s="215">
        <f>COMPOSICIÓN!I1467</f>
        <v>571.1794909807611</v>
      </c>
      <c r="J1467" s="212" t="str">
        <f>IFERROR(VLOOKUP(A1467,PARTIDAS!$A$2:$C$269,3,FALSE()),"")</f>
        <v>INSTALACIÓN ELÉCTRICA</v>
      </c>
      <c r="K1467" s="212" t="str">
        <f>IFERROR(INDEX(PPTO_GENERADOR!$B$4:$B$220,MATCH(A1467,PPTO_GENERADOR!$Q$4:$Q$220,0)),"")</f>
        <v/>
      </c>
      <c r="L1467" s="216">
        <f>IF(PLAN_ETAPA!$C$4="(TODOS)",SUMIFS(PPTO_GENERADOR!$E$4:$E$220,PPTO_GENERADOR!$Q$4:$Q$220,A1467),SUMIFS(PPTO_GENERADOR!$E$4:$E$220,PPTO_GENERADOR!$Q$4:$Q$220,A1467,PPTO_GENERADOR!$B$4:$B$220,PLAN_ETAPA!$C$4))</f>
        <v>0</v>
      </c>
      <c r="M1467" s="216">
        <f>IFERROR(VLOOKUP(A1467,PARTIDAS!$A$2:$F$269,6,FALSE()),1)</f>
        <v>3.25</v>
      </c>
      <c r="N1467" s="216">
        <f>IFERROR(VLOOKUP(A1467,PARTIDAS!$A$2:$I$269,9,FALSE()),1)</f>
        <v>1</v>
      </c>
      <c r="O1467" s="217">
        <f t="shared" si="44"/>
        <v>0</v>
      </c>
      <c r="P1467" s="216">
        <f>IF(O1467=0,0,IF(B1467="MAT",G1467*(1+H1467)*L1467*PLAN_ETAPA!$C$5,IF(B1467="MO",IF(M1467=0,0,G1467*L1467*PLAN_ETAPA!$C$5*N1467/M1467),IF(B1467="EQ",IF(M1467=0,0,G1467*L1467*PLAN_ETAPA!$C$5/M1467),0))))</f>
        <v>0</v>
      </c>
      <c r="Q1467" s="218">
        <f t="shared" si="45"/>
        <v>0</v>
      </c>
    </row>
    <row r="1468" spans="1:17" x14ac:dyDescent="0.35">
      <c r="A1468" s="212" t="str">
        <f>COMPOSICIÓN!A1468</f>
        <v>PTO-1804</v>
      </c>
      <c r="B1468" s="212" t="str">
        <f>COMPOSICIÓN!B1468</f>
        <v>EQ</v>
      </c>
      <c r="C1468" s="212">
        <f>COMPOSICIÓN!C1468</f>
        <v>0</v>
      </c>
      <c r="D1468" s="212" t="str">
        <f>COMPOSICIÓN!D1468</f>
        <v>EQ-EQUIP0</v>
      </c>
      <c r="E1468" s="212" t="str">
        <f>COMPOSICIÓN!E1468</f>
        <v>EQUIPO PARA INSTALACION ELECTRICA</v>
      </c>
      <c r="F1468" s="212">
        <f>COMPOSICIÓN!F1468</f>
        <v>0</v>
      </c>
      <c r="G1468" s="213">
        <f>COMPOSICIÓN!G1468</f>
        <v>1</v>
      </c>
      <c r="H1468" s="214">
        <f>COMPOSICIÓN!H1468</f>
        <v>0</v>
      </c>
      <c r="I1468" s="215">
        <f>COMPOSICIÓN!I1468</f>
        <v>5063.0947914732405</v>
      </c>
      <c r="J1468" s="212" t="str">
        <f>IFERROR(VLOOKUP(A1468,PARTIDAS!$A$2:$C$269,3,FALSE()),"")</f>
        <v>INSTALACIÓN ELÉCTRICA</v>
      </c>
      <c r="K1468" s="212" t="str">
        <f>IFERROR(INDEX(PPTO_GENERADOR!$B$4:$B$220,MATCH(A1468,PPTO_GENERADOR!$Q$4:$Q$220,0)),"")</f>
        <v/>
      </c>
      <c r="L1468" s="216">
        <f>IF(PLAN_ETAPA!$C$4="(TODOS)",SUMIFS(PPTO_GENERADOR!$E$4:$E$220,PPTO_GENERADOR!$Q$4:$Q$220,A1468),SUMIFS(PPTO_GENERADOR!$E$4:$E$220,PPTO_GENERADOR!$Q$4:$Q$220,A1468,PPTO_GENERADOR!$B$4:$B$220,PLAN_ETAPA!$C$4))</f>
        <v>0</v>
      </c>
      <c r="M1468" s="216">
        <f>IFERROR(VLOOKUP(A1468,PARTIDAS!$A$2:$F$269,6,FALSE()),1)</f>
        <v>3.25</v>
      </c>
      <c r="N1468" s="216">
        <f>IFERROR(VLOOKUP(A1468,PARTIDAS!$A$2:$I$269,9,FALSE()),1)</f>
        <v>1</v>
      </c>
      <c r="O1468" s="217">
        <f t="shared" si="44"/>
        <v>0</v>
      </c>
      <c r="P1468" s="216">
        <f>IF(O1468=0,0,IF(B1468="MAT",G1468*(1+H1468)*L1468*PLAN_ETAPA!$C$5,IF(B1468="MO",IF(M1468=0,0,G1468*L1468*PLAN_ETAPA!$C$5*N1468/M1468),IF(B1468="EQ",IF(M1468=0,0,G1468*L1468*PLAN_ETAPA!$C$5/M1468),0))))</f>
        <v>0</v>
      </c>
      <c r="Q1468" s="218">
        <f t="shared" si="45"/>
        <v>0</v>
      </c>
    </row>
    <row r="1469" spans="1:17" x14ac:dyDescent="0.35">
      <c r="A1469" s="212" t="str">
        <f>COMPOSICIÓN!A1469</f>
        <v>PTO-1804</v>
      </c>
      <c r="B1469" s="212" t="str">
        <f>COMPOSICIÓN!B1469</f>
        <v>EQ</v>
      </c>
      <c r="C1469" s="212">
        <f>COMPOSICIÓN!C1469</f>
        <v>0</v>
      </c>
      <c r="D1469" s="212" t="str">
        <f>COMPOSICIÓN!D1469</f>
        <v>EQ-ESCALE</v>
      </c>
      <c r="E1469" s="212" t="str">
        <f>COMPOSICIÓN!E1469</f>
        <v>ESCALERA GLOSS ALUMINIO ARTICULADA 4 X 4 ESCALONES HASTA 150KG</v>
      </c>
      <c r="F1469" s="212">
        <f>COMPOSICIÓN!F1469</f>
        <v>0</v>
      </c>
      <c r="G1469" s="213">
        <f>COMPOSICIÓN!G1469</f>
        <v>0.5</v>
      </c>
      <c r="H1469" s="214">
        <f>COMPOSICIÓN!H1469</f>
        <v>0</v>
      </c>
      <c r="I1469" s="215">
        <f>COMPOSICIÓN!I1469</f>
        <v>140.19809259430903</v>
      </c>
      <c r="J1469" s="212" t="str">
        <f>IFERROR(VLOOKUP(A1469,PARTIDAS!$A$2:$C$269,3,FALSE()),"")</f>
        <v>INSTALACIÓN ELÉCTRICA</v>
      </c>
      <c r="K1469" s="212" t="str">
        <f>IFERROR(INDEX(PPTO_GENERADOR!$B$4:$B$220,MATCH(A1469,PPTO_GENERADOR!$Q$4:$Q$220,0)),"")</f>
        <v/>
      </c>
      <c r="L1469" s="216">
        <f>IF(PLAN_ETAPA!$C$4="(TODOS)",SUMIFS(PPTO_GENERADOR!$E$4:$E$220,PPTO_GENERADOR!$Q$4:$Q$220,A1469),SUMIFS(PPTO_GENERADOR!$E$4:$E$220,PPTO_GENERADOR!$Q$4:$Q$220,A1469,PPTO_GENERADOR!$B$4:$B$220,PLAN_ETAPA!$C$4))</f>
        <v>0</v>
      </c>
      <c r="M1469" s="216">
        <f>IFERROR(VLOOKUP(A1469,PARTIDAS!$A$2:$F$269,6,FALSE()),1)</f>
        <v>3.25</v>
      </c>
      <c r="N1469" s="216">
        <f>IFERROR(VLOOKUP(A1469,PARTIDAS!$A$2:$I$269,9,FALSE()),1)</f>
        <v>1</v>
      </c>
      <c r="O1469" s="217">
        <f t="shared" si="44"/>
        <v>0</v>
      </c>
      <c r="P1469" s="216">
        <f>IF(O1469=0,0,IF(B1469="MAT",G1469*(1+H1469)*L1469*PLAN_ETAPA!$C$5,IF(B1469="MO",IF(M1469=0,0,G1469*L1469*PLAN_ETAPA!$C$5*N1469/M1469),IF(B1469="EQ",IF(M1469=0,0,G1469*L1469*PLAN_ETAPA!$C$5/M1469),0))))</f>
        <v>0</v>
      </c>
      <c r="Q1469" s="218">
        <f t="shared" si="45"/>
        <v>0</v>
      </c>
    </row>
    <row r="1470" spans="1:17" x14ac:dyDescent="0.35">
      <c r="A1470" s="212" t="str">
        <f>COMPOSICIÓN!A1470</f>
        <v>PTO-1804</v>
      </c>
      <c r="B1470" s="212" t="str">
        <f>COMPOSICIÓN!B1470</f>
        <v>MAT</v>
      </c>
      <c r="C1470" s="212" t="str">
        <f>COMPOSICIÓN!C1470</f>
        <v>OTR</v>
      </c>
      <c r="D1470" s="212" t="str">
        <f>COMPOSICIÓN!D1470</f>
        <v>ACE-018</v>
      </c>
      <c r="E1470" s="212" t="str">
        <f>COMPOSICIÓN!E1470</f>
        <v>Conector hierro 7/8"</v>
      </c>
      <c r="F1470" s="212" t="str">
        <f>COMPOSICIÓN!F1470</f>
        <v>u</v>
      </c>
      <c r="G1470" s="213">
        <f>COMPOSICIÓN!G1470</f>
        <v>3</v>
      </c>
      <c r="H1470" s="214">
        <f>COMPOSICIÓN!H1470</f>
        <v>0.1</v>
      </c>
      <c r="I1470" s="215">
        <f>COMPOSICIÓN!I1470</f>
        <v>282.29000000000002</v>
      </c>
      <c r="J1470" s="212" t="str">
        <f>IFERROR(VLOOKUP(A1470,PARTIDAS!$A$2:$C$269,3,FALSE()),"")</f>
        <v>INSTALACIÓN ELÉCTRICA</v>
      </c>
      <c r="K1470" s="212" t="str">
        <f>IFERROR(INDEX(PPTO_GENERADOR!$B$4:$B$220,MATCH(A1470,PPTO_GENERADOR!$Q$4:$Q$220,0)),"")</f>
        <v/>
      </c>
      <c r="L1470" s="216">
        <f>IF(PLAN_ETAPA!$C$4="(TODOS)",SUMIFS(PPTO_GENERADOR!$E$4:$E$220,PPTO_GENERADOR!$Q$4:$Q$220,A1470),SUMIFS(PPTO_GENERADOR!$E$4:$E$220,PPTO_GENERADOR!$Q$4:$Q$220,A1470,PPTO_GENERADOR!$B$4:$B$220,PLAN_ETAPA!$C$4))</f>
        <v>0</v>
      </c>
      <c r="M1470" s="216">
        <f>IFERROR(VLOOKUP(A1470,PARTIDAS!$A$2:$F$269,6,FALSE()),1)</f>
        <v>3.25</v>
      </c>
      <c r="N1470" s="216">
        <f>IFERROR(VLOOKUP(A1470,PARTIDAS!$A$2:$I$269,9,FALSE()),1)</f>
        <v>1</v>
      </c>
      <c r="O1470" s="217">
        <f t="shared" si="44"/>
        <v>0</v>
      </c>
      <c r="P1470" s="216">
        <f>IF(O1470=0,0,IF(B1470="MAT",G1470*(1+H1470)*L1470*PLAN_ETAPA!$C$5,IF(B1470="MO",IF(M1470=0,0,G1470*L1470*PLAN_ETAPA!$C$5*N1470/M1470),IF(B1470="EQ",IF(M1470=0,0,G1470*L1470*PLAN_ETAPA!$C$5/M1470),0))))</f>
        <v>0</v>
      </c>
      <c r="Q1470" s="218">
        <f t="shared" si="45"/>
        <v>0</v>
      </c>
    </row>
    <row r="1471" spans="1:17" x14ac:dyDescent="0.35">
      <c r="A1471" s="212" t="str">
        <f>COMPOSICIÓN!A1471</f>
        <v>PTO-1804</v>
      </c>
      <c r="B1471" s="212" t="str">
        <f>COMPOSICIÓN!B1471</f>
        <v>MAT</v>
      </c>
      <c r="C1471" s="212" t="str">
        <f>COMPOSICIÓN!C1471</f>
        <v>OTR</v>
      </c>
      <c r="D1471" s="212" t="str">
        <f>COMPOSICIÓN!D1471</f>
        <v>ELE-003</v>
      </c>
      <c r="E1471" s="212" t="str">
        <f>COMPOSICIÓN!E1471</f>
        <v>Caño rigido 7/8"</v>
      </c>
      <c r="F1471" s="212" t="str">
        <f>COMPOSICIÓN!F1471</f>
        <v>ml</v>
      </c>
      <c r="G1471" s="213">
        <f>COMPOSICIÓN!G1471</f>
        <v>5</v>
      </c>
      <c r="H1471" s="214">
        <f>COMPOSICIÓN!H1471</f>
        <v>0.1</v>
      </c>
      <c r="I1471" s="215">
        <f>COMPOSICIÓN!I1471</f>
        <v>635.55999999999995</v>
      </c>
      <c r="J1471" s="212" t="str">
        <f>IFERROR(VLOOKUP(A1471,PARTIDAS!$A$2:$C$269,3,FALSE()),"")</f>
        <v>INSTALACIÓN ELÉCTRICA</v>
      </c>
      <c r="K1471" s="212" t="str">
        <f>IFERROR(INDEX(PPTO_GENERADOR!$B$4:$B$220,MATCH(A1471,PPTO_GENERADOR!$Q$4:$Q$220,0)),"")</f>
        <v/>
      </c>
      <c r="L1471" s="216">
        <f>IF(PLAN_ETAPA!$C$4="(TODOS)",SUMIFS(PPTO_GENERADOR!$E$4:$E$220,PPTO_GENERADOR!$Q$4:$Q$220,A1471),SUMIFS(PPTO_GENERADOR!$E$4:$E$220,PPTO_GENERADOR!$Q$4:$Q$220,A1471,PPTO_GENERADOR!$B$4:$B$220,PLAN_ETAPA!$C$4))</f>
        <v>0</v>
      </c>
      <c r="M1471" s="216">
        <f>IFERROR(VLOOKUP(A1471,PARTIDAS!$A$2:$F$269,6,FALSE()),1)</f>
        <v>3.25</v>
      </c>
      <c r="N1471" s="216">
        <f>IFERROR(VLOOKUP(A1471,PARTIDAS!$A$2:$I$269,9,FALSE()),1)</f>
        <v>1</v>
      </c>
      <c r="O1471" s="217">
        <f t="shared" si="44"/>
        <v>0</v>
      </c>
      <c r="P1471" s="216">
        <f>IF(O1471=0,0,IF(B1471="MAT",G1471*(1+H1471)*L1471*PLAN_ETAPA!$C$5,IF(B1471="MO",IF(M1471=0,0,G1471*L1471*PLAN_ETAPA!$C$5*N1471/M1471),IF(B1471="EQ",IF(M1471=0,0,G1471*L1471*PLAN_ETAPA!$C$5/M1471),0))))</f>
        <v>0</v>
      </c>
      <c r="Q1471" s="218">
        <f t="shared" si="45"/>
        <v>0</v>
      </c>
    </row>
    <row r="1472" spans="1:17" x14ac:dyDescent="0.35">
      <c r="A1472" s="212" t="str">
        <f>COMPOSICIÓN!A1472</f>
        <v>PTO-1804</v>
      </c>
      <c r="B1472" s="212" t="str">
        <f>COMPOSICIÓN!B1472</f>
        <v>MAT</v>
      </c>
      <c r="C1472" s="212" t="str">
        <f>COMPOSICIÓN!C1472</f>
        <v>OTR</v>
      </c>
      <c r="D1472" s="212" t="str">
        <f>COMPOSICIÓN!D1472</f>
        <v>ELE-006</v>
      </c>
      <c r="E1472" s="212" t="str">
        <f>COMPOSICIÓN!E1472</f>
        <v>Cupla PVC 7/8"</v>
      </c>
      <c r="F1472" s="212" t="str">
        <f>COMPOSICIÓN!F1472</f>
        <v>u</v>
      </c>
      <c r="G1472" s="213">
        <f>COMPOSICIÓN!G1472</f>
        <v>2</v>
      </c>
      <c r="H1472" s="214">
        <f>COMPOSICIÓN!H1472</f>
        <v>0.1</v>
      </c>
      <c r="I1472" s="215">
        <f>COMPOSICIÓN!I1472</f>
        <v>184.87</v>
      </c>
      <c r="J1472" s="212" t="str">
        <f>IFERROR(VLOOKUP(A1472,PARTIDAS!$A$2:$C$269,3,FALSE()),"")</f>
        <v>INSTALACIÓN ELÉCTRICA</v>
      </c>
      <c r="K1472" s="212" t="str">
        <f>IFERROR(INDEX(PPTO_GENERADOR!$B$4:$B$220,MATCH(A1472,PPTO_GENERADOR!$Q$4:$Q$220,0)),"")</f>
        <v/>
      </c>
      <c r="L1472" s="216">
        <f>IF(PLAN_ETAPA!$C$4="(TODOS)",SUMIFS(PPTO_GENERADOR!$E$4:$E$220,PPTO_GENERADOR!$Q$4:$Q$220,A1472),SUMIFS(PPTO_GENERADOR!$E$4:$E$220,PPTO_GENERADOR!$Q$4:$Q$220,A1472,PPTO_GENERADOR!$B$4:$B$220,PLAN_ETAPA!$C$4))</f>
        <v>0</v>
      </c>
      <c r="M1472" s="216">
        <f>IFERROR(VLOOKUP(A1472,PARTIDAS!$A$2:$F$269,6,FALSE()),1)</f>
        <v>3.25</v>
      </c>
      <c r="N1472" s="216">
        <f>IFERROR(VLOOKUP(A1472,PARTIDAS!$A$2:$I$269,9,FALSE()),1)</f>
        <v>1</v>
      </c>
      <c r="O1472" s="217">
        <f t="shared" si="44"/>
        <v>0</v>
      </c>
      <c r="P1472" s="216">
        <f>IF(O1472=0,0,IF(B1472="MAT",G1472*(1+H1472)*L1472*PLAN_ETAPA!$C$5,IF(B1472="MO",IF(M1472=0,0,G1472*L1472*PLAN_ETAPA!$C$5*N1472/M1472),IF(B1472="EQ",IF(M1472=0,0,G1472*L1472*PLAN_ETAPA!$C$5/M1472),0))))</f>
        <v>0</v>
      </c>
      <c r="Q1472" s="218">
        <f t="shared" si="45"/>
        <v>0</v>
      </c>
    </row>
    <row r="1473" spans="1:17" x14ac:dyDescent="0.35">
      <c r="A1473" s="212" t="str">
        <f>COMPOSICIÓN!A1473</f>
        <v>PTO-1804</v>
      </c>
      <c r="B1473" s="212" t="str">
        <f>COMPOSICIÓN!B1473</f>
        <v>MAT</v>
      </c>
      <c r="C1473" s="212" t="str">
        <f>COMPOSICIÓN!C1473</f>
        <v>OTR</v>
      </c>
      <c r="D1473" s="212" t="str">
        <f>COMPOSICIÓN!D1473</f>
        <v>ELE-008</v>
      </c>
      <c r="E1473" s="212" t="str">
        <f>COMPOSICIÓN!E1473</f>
        <v>Cable unipolar 1 x 1,50</v>
      </c>
      <c r="F1473" s="212" t="str">
        <f>COMPOSICIÓN!F1473</f>
        <v>ml</v>
      </c>
      <c r="G1473" s="213">
        <f>COMPOSICIÓN!G1473</f>
        <v>7.5</v>
      </c>
      <c r="H1473" s="214">
        <f>COMPOSICIÓN!H1473</f>
        <v>0.1</v>
      </c>
      <c r="I1473" s="215">
        <f>COMPOSICIÓN!I1473</f>
        <v>316.44450000000001</v>
      </c>
      <c r="J1473" s="212" t="str">
        <f>IFERROR(VLOOKUP(A1473,PARTIDAS!$A$2:$C$269,3,FALSE()),"")</f>
        <v>INSTALACIÓN ELÉCTRICA</v>
      </c>
      <c r="K1473" s="212" t="str">
        <f>IFERROR(INDEX(PPTO_GENERADOR!$B$4:$B$220,MATCH(A1473,PPTO_GENERADOR!$Q$4:$Q$220,0)),"")</f>
        <v/>
      </c>
      <c r="L1473" s="216">
        <f>IF(PLAN_ETAPA!$C$4="(TODOS)",SUMIFS(PPTO_GENERADOR!$E$4:$E$220,PPTO_GENERADOR!$Q$4:$Q$220,A1473),SUMIFS(PPTO_GENERADOR!$E$4:$E$220,PPTO_GENERADOR!$Q$4:$Q$220,A1473,PPTO_GENERADOR!$B$4:$B$220,PLAN_ETAPA!$C$4))</f>
        <v>0</v>
      </c>
      <c r="M1473" s="216">
        <f>IFERROR(VLOOKUP(A1473,PARTIDAS!$A$2:$F$269,6,FALSE()),1)</f>
        <v>3.25</v>
      </c>
      <c r="N1473" s="216">
        <f>IFERROR(VLOOKUP(A1473,PARTIDAS!$A$2:$I$269,9,FALSE()),1)</f>
        <v>1</v>
      </c>
      <c r="O1473" s="217">
        <f t="shared" si="44"/>
        <v>0</v>
      </c>
      <c r="P1473" s="216">
        <f>IF(O1473=0,0,IF(B1473="MAT",G1473*(1+H1473)*L1473*PLAN_ETAPA!$C$5,IF(B1473="MO",IF(M1473=0,0,G1473*L1473*PLAN_ETAPA!$C$5*N1473/M1473),IF(B1473="EQ",IF(M1473=0,0,G1473*L1473*PLAN_ETAPA!$C$5/M1473),0))))</f>
        <v>0</v>
      </c>
      <c r="Q1473" s="218">
        <f t="shared" si="45"/>
        <v>0</v>
      </c>
    </row>
    <row r="1474" spans="1:17" x14ac:dyDescent="0.35">
      <c r="A1474" s="212" t="str">
        <f>COMPOSICIÓN!A1474</f>
        <v>PTO-1804</v>
      </c>
      <c r="B1474" s="212" t="str">
        <f>COMPOSICIÓN!B1474</f>
        <v>MAT</v>
      </c>
      <c r="C1474" s="212" t="str">
        <f>COMPOSICIÓN!C1474</f>
        <v>OTR</v>
      </c>
      <c r="D1474" s="212" t="str">
        <f>COMPOSICIÓN!D1474</f>
        <v>ELE-009</v>
      </c>
      <c r="E1474" s="212" t="str">
        <f>COMPOSICIÓN!E1474</f>
        <v>Cable unipolar 1 x 2,50 VA</v>
      </c>
      <c r="F1474" s="212" t="str">
        <f>COMPOSICIÓN!F1474</f>
        <v>ml</v>
      </c>
      <c r="G1474" s="213">
        <f>COMPOSICIÓN!G1474</f>
        <v>5</v>
      </c>
      <c r="H1474" s="214">
        <f>COMPOSICIÓN!H1474</f>
        <v>0.1</v>
      </c>
      <c r="I1474" s="215">
        <f>COMPOSICIÓN!I1474</f>
        <v>509.31490000000002</v>
      </c>
      <c r="J1474" s="212" t="str">
        <f>IFERROR(VLOOKUP(A1474,PARTIDAS!$A$2:$C$269,3,FALSE()),"")</f>
        <v>INSTALACIÓN ELÉCTRICA</v>
      </c>
      <c r="K1474" s="212" t="str">
        <f>IFERROR(INDEX(PPTO_GENERADOR!$B$4:$B$220,MATCH(A1474,PPTO_GENERADOR!$Q$4:$Q$220,0)),"")</f>
        <v/>
      </c>
      <c r="L1474" s="216">
        <f>IF(PLAN_ETAPA!$C$4="(TODOS)",SUMIFS(PPTO_GENERADOR!$E$4:$E$220,PPTO_GENERADOR!$Q$4:$Q$220,A1474),SUMIFS(PPTO_GENERADOR!$E$4:$E$220,PPTO_GENERADOR!$Q$4:$Q$220,A1474,PPTO_GENERADOR!$B$4:$B$220,PLAN_ETAPA!$C$4))</f>
        <v>0</v>
      </c>
      <c r="M1474" s="216">
        <f>IFERROR(VLOOKUP(A1474,PARTIDAS!$A$2:$F$269,6,FALSE()),1)</f>
        <v>3.25</v>
      </c>
      <c r="N1474" s="216">
        <f>IFERROR(VLOOKUP(A1474,PARTIDAS!$A$2:$I$269,9,FALSE()),1)</f>
        <v>1</v>
      </c>
      <c r="O1474" s="217">
        <f t="shared" ref="O1474:O1537" si="46">IF(L1474&gt;0,1,0)</f>
        <v>0</v>
      </c>
      <c r="P1474" s="216">
        <f>IF(O1474=0,0,IF(B1474="MAT",G1474*(1+H1474)*L1474*PLAN_ETAPA!$C$5,IF(B1474="MO",IF(M1474=0,0,G1474*L1474*PLAN_ETAPA!$C$5*N1474/M1474),IF(B1474="EQ",IF(M1474=0,0,G1474*L1474*PLAN_ETAPA!$C$5/M1474),0))))</f>
        <v>0</v>
      </c>
      <c r="Q1474" s="218">
        <f t="shared" ref="Q1474:Q1537" si="47">P1474*I1474</f>
        <v>0</v>
      </c>
    </row>
    <row r="1475" spans="1:17" x14ac:dyDescent="0.35">
      <c r="A1475" s="212" t="str">
        <f>COMPOSICIÓN!A1475</f>
        <v>PTO-1804</v>
      </c>
      <c r="B1475" s="212" t="str">
        <f>COMPOSICIÓN!B1475</f>
        <v>MAT</v>
      </c>
      <c r="C1475" s="212" t="str">
        <f>COMPOSICIÓN!C1475</f>
        <v>OTR</v>
      </c>
      <c r="D1475" s="212" t="str">
        <f>COMPOSICIÓN!D1475</f>
        <v>ELE-010</v>
      </c>
      <c r="E1475" s="212" t="str">
        <f>COMPOSICIÓN!E1475</f>
        <v>Cable unipolar 1 x 2,50 Rojo/Marron/Negro</v>
      </c>
      <c r="F1475" s="212" t="str">
        <f>COMPOSICIÓN!F1475</f>
        <v>ml</v>
      </c>
      <c r="G1475" s="213">
        <f>COMPOSICIÓN!G1475</f>
        <v>7.5</v>
      </c>
      <c r="H1475" s="214">
        <f>COMPOSICIÓN!H1475</f>
        <v>0.1</v>
      </c>
      <c r="I1475" s="215">
        <f>COMPOSICIÓN!I1475</f>
        <v>509.31490000000002</v>
      </c>
      <c r="J1475" s="212" t="str">
        <f>IFERROR(VLOOKUP(A1475,PARTIDAS!$A$2:$C$269,3,FALSE()),"")</f>
        <v>INSTALACIÓN ELÉCTRICA</v>
      </c>
      <c r="K1475" s="212" t="str">
        <f>IFERROR(INDEX(PPTO_GENERADOR!$B$4:$B$220,MATCH(A1475,PPTO_GENERADOR!$Q$4:$Q$220,0)),"")</f>
        <v/>
      </c>
      <c r="L1475" s="216">
        <f>IF(PLAN_ETAPA!$C$4="(TODOS)",SUMIFS(PPTO_GENERADOR!$E$4:$E$220,PPTO_GENERADOR!$Q$4:$Q$220,A1475),SUMIFS(PPTO_GENERADOR!$E$4:$E$220,PPTO_GENERADOR!$Q$4:$Q$220,A1475,PPTO_GENERADOR!$B$4:$B$220,PLAN_ETAPA!$C$4))</f>
        <v>0</v>
      </c>
      <c r="M1475" s="216">
        <f>IFERROR(VLOOKUP(A1475,PARTIDAS!$A$2:$F$269,6,FALSE()),1)</f>
        <v>3.25</v>
      </c>
      <c r="N1475" s="216">
        <f>IFERROR(VLOOKUP(A1475,PARTIDAS!$A$2:$I$269,9,FALSE()),1)</f>
        <v>1</v>
      </c>
      <c r="O1475" s="217">
        <f t="shared" si="46"/>
        <v>0</v>
      </c>
      <c r="P1475" s="216">
        <f>IF(O1475=0,0,IF(B1475="MAT",G1475*(1+H1475)*L1475*PLAN_ETAPA!$C$5,IF(B1475="MO",IF(M1475=0,0,G1475*L1475*PLAN_ETAPA!$C$5*N1475/M1475),IF(B1475="EQ",IF(M1475=0,0,G1475*L1475*PLAN_ETAPA!$C$5/M1475),0))))</f>
        <v>0</v>
      </c>
      <c r="Q1475" s="218">
        <f t="shared" si="47"/>
        <v>0</v>
      </c>
    </row>
    <row r="1476" spans="1:17" x14ac:dyDescent="0.35">
      <c r="A1476" s="212" t="str">
        <f>COMPOSICIÓN!A1476</f>
        <v>PTO-1804</v>
      </c>
      <c r="B1476" s="212" t="str">
        <f>COMPOSICIÓN!B1476</f>
        <v>MAT</v>
      </c>
      <c r="C1476" s="212" t="str">
        <f>COMPOSICIÓN!C1476</f>
        <v>OTR</v>
      </c>
      <c r="D1476" s="212" t="str">
        <f>COMPOSICIÓN!D1476</f>
        <v>ELE-012</v>
      </c>
      <c r="E1476" s="212" t="str">
        <f>COMPOSICIÓN!E1476</f>
        <v>Caja octogonal chica</v>
      </c>
      <c r="F1476" s="212" t="str">
        <f>COMPOSICIÓN!F1476</f>
        <v>u</v>
      </c>
      <c r="G1476" s="213">
        <f>COMPOSICIÓN!G1476</f>
        <v>1</v>
      </c>
      <c r="H1476" s="214">
        <f>COMPOSICIÓN!H1476</f>
        <v>0.05</v>
      </c>
      <c r="I1476" s="215">
        <f>COMPOSICIÓN!I1476</f>
        <v>202.42</v>
      </c>
      <c r="J1476" s="212" t="str">
        <f>IFERROR(VLOOKUP(A1476,PARTIDAS!$A$2:$C$269,3,FALSE()),"")</f>
        <v>INSTALACIÓN ELÉCTRICA</v>
      </c>
      <c r="K1476" s="212" t="str">
        <f>IFERROR(INDEX(PPTO_GENERADOR!$B$4:$B$220,MATCH(A1476,PPTO_GENERADOR!$Q$4:$Q$220,0)),"")</f>
        <v/>
      </c>
      <c r="L1476" s="216">
        <f>IF(PLAN_ETAPA!$C$4="(TODOS)",SUMIFS(PPTO_GENERADOR!$E$4:$E$220,PPTO_GENERADOR!$Q$4:$Q$220,A1476),SUMIFS(PPTO_GENERADOR!$E$4:$E$220,PPTO_GENERADOR!$Q$4:$Q$220,A1476,PPTO_GENERADOR!$B$4:$B$220,PLAN_ETAPA!$C$4))</f>
        <v>0</v>
      </c>
      <c r="M1476" s="216">
        <f>IFERROR(VLOOKUP(A1476,PARTIDAS!$A$2:$F$269,6,FALSE()),1)</f>
        <v>3.25</v>
      </c>
      <c r="N1476" s="216">
        <f>IFERROR(VLOOKUP(A1476,PARTIDAS!$A$2:$I$269,9,FALSE()),1)</f>
        <v>1</v>
      </c>
      <c r="O1476" s="217">
        <f t="shared" si="46"/>
        <v>0</v>
      </c>
      <c r="P1476" s="216">
        <f>IF(O1476=0,0,IF(B1476="MAT",G1476*(1+H1476)*L1476*PLAN_ETAPA!$C$5,IF(B1476="MO",IF(M1476=0,0,G1476*L1476*PLAN_ETAPA!$C$5*N1476/M1476),IF(B1476="EQ",IF(M1476=0,0,G1476*L1476*PLAN_ETAPA!$C$5/M1476),0))))</f>
        <v>0</v>
      </c>
      <c r="Q1476" s="218">
        <f t="shared" si="47"/>
        <v>0</v>
      </c>
    </row>
    <row r="1477" spans="1:17" x14ac:dyDescent="0.35">
      <c r="A1477" s="212" t="str">
        <f>COMPOSICIÓN!A1477</f>
        <v>PTO-1804</v>
      </c>
      <c r="B1477" s="212" t="str">
        <f>COMPOSICIÓN!B1477</f>
        <v>MAT</v>
      </c>
      <c r="C1477" s="212" t="str">
        <f>COMPOSICIÓN!C1477</f>
        <v>OTR</v>
      </c>
      <c r="D1477" s="212" t="str">
        <f>COMPOSICIÓN!D1477</f>
        <v>ELE-014</v>
      </c>
      <c r="E1477" s="212" t="str">
        <f>COMPOSICIÓN!E1477</f>
        <v>Caja rectangular chica</v>
      </c>
      <c r="F1477" s="212" t="str">
        <f>COMPOSICIÓN!F1477</f>
        <v>u</v>
      </c>
      <c r="G1477" s="213">
        <f>COMPOSICIÓN!G1477</f>
        <v>0.5</v>
      </c>
      <c r="H1477" s="214">
        <f>COMPOSICIÓN!H1477</f>
        <v>0.05</v>
      </c>
      <c r="I1477" s="215">
        <f>COMPOSICIÓN!I1477</f>
        <v>202.42</v>
      </c>
      <c r="J1477" s="212" t="str">
        <f>IFERROR(VLOOKUP(A1477,PARTIDAS!$A$2:$C$269,3,FALSE()),"")</f>
        <v>INSTALACIÓN ELÉCTRICA</v>
      </c>
      <c r="K1477" s="212" t="str">
        <f>IFERROR(INDEX(PPTO_GENERADOR!$B$4:$B$220,MATCH(A1477,PPTO_GENERADOR!$Q$4:$Q$220,0)),"")</f>
        <v/>
      </c>
      <c r="L1477" s="216">
        <f>IF(PLAN_ETAPA!$C$4="(TODOS)",SUMIFS(PPTO_GENERADOR!$E$4:$E$220,PPTO_GENERADOR!$Q$4:$Q$220,A1477),SUMIFS(PPTO_GENERADOR!$E$4:$E$220,PPTO_GENERADOR!$Q$4:$Q$220,A1477,PPTO_GENERADOR!$B$4:$B$220,PLAN_ETAPA!$C$4))</f>
        <v>0</v>
      </c>
      <c r="M1477" s="216">
        <f>IFERROR(VLOOKUP(A1477,PARTIDAS!$A$2:$F$269,6,FALSE()),1)</f>
        <v>3.25</v>
      </c>
      <c r="N1477" s="216">
        <f>IFERROR(VLOOKUP(A1477,PARTIDAS!$A$2:$I$269,9,FALSE()),1)</f>
        <v>1</v>
      </c>
      <c r="O1477" s="217">
        <f t="shared" si="46"/>
        <v>0</v>
      </c>
      <c r="P1477" s="216">
        <f>IF(O1477=0,0,IF(B1477="MAT",G1477*(1+H1477)*L1477*PLAN_ETAPA!$C$5,IF(B1477="MO",IF(M1477=0,0,G1477*L1477*PLAN_ETAPA!$C$5*N1477/M1477),IF(B1477="EQ",IF(M1477=0,0,G1477*L1477*PLAN_ETAPA!$C$5/M1477),0))))</f>
        <v>0</v>
      </c>
      <c r="Q1477" s="218">
        <f t="shared" si="47"/>
        <v>0</v>
      </c>
    </row>
    <row r="1478" spans="1:17" x14ac:dyDescent="0.35">
      <c r="A1478" s="212" t="str">
        <f>COMPOSICIÓN!A1478</f>
        <v>PTO-1807</v>
      </c>
      <c r="B1478" s="212" t="str">
        <f>COMPOSICIÓN!B1478</f>
        <v>MO</v>
      </c>
      <c r="C1478" s="212" t="str">
        <f>COMPOSICIÓN!C1478</f>
        <v>OTR</v>
      </c>
      <c r="D1478" s="212" t="str">
        <f>COMPOSICIÓN!D1478</f>
        <v>SUB-BOCACOMP</v>
      </c>
      <c r="E1478" s="212" t="str">
        <f>COMPOSICIÓN!E1478</f>
        <v>Boca completa</v>
      </c>
      <c r="F1478" s="212" t="str">
        <f>COMPOSICIÓN!F1478</f>
        <v>j</v>
      </c>
      <c r="G1478" s="213">
        <f>COMPOSICIÓN!G1478</f>
        <v>3.25</v>
      </c>
      <c r="H1478" s="214">
        <f>COMPOSICIÓN!H1478</f>
        <v>0</v>
      </c>
      <c r="I1478" s="215">
        <f>COMPOSICIÓN!I1478</f>
        <v>35416.5</v>
      </c>
      <c r="J1478" s="212" t="str">
        <f>IFERROR(VLOOKUP(A1478,PARTIDAS!$A$2:$C$269,3,FALSE()),"")</f>
        <v>INSTALACIÓN ELÉCTRICA</v>
      </c>
      <c r="K1478" s="212" t="str">
        <f>IFERROR(INDEX(PPTO_GENERADOR!$B$4:$B$220,MATCH(A1478,PPTO_GENERADOR!$Q$4:$Q$220,0)),"")</f>
        <v>INSTALACIÓN ELÉCTRICA</v>
      </c>
      <c r="L1478" s="216">
        <f>IF(PLAN_ETAPA!$C$4="(TODOS)",SUMIFS(PPTO_GENERADOR!$E$4:$E$220,PPTO_GENERADOR!$Q$4:$Q$220,A1478),SUMIFS(PPTO_GENERADOR!$E$4:$E$220,PPTO_GENERADOR!$Q$4:$Q$220,A1478,PPTO_GENERADOR!$B$4:$B$220,PLAN_ETAPA!$C$4))</f>
        <v>0</v>
      </c>
      <c r="M1478" s="216">
        <f>IFERROR(VLOOKUP(A1478,PARTIDAS!$A$2:$F$269,6,FALSE()),1)</f>
        <v>3.25</v>
      </c>
      <c r="N1478" s="216">
        <f>IFERROR(VLOOKUP(A1478,PARTIDAS!$A$2:$I$269,9,FALSE()),1)</f>
        <v>1</v>
      </c>
      <c r="O1478" s="217">
        <f t="shared" si="46"/>
        <v>0</v>
      </c>
      <c r="P1478" s="216">
        <f>IF(O1478=0,0,IF(B1478="MAT",G1478*(1+H1478)*L1478*PLAN_ETAPA!$C$5,IF(B1478="MO",IF(M1478=0,0,G1478*L1478*PLAN_ETAPA!$C$5*N1478/M1478),IF(B1478="EQ",IF(M1478=0,0,G1478*L1478*PLAN_ETAPA!$C$5/M1478),0))))</f>
        <v>0</v>
      </c>
      <c r="Q1478" s="218">
        <f t="shared" si="47"/>
        <v>0</v>
      </c>
    </row>
    <row r="1479" spans="1:17" x14ac:dyDescent="0.35">
      <c r="A1479" s="212" t="str">
        <f>COMPOSICIÓN!A1479</f>
        <v>PTO-1808</v>
      </c>
      <c r="B1479" s="212" t="str">
        <f>COMPOSICIÓN!B1479</f>
        <v>MO</v>
      </c>
      <c r="C1479" s="212" t="str">
        <f>COMPOSICIÓN!C1479</f>
        <v>OTR</v>
      </c>
      <c r="D1479" s="212" t="str">
        <f>COMPOSICIÓN!D1479</f>
        <v>SUB-BOCACOMP</v>
      </c>
      <c r="E1479" s="212" t="str">
        <f>COMPOSICIÓN!E1479</f>
        <v>Boca completa</v>
      </c>
      <c r="F1479" s="212" t="str">
        <f>COMPOSICIÓN!F1479</f>
        <v>j</v>
      </c>
      <c r="G1479" s="213">
        <f>COMPOSICIÓN!G1479</f>
        <v>3.25</v>
      </c>
      <c r="H1479" s="214">
        <f>COMPOSICIÓN!H1479</f>
        <v>0</v>
      </c>
      <c r="I1479" s="215">
        <f>COMPOSICIÓN!I1479</f>
        <v>35416.5</v>
      </c>
      <c r="J1479" s="212" t="str">
        <f>IFERROR(VLOOKUP(A1479,PARTIDAS!$A$2:$C$269,3,FALSE()),"")</f>
        <v>INSTALACIÓN ELÉCTRICA</v>
      </c>
      <c r="K1479" s="212" t="str">
        <f>IFERROR(INDEX(PPTO_GENERADOR!$B$4:$B$220,MATCH(A1479,PPTO_GENERADOR!$Q$4:$Q$220,0)),"")</f>
        <v>INSTALACIÓN ELÉCTRICA</v>
      </c>
      <c r="L1479" s="216">
        <f>IF(PLAN_ETAPA!$C$4="(TODOS)",SUMIFS(PPTO_GENERADOR!$E$4:$E$220,PPTO_GENERADOR!$Q$4:$Q$220,A1479),SUMIFS(PPTO_GENERADOR!$E$4:$E$220,PPTO_GENERADOR!$Q$4:$Q$220,A1479,PPTO_GENERADOR!$B$4:$B$220,PLAN_ETAPA!$C$4))</f>
        <v>0</v>
      </c>
      <c r="M1479" s="216">
        <f>IFERROR(VLOOKUP(A1479,PARTIDAS!$A$2:$F$269,6,FALSE()),1)</f>
        <v>3.25</v>
      </c>
      <c r="N1479" s="216">
        <f>IFERROR(VLOOKUP(A1479,PARTIDAS!$A$2:$I$269,9,FALSE()),1)</f>
        <v>1</v>
      </c>
      <c r="O1479" s="217">
        <f t="shared" si="46"/>
        <v>0</v>
      </c>
      <c r="P1479" s="216">
        <f>IF(O1479=0,0,IF(B1479="MAT",G1479*(1+H1479)*L1479*PLAN_ETAPA!$C$5,IF(B1479="MO",IF(M1479=0,0,G1479*L1479*PLAN_ETAPA!$C$5*N1479/M1479),IF(B1479="EQ",IF(M1479=0,0,G1479*L1479*PLAN_ETAPA!$C$5/M1479),0))))</f>
        <v>0</v>
      </c>
      <c r="Q1479" s="218">
        <f t="shared" si="47"/>
        <v>0</v>
      </c>
    </row>
    <row r="1480" spans="1:17" x14ac:dyDescent="0.35">
      <c r="A1480" s="212" t="str">
        <f>COMPOSICIÓN!A1480</f>
        <v>PTO-1805</v>
      </c>
      <c r="B1480" s="212" t="str">
        <f>COMPOSICIÓN!B1480</f>
        <v>EQ</v>
      </c>
      <c r="C1480" s="212">
        <f>COMPOSICIÓN!C1480</f>
        <v>0</v>
      </c>
      <c r="D1480" s="212" t="str">
        <f>COMPOSICIÓN!D1480</f>
        <v>EQ-ANDAM0</v>
      </c>
      <c r="E1480" s="212" t="str">
        <f>COMPOSICIÓN!E1480</f>
        <v>ANDAMIO TUBULAR DE UNO A TRES CUERPOS</v>
      </c>
      <c r="F1480" s="212">
        <f>COMPOSICIÓN!F1480</f>
        <v>0</v>
      </c>
      <c r="G1480" s="213">
        <f>COMPOSICIÓN!G1480</f>
        <v>0.5</v>
      </c>
      <c r="H1480" s="214">
        <f>COMPOSICIÓN!H1480</f>
        <v>0</v>
      </c>
      <c r="I1480" s="215">
        <f>COMPOSICIÓN!I1480</f>
        <v>571.1794909807611</v>
      </c>
      <c r="J1480" s="212" t="str">
        <f>IFERROR(VLOOKUP(A1480,PARTIDAS!$A$2:$C$269,3,FALSE()),"")</f>
        <v>INSTALACIÓN ELÉCTRICA</v>
      </c>
      <c r="K1480" s="212" t="str">
        <f>IFERROR(INDEX(PPTO_GENERADOR!$B$4:$B$220,MATCH(A1480,PPTO_GENERADOR!$Q$4:$Q$220,0)),"")</f>
        <v/>
      </c>
      <c r="L1480" s="216">
        <f>IF(PLAN_ETAPA!$C$4="(TODOS)",SUMIFS(PPTO_GENERADOR!$E$4:$E$220,PPTO_GENERADOR!$Q$4:$Q$220,A1480),SUMIFS(PPTO_GENERADOR!$E$4:$E$220,PPTO_GENERADOR!$Q$4:$Q$220,A1480,PPTO_GENERADOR!$B$4:$B$220,PLAN_ETAPA!$C$4))</f>
        <v>0</v>
      </c>
      <c r="M1480" s="216">
        <f>IFERROR(VLOOKUP(A1480,PARTIDAS!$A$2:$F$269,6,FALSE()),1)</f>
        <v>3.25</v>
      </c>
      <c r="N1480" s="216">
        <f>IFERROR(VLOOKUP(A1480,PARTIDAS!$A$2:$I$269,9,FALSE()),1)</f>
        <v>1</v>
      </c>
      <c r="O1480" s="217">
        <f t="shared" si="46"/>
        <v>0</v>
      </c>
      <c r="P1480" s="216">
        <f>IF(O1480=0,0,IF(B1480="MAT",G1480*(1+H1480)*L1480*PLAN_ETAPA!$C$5,IF(B1480="MO",IF(M1480=0,0,G1480*L1480*PLAN_ETAPA!$C$5*N1480/M1480),IF(B1480="EQ",IF(M1480=0,0,G1480*L1480*PLAN_ETAPA!$C$5/M1480),0))))</f>
        <v>0</v>
      </c>
      <c r="Q1480" s="218">
        <f t="shared" si="47"/>
        <v>0</v>
      </c>
    </row>
    <row r="1481" spans="1:17" x14ac:dyDescent="0.35">
      <c r="A1481" s="212" t="str">
        <f>COMPOSICIÓN!A1481</f>
        <v>PTO-1805</v>
      </c>
      <c r="B1481" s="212" t="str">
        <f>COMPOSICIÓN!B1481</f>
        <v>EQ</v>
      </c>
      <c r="C1481" s="212">
        <f>COMPOSICIÓN!C1481</f>
        <v>0</v>
      </c>
      <c r="D1481" s="212" t="str">
        <f>COMPOSICIÓN!D1481</f>
        <v>EQ-EQUIP0</v>
      </c>
      <c r="E1481" s="212" t="str">
        <f>COMPOSICIÓN!E1481</f>
        <v>EQUIPO PARA INSTALACION ELECTRICA</v>
      </c>
      <c r="F1481" s="212">
        <f>COMPOSICIÓN!F1481</f>
        <v>0</v>
      </c>
      <c r="G1481" s="213">
        <f>COMPOSICIÓN!G1481</f>
        <v>1</v>
      </c>
      <c r="H1481" s="214">
        <f>COMPOSICIÓN!H1481</f>
        <v>0</v>
      </c>
      <c r="I1481" s="215">
        <f>COMPOSICIÓN!I1481</f>
        <v>5063.0947914732405</v>
      </c>
      <c r="J1481" s="212" t="str">
        <f>IFERROR(VLOOKUP(A1481,PARTIDAS!$A$2:$C$269,3,FALSE()),"")</f>
        <v>INSTALACIÓN ELÉCTRICA</v>
      </c>
      <c r="K1481" s="212" t="str">
        <f>IFERROR(INDEX(PPTO_GENERADOR!$B$4:$B$220,MATCH(A1481,PPTO_GENERADOR!$Q$4:$Q$220,0)),"")</f>
        <v/>
      </c>
      <c r="L1481" s="216">
        <f>IF(PLAN_ETAPA!$C$4="(TODOS)",SUMIFS(PPTO_GENERADOR!$E$4:$E$220,PPTO_GENERADOR!$Q$4:$Q$220,A1481),SUMIFS(PPTO_GENERADOR!$E$4:$E$220,PPTO_GENERADOR!$Q$4:$Q$220,A1481,PPTO_GENERADOR!$B$4:$B$220,PLAN_ETAPA!$C$4))</f>
        <v>0</v>
      </c>
      <c r="M1481" s="216">
        <f>IFERROR(VLOOKUP(A1481,PARTIDAS!$A$2:$F$269,6,FALSE()),1)</f>
        <v>3.25</v>
      </c>
      <c r="N1481" s="216">
        <f>IFERROR(VLOOKUP(A1481,PARTIDAS!$A$2:$I$269,9,FALSE()),1)</f>
        <v>1</v>
      </c>
      <c r="O1481" s="217">
        <f t="shared" si="46"/>
        <v>0</v>
      </c>
      <c r="P1481" s="216">
        <f>IF(O1481=0,0,IF(B1481="MAT",G1481*(1+H1481)*L1481*PLAN_ETAPA!$C$5,IF(B1481="MO",IF(M1481=0,0,G1481*L1481*PLAN_ETAPA!$C$5*N1481/M1481),IF(B1481="EQ",IF(M1481=0,0,G1481*L1481*PLAN_ETAPA!$C$5/M1481),0))))</f>
        <v>0</v>
      </c>
      <c r="Q1481" s="218">
        <f t="shared" si="47"/>
        <v>0</v>
      </c>
    </row>
    <row r="1482" spans="1:17" x14ac:dyDescent="0.35">
      <c r="A1482" s="212" t="str">
        <f>COMPOSICIÓN!A1482</f>
        <v>PTO-1805</v>
      </c>
      <c r="B1482" s="212" t="str">
        <f>COMPOSICIÓN!B1482</f>
        <v>EQ</v>
      </c>
      <c r="C1482" s="212">
        <f>COMPOSICIÓN!C1482</f>
        <v>0</v>
      </c>
      <c r="D1482" s="212" t="str">
        <f>COMPOSICIÓN!D1482</f>
        <v>EQ-ESCALE</v>
      </c>
      <c r="E1482" s="212" t="str">
        <f>COMPOSICIÓN!E1482</f>
        <v>ESCALERA GLOSS ALUMINIO ARTICULADA 4 X 4 ESCALONES HASTA 150KG</v>
      </c>
      <c r="F1482" s="212">
        <f>COMPOSICIÓN!F1482</f>
        <v>0</v>
      </c>
      <c r="G1482" s="213">
        <f>COMPOSICIÓN!G1482</f>
        <v>0.5</v>
      </c>
      <c r="H1482" s="214">
        <f>COMPOSICIÓN!H1482</f>
        <v>0</v>
      </c>
      <c r="I1482" s="215">
        <f>COMPOSICIÓN!I1482</f>
        <v>140.19809259430903</v>
      </c>
      <c r="J1482" s="212" t="str">
        <f>IFERROR(VLOOKUP(A1482,PARTIDAS!$A$2:$C$269,3,FALSE()),"")</f>
        <v>INSTALACIÓN ELÉCTRICA</v>
      </c>
      <c r="K1482" s="212" t="str">
        <f>IFERROR(INDEX(PPTO_GENERADOR!$B$4:$B$220,MATCH(A1482,PPTO_GENERADOR!$Q$4:$Q$220,0)),"")</f>
        <v/>
      </c>
      <c r="L1482" s="216">
        <f>IF(PLAN_ETAPA!$C$4="(TODOS)",SUMIFS(PPTO_GENERADOR!$E$4:$E$220,PPTO_GENERADOR!$Q$4:$Q$220,A1482),SUMIFS(PPTO_GENERADOR!$E$4:$E$220,PPTO_GENERADOR!$Q$4:$Q$220,A1482,PPTO_GENERADOR!$B$4:$B$220,PLAN_ETAPA!$C$4))</f>
        <v>0</v>
      </c>
      <c r="M1482" s="216">
        <f>IFERROR(VLOOKUP(A1482,PARTIDAS!$A$2:$F$269,6,FALSE()),1)</f>
        <v>3.25</v>
      </c>
      <c r="N1482" s="216">
        <f>IFERROR(VLOOKUP(A1482,PARTIDAS!$A$2:$I$269,9,FALSE()),1)</f>
        <v>1</v>
      </c>
      <c r="O1482" s="217">
        <f t="shared" si="46"/>
        <v>0</v>
      </c>
      <c r="P1482" s="216">
        <f>IF(O1482=0,0,IF(B1482="MAT",G1482*(1+H1482)*L1482*PLAN_ETAPA!$C$5,IF(B1482="MO",IF(M1482=0,0,G1482*L1482*PLAN_ETAPA!$C$5*N1482/M1482),IF(B1482="EQ",IF(M1482=0,0,G1482*L1482*PLAN_ETAPA!$C$5/M1482),0))))</f>
        <v>0</v>
      </c>
      <c r="Q1482" s="218">
        <f t="shared" si="47"/>
        <v>0</v>
      </c>
    </row>
    <row r="1483" spans="1:17" x14ac:dyDescent="0.35">
      <c r="A1483" s="212" t="str">
        <f>COMPOSICIÓN!A1483</f>
        <v>PTO-1805</v>
      </c>
      <c r="B1483" s="212" t="str">
        <f>COMPOSICIÓN!B1483</f>
        <v>MAT</v>
      </c>
      <c r="C1483" s="212" t="str">
        <f>COMPOSICIÓN!C1483</f>
        <v>OTR</v>
      </c>
      <c r="D1483" s="212" t="str">
        <f>COMPOSICIÓN!D1483</f>
        <v>ACE-018</v>
      </c>
      <c r="E1483" s="212" t="str">
        <f>COMPOSICIÓN!E1483</f>
        <v>Conector hierro 7/8"</v>
      </c>
      <c r="F1483" s="212" t="str">
        <f>COMPOSICIÓN!F1483</f>
        <v>u</v>
      </c>
      <c r="G1483" s="213">
        <f>COMPOSICIÓN!G1483</f>
        <v>3</v>
      </c>
      <c r="H1483" s="214">
        <f>COMPOSICIÓN!H1483</f>
        <v>0.1</v>
      </c>
      <c r="I1483" s="215">
        <f>COMPOSICIÓN!I1483</f>
        <v>282.29000000000002</v>
      </c>
      <c r="J1483" s="212" t="str">
        <f>IFERROR(VLOOKUP(A1483,PARTIDAS!$A$2:$C$269,3,FALSE()),"")</f>
        <v>INSTALACIÓN ELÉCTRICA</v>
      </c>
      <c r="K1483" s="212" t="str">
        <f>IFERROR(INDEX(PPTO_GENERADOR!$B$4:$B$220,MATCH(A1483,PPTO_GENERADOR!$Q$4:$Q$220,0)),"")</f>
        <v/>
      </c>
      <c r="L1483" s="216">
        <f>IF(PLAN_ETAPA!$C$4="(TODOS)",SUMIFS(PPTO_GENERADOR!$E$4:$E$220,PPTO_GENERADOR!$Q$4:$Q$220,A1483),SUMIFS(PPTO_GENERADOR!$E$4:$E$220,PPTO_GENERADOR!$Q$4:$Q$220,A1483,PPTO_GENERADOR!$B$4:$B$220,PLAN_ETAPA!$C$4))</f>
        <v>0</v>
      </c>
      <c r="M1483" s="216">
        <f>IFERROR(VLOOKUP(A1483,PARTIDAS!$A$2:$F$269,6,FALSE()),1)</f>
        <v>3.25</v>
      </c>
      <c r="N1483" s="216">
        <f>IFERROR(VLOOKUP(A1483,PARTIDAS!$A$2:$I$269,9,FALSE()),1)</f>
        <v>1</v>
      </c>
      <c r="O1483" s="217">
        <f t="shared" si="46"/>
        <v>0</v>
      </c>
      <c r="P1483" s="216">
        <f>IF(O1483=0,0,IF(B1483="MAT",G1483*(1+H1483)*L1483*PLAN_ETAPA!$C$5,IF(B1483="MO",IF(M1483=0,0,G1483*L1483*PLAN_ETAPA!$C$5*N1483/M1483),IF(B1483="EQ",IF(M1483=0,0,G1483*L1483*PLAN_ETAPA!$C$5/M1483),0))))</f>
        <v>0</v>
      </c>
      <c r="Q1483" s="218">
        <f t="shared" si="47"/>
        <v>0</v>
      </c>
    </row>
    <row r="1484" spans="1:17" x14ac:dyDescent="0.35">
      <c r="A1484" s="212" t="str">
        <f>COMPOSICIÓN!A1484</f>
        <v>PTO-1805</v>
      </c>
      <c r="B1484" s="212" t="str">
        <f>COMPOSICIÓN!B1484</f>
        <v>MAT</v>
      </c>
      <c r="C1484" s="212" t="str">
        <f>COMPOSICIÓN!C1484</f>
        <v>OTR</v>
      </c>
      <c r="D1484" s="212" t="str">
        <f>COMPOSICIÓN!D1484</f>
        <v>ELE-003</v>
      </c>
      <c r="E1484" s="212" t="str">
        <f>COMPOSICIÓN!E1484</f>
        <v>Caño rigido 7/8"</v>
      </c>
      <c r="F1484" s="212" t="str">
        <f>COMPOSICIÓN!F1484</f>
        <v>ml</v>
      </c>
      <c r="G1484" s="213">
        <f>COMPOSICIÓN!G1484</f>
        <v>5</v>
      </c>
      <c r="H1484" s="214">
        <f>COMPOSICIÓN!H1484</f>
        <v>0.1</v>
      </c>
      <c r="I1484" s="215">
        <f>COMPOSICIÓN!I1484</f>
        <v>635.55999999999995</v>
      </c>
      <c r="J1484" s="212" t="str">
        <f>IFERROR(VLOOKUP(A1484,PARTIDAS!$A$2:$C$269,3,FALSE()),"")</f>
        <v>INSTALACIÓN ELÉCTRICA</v>
      </c>
      <c r="K1484" s="212" t="str">
        <f>IFERROR(INDEX(PPTO_GENERADOR!$B$4:$B$220,MATCH(A1484,PPTO_GENERADOR!$Q$4:$Q$220,0)),"")</f>
        <v/>
      </c>
      <c r="L1484" s="216">
        <f>IF(PLAN_ETAPA!$C$4="(TODOS)",SUMIFS(PPTO_GENERADOR!$E$4:$E$220,PPTO_GENERADOR!$Q$4:$Q$220,A1484),SUMIFS(PPTO_GENERADOR!$E$4:$E$220,PPTO_GENERADOR!$Q$4:$Q$220,A1484,PPTO_GENERADOR!$B$4:$B$220,PLAN_ETAPA!$C$4))</f>
        <v>0</v>
      </c>
      <c r="M1484" s="216">
        <f>IFERROR(VLOOKUP(A1484,PARTIDAS!$A$2:$F$269,6,FALSE()),1)</f>
        <v>3.25</v>
      </c>
      <c r="N1484" s="216">
        <f>IFERROR(VLOOKUP(A1484,PARTIDAS!$A$2:$I$269,9,FALSE()),1)</f>
        <v>1</v>
      </c>
      <c r="O1484" s="217">
        <f t="shared" si="46"/>
        <v>0</v>
      </c>
      <c r="P1484" s="216">
        <f>IF(O1484=0,0,IF(B1484="MAT",G1484*(1+H1484)*L1484*PLAN_ETAPA!$C$5,IF(B1484="MO",IF(M1484=0,0,G1484*L1484*PLAN_ETAPA!$C$5*N1484/M1484),IF(B1484="EQ",IF(M1484=0,0,G1484*L1484*PLAN_ETAPA!$C$5/M1484),0))))</f>
        <v>0</v>
      </c>
      <c r="Q1484" s="218">
        <f t="shared" si="47"/>
        <v>0</v>
      </c>
    </row>
    <row r="1485" spans="1:17" x14ac:dyDescent="0.35">
      <c r="A1485" s="212" t="str">
        <f>COMPOSICIÓN!A1485</f>
        <v>PTO-1805</v>
      </c>
      <c r="B1485" s="212" t="str">
        <f>COMPOSICIÓN!B1485</f>
        <v>MAT</v>
      </c>
      <c r="C1485" s="212" t="str">
        <f>COMPOSICIÓN!C1485</f>
        <v>OTR</v>
      </c>
      <c r="D1485" s="212" t="str">
        <f>COMPOSICIÓN!D1485</f>
        <v>ELE-006</v>
      </c>
      <c r="E1485" s="212" t="str">
        <f>COMPOSICIÓN!E1485</f>
        <v>Cupla PVC 7/8"</v>
      </c>
      <c r="F1485" s="212" t="str">
        <f>COMPOSICIÓN!F1485</f>
        <v>u</v>
      </c>
      <c r="G1485" s="213">
        <f>COMPOSICIÓN!G1485</f>
        <v>2</v>
      </c>
      <c r="H1485" s="214">
        <f>COMPOSICIÓN!H1485</f>
        <v>0.1</v>
      </c>
      <c r="I1485" s="215">
        <f>COMPOSICIÓN!I1485</f>
        <v>184.87</v>
      </c>
      <c r="J1485" s="212" t="str">
        <f>IFERROR(VLOOKUP(A1485,PARTIDAS!$A$2:$C$269,3,FALSE()),"")</f>
        <v>INSTALACIÓN ELÉCTRICA</v>
      </c>
      <c r="K1485" s="212" t="str">
        <f>IFERROR(INDEX(PPTO_GENERADOR!$B$4:$B$220,MATCH(A1485,PPTO_GENERADOR!$Q$4:$Q$220,0)),"")</f>
        <v/>
      </c>
      <c r="L1485" s="216">
        <f>IF(PLAN_ETAPA!$C$4="(TODOS)",SUMIFS(PPTO_GENERADOR!$E$4:$E$220,PPTO_GENERADOR!$Q$4:$Q$220,A1485),SUMIFS(PPTO_GENERADOR!$E$4:$E$220,PPTO_GENERADOR!$Q$4:$Q$220,A1485,PPTO_GENERADOR!$B$4:$B$220,PLAN_ETAPA!$C$4))</f>
        <v>0</v>
      </c>
      <c r="M1485" s="216">
        <f>IFERROR(VLOOKUP(A1485,PARTIDAS!$A$2:$F$269,6,FALSE()),1)</f>
        <v>3.25</v>
      </c>
      <c r="N1485" s="216">
        <f>IFERROR(VLOOKUP(A1485,PARTIDAS!$A$2:$I$269,9,FALSE()),1)</f>
        <v>1</v>
      </c>
      <c r="O1485" s="217">
        <f t="shared" si="46"/>
        <v>0</v>
      </c>
      <c r="P1485" s="216">
        <f>IF(O1485=0,0,IF(B1485="MAT",G1485*(1+H1485)*L1485*PLAN_ETAPA!$C$5,IF(B1485="MO",IF(M1485=0,0,G1485*L1485*PLAN_ETAPA!$C$5*N1485/M1485),IF(B1485="EQ",IF(M1485=0,0,G1485*L1485*PLAN_ETAPA!$C$5/M1485),0))))</f>
        <v>0</v>
      </c>
      <c r="Q1485" s="218">
        <f t="shared" si="47"/>
        <v>0</v>
      </c>
    </row>
    <row r="1486" spans="1:17" x14ac:dyDescent="0.35">
      <c r="A1486" s="212" t="str">
        <f>COMPOSICIÓN!A1486</f>
        <v>PTO-1805</v>
      </c>
      <c r="B1486" s="212" t="str">
        <f>COMPOSICIÓN!B1486</f>
        <v>MAT</v>
      </c>
      <c r="C1486" s="212" t="str">
        <f>COMPOSICIÓN!C1486</f>
        <v>OTR</v>
      </c>
      <c r="D1486" s="212" t="str">
        <f>COMPOSICIÓN!D1486</f>
        <v>ELE-008</v>
      </c>
      <c r="E1486" s="212" t="str">
        <f>COMPOSICIÓN!E1486</f>
        <v>Cable unipolar 1 x 1,50</v>
      </c>
      <c r="F1486" s="212" t="str">
        <f>COMPOSICIÓN!F1486</f>
        <v>ml</v>
      </c>
      <c r="G1486" s="213">
        <f>COMPOSICIÓN!G1486</f>
        <v>7.5</v>
      </c>
      <c r="H1486" s="214">
        <f>COMPOSICIÓN!H1486</f>
        <v>0.1</v>
      </c>
      <c r="I1486" s="215">
        <f>COMPOSICIÓN!I1486</f>
        <v>316.44450000000001</v>
      </c>
      <c r="J1486" s="212" t="str">
        <f>IFERROR(VLOOKUP(A1486,PARTIDAS!$A$2:$C$269,3,FALSE()),"")</f>
        <v>INSTALACIÓN ELÉCTRICA</v>
      </c>
      <c r="K1486" s="212" t="str">
        <f>IFERROR(INDEX(PPTO_GENERADOR!$B$4:$B$220,MATCH(A1486,PPTO_GENERADOR!$Q$4:$Q$220,0)),"")</f>
        <v/>
      </c>
      <c r="L1486" s="216">
        <f>IF(PLAN_ETAPA!$C$4="(TODOS)",SUMIFS(PPTO_GENERADOR!$E$4:$E$220,PPTO_GENERADOR!$Q$4:$Q$220,A1486),SUMIFS(PPTO_GENERADOR!$E$4:$E$220,PPTO_GENERADOR!$Q$4:$Q$220,A1486,PPTO_GENERADOR!$B$4:$B$220,PLAN_ETAPA!$C$4))</f>
        <v>0</v>
      </c>
      <c r="M1486" s="216">
        <f>IFERROR(VLOOKUP(A1486,PARTIDAS!$A$2:$F$269,6,FALSE()),1)</f>
        <v>3.25</v>
      </c>
      <c r="N1486" s="216">
        <f>IFERROR(VLOOKUP(A1486,PARTIDAS!$A$2:$I$269,9,FALSE()),1)</f>
        <v>1</v>
      </c>
      <c r="O1486" s="217">
        <f t="shared" si="46"/>
        <v>0</v>
      </c>
      <c r="P1486" s="216">
        <f>IF(O1486=0,0,IF(B1486="MAT",G1486*(1+H1486)*L1486*PLAN_ETAPA!$C$5,IF(B1486="MO",IF(M1486=0,0,G1486*L1486*PLAN_ETAPA!$C$5*N1486/M1486),IF(B1486="EQ",IF(M1486=0,0,G1486*L1486*PLAN_ETAPA!$C$5/M1486),0))))</f>
        <v>0</v>
      </c>
      <c r="Q1486" s="218">
        <f t="shared" si="47"/>
        <v>0</v>
      </c>
    </row>
    <row r="1487" spans="1:17" x14ac:dyDescent="0.35">
      <c r="A1487" s="212" t="str">
        <f>COMPOSICIÓN!A1487</f>
        <v>PTO-1805</v>
      </c>
      <c r="B1487" s="212" t="str">
        <f>COMPOSICIÓN!B1487</f>
        <v>MAT</v>
      </c>
      <c r="C1487" s="212" t="str">
        <f>COMPOSICIÓN!C1487</f>
        <v>OTR</v>
      </c>
      <c r="D1487" s="212" t="str">
        <f>COMPOSICIÓN!D1487</f>
        <v>ELE-009</v>
      </c>
      <c r="E1487" s="212" t="str">
        <f>COMPOSICIÓN!E1487</f>
        <v>Cable unipolar 1 x 2,50 VA</v>
      </c>
      <c r="F1487" s="212" t="str">
        <f>COMPOSICIÓN!F1487</f>
        <v>ml</v>
      </c>
      <c r="G1487" s="213">
        <f>COMPOSICIÓN!G1487</f>
        <v>5</v>
      </c>
      <c r="H1487" s="214">
        <f>COMPOSICIÓN!H1487</f>
        <v>0.1</v>
      </c>
      <c r="I1487" s="215">
        <f>COMPOSICIÓN!I1487</f>
        <v>509.31490000000002</v>
      </c>
      <c r="J1487" s="212" t="str">
        <f>IFERROR(VLOOKUP(A1487,PARTIDAS!$A$2:$C$269,3,FALSE()),"")</f>
        <v>INSTALACIÓN ELÉCTRICA</v>
      </c>
      <c r="K1487" s="212" t="str">
        <f>IFERROR(INDEX(PPTO_GENERADOR!$B$4:$B$220,MATCH(A1487,PPTO_GENERADOR!$Q$4:$Q$220,0)),"")</f>
        <v/>
      </c>
      <c r="L1487" s="216">
        <f>IF(PLAN_ETAPA!$C$4="(TODOS)",SUMIFS(PPTO_GENERADOR!$E$4:$E$220,PPTO_GENERADOR!$Q$4:$Q$220,A1487),SUMIFS(PPTO_GENERADOR!$E$4:$E$220,PPTO_GENERADOR!$Q$4:$Q$220,A1487,PPTO_GENERADOR!$B$4:$B$220,PLAN_ETAPA!$C$4))</f>
        <v>0</v>
      </c>
      <c r="M1487" s="216">
        <f>IFERROR(VLOOKUP(A1487,PARTIDAS!$A$2:$F$269,6,FALSE()),1)</f>
        <v>3.25</v>
      </c>
      <c r="N1487" s="216">
        <f>IFERROR(VLOOKUP(A1487,PARTIDAS!$A$2:$I$269,9,FALSE()),1)</f>
        <v>1</v>
      </c>
      <c r="O1487" s="217">
        <f t="shared" si="46"/>
        <v>0</v>
      </c>
      <c r="P1487" s="216">
        <f>IF(O1487=0,0,IF(B1487="MAT",G1487*(1+H1487)*L1487*PLAN_ETAPA!$C$5,IF(B1487="MO",IF(M1487=0,0,G1487*L1487*PLAN_ETAPA!$C$5*N1487/M1487),IF(B1487="EQ",IF(M1487=0,0,G1487*L1487*PLAN_ETAPA!$C$5/M1487),0))))</f>
        <v>0</v>
      </c>
      <c r="Q1487" s="218">
        <f t="shared" si="47"/>
        <v>0</v>
      </c>
    </row>
    <row r="1488" spans="1:17" x14ac:dyDescent="0.35">
      <c r="A1488" s="212" t="str">
        <f>COMPOSICIÓN!A1488</f>
        <v>PTO-1805</v>
      </c>
      <c r="B1488" s="212" t="str">
        <f>COMPOSICIÓN!B1488</f>
        <v>MAT</v>
      </c>
      <c r="C1488" s="212" t="str">
        <f>COMPOSICIÓN!C1488</f>
        <v>OTR</v>
      </c>
      <c r="D1488" s="212" t="str">
        <f>COMPOSICIÓN!D1488</f>
        <v>ELE-010</v>
      </c>
      <c r="E1488" s="212" t="str">
        <f>COMPOSICIÓN!E1488</f>
        <v>Cable unipolar 1 x 2,50 Rojo/Marron/Negro</v>
      </c>
      <c r="F1488" s="212" t="str">
        <f>COMPOSICIÓN!F1488</f>
        <v>ml</v>
      </c>
      <c r="G1488" s="213">
        <f>COMPOSICIÓN!G1488</f>
        <v>7.5</v>
      </c>
      <c r="H1488" s="214">
        <f>COMPOSICIÓN!H1488</f>
        <v>0.1</v>
      </c>
      <c r="I1488" s="215">
        <f>COMPOSICIÓN!I1488</f>
        <v>509.31490000000002</v>
      </c>
      <c r="J1488" s="212" t="str">
        <f>IFERROR(VLOOKUP(A1488,PARTIDAS!$A$2:$C$269,3,FALSE()),"")</f>
        <v>INSTALACIÓN ELÉCTRICA</v>
      </c>
      <c r="K1488" s="212" t="str">
        <f>IFERROR(INDEX(PPTO_GENERADOR!$B$4:$B$220,MATCH(A1488,PPTO_GENERADOR!$Q$4:$Q$220,0)),"")</f>
        <v/>
      </c>
      <c r="L1488" s="216">
        <f>IF(PLAN_ETAPA!$C$4="(TODOS)",SUMIFS(PPTO_GENERADOR!$E$4:$E$220,PPTO_GENERADOR!$Q$4:$Q$220,A1488),SUMIFS(PPTO_GENERADOR!$E$4:$E$220,PPTO_GENERADOR!$Q$4:$Q$220,A1488,PPTO_GENERADOR!$B$4:$B$220,PLAN_ETAPA!$C$4))</f>
        <v>0</v>
      </c>
      <c r="M1488" s="216">
        <f>IFERROR(VLOOKUP(A1488,PARTIDAS!$A$2:$F$269,6,FALSE()),1)</f>
        <v>3.25</v>
      </c>
      <c r="N1488" s="216">
        <f>IFERROR(VLOOKUP(A1488,PARTIDAS!$A$2:$I$269,9,FALSE()),1)</f>
        <v>1</v>
      </c>
      <c r="O1488" s="217">
        <f t="shared" si="46"/>
        <v>0</v>
      </c>
      <c r="P1488" s="216">
        <f>IF(O1488=0,0,IF(B1488="MAT",G1488*(1+H1488)*L1488*PLAN_ETAPA!$C$5,IF(B1488="MO",IF(M1488=0,0,G1488*L1488*PLAN_ETAPA!$C$5*N1488/M1488),IF(B1488="EQ",IF(M1488=0,0,G1488*L1488*PLAN_ETAPA!$C$5/M1488),0))))</f>
        <v>0</v>
      </c>
      <c r="Q1488" s="218">
        <f t="shared" si="47"/>
        <v>0</v>
      </c>
    </row>
    <row r="1489" spans="1:17" x14ac:dyDescent="0.35">
      <c r="A1489" s="212" t="str">
        <f>COMPOSICIÓN!A1489</f>
        <v>PTO-1805</v>
      </c>
      <c r="B1489" s="212" t="str">
        <f>COMPOSICIÓN!B1489</f>
        <v>MAT</v>
      </c>
      <c r="C1489" s="212" t="str">
        <f>COMPOSICIÓN!C1489</f>
        <v>OTR</v>
      </c>
      <c r="D1489" s="212" t="str">
        <f>COMPOSICIÓN!D1489</f>
        <v>ELE-012</v>
      </c>
      <c r="E1489" s="212" t="str">
        <f>COMPOSICIÓN!E1489</f>
        <v>Caja octogonal chica</v>
      </c>
      <c r="F1489" s="212" t="str">
        <f>COMPOSICIÓN!F1489</f>
        <v>u</v>
      </c>
      <c r="G1489" s="213">
        <f>COMPOSICIÓN!G1489</f>
        <v>1</v>
      </c>
      <c r="H1489" s="214">
        <f>COMPOSICIÓN!H1489</f>
        <v>0.05</v>
      </c>
      <c r="I1489" s="215">
        <f>COMPOSICIÓN!I1489</f>
        <v>202.42</v>
      </c>
      <c r="J1489" s="212" t="str">
        <f>IFERROR(VLOOKUP(A1489,PARTIDAS!$A$2:$C$269,3,FALSE()),"")</f>
        <v>INSTALACIÓN ELÉCTRICA</v>
      </c>
      <c r="K1489" s="212" t="str">
        <f>IFERROR(INDEX(PPTO_GENERADOR!$B$4:$B$220,MATCH(A1489,PPTO_GENERADOR!$Q$4:$Q$220,0)),"")</f>
        <v/>
      </c>
      <c r="L1489" s="216">
        <f>IF(PLAN_ETAPA!$C$4="(TODOS)",SUMIFS(PPTO_GENERADOR!$E$4:$E$220,PPTO_GENERADOR!$Q$4:$Q$220,A1489),SUMIFS(PPTO_GENERADOR!$E$4:$E$220,PPTO_GENERADOR!$Q$4:$Q$220,A1489,PPTO_GENERADOR!$B$4:$B$220,PLAN_ETAPA!$C$4))</f>
        <v>0</v>
      </c>
      <c r="M1489" s="216">
        <f>IFERROR(VLOOKUP(A1489,PARTIDAS!$A$2:$F$269,6,FALSE()),1)</f>
        <v>3.25</v>
      </c>
      <c r="N1489" s="216">
        <f>IFERROR(VLOOKUP(A1489,PARTIDAS!$A$2:$I$269,9,FALSE()),1)</f>
        <v>1</v>
      </c>
      <c r="O1489" s="217">
        <f t="shared" si="46"/>
        <v>0</v>
      </c>
      <c r="P1489" s="216">
        <f>IF(O1489=0,0,IF(B1489="MAT",G1489*(1+H1489)*L1489*PLAN_ETAPA!$C$5,IF(B1489="MO",IF(M1489=0,0,G1489*L1489*PLAN_ETAPA!$C$5*N1489/M1489),IF(B1489="EQ",IF(M1489=0,0,G1489*L1489*PLAN_ETAPA!$C$5/M1489),0))))</f>
        <v>0</v>
      </c>
      <c r="Q1489" s="218">
        <f t="shared" si="47"/>
        <v>0</v>
      </c>
    </row>
    <row r="1490" spans="1:17" x14ac:dyDescent="0.35">
      <c r="A1490" s="212" t="str">
        <f>COMPOSICIÓN!A1490</f>
        <v>PTO-1805</v>
      </c>
      <c r="B1490" s="212" t="str">
        <f>COMPOSICIÓN!B1490</f>
        <v>MAT</v>
      </c>
      <c r="C1490" s="212" t="str">
        <f>COMPOSICIÓN!C1490</f>
        <v>OTR</v>
      </c>
      <c r="D1490" s="212" t="str">
        <f>COMPOSICIÓN!D1490</f>
        <v>ELE-014</v>
      </c>
      <c r="E1490" s="212" t="str">
        <f>COMPOSICIÓN!E1490</f>
        <v>Caja rectangular chica</v>
      </c>
      <c r="F1490" s="212" t="str">
        <f>COMPOSICIÓN!F1490</f>
        <v>u</v>
      </c>
      <c r="G1490" s="213">
        <f>COMPOSICIÓN!G1490</f>
        <v>0.5</v>
      </c>
      <c r="H1490" s="214">
        <f>COMPOSICIÓN!H1490</f>
        <v>0.05</v>
      </c>
      <c r="I1490" s="215">
        <f>COMPOSICIÓN!I1490</f>
        <v>202.42</v>
      </c>
      <c r="J1490" s="212" t="str">
        <f>IFERROR(VLOOKUP(A1490,PARTIDAS!$A$2:$C$269,3,FALSE()),"")</f>
        <v>INSTALACIÓN ELÉCTRICA</v>
      </c>
      <c r="K1490" s="212" t="str">
        <f>IFERROR(INDEX(PPTO_GENERADOR!$B$4:$B$220,MATCH(A1490,PPTO_GENERADOR!$Q$4:$Q$220,0)),"")</f>
        <v/>
      </c>
      <c r="L1490" s="216">
        <f>IF(PLAN_ETAPA!$C$4="(TODOS)",SUMIFS(PPTO_GENERADOR!$E$4:$E$220,PPTO_GENERADOR!$Q$4:$Q$220,A1490),SUMIFS(PPTO_GENERADOR!$E$4:$E$220,PPTO_GENERADOR!$Q$4:$Q$220,A1490,PPTO_GENERADOR!$B$4:$B$220,PLAN_ETAPA!$C$4))</f>
        <v>0</v>
      </c>
      <c r="M1490" s="216">
        <f>IFERROR(VLOOKUP(A1490,PARTIDAS!$A$2:$F$269,6,FALSE()),1)</f>
        <v>3.25</v>
      </c>
      <c r="N1490" s="216">
        <f>IFERROR(VLOOKUP(A1490,PARTIDAS!$A$2:$I$269,9,FALSE()),1)</f>
        <v>1</v>
      </c>
      <c r="O1490" s="217">
        <f t="shared" si="46"/>
        <v>0</v>
      </c>
      <c r="P1490" s="216">
        <f>IF(O1490=0,0,IF(B1490="MAT",G1490*(1+H1490)*L1490*PLAN_ETAPA!$C$5,IF(B1490="MO",IF(M1490=0,0,G1490*L1490*PLAN_ETAPA!$C$5*N1490/M1490),IF(B1490="EQ",IF(M1490=0,0,G1490*L1490*PLAN_ETAPA!$C$5/M1490),0))))</f>
        <v>0</v>
      </c>
      <c r="Q1490" s="218">
        <f t="shared" si="47"/>
        <v>0</v>
      </c>
    </row>
    <row r="1491" spans="1:17" x14ac:dyDescent="0.35">
      <c r="A1491" s="212" t="str">
        <f>COMPOSICIÓN!A1491</f>
        <v>PTO-1809</v>
      </c>
      <c r="B1491" s="212" t="str">
        <f>COMPOSICIÓN!B1491</f>
        <v>MO</v>
      </c>
      <c r="C1491" s="212" t="str">
        <f>COMPOSICIÓN!C1491</f>
        <v>OTR</v>
      </c>
      <c r="D1491" s="212" t="str">
        <f>COMPOSICIÓN!D1491</f>
        <v>SUB-BOCACOMP</v>
      </c>
      <c r="E1491" s="212" t="str">
        <f>COMPOSICIÓN!E1491</f>
        <v>Boca completa</v>
      </c>
      <c r="F1491" s="212" t="str">
        <f>COMPOSICIÓN!F1491</f>
        <v>j</v>
      </c>
      <c r="G1491" s="213">
        <f>COMPOSICIÓN!G1491</f>
        <v>3.25</v>
      </c>
      <c r="H1491" s="214">
        <f>COMPOSICIÓN!H1491</f>
        <v>0</v>
      </c>
      <c r="I1491" s="215">
        <f>COMPOSICIÓN!I1491</f>
        <v>35416.5</v>
      </c>
      <c r="J1491" s="212" t="str">
        <f>IFERROR(VLOOKUP(A1491,PARTIDAS!$A$2:$C$269,3,FALSE()),"")</f>
        <v>INSTALACIÓN ELÉCTRICA</v>
      </c>
      <c r="K1491" s="212" t="str">
        <f>IFERROR(INDEX(PPTO_GENERADOR!$B$4:$B$220,MATCH(A1491,PPTO_GENERADOR!$Q$4:$Q$220,0)),"")</f>
        <v/>
      </c>
      <c r="L1491" s="216">
        <f>IF(PLAN_ETAPA!$C$4="(TODOS)",SUMIFS(PPTO_GENERADOR!$E$4:$E$220,PPTO_GENERADOR!$Q$4:$Q$220,A1491),SUMIFS(PPTO_GENERADOR!$E$4:$E$220,PPTO_GENERADOR!$Q$4:$Q$220,A1491,PPTO_GENERADOR!$B$4:$B$220,PLAN_ETAPA!$C$4))</f>
        <v>0</v>
      </c>
      <c r="M1491" s="216">
        <f>IFERROR(VLOOKUP(A1491,PARTIDAS!$A$2:$F$269,6,FALSE()),1)</f>
        <v>3.25</v>
      </c>
      <c r="N1491" s="216">
        <f>IFERROR(VLOOKUP(A1491,PARTIDAS!$A$2:$I$269,9,FALSE()),1)</f>
        <v>1</v>
      </c>
      <c r="O1491" s="217">
        <f t="shared" si="46"/>
        <v>0</v>
      </c>
      <c r="P1491" s="216">
        <f>IF(O1491=0,0,IF(B1491="MAT",G1491*(1+H1491)*L1491*PLAN_ETAPA!$C$5,IF(B1491="MO",IF(M1491=0,0,G1491*L1491*PLAN_ETAPA!$C$5*N1491/M1491),IF(B1491="EQ",IF(M1491=0,0,G1491*L1491*PLAN_ETAPA!$C$5/M1491),0))))</f>
        <v>0</v>
      </c>
      <c r="Q1491" s="218">
        <f t="shared" si="47"/>
        <v>0</v>
      </c>
    </row>
    <row r="1492" spans="1:17" x14ac:dyDescent="0.35">
      <c r="A1492" s="212" t="str">
        <f>COMPOSICIÓN!A1492</f>
        <v>PTO-1810</v>
      </c>
      <c r="B1492" s="212" t="str">
        <f>COMPOSICIÓN!B1492</f>
        <v>MO</v>
      </c>
      <c r="C1492" s="212" t="str">
        <f>COMPOSICIÓN!C1492</f>
        <v>OTR</v>
      </c>
      <c r="D1492" s="212" t="str">
        <f>COMPOSICIÓN!D1492</f>
        <v>SUB-BOCACOMP</v>
      </c>
      <c r="E1492" s="212" t="str">
        <f>COMPOSICIÓN!E1492</f>
        <v>Boca completa</v>
      </c>
      <c r="F1492" s="212" t="str">
        <f>COMPOSICIÓN!F1492</f>
        <v>j</v>
      </c>
      <c r="G1492" s="213">
        <f>COMPOSICIÓN!G1492</f>
        <v>3.25</v>
      </c>
      <c r="H1492" s="214">
        <f>COMPOSICIÓN!H1492</f>
        <v>0</v>
      </c>
      <c r="I1492" s="215">
        <f>COMPOSICIÓN!I1492</f>
        <v>35416.5</v>
      </c>
      <c r="J1492" s="212" t="str">
        <f>IFERROR(VLOOKUP(A1492,PARTIDAS!$A$2:$C$269,3,FALSE()),"")</f>
        <v>INSTALACIÓN ELÉCTRICA</v>
      </c>
      <c r="K1492" s="212" t="str">
        <f>IFERROR(INDEX(PPTO_GENERADOR!$B$4:$B$220,MATCH(A1492,PPTO_GENERADOR!$Q$4:$Q$220,0)),"")</f>
        <v/>
      </c>
      <c r="L1492" s="216">
        <f>IF(PLAN_ETAPA!$C$4="(TODOS)",SUMIFS(PPTO_GENERADOR!$E$4:$E$220,PPTO_GENERADOR!$Q$4:$Q$220,A1492),SUMIFS(PPTO_GENERADOR!$E$4:$E$220,PPTO_GENERADOR!$Q$4:$Q$220,A1492,PPTO_GENERADOR!$B$4:$B$220,PLAN_ETAPA!$C$4))</f>
        <v>0</v>
      </c>
      <c r="M1492" s="216">
        <f>IFERROR(VLOOKUP(A1492,PARTIDAS!$A$2:$F$269,6,FALSE()),1)</f>
        <v>3.25</v>
      </c>
      <c r="N1492" s="216">
        <f>IFERROR(VLOOKUP(A1492,PARTIDAS!$A$2:$I$269,9,FALSE()),1)</f>
        <v>1</v>
      </c>
      <c r="O1492" s="217">
        <f t="shared" si="46"/>
        <v>0</v>
      </c>
      <c r="P1492" s="216">
        <f>IF(O1492=0,0,IF(B1492="MAT",G1492*(1+H1492)*L1492*PLAN_ETAPA!$C$5,IF(B1492="MO",IF(M1492=0,0,G1492*L1492*PLAN_ETAPA!$C$5*N1492/M1492),IF(B1492="EQ",IF(M1492=0,0,G1492*L1492*PLAN_ETAPA!$C$5/M1492),0))))</f>
        <v>0</v>
      </c>
      <c r="Q1492" s="218">
        <f t="shared" si="47"/>
        <v>0</v>
      </c>
    </row>
    <row r="1493" spans="1:17" x14ac:dyDescent="0.35">
      <c r="A1493" s="212" t="str">
        <f>COMPOSICIÓN!A1493</f>
        <v>PTO-1806</v>
      </c>
      <c r="B1493" s="212" t="str">
        <f>COMPOSICIÓN!B1493</f>
        <v>EQ</v>
      </c>
      <c r="C1493" s="212">
        <f>COMPOSICIÓN!C1493</f>
        <v>0</v>
      </c>
      <c r="D1493" s="212" t="str">
        <f>COMPOSICIÓN!D1493</f>
        <v>EQ-ANDAM0</v>
      </c>
      <c r="E1493" s="212" t="str">
        <f>COMPOSICIÓN!E1493</f>
        <v>ANDAMIO TUBULAR DE UNO A TRES CUERPOS</v>
      </c>
      <c r="F1493" s="212">
        <f>COMPOSICIÓN!F1493</f>
        <v>0</v>
      </c>
      <c r="G1493" s="213">
        <f>COMPOSICIÓN!G1493</f>
        <v>0.5</v>
      </c>
      <c r="H1493" s="214">
        <f>COMPOSICIÓN!H1493</f>
        <v>0</v>
      </c>
      <c r="I1493" s="215">
        <f>COMPOSICIÓN!I1493</f>
        <v>571.1794909807611</v>
      </c>
      <c r="J1493" s="212" t="str">
        <f>IFERROR(VLOOKUP(A1493,PARTIDAS!$A$2:$C$269,3,FALSE()),"")</f>
        <v>INSTALACIÓN ELÉCTRICA</v>
      </c>
      <c r="K1493" s="212" t="str">
        <f>IFERROR(INDEX(PPTO_GENERADOR!$B$4:$B$220,MATCH(A1493,PPTO_GENERADOR!$Q$4:$Q$220,0)),"")</f>
        <v/>
      </c>
      <c r="L1493" s="216">
        <f>IF(PLAN_ETAPA!$C$4="(TODOS)",SUMIFS(PPTO_GENERADOR!$E$4:$E$220,PPTO_GENERADOR!$Q$4:$Q$220,A1493),SUMIFS(PPTO_GENERADOR!$E$4:$E$220,PPTO_GENERADOR!$Q$4:$Q$220,A1493,PPTO_GENERADOR!$B$4:$B$220,PLAN_ETAPA!$C$4))</f>
        <v>0</v>
      </c>
      <c r="M1493" s="216">
        <f>IFERROR(VLOOKUP(A1493,PARTIDAS!$A$2:$F$269,6,FALSE()),1)</f>
        <v>3.25</v>
      </c>
      <c r="N1493" s="216">
        <f>IFERROR(VLOOKUP(A1493,PARTIDAS!$A$2:$I$269,9,FALSE()),1)</f>
        <v>1</v>
      </c>
      <c r="O1493" s="217">
        <f t="shared" si="46"/>
        <v>0</v>
      </c>
      <c r="P1493" s="216">
        <f>IF(O1493=0,0,IF(B1493="MAT",G1493*(1+H1493)*L1493*PLAN_ETAPA!$C$5,IF(B1493="MO",IF(M1493=0,0,G1493*L1493*PLAN_ETAPA!$C$5*N1493/M1493),IF(B1493="EQ",IF(M1493=0,0,G1493*L1493*PLAN_ETAPA!$C$5/M1493),0))))</f>
        <v>0</v>
      </c>
      <c r="Q1493" s="218">
        <f t="shared" si="47"/>
        <v>0</v>
      </c>
    </row>
    <row r="1494" spans="1:17" x14ac:dyDescent="0.35">
      <c r="A1494" s="212" t="str">
        <f>COMPOSICIÓN!A1494</f>
        <v>PTO-1806</v>
      </c>
      <c r="B1494" s="212" t="str">
        <f>COMPOSICIÓN!B1494</f>
        <v>EQ</v>
      </c>
      <c r="C1494" s="212">
        <f>COMPOSICIÓN!C1494</f>
        <v>0</v>
      </c>
      <c r="D1494" s="212" t="str">
        <f>COMPOSICIÓN!D1494</f>
        <v>EQ-EQUIP0</v>
      </c>
      <c r="E1494" s="212" t="str">
        <f>COMPOSICIÓN!E1494</f>
        <v>EQUIPO PARA INSTALACION ELECTRICA</v>
      </c>
      <c r="F1494" s="212">
        <f>COMPOSICIÓN!F1494</f>
        <v>0</v>
      </c>
      <c r="G1494" s="213">
        <f>COMPOSICIÓN!G1494</f>
        <v>1</v>
      </c>
      <c r="H1494" s="214">
        <f>COMPOSICIÓN!H1494</f>
        <v>0</v>
      </c>
      <c r="I1494" s="215">
        <f>COMPOSICIÓN!I1494</f>
        <v>5063.0947914732405</v>
      </c>
      <c r="J1494" s="212" t="str">
        <f>IFERROR(VLOOKUP(A1494,PARTIDAS!$A$2:$C$269,3,FALSE()),"")</f>
        <v>INSTALACIÓN ELÉCTRICA</v>
      </c>
      <c r="K1494" s="212" t="str">
        <f>IFERROR(INDEX(PPTO_GENERADOR!$B$4:$B$220,MATCH(A1494,PPTO_GENERADOR!$Q$4:$Q$220,0)),"")</f>
        <v/>
      </c>
      <c r="L1494" s="216">
        <f>IF(PLAN_ETAPA!$C$4="(TODOS)",SUMIFS(PPTO_GENERADOR!$E$4:$E$220,PPTO_GENERADOR!$Q$4:$Q$220,A1494),SUMIFS(PPTO_GENERADOR!$E$4:$E$220,PPTO_GENERADOR!$Q$4:$Q$220,A1494,PPTO_GENERADOR!$B$4:$B$220,PLAN_ETAPA!$C$4))</f>
        <v>0</v>
      </c>
      <c r="M1494" s="216">
        <f>IFERROR(VLOOKUP(A1494,PARTIDAS!$A$2:$F$269,6,FALSE()),1)</f>
        <v>3.25</v>
      </c>
      <c r="N1494" s="216">
        <f>IFERROR(VLOOKUP(A1494,PARTIDAS!$A$2:$I$269,9,FALSE()),1)</f>
        <v>1</v>
      </c>
      <c r="O1494" s="217">
        <f t="shared" si="46"/>
        <v>0</v>
      </c>
      <c r="P1494" s="216">
        <f>IF(O1494=0,0,IF(B1494="MAT",G1494*(1+H1494)*L1494*PLAN_ETAPA!$C$5,IF(B1494="MO",IF(M1494=0,0,G1494*L1494*PLAN_ETAPA!$C$5*N1494/M1494),IF(B1494="EQ",IF(M1494=0,0,G1494*L1494*PLAN_ETAPA!$C$5/M1494),0))))</f>
        <v>0</v>
      </c>
      <c r="Q1494" s="218">
        <f t="shared" si="47"/>
        <v>0</v>
      </c>
    </row>
    <row r="1495" spans="1:17" x14ac:dyDescent="0.35">
      <c r="A1495" s="212" t="str">
        <f>COMPOSICIÓN!A1495</f>
        <v>PTO-1806</v>
      </c>
      <c r="B1495" s="212" t="str">
        <f>COMPOSICIÓN!B1495</f>
        <v>EQ</v>
      </c>
      <c r="C1495" s="212">
        <f>COMPOSICIÓN!C1495</f>
        <v>0</v>
      </c>
      <c r="D1495" s="212" t="str">
        <f>COMPOSICIÓN!D1495</f>
        <v>EQ-ESCALE</v>
      </c>
      <c r="E1495" s="212" t="str">
        <f>COMPOSICIÓN!E1495</f>
        <v>ESCALERA GLOSS ALUMINIO ARTICULADA 4 X 4 ESCALONES HASTA 150KG</v>
      </c>
      <c r="F1495" s="212">
        <f>COMPOSICIÓN!F1495</f>
        <v>0</v>
      </c>
      <c r="G1495" s="213">
        <f>COMPOSICIÓN!G1495</f>
        <v>0.5</v>
      </c>
      <c r="H1495" s="214">
        <f>COMPOSICIÓN!H1495</f>
        <v>0</v>
      </c>
      <c r="I1495" s="215">
        <f>COMPOSICIÓN!I1495</f>
        <v>140.19809259430903</v>
      </c>
      <c r="J1495" s="212" t="str">
        <f>IFERROR(VLOOKUP(A1495,PARTIDAS!$A$2:$C$269,3,FALSE()),"")</f>
        <v>INSTALACIÓN ELÉCTRICA</v>
      </c>
      <c r="K1495" s="212" t="str">
        <f>IFERROR(INDEX(PPTO_GENERADOR!$B$4:$B$220,MATCH(A1495,PPTO_GENERADOR!$Q$4:$Q$220,0)),"")</f>
        <v/>
      </c>
      <c r="L1495" s="216">
        <f>IF(PLAN_ETAPA!$C$4="(TODOS)",SUMIFS(PPTO_GENERADOR!$E$4:$E$220,PPTO_GENERADOR!$Q$4:$Q$220,A1495),SUMIFS(PPTO_GENERADOR!$E$4:$E$220,PPTO_GENERADOR!$Q$4:$Q$220,A1495,PPTO_GENERADOR!$B$4:$B$220,PLAN_ETAPA!$C$4))</f>
        <v>0</v>
      </c>
      <c r="M1495" s="216">
        <f>IFERROR(VLOOKUP(A1495,PARTIDAS!$A$2:$F$269,6,FALSE()),1)</f>
        <v>3.25</v>
      </c>
      <c r="N1495" s="216">
        <f>IFERROR(VLOOKUP(A1495,PARTIDAS!$A$2:$I$269,9,FALSE()),1)</f>
        <v>1</v>
      </c>
      <c r="O1495" s="217">
        <f t="shared" si="46"/>
        <v>0</v>
      </c>
      <c r="P1495" s="216">
        <f>IF(O1495=0,0,IF(B1495="MAT",G1495*(1+H1495)*L1495*PLAN_ETAPA!$C$5,IF(B1495="MO",IF(M1495=0,0,G1495*L1495*PLAN_ETAPA!$C$5*N1495/M1495),IF(B1495="EQ",IF(M1495=0,0,G1495*L1495*PLAN_ETAPA!$C$5/M1495),0))))</f>
        <v>0</v>
      </c>
      <c r="Q1495" s="218">
        <f t="shared" si="47"/>
        <v>0</v>
      </c>
    </row>
    <row r="1496" spans="1:17" x14ac:dyDescent="0.35">
      <c r="A1496" s="212" t="str">
        <f>COMPOSICIÓN!A1496</f>
        <v>PTO-1806</v>
      </c>
      <c r="B1496" s="212" t="str">
        <f>COMPOSICIÓN!B1496</f>
        <v>MAT</v>
      </c>
      <c r="C1496" s="212" t="str">
        <f>COMPOSICIÓN!C1496</f>
        <v>OTR</v>
      </c>
      <c r="D1496" s="212" t="str">
        <f>COMPOSICIÓN!D1496</f>
        <v>ACE-018</v>
      </c>
      <c r="E1496" s="212" t="str">
        <f>COMPOSICIÓN!E1496</f>
        <v>Conector hierro 7/8"</v>
      </c>
      <c r="F1496" s="212" t="str">
        <f>COMPOSICIÓN!F1496</f>
        <v>u</v>
      </c>
      <c r="G1496" s="213">
        <f>COMPOSICIÓN!G1496</f>
        <v>3</v>
      </c>
      <c r="H1496" s="214">
        <f>COMPOSICIÓN!H1496</f>
        <v>0.1</v>
      </c>
      <c r="I1496" s="215">
        <f>COMPOSICIÓN!I1496</f>
        <v>282.29000000000002</v>
      </c>
      <c r="J1496" s="212" t="str">
        <f>IFERROR(VLOOKUP(A1496,PARTIDAS!$A$2:$C$269,3,FALSE()),"")</f>
        <v>INSTALACIÓN ELÉCTRICA</v>
      </c>
      <c r="K1496" s="212" t="str">
        <f>IFERROR(INDEX(PPTO_GENERADOR!$B$4:$B$220,MATCH(A1496,PPTO_GENERADOR!$Q$4:$Q$220,0)),"")</f>
        <v/>
      </c>
      <c r="L1496" s="216">
        <f>IF(PLAN_ETAPA!$C$4="(TODOS)",SUMIFS(PPTO_GENERADOR!$E$4:$E$220,PPTO_GENERADOR!$Q$4:$Q$220,A1496),SUMIFS(PPTO_GENERADOR!$E$4:$E$220,PPTO_GENERADOR!$Q$4:$Q$220,A1496,PPTO_GENERADOR!$B$4:$B$220,PLAN_ETAPA!$C$4))</f>
        <v>0</v>
      </c>
      <c r="M1496" s="216">
        <f>IFERROR(VLOOKUP(A1496,PARTIDAS!$A$2:$F$269,6,FALSE()),1)</f>
        <v>3.25</v>
      </c>
      <c r="N1496" s="216">
        <f>IFERROR(VLOOKUP(A1496,PARTIDAS!$A$2:$I$269,9,FALSE()),1)</f>
        <v>1</v>
      </c>
      <c r="O1496" s="217">
        <f t="shared" si="46"/>
        <v>0</v>
      </c>
      <c r="P1496" s="216">
        <f>IF(O1496=0,0,IF(B1496="MAT",G1496*(1+H1496)*L1496*PLAN_ETAPA!$C$5,IF(B1496="MO",IF(M1496=0,0,G1496*L1496*PLAN_ETAPA!$C$5*N1496/M1496),IF(B1496="EQ",IF(M1496=0,0,G1496*L1496*PLAN_ETAPA!$C$5/M1496),0))))</f>
        <v>0</v>
      </c>
      <c r="Q1496" s="218">
        <f t="shared" si="47"/>
        <v>0</v>
      </c>
    </row>
    <row r="1497" spans="1:17" x14ac:dyDescent="0.35">
      <c r="A1497" s="212" t="str">
        <f>COMPOSICIÓN!A1497</f>
        <v>PTO-1806</v>
      </c>
      <c r="B1497" s="212" t="str">
        <f>COMPOSICIÓN!B1497</f>
        <v>MAT</v>
      </c>
      <c r="C1497" s="212" t="str">
        <f>COMPOSICIÓN!C1497</f>
        <v>OTR</v>
      </c>
      <c r="D1497" s="212" t="str">
        <f>COMPOSICIÓN!D1497</f>
        <v>ELE-003</v>
      </c>
      <c r="E1497" s="212" t="str">
        <f>COMPOSICIÓN!E1497</f>
        <v>Caño rigido 7/8"</v>
      </c>
      <c r="F1497" s="212" t="str">
        <f>COMPOSICIÓN!F1497</f>
        <v>ml</v>
      </c>
      <c r="G1497" s="213">
        <f>COMPOSICIÓN!G1497</f>
        <v>5</v>
      </c>
      <c r="H1497" s="214">
        <f>COMPOSICIÓN!H1497</f>
        <v>0.1</v>
      </c>
      <c r="I1497" s="215">
        <f>COMPOSICIÓN!I1497</f>
        <v>635.55999999999995</v>
      </c>
      <c r="J1497" s="212" t="str">
        <f>IFERROR(VLOOKUP(A1497,PARTIDAS!$A$2:$C$269,3,FALSE()),"")</f>
        <v>INSTALACIÓN ELÉCTRICA</v>
      </c>
      <c r="K1497" s="212" t="str">
        <f>IFERROR(INDEX(PPTO_GENERADOR!$B$4:$B$220,MATCH(A1497,PPTO_GENERADOR!$Q$4:$Q$220,0)),"")</f>
        <v/>
      </c>
      <c r="L1497" s="216">
        <f>IF(PLAN_ETAPA!$C$4="(TODOS)",SUMIFS(PPTO_GENERADOR!$E$4:$E$220,PPTO_GENERADOR!$Q$4:$Q$220,A1497),SUMIFS(PPTO_GENERADOR!$E$4:$E$220,PPTO_GENERADOR!$Q$4:$Q$220,A1497,PPTO_GENERADOR!$B$4:$B$220,PLAN_ETAPA!$C$4))</f>
        <v>0</v>
      </c>
      <c r="M1497" s="216">
        <f>IFERROR(VLOOKUP(A1497,PARTIDAS!$A$2:$F$269,6,FALSE()),1)</f>
        <v>3.25</v>
      </c>
      <c r="N1497" s="216">
        <f>IFERROR(VLOOKUP(A1497,PARTIDAS!$A$2:$I$269,9,FALSE()),1)</f>
        <v>1</v>
      </c>
      <c r="O1497" s="217">
        <f t="shared" si="46"/>
        <v>0</v>
      </c>
      <c r="P1497" s="216">
        <f>IF(O1497=0,0,IF(B1497="MAT",G1497*(1+H1497)*L1497*PLAN_ETAPA!$C$5,IF(B1497="MO",IF(M1497=0,0,G1497*L1497*PLAN_ETAPA!$C$5*N1497/M1497),IF(B1497="EQ",IF(M1497=0,0,G1497*L1497*PLAN_ETAPA!$C$5/M1497),0))))</f>
        <v>0</v>
      </c>
      <c r="Q1497" s="218">
        <f t="shared" si="47"/>
        <v>0</v>
      </c>
    </row>
    <row r="1498" spans="1:17" x14ac:dyDescent="0.35">
      <c r="A1498" s="212" t="str">
        <f>COMPOSICIÓN!A1498</f>
        <v>PTO-1806</v>
      </c>
      <c r="B1498" s="212" t="str">
        <f>COMPOSICIÓN!B1498</f>
        <v>MAT</v>
      </c>
      <c r="C1498" s="212" t="str">
        <f>COMPOSICIÓN!C1498</f>
        <v>OTR</v>
      </c>
      <c r="D1498" s="212" t="str">
        <f>COMPOSICIÓN!D1498</f>
        <v>ELE-006</v>
      </c>
      <c r="E1498" s="212" t="str">
        <f>COMPOSICIÓN!E1498</f>
        <v>Cupla PVC 7/8"</v>
      </c>
      <c r="F1498" s="212" t="str">
        <f>COMPOSICIÓN!F1498</f>
        <v>u</v>
      </c>
      <c r="G1498" s="213">
        <f>COMPOSICIÓN!G1498</f>
        <v>2</v>
      </c>
      <c r="H1498" s="214">
        <f>COMPOSICIÓN!H1498</f>
        <v>0.1</v>
      </c>
      <c r="I1498" s="215">
        <f>COMPOSICIÓN!I1498</f>
        <v>184.87</v>
      </c>
      <c r="J1498" s="212" t="str">
        <f>IFERROR(VLOOKUP(A1498,PARTIDAS!$A$2:$C$269,3,FALSE()),"")</f>
        <v>INSTALACIÓN ELÉCTRICA</v>
      </c>
      <c r="K1498" s="212" t="str">
        <f>IFERROR(INDEX(PPTO_GENERADOR!$B$4:$B$220,MATCH(A1498,PPTO_GENERADOR!$Q$4:$Q$220,0)),"")</f>
        <v/>
      </c>
      <c r="L1498" s="216">
        <f>IF(PLAN_ETAPA!$C$4="(TODOS)",SUMIFS(PPTO_GENERADOR!$E$4:$E$220,PPTO_GENERADOR!$Q$4:$Q$220,A1498),SUMIFS(PPTO_GENERADOR!$E$4:$E$220,PPTO_GENERADOR!$Q$4:$Q$220,A1498,PPTO_GENERADOR!$B$4:$B$220,PLAN_ETAPA!$C$4))</f>
        <v>0</v>
      </c>
      <c r="M1498" s="216">
        <f>IFERROR(VLOOKUP(A1498,PARTIDAS!$A$2:$F$269,6,FALSE()),1)</f>
        <v>3.25</v>
      </c>
      <c r="N1498" s="216">
        <f>IFERROR(VLOOKUP(A1498,PARTIDAS!$A$2:$I$269,9,FALSE()),1)</f>
        <v>1</v>
      </c>
      <c r="O1498" s="217">
        <f t="shared" si="46"/>
        <v>0</v>
      </c>
      <c r="P1498" s="216">
        <f>IF(O1498=0,0,IF(B1498="MAT",G1498*(1+H1498)*L1498*PLAN_ETAPA!$C$5,IF(B1498="MO",IF(M1498=0,0,G1498*L1498*PLAN_ETAPA!$C$5*N1498/M1498),IF(B1498="EQ",IF(M1498=0,0,G1498*L1498*PLAN_ETAPA!$C$5/M1498),0))))</f>
        <v>0</v>
      </c>
      <c r="Q1498" s="218">
        <f t="shared" si="47"/>
        <v>0</v>
      </c>
    </row>
    <row r="1499" spans="1:17" x14ac:dyDescent="0.35">
      <c r="A1499" s="212" t="str">
        <f>COMPOSICIÓN!A1499</f>
        <v>PTO-1806</v>
      </c>
      <c r="B1499" s="212" t="str">
        <f>COMPOSICIÓN!B1499</f>
        <v>MAT</v>
      </c>
      <c r="C1499" s="212" t="str">
        <f>COMPOSICIÓN!C1499</f>
        <v>OTR</v>
      </c>
      <c r="D1499" s="212" t="str">
        <f>COMPOSICIÓN!D1499</f>
        <v>ELE-008</v>
      </c>
      <c r="E1499" s="212" t="str">
        <f>COMPOSICIÓN!E1499</f>
        <v>Cable unipolar 1 x 1,50</v>
      </c>
      <c r="F1499" s="212" t="str">
        <f>COMPOSICIÓN!F1499</f>
        <v>ml</v>
      </c>
      <c r="G1499" s="213">
        <f>COMPOSICIÓN!G1499</f>
        <v>7.5</v>
      </c>
      <c r="H1499" s="214">
        <f>COMPOSICIÓN!H1499</f>
        <v>0.1</v>
      </c>
      <c r="I1499" s="215">
        <f>COMPOSICIÓN!I1499</f>
        <v>316.44450000000001</v>
      </c>
      <c r="J1499" s="212" t="str">
        <f>IFERROR(VLOOKUP(A1499,PARTIDAS!$A$2:$C$269,3,FALSE()),"")</f>
        <v>INSTALACIÓN ELÉCTRICA</v>
      </c>
      <c r="K1499" s="212" t="str">
        <f>IFERROR(INDEX(PPTO_GENERADOR!$B$4:$B$220,MATCH(A1499,PPTO_GENERADOR!$Q$4:$Q$220,0)),"")</f>
        <v/>
      </c>
      <c r="L1499" s="216">
        <f>IF(PLAN_ETAPA!$C$4="(TODOS)",SUMIFS(PPTO_GENERADOR!$E$4:$E$220,PPTO_GENERADOR!$Q$4:$Q$220,A1499),SUMIFS(PPTO_GENERADOR!$E$4:$E$220,PPTO_GENERADOR!$Q$4:$Q$220,A1499,PPTO_GENERADOR!$B$4:$B$220,PLAN_ETAPA!$C$4))</f>
        <v>0</v>
      </c>
      <c r="M1499" s="216">
        <f>IFERROR(VLOOKUP(A1499,PARTIDAS!$A$2:$F$269,6,FALSE()),1)</f>
        <v>3.25</v>
      </c>
      <c r="N1499" s="216">
        <f>IFERROR(VLOOKUP(A1499,PARTIDAS!$A$2:$I$269,9,FALSE()),1)</f>
        <v>1</v>
      </c>
      <c r="O1499" s="217">
        <f t="shared" si="46"/>
        <v>0</v>
      </c>
      <c r="P1499" s="216">
        <f>IF(O1499=0,0,IF(B1499="MAT",G1499*(1+H1499)*L1499*PLAN_ETAPA!$C$5,IF(B1499="MO",IF(M1499=0,0,G1499*L1499*PLAN_ETAPA!$C$5*N1499/M1499),IF(B1499="EQ",IF(M1499=0,0,G1499*L1499*PLAN_ETAPA!$C$5/M1499),0))))</f>
        <v>0</v>
      </c>
      <c r="Q1499" s="218">
        <f t="shared" si="47"/>
        <v>0</v>
      </c>
    </row>
    <row r="1500" spans="1:17" x14ac:dyDescent="0.35">
      <c r="A1500" s="212" t="str">
        <f>COMPOSICIÓN!A1500</f>
        <v>PTO-1806</v>
      </c>
      <c r="B1500" s="212" t="str">
        <f>COMPOSICIÓN!B1500</f>
        <v>MAT</v>
      </c>
      <c r="C1500" s="212" t="str">
        <f>COMPOSICIÓN!C1500</f>
        <v>OTR</v>
      </c>
      <c r="D1500" s="212" t="str">
        <f>COMPOSICIÓN!D1500</f>
        <v>ELE-009</v>
      </c>
      <c r="E1500" s="212" t="str">
        <f>COMPOSICIÓN!E1500</f>
        <v>Cable unipolar 1 x 2,50 VA</v>
      </c>
      <c r="F1500" s="212" t="str">
        <f>COMPOSICIÓN!F1500</f>
        <v>ml</v>
      </c>
      <c r="G1500" s="213">
        <f>COMPOSICIÓN!G1500</f>
        <v>5</v>
      </c>
      <c r="H1500" s="214">
        <f>COMPOSICIÓN!H1500</f>
        <v>0.1</v>
      </c>
      <c r="I1500" s="215">
        <f>COMPOSICIÓN!I1500</f>
        <v>509.31490000000002</v>
      </c>
      <c r="J1500" s="212" t="str">
        <f>IFERROR(VLOOKUP(A1500,PARTIDAS!$A$2:$C$269,3,FALSE()),"")</f>
        <v>INSTALACIÓN ELÉCTRICA</v>
      </c>
      <c r="K1500" s="212" t="str">
        <f>IFERROR(INDEX(PPTO_GENERADOR!$B$4:$B$220,MATCH(A1500,PPTO_GENERADOR!$Q$4:$Q$220,0)),"")</f>
        <v/>
      </c>
      <c r="L1500" s="216">
        <f>IF(PLAN_ETAPA!$C$4="(TODOS)",SUMIFS(PPTO_GENERADOR!$E$4:$E$220,PPTO_GENERADOR!$Q$4:$Q$220,A1500),SUMIFS(PPTO_GENERADOR!$E$4:$E$220,PPTO_GENERADOR!$Q$4:$Q$220,A1500,PPTO_GENERADOR!$B$4:$B$220,PLAN_ETAPA!$C$4))</f>
        <v>0</v>
      </c>
      <c r="M1500" s="216">
        <f>IFERROR(VLOOKUP(A1500,PARTIDAS!$A$2:$F$269,6,FALSE()),1)</f>
        <v>3.25</v>
      </c>
      <c r="N1500" s="216">
        <f>IFERROR(VLOOKUP(A1500,PARTIDAS!$A$2:$I$269,9,FALSE()),1)</f>
        <v>1</v>
      </c>
      <c r="O1500" s="217">
        <f t="shared" si="46"/>
        <v>0</v>
      </c>
      <c r="P1500" s="216">
        <f>IF(O1500=0,0,IF(B1500="MAT",G1500*(1+H1500)*L1500*PLAN_ETAPA!$C$5,IF(B1500="MO",IF(M1500=0,0,G1500*L1500*PLAN_ETAPA!$C$5*N1500/M1500),IF(B1500="EQ",IF(M1500=0,0,G1500*L1500*PLAN_ETAPA!$C$5/M1500),0))))</f>
        <v>0</v>
      </c>
      <c r="Q1500" s="218">
        <f t="shared" si="47"/>
        <v>0</v>
      </c>
    </row>
    <row r="1501" spans="1:17" x14ac:dyDescent="0.35">
      <c r="A1501" s="212" t="str">
        <f>COMPOSICIÓN!A1501</f>
        <v>PTO-1806</v>
      </c>
      <c r="B1501" s="212" t="str">
        <f>COMPOSICIÓN!B1501</f>
        <v>MAT</v>
      </c>
      <c r="C1501" s="212" t="str">
        <f>COMPOSICIÓN!C1501</f>
        <v>OTR</v>
      </c>
      <c r="D1501" s="212" t="str">
        <f>COMPOSICIÓN!D1501</f>
        <v>ELE-010</v>
      </c>
      <c r="E1501" s="212" t="str">
        <f>COMPOSICIÓN!E1501</f>
        <v>Cable unipolar 1 x 2,50 Rojo/Marron/Negro</v>
      </c>
      <c r="F1501" s="212" t="str">
        <f>COMPOSICIÓN!F1501</f>
        <v>ml</v>
      </c>
      <c r="G1501" s="213">
        <f>COMPOSICIÓN!G1501</f>
        <v>7.5</v>
      </c>
      <c r="H1501" s="214">
        <f>COMPOSICIÓN!H1501</f>
        <v>0.1</v>
      </c>
      <c r="I1501" s="215">
        <f>COMPOSICIÓN!I1501</f>
        <v>509.31490000000002</v>
      </c>
      <c r="J1501" s="212" t="str">
        <f>IFERROR(VLOOKUP(A1501,PARTIDAS!$A$2:$C$269,3,FALSE()),"")</f>
        <v>INSTALACIÓN ELÉCTRICA</v>
      </c>
      <c r="K1501" s="212" t="str">
        <f>IFERROR(INDEX(PPTO_GENERADOR!$B$4:$B$220,MATCH(A1501,PPTO_GENERADOR!$Q$4:$Q$220,0)),"")</f>
        <v/>
      </c>
      <c r="L1501" s="216">
        <f>IF(PLAN_ETAPA!$C$4="(TODOS)",SUMIFS(PPTO_GENERADOR!$E$4:$E$220,PPTO_GENERADOR!$Q$4:$Q$220,A1501),SUMIFS(PPTO_GENERADOR!$E$4:$E$220,PPTO_GENERADOR!$Q$4:$Q$220,A1501,PPTO_GENERADOR!$B$4:$B$220,PLAN_ETAPA!$C$4))</f>
        <v>0</v>
      </c>
      <c r="M1501" s="216">
        <f>IFERROR(VLOOKUP(A1501,PARTIDAS!$A$2:$F$269,6,FALSE()),1)</f>
        <v>3.25</v>
      </c>
      <c r="N1501" s="216">
        <f>IFERROR(VLOOKUP(A1501,PARTIDAS!$A$2:$I$269,9,FALSE()),1)</f>
        <v>1</v>
      </c>
      <c r="O1501" s="217">
        <f t="shared" si="46"/>
        <v>0</v>
      </c>
      <c r="P1501" s="216">
        <f>IF(O1501=0,0,IF(B1501="MAT",G1501*(1+H1501)*L1501*PLAN_ETAPA!$C$5,IF(B1501="MO",IF(M1501=0,0,G1501*L1501*PLAN_ETAPA!$C$5*N1501/M1501),IF(B1501="EQ",IF(M1501=0,0,G1501*L1501*PLAN_ETAPA!$C$5/M1501),0))))</f>
        <v>0</v>
      </c>
      <c r="Q1501" s="218">
        <f t="shared" si="47"/>
        <v>0</v>
      </c>
    </row>
    <row r="1502" spans="1:17" x14ac:dyDescent="0.35">
      <c r="A1502" s="212" t="str">
        <f>COMPOSICIÓN!A1502</f>
        <v>PTO-1806</v>
      </c>
      <c r="B1502" s="212" t="str">
        <f>COMPOSICIÓN!B1502</f>
        <v>MAT</v>
      </c>
      <c r="C1502" s="212" t="str">
        <f>COMPOSICIÓN!C1502</f>
        <v>OTR</v>
      </c>
      <c r="D1502" s="212" t="str">
        <f>COMPOSICIÓN!D1502</f>
        <v>ELE-012</v>
      </c>
      <c r="E1502" s="212" t="str">
        <f>COMPOSICIÓN!E1502</f>
        <v>Caja octogonal chica</v>
      </c>
      <c r="F1502" s="212" t="str">
        <f>COMPOSICIÓN!F1502</f>
        <v>u</v>
      </c>
      <c r="G1502" s="213">
        <f>COMPOSICIÓN!G1502</f>
        <v>1</v>
      </c>
      <c r="H1502" s="214">
        <f>COMPOSICIÓN!H1502</f>
        <v>0.05</v>
      </c>
      <c r="I1502" s="215">
        <f>COMPOSICIÓN!I1502</f>
        <v>202.42</v>
      </c>
      <c r="J1502" s="212" t="str">
        <f>IFERROR(VLOOKUP(A1502,PARTIDAS!$A$2:$C$269,3,FALSE()),"")</f>
        <v>INSTALACIÓN ELÉCTRICA</v>
      </c>
      <c r="K1502" s="212" t="str">
        <f>IFERROR(INDEX(PPTO_GENERADOR!$B$4:$B$220,MATCH(A1502,PPTO_GENERADOR!$Q$4:$Q$220,0)),"")</f>
        <v/>
      </c>
      <c r="L1502" s="216">
        <f>IF(PLAN_ETAPA!$C$4="(TODOS)",SUMIFS(PPTO_GENERADOR!$E$4:$E$220,PPTO_GENERADOR!$Q$4:$Q$220,A1502),SUMIFS(PPTO_GENERADOR!$E$4:$E$220,PPTO_GENERADOR!$Q$4:$Q$220,A1502,PPTO_GENERADOR!$B$4:$B$220,PLAN_ETAPA!$C$4))</f>
        <v>0</v>
      </c>
      <c r="M1502" s="216">
        <f>IFERROR(VLOOKUP(A1502,PARTIDAS!$A$2:$F$269,6,FALSE()),1)</f>
        <v>3.25</v>
      </c>
      <c r="N1502" s="216">
        <f>IFERROR(VLOOKUP(A1502,PARTIDAS!$A$2:$I$269,9,FALSE()),1)</f>
        <v>1</v>
      </c>
      <c r="O1502" s="217">
        <f t="shared" si="46"/>
        <v>0</v>
      </c>
      <c r="P1502" s="216">
        <f>IF(O1502=0,0,IF(B1502="MAT",G1502*(1+H1502)*L1502*PLAN_ETAPA!$C$5,IF(B1502="MO",IF(M1502=0,0,G1502*L1502*PLAN_ETAPA!$C$5*N1502/M1502),IF(B1502="EQ",IF(M1502=0,0,G1502*L1502*PLAN_ETAPA!$C$5/M1502),0))))</f>
        <v>0</v>
      </c>
      <c r="Q1502" s="218">
        <f t="shared" si="47"/>
        <v>0</v>
      </c>
    </row>
    <row r="1503" spans="1:17" x14ac:dyDescent="0.35">
      <c r="A1503" s="212" t="str">
        <f>COMPOSICIÓN!A1503</f>
        <v>PTO-1806</v>
      </c>
      <c r="B1503" s="212" t="str">
        <f>COMPOSICIÓN!B1503</f>
        <v>MAT</v>
      </c>
      <c r="C1503" s="212" t="str">
        <f>COMPOSICIÓN!C1503</f>
        <v>OTR</v>
      </c>
      <c r="D1503" s="212" t="str">
        <f>COMPOSICIÓN!D1503</f>
        <v>ELE-014</v>
      </c>
      <c r="E1503" s="212" t="str">
        <f>COMPOSICIÓN!E1503</f>
        <v>Caja rectangular chica</v>
      </c>
      <c r="F1503" s="212" t="str">
        <f>COMPOSICIÓN!F1503</f>
        <v>u</v>
      </c>
      <c r="G1503" s="213">
        <f>COMPOSICIÓN!G1503</f>
        <v>0.5</v>
      </c>
      <c r="H1503" s="214">
        <f>COMPOSICIÓN!H1503</f>
        <v>0.05</v>
      </c>
      <c r="I1503" s="215">
        <f>COMPOSICIÓN!I1503</f>
        <v>202.42</v>
      </c>
      <c r="J1503" s="212" t="str">
        <f>IFERROR(VLOOKUP(A1503,PARTIDAS!$A$2:$C$269,3,FALSE()),"")</f>
        <v>INSTALACIÓN ELÉCTRICA</v>
      </c>
      <c r="K1503" s="212" t="str">
        <f>IFERROR(INDEX(PPTO_GENERADOR!$B$4:$B$220,MATCH(A1503,PPTO_GENERADOR!$Q$4:$Q$220,0)),"")</f>
        <v/>
      </c>
      <c r="L1503" s="216">
        <f>IF(PLAN_ETAPA!$C$4="(TODOS)",SUMIFS(PPTO_GENERADOR!$E$4:$E$220,PPTO_GENERADOR!$Q$4:$Q$220,A1503),SUMIFS(PPTO_GENERADOR!$E$4:$E$220,PPTO_GENERADOR!$Q$4:$Q$220,A1503,PPTO_GENERADOR!$B$4:$B$220,PLAN_ETAPA!$C$4))</f>
        <v>0</v>
      </c>
      <c r="M1503" s="216">
        <f>IFERROR(VLOOKUP(A1503,PARTIDAS!$A$2:$F$269,6,FALSE()),1)</f>
        <v>3.25</v>
      </c>
      <c r="N1503" s="216">
        <f>IFERROR(VLOOKUP(A1503,PARTIDAS!$A$2:$I$269,9,FALSE()),1)</f>
        <v>1</v>
      </c>
      <c r="O1503" s="217">
        <f t="shared" si="46"/>
        <v>0</v>
      </c>
      <c r="P1503" s="216">
        <f>IF(O1503=0,0,IF(B1503="MAT",G1503*(1+H1503)*L1503*PLAN_ETAPA!$C$5,IF(B1503="MO",IF(M1503=0,0,G1503*L1503*PLAN_ETAPA!$C$5*N1503/M1503),IF(B1503="EQ",IF(M1503=0,0,G1503*L1503*PLAN_ETAPA!$C$5/M1503),0))))</f>
        <v>0</v>
      </c>
      <c r="Q1503" s="218">
        <f t="shared" si="47"/>
        <v>0</v>
      </c>
    </row>
    <row r="1504" spans="1:17" x14ac:dyDescent="0.35">
      <c r="A1504" s="212" t="str">
        <f>COMPOSICIÓN!A1504</f>
        <v>PTO-1811</v>
      </c>
      <c r="B1504" s="212" t="str">
        <f>COMPOSICIÓN!B1504</f>
        <v>MO</v>
      </c>
      <c r="C1504" s="212" t="str">
        <f>COMPOSICIÓN!C1504</f>
        <v>OTR</v>
      </c>
      <c r="D1504" s="212" t="str">
        <f>COMPOSICIÓN!D1504</f>
        <v>SUB-CANAL</v>
      </c>
      <c r="E1504" s="212" t="str">
        <f>COMPOSICIÓN!E1504</f>
        <v>Canalización</v>
      </c>
      <c r="F1504" s="212" t="str">
        <f>COMPOSICIÓN!F1504</f>
        <v>j</v>
      </c>
      <c r="G1504" s="213">
        <f>COMPOSICIÓN!G1504</f>
        <v>5</v>
      </c>
      <c r="H1504" s="214">
        <f>COMPOSICIÓN!H1504</f>
        <v>0</v>
      </c>
      <c r="I1504" s="215">
        <f>COMPOSICIÓN!I1504</f>
        <v>24807.3</v>
      </c>
      <c r="J1504" s="212" t="str">
        <f>IFERROR(VLOOKUP(A1504,PARTIDAS!$A$2:$C$269,3,FALSE()),"")</f>
        <v>INSTALACIÓN ELÉCTRICA</v>
      </c>
      <c r="K1504" s="212" t="str">
        <f>IFERROR(INDEX(PPTO_GENERADOR!$B$4:$B$220,MATCH(A1504,PPTO_GENERADOR!$Q$4:$Q$220,0)),"")</f>
        <v>INSTALACIÓN ELÉCTRICA</v>
      </c>
      <c r="L1504" s="216">
        <f>IF(PLAN_ETAPA!$C$4="(TODOS)",SUMIFS(PPTO_GENERADOR!$E$4:$E$220,PPTO_GENERADOR!$Q$4:$Q$220,A1504),SUMIFS(PPTO_GENERADOR!$E$4:$E$220,PPTO_GENERADOR!$Q$4:$Q$220,A1504,PPTO_GENERADOR!$B$4:$B$220,PLAN_ETAPA!$C$4))</f>
        <v>0</v>
      </c>
      <c r="M1504" s="216">
        <f>IFERROR(VLOOKUP(A1504,PARTIDAS!$A$2:$F$269,6,FALSE()),1)</f>
        <v>5</v>
      </c>
      <c r="N1504" s="216">
        <f>IFERROR(VLOOKUP(A1504,PARTIDAS!$A$2:$I$269,9,FALSE()),1)</f>
        <v>1</v>
      </c>
      <c r="O1504" s="217">
        <f t="shared" si="46"/>
        <v>0</v>
      </c>
      <c r="P1504" s="216">
        <f>IF(O1504=0,0,IF(B1504="MAT",G1504*(1+H1504)*L1504*PLAN_ETAPA!$C$5,IF(B1504="MO",IF(M1504=0,0,G1504*L1504*PLAN_ETAPA!$C$5*N1504/M1504),IF(B1504="EQ",IF(M1504=0,0,G1504*L1504*PLAN_ETAPA!$C$5/M1504),0))))</f>
        <v>0</v>
      </c>
      <c r="Q1504" s="218">
        <f t="shared" si="47"/>
        <v>0</v>
      </c>
    </row>
    <row r="1505" spans="1:17" x14ac:dyDescent="0.35">
      <c r="A1505" s="212" t="str">
        <f>COMPOSICIÓN!A1505</f>
        <v>PTO-1812</v>
      </c>
      <c r="B1505" s="212" t="str">
        <f>COMPOSICIÓN!B1505</f>
        <v>MO</v>
      </c>
      <c r="C1505" s="212" t="str">
        <f>COMPOSICIÓN!C1505</f>
        <v>OTR</v>
      </c>
      <c r="D1505" s="212" t="str">
        <f>COMPOSICIÓN!D1505</f>
        <v>SUB-CANAL</v>
      </c>
      <c r="E1505" s="212" t="str">
        <f>COMPOSICIÓN!E1505</f>
        <v>Canalización</v>
      </c>
      <c r="F1505" s="212" t="str">
        <f>COMPOSICIÓN!F1505</f>
        <v>j</v>
      </c>
      <c r="G1505" s="213">
        <f>COMPOSICIÓN!G1505</f>
        <v>5</v>
      </c>
      <c r="H1505" s="214">
        <f>COMPOSICIÓN!H1505</f>
        <v>0</v>
      </c>
      <c r="I1505" s="215">
        <f>COMPOSICIÓN!I1505</f>
        <v>24807.3</v>
      </c>
      <c r="J1505" s="212" t="str">
        <f>IFERROR(VLOOKUP(A1505,PARTIDAS!$A$2:$C$269,3,FALSE()),"")</f>
        <v>INSTALACIÓN ELÉCTRICA</v>
      </c>
      <c r="K1505" s="212" t="str">
        <f>IFERROR(INDEX(PPTO_GENERADOR!$B$4:$B$220,MATCH(A1505,PPTO_GENERADOR!$Q$4:$Q$220,0)),"")</f>
        <v/>
      </c>
      <c r="L1505" s="216">
        <f>IF(PLAN_ETAPA!$C$4="(TODOS)",SUMIFS(PPTO_GENERADOR!$E$4:$E$220,PPTO_GENERADOR!$Q$4:$Q$220,A1505),SUMIFS(PPTO_GENERADOR!$E$4:$E$220,PPTO_GENERADOR!$Q$4:$Q$220,A1505,PPTO_GENERADOR!$B$4:$B$220,PLAN_ETAPA!$C$4))</f>
        <v>0</v>
      </c>
      <c r="M1505" s="216">
        <f>IFERROR(VLOOKUP(A1505,PARTIDAS!$A$2:$F$269,6,FALSE()),1)</f>
        <v>5</v>
      </c>
      <c r="N1505" s="216">
        <f>IFERROR(VLOOKUP(A1505,PARTIDAS!$A$2:$I$269,9,FALSE()),1)</f>
        <v>1</v>
      </c>
      <c r="O1505" s="217">
        <f t="shared" si="46"/>
        <v>0</v>
      </c>
      <c r="P1505" s="216">
        <f>IF(O1505=0,0,IF(B1505="MAT",G1505*(1+H1505)*L1505*PLAN_ETAPA!$C$5,IF(B1505="MO",IF(M1505=0,0,G1505*L1505*PLAN_ETAPA!$C$5*N1505/M1505),IF(B1505="EQ",IF(M1505=0,0,G1505*L1505*PLAN_ETAPA!$C$5/M1505),0))))</f>
        <v>0</v>
      </c>
      <c r="Q1505" s="218">
        <f t="shared" si="47"/>
        <v>0</v>
      </c>
    </row>
    <row r="1506" spans="1:17" x14ac:dyDescent="0.35">
      <c r="A1506" s="212" t="str">
        <f>COMPOSICIÓN!A1506</f>
        <v>PTO-1807</v>
      </c>
      <c r="B1506" s="212" t="str">
        <f>COMPOSICIÓN!B1506</f>
        <v>EQ</v>
      </c>
      <c r="C1506" s="212">
        <f>COMPOSICIÓN!C1506</f>
        <v>0</v>
      </c>
      <c r="D1506" s="212" t="str">
        <f>COMPOSICIÓN!D1506</f>
        <v>EQ-ANDAM0</v>
      </c>
      <c r="E1506" s="212" t="str">
        <f>COMPOSICIÓN!E1506</f>
        <v>ANDAMIO TUBULAR DE UNO A TRES CUERPOS</v>
      </c>
      <c r="F1506" s="212">
        <f>COMPOSICIÓN!F1506</f>
        <v>0</v>
      </c>
      <c r="G1506" s="213">
        <f>COMPOSICIÓN!G1506</f>
        <v>0.5</v>
      </c>
      <c r="H1506" s="214">
        <f>COMPOSICIÓN!H1506</f>
        <v>0</v>
      </c>
      <c r="I1506" s="215">
        <f>COMPOSICIÓN!I1506</f>
        <v>571.1794909807611</v>
      </c>
      <c r="J1506" s="212" t="str">
        <f>IFERROR(VLOOKUP(A1506,PARTIDAS!$A$2:$C$269,3,FALSE()),"")</f>
        <v>INSTALACIÓN ELÉCTRICA</v>
      </c>
      <c r="K1506" s="212" t="str">
        <f>IFERROR(INDEX(PPTO_GENERADOR!$B$4:$B$220,MATCH(A1506,PPTO_GENERADOR!$Q$4:$Q$220,0)),"")</f>
        <v>INSTALACIÓN ELÉCTRICA</v>
      </c>
      <c r="L1506" s="216">
        <f>IF(PLAN_ETAPA!$C$4="(TODOS)",SUMIFS(PPTO_GENERADOR!$E$4:$E$220,PPTO_GENERADOR!$Q$4:$Q$220,A1506),SUMIFS(PPTO_GENERADOR!$E$4:$E$220,PPTO_GENERADOR!$Q$4:$Q$220,A1506,PPTO_GENERADOR!$B$4:$B$220,PLAN_ETAPA!$C$4))</f>
        <v>0</v>
      </c>
      <c r="M1506" s="216">
        <f>IFERROR(VLOOKUP(A1506,PARTIDAS!$A$2:$F$269,6,FALSE()),1)</f>
        <v>3.25</v>
      </c>
      <c r="N1506" s="216">
        <f>IFERROR(VLOOKUP(A1506,PARTIDAS!$A$2:$I$269,9,FALSE()),1)</f>
        <v>1</v>
      </c>
      <c r="O1506" s="217">
        <f t="shared" si="46"/>
        <v>0</v>
      </c>
      <c r="P1506" s="216">
        <f>IF(O1506=0,0,IF(B1506="MAT",G1506*(1+H1506)*L1506*PLAN_ETAPA!$C$5,IF(B1506="MO",IF(M1506=0,0,G1506*L1506*PLAN_ETAPA!$C$5*N1506/M1506),IF(B1506="EQ",IF(M1506=0,0,G1506*L1506*PLAN_ETAPA!$C$5/M1506),0))))</f>
        <v>0</v>
      </c>
      <c r="Q1506" s="218">
        <f t="shared" si="47"/>
        <v>0</v>
      </c>
    </row>
    <row r="1507" spans="1:17" x14ac:dyDescent="0.35">
      <c r="A1507" s="212" t="str">
        <f>COMPOSICIÓN!A1507</f>
        <v>PTO-1807</v>
      </c>
      <c r="B1507" s="212" t="str">
        <f>COMPOSICIÓN!B1507</f>
        <v>EQ</v>
      </c>
      <c r="C1507" s="212">
        <f>COMPOSICIÓN!C1507</f>
        <v>0</v>
      </c>
      <c r="D1507" s="212" t="str">
        <f>COMPOSICIÓN!D1507</f>
        <v>EQ-EQUIP0</v>
      </c>
      <c r="E1507" s="212" t="str">
        <f>COMPOSICIÓN!E1507</f>
        <v>EQUIPO PARA INSTALACION ELECTRICA</v>
      </c>
      <c r="F1507" s="212">
        <f>COMPOSICIÓN!F1507</f>
        <v>0</v>
      </c>
      <c r="G1507" s="213">
        <f>COMPOSICIÓN!G1507</f>
        <v>1</v>
      </c>
      <c r="H1507" s="214">
        <f>COMPOSICIÓN!H1507</f>
        <v>0</v>
      </c>
      <c r="I1507" s="215">
        <f>COMPOSICIÓN!I1507</f>
        <v>5063.0947914732405</v>
      </c>
      <c r="J1507" s="212" t="str">
        <f>IFERROR(VLOOKUP(A1507,PARTIDAS!$A$2:$C$269,3,FALSE()),"")</f>
        <v>INSTALACIÓN ELÉCTRICA</v>
      </c>
      <c r="K1507" s="212" t="str">
        <f>IFERROR(INDEX(PPTO_GENERADOR!$B$4:$B$220,MATCH(A1507,PPTO_GENERADOR!$Q$4:$Q$220,0)),"")</f>
        <v>INSTALACIÓN ELÉCTRICA</v>
      </c>
      <c r="L1507" s="216">
        <f>IF(PLAN_ETAPA!$C$4="(TODOS)",SUMIFS(PPTO_GENERADOR!$E$4:$E$220,PPTO_GENERADOR!$Q$4:$Q$220,A1507),SUMIFS(PPTO_GENERADOR!$E$4:$E$220,PPTO_GENERADOR!$Q$4:$Q$220,A1507,PPTO_GENERADOR!$B$4:$B$220,PLAN_ETAPA!$C$4))</f>
        <v>0</v>
      </c>
      <c r="M1507" s="216">
        <f>IFERROR(VLOOKUP(A1507,PARTIDAS!$A$2:$F$269,6,FALSE()),1)</f>
        <v>3.25</v>
      </c>
      <c r="N1507" s="216">
        <f>IFERROR(VLOOKUP(A1507,PARTIDAS!$A$2:$I$269,9,FALSE()),1)</f>
        <v>1</v>
      </c>
      <c r="O1507" s="217">
        <f t="shared" si="46"/>
        <v>0</v>
      </c>
      <c r="P1507" s="216">
        <f>IF(O1507=0,0,IF(B1507="MAT",G1507*(1+H1507)*L1507*PLAN_ETAPA!$C$5,IF(B1507="MO",IF(M1507=0,0,G1507*L1507*PLAN_ETAPA!$C$5*N1507/M1507),IF(B1507="EQ",IF(M1507=0,0,G1507*L1507*PLAN_ETAPA!$C$5/M1507),0))))</f>
        <v>0</v>
      </c>
      <c r="Q1507" s="218">
        <f t="shared" si="47"/>
        <v>0</v>
      </c>
    </row>
    <row r="1508" spans="1:17" x14ac:dyDescent="0.35">
      <c r="A1508" s="212" t="str">
        <f>COMPOSICIÓN!A1508</f>
        <v>PTO-1807</v>
      </c>
      <c r="B1508" s="212" t="str">
        <f>COMPOSICIÓN!B1508</f>
        <v>EQ</v>
      </c>
      <c r="C1508" s="212">
        <f>COMPOSICIÓN!C1508</f>
        <v>0</v>
      </c>
      <c r="D1508" s="212" t="str">
        <f>COMPOSICIÓN!D1508</f>
        <v>EQ-ESCALE</v>
      </c>
      <c r="E1508" s="212" t="str">
        <f>COMPOSICIÓN!E1508</f>
        <v>ESCALERA GLOSS ALUMINIO ARTICULADA 4 X 4 ESCALONES HASTA 150KG</v>
      </c>
      <c r="F1508" s="212">
        <f>COMPOSICIÓN!F1508</f>
        <v>0</v>
      </c>
      <c r="G1508" s="213">
        <f>COMPOSICIÓN!G1508</f>
        <v>0.5</v>
      </c>
      <c r="H1508" s="214">
        <f>COMPOSICIÓN!H1508</f>
        <v>0</v>
      </c>
      <c r="I1508" s="215">
        <f>COMPOSICIÓN!I1508</f>
        <v>140.19809259430903</v>
      </c>
      <c r="J1508" s="212" t="str">
        <f>IFERROR(VLOOKUP(A1508,PARTIDAS!$A$2:$C$269,3,FALSE()),"")</f>
        <v>INSTALACIÓN ELÉCTRICA</v>
      </c>
      <c r="K1508" s="212" t="str">
        <f>IFERROR(INDEX(PPTO_GENERADOR!$B$4:$B$220,MATCH(A1508,PPTO_GENERADOR!$Q$4:$Q$220,0)),"")</f>
        <v>INSTALACIÓN ELÉCTRICA</v>
      </c>
      <c r="L1508" s="216">
        <f>IF(PLAN_ETAPA!$C$4="(TODOS)",SUMIFS(PPTO_GENERADOR!$E$4:$E$220,PPTO_GENERADOR!$Q$4:$Q$220,A1508),SUMIFS(PPTO_GENERADOR!$E$4:$E$220,PPTO_GENERADOR!$Q$4:$Q$220,A1508,PPTO_GENERADOR!$B$4:$B$220,PLAN_ETAPA!$C$4))</f>
        <v>0</v>
      </c>
      <c r="M1508" s="216">
        <f>IFERROR(VLOOKUP(A1508,PARTIDAS!$A$2:$F$269,6,FALSE()),1)</f>
        <v>3.25</v>
      </c>
      <c r="N1508" s="216">
        <f>IFERROR(VLOOKUP(A1508,PARTIDAS!$A$2:$I$269,9,FALSE()),1)</f>
        <v>1</v>
      </c>
      <c r="O1508" s="217">
        <f t="shared" si="46"/>
        <v>0</v>
      </c>
      <c r="P1508" s="216">
        <f>IF(O1508=0,0,IF(B1508="MAT",G1508*(1+H1508)*L1508*PLAN_ETAPA!$C$5,IF(B1508="MO",IF(M1508=0,0,G1508*L1508*PLAN_ETAPA!$C$5*N1508/M1508),IF(B1508="EQ",IF(M1508=0,0,G1508*L1508*PLAN_ETAPA!$C$5/M1508),0))))</f>
        <v>0</v>
      </c>
      <c r="Q1508" s="218">
        <f t="shared" si="47"/>
        <v>0</v>
      </c>
    </row>
    <row r="1509" spans="1:17" x14ac:dyDescent="0.35">
      <c r="A1509" s="212" t="str">
        <f>COMPOSICIÓN!A1509</f>
        <v>PTO-1807</v>
      </c>
      <c r="B1509" s="212" t="str">
        <f>COMPOSICIÓN!B1509</f>
        <v>MAT</v>
      </c>
      <c r="C1509" s="212" t="str">
        <f>COMPOSICIÓN!C1509</f>
        <v>OTR</v>
      </c>
      <c r="D1509" s="212" t="str">
        <f>COMPOSICIÓN!D1509</f>
        <v>MAT-CONS</v>
      </c>
      <c r="E1509" s="212" t="str">
        <f>COMPOSICIÓN!E1509</f>
        <v>Consumibles</v>
      </c>
      <c r="F1509" s="212" t="str">
        <f>COMPOSICIÓN!F1509</f>
        <v>gl</v>
      </c>
      <c r="G1509" s="213">
        <f>COMPOSICIÓN!G1509</f>
        <v>2569.4045348999998</v>
      </c>
      <c r="H1509" s="214">
        <f>COMPOSICIÓN!H1509</f>
        <v>0</v>
      </c>
      <c r="I1509" s="215">
        <f>COMPOSICIÓN!I1509</f>
        <v>1</v>
      </c>
      <c r="J1509" s="212" t="str">
        <f>IFERROR(VLOOKUP(A1509,PARTIDAS!$A$2:$C$269,3,FALSE()),"")</f>
        <v>INSTALACIÓN ELÉCTRICA</v>
      </c>
      <c r="K1509" s="212" t="str">
        <f>IFERROR(INDEX(PPTO_GENERADOR!$B$4:$B$220,MATCH(A1509,PPTO_GENERADOR!$Q$4:$Q$220,0)),"")</f>
        <v>INSTALACIÓN ELÉCTRICA</v>
      </c>
      <c r="L1509" s="216">
        <f>IF(PLAN_ETAPA!$C$4="(TODOS)",SUMIFS(PPTO_GENERADOR!$E$4:$E$220,PPTO_GENERADOR!$Q$4:$Q$220,A1509),SUMIFS(PPTO_GENERADOR!$E$4:$E$220,PPTO_GENERADOR!$Q$4:$Q$220,A1509,PPTO_GENERADOR!$B$4:$B$220,PLAN_ETAPA!$C$4))</f>
        <v>0</v>
      </c>
      <c r="M1509" s="216">
        <f>IFERROR(VLOOKUP(A1509,PARTIDAS!$A$2:$F$269,6,FALSE()),1)</f>
        <v>3.25</v>
      </c>
      <c r="N1509" s="216">
        <f>IFERROR(VLOOKUP(A1509,PARTIDAS!$A$2:$I$269,9,FALSE()),1)</f>
        <v>1</v>
      </c>
      <c r="O1509" s="217">
        <f t="shared" si="46"/>
        <v>0</v>
      </c>
      <c r="P1509" s="216">
        <f>IF(O1509=0,0,IF(B1509="MAT",G1509*(1+H1509)*L1509*PLAN_ETAPA!$C$5,IF(B1509="MO",IF(M1509=0,0,G1509*L1509*PLAN_ETAPA!$C$5*N1509/M1509),IF(B1509="EQ",IF(M1509=0,0,G1509*L1509*PLAN_ETAPA!$C$5/M1509),0))))</f>
        <v>0</v>
      </c>
      <c r="Q1509" s="218">
        <f t="shared" si="47"/>
        <v>0</v>
      </c>
    </row>
    <row r="1510" spans="1:17" x14ac:dyDescent="0.35">
      <c r="A1510" s="212" t="str">
        <f>COMPOSICIÓN!A1510</f>
        <v>PTO-1807</v>
      </c>
      <c r="B1510" s="212" t="str">
        <f>COMPOSICIÓN!B1510</f>
        <v>MAT</v>
      </c>
      <c r="C1510" s="212" t="str">
        <f>COMPOSICIÓN!C1510</f>
        <v>OTR</v>
      </c>
      <c r="D1510" s="212" t="str">
        <f>COMPOSICIÓN!D1510</f>
        <v>ACE-017</v>
      </c>
      <c r="E1510" s="212" t="str">
        <f>COMPOSICIÓN!E1510</f>
        <v>Conector hierro 3/4"</v>
      </c>
      <c r="F1510" s="212" t="str">
        <f>COMPOSICIÓN!F1510</f>
        <v>u</v>
      </c>
      <c r="G1510" s="213">
        <f>COMPOSICIÓN!G1510</f>
        <v>4</v>
      </c>
      <c r="H1510" s="214">
        <f>COMPOSICIÓN!H1510</f>
        <v>0.1</v>
      </c>
      <c r="I1510" s="215">
        <f>COMPOSICIÓN!I1510</f>
        <v>225.83199999999999</v>
      </c>
      <c r="J1510" s="212" t="str">
        <f>IFERROR(VLOOKUP(A1510,PARTIDAS!$A$2:$C$269,3,FALSE()),"")</f>
        <v>INSTALACIÓN ELÉCTRICA</v>
      </c>
      <c r="K1510" s="212" t="str">
        <f>IFERROR(INDEX(PPTO_GENERADOR!$B$4:$B$220,MATCH(A1510,PPTO_GENERADOR!$Q$4:$Q$220,0)),"")</f>
        <v>INSTALACIÓN ELÉCTRICA</v>
      </c>
      <c r="L1510" s="216">
        <f>IF(PLAN_ETAPA!$C$4="(TODOS)",SUMIFS(PPTO_GENERADOR!$E$4:$E$220,PPTO_GENERADOR!$Q$4:$Q$220,A1510),SUMIFS(PPTO_GENERADOR!$E$4:$E$220,PPTO_GENERADOR!$Q$4:$Q$220,A1510,PPTO_GENERADOR!$B$4:$B$220,PLAN_ETAPA!$C$4))</f>
        <v>0</v>
      </c>
      <c r="M1510" s="216">
        <f>IFERROR(VLOOKUP(A1510,PARTIDAS!$A$2:$F$269,6,FALSE()),1)</f>
        <v>3.25</v>
      </c>
      <c r="N1510" s="216">
        <f>IFERROR(VLOOKUP(A1510,PARTIDAS!$A$2:$I$269,9,FALSE()),1)</f>
        <v>1</v>
      </c>
      <c r="O1510" s="217">
        <f t="shared" si="46"/>
        <v>0</v>
      </c>
      <c r="P1510" s="216">
        <f>IF(O1510=0,0,IF(B1510="MAT",G1510*(1+H1510)*L1510*PLAN_ETAPA!$C$5,IF(B1510="MO",IF(M1510=0,0,G1510*L1510*PLAN_ETAPA!$C$5*N1510/M1510),IF(B1510="EQ",IF(M1510=0,0,G1510*L1510*PLAN_ETAPA!$C$5/M1510),0))))</f>
        <v>0</v>
      </c>
      <c r="Q1510" s="218">
        <f t="shared" si="47"/>
        <v>0</v>
      </c>
    </row>
    <row r="1511" spans="1:17" x14ac:dyDescent="0.35">
      <c r="A1511" s="212" t="str">
        <f>COMPOSICIÓN!A1511</f>
        <v>PTO-1807</v>
      </c>
      <c r="B1511" s="212" t="str">
        <f>COMPOSICIÓN!B1511</f>
        <v>MAT</v>
      </c>
      <c r="C1511" s="212" t="str">
        <f>COMPOSICIÓN!C1511</f>
        <v>OTR</v>
      </c>
      <c r="D1511" s="212" t="str">
        <f>COMPOSICIÓN!D1511</f>
        <v>ELE-004</v>
      </c>
      <c r="E1511" s="212" t="str">
        <f>COMPOSICIÓN!E1511</f>
        <v>Caño rigido 3/4"</v>
      </c>
      <c r="F1511" s="212" t="str">
        <f>COMPOSICIÓN!F1511</f>
        <v>ml</v>
      </c>
      <c r="G1511" s="213">
        <f>COMPOSICIÓN!G1511</f>
        <v>5</v>
      </c>
      <c r="H1511" s="214">
        <f>COMPOSICIÓN!H1511</f>
        <v>0.05</v>
      </c>
      <c r="I1511" s="215">
        <f>COMPOSICIÓN!I1511</f>
        <v>472.18</v>
      </c>
      <c r="J1511" s="212" t="str">
        <f>IFERROR(VLOOKUP(A1511,PARTIDAS!$A$2:$C$269,3,FALSE()),"")</f>
        <v>INSTALACIÓN ELÉCTRICA</v>
      </c>
      <c r="K1511" s="212" t="str">
        <f>IFERROR(INDEX(PPTO_GENERADOR!$B$4:$B$220,MATCH(A1511,PPTO_GENERADOR!$Q$4:$Q$220,0)),"")</f>
        <v>INSTALACIÓN ELÉCTRICA</v>
      </c>
      <c r="L1511" s="216">
        <f>IF(PLAN_ETAPA!$C$4="(TODOS)",SUMIFS(PPTO_GENERADOR!$E$4:$E$220,PPTO_GENERADOR!$Q$4:$Q$220,A1511),SUMIFS(PPTO_GENERADOR!$E$4:$E$220,PPTO_GENERADOR!$Q$4:$Q$220,A1511,PPTO_GENERADOR!$B$4:$B$220,PLAN_ETAPA!$C$4))</f>
        <v>0</v>
      </c>
      <c r="M1511" s="216">
        <f>IFERROR(VLOOKUP(A1511,PARTIDAS!$A$2:$F$269,6,FALSE()),1)</f>
        <v>3.25</v>
      </c>
      <c r="N1511" s="216">
        <f>IFERROR(VLOOKUP(A1511,PARTIDAS!$A$2:$I$269,9,FALSE()),1)</f>
        <v>1</v>
      </c>
      <c r="O1511" s="217">
        <f t="shared" si="46"/>
        <v>0</v>
      </c>
      <c r="P1511" s="216">
        <f>IF(O1511=0,0,IF(B1511="MAT",G1511*(1+H1511)*L1511*PLAN_ETAPA!$C$5,IF(B1511="MO",IF(M1511=0,0,G1511*L1511*PLAN_ETAPA!$C$5*N1511/M1511),IF(B1511="EQ",IF(M1511=0,0,G1511*L1511*PLAN_ETAPA!$C$5/M1511),0))))</f>
        <v>0</v>
      </c>
      <c r="Q1511" s="218">
        <f t="shared" si="47"/>
        <v>0</v>
      </c>
    </row>
    <row r="1512" spans="1:17" x14ac:dyDescent="0.35">
      <c r="A1512" s="212" t="str">
        <f>COMPOSICIÓN!A1512</f>
        <v>PTO-1807</v>
      </c>
      <c r="B1512" s="212" t="str">
        <f>COMPOSICIÓN!B1512</f>
        <v>MAT</v>
      </c>
      <c r="C1512" s="212" t="str">
        <f>COMPOSICIÓN!C1512</f>
        <v>OTR</v>
      </c>
      <c r="D1512" s="212" t="str">
        <f>COMPOSICIÓN!D1512</f>
        <v>ELE-005</v>
      </c>
      <c r="E1512" s="212" t="str">
        <f>COMPOSICIÓN!E1512</f>
        <v>Cupla PVC 3/4"</v>
      </c>
      <c r="F1512" s="212" t="str">
        <f>COMPOSICIÓN!F1512</f>
        <v>u</v>
      </c>
      <c r="G1512" s="213">
        <f>COMPOSICIÓN!G1512</f>
        <v>1.2</v>
      </c>
      <c r="H1512" s="214">
        <f>COMPOSICIÓN!H1512</f>
        <v>0.1</v>
      </c>
      <c r="I1512" s="215">
        <f>COMPOSICIÓN!I1512</f>
        <v>110.922</v>
      </c>
      <c r="J1512" s="212" t="str">
        <f>IFERROR(VLOOKUP(A1512,PARTIDAS!$A$2:$C$269,3,FALSE()),"")</f>
        <v>INSTALACIÓN ELÉCTRICA</v>
      </c>
      <c r="K1512" s="212" t="str">
        <f>IFERROR(INDEX(PPTO_GENERADOR!$B$4:$B$220,MATCH(A1512,PPTO_GENERADOR!$Q$4:$Q$220,0)),"")</f>
        <v>INSTALACIÓN ELÉCTRICA</v>
      </c>
      <c r="L1512" s="216">
        <f>IF(PLAN_ETAPA!$C$4="(TODOS)",SUMIFS(PPTO_GENERADOR!$E$4:$E$220,PPTO_GENERADOR!$Q$4:$Q$220,A1512),SUMIFS(PPTO_GENERADOR!$E$4:$E$220,PPTO_GENERADOR!$Q$4:$Q$220,A1512,PPTO_GENERADOR!$B$4:$B$220,PLAN_ETAPA!$C$4))</f>
        <v>0</v>
      </c>
      <c r="M1512" s="216">
        <f>IFERROR(VLOOKUP(A1512,PARTIDAS!$A$2:$F$269,6,FALSE()),1)</f>
        <v>3.25</v>
      </c>
      <c r="N1512" s="216">
        <f>IFERROR(VLOOKUP(A1512,PARTIDAS!$A$2:$I$269,9,FALSE()),1)</f>
        <v>1</v>
      </c>
      <c r="O1512" s="217">
        <f t="shared" si="46"/>
        <v>0</v>
      </c>
      <c r="P1512" s="216">
        <f>IF(O1512=0,0,IF(B1512="MAT",G1512*(1+H1512)*L1512*PLAN_ETAPA!$C$5,IF(B1512="MO",IF(M1512=0,0,G1512*L1512*PLAN_ETAPA!$C$5*N1512/M1512),IF(B1512="EQ",IF(M1512=0,0,G1512*L1512*PLAN_ETAPA!$C$5/M1512),0))))</f>
        <v>0</v>
      </c>
      <c r="Q1512" s="218">
        <f t="shared" si="47"/>
        <v>0</v>
      </c>
    </row>
    <row r="1513" spans="1:17" x14ac:dyDescent="0.35">
      <c r="A1513" s="212" t="str">
        <f>COMPOSICIÓN!A1513</f>
        <v>PTO-1807</v>
      </c>
      <c r="B1513" s="212" t="str">
        <f>COMPOSICIÓN!B1513</f>
        <v>MAT</v>
      </c>
      <c r="C1513" s="212" t="str">
        <f>COMPOSICIÓN!C1513</f>
        <v>OTR</v>
      </c>
      <c r="D1513" s="212" t="str">
        <f>COMPOSICIÓN!D1513</f>
        <v>ELE-009</v>
      </c>
      <c r="E1513" s="212" t="str">
        <f>COMPOSICIÓN!E1513</f>
        <v>Cable unipolar 1 x 2,50 VA</v>
      </c>
      <c r="F1513" s="212" t="str">
        <f>COMPOSICIÓN!F1513</f>
        <v>ml</v>
      </c>
      <c r="G1513" s="213">
        <f>COMPOSICIÓN!G1513</f>
        <v>5</v>
      </c>
      <c r="H1513" s="214">
        <f>COMPOSICIÓN!H1513</f>
        <v>0.1</v>
      </c>
      <c r="I1513" s="215">
        <f>COMPOSICIÓN!I1513</f>
        <v>509.31490000000002</v>
      </c>
      <c r="J1513" s="212" t="str">
        <f>IFERROR(VLOOKUP(A1513,PARTIDAS!$A$2:$C$269,3,FALSE()),"")</f>
        <v>INSTALACIÓN ELÉCTRICA</v>
      </c>
      <c r="K1513" s="212" t="str">
        <f>IFERROR(INDEX(PPTO_GENERADOR!$B$4:$B$220,MATCH(A1513,PPTO_GENERADOR!$Q$4:$Q$220,0)),"")</f>
        <v>INSTALACIÓN ELÉCTRICA</v>
      </c>
      <c r="L1513" s="216">
        <f>IF(PLAN_ETAPA!$C$4="(TODOS)",SUMIFS(PPTO_GENERADOR!$E$4:$E$220,PPTO_GENERADOR!$Q$4:$Q$220,A1513),SUMIFS(PPTO_GENERADOR!$E$4:$E$220,PPTO_GENERADOR!$Q$4:$Q$220,A1513,PPTO_GENERADOR!$B$4:$B$220,PLAN_ETAPA!$C$4))</f>
        <v>0</v>
      </c>
      <c r="M1513" s="216">
        <f>IFERROR(VLOOKUP(A1513,PARTIDAS!$A$2:$F$269,6,FALSE()),1)</f>
        <v>3.25</v>
      </c>
      <c r="N1513" s="216">
        <f>IFERROR(VLOOKUP(A1513,PARTIDAS!$A$2:$I$269,9,FALSE()),1)</f>
        <v>1</v>
      </c>
      <c r="O1513" s="217">
        <f t="shared" si="46"/>
        <v>0</v>
      </c>
      <c r="P1513" s="216">
        <f>IF(O1513=0,0,IF(B1513="MAT",G1513*(1+H1513)*L1513*PLAN_ETAPA!$C$5,IF(B1513="MO",IF(M1513=0,0,G1513*L1513*PLAN_ETAPA!$C$5*N1513/M1513),IF(B1513="EQ",IF(M1513=0,0,G1513*L1513*PLAN_ETAPA!$C$5/M1513),0))))</f>
        <v>0</v>
      </c>
      <c r="Q1513" s="218">
        <f t="shared" si="47"/>
        <v>0</v>
      </c>
    </row>
    <row r="1514" spans="1:17" x14ac:dyDescent="0.35">
      <c r="A1514" s="212" t="str">
        <f>COMPOSICIÓN!A1514</f>
        <v>PTO-1807</v>
      </c>
      <c r="B1514" s="212" t="str">
        <f>COMPOSICIÓN!B1514</f>
        <v>MAT</v>
      </c>
      <c r="C1514" s="212" t="str">
        <f>COMPOSICIÓN!C1514</f>
        <v>OTR</v>
      </c>
      <c r="D1514" s="212" t="str">
        <f>COMPOSICIÓN!D1514</f>
        <v>ELE-010</v>
      </c>
      <c r="E1514" s="212" t="str">
        <f>COMPOSICIÓN!E1514</f>
        <v>Cable unipolar 1 x 2,50 Rojo/Marron/Negro</v>
      </c>
      <c r="F1514" s="212" t="str">
        <f>COMPOSICIÓN!F1514</f>
        <v>ml</v>
      </c>
      <c r="G1514" s="213">
        <f>COMPOSICIÓN!G1514</f>
        <v>10</v>
      </c>
      <c r="H1514" s="214">
        <f>COMPOSICIÓN!H1514</f>
        <v>0.1</v>
      </c>
      <c r="I1514" s="215">
        <f>COMPOSICIÓN!I1514</f>
        <v>509.31490000000002</v>
      </c>
      <c r="J1514" s="212" t="str">
        <f>IFERROR(VLOOKUP(A1514,PARTIDAS!$A$2:$C$269,3,FALSE()),"")</f>
        <v>INSTALACIÓN ELÉCTRICA</v>
      </c>
      <c r="K1514" s="212" t="str">
        <f>IFERROR(INDEX(PPTO_GENERADOR!$B$4:$B$220,MATCH(A1514,PPTO_GENERADOR!$Q$4:$Q$220,0)),"")</f>
        <v>INSTALACIÓN ELÉCTRICA</v>
      </c>
      <c r="L1514" s="216">
        <f>IF(PLAN_ETAPA!$C$4="(TODOS)",SUMIFS(PPTO_GENERADOR!$E$4:$E$220,PPTO_GENERADOR!$Q$4:$Q$220,A1514),SUMIFS(PPTO_GENERADOR!$E$4:$E$220,PPTO_GENERADOR!$Q$4:$Q$220,A1514,PPTO_GENERADOR!$B$4:$B$220,PLAN_ETAPA!$C$4))</f>
        <v>0</v>
      </c>
      <c r="M1514" s="216">
        <f>IFERROR(VLOOKUP(A1514,PARTIDAS!$A$2:$F$269,6,FALSE()),1)</f>
        <v>3.25</v>
      </c>
      <c r="N1514" s="216">
        <f>IFERROR(VLOOKUP(A1514,PARTIDAS!$A$2:$I$269,9,FALSE()),1)</f>
        <v>1</v>
      </c>
      <c r="O1514" s="217">
        <f t="shared" si="46"/>
        <v>0</v>
      </c>
      <c r="P1514" s="216">
        <f>IF(O1514=0,0,IF(B1514="MAT",G1514*(1+H1514)*L1514*PLAN_ETAPA!$C$5,IF(B1514="MO",IF(M1514=0,0,G1514*L1514*PLAN_ETAPA!$C$5*N1514/M1514),IF(B1514="EQ",IF(M1514=0,0,G1514*L1514*PLAN_ETAPA!$C$5/M1514),0))))</f>
        <v>0</v>
      </c>
      <c r="Q1514" s="218">
        <f t="shared" si="47"/>
        <v>0</v>
      </c>
    </row>
    <row r="1515" spans="1:17" x14ac:dyDescent="0.35">
      <c r="A1515" s="212" t="str">
        <f>COMPOSICIÓN!A1515</f>
        <v>PTO-1807</v>
      </c>
      <c r="B1515" s="212" t="str">
        <f>COMPOSICIÓN!B1515</f>
        <v>MAT</v>
      </c>
      <c r="C1515" s="212" t="str">
        <f>COMPOSICIÓN!C1515</f>
        <v>OTR</v>
      </c>
      <c r="D1515" s="212" t="str">
        <f>COMPOSICIÓN!D1515</f>
        <v>ELE-014</v>
      </c>
      <c r="E1515" s="212" t="str">
        <f>COMPOSICIÓN!E1515</f>
        <v>Caja rectangular chica</v>
      </c>
      <c r="F1515" s="212" t="str">
        <f>COMPOSICIÓN!F1515</f>
        <v>u</v>
      </c>
      <c r="G1515" s="213">
        <f>COMPOSICIÓN!G1515</f>
        <v>1</v>
      </c>
      <c r="H1515" s="214">
        <f>COMPOSICIÓN!H1515</f>
        <v>0.05</v>
      </c>
      <c r="I1515" s="215">
        <f>COMPOSICIÓN!I1515</f>
        <v>202.42</v>
      </c>
      <c r="J1515" s="212" t="str">
        <f>IFERROR(VLOOKUP(A1515,PARTIDAS!$A$2:$C$269,3,FALSE()),"")</f>
        <v>INSTALACIÓN ELÉCTRICA</v>
      </c>
      <c r="K1515" s="212" t="str">
        <f>IFERROR(INDEX(PPTO_GENERADOR!$B$4:$B$220,MATCH(A1515,PPTO_GENERADOR!$Q$4:$Q$220,0)),"")</f>
        <v>INSTALACIÓN ELÉCTRICA</v>
      </c>
      <c r="L1515" s="216">
        <f>IF(PLAN_ETAPA!$C$4="(TODOS)",SUMIFS(PPTO_GENERADOR!$E$4:$E$220,PPTO_GENERADOR!$Q$4:$Q$220,A1515),SUMIFS(PPTO_GENERADOR!$E$4:$E$220,PPTO_GENERADOR!$Q$4:$Q$220,A1515,PPTO_GENERADOR!$B$4:$B$220,PLAN_ETAPA!$C$4))</f>
        <v>0</v>
      </c>
      <c r="M1515" s="216">
        <f>IFERROR(VLOOKUP(A1515,PARTIDAS!$A$2:$F$269,6,FALSE()),1)</f>
        <v>3.25</v>
      </c>
      <c r="N1515" s="216">
        <f>IFERROR(VLOOKUP(A1515,PARTIDAS!$A$2:$I$269,9,FALSE()),1)</f>
        <v>1</v>
      </c>
      <c r="O1515" s="217">
        <f t="shared" si="46"/>
        <v>0</v>
      </c>
      <c r="P1515" s="216">
        <f>IF(O1515=0,0,IF(B1515="MAT",G1515*(1+H1515)*L1515*PLAN_ETAPA!$C$5,IF(B1515="MO",IF(M1515=0,0,G1515*L1515*PLAN_ETAPA!$C$5*N1515/M1515),IF(B1515="EQ",IF(M1515=0,0,G1515*L1515*PLAN_ETAPA!$C$5/M1515),0))))</f>
        <v>0</v>
      </c>
      <c r="Q1515" s="218">
        <f t="shared" si="47"/>
        <v>0</v>
      </c>
    </row>
    <row r="1516" spans="1:17" x14ac:dyDescent="0.35">
      <c r="A1516" s="212" t="str">
        <f>COMPOSICIÓN!A1516</f>
        <v>PTO-1813</v>
      </c>
      <c r="B1516" s="212" t="str">
        <f>COMPOSICIÓN!B1516</f>
        <v>MO</v>
      </c>
      <c r="C1516" s="212" t="str">
        <f>COMPOSICIÓN!C1516</f>
        <v>OTR</v>
      </c>
      <c r="D1516" s="212" t="str">
        <f>COMPOSICIÓN!D1516</f>
        <v>SUB-CANAL</v>
      </c>
      <c r="E1516" s="212" t="str">
        <f>COMPOSICIÓN!E1516</f>
        <v>Canalización</v>
      </c>
      <c r="F1516" s="212" t="str">
        <f>COMPOSICIÓN!F1516</f>
        <v>j</v>
      </c>
      <c r="G1516" s="213">
        <f>COMPOSICIÓN!G1516</f>
        <v>5</v>
      </c>
      <c r="H1516" s="214">
        <f>COMPOSICIÓN!H1516</f>
        <v>0</v>
      </c>
      <c r="I1516" s="215">
        <f>COMPOSICIÓN!I1516</f>
        <v>24807.3</v>
      </c>
      <c r="J1516" s="212" t="str">
        <f>IFERROR(VLOOKUP(A1516,PARTIDAS!$A$2:$C$269,3,FALSE()),"")</f>
        <v>INSTALACIÓN ELÉCTRICA</v>
      </c>
      <c r="K1516" s="212" t="str">
        <f>IFERROR(INDEX(PPTO_GENERADOR!$B$4:$B$220,MATCH(A1516,PPTO_GENERADOR!$Q$4:$Q$220,0)),"")</f>
        <v/>
      </c>
      <c r="L1516" s="216">
        <f>IF(PLAN_ETAPA!$C$4="(TODOS)",SUMIFS(PPTO_GENERADOR!$E$4:$E$220,PPTO_GENERADOR!$Q$4:$Q$220,A1516),SUMIFS(PPTO_GENERADOR!$E$4:$E$220,PPTO_GENERADOR!$Q$4:$Q$220,A1516,PPTO_GENERADOR!$B$4:$B$220,PLAN_ETAPA!$C$4))</f>
        <v>0</v>
      </c>
      <c r="M1516" s="216">
        <f>IFERROR(VLOOKUP(A1516,PARTIDAS!$A$2:$F$269,6,FALSE()),1)</f>
        <v>5</v>
      </c>
      <c r="N1516" s="216">
        <f>IFERROR(VLOOKUP(A1516,PARTIDAS!$A$2:$I$269,9,FALSE()),1)</f>
        <v>1</v>
      </c>
      <c r="O1516" s="217">
        <f t="shared" si="46"/>
        <v>0</v>
      </c>
      <c r="P1516" s="216">
        <f>IF(O1516=0,0,IF(B1516="MAT",G1516*(1+H1516)*L1516*PLAN_ETAPA!$C$5,IF(B1516="MO",IF(M1516=0,0,G1516*L1516*PLAN_ETAPA!$C$5*N1516/M1516),IF(B1516="EQ",IF(M1516=0,0,G1516*L1516*PLAN_ETAPA!$C$5/M1516),0))))</f>
        <v>0</v>
      </c>
      <c r="Q1516" s="218">
        <f t="shared" si="47"/>
        <v>0</v>
      </c>
    </row>
    <row r="1517" spans="1:17" x14ac:dyDescent="0.35">
      <c r="A1517" s="212" t="str">
        <f>COMPOSICIÓN!A1517</f>
        <v>PTO-1814</v>
      </c>
      <c r="B1517" s="212" t="str">
        <f>COMPOSICIÓN!B1517</f>
        <v>MO</v>
      </c>
      <c r="C1517" s="212" t="str">
        <f>COMPOSICIÓN!C1517</f>
        <v>OTR</v>
      </c>
      <c r="D1517" s="212" t="str">
        <f>COMPOSICIÓN!D1517</f>
        <v>SUB-CANAL</v>
      </c>
      <c r="E1517" s="212" t="str">
        <f>COMPOSICIÓN!E1517</f>
        <v>Canalización</v>
      </c>
      <c r="F1517" s="212" t="str">
        <f>COMPOSICIÓN!F1517</f>
        <v>j</v>
      </c>
      <c r="G1517" s="213">
        <f>COMPOSICIÓN!G1517</f>
        <v>5</v>
      </c>
      <c r="H1517" s="214">
        <f>COMPOSICIÓN!H1517</f>
        <v>0</v>
      </c>
      <c r="I1517" s="215">
        <f>COMPOSICIÓN!I1517</f>
        <v>24807.3</v>
      </c>
      <c r="J1517" s="212" t="str">
        <f>IFERROR(VLOOKUP(A1517,PARTIDAS!$A$2:$C$269,3,FALSE()),"")</f>
        <v>INSTALACIÓN ELÉCTRICA</v>
      </c>
      <c r="K1517" s="212" t="str">
        <f>IFERROR(INDEX(PPTO_GENERADOR!$B$4:$B$220,MATCH(A1517,PPTO_GENERADOR!$Q$4:$Q$220,0)),"")</f>
        <v/>
      </c>
      <c r="L1517" s="216">
        <f>IF(PLAN_ETAPA!$C$4="(TODOS)",SUMIFS(PPTO_GENERADOR!$E$4:$E$220,PPTO_GENERADOR!$Q$4:$Q$220,A1517),SUMIFS(PPTO_GENERADOR!$E$4:$E$220,PPTO_GENERADOR!$Q$4:$Q$220,A1517,PPTO_GENERADOR!$B$4:$B$220,PLAN_ETAPA!$C$4))</f>
        <v>0</v>
      </c>
      <c r="M1517" s="216">
        <f>IFERROR(VLOOKUP(A1517,PARTIDAS!$A$2:$F$269,6,FALSE()),1)</f>
        <v>5</v>
      </c>
      <c r="N1517" s="216">
        <f>IFERROR(VLOOKUP(A1517,PARTIDAS!$A$2:$I$269,9,FALSE()),1)</f>
        <v>1</v>
      </c>
      <c r="O1517" s="217">
        <f t="shared" si="46"/>
        <v>0</v>
      </c>
      <c r="P1517" s="216">
        <f>IF(O1517=0,0,IF(B1517="MAT",G1517*(1+H1517)*L1517*PLAN_ETAPA!$C$5,IF(B1517="MO",IF(M1517=0,0,G1517*L1517*PLAN_ETAPA!$C$5*N1517/M1517),IF(B1517="EQ",IF(M1517=0,0,G1517*L1517*PLAN_ETAPA!$C$5/M1517),0))))</f>
        <v>0</v>
      </c>
      <c r="Q1517" s="218">
        <f t="shared" si="47"/>
        <v>0</v>
      </c>
    </row>
    <row r="1518" spans="1:17" x14ac:dyDescent="0.35">
      <c r="A1518" s="212" t="str">
        <f>COMPOSICIÓN!A1518</f>
        <v>PTO-1808</v>
      </c>
      <c r="B1518" s="212" t="str">
        <f>COMPOSICIÓN!B1518</f>
        <v>EQ</v>
      </c>
      <c r="C1518" s="212">
        <f>COMPOSICIÓN!C1518</f>
        <v>0</v>
      </c>
      <c r="D1518" s="212" t="str">
        <f>COMPOSICIÓN!D1518</f>
        <v>EQ-ANDAM0</v>
      </c>
      <c r="E1518" s="212" t="str">
        <f>COMPOSICIÓN!E1518</f>
        <v>ANDAMIO TUBULAR DE UNO A TRES CUERPOS</v>
      </c>
      <c r="F1518" s="212">
        <f>COMPOSICIÓN!F1518</f>
        <v>0</v>
      </c>
      <c r="G1518" s="213">
        <f>COMPOSICIÓN!G1518</f>
        <v>0.5</v>
      </c>
      <c r="H1518" s="214">
        <f>COMPOSICIÓN!H1518</f>
        <v>0</v>
      </c>
      <c r="I1518" s="215">
        <f>COMPOSICIÓN!I1518</f>
        <v>571.1794909807611</v>
      </c>
      <c r="J1518" s="212" t="str">
        <f>IFERROR(VLOOKUP(A1518,PARTIDAS!$A$2:$C$269,3,FALSE()),"")</f>
        <v>INSTALACIÓN ELÉCTRICA</v>
      </c>
      <c r="K1518" s="212" t="str">
        <f>IFERROR(INDEX(PPTO_GENERADOR!$B$4:$B$220,MATCH(A1518,PPTO_GENERADOR!$Q$4:$Q$220,0)),"")</f>
        <v>INSTALACIÓN ELÉCTRICA</v>
      </c>
      <c r="L1518" s="216">
        <f>IF(PLAN_ETAPA!$C$4="(TODOS)",SUMIFS(PPTO_GENERADOR!$E$4:$E$220,PPTO_GENERADOR!$Q$4:$Q$220,A1518),SUMIFS(PPTO_GENERADOR!$E$4:$E$220,PPTO_GENERADOR!$Q$4:$Q$220,A1518,PPTO_GENERADOR!$B$4:$B$220,PLAN_ETAPA!$C$4))</f>
        <v>0</v>
      </c>
      <c r="M1518" s="216">
        <f>IFERROR(VLOOKUP(A1518,PARTIDAS!$A$2:$F$269,6,FALSE()),1)</f>
        <v>3.25</v>
      </c>
      <c r="N1518" s="216">
        <f>IFERROR(VLOOKUP(A1518,PARTIDAS!$A$2:$I$269,9,FALSE()),1)</f>
        <v>1</v>
      </c>
      <c r="O1518" s="217">
        <f t="shared" si="46"/>
        <v>0</v>
      </c>
      <c r="P1518" s="216">
        <f>IF(O1518=0,0,IF(B1518="MAT",G1518*(1+H1518)*L1518*PLAN_ETAPA!$C$5,IF(B1518="MO",IF(M1518=0,0,G1518*L1518*PLAN_ETAPA!$C$5*N1518/M1518),IF(B1518="EQ",IF(M1518=0,0,G1518*L1518*PLAN_ETAPA!$C$5/M1518),0))))</f>
        <v>0</v>
      </c>
      <c r="Q1518" s="218">
        <f t="shared" si="47"/>
        <v>0</v>
      </c>
    </row>
    <row r="1519" spans="1:17" x14ac:dyDescent="0.35">
      <c r="A1519" s="212" t="str">
        <f>COMPOSICIÓN!A1519</f>
        <v>PTO-1808</v>
      </c>
      <c r="B1519" s="212" t="str">
        <f>COMPOSICIÓN!B1519</f>
        <v>EQ</v>
      </c>
      <c r="C1519" s="212">
        <f>COMPOSICIÓN!C1519</f>
        <v>0</v>
      </c>
      <c r="D1519" s="212" t="str">
        <f>COMPOSICIÓN!D1519</f>
        <v>EQ-EQUIP0</v>
      </c>
      <c r="E1519" s="212" t="str">
        <f>COMPOSICIÓN!E1519</f>
        <v>EQUIPO PARA INSTALACION ELECTRICA</v>
      </c>
      <c r="F1519" s="212">
        <f>COMPOSICIÓN!F1519</f>
        <v>0</v>
      </c>
      <c r="G1519" s="213">
        <f>COMPOSICIÓN!G1519</f>
        <v>1</v>
      </c>
      <c r="H1519" s="214">
        <f>COMPOSICIÓN!H1519</f>
        <v>0</v>
      </c>
      <c r="I1519" s="215">
        <f>COMPOSICIÓN!I1519</f>
        <v>5063.0947914732405</v>
      </c>
      <c r="J1519" s="212" t="str">
        <f>IFERROR(VLOOKUP(A1519,PARTIDAS!$A$2:$C$269,3,FALSE()),"")</f>
        <v>INSTALACIÓN ELÉCTRICA</v>
      </c>
      <c r="K1519" s="212" t="str">
        <f>IFERROR(INDEX(PPTO_GENERADOR!$B$4:$B$220,MATCH(A1519,PPTO_GENERADOR!$Q$4:$Q$220,0)),"")</f>
        <v>INSTALACIÓN ELÉCTRICA</v>
      </c>
      <c r="L1519" s="216">
        <f>IF(PLAN_ETAPA!$C$4="(TODOS)",SUMIFS(PPTO_GENERADOR!$E$4:$E$220,PPTO_GENERADOR!$Q$4:$Q$220,A1519),SUMIFS(PPTO_GENERADOR!$E$4:$E$220,PPTO_GENERADOR!$Q$4:$Q$220,A1519,PPTO_GENERADOR!$B$4:$B$220,PLAN_ETAPA!$C$4))</f>
        <v>0</v>
      </c>
      <c r="M1519" s="216">
        <f>IFERROR(VLOOKUP(A1519,PARTIDAS!$A$2:$F$269,6,FALSE()),1)</f>
        <v>3.25</v>
      </c>
      <c r="N1519" s="216">
        <f>IFERROR(VLOOKUP(A1519,PARTIDAS!$A$2:$I$269,9,FALSE()),1)</f>
        <v>1</v>
      </c>
      <c r="O1519" s="217">
        <f t="shared" si="46"/>
        <v>0</v>
      </c>
      <c r="P1519" s="216">
        <f>IF(O1519=0,0,IF(B1519="MAT",G1519*(1+H1519)*L1519*PLAN_ETAPA!$C$5,IF(B1519="MO",IF(M1519=0,0,G1519*L1519*PLAN_ETAPA!$C$5*N1519/M1519),IF(B1519="EQ",IF(M1519=0,0,G1519*L1519*PLAN_ETAPA!$C$5/M1519),0))))</f>
        <v>0</v>
      </c>
      <c r="Q1519" s="218">
        <f t="shared" si="47"/>
        <v>0</v>
      </c>
    </row>
    <row r="1520" spans="1:17" x14ac:dyDescent="0.35">
      <c r="A1520" s="212" t="str">
        <f>COMPOSICIÓN!A1520</f>
        <v>PTO-1808</v>
      </c>
      <c r="B1520" s="212" t="str">
        <f>COMPOSICIÓN!B1520</f>
        <v>EQ</v>
      </c>
      <c r="C1520" s="212">
        <f>COMPOSICIÓN!C1520</f>
        <v>0</v>
      </c>
      <c r="D1520" s="212" t="str">
        <f>COMPOSICIÓN!D1520</f>
        <v>EQ-ESCALE</v>
      </c>
      <c r="E1520" s="212" t="str">
        <f>COMPOSICIÓN!E1520</f>
        <v>ESCALERA GLOSS ALUMINIO ARTICULADA 4 X 4 ESCALONES HASTA 150KG</v>
      </c>
      <c r="F1520" s="212">
        <f>COMPOSICIÓN!F1520</f>
        <v>0</v>
      </c>
      <c r="G1520" s="213">
        <f>COMPOSICIÓN!G1520</f>
        <v>0.5</v>
      </c>
      <c r="H1520" s="214">
        <f>COMPOSICIÓN!H1520</f>
        <v>0</v>
      </c>
      <c r="I1520" s="215">
        <f>COMPOSICIÓN!I1520</f>
        <v>140.19809259430903</v>
      </c>
      <c r="J1520" s="212" t="str">
        <f>IFERROR(VLOOKUP(A1520,PARTIDAS!$A$2:$C$269,3,FALSE()),"")</f>
        <v>INSTALACIÓN ELÉCTRICA</v>
      </c>
      <c r="K1520" s="212" t="str">
        <f>IFERROR(INDEX(PPTO_GENERADOR!$B$4:$B$220,MATCH(A1520,PPTO_GENERADOR!$Q$4:$Q$220,0)),"")</f>
        <v>INSTALACIÓN ELÉCTRICA</v>
      </c>
      <c r="L1520" s="216">
        <f>IF(PLAN_ETAPA!$C$4="(TODOS)",SUMIFS(PPTO_GENERADOR!$E$4:$E$220,PPTO_GENERADOR!$Q$4:$Q$220,A1520),SUMIFS(PPTO_GENERADOR!$E$4:$E$220,PPTO_GENERADOR!$Q$4:$Q$220,A1520,PPTO_GENERADOR!$B$4:$B$220,PLAN_ETAPA!$C$4))</f>
        <v>0</v>
      </c>
      <c r="M1520" s="216">
        <f>IFERROR(VLOOKUP(A1520,PARTIDAS!$A$2:$F$269,6,FALSE()),1)</f>
        <v>3.25</v>
      </c>
      <c r="N1520" s="216">
        <f>IFERROR(VLOOKUP(A1520,PARTIDAS!$A$2:$I$269,9,FALSE()),1)</f>
        <v>1</v>
      </c>
      <c r="O1520" s="217">
        <f t="shared" si="46"/>
        <v>0</v>
      </c>
      <c r="P1520" s="216">
        <f>IF(O1520=0,0,IF(B1520="MAT",G1520*(1+H1520)*L1520*PLAN_ETAPA!$C$5,IF(B1520="MO",IF(M1520=0,0,G1520*L1520*PLAN_ETAPA!$C$5*N1520/M1520),IF(B1520="EQ",IF(M1520=0,0,G1520*L1520*PLAN_ETAPA!$C$5/M1520),0))))</f>
        <v>0</v>
      </c>
      <c r="Q1520" s="218">
        <f t="shared" si="47"/>
        <v>0</v>
      </c>
    </row>
    <row r="1521" spans="1:17" x14ac:dyDescent="0.35">
      <c r="A1521" s="212" t="str">
        <f>COMPOSICIÓN!A1521</f>
        <v>PTO-1808</v>
      </c>
      <c r="B1521" s="212" t="str">
        <f>COMPOSICIÓN!B1521</f>
        <v>MAT</v>
      </c>
      <c r="C1521" s="212" t="str">
        <f>COMPOSICIÓN!C1521</f>
        <v>OTR</v>
      </c>
      <c r="D1521" s="212" t="str">
        <f>COMPOSICIÓN!D1521</f>
        <v>MAT-CONS</v>
      </c>
      <c r="E1521" s="212" t="str">
        <f>COMPOSICIÓN!E1521</f>
        <v>Consumibles</v>
      </c>
      <c r="F1521" s="212" t="str">
        <f>COMPOSICIÓN!F1521</f>
        <v>gl</v>
      </c>
      <c r="G1521" s="213">
        <f>COMPOSICIÓN!G1521</f>
        <v>5975.3668799999996</v>
      </c>
      <c r="H1521" s="214">
        <f>COMPOSICIÓN!H1521</f>
        <v>0</v>
      </c>
      <c r="I1521" s="215">
        <f>COMPOSICIÓN!I1521</f>
        <v>1</v>
      </c>
      <c r="J1521" s="212" t="str">
        <f>IFERROR(VLOOKUP(A1521,PARTIDAS!$A$2:$C$269,3,FALSE()),"")</f>
        <v>INSTALACIÓN ELÉCTRICA</v>
      </c>
      <c r="K1521" s="212" t="str">
        <f>IFERROR(INDEX(PPTO_GENERADOR!$B$4:$B$220,MATCH(A1521,PPTO_GENERADOR!$Q$4:$Q$220,0)),"")</f>
        <v>INSTALACIÓN ELÉCTRICA</v>
      </c>
      <c r="L1521" s="216">
        <f>IF(PLAN_ETAPA!$C$4="(TODOS)",SUMIFS(PPTO_GENERADOR!$E$4:$E$220,PPTO_GENERADOR!$Q$4:$Q$220,A1521),SUMIFS(PPTO_GENERADOR!$E$4:$E$220,PPTO_GENERADOR!$Q$4:$Q$220,A1521,PPTO_GENERADOR!$B$4:$B$220,PLAN_ETAPA!$C$4))</f>
        <v>0</v>
      </c>
      <c r="M1521" s="216">
        <f>IFERROR(VLOOKUP(A1521,PARTIDAS!$A$2:$F$269,6,FALSE()),1)</f>
        <v>3.25</v>
      </c>
      <c r="N1521" s="216">
        <f>IFERROR(VLOOKUP(A1521,PARTIDAS!$A$2:$I$269,9,FALSE()),1)</f>
        <v>1</v>
      </c>
      <c r="O1521" s="217">
        <f t="shared" si="46"/>
        <v>0</v>
      </c>
      <c r="P1521" s="216">
        <f>IF(O1521=0,0,IF(B1521="MAT",G1521*(1+H1521)*L1521*PLAN_ETAPA!$C$5,IF(B1521="MO",IF(M1521=0,0,G1521*L1521*PLAN_ETAPA!$C$5*N1521/M1521),IF(B1521="EQ",IF(M1521=0,0,G1521*L1521*PLAN_ETAPA!$C$5/M1521),0))))</f>
        <v>0</v>
      </c>
      <c r="Q1521" s="218">
        <f t="shared" si="47"/>
        <v>0</v>
      </c>
    </row>
    <row r="1522" spans="1:17" x14ac:dyDescent="0.35">
      <c r="A1522" s="212" t="str">
        <f>COMPOSICIÓN!A1522</f>
        <v>PTO-1808</v>
      </c>
      <c r="B1522" s="212" t="str">
        <f>COMPOSICIÓN!B1522</f>
        <v>MAT</v>
      </c>
      <c r="C1522" s="212" t="str">
        <f>COMPOSICIÓN!C1522</f>
        <v>OTR</v>
      </c>
      <c r="D1522" s="212" t="str">
        <f>COMPOSICIÓN!D1522</f>
        <v>ACE-019</v>
      </c>
      <c r="E1522" s="212" t="str">
        <f>COMPOSICIÓN!E1522</f>
        <v>Conector hierro 1"</v>
      </c>
      <c r="F1522" s="212" t="str">
        <f>COMPOSICIÓN!F1522</f>
        <v>u</v>
      </c>
      <c r="G1522" s="213">
        <f>COMPOSICIÓN!G1522</f>
        <v>3</v>
      </c>
      <c r="H1522" s="214">
        <f>COMPOSICIÓN!H1522</f>
        <v>0.1</v>
      </c>
      <c r="I1522" s="215">
        <f>COMPOSICIÓN!I1522</f>
        <v>351.14</v>
      </c>
      <c r="J1522" s="212" t="str">
        <f>IFERROR(VLOOKUP(A1522,PARTIDAS!$A$2:$C$269,3,FALSE()),"")</f>
        <v>INSTALACIÓN ELÉCTRICA</v>
      </c>
      <c r="K1522" s="212" t="str">
        <f>IFERROR(INDEX(PPTO_GENERADOR!$B$4:$B$220,MATCH(A1522,PPTO_GENERADOR!$Q$4:$Q$220,0)),"")</f>
        <v>INSTALACIÓN ELÉCTRICA</v>
      </c>
      <c r="L1522" s="216">
        <f>IF(PLAN_ETAPA!$C$4="(TODOS)",SUMIFS(PPTO_GENERADOR!$E$4:$E$220,PPTO_GENERADOR!$Q$4:$Q$220,A1522),SUMIFS(PPTO_GENERADOR!$E$4:$E$220,PPTO_GENERADOR!$Q$4:$Q$220,A1522,PPTO_GENERADOR!$B$4:$B$220,PLAN_ETAPA!$C$4))</f>
        <v>0</v>
      </c>
      <c r="M1522" s="216">
        <f>IFERROR(VLOOKUP(A1522,PARTIDAS!$A$2:$F$269,6,FALSE()),1)</f>
        <v>3.25</v>
      </c>
      <c r="N1522" s="216">
        <f>IFERROR(VLOOKUP(A1522,PARTIDAS!$A$2:$I$269,9,FALSE()),1)</f>
        <v>1</v>
      </c>
      <c r="O1522" s="217">
        <f t="shared" si="46"/>
        <v>0</v>
      </c>
      <c r="P1522" s="216">
        <f>IF(O1522=0,0,IF(B1522="MAT",G1522*(1+H1522)*L1522*PLAN_ETAPA!$C$5,IF(B1522="MO",IF(M1522=0,0,G1522*L1522*PLAN_ETAPA!$C$5*N1522/M1522),IF(B1522="EQ",IF(M1522=0,0,G1522*L1522*PLAN_ETAPA!$C$5/M1522),0))))</f>
        <v>0</v>
      </c>
      <c r="Q1522" s="218">
        <f t="shared" si="47"/>
        <v>0</v>
      </c>
    </row>
    <row r="1523" spans="1:17" x14ac:dyDescent="0.35">
      <c r="A1523" s="212" t="str">
        <f>COMPOSICIÓN!A1523</f>
        <v>PTO-1808</v>
      </c>
      <c r="B1523" s="212" t="str">
        <f>COMPOSICIÓN!B1523</f>
        <v>MAT</v>
      </c>
      <c r="C1523" s="212" t="str">
        <f>COMPOSICIÓN!C1523</f>
        <v>OTR</v>
      </c>
      <c r="D1523" s="212" t="str">
        <f>COMPOSICIÓN!D1523</f>
        <v>ELE-002</v>
      </c>
      <c r="E1523" s="212" t="str">
        <f>COMPOSICIÓN!E1523</f>
        <v>Caño rigido 1"</v>
      </c>
      <c r="F1523" s="212" t="str">
        <f>COMPOSICIÓN!F1523</f>
        <v>ml</v>
      </c>
      <c r="G1523" s="213">
        <f>COMPOSICIÓN!G1523</f>
        <v>7.5</v>
      </c>
      <c r="H1523" s="214">
        <f>COMPOSICIÓN!H1523</f>
        <v>0.1</v>
      </c>
      <c r="I1523" s="215">
        <f>COMPOSICIÓN!I1523</f>
        <v>666.92666666666696</v>
      </c>
      <c r="J1523" s="212" t="str">
        <f>IFERROR(VLOOKUP(A1523,PARTIDAS!$A$2:$C$269,3,FALSE()),"")</f>
        <v>INSTALACIÓN ELÉCTRICA</v>
      </c>
      <c r="K1523" s="212" t="str">
        <f>IFERROR(INDEX(PPTO_GENERADOR!$B$4:$B$220,MATCH(A1523,PPTO_GENERADOR!$Q$4:$Q$220,0)),"")</f>
        <v>INSTALACIÓN ELÉCTRICA</v>
      </c>
      <c r="L1523" s="216">
        <f>IF(PLAN_ETAPA!$C$4="(TODOS)",SUMIFS(PPTO_GENERADOR!$E$4:$E$220,PPTO_GENERADOR!$Q$4:$Q$220,A1523),SUMIFS(PPTO_GENERADOR!$E$4:$E$220,PPTO_GENERADOR!$Q$4:$Q$220,A1523,PPTO_GENERADOR!$B$4:$B$220,PLAN_ETAPA!$C$4))</f>
        <v>0</v>
      </c>
      <c r="M1523" s="216">
        <f>IFERROR(VLOOKUP(A1523,PARTIDAS!$A$2:$F$269,6,FALSE()),1)</f>
        <v>3.25</v>
      </c>
      <c r="N1523" s="216">
        <f>IFERROR(VLOOKUP(A1523,PARTIDAS!$A$2:$I$269,9,FALSE()),1)</f>
        <v>1</v>
      </c>
      <c r="O1523" s="217">
        <f t="shared" si="46"/>
        <v>0</v>
      </c>
      <c r="P1523" s="216">
        <f>IF(O1523=0,0,IF(B1523="MAT",G1523*(1+H1523)*L1523*PLAN_ETAPA!$C$5,IF(B1523="MO",IF(M1523=0,0,G1523*L1523*PLAN_ETAPA!$C$5*N1523/M1523),IF(B1523="EQ",IF(M1523=0,0,G1523*L1523*PLAN_ETAPA!$C$5/M1523),0))))</f>
        <v>0</v>
      </c>
      <c r="Q1523" s="218">
        <f t="shared" si="47"/>
        <v>0</v>
      </c>
    </row>
    <row r="1524" spans="1:17" x14ac:dyDescent="0.35">
      <c r="A1524" s="212" t="str">
        <f>COMPOSICIÓN!A1524</f>
        <v>PTO-1808</v>
      </c>
      <c r="B1524" s="212" t="str">
        <f>COMPOSICIÓN!B1524</f>
        <v>MAT</v>
      </c>
      <c r="C1524" s="212" t="str">
        <f>COMPOSICIÓN!C1524</f>
        <v>OTR</v>
      </c>
      <c r="D1524" s="212" t="str">
        <f>COMPOSICIÓN!D1524</f>
        <v>ELE-007</v>
      </c>
      <c r="E1524" s="212" t="str">
        <f>COMPOSICIÓN!E1524</f>
        <v>Cupla PVC 1"</v>
      </c>
      <c r="F1524" s="212" t="str">
        <f>COMPOSICIÓN!F1524</f>
        <v>u</v>
      </c>
      <c r="G1524" s="213">
        <f>COMPOSICIÓN!G1524</f>
        <v>3</v>
      </c>
      <c r="H1524" s="214">
        <f>COMPOSICIÓN!H1524</f>
        <v>0.1</v>
      </c>
      <c r="I1524" s="215">
        <f>COMPOSICIÓN!I1524</f>
        <v>280.10000000000002</v>
      </c>
      <c r="J1524" s="212" t="str">
        <f>IFERROR(VLOOKUP(A1524,PARTIDAS!$A$2:$C$269,3,FALSE()),"")</f>
        <v>INSTALACIÓN ELÉCTRICA</v>
      </c>
      <c r="K1524" s="212" t="str">
        <f>IFERROR(INDEX(PPTO_GENERADOR!$B$4:$B$220,MATCH(A1524,PPTO_GENERADOR!$Q$4:$Q$220,0)),"")</f>
        <v>INSTALACIÓN ELÉCTRICA</v>
      </c>
      <c r="L1524" s="216">
        <f>IF(PLAN_ETAPA!$C$4="(TODOS)",SUMIFS(PPTO_GENERADOR!$E$4:$E$220,PPTO_GENERADOR!$Q$4:$Q$220,A1524),SUMIFS(PPTO_GENERADOR!$E$4:$E$220,PPTO_GENERADOR!$Q$4:$Q$220,A1524,PPTO_GENERADOR!$B$4:$B$220,PLAN_ETAPA!$C$4))</f>
        <v>0</v>
      </c>
      <c r="M1524" s="216">
        <f>IFERROR(VLOOKUP(A1524,PARTIDAS!$A$2:$F$269,6,FALSE()),1)</f>
        <v>3.25</v>
      </c>
      <c r="N1524" s="216">
        <f>IFERROR(VLOOKUP(A1524,PARTIDAS!$A$2:$I$269,9,FALSE()),1)</f>
        <v>1</v>
      </c>
      <c r="O1524" s="217">
        <f t="shared" si="46"/>
        <v>0</v>
      </c>
      <c r="P1524" s="216">
        <f>IF(O1524=0,0,IF(B1524="MAT",G1524*(1+H1524)*L1524*PLAN_ETAPA!$C$5,IF(B1524="MO",IF(M1524=0,0,G1524*L1524*PLAN_ETAPA!$C$5*N1524/M1524),IF(B1524="EQ",IF(M1524=0,0,G1524*L1524*PLAN_ETAPA!$C$5/M1524),0))))</f>
        <v>0</v>
      </c>
      <c r="Q1524" s="218">
        <f t="shared" si="47"/>
        <v>0</v>
      </c>
    </row>
    <row r="1525" spans="1:17" x14ac:dyDescent="0.35">
      <c r="A1525" s="212" t="str">
        <f>COMPOSICIÓN!A1525</f>
        <v>PTO-1808</v>
      </c>
      <c r="B1525" s="212" t="str">
        <f>COMPOSICIÓN!B1525</f>
        <v>MAT</v>
      </c>
      <c r="C1525" s="212" t="str">
        <f>COMPOSICIÓN!C1525</f>
        <v>OTR</v>
      </c>
      <c r="D1525" s="212" t="str">
        <f>COMPOSICIÓN!D1525</f>
        <v>ELE-011</v>
      </c>
      <c r="E1525" s="212" t="str">
        <f>COMPOSICIÓN!E1525</f>
        <v>Cable unipolar 1 x 4,00</v>
      </c>
      <c r="F1525" s="212" t="str">
        <f>COMPOSICIÓN!F1525</f>
        <v>ml</v>
      </c>
      <c r="G1525" s="213">
        <f>COMPOSICIÓN!G1525</f>
        <v>22.5</v>
      </c>
      <c r="H1525" s="214">
        <f>COMPOSICIÓN!H1525</f>
        <v>0.1</v>
      </c>
      <c r="I1525" s="215">
        <f>COMPOSICIÓN!I1525</f>
        <v>834.6</v>
      </c>
      <c r="J1525" s="212" t="str">
        <f>IFERROR(VLOOKUP(A1525,PARTIDAS!$A$2:$C$269,3,FALSE()),"")</f>
        <v>INSTALACIÓN ELÉCTRICA</v>
      </c>
      <c r="K1525" s="212" t="str">
        <f>IFERROR(INDEX(PPTO_GENERADOR!$B$4:$B$220,MATCH(A1525,PPTO_GENERADOR!$Q$4:$Q$220,0)),"")</f>
        <v>INSTALACIÓN ELÉCTRICA</v>
      </c>
      <c r="L1525" s="216">
        <f>IF(PLAN_ETAPA!$C$4="(TODOS)",SUMIFS(PPTO_GENERADOR!$E$4:$E$220,PPTO_GENERADOR!$Q$4:$Q$220,A1525),SUMIFS(PPTO_GENERADOR!$E$4:$E$220,PPTO_GENERADOR!$Q$4:$Q$220,A1525,PPTO_GENERADOR!$B$4:$B$220,PLAN_ETAPA!$C$4))</f>
        <v>0</v>
      </c>
      <c r="M1525" s="216">
        <f>IFERROR(VLOOKUP(A1525,PARTIDAS!$A$2:$F$269,6,FALSE()),1)</f>
        <v>3.25</v>
      </c>
      <c r="N1525" s="216">
        <f>IFERROR(VLOOKUP(A1525,PARTIDAS!$A$2:$I$269,9,FALSE()),1)</f>
        <v>1</v>
      </c>
      <c r="O1525" s="217">
        <f t="shared" si="46"/>
        <v>0</v>
      </c>
      <c r="P1525" s="216">
        <f>IF(O1525=0,0,IF(B1525="MAT",G1525*(1+H1525)*L1525*PLAN_ETAPA!$C$5,IF(B1525="MO",IF(M1525=0,0,G1525*L1525*PLAN_ETAPA!$C$5*N1525/M1525),IF(B1525="EQ",IF(M1525=0,0,G1525*L1525*PLAN_ETAPA!$C$5/M1525),0))))</f>
        <v>0</v>
      </c>
      <c r="Q1525" s="218">
        <f t="shared" si="47"/>
        <v>0</v>
      </c>
    </row>
    <row r="1526" spans="1:17" x14ac:dyDescent="0.35">
      <c r="A1526" s="212" t="str">
        <f>COMPOSICIÓN!A1526</f>
        <v>PTO-1808</v>
      </c>
      <c r="B1526" s="212" t="str">
        <f>COMPOSICIÓN!B1526</f>
        <v>MAT</v>
      </c>
      <c r="C1526" s="212" t="str">
        <f>COMPOSICIÓN!C1526</f>
        <v>OTR</v>
      </c>
      <c r="D1526" s="212" t="str">
        <f>COMPOSICIÓN!D1526</f>
        <v>ELE-014</v>
      </c>
      <c r="E1526" s="212" t="str">
        <f>COMPOSICIÓN!E1526</f>
        <v>Caja rectangular chica</v>
      </c>
      <c r="F1526" s="212" t="str">
        <f>COMPOSICIÓN!F1526</f>
        <v>u</v>
      </c>
      <c r="G1526" s="213">
        <f>COMPOSICIÓN!G1526</f>
        <v>1</v>
      </c>
      <c r="H1526" s="214">
        <f>COMPOSICIÓN!H1526</f>
        <v>0.05</v>
      </c>
      <c r="I1526" s="215">
        <f>COMPOSICIÓN!I1526</f>
        <v>202.42</v>
      </c>
      <c r="J1526" s="212" t="str">
        <f>IFERROR(VLOOKUP(A1526,PARTIDAS!$A$2:$C$269,3,FALSE()),"")</f>
        <v>INSTALACIÓN ELÉCTRICA</v>
      </c>
      <c r="K1526" s="212" t="str">
        <f>IFERROR(INDEX(PPTO_GENERADOR!$B$4:$B$220,MATCH(A1526,PPTO_GENERADOR!$Q$4:$Q$220,0)),"")</f>
        <v>INSTALACIÓN ELÉCTRICA</v>
      </c>
      <c r="L1526" s="216">
        <f>IF(PLAN_ETAPA!$C$4="(TODOS)",SUMIFS(PPTO_GENERADOR!$E$4:$E$220,PPTO_GENERADOR!$Q$4:$Q$220,A1526),SUMIFS(PPTO_GENERADOR!$E$4:$E$220,PPTO_GENERADOR!$Q$4:$Q$220,A1526,PPTO_GENERADOR!$B$4:$B$220,PLAN_ETAPA!$C$4))</f>
        <v>0</v>
      </c>
      <c r="M1526" s="216">
        <f>IFERROR(VLOOKUP(A1526,PARTIDAS!$A$2:$F$269,6,FALSE()),1)</f>
        <v>3.25</v>
      </c>
      <c r="N1526" s="216">
        <f>IFERROR(VLOOKUP(A1526,PARTIDAS!$A$2:$I$269,9,FALSE()),1)</f>
        <v>1</v>
      </c>
      <c r="O1526" s="217">
        <f t="shared" si="46"/>
        <v>0</v>
      </c>
      <c r="P1526" s="216">
        <f>IF(O1526=0,0,IF(B1526="MAT",G1526*(1+H1526)*L1526*PLAN_ETAPA!$C$5,IF(B1526="MO",IF(M1526=0,0,G1526*L1526*PLAN_ETAPA!$C$5*N1526/M1526),IF(B1526="EQ",IF(M1526=0,0,G1526*L1526*PLAN_ETAPA!$C$5/M1526),0))))</f>
        <v>0</v>
      </c>
      <c r="Q1526" s="218">
        <f t="shared" si="47"/>
        <v>0</v>
      </c>
    </row>
    <row r="1527" spans="1:17" x14ac:dyDescent="0.35">
      <c r="A1527" s="212" t="str">
        <f>COMPOSICIÓN!A1527</f>
        <v>PTO-1815</v>
      </c>
      <c r="B1527" s="212" t="str">
        <f>COMPOSICIÓN!B1527</f>
        <v>MO</v>
      </c>
      <c r="C1527" s="212" t="str">
        <f>COMPOSICIÓN!C1527</f>
        <v>OTR</v>
      </c>
      <c r="D1527" s="212" t="str">
        <f>COMPOSICIÓN!D1527</f>
        <v>SUB-CANAL</v>
      </c>
      <c r="E1527" s="212" t="str">
        <f>COMPOSICIÓN!E1527</f>
        <v>Canalización</v>
      </c>
      <c r="F1527" s="212" t="str">
        <f>COMPOSICIÓN!F1527</f>
        <v>j</v>
      </c>
      <c r="G1527" s="213">
        <f>COMPOSICIÓN!G1527</f>
        <v>5</v>
      </c>
      <c r="H1527" s="214">
        <f>COMPOSICIÓN!H1527</f>
        <v>0</v>
      </c>
      <c r="I1527" s="215">
        <f>COMPOSICIÓN!I1527</f>
        <v>24807.3</v>
      </c>
      <c r="J1527" s="212" t="str">
        <f>IFERROR(VLOOKUP(A1527,PARTIDAS!$A$2:$C$269,3,FALSE()),"")</f>
        <v>INSTALACIÓN ELÉCTRICA</v>
      </c>
      <c r="K1527" s="212" t="str">
        <f>IFERROR(INDEX(PPTO_GENERADOR!$B$4:$B$220,MATCH(A1527,PPTO_GENERADOR!$Q$4:$Q$220,0)),"")</f>
        <v/>
      </c>
      <c r="L1527" s="216">
        <f>IF(PLAN_ETAPA!$C$4="(TODOS)",SUMIFS(PPTO_GENERADOR!$E$4:$E$220,PPTO_GENERADOR!$Q$4:$Q$220,A1527),SUMIFS(PPTO_GENERADOR!$E$4:$E$220,PPTO_GENERADOR!$Q$4:$Q$220,A1527,PPTO_GENERADOR!$B$4:$B$220,PLAN_ETAPA!$C$4))</f>
        <v>0</v>
      </c>
      <c r="M1527" s="216">
        <f>IFERROR(VLOOKUP(A1527,PARTIDAS!$A$2:$F$269,6,FALSE()),1)</f>
        <v>5</v>
      </c>
      <c r="N1527" s="216">
        <f>IFERROR(VLOOKUP(A1527,PARTIDAS!$A$2:$I$269,9,FALSE()),1)</f>
        <v>1</v>
      </c>
      <c r="O1527" s="217">
        <f t="shared" si="46"/>
        <v>0</v>
      </c>
      <c r="P1527" s="216">
        <f>IF(O1527=0,0,IF(B1527="MAT",G1527*(1+H1527)*L1527*PLAN_ETAPA!$C$5,IF(B1527="MO",IF(M1527=0,0,G1527*L1527*PLAN_ETAPA!$C$5*N1527/M1527),IF(B1527="EQ",IF(M1527=0,0,G1527*L1527*PLAN_ETAPA!$C$5/M1527),0))))</f>
        <v>0</v>
      </c>
      <c r="Q1527" s="218">
        <f t="shared" si="47"/>
        <v>0</v>
      </c>
    </row>
    <row r="1528" spans="1:17" x14ac:dyDescent="0.35">
      <c r="A1528" s="212" t="str">
        <f>COMPOSICIÓN!A1528</f>
        <v>PTO-1809</v>
      </c>
      <c r="B1528" s="212" t="str">
        <f>COMPOSICIÓN!B1528</f>
        <v>EQ</v>
      </c>
      <c r="C1528" s="212">
        <f>COMPOSICIÓN!C1528</f>
        <v>0</v>
      </c>
      <c r="D1528" s="212" t="str">
        <f>COMPOSICIÓN!D1528</f>
        <v>EQ-ANDAM0</v>
      </c>
      <c r="E1528" s="212" t="str">
        <f>COMPOSICIÓN!E1528</f>
        <v>ANDAMIO TUBULAR DE UNO A TRES CUERPOS</v>
      </c>
      <c r="F1528" s="212">
        <f>COMPOSICIÓN!F1528</f>
        <v>0</v>
      </c>
      <c r="G1528" s="213">
        <f>COMPOSICIÓN!G1528</f>
        <v>0.5</v>
      </c>
      <c r="H1528" s="214">
        <f>COMPOSICIÓN!H1528</f>
        <v>0</v>
      </c>
      <c r="I1528" s="215">
        <f>COMPOSICIÓN!I1528</f>
        <v>571.1794909807611</v>
      </c>
      <c r="J1528" s="212" t="str">
        <f>IFERROR(VLOOKUP(A1528,PARTIDAS!$A$2:$C$269,3,FALSE()),"")</f>
        <v>INSTALACIÓN ELÉCTRICA</v>
      </c>
      <c r="K1528" s="212" t="str">
        <f>IFERROR(INDEX(PPTO_GENERADOR!$B$4:$B$220,MATCH(A1528,PPTO_GENERADOR!$Q$4:$Q$220,0)),"")</f>
        <v/>
      </c>
      <c r="L1528" s="216">
        <f>IF(PLAN_ETAPA!$C$4="(TODOS)",SUMIFS(PPTO_GENERADOR!$E$4:$E$220,PPTO_GENERADOR!$Q$4:$Q$220,A1528),SUMIFS(PPTO_GENERADOR!$E$4:$E$220,PPTO_GENERADOR!$Q$4:$Q$220,A1528,PPTO_GENERADOR!$B$4:$B$220,PLAN_ETAPA!$C$4))</f>
        <v>0</v>
      </c>
      <c r="M1528" s="216">
        <f>IFERROR(VLOOKUP(A1528,PARTIDAS!$A$2:$F$269,6,FALSE()),1)</f>
        <v>3.25</v>
      </c>
      <c r="N1528" s="216">
        <f>IFERROR(VLOOKUP(A1528,PARTIDAS!$A$2:$I$269,9,FALSE()),1)</f>
        <v>1</v>
      </c>
      <c r="O1528" s="217">
        <f t="shared" si="46"/>
        <v>0</v>
      </c>
      <c r="P1528" s="216">
        <f>IF(O1528=0,0,IF(B1528="MAT",G1528*(1+H1528)*L1528*PLAN_ETAPA!$C$5,IF(B1528="MO",IF(M1528=0,0,G1528*L1528*PLAN_ETAPA!$C$5*N1528/M1528),IF(B1528="EQ",IF(M1528=0,0,G1528*L1528*PLAN_ETAPA!$C$5/M1528),0))))</f>
        <v>0</v>
      </c>
      <c r="Q1528" s="218">
        <f t="shared" si="47"/>
        <v>0</v>
      </c>
    </row>
    <row r="1529" spans="1:17" x14ac:dyDescent="0.35">
      <c r="A1529" s="212" t="str">
        <f>COMPOSICIÓN!A1529</f>
        <v>PTO-1809</v>
      </c>
      <c r="B1529" s="212" t="str">
        <f>COMPOSICIÓN!B1529</f>
        <v>EQ</v>
      </c>
      <c r="C1529" s="212">
        <f>COMPOSICIÓN!C1529</f>
        <v>0</v>
      </c>
      <c r="D1529" s="212" t="str">
        <f>COMPOSICIÓN!D1529</f>
        <v>EQ-EQUIP0</v>
      </c>
      <c r="E1529" s="212" t="str">
        <f>COMPOSICIÓN!E1529</f>
        <v>EQUIPO PARA INSTALACION ELECTRICA</v>
      </c>
      <c r="F1529" s="212">
        <f>COMPOSICIÓN!F1529</f>
        <v>0</v>
      </c>
      <c r="G1529" s="213">
        <f>COMPOSICIÓN!G1529</f>
        <v>1</v>
      </c>
      <c r="H1529" s="214">
        <f>COMPOSICIÓN!H1529</f>
        <v>0</v>
      </c>
      <c r="I1529" s="215">
        <f>COMPOSICIÓN!I1529</f>
        <v>5063.0947914732405</v>
      </c>
      <c r="J1529" s="212" t="str">
        <f>IFERROR(VLOOKUP(A1529,PARTIDAS!$A$2:$C$269,3,FALSE()),"")</f>
        <v>INSTALACIÓN ELÉCTRICA</v>
      </c>
      <c r="K1529" s="212" t="str">
        <f>IFERROR(INDEX(PPTO_GENERADOR!$B$4:$B$220,MATCH(A1529,PPTO_GENERADOR!$Q$4:$Q$220,0)),"")</f>
        <v/>
      </c>
      <c r="L1529" s="216">
        <f>IF(PLAN_ETAPA!$C$4="(TODOS)",SUMIFS(PPTO_GENERADOR!$E$4:$E$220,PPTO_GENERADOR!$Q$4:$Q$220,A1529),SUMIFS(PPTO_GENERADOR!$E$4:$E$220,PPTO_GENERADOR!$Q$4:$Q$220,A1529,PPTO_GENERADOR!$B$4:$B$220,PLAN_ETAPA!$C$4))</f>
        <v>0</v>
      </c>
      <c r="M1529" s="216">
        <f>IFERROR(VLOOKUP(A1529,PARTIDAS!$A$2:$F$269,6,FALSE()),1)</f>
        <v>3.25</v>
      </c>
      <c r="N1529" s="216">
        <f>IFERROR(VLOOKUP(A1529,PARTIDAS!$A$2:$I$269,9,FALSE()),1)</f>
        <v>1</v>
      </c>
      <c r="O1529" s="217">
        <f t="shared" si="46"/>
        <v>0</v>
      </c>
      <c r="P1529" s="216">
        <f>IF(O1529=0,0,IF(B1529="MAT",G1529*(1+H1529)*L1529*PLAN_ETAPA!$C$5,IF(B1529="MO",IF(M1529=0,0,G1529*L1529*PLAN_ETAPA!$C$5*N1529/M1529),IF(B1529="EQ",IF(M1529=0,0,G1529*L1529*PLAN_ETAPA!$C$5/M1529),0))))</f>
        <v>0</v>
      </c>
      <c r="Q1529" s="218">
        <f t="shared" si="47"/>
        <v>0</v>
      </c>
    </row>
    <row r="1530" spans="1:17" x14ac:dyDescent="0.35">
      <c r="A1530" s="212" t="str">
        <f>COMPOSICIÓN!A1530</f>
        <v>PTO-1809</v>
      </c>
      <c r="B1530" s="212" t="str">
        <f>COMPOSICIÓN!B1530</f>
        <v>EQ</v>
      </c>
      <c r="C1530" s="212">
        <f>COMPOSICIÓN!C1530</f>
        <v>0</v>
      </c>
      <c r="D1530" s="212" t="str">
        <f>COMPOSICIÓN!D1530</f>
        <v>EQ-ESCALE</v>
      </c>
      <c r="E1530" s="212" t="str">
        <f>COMPOSICIÓN!E1530</f>
        <v>ESCALERA GLOSS ALUMINIO ARTICULADA 4 X 4 ESCALONES HASTA 150KG</v>
      </c>
      <c r="F1530" s="212">
        <f>COMPOSICIÓN!F1530</f>
        <v>0</v>
      </c>
      <c r="G1530" s="213">
        <f>COMPOSICIÓN!G1530</f>
        <v>0.5</v>
      </c>
      <c r="H1530" s="214">
        <f>COMPOSICIÓN!H1530</f>
        <v>0</v>
      </c>
      <c r="I1530" s="215">
        <f>COMPOSICIÓN!I1530</f>
        <v>140.19809259430903</v>
      </c>
      <c r="J1530" s="212" t="str">
        <f>IFERROR(VLOOKUP(A1530,PARTIDAS!$A$2:$C$269,3,FALSE()),"")</f>
        <v>INSTALACIÓN ELÉCTRICA</v>
      </c>
      <c r="K1530" s="212" t="str">
        <f>IFERROR(INDEX(PPTO_GENERADOR!$B$4:$B$220,MATCH(A1530,PPTO_GENERADOR!$Q$4:$Q$220,0)),"")</f>
        <v/>
      </c>
      <c r="L1530" s="216">
        <f>IF(PLAN_ETAPA!$C$4="(TODOS)",SUMIFS(PPTO_GENERADOR!$E$4:$E$220,PPTO_GENERADOR!$Q$4:$Q$220,A1530),SUMIFS(PPTO_GENERADOR!$E$4:$E$220,PPTO_GENERADOR!$Q$4:$Q$220,A1530,PPTO_GENERADOR!$B$4:$B$220,PLAN_ETAPA!$C$4))</f>
        <v>0</v>
      </c>
      <c r="M1530" s="216">
        <f>IFERROR(VLOOKUP(A1530,PARTIDAS!$A$2:$F$269,6,FALSE()),1)</f>
        <v>3.25</v>
      </c>
      <c r="N1530" s="216">
        <f>IFERROR(VLOOKUP(A1530,PARTIDAS!$A$2:$I$269,9,FALSE()),1)</f>
        <v>1</v>
      </c>
      <c r="O1530" s="217">
        <f t="shared" si="46"/>
        <v>0</v>
      </c>
      <c r="P1530" s="216">
        <f>IF(O1530=0,0,IF(B1530="MAT",G1530*(1+H1530)*L1530*PLAN_ETAPA!$C$5,IF(B1530="MO",IF(M1530=0,0,G1530*L1530*PLAN_ETAPA!$C$5*N1530/M1530),IF(B1530="EQ",IF(M1530=0,0,G1530*L1530*PLAN_ETAPA!$C$5/M1530),0))))</f>
        <v>0</v>
      </c>
      <c r="Q1530" s="218">
        <f t="shared" si="47"/>
        <v>0</v>
      </c>
    </row>
    <row r="1531" spans="1:17" x14ac:dyDescent="0.35">
      <c r="A1531" s="212" t="str">
        <f>COMPOSICIÓN!A1531</f>
        <v>PTO-1809</v>
      </c>
      <c r="B1531" s="212" t="str">
        <f>COMPOSICIÓN!B1531</f>
        <v>MAT</v>
      </c>
      <c r="C1531" s="212" t="str">
        <f>COMPOSICIÓN!C1531</f>
        <v>OTR</v>
      </c>
      <c r="D1531" s="212" t="str">
        <f>COMPOSICIÓN!D1531</f>
        <v>ACE-017</v>
      </c>
      <c r="E1531" s="212" t="str">
        <f>COMPOSICIÓN!E1531</f>
        <v>Conector hierro 3/4"</v>
      </c>
      <c r="F1531" s="212" t="str">
        <f>COMPOSICIÓN!F1531</f>
        <v>u</v>
      </c>
      <c r="G1531" s="213">
        <f>COMPOSICIÓN!G1531</f>
        <v>4</v>
      </c>
      <c r="H1531" s="214">
        <f>COMPOSICIÓN!H1531</f>
        <v>0.1</v>
      </c>
      <c r="I1531" s="215">
        <f>COMPOSICIÓN!I1531</f>
        <v>225.83199999999999</v>
      </c>
      <c r="J1531" s="212" t="str">
        <f>IFERROR(VLOOKUP(A1531,PARTIDAS!$A$2:$C$269,3,FALSE()),"")</f>
        <v>INSTALACIÓN ELÉCTRICA</v>
      </c>
      <c r="K1531" s="212" t="str">
        <f>IFERROR(INDEX(PPTO_GENERADOR!$B$4:$B$220,MATCH(A1531,PPTO_GENERADOR!$Q$4:$Q$220,0)),"")</f>
        <v/>
      </c>
      <c r="L1531" s="216">
        <f>IF(PLAN_ETAPA!$C$4="(TODOS)",SUMIFS(PPTO_GENERADOR!$E$4:$E$220,PPTO_GENERADOR!$Q$4:$Q$220,A1531),SUMIFS(PPTO_GENERADOR!$E$4:$E$220,PPTO_GENERADOR!$Q$4:$Q$220,A1531,PPTO_GENERADOR!$B$4:$B$220,PLAN_ETAPA!$C$4))</f>
        <v>0</v>
      </c>
      <c r="M1531" s="216">
        <f>IFERROR(VLOOKUP(A1531,PARTIDAS!$A$2:$F$269,6,FALSE()),1)</f>
        <v>3.25</v>
      </c>
      <c r="N1531" s="216">
        <f>IFERROR(VLOOKUP(A1531,PARTIDAS!$A$2:$I$269,9,FALSE()),1)</f>
        <v>1</v>
      </c>
      <c r="O1531" s="217">
        <f t="shared" si="46"/>
        <v>0</v>
      </c>
      <c r="P1531" s="216">
        <f>IF(O1531=0,0,IF(B1531="MAT",G1531*(1+H1531)*L1531*PLAN_ETAPA!$C$5,IF(B1531="MO",IF(M1531=0,0,G1531*L1531*PLAN_ETAPA!$C$5*N1531/M1531),IF(B1531="EQ",IF(M1531=0,0,G1531*L1531*PLAN_ETAPA!$C$5/M1531),0))))</f>
        <v>0</v>
      </c>
      <c r="Q1531" s="218">
        <f t="shared" si="47"/>
        <v>0</v>
      </c>
    </row>
    <row r="1532" spans="1:17" x14ac:dyDescent="0.35">
      <c r="A1532" s="212" t="str">
        <f>COMPOSICIÓN!A1532</f>
        <v>PTO-1809</v>
      </c>
      <c r="B1532" s="212" t="str">
        <f>COMPOSICIÓN!B1532</f>
        <v>MAT</v>
      </c>
      <c r="C1532" s="212" t="str">
        <f>COMPOSICIÓN!C1532</f>
        <v>OTR</v>
      </c>
      <c r="D1532" s="212" t="str">
        <f>COMPOSICIÓN!D1532</f>
        <v>ELE-004</v>
      </c>
      <c r="E1532" s="212" t="str">
        <f>COMPOSICIÓN!E1532</f>
        <v>Caño rigido 3/4"</v>
      </c>
      <c r="F1532" s="212" t="str">
        <f>COMPOSICIÓN!F1532</f>
        <v>ml</v>
      </c>
      <c r="G1532" s="213">
        <f>COMPOSICIÓN!G1532</f>
        <v>5</v>
      </c>
      <c r="H1532" s="214">
        <f>COMPOSICIÓN!H1532</f>
        <v>0.05</v>
      </c>
      <c r="I1532" s="215">
        <f>COMPOSICIÓN!I1532</f>
        <v>472.18</v>
      </c>
      <c r="J1532" s="212" t="str">
        <f>IFERROR(VLOOKUP(A1532,PARTIDAS!$A$2:$C$269,3,FALSE()),"")</f>
        <v>INSTALACIÓN ELÉCTRICA</v>
      </c>
      <c r="K1532" s="212" t="str">
        <f>IFERROR(INDEX(PPTO_GENERADOR!$B$4:$B$220,MATCH(A1532,PPTO_GENERADOR!$Q$4:$Q$220,0)),"")</f>
        <v/>
      </c>
      <c r="L1532" s="216">
        <f>IF(PLAN_ETAPA!$C$4="(TODOS)",SUMIFS(PPTO_GENERADOR!$E$4:$E$220,PPTO_GENERADOR!$Q$4:$Q$220,A1532),SUMIFS(PPTO_GENERADOR!$E$4:$E$220,PPTO_GENERADOR!$Q$4:$Q$220,A1532,PPTO_GENERADOR!$B$4:$B$220,PLAN_ETAPA!$C$4))</f>
        <v>0</v>
      </c>
      <c r="M1532" s="216">
        <f>IFERROR(VLOOKUP(A1532,PARTIDAS!$A$2:$F$269,6,FALSE()),1)</f>
        <v>3.25</v>
      </c>
      <c r="N1532" s="216">
        <f>IFERROR(VLOOKUP(A1532,PARTIDAS!$A$2:$I$269,9,FALSE()),1)</f>
        <v>1</v>
      </c>
      <c r="O1532" s="217">
        <f t="shared" si="46"/>
        <v>0</v>
      </c>
      <c r="P1532" s="216">
        <f>IF(O1532=0,0,IF(B1532="MAT",G1532*(1+H1532)*L1532*PLAN_ETAPA!$C$5,IF(B1532="MO",IF(M1532=0,0,G1532*L1532*PLAN_ETAPA!$C$5*N1532/M1532),IF(B1532="EQ",IF(M1532=0,0,G1532*L1532*PLAN_ETAPA!$C$5/M1532),0))))</f>
        <v>0</v>
      </c>
      <c r="Q1532" s="218">
        <f t="shared" si="47"/>
        <v>0</v>
      </c>
    </row>
    <row r="1533" spans="1:17" x14ac:dyDescent="0.35">
      <c r="A1533" s="212" t="str">
        <f>COMPOSICIÓN!A1533</f>
        <v>PTO-1809</v>
      </c>
      <c r="B1533" s="212" t="str">
        <f>COMPOSICIÓN!B1533</f>
        <v>MAT</v>
      </c>
      <c r="C1533" s="212" t="str">
        <f>COMPOSICIÓN!C1533</f>
        <v>OTR</v>
      </c>
      <c r="D1533" s="212" t="str">
        <f>COMPOSICIÓN!D1533</f>
        <v>ELE-005</v>
      </c>
      <c r="E1533" s="212" t="str">
        <f>COMPOSICIÓN!E1533</f>
        <v>Cupla PVC 3/4"</v>
      </c>
      <c r="F1533" s="212" t="str">
        <f>COMPOSICIÓN!F1533</f>
        <v>u</v>
      </c>
      <c r="G1533" s="213">
        <f>COMPOSICIÓN!G1533</f>
        <v>1.2</v>
      </c>
      <c r="H1533" s="214">
        <f>COMPOSICIÓN!H1533</f>
        <v>0.1</v>
      </c>
      <c r="I1533" s="215">
        <f>COMPOSICIÓN!I1533</f>
        <v>110.922</v>
      </c>
      <c r="J1533" s="212" t="str">
        <f>IFERROR(VLOOKUP(A1533,PARTIDAS!$A$2:$C$269,3,FALSE()),"")</f>
        <v>INSTALACIÓN ELÉCTRICA</v>
      </c>
      <c r="K1533" s="212" t="str">
        <f>IFERROR(INDEX(PPTO_GENERADOR!$B$4:$B$220,MATCH(A1533,PPTO_GENERADOR!$Q$4:$Q$220,0)),"")</f>
        <v/>
      </c>
      <c r="L1533" s="216">
        <f>IF(PLAN_ETAPA!$C$4="(TODOS)",SUMIFS(PPTO_GENERADOR!$E$4:$E$220,PPTO_GENERADOR!$Q$4:$Q$220,A1533),SUMIFS(PPTO_GENERADOR!$E$4:$E$220,PPTO_GENERADOR!$Q$4:$Q$220,A1533,PPTO_GENERADOR!$B$4:$B$220,PLAN_ETAPA!$C$4))</f>
        <v>0</v>
      </c>
      <c r="M1533" s="216">
        <f>IFERROR(VLOOKUP(A1533,PARTIDAS!$A$2:$F$269,6,FALSE()),1)</f>
        <v>3.25</v>
      </c>
      <c r="N1533" s="216">
        <f>IFERROR(VLOOKUP(A1533,PARTIDAS!$A$2:$I$269,9,FALSE()),1)</f>
        <v>1</v>
      </c>
      <c r="O1533" s="217">
        <f t="shared" si="46"/>
        <v>0</v>
      </c>
      <c r="P1533" s="216">
        <f>IF(O1533=0,0,IF(B1533="MAT",G1533*(1+H1533)*L1533*PLAN_ETAPA!$C$5,IF(B1533="MO",IF(M1533=0,0,G1533*L1533*PLAN_ETAPA!$C$5*N1533/M1533),IF(B1533="EQ",IF(M1533=0,0,G1533*L1533*PLAN_ETAPA!$C$5/M1533),0))))</f>
        <v>0</v>
      </c>
      <c r="Q1533" s="218">
        <f t="shared" si="47"/>
        <v>0</v>
      </c>
    </row>
    <row r="1534" spans="1:17" x14ac:dyDescent="0.35">
      <c r="A1534" s="212" t="str">
        <f>COMPOSICIÓN!A1534</f>
        <v>PTO-1809</v>
      </c>
      <c r="B1534" s="212" t="str">
        <f>COMPOSICIÓN!B1534</f>
        <v>MAT</v>
      </c>
      <c r="C1534" s="212" t="str">
        <f>COMPOSICIÓN!C1534</f>
        <v>OTR</v>
      </c>
      <c r="D1534" s="212" t="str">
        <f>COMPOSICIÓN!D1534</f>
        <v>ELE-009</v>
      </c>
      <c r="E1534" s="212" t="str">
        <f>COMPOSICIÓN!E1534</f>
        <v>Cable unipolar 1 x 2,50 VA</v>
      </c>
      <c r="F1534" s="212" t="str">
        <f>COMPOSICIÓN!F1534</f>
        <v>ml</v>
      </c>
      <c r="G1534" s="213">
        <f>COMPOSICIÓN!G1534</f>
        <v>5</v>
      </c>
      <c r="H1534" s="214">
        <f>COMPOSICIÓN!H1534</f>
        <v>0.1</v>
      </c>
      <c r="I1534" s="215">
        <f>COMPOSICIÓN!I1534</f>
        <v>509.31490000000002</v>
      </c>
      <c r="J1534" s="212" t="str">
        <f>IFERROR(VLOOKUP(A1534,PARTIDAS!$A$2:$C$269,3,FALSE()),"")</f>
        <v>INSTALACIÓN ELÉCTRICA</v>
      </c>
      <c r="K1534" s="212" t="str">
        <f>IFERROR(INDEX(PPTO_GENERADOR!$B$4:$B$220,MATCH(A1534,PPTO_GENERADOR!$Q$4:$Q$220,0)),"")</f>
        <v/>
      </c>
      <c r="L1534" s="216">
        <f>IF(PLAN_ETAPA!$C$4="(TODOS)",SUMIFS(PPTO_GENERADOR!$E$4:$E$220,PPTO_GENERADOR!$Q$4:$Q$220,A1534),SUMIFS(PPTO_GENERADOR!$E$4:$E$220,PPTO_GENERADOR!$Q$4:$Q$220,A1534,PPTO_GENERADOR!$B$4:$B$220,PLAN_ETAPA!$C$4))</f>
        <v>0</v>
      </c>
      <c r="M1534" s="216">
        <f>IFERROR(VLOOKUP(A1534,PARTIDAS!$A$2:$F$269,6,FALSE()),1)</f>
        <v>3.25</v>
      </c>
      <c r="N1534" s="216">
        <f>IFERROR(VLOOKUP(A1534,PARTIDAS!$A$2:$I$269,9,FALSE()),1)</f>
        <v>1</v>
      </c>
      <c r="O1534" s="217">
        <f t="shared" si="46"/>
        <v>0</v>
      </c>
      <c r="P1534" s="216">
        <f>IF(O1534=0,0,IF(B1534="MAT",G1534*(1+H1534)*L1534*PLAN_ETAPA!$C$5,IF(B1534="MO",IF(M1534=0,0,G1534*L1534*PLAN_ETAPA!$C$5*N1534/M1534),IF(B1534="EQ",IF(M1534=0,0,G1534*L1534*PLAN_ETAPA!$C$5/M1534),0))))</f>
        <v>0</v>
      </c>
      <c r="Q1534" s="218">
        <f t="shared" si="47"/>
        <v>0</v>
      </c>
    </row>
    <row r="1535" spans="1:17" x14ac:dyDescent="0.35">
      <c r="A1535" s="212" t="str">
        <f>COMPOSICIÓN!A1535</f>
        <v>PTO-1809</v>
      </c>
      <c r="B1535" s="212" t="str">
        <f>COMPOSICIÓN!B1535</f>
        <v>MAT</v>
      </c>
      <c r="C1535" s="212" t="str">
        <f>COMPOSICIÓN!C1535</f>
        <v>OTR</v>
      </c>
      <c r="D1535" s="212" t="str">
        <f>COMPOSICIÓN!D1535</f>
        <v>ELE-010</v>
      </c>
      <c r="E1535" s="212" t="str">
        <f>COMPOSICIÓN!E1535</f>
        <v>Cable unipolar 1 x 2,50 Rojo/Marron/Negro</v>
      </c>
      <c r="F1535" s="212" t="str">
        <f>COMPOSICIÓN!F1535</f>
        <v>ml</v>
      </c>
      <c r="G1535" s="213">
        <f>COMPOSICIÓN!G1535</f>
        <v>10</v>
      </c>
      <c r="H1535" s="214">
        <f>COMPOSICIÓN!H1535</f>
        <v>0.1</v>
      </c>
      <c r="I1535" s="215">
        <f>COMPOSICIÓN!I1535</f>
        <v>509.31490000000002</v>
      </c>
      <c r="J1535" s="212" t="str">
        <f>IFERROR(VLOOKUP(A1535,PARTIDAS!$A$2:$C$269,3,FALSE()),"")</f>
        <v>INSTALACIÓN ELÉCTRICA</v>
      </c>
      <c r="K1535" s="212" t="str">
        <f>IFERROR(INDEX(PPTO_GENERADOR!$B$4:$B$220,MATCH(A1535,PPTO_GENERADOR!$Q$4:$Q$220,0)),"")</f>
        <v/>
      </c>
      <c r="L1535" s="216">
        <f>IF(PLAN_ETAPA!$C$4="(TODOS)",SUMIFS(PPTO_GENERADOR!$E$4:$E$220,PPTO_GENERADOR!$Q$4:$Q$220,A1535),SUMIFS(PPTO_GENERADOR!$E$4:$E$220,PPTO_GENERADOR!$Q$4:$Q$220,A1535,PPTO_GENERADOR!$B$4:$B$220,PLAN_ETAPA!$C$4))</f>
        <v>0</v>
      </c>
      <c r="M1535" s="216">
        <f>IFERROR(VLOOKUP(A1535,PARTIDAS!$A$2:$F$269,6,FALSE()),1)</f>
        <v>3.25</v>
      </c>
      <c r="N1535" s="216">
        <f>IFERROR(VLOOKUP(A1535,PARTIDAS!$A$2:$I$269,9,FALSE()),1)</f>
        <v>1</v>
      </c>
      <c r="O1535" s="217">
        <f t="shared" si="46"/>
        <v>0</v>
      </c>
      <c r="P1535" s="216">
        <f>IF(O1535=0,0,IF(B1535="MAT",G1535*(1+H1535)*L1535*PLAN_ETAPA!$C$5,IF(B1535="MO",IF(M1535=0,0,G1535*L1535*PLAN_ETAPA!$C$5*N1535/M1535),IF(B1535="EQ",IF(M1535=0,0,G1535*L1535*PLAN_ETAPA!$C$5/M1535),0))))</f>
        <v>0</v>
      </c>
      <c r="Q1535" s="218">
        <f t="shared" si="47"/>
        <v>0</v>
      </c>
    </row>
    <row r="1536" spans="1:17" x14ac:dyDescent="0.35">
      <c r="A1536" s="212" t="str">
        <f>COMPOSICIÓN!A1536</f>
        <v>PTO-1809</v>
      </c>
      <c r="B1536" s="212" t="str">
        <f>COMPOSICIÓN!B1536</f>
        <v>MAT</v>
      </c>
      <c r="C1536" s="212" t="str">
        <f>COMPOSICIÓN!C1536</f>
        <v>OTR</v>
      </c>
      <c r="D1536" s="212" t="str">
        <f>COMPOSICIÓN!D1536</f>
        <v>ELE-014</v>
      </c>
      <c r="E1536" s="212" t="str">
        <f>COMPOSICIÓN!E1536</f>
        <v>Caja rectangular chica</v>
      </c>
      <c r="F1536" s="212" t="str">
        <f>COMPOSICIÓN!F1536</f>
        <v>u</v>
      </c>
      <c r="G1536" s="213">
        <f>COMPOSICIÓN!G1536</f>
        <v>1</v>
      </c>
      <c r="H1536" s="214">
        <f>COMPOSICIÓN!H1536</f>
        <v>0.05</v>
      </c>
      <c r="I1536" s="215">
        <f>COMPOSICIÓN!I1536</f>
        <v>202.42</v>
      </c>
      <c r="J1536" s="212" t="str">
        <f>IFERROR(VLOOKUP(A1536,PARTIDAS!$A$2:$C$269,3,FALSE()),"")</f>
        <v>INSTALACIÓN ELÉCTRICA</v>
      </c>
      <c r="K1536" s="212" t="str">
        <f>IFERROR(INDEX(PPTO_GENERADOR!$B$4:$B$220,MATCH(A1536,PPTO_GENERADOR!$Q$4:$Q$220,0)),"")</f>
        <v/>
      </c>
      <c r="L1536" s="216">
        <f>IF(PLAN_ETAPA!$C$4="(TODOS)",SUMIFS(PPTO_GENERADOR!$E$4:$E$220,PPTO_GENERADOR!$Q$4:$Q$220,A1536),SUMIFS(PPTO_GENERADOR!$E$4:$E$220,PPTO_GENERADOR!$Q$4:$Q$220,A1536,PPTO_GENERADOR!$B$4:$B$220,PLAN_ETAPA!$C$4))</f>
        <v>0</v>
      </c>
      <c r="M1536" s="216">
        <f>IFERROR(VLOOKUP(A1536,PARTIDAS!$A$2:$F$269,6,FALSE()),1)</f>
        <v>3.25</v>
      </c>
      <c r="N1536" s="216">
        <f>IFERROR(VLOOKUP(A1536,PARTIDAS!$A$2:$I$269,9,FALSE()),1)</f>
        <v>1</v>
      </c>
      <c r="O1536" s="217">
        <f t="shared" si="46"/>
        <v>0</v>
      </c>
      <c r="P1536" s="216">
        <f>IF(O1536=0,0,IF(B1536="MAT",G1536*(1+H1536)*L1536*PLAN_ETAPA!$C$5,IF(B1536="MO",IF(M1536=0,0,G1536*L1536*PLAN_ETAPA!$C$5*N1536/M1536),IF(B1536="EQ",IF(M1536=0,0,G1536*L1536*PLAN_ETAPA!$C$5/M1536),0))))</f>
        <v>0</v>
      </c>
      <c r="Q1536" s="218">
        <f t="shared" si="47"/>
        <v>0</v>
      </c>
    </row>
    <row r="1537" spans="1:17" x14ac:dyDescent="0.35">
      <c r="A1537" s="212" t="str">
        <f>COMPOSICIÓN!A1537</f>
        <v>PTO-1810</v>
      </c>
      <c r="B1537" s="212" t="str">
        <f>COMPOSICIÓN!B1537</f>
        <v>EQ</v>
      </c>
      <c r="C1537" s="212">
        <f>COMPOSICIÓN!C1537</f>
        <v>0</v>
      </c>
      <c r="D1537" s="212" t="str">
        <f>COMPOSICIÓN!D1537</f>
        <v>EQ-ANDAM0</v>
      </c>
      <c r="E1537" s="212" t="str">
        <f>COMPOSICIÓN!E1537</f>
        <v>ANDAMIO TUBULAR DE UNO A TRES CUERPOS</v>
      </c>
      <c r="F1537" s="212">
        <f>COMPOSICIÓN!F1537</f>
        <v>0</v>
      </c>
      <c r="G1537" s="213">
        <f>COMPOSICIÓN!G1537</f>
        <v>0.5</v>
      </c>
      <c r="H1537" s="214">
        <f>COMPOSICIÓN!H1537</f>
        <v>0</v>
      </c>
      <c r="I1537" s="215">
        <f>COMPOSICIÓN!I1537</f>
        <v>571.1794909807611</v>
      </c>
      <c r="J1537" s="212" t="str">
        <f>IFERROR(VLOOKUP(A1537,PARTIDAS!$A$2:$C$269,3,FALSE()),"")</f>
        <v>INSTALACIÓN ELÉCTRICA</v>
      </c>
      <c r="K1537" s="212" t="str">
        <f>IFERROR(INDEX(PPTO_GENERADOR!$B$4:$B$220,MATCH(A1537,PPTO_GENERADOR!$Q$4:$Q$220,0)),"")</f>
        <v/>
      </c>
      <c r="L1537" s="216">
        <f>IF(PLAN_ETAPA!$C$4="(TODOS)",SUMIFS(PPTO_GENERADOR!$E$4:$E$220,PPTO_GENERADOR!$Q$4:$Q$220,A1537),SUMIFS(PPTO_GENERADOR!$E$4:$E$220,PPTO_GENERADOR!$Q$4:$Q$220,A1537,PPTO_GENERADOR!$B$4:$B$220,PLAN_ETAPA!$C$4))</f>
        <v>0</v>
      </c>
      <c r="M1537" s="216">
        <f>IFERROR(VLOOKUP(A1537,PARTIDAS!$A$2:$F$269,6,FALSE()),1)</f>
        <v>3.25</v>
      </c>
      <c r="N1537" s="216">
        <f>IFERROR(VLOOKUP(A1537,PARTIDAS!$A$2:$I$269,9,FALSE()),1)</f>
        <v>1</v>
      </c>
      <c r="O1537" s="217">
        <f t="shared" si="46"/>
        <v>0</v>
      </c>
      <c r="P1537" s="216">
        <f>IF(O1537=0,0,IF(B1537="MAT",G1537*(1+H1537)*L1537*PLAN_ETAPA!$C$5,IF(B1537="MO",IF(M1537=0,0,G1537*L1537*PLAN_ETAPA!$C$5*N1537/M1537),IF(B1537="EQ",IF(M1537=0,0,G1537*L1537*PLAN_ETAPA!$C$5/M1537),0))))</f>
        <v>0</v>
      </c>
      <c r="Q1537" s="218">
        <f t="shared" si="47"/>
        <v>0</v>
      </c>
    </row>
    <row r="1538" spans="1:17" x14ac:dyDescent="0.35">
      <c r="A1538" s="212" t="str">
        <f>COMPOSICIÓN!A1538</f>
        <v>PTO-1810</v>
      </c>
      <c r="B1538" s="212" t="str">
        <f>COMPOSICIÓN!B1538</f>
        <v>EQ</v>
      </c>
      <c r="C1538" s="212">
        <f>COMPOSICIÓN!C1538</f>
        <v>0</v>
      </c>
      <c r="D1538" s="212" t="str">
        <f>COMPOSICIÓN!D1538</f>
        <v>EQ-EQUIP0</v>
      </c>
      <c r="E1538" s="212" t="str">
        <f>COMPOSICIÓN!E1538</f>
        <v>EQUIPO PARA INSTALACION ELECTRICA</v>
      </c>
      <c r="F1538" s="212">
        <f>COMPOSICIÓN!F1538</f>
        <v>0</v>
      </c>
      <c r="G1538" s="213">
        <f>COMPOSICIÓN!G1538</f>
        <v>1</v>
      </c>
      <c r="H1538" s="214">
        <f>COMPOSICIÓN!H1538</f>
        <v>0</v>
      </c>
      <c r="I1538" s="215">
        <f>COMPOSICIÓN!I1538</f>
        <v>5063.0947914732405</v>
      </c>
      <c r="J1538" s="212" t="str">
        <f>IFERROR(VLOOKUP(A1538,PARTIDAS!$A$2:$C$269,3,FALSE()),"")</f>
        <v>INSTALACIÓN ELÉCTRICA</v>
      </c>
      <c r="K1538" s="212" t="str">
        <f>IFERROR(INDEX(PPTO_GENERADOR!$B$4:$B$220,MATCH(A1538,PPTO_GENERADOR!$Q$4:$Q$220,0)),"")</f>
        <v/>
      </c>
      <c r="L1538" s="216">
        <f>IF(PLAN_ETAPA!$C$4="(TODOS)",SUMIFS(PPTO_GENERADOR!$E$4:$E$220,PPTO_GENERADOR!$Q$4:$Q$220,A1538),SUMIFS(PPTO_GENERADOR!$E$4:$E$220,PPTO_GENERADOR!$Q$4:$Q$220,A1538,PPTO_GENERADOR!$B$4:$B$220,PLAN_ETAPA!$C$4))</f>
        <v>0</v>
      </c>
      <c r="M1538" s="216">
        <f>IFERROR(VLOOKUP(A1538,PARTIDAS!$A$2:$F$269,6,FALSE()),1)</f>
        <v>3.25</v>
      </c>
      <c r="N1538" s="216">
        <f>IFERROR(VLOOKUP(A1538,PARTIDAS!$A$2:$I$269,9,FALSE()),1)</f>
        <v>1</v>
      </c>
      <c r="O1538" s="217">
        <f t="shared" ref="O1538:O1601" si="48">IF(L1538&gt;0,1,0)</f>
        <v>0</v>
      </c>
      <c r="P1538" s="216">
        <f>IF(O1538=0,0,IF(B1538="MAT",G1538*(1+H1538)*L1538*PLAN_ETAPA!$C$5,IF(B1538="MO",IF(M1538=0,0,G1538*L1538*PLAN_ETAPA!$C$5*N1538/M1538),IF(B1538="EQ",IF(M1538=0,0,G1538*L1538*PLAN_ETAPA!$C$5/M1538),0))))</f>
        <v>0</v>
      </c>
      <c r="Q1538" s="218">
        <f t="shared" ref="Q1538:Q1601" si="49">P1538*I1538</f>
        <v>0</v>
      </c>
    </row>
    <row r="1539" spans="1:17" x14ac:dyDescent="0.35">
      <c r="A1539" s="212" t="str">
        <f>COMPOSICIÓN!A1539</f>
        <v>PTO-1810</v>
      </c>
      <c r="B1539" s="212" t="str">
        <f>COMPOSICIÓN!B1539</f>
        <v>EQ</v>
      </c>
      <c r="C1539" s="212">
        <f>COMPOSICIÓN!C1539</f>
        <v>0</v>
      </c>
      <c r="D1539" s="212" t="str">
        <f>COMPOSICIÓN!D1539</f>
        <v>EQ-ESCALE</v>
      </c>
      <c r="E1539" s="212" t="str">
        <f>COMPOSICIÓN!E1539</f>
        <v>ESCALERA GLOSS ALUMINIO ARTICULADA 4 X 4 ESCALONES HASTA 150KG</v>
      </c>
      <c r="F1539" s="212">
        <f>COMPOSICIÓN!F1539</f>
        <v>0</v>
      </c>
      <c r="G1539" s="213">
        <f>COMPOSICIÓN!G1539</f>
        <v>0.5</v>
      </c>
      <c r="H1539" s="214">
        <f>COMPOSICIÓN!H1539</f>
        <v>0</v>
      </c>
      <c r="I1539" s="215">
        <f>COMPOSICIÓN!I1539</f>
        <v>140.19809259430903</v>
      </c>
      <c r="J1539" s="212" t="str">
        <f>IFERROR(VLOOKUP(A1539,PARTIDAS!$A$2:$C$269,3,FALSE()),"")</f>
        <v>INSTALACIÓN ELÉCTRICA</v>
      </c>
      <c r="K1539" s="212" t="str">
        <f>IFERROR(INDEX(PPTO_GENERADOR!$B$4:$B$220,MATCH(A1539,PPTO_GENERADOR!$Q$4:$Q$220,0)),"")</f>
        <v/>
      </c>
      <c r="L1539" s="216">
        <f>IF(PLAN_ETAPA!$C$4="(TODOS)",SUMIFS(PPTO_GENERADOR!$E$4:$E$220,PPTO_GENERADOR!$Q$4:$Q$220,A1539),SUMIFS(PPTO_GENERADOR!$E$4:$E$220,PPTO_GENERADOR!$Q$4:$Q$220,A1539,PPTO_GENERADOR!$B$4:$B$220,PLAN_ETAPA!$C$4))</f>
        <v>0</v>
      </c>
      <c r="M1539" s="216">
        <f>IFERROR(VLOOKUP(A1539,PARTIDAS!$A$2:$F$269,6,FALSE()),1)</f>
        <v>3.25</v>
      </c>
      <c r="N1539" s="216">
        <f>IFERROR(VLOOKUP(A1539,PARTIDAS!$A$2:$I$269,9,FALSE()),1)</f>
        <v>1</v>
      </c>
      <c r="O1539" s="217">
        <f t="shared" si="48"/>
        <v>0</v>
      </c>
      <c r="P1539" s="216">
        <f>IF(O1539=0,0,IF(B1539="MAT",G1539*(1+H1539)*L1539*PLAN_ETAPA!$C$5,IF(B1539="MO",IF(M1539=0,0,G1539*L1539*PLAN_ETAPA!$C$5*N1539/M1539),IF(B1539="EQ",IF(M1539=0,0,G1539*L1539*PLAN_ETAPA!$C$5/M1539),0))))</f>
        <v>0</v>
      </c>
      <c r="Q1539" s="218">
        <f t="shared" si="49"/>
        <v>0</v>
      </c>
    </row>
    <row r="1540" spans="1:17" x14ac:dyDescent="0.35">
      <c r="A1540" s="212" t="str">
        <f>COMPOSICIÓN!A1540</f>
        <v>PTO-1810</v>
      </c>
      <c r="B1540" s="212" t="str">
        <f>COMPOSICIÓN!B1540</f>
        <v>MAT</v>
      </c>
      <c r="C1540" s="212" t="str">
        <f>COMPOSICIÓN!C1540</f>
        <v>OTR</v>
      </c>
      <c r="D1540" s="212" t="str">
        <f>COMPOSICIÓN!D1540</f>
        <v>ACE-017</v>
      </c>
      <c r="E1540" s="212" t="str">
        <f>COMPOSICIÓN!E1540</f>
        <v>Conector hierro 3/4"</v>
      </c>
      <c r="F1540" s="212" t="str">
        <f>COMPOSICIÓN!F1540</f>
        <v>u</v>
      </c>
      <c r="G1540" s="213">
        <f>COMPOSICIÓN!G1540</f>
        <v>4</v>
      </c>
      <c r="H1540" s="214">
        <f>COMPOSICIÓN!H1540</f>
        <v>0.1</v>
      </c>
      <c r="I1540" s="215">
        <f>COMPOSICIÓN!I1540</f>
        <v>225.83199999999999</v>
      </c>
      <c r="J1540" s="212" t="str">
        <f>IFERROR(VLOOKUP(A1540,PARTIDAS!$A$2:$C$269,3,FALSE()),"")</f>
        <v>INSTALACIÓN ELÉCTRICA</v>
      </c>
      <c r="K1540" s="212" t="str">
        <f>IFERROR(INDEX(PPTO_GENERADOR!$B$4:$B$220,MATCH(A1540,PPTO_GENERADOR!$Q$4:$Q$220,0)),"")</f>
        <v/>
      </c>
      <c r="L1540" s="216">
        <f>IF(PLAN_ETAPA!$C$4="(TODOS)",SUMIFS(PPTO_GENERADOR!$E$4:$E$220,PPTO_GENERADOR!$Q$4:$Q$220,A1540),SUMIFS(PPTO_GENERADOR!$E$4:$E$220,PPTO_GENERADOR!$Q$4:$Q$220,A1540,PPTO_GENERADOR!$B$4:$B$220,PLAN_ETAPA!$C$4))</f>
        <v>0</v>
      </c>
      <c r="M1540" s="216">
        <f>IFERROR(VLOOKUP(A1540,PARTIDAS!$A$2:$F$269,6,FALSE()),1)</f>
        <v>3.25</v>
      </c>
      <c r="N1540" s="216">
        <f>IFERROR(VLOOKUP(A1540,PARTIDAS!$A$2:$I$269,9,FALSE()),1)</f>
        <v>1</v>
      </c>
      <c r="O1540" s="217">
        <f t="shared" si="48"/>
        <v>0</v>
      </c>
      <c r="P1540" s="216">
        <f>IF(O1540=0,0,IF(B1540="MAT",G1540*(1+H1540)*L1540*PLAN_ETAPA!$C$5,IF(B1540="MO",IF(M1540=0,0,G1540*L1540*PLAN_ETAPA!$C$5*N1540/M1540),IF(B1540="EQ",IF(M1540=0,0,G1540*L1540*PLAN_ETAPA!$C$5/M1540),0))))</f>
        <v>0</v>
      </c>
      <c r="Q1540" s="218">
        <f t="shared" si="49"/>
        <v>0</v>
      </c>
    </row>
    <row r="1541" spans="1:17" x14ac:dyDescent="0.35">
      <c r="A1541" s="212" t="str">
        <f>COMPOSICIÓN!A1541</f>
        <v>PTO-1810</v>
      </c>
      <c r="B1541" s="212" t="str">
        <f>COMPOSICIÓN!B1541</f>
        <v>MAT</v>
      </c>
      <c r="C1541" s="212" t="str">
        <f>COMPOSICIÓN!C1541</f>
        <v>OTR</v>
      </c>
      <c r="D1541" s="212" t="str">
        <f>COMPOSICIÓN!D1541</f>
        <v>ELE-004</v>
      </c>
      <c r="E1541" s="212" t="str">
        <f>COMPOSICIÓN!E1541</f>
        <v>Caño rigido 3/4"</v>
      </c>
      <c r="F1541" s="212" t="str">
        <f>COMPOSICIÓN!F1541</f>
        <v>ml</v>
      </c>
      <c r="G1541" s="213">
        <f>COMPOSICIÓN!G1541</f>
        <v>5</v>
      </c>
      <c r="H1541" s="214">
        <f>COMPOSICIÓN!H1541</f>
        <v>0.05</v>
      </c>
      <c r="I1541" s="215">
        <f>COMPOSICIÓN!I1541</f>
        <v>472.18</v>
      </c>
      <c r="J1541" s="212" t="str">
        <f>IFERROR(VLOOKUP(A1541,PARTIDAS!$A$2:$C$269,3,FALSE()),"")</f>
        <v>INSTALACIÓN ELÉCTRICA</v>
      </c>
      <c r="K1541" s="212" t="str">
        <f>IFERROR(INDEX(PPTO_GENERADOR!$B$4:$B$220,MATCH(A1541,PPTO_GENERADOR!$Q$4:$Q$220,0)),"")</f>
        <v/>
      </c>
      <c r="L1541" s="216">
        <f>IF(PLAN_ETAPA!$C$4="(TODOS)",SUMIFS(PPTO_GENERADOR!$E$4:$E$220,PPTO_GENERADOR!$Q$4:$Q$220,A1541),SUMIFS(PPTO_GENERADOR!$E$4:$E$220,PPTO_GENERADOR!$Q$4:$Q$220,A1541,PPTO_GENERADOR!$B$4:$B$220,PLAN_ETAPA!$C$4))</f>
        <v>0</v>
      </c>
      <c r="M1541" s="216">
        <f>IFERROR(VLOOKUP(A1541,PARTIDAS!$A$2:$F$269,6,FALSE()),1)</f>
        <v>3.25</v>
      </c>
      <c r="N1541" s="216">
        <f>IFERROR(VLOOKUP(A1541,PARTIDAS!$A$2:$I$269,9,FALSE()),1)</f>
        <v>1</v>
      </c>
      <c r="O1541" s="217">
        <f t="shared" si="48"/>
        <v>0</v>
      </c>
      <c r="P1541" s="216">
        <f>IF(O1541=0,0,IF(B1541="MAT",G1541*(1+H1541)*L1541*PLAN_ETAPA!$C$5,IF(B1541="MO",IF(M1541=0,0,G1541*L1541*PLAN_ETAPA!$C$5*N1541/M1541),IF(B1541="EQ",IF(M1541=0,0,G1541*L1541*PLAN_ETAPA!$C$5/M1541),0))))</f>
        <v>0</v>
      </c>
      <c r="Q1541" s="218">
        <f t="shared" si="49"/>
        <v>0</v>
      </c>
    </row>
    <row r="1542" spans="1:17" x14ac:dyDescent="0.35">
      <c r="A1542" s="212" t="str">
        <f>COMPOSICIÓN!A1542</f>
        <v>PTO-1810</v>
      </c>
      <c r="B1542" s="212" t="str">
        <f>COMPOSICIÓN!B1542</f>
        <v>MAT</v>
      </c>
      <c r="C1542" s="212" t="str">
        <f>COMPOSICIÓN!C1542</f>
        <v>OTR</v>
      </c>
      <c r="D1542" s="212" t="str">
        <f>COMPOSICIÓN!D1542</f>
        <v>ELE-005</v>
      </c>
      <c r="E1542" s="212" t="str">
        <f>COMPOSICIÓN!E1542</f>
        <v>Cupla PVC 3/4"</v>
      </c>
      <c r="F1542" s="212" t="str">
        <f>COMPOSICIÓN!F1542</f>
        <v>u</v>
      </c>
      <c r="G1542" s="213">
        <f>COMPOSICIÓN!G1542</f>
        <v>1.2</v>
      </c>
      <c r="H1542" s="214">
        <f>COMPOSICIÓN!H1542</f>
        <v>0.1</v>
      </c>
      <c r="I1542" s="215">
        <f>COMPOSICIÓN!I1542</f>
        <v>110.922</v>
      </c>
      <c r="J1542" s="212" t="str">
        <f>IFERROR(VLOOKUP(A1542,PARTIDAS!$A$2:$C$269,3,FALSE()),"")</f>
        <v>INSTALACIÓN ELÉCTRICA</v>
      </c>
      <c r="K1542" s="212" t="str">
        <f>IFERROR(INDEX(PPTO_GENERADOR!$B$4:$B$220,MATCH(A1542,PPTO_GENERADOR!$Q$4:$Q$220,0)),"")</f>
        <v/>
      </c>
      <c r="L1542" s="216">
        <f>IF(PLAN_ETAPA!$C$4="(TODOS)",SUMIFS(PPTO_GENERADOR!$E$4:$E$220,PPTO_GENERADOR!$Q$4:$Q$220,A1542),SUMIFS(PPTO_GENERADOR!$E$4:$E$220,PPTO_GENERADOR!$Q$4:$Q$220,A1542,PPTO_GENERADOR!$B$4:$B$220,PLAN_ETAPA!$C$4))</f>
        <v>0</v>
      </c>
      <c r="M1542" s="216">
        <f>IFERROR(VLOOKUP(A1542,PARTIDAS!$A$2:$F$269,6,FALSE()),1)</f>
        <v>3.25</v>
      </c>
      <c r="N1542" s="216">
        <f>IFERROR(VLOOKUP(A1542,PARTIDAS!$A$2:$I$269,9,FALSE()),1)</f>
        <v>1</v>
      </c>
      <c r="O1542" s="217">
        <f t="shared" si="48"/>
        <v>0</v>
      </c>
      <c r="P1542" s="216">
        <f>IF(O1542=0,0,IF(B1542="MAT",G1542*(1+H1542)*L1542*PLAN_ETAPA!$C$5,IF(B1542="MO",IF(M1542=0,0,G1542*L1542*PLAN_ETAPA!$C$5*N1542/M1542),IF(B1542="EQ",IF(M1542=0,0,G1542*L1542*PLAN_ETAPA!$C$5/M1542),0))))</f>
        <v>0</v>
      </c>
      <c r="Q1542" s="218">
        <f t="shared" si="49"/>
        <v>0</v>
      </c>
    </row>
    <row r="1543" spans="1:17" x14ac:dyDescent="0.35">
      <c r="A1543" s="212" t="str">
        <f>COMPOSICIÓN!A1543</f>
        <v>PTO-1810</v>
      </c>
      <c r="B1543" s="212" t="str">
        <f>COMPOSICIÓN!B1543</f>
        <v>MAT</v>
      </c>
      <c r="C1543" s="212" t="str">
        <f>COMPOSICIÓN!C1543</f>
        <v>OTR</v>
      </c>
      <c r="D1543" s="212" t="str">
        <f>COMPOSICIÓN!D1543</f>
        <v>ELE-009</v>
      </c>
      <c r="E1543" s="212" t="str">
        <f>COMPOSICIÓN!E1543</f>
        <v>Cable unipolar 1 x 2,50 VA</v>
      </c>
      <c r="F1543" s="212" t="str">
        <f>COMPOSICIÓN!F1543</f>
        <v>ml</v>
      </c>
      <c r="G1543" s="213">
        <f>COMPOSICIÓN!G1543</f>
        <v>5</v>
      </c>
      <c r="H1543" s="214">
        <f>COMPOSICIÓN!H1543</f>
        <v>0.1</v>
      </c>
      <c r="I1543" s="215">
        <f>COMPOSICIÓN!I1543</f>
        <v>509.31490000000002</v>
      </c>
      <c r="J1543" s="212" t="str">
        <f>IFERROR(VLOOKUP(A1543,PARTIDAS!$A$2:$C$269,3,FALSE()),"")</f>
        <v>INSTALACIÓN ELÉCTRICA</v>
      </c>
      <c r="K1543" s="212" t="str">
        <f>IFERROR(INDEX(PPTO_GENERADOR!$B$4:$B$220,MATCH(A1543,PPTO_GENERADOR!$Q$4:$Q$220,0)),"")</f>
        <v/>
      </c>
      <c r="L1543" s="216">
        <f>IF(PLAN_ETAPA!$C$4="(TODOS)",SUMIFS(PPTO_GENERADOR!$E$4:$E$220,PPTO_GENERADOR!$Q$4:$Q$220,A1543),SUMIFS(PPTO_GENERADOR!$E$4:$E$220,PPTO_GENERADOR!$Q$4:$Q$220,A1543,PPTO_GENERADOR!$B$4:$B$220,PLAN_ETAPA!$C$4))</f>
        <v>0</v>
      </c>
      <c r="M1543" s="216">
        <f>IFERROR(VLOOKUP(A1543,PARTIDAS!$A$2:$F$269,6,FALSE()),1)</f>
        <v>3.25</v>
      </c>
      <c r="N1543" s="216">
        <f>IFERROR(VLOOKUP(A1543,PARTIDAS!$A$2:$I$269,9,FALSE()),1)</f>
        <v>1</v>
      </c>
      <c r="O1543" s="217">
        <f t="shared" si="48"/>
        <v>0</v>
      </c>
      <c r="P1543" s="216">
        <f>IF(O1543=0,0,IF(B1543="MAT",G1543*(1+H1543)*L1543*PLAN_ETAPA!$C$5,IF(B1543="MO",IF(M1543=0,0,G1543*L1543*PLAN_ETAPA!$C$5*N1543/M1543),IF(B1543="EQ",IF(M1543=0,0,G1543*L1543*PLAN_ETAPA!$C$5/M1543),0))))</f>
        <v>0</v>
      </c>
      <c r="Q1543" s="218">
        <f t="shared" si="49"/>
        <v>0</v>
      </c>
    </row>
    <row r="1544" spans="1:17" x14ac:dyDescent="0.35">
      <c r="A1544" s="212" t="str">
        <f>COMPOSICIÓN!A1544</f>
        <v>PTO-1810</v>
      </c>
      <c r="B1544" s="212" t="str">
        <f>COMPOSICIÓN!B1544</f>
        <v>MAT</v>
      </c>
      <c r="C1544" s="212" t="str">
        <f>COMPOSICIÓN!C1544</f>
        <v>OTR</v>
      </c>
      <c r="D1544" s="212" t="str">
        <f>COMPOSICIÓN!D1544</f>
        <v>ELE-010</v>
      </c>
      <c r="E1544" s="212" t="str">
        <f>COMPOSICIÓN!E1544</f>
        <v>Cable unipolar 1 x 2,50 Rojo/Marron/Negro</v>
      </c>
      <c r="F1544" s="212" t="str">
        <f>COMPOSICIÓN!F1544</f>
        <v>ml</v>
      </c>
      <c r="G1544" s="213">
        <f>COMPOSICIÓN!G1544</f>
        <v>10</v>
      </c>
      <c r="H1544" s="214">
        <f>COMPOSICIÓN!H1544</f>
        <v>0.1</v>
      </c>
      <c r="I1544" s="215">
        <f>COMPOSICIÓN!I1544</f>
        <v>509.31490000000002</v>
      </c>
      <c r="J1544" s="212" t="str">
        <f>IFERROR(VLOOKUP(A1544,PARTIDAS!$A$2:$C$269,3,FALSE()),"")</f>
        <v>INSTALACIÓN ELÉCTRICA</v>
      </c>
      <c r="K1544" s="212" t="str">
        <f>IFERROR(INDEX(PPTO_GENERADOR!$B$4:$B$220,MATCH(A1544,PPTO_GENERADOR!$Q$4:$Q$220,0)),"")</f>
        <v/>
      </c>
      <c r="L1544" s="216">
        <f>IF(PLAN_ETAPA!$C$4="(TODOS)",SUMIFS(PPTO_GENERADOR!$E$4:$E$220,PPTO_GENERADOR!$Q$4:$Q$220,A1544),SUMIFS(PPTO_GENERADOR!$E$4:$E$220,PPTO_GENERADOR!$Q$4:$Q$220,A1544,PPTO_GENERADOR!$B$4:$B$220,PLAN_ETAPA!$C$4))</f>
        <v>0</v>
      </c>
      <c r="M1544" s="216">
        <f>IFERROR(VLOOKUP(A1544,PARTIDAS!$A$2:$F$269,6,FALSE()),1)</f>
        <v>3.25</v>
      </c>
      <c r="N1544" s="216">
        <f>IFERROR(VLOOKUP(A1544,PARTIDAS!$A$2:$I$269,9,FALSE()),1)</f>
        <v>1</v>
      </c>
      <c r="O1544" s="217">
        <f t="shared" si="48"/>
        <v>0</v>
      </c>
      <c r="P1544" s="216">
        <f>IF(O1544=0,0,IF(B1544="MAT",G1544*(1+H1544)*L1544*PLAN_ETAPA!$C$5,IF(B1544="MO",IF(M1544=0,0,G1544*L1544*PLAN_ETAPA!$C$5*N1544/M1544),IF(B1544="EQ",IF(M1544=0,0,G1544*L1544*PLAN_ETAPA!$C$5/M1544),0))))</f>
        <v>0</v>
      </c>
      <c r="Q1544" s="218">
        <f t="shared" si="49"/>
        <v>0</v>
      </c>
    </row>
    <row r="1545" spans="1:17" x14ac:dyDescent="0.35">
      <c r="A1545" s="212" t="str">
        <f>COMPOSICIÓN!A1545</f>
        <v>PTO-1810</v>
      </c>
      <c r="B1545" s="212" t="str">
        <f>COMPOSICIÓN!B1545</f>
        <v>MAT</v>
      </c>
      <c r="C1545" s="212" t="str">
        <f>COMPOSICIÓN!C1545</f>
        <v>OTR</v>
      </c>
      <c r="D1545" s="212" t="str">
        <f>COMPOSICIÓN!D1545</f>
        <v>ELE-014</v>
      </c>
      <c r="E1545" s="212" t="str">
        <f>COMPOSICIÓN!E1545</f>
        <v>Caja rectangular chica</v>
      </c>
      <c r="F1545" s="212" t="str">
        <f>COMPOSICIÓN!F1545</f>
        <v>u</v>
      </c>
      <c r="G1545" s="213">
        <f>COMPOSICIÓN!G1545</f>
        <v>1</v>
      </c>
      <c r="H1545" s="214">
        <f>COMPOSICIÓN!H1545</f>
        <v>0.05</v>
      </c>
      <c r="I1545" s="215">
        <f>COMPOSICIÓN!I1545</f>
        <v>202.42</v>
      </c>
      <c r="J1545" s="212" t="str">
        <f>IFERROR(VLOOKUP(A1545,PARTIDAS!$A$2:$C$269,3,FALSE()),"")</f>
        <v>INSTALACIÓN ELÉCTRICA</v>
      </c>
      <c r="K1545" s="212" t="str">
        <f>IFERROR(INDEX(PPTO_GENERADOR!$B$4:$B$220,MATCH(A1545,PPTO_GENERADOR!$Q$4:$Q$220,0)),"")</f>
        <v/>
      </c>
      <c r="L1545" s="216">
        <f>IF(PLAN_ETAPA!$C$4="(TODOS)",SUMIFS(PPTO_GENERADOR!$E$4:$E$220,PPTO_GENERADOR!$Q$4:$Q$220,A1545),SUMIFS(PPTO_GENERADOR!$E$4:$E$220,PPTO_GENERADOR!$Q$4:$Q$220,A1545,PPTO_GENERADOR!$B$4:$B$220,PLAN_ETAPA!$C$4))</f>
        <v>0</v>
      </c>
      <c r="M1545" s="216">
        <f>IFERROR(VLOOKUP(A1545,PARTIDAS!$A$2:$F$269,6,FALSE()),1)</f>
        <v>3.25</v>
      </c>
      <c r="N1545" s="216">
        <f>IFERROR(VLOOKUP(A1545,PARTIDAS!$A$2:$I$269,9,FALSE()),1)</f>
        <v>1</v>
      </c>
      <c r="O1545" s="217">
        <f t="shared" si="48"/>
        <v>0</v>
      </c>
      <c r="P1545" s="216">
        <f>IF(O1545=0,0,IF(B1545="MAT",G1545*(1+H1545)*L1545*PLAN_ETAPA!$C$5,IF(B1545="MO",IF(M1545=0,0,G1545*L1545*PLAN_ETAPA!$C$5*N1545/M1545),IF(B1545="EQ",IF(M1545=0,0,G1545*L1545*PLAN_ETAPA!$C$5/M1545),0))))</f>
        <v>0</v>
      </c>
      <c r="Q1545" s="218">
        <f t="shared" si="49"/>
        <v>0</v>
      </c>
    </row>
    <row r="1546" spans="1:17" x14ac:dyDescent="0.35">
      <c r="A1546" s="212" t="str">
        <f>COMPOSICIÓN!A1546</f>
        <v>PTO-1811</v>
      </c>
      <c r="B1546" s="212" t="str">
        <f>COMPOSICIÓN!B1546</f>
        <v>EQ</v>
      </c>
      <c r="C1546" s="212">
        <f>COMPOSICIÓN!C1546</f>
        <v>0</v>
      </c>
      <c r="D1546" s="212" t="str">
        <f>COMPOSICIÓN!D1546</f>
        <v>EQ-ANDAM0</v>
      </c>
      <c r="E1546" s="212" t="str">
        <f>COMPOSICIÓN!E1546</f>
        <v>ANDAMIO TUBULAR DE UNO A TRES CUERPOS</v>
      </c>
      <c r="F1546" s="212">
        <f>COMPOSICIÓN!F1546</f>
        <v>0</v>
      </c>
      <c r="G1546" s="213">
        <f>COMPOSICIÓN!G1546</f>
        <v>0.5</v>
      </c>
      <c r="H1546" s="214">
        <f>COMPOSICIÓN!H1546</f>
        <v>0</v>
      </c>
      <c r="I1546" s="215">
        <f>COMPOSICIÓN!I1546</f>
        <v>571.1794909807611</v>
      </c>
      <c r="J1546" s="212" t="str">
        <f>IFERROR(VLOOKUP(A1546,PARTIDAS!$A$2:$C$269,3,FALSE()),"")</f>
        <v>INSTALACIÓN ELÉCTRICA</v>
      </c>
      <c r="K1546" s="212" t="str">
        <f>IFERROR(INDEX(PPTO_GENERADOR!$B$4:$B$220,MATCH(A1546,PPTO_GENERADOR!$Q$4:$Q$220,0)),"")</f>
        <v>INSTALACIÓN ELÉCTRICA</v>
      </c>
      <c r="L1546" s="216">
        <f>IF(PLAN_ETAPA!$C$4="(TODOS)",SUMIFS(PPTO_GENERADOR!$E$4:$E$220,PPTO_GENERADOR!$Q$4:$Q$220,A1546),SUMIFS(PPTO_GENERADOR!$E$4:$E$220,PPTO_GENERADOR!$Q$4:$Q$220,A1546,PPTO_GENERADOR!$B$4:$B$220,PLAN_ETAPA!$C$4))</f>
        <v>0</v>
      </c>
      <c r="M1546" s="216">
        <f>IFERROR(VLOOKUP(A1546,PARTIDAS!$A$2:$F$269,6,FALSE()),1)</f>
        <v>5</v>
      </c>
      <c r="N1546" s="216">
        <f>IFERROR(VLOOKUP(A1546,PARTIDAS!$A$2:$I$269,9,FALSE()),1)</f>
        <v>1</v>
      </c>
      <c r="O1546" s="217">
        <f t="shared" si="48"/>
        <v>0</v>
      </c>
      <c r="P1546" s="216">
        <f>IF(O1546=0,0,IF(B1546="MAT",G1546*(1+H1546)*L1546*PLAN_ETAPA!$C$5,IF(B1546="MO",IF(M1546=0,0,G1546*L1546*PLAN_ETAPA!$C$5*N1546/M1546),IF(B1546="EQ",IF(M1546=0,0,G1546*L1546*PLAN_ETAPA!$C$5/M1546),0))))</f>
        <v>0</v>
      </c>
      <c r="Q1546" s="218">
        <f t="shared" si="49"/>
        <v>0</v>
      </c>
    </row>
    <row r="1547" spans="1:17" x14ac:dyDescent="0.35">
      <c r="A1547" s="212" t="str">
        <f>COMPOSICIÓN!A1547</f>
        <v>PTO-1811</v>
      </c>
      <c r="B1547" s="212" t="str">
        <f>COMPOSICIÓN!B1547</f>
        <v>EQ</v>
      </c>
      <c r="C1547" s="212">
        <f>COMPOSICIÓN!C1547</f>
        <v>0</v>
      </c>
      <c r="D1547" s="212" t="str">
        <f>COMPOSICIÓN!D1547</f>
        <v>EQ-EQUIP0</v>
      </c>
      <c r="E1547" s="212" t="str">
        <f>COMPOSICIÓN!E1547</f>
        <v>EQUIPO PARA INSTALACION ELECTRICA</v>
      </c>
      <c r="F1547" s="212">
        <f>COMPOSICIÓN!F1547</f>
        <v>0</v>
      </c>
      <c r="G1547" s="213">
        <f>COMPOSICIÓN!G1547</f>
        <v>1</v>
      </c>
      <c r="H1547" s="214">
        <f>COMPOSICIÓN!H1547</f>
        <v>0</v>
      </c>
      <c r="I1547" s="215">
        <f>COMPOSICIÓN!I1547</f>
        <v>5063.0947914732405</v>
      </c>
      <c r="J1547" s="212" t="str">
        <f>IFERROR(VLOOKUP(A1547,PARTIDAS!$A$2:$C$269,3,FALSE()),"")</f>
        <v>INSTALACIÓN ELÉCTRICA</v>
      </c>
      <c r="K1547" s="212" t="str">
        <f>IFERROR(INDEX(PPTO_GENERADOR!$B$4:$B$220,MATCH(A1547,PPTO_GENERADOR!$Q$4:$Q$220,0)),"")</f>
        <v>INSTALACIÓN ELÉCTRICA</v>
      </c>
      <c r="L1547" s="216">
        <f>IF(PLAN_ETAPA!$C$4="(TODOS)",SUMIFS(PPTO_GENERADOR!$E$4:$E$220,PPTO_GENERADOR!$Q$4:$Q$220,A1547),SUMIFS(PPTO_GENERADOR!$E$4:$E$220,PPTO_GENERADOR!$Q$4:$Q$220,A1547,PPTO_GENERADOR!$B$4:$B$220,PLAN_ETAPA!$C$4))</f>
        <v>0</v>
      </c>
      <c r="M1547" s="216">
        <f>IFERROR(VLOOKUP(A1547,PARTIDAS!$A$2:$F$269,6,FALSE()),1)</f>
        <v>5</v>
      </c>
      <c r="N1547" s="216">
        <f>IFERROR(VLOOKUP(A1547,PARTIDAS!$A$2:$I$269,9,FALSE()),1)</f>
        <v>1</v>
      </c>
      <c r="O1547" s="217">
        <f t="shared" si="48"/>
        <v>0</v>
      </c>
      <c r="P1547" s="216">
        <f>IF(O1547=0,0,IF(B1547="MAT",G1547*(1+H1547)*L1547*PLAN_ETAPA!$C$5,IF(B1547="MO",IF(M1547=0,0,G1547*L1547*PLAN_ETAPA!$C$5*N1547/M1547),IF(B1547="EQ",IF(M1547=0,0,G1547*L1547*PLAN_ETAPA!$C$5/M1547),0))))</f>
        <v>0</v>
      </c>
      <c r="Q1547" s="218">
        <f t="shared" si="49"/>
        <v>0</v>
      </c>
    </row>
    <row r="1548" spans="1:17" x14ac:dyDescent="0.35">
      <c r="A1548" s="212" t="str">
        <f>COMPOSICIÓN!A1548</f>
        <v>PTO-1811</v>
      </c>
      <c r="B1548" s="212" t="str">
        <f>COMPOSICIÓN!B1548</f>
        <v>EQ</v>
      </c>
      <c r="C1548" s="212">
        <f>COMPOSICIÓN!C1548</f>
        <v>0</v>
      </c>
      <c r="D1548" s="212" t="str">
        <f>COMPOSICIÓN!D1548</f>
        <v>EQ-ESCALE</v>
      </c>
      <c r="E1548" s="212" t="str">
        <f>COMPOSICIÓN!E1548</f>
        <v>ESCALERA GLOSS ALUMINIO ARTICULADA 4 X 4 ESCALONES HASTA 150KG</v>
      </c>
      <c r="F1548" s="212">
        <f>COMPOSICIÓN!F1548</f>
        <v>0</v>
      </c>
      <c r="G1548" s="213">
        <f>COMPOSICIÓN!G1548</f>
        <v>0.5</v>
      </c>
      <c r="H1548" s="214">
        <f>COMPOSICIÓN!H1548</f>
        <v>0</v>
      </c>
      <c r="I1548" s="215">
        <f>COMPOSICIÓN!I1548</f>
        <v>140.19809259430903</v>
      </c>
      <c r="J1548" s="212" t="str">
        <f>IFERROR(VLOOKUP(A1548,PARTIDAS!$A$2:$C$269,3,FALSE()),"")</f>
        <v>INSTALACIÓN ELÉCTRICA</v>
      </c>
      <c r="K1548" s="212" t="str">
        <f>IFERROR(INDEX(PPTO_GENERADOR!$B$4:$B$220,MATCH(A1548,PPTO_GENERADOR!$Q$4:$Q$220,0)),"")</f>
        <v>INSTALACIÓN ELÉCTRICA</v>
      </c>
      <c r="L1548" s="216">
        <f>IF(PLAN_ETAPA!$C$4="(TODOS)",SUMIFS(PPTO_GENERADOR!$E$4:$E$220,PPTO_GENERADOR!$Q$4:$Q$220,A1548),SUMIFS(PPTO_GENERADOR!$E$4:$E$220,PPTO_GENERADOR!$Q$4:$Q$220,A1548,PPTO_GENERADOR!$B$4:$B$220,PLAN_ETAPA!$C$4))</f>
        <v>0</v>
      </c>
      <c r="M1548" s="216">
        <f>IFERROR(VLOOKUP(A1548,PARTIDAS!$A$2:$F$269,6,FALSE()),1)</f>
        <v>5</v>
      </c>
      <c r="N1548" s="216">
        <f>IFERROR(VLOOKUP(A1548,PARTIDAS!$A$2:$I$269,9,FALSE()),1)</f>
        <v>1</v>
      </c>
      <c r="O1548" s="217">
        <f t="shared" si="48"/>
        <v>0</v>
      </c>
      <c r="P1548" s="216">
        <f>IF(O1548=0,0,IF(B1548="MAT",G1548*(1+H1548)*L1548*PLAN_ETAPA!$C$5,IF(B1548="MO",IF(M1548=0,0,G1548*L1548*PLAN_ETAPA!$C$5*N1548/M1548),IF(B1548="EQ",IF(M1548=0,0,G1548*L1548*PLAN_ETAPA!$C$5/M1548),0))))</f>
        <v>0</v>
      </c>
      <c r="Q1548" s="218">
        <f t="shared" si="49"/>
        <v>0</v>
      </c>
    </row>
    <row r="1549" spans="1:17" x14ac:dyDescent="0.35">
      <c r="A1549" s="212" t="str">
        <f>COMPOSICIÓN!A1549</f>
        <v>PTO-1811</v>
      </c>
      <c r="B1549" s="212" t="str">
        <f>COMPOSICIÓN!B1549</f>
        <v>MAT</v>
      </c>
      <c r="C1549" s="212" t="str">
        <f>COMPOSICIÓN!C1549</f>
        <v>OTR</v>
      </c>
      <c r="D1549" s="212" t="str">
        <f>COMPOSICIÓN!D1549</f>
        <v>MAT-CONS</v>
      </c>
      <c r="E1549" s="212" t="str">
        <f>COMPOSICIÓN!E1549</f>
        <v>Consumibles</v>
      </c>
      <c r="F1549" s="212" t="str">
        <f>COMPOSICIÓN!F1549</f>
        <v>gl</v>
      </c>
      <c r="G1549" s="213">
        <f>COMPOSICIÓN!G1549</f>
        <v>2097.90076125</v>
      </c>
      <c r="H1549" s="214">
        <f>COMPOSICIÓN!H1549</f>
        <v>0</v>
      </c>
      <c r="I1549" s="215">
        <f>COMPOSICIÓN!I1549</f>
        <v>1</v>
      </c>
      <c r="J1549" s="212" t="str">
        <f>IFERROR(VLOOKUP(A1549,PARTIDAS!$A$2:$C$269,3,FALSE()),"")</f>
        <v>INSTALACIÓN ELÉCTRICA</v>
      </c>
      <c r="K1549" s="212" t="str">
        <f>IFERROR(INDEX(PPTO_GENERADOR!$B$4:$B$220,MATCH(A1549,PPTO_GENERADOR!$Q$4:$Q$220,0)),"")</f>
        <v>INSTALACIÓN ELÉCTRICA</v>
      </c>
      <c r="L1549" s="216">
        <f>IF(PLAN_ETAPA!$C$4="(TODOS)",SUMIFS(PPTO_GENERADOR!$E$4:$E$220,PPTO_GENERADOR!$Q$4:$Q$220,A1549),SUMIFS(PPTO_GENERADOR!$E$4:$E$220,PPTO_GENERADOR!$Q$4:$Q$220,A1549,PPTO_GENERADOR!$B$4:$B$220,PLAN_ETAPA!$C$4))</f>
        <v>0</v>
      </c>
      <c r="M1549" s="216">
        <f>IFERROR(VLOOKUP(A1549,PARTIDAS!$A$2:$F$269,6,FALSE()),1)</f>
        <v>5</v>
      </c>
      <c r="N1549" s="216">
        <f>IFERROR(VLOOKUP(A1549,PARTIDAS!$A$2:$I$269,9,FALSE()),1)</f>
        <v>1</v>
      </c>
      <c r="O1549" s="217">
        <f t="shared" si="48"/>
        <v>0</v>
      </c>
      <c r="P1549" s="216">
        <f>IF(O1549=0,0,IF(B1549="MAT",G1549*(1+H1549)*L1549*PLAN_ETAPA!$C$5,IF(B1549="MO",IF(M1549=0,0,G1549*L1549*PLAN_ETAPA!$C$5*N1549/M1549),IF(B1549="EQ",IF(M1549=0,0,G1549*L1549*PLAN_ETAPA!$C$5/M1549),0))))</f>
        <v>0</v>
      </c>
      <c r="Q1549" s="218">
        <f t="shared" si="49"/>
        <v>0</v>
      </c>
    </row>
    <row r="1550" spans="1:17" x14ac:dyDescent="0.35">
      <c r="A1550" s="212" t="str">
        <f>COMPOSICIÓN!A1550</f>
        <v>PTO-1811</v>
      </c>
      <c r="B1550" s="212" t="str">
        <f>COMPOSICIÓN!B1550</f>
        <v>MAT</v>
      </c>
      <c r="C1550" s="212" t="str">
        <f>COMPOSICIÓN!C1550</f>
        <v>OTR</v>
      </c>
      <c r="D1550" s="212" t="str">
        <f>COMPOSICIÓN!D1550</f>
        <v>ACE-019</v>
      </c>
      <c r="E1550" s="212" t="str">
        <f>COMPOSICIÓN!E1550</f>
        <v>Conector hierro 1"</v>
      </c>
      <c r="F1550" s="212" t="str">
        <f>COMPOSICIÓN!F1550</f>
        <v>u</v>
      </c>
      <c r="G1550" s="213">
        <f>COMPOSICIÓN!G1550</f>
        <v>4</v>
      </c>
      <c r="H1550" s="214">
        <f>COMPOSICIÓN!H1550</f>
        <v>0.1</v>
      </c>
      <c r="I1550" s="215">
        <f>COMPOSICIÓN!I1550</f>
        <v>351.14</v>
      </c>
      <c r="J1550" s="212" t="str">
        <f>IFERROR(VLOOKUP(A1550,PARTIDAS!$A$2:$C$269,3,FALSE()),"")</f>
        <v>INSTALACIÓN ELÉCTRICA</v>
      </c>
      <c r="K1550" s="212" t="str">
        <f>IFERROR(INDEX(PPTO_GENERADOR!$B$4:$B$220,MATCH(A1550,PPTO_GENERADOR!$Q$4:$Q$220,0)),"")</f>
        <v>INSTALACIÓN ELÉCTRICA</v>
      </c>
      <c r="L1550" s="216">
        <f>IF(PLAN_ETAPA!$C$4="(TODOS)",SUMIFS(PPTO_GENERADOR!$E$4:$E$220,PPTO_GENERADOR!$Q$4:$Q$220,A1550),SUMIFS(PPTO_GENERADOR!$E$4:$E$220,PPTO_GENERADOR!$Q$4:$Q$220,A1550,PPTO_GENERADOR!$B$4:$B$220,PLAN_ETAPA!$C$4))</f>
        <v>0</v>
      </c>
      <c r="M1550" s="216">
        <f>IFERROR(VLOOKUP(A1550,PARTIDAS!$A$2:$F$269,6,FALSE()),1)</f>
        <v>5</v>
      </c>
      <c r="N1550" s="216">
        <f>IFERROR(VLOOKUP(A1550,PARTIDAS!$A$2:$I$269,9,FALSE()),1)</f>
        <v>1</v>
      </c>
      <c r="O1550" s="217">
        <f t="shared" si="48"/>
        <v>0</v>
      </c>
      <c r="P1550" s="216">
        <f>IF(O1550=0,0,IF(B1550="MAT",G1550*(1+H1550)*L1550*PLAN_ETAPA!$C$5,IF(B1550="MO",IF(M1550=0,0,G1550*L1550*PLAN_ETAPA!$C$5*N1550/M1550),IF(B1550="EQ",IF(M1550=0,0,G1550*L1550*PLAN_ETAPA!$C$5/M1550),0))))</f>
        <v>0</v>
      </c>
      <c r="Q1550" s="218">
        <f t="shared" si="49"/>
        <v>0</v>
      </c>
    </row>
    <row r="1551" spans="1:17" x14ac:dyDescent="0.35">
      <c r="A1551" s="212" t="str">
        <f>COMPOSICIÓN!A1551</f>
        <v>PTO-1811</v>
      </c>
      <c r="B1551" s="212" t="str">
        <f>COMPOSICIÓN!B1551</f>
        <v>MAT</v>
      </c>
      <c r="C1551" s="212" t="str">
        <f>COMPOSICIÓN!C1551</f>
        <v>OTR</v>
      </c>
      <c r="D1551" s="212" t="str">
        <f>COMPOSICIÓN!D1551</f>
        <v>ELE-002</v>
      </c>
      <c r="E1551" s="212" t="str">
        <f>COMPOSICIÓN!E1551</f>
        <v>Caño rigido 1"</v>
      </c>
      <c r="F1551" s="212" t="str">
        <f>COMPOSICIÓN!F1551</f>
        <v>ml</v>
      </c>
      <c r="G1551" s="213">
        <f>COMPOSICIÓN!G1551</f>
        <v>7.5</v>
      </c>
      <c r="H1551" s="214">
        <f>COMPOSICIÓN!H1551</f>
        <v>0.05</v>
      </c>
      <c r="I1551" s="215">
        <f>COMPOSICIÓN!I1551</f>
        <v>666.92666666666696</v>
      </c>
      <c r="J1551" s="212" t="str">
        <f>IFERROR(VLOOKUP(A1551,PARTIDAS!$A$2:$C$269,3,FALSE()),"")</f>
        <v>INSTALACIÓN ELÉCTRICA</v>
      </c>
      <c r="K1551" s="212" t="str">
        <f>IFERROR(INDEX(PPTO_GENERADOR!$B$4:$B$220,MATCH(A1551,PPTO_GENERADOR!$Q$4:$Q$220,0)),"")</f>
        <v>INSTALACIÓN ELÉCTRICA</v>
      </c>
      <c r="L1551" s="216">
        <f>IF(PLAN_ETAPA!$C$4="(TODOS)",SUMIFS(PPTO_GENERADOR!$E$4:$E$220,PPTO_GENERADOR!$Q$4:$Q$220,A1551),SUMIFS(PPTO_GENERADOR!$E$4:$E$220,PPTO_GENERADOR!$Q$4:$Q$220,A1551,PPTO_GENERADOR!$B$4:$B$220,PLAN_ETAPA!$C$4))</f>
        <v>0</v>
      </c>
      <c r="M1551" s="216">
        <f>IFERROR(VLOOKUP(A1551,PARTIDAS!$A$2:$F$269,6,FALSE()),1)</f>
        <v>5</v>
      </c>
      <c r="N1551" s="216">
        <f>IFERROR(VLOOKUP(A1551,PARTIDAS!$A$2:$I$269,9,FALSE()),1)</f>
        <v>1</v>
      </c>
      <c r="O1551" s="217">
        <f t="shared" si="48"/>
        <v>0</v>
      </c>
      <c r="P1551" s="216">
        <f>IF(O1551=0,0,IF(B1551="MAT",G1551*(1+H1551)*L1551*PLAN_ETAPA!$C$5,IF(B1551="MO",IF(M1551=0,0,G1551*L1551*PLAN_ETAPA!$C$5*N1551/M1551),IF(B1551="EQ",IF(M1551=0,0,G1551*L1551*PLAN_ETAPA!$C$5/M1551),0))))</f>
        <v>0</v>
      </c>
      <c r="Q1551" s="218">
        <f t="shared" si="49"/>
        <v>0</v>
      </c>
    </row>
    <row r="1552" spans="1:17" x14ac:dyDescent="0.35">
      <c r="A1552" s="212" t="str">
        <f>COMPOSICIÓN!A1552</f>
        <v>PTO-1811</v>
      </c>
      <c r="B1552" s="212" t="str">
        <f>COMPOSICIÓN!B1552</f>
        <v>MAT</v>
      </c>
      <c r="C1552" s="212" t="str">
        <f>COMPOSICIÓN!C1552</f>
        <v>OTR</v>
      </c>
      <c r="D1552" s="212" t="str">
        <f>COMPOSICIÓN!D1552</f>
        <v>ELE-007</v>
      </c>
      <c r="E1552" s="212" t="str">
        <f>COMPOSICIÓN!E1552</f>
        <v>Cupla PVC 1"</v>
      </c>
      <c r="F1552" s="212" t="str">
        <f>COMPOSICIÓN!F1552</f>
        <v>u</v>
      </c>
      <c r="G1552" s="213">
        <f>COMPOSICIÓN!G1552</f>
        <v>1.2</v>
      </c>
      <c r="H1552" s="214">
        <f>COMPOSICIÓN!H1552</f>
        <v>0.1</v>
      </c>
      <c r="I1552" s="215">
        <f>COMPOSICIÓN!I1552</f>
        <v>280.10000000000002</v>
      </c>
      <c r="J1552" s="212" t="str">
        <f>IFERROR(VLOOKUP(A1552,PARTIDAS!$A$2:$C$269,3,FALSE()),"")</f>
        <v>INSTALACIÓN ELÉCTRICA</v>
      </c>
      <c r="K1552" s="212" t="str">
        <f>IFERROR(INDEX(PPTO_GENERADOR!$B$4:$B$220,MATCH(A1552,PPTO_GENERADOR!$Q$4:$Q$220,0)),"")</f>
        <v>INSTALACIÓN ELÉCTRICA</v>
      </c>
      <c r="L1552" s="216">
        <f>IF(PLAN_ETAPA!$C$4="(TODOS)",SUMIFS(PPTO_GENERADOR!$E$4:$E$220,PPTO_GENERADOR!$Q$4:$Q$220,A1552),SUMIFS(PPTO_GENERADOR!$E$4:$E$220,PPTO_GENERADOR!$Q$4:$Q$220,A1552,PPTO_GENERADOR!$B$4:$B$220,PLAN_ETAPA!$C$4))</f>
        <v>0</v>
      </c>
      <c r="M1552" s="216">
        <f>IFERROR(VLOOKUP(A1552,PARTIDAS!$A$2:$F$269,6,FALSE()),1)</f>
        <v>5</v>
      </c>
      <c r="N1552" s="216">
        <f>IFERROR(VLOOKUP(A1552,PARTIDAS!$A$2:$I$269,9,FALSE()),1)</f>
        <v>1</v>
      </c>
      <c r="O1552" s="217">
        <f t="shared" si="48"/>
        <v>0</v>
      </c>
      <c r="P1552" s="216">
        <f>IF(O1552=0,0,IF(B1552="MAT",G1552*(1+H1552)*L1552*PLAN_ETAPA!$C$5,IF(B1552="MO",IF(M1552=0,0,G1552*L1552*PLAN_ETAPA!$C$5*N1552/M1552),IF(B1552="EQ",IF(M1552=0,0,G1552*L1552*PLAN_ETAPA!$C$5/M1552),0))))</f>
        <v>0</v>
      </c>
      <c r="Q1552" s="218">
        <f t="shared" si="49"/>
        <v>0</v>
      </c>
    </row>
    <row r="1553" spans="1:17" x14ac:dyDescent="0.35">
      <c r="A1553" s="212" t="str">
        <f>COMPOSICIÓN!A1553</f>
        <v>PTO-1811</v>
      </c>
      <c r="B1553" s="212" t="str">
        <f>COMPOSICIÓN!B1553</f>
        <v>MAT</v>
      </c>
      <c r="C1553" s="212" t="str">
        <f>COMPOSICIÓN!C1553</f>
        <v>OTR</v>
      </c>
      <c r="D1553" s="212" t="str">
        <f>COMPOSICIÓN!D1553</f>
        <v>ELE-008</v>
      </c>
      <c r="E1553" s="212" t="str">
        <f>COMPOSICIÓN!E1553</f>
        <v>Cable unipolar 1 x 1,50</v>
      </c>
      <c r="F1553" s="212" t="str">
        <f>COMPOSICIÓN!F1553</f>
        <v>ml</v>
      </c>
      <c r="G1553" s="213">
        <f>COMPOSICIÓN!G1553</f>
        <v>7.5</v>
      </c>
      <c r="H1553" s="214">
        <f>COMPOSICIÓN!H1553</f>
        <v>0.1</v>
      </c>
      <c r="I1553" s="215">
        <f>COMPOSICIÓN!I1553</f>
        <v>316.44450000000001</v>
      </c>
      <c r="J1553" s="212" t="str">
        <f>IFERROR(VLOOKUP(A1553,PARTIDAS!$A$2:$C$269,3,FALSE()),"")</f>
        <v>INSTALACIÓN ELÉCTRICA</v>
      </c>
      <c r="K1553" s="212" t="str">
        <f>IFERROR(INDEX(PPTO_GENERADOR!$B$4:$B$220,MATCH(A1553,PPTO_GENERADOR!$Q$4:$Q$220,0)),"")</f>
        <v>INSTALACIÓN ELÉCTRICA</v>
      </c>
      <c r="L1553" s="216">
        <f>IF(PLAN_ETAPA!$C$4="(TODOS)",SUMIFS(PPTO_GENERADOR!$E$4:$E$220,PPTO_GENERADOR!$Q$4:$Q$220,A1553),SUMIFS(PPTO_GENERADOR!$E$4:$E$220,PPTO_GENERADOR!$Q$4:$Q$220,A1553,PPTO_GENERADOR!$B$4:$B$220,PLAN_ETAPA!$C$4))</f>
        <v>0</v>
      </c>
      <c r="M1553" s="216">
        <f>IFERROR(VLOOKUP(A1553,PARTIDAS!$A$2:$F$269,6,FALSE()),1)</f>
        <v>5</v>
      </c>
      <c r="N1553" s="216">
        <f>IFERROR(VLOOKUP(A1553,PARTIDAS!$A$2:$I$269,9,FALSE()),1)</f>
        <v>1</v>
      </c>
      <c r="O1553" s="217">
        <f t="shared" si="48"/>
        <v>0</v>
      </c>
      <c r="P1553" s="216">
        <f>IF(O1553=0,0,IF(B1553="MAT",G1553*(1+H1553)*L1553*PLAN_ETAPA!$C$5,IF(B1553="MO",IF(M1553=0,0,G1553*L1553*PLAN_ETAPA!$C$5*N1553/M1553),IF(B1553="EQ",IF(M1553=0,0,G1553*L1553*PLAN_ETAPA!$C$5/M1553),0))))</f>
        <v>0</v>
      </c>
      <c r="Q1553" s="218">
        <f t="shared" si="49"/>
        <v>0</v>
      </c>
    </row>
    <row r="1554" spans="1:17" x14ac:dyDescent="0.35">
      <c r="A1554" s="212" t="str">
        <f>COMPOSICIÓN!A1554</f>
        <v>PTO-1811</v>
      </c>
      <c r="B1554" s="212" t="str">
        <f>COMPOSICIÓN!B1554</f>
        <v>MAT</v>
      </c>
      <c r="C1554" s="212" t="str">
        <f>COMPOSICIÓN!C1554</f>
        <v>OTR</v>
      </c>
      <c r="D1554" s="212" t="str">
        <f>COMPOSICIÓN!D1554</f>
        <v>ELE-014</v>
      </c>
      <c r="E1554" s="212" t="str">
        <f>COMPOSICIÓN!E1554</f>
        <v>Caja rectangular chica</v>
      </c>
      <c r="F1554" s="212" t="str">
        <f>COMPOSICIÓN!F1554</f>
        <v>u</v>
      </c>
      <c r="G1554" s="213">
        <f>COMPOSICIÓN!G1554</f>
        <v>1</v>
      </c>
      <c r="H1554" s="214">
        <f>COMPOSICIÓN!H1554</f>
        <v>0.05</v>
      </c>
      <c r="I1554" s="215">
        <f>COMPOSICIÓN!I1554</f>
        <v>202.42</v>
      </c>
      <c r="J1554" s="212" t="str">
        <f>IFERROR(VLOOKUP(A1554,PARTIDAS!$A$2:$C$269,3,FALSE()),"")</f>
        <v>INSTALACIÓN ELÉCTRICA</v>
      </c>
      <c r="K1554" s="212" t="str">
        <f>IFERROR(INDEX(PPTO_GENERADOR!$B$4:$B$220,MATCH(A1554,PPTO_GENERADOR!$Q$4:$Q$220,0)),"")</f>
        <v>INSTALACIÓN ELÉCTRICA</v>
      </c>
      <c r="L1554" s="216">
        <f>IF(PLAN_ETAPA!$C$4="(TODOS)",SUMIFS(PPTO_GENERADOR!$E$4:$E$220,PPTO_GENERADOR!$Q$4:$Q$220,A1554),SUMIFS(PPTO_GENERADOR!$E$4:$E$220,PPTO_GENERADOR!$Q$4:$Q$220,A1554,PPTO_GENERADOR!$B$4:$B$220,PLAN_ETAPA!$C$4))</f>
        <v>0</v>
      </c>
      <c r="M1554" s="216">
        <f>IFERROR(VLOOKUP(A1554,PARTIDAS!$A$2:$F$269,6,FALSE()),1)</f>
        <v>5</v>
      </c>
      <c r="N1554" s="216">
        <f>IFERROR(VLOOKUP(A1554,PARTIDAS!$A$2:$I$269,9,FALSE()),1)</f>
        <v>1</v>
      </c>
      <c r="O1554" s="217">
        <f t="shared" si="48"/>
        <v>0</v>
      </c>
      <c r="P1554" s="216">
        <f>IF(O1554=0,0,IF(B1554="MAT",G1554*(1+H1554)*L1554*PLAN_ETAPA!$C$5,IF(B1554="MO",IF(M1554=0,0,G1554*L1554*PLAN_ETAPA!$C$5*N1554/M1554),IF(B1554="EQ",IF(M1554=0,0,G1554*L1554*PLAN_ETAPA!$C$5/M1554),0))))</f>
        <v>0</v>
      </c>
      <c r="Q1554" s="218">
        <f t="shared" si="49"/>
        <v>0</v>
      </c>
    </row>
    <row r="1555" spans="1:17" x14ac:dyDescent="0.35">
      <c r="A1555" s="212" t="str">
        <f>COMPOSICIÓN!A1555</f>
        <v>PTO-1812</v>
      </c>
      <c r="B1555" s="212" t="str">
        <f>COMPOSICIÓN!B1555</f>
        <v>EQ</v>
      </c>
      <c r="C1555" s="212">
        <f>COMPOSICIÓN!C1555</f>
        <v>0</v>
      </c>
      <c r="D1555" s="212" t="str">
        <f>COMPOSICIÓN!D1555</f>
        <v>EQ-ANDAM0</v>
      </c>
      <c r="E1555" s="212" t="str">
        <f>COMPOSICIÓN!E1555</f>
        <v>ANDAMIO TUBULAR DE UNO A TRES CUERPOS</v>
      </c>
      <c r="F1555" s="212">
        <f>COMPOSICIÓN!F1555</f>
        <v>0</v>
      </c>
      <c r="G1555" s="213">
        <f>COMPOSICIÓN!G1555</f>
        <v>0.5</v>
      </c>
      <c r="H1555" s="214">
        <f>COMPOSICIÓN!H1555</f>
        <v>0</v>
      </c>
      <c r="I1555" s="215">
        <f>COMPOSICIÓN!I1555</f>
        <v>571.1794909807611</v>
      </c>
      <c r="J1555" s="212" t="str">
        <f>IFERROR(VLOOKUP(A1555,PARTIDAS!$A$2:$C$269,3,FALSE()),"")</f>
        <v>INSTALACIÓN ELÉCTRICA</v>
      </c>
      <c r="K1555" s="212" t="str">
        <f>IFERROR(INDEX(PPTO_GENERADOR!$B$4:$B$220,MATCH(A1555,PPTO_GENERADOR!$Q$4:$Q$220,0)),"")</f>
        <v/>
      </c>
      <c r="L1555" s="216">
        <f>IF(PLAN_ETAPA!$C$4="(TODOS)",SUMIFS(PPTO_GENERADOR!$E$4:$E$220,PPTO_GENERADOR!$Q$4:$Q$220,A1555),SUMIFS(PPTO_GENERADOR!$E$4:$E$220,PPTO_GENERADOR!$Q$4:$Q$220,A1555,PPTO_GENERADOR!$B$4:$B$220,PLAN_ETAPA!$C$4))</f>
        <v>0</v>
      </c>
      <c r="M1555" s="216">
        <f>IFERROR(VLOOKUP(A1555,PARTIDAS!$A$2:$F$269,6,FALSE()),1)</f>
        <v>5</v>
      </c>
      <c r="N1555" s="216">
        <f>IFERROR(VLOOKUP(A1555,PARTIDAS!$A$2:$I$269,9,FALSE()),1)</f>
        <v>1</v>
      </c>
      <c r="O1555" s="217">
        <f t="shared" si="48"/>
        <v>0</v>
      </c>
      <c r="P1555" s="216">
        <f>IF(O1555=0,0,IF(B1555="MAT",G1555*(1+H1555)*L1555*PLAN_ETAPA!$C$5,IF(B1555="MO",IF(M1555=0,0,G1555*L1555*PLAN_ETAPA!$C$5*N1555/M1555),IF(B1555="EQ",IF(M1555=0,0,G1555*L1555*PLAN_ETAPA!$C$5/M1555),0))))</f>
        <v>0</v>
      </c>
      <c r="Q1555" s="218">
        <f t="shared" si="49"/>
        <v>0</v>
      </c>
    </row>
    <row r="1556" spans="1:17" x14ac:dyDescent="0.35">
      <c r="A1556" s="212" t="str">
        <f>COMPOSICIÓN!A1556</f>
        <v>PTO-1812</v>
      </c>
      <c r="B1556" s="212" t="str">
        <f>COMPOSICIÓN!B1556</f>
        <v>EQ</v>
      </c>
      <c r="C1556" s="212">
        <f>COMPOSICIÓN!C1556</f>
        <v>0</v>
      </c>
      <c r="D1556" s="212" t="str">
        <f>COMPOSICIÓN!D1556</f>
        <v>EQ-EQUIP0</v>
      </c>
      <c r="E1556" s="212" t="str">
        <f>COMPOSICIÓN!E1556</f>
        <v>EQUIPO PARA INSTALACION ELECTRICA</v>
      </c>
      <c r="F1556" s="212">
        <f>COMPOSICIÓN!F1556</f>
        <v>0</v>
      </c>
      <c r="G1556" s="213">
        <f>COMPOSICIÓN!G1556</f>
        <v>1</v>
      </c>
      <c r="H1556" s="214">
        <f>COMPOSICIÓN!H1556</f>
        <v>0</v>
      </c>
      <c r="I1556" s="215">
        <f>COMPOSICIÓN!I1556</f>
        <v>5063.0947914732405</v>
      </c>
      <c r="J1556" s="212" t="str">
        <f>IFERROR(VLOOKUP(A1556,PARTIDAS!$A$2:$C$269,3,FALSE()),"")</f>
        <v>INSTALACIÓN ELÉCTRICA</v>
      </c>
      <c r="K1556" s="212" t="str">
        <f>IFERROR(INDEX(PPTO_GENERADOR!$B$4:$B$220,MATCH(A1556,PPTO_GENERADOR!$Q$4:$Q$220,0)),"")</f>
        <v/>
      </c>
      <c r="L1556" s="216">
        <f>IF(PLAN_ETAPA!$C$4="(TODOS)",SUMIFS(PPTO_GENERADOR!$E$4:$E$220,PPTO_GENERADOR!$Q$4:$Q$220,A1556),SUMIFS(PPTO_GENERADOR!$E$4:$E$220,PPTO_GENERADOR!$Q$4:$Q$220,A1556,PPTO_GENERADOR!$B$4:$B$220,PLAN_ETAPA!$C$4))</f>
        <v>0</v>
      </c>
      <c r="M1556" s="216">
        <f>IFERROR(VLOOKUP(A1556,PARTIDAS!$A$2:$F$269,6,FALSE()),1)</f>
        <v>5</v>
      </c>
      <c r="N1556" s="216">
        <f>IFERROR(VLOOKUP(A1556,PARTIDAS!$A$2:$I$269,9,FALSE()),1)</f>
        <v>1</v>
      </c>
      <c r="O1556" s="217">
        <f t="shared" si="48"/>
        <v>0</v>
      </c>
      <c r="P1556" s="216">
        <f>IF(O1556=0,0,IF(B1556="MAT",G1556*(1+H1556)*L1556*PLAN_ETAPA!$C$5,IF(B1556="MO",IF(M1556=0,0,G1556*L1556*PLAN_ETAPA!$C$5*N1556/M1556),IF(B1556="EQ",IF(M1556=0,0,G1556*L1556*PLAN_ETAPA!$C$5/M1556),0))))</f>
        <v>0</v>
      </c>
      <c r="Q1556" s="218">
        <f t="shared" si="49"/>
        <v>0</v>
      </c>
    </row>
    <row r="1557" spans="1:17" x14ac:dyDescent="0.35">
      <c r="A1557" s="212" t="str">
        <f>COMPOSICIÓN!A1557</f>
        <v>PTO-1812</v>
      </c>
      <c r="B1557" s="212" t="str">
        <f>COMPOSICIÓN!B1557</f>
        <v>EQ</v>
      </c>
      <c r="C1557" s="212">
        <f>COMPOSICIÓN!C1557</f>
        <v>0</v>
      </c>
      <c r="D1557" s="212" t="str">
        <f>COMPOSICIÓN!D1557</f>
        <v>EQ-ESCALE</v>
      </c>
      <c r="E1557" s="212" t="str">
        <f>COMPOSICIÓN!E1557</f>
        <v>ESCALERA GLOSS ALUMINIO ARTICULADA 4 X 4 ESCALONES HASTA 150KG</v>
      </c>
      <c r="F1557" s="212">
        <f>COMPOSICIÓN!F1557</f>
        <v>0</v>
      </c>
      <c r="G1557" s="213">
        <f>COMPOSICIÓN!G1557</f>
        <v>0.5</v>
      </c>
      <c r="H1557" s="214">
        <f>COMPOSICIÓN!H1557</f>
        <v>0</v>
      </c>
      <c r="I1557" s="215">
        <f>COMPOSICIÓN!I1557</f>
        <v>140.19809259430903</v>
      </c>
      <c r="J1557" s="212" t="str">
        <f>IFERROR(VLOOKUP(A1557,PARTIDAS!$A$2:$C$269,3,FALSE()),"")</f>
        <v>INSTALACIÓN ELÉCTRICA</v>
      </c>
      <c r="K1557" s="212" t="str">
        <f>IFERROR(INDEX(PPTO_GENERADOR!$B$4:$B$220,MATCH(A1557,PPTO_GENERADOR!$Q$4:$Q$220,0)),"")</f>
        <v/>
      </c>
      <c r="L1557" s="216">
        <f>IF(PLAN_ETAPA!$C$4="(TODOS)",SUMIFS(PPTO_GENERADOR!$E$4:$E$220,PPTO_GENERADOR!$Q$4:$Q$220,A1557),SUMIFS(PPTO_GENERADOR!$E$4:$E$220,PPTO_GENERADOR!$Q$4:$Q$220,A1557,PPTO_GENERADOR!$B$4:$B$220,PLAN_ETAPA!$C$4))</f>
        <v>0</v>
      </c>
      <c r="M1557" s="216">
        <f>IFERROR(VLOOKUP(A1557,PARTIDAS!$A$2:$F$269,6,FALSE()),1)</f>
        <v>5</v>
      </c>
      <c r="N1557" s="216">
        <f>IFERROR(VLOOKUP(A1557,PARTIDAS!$A$2:$I$269,9,FALSE()),1)</f>
        <v>1</v>
      </c>
      <c r="O1557" s="217">
        <f t="shared" si="48"/>
        <v>0</v>
      </c>
      <c r="P1557" s="216">
        <f>IF(O1557=0,0,IF(B1557="MAT",G1557*(1+H1557)*L1557*PLAN_ETAPA!$C$5,IF(B1557="MO",IF(M1557=0,0,G1557*L1557*PLAN_ETAPA!$C$5*N1557/M1557),IF(B1557="EQ",IF(M1557=0,0,G1557*L1557*PLAN_ETAPA!$C$5/M1557),0))))</f>
        <v>0</v>
      </c>
      <c r="Q1557" s="218">
        <f t="shared" si="49"/>
        <v>0</v>
      </c>
    </row>
    <row r="1558" spans="1:17" x14ac:dyDescent="0.35">
      <c r="A1558" s="212" t="str">
        <f>COMPOSICIÓN!A1558</f>
        <v>PTO-1812</v>
      </c>
      <c r="B1558" s="212" t="str">
        <f>COMPOSICIÓN!B1558</f>
        <v>MAT</v>
      </c>
      <c r="C1558" s="212" t="str">
        <f>COMPOSICIÓN!C1558</f>
        <v>OTR</v>
      </c>
      <c r="D1558" s="212" t="str">
        <f>COMPOSICIÓN!D1558</f>
        <v>ACE-019</v>
      </c>
      <c r="E1558" s="212" t="str">
        <f>COMPOSICIÓN!E1558</f>
        <v>Conector hierro 1"</v>
      </c>
      <c r="F1558" s="212" t="str">
        <f>COMPOSICIÓN!F1558</f>
        <v>u</v>
      </c>
      <c r="G1558" s="213">
        <f>COMPOSICIÓN!G1558</f>
        <v>3</v>
      </c>
      <c r="H1558" s="214">
        <f>COMPOSICIÓN!H1558</f>
        <v>0.1</v>
      </c>
      <c r="I1558" s="215">
        <f>COMPOSICIÓN!I1558</f>
        <v>351.14</v>
      </c>
      <c r="J1558" s="212" t="str">
        <f>IFERROR(VLOOKUP(A1558,PARTIDAS!$A$2:$C$269,3,FALSE()),"")</f>
        <v>INSTALACIÓN ELÉCTRICA</v>
      </c>
      <c r="K1558" s="212" t="str">
        <f>IFERROR(INDEX(PPTO_GENERADOR!$B$4:$B$220,MATCH(A1558,PPTO_GENERADOR!$Q$4:$Q$220,0)),"")</f>
        <v/>
      </c>
      <c r="L1558" s="216">
        <f>IF(PLAN_ETAPA!$C$4="(TODOS)",SUMIFS(PPTO_GENERADOR!$E$4:$E$220,PPTO_GENERADOR!$Q$4:$Q$220,A1558),SUMIFS(PPTO_GENERADOR!$E$4:$E$220,PPTO_GENERADOR!$Q$4:$Q$220,A1558,PPTO_GENERADOR!$B$4:$B$220,PLAN_ETAPA!$C$4))</f>
        <v>0</v>
      </c>
      <c r="M1558" s="216">
        <f>IFERROR(VLOOKUP(A1558,PARTIDAS!$A$2:$F$269,6,FALSE()),1)</f>
        <v>5</v>
      </c>
      <c r="N1558" s="216">
        <f>IFERROR(VLOOKUP(A1558,PARTIDAS!$A$2:$I$269,9,FALSE()),1)</f>
        <v>1</v>
      </c>
      <c r="O1558" s="217">
        <f t="shared" si="48"/>
        <v>0</v>
      </c>
      <c r="P1558" s="216">
        <f>IF(O1558=0,0,IF(B1558="MAT",G1558*(1+H1558)*L1558*PLAN_ETAPA!$C$5,IF(B1558="MO",IF(M1558=0,0,G1558*L1558*PLAN_ETAPA!$C$5*N1558/M1558),IF(B1558="EQ",IF(M1558=0,0,G1558*L1558*PLAN_ETAPA!$C$5/M1558),0))))</f>
        <v>0</v>
      </c>
      <c r="Q1558" s="218">
        <f t="shared" si="49"/>
        <v>0</v>
      </c>
    </row>
    <row r="1559" spans="1:17" x14ac:dyDescent="0.35">
      <c r="A1559" s="212" t="str">
        <f>COMPOSICIÓN!A1559</f>
        <v>PTO-1812</v>
      </c>
      <c r="B1559" s="212" t="str">
        <f>COMPOSICIÓN!B1559</f>
        <v>MAT</v>
      </c>
      <c r="C1559" s="212" t="str">
        <f>COMPOSICIÓN!C1559</f>
        <v>OTR</v>
      </c>
      <c r="D1559" s="212" t="str">
        <f>COMPOSICIÓN!D1559</f>
        <v>ELE-002</v>
      </c>
      <c r="E1559" s="212" t="str">
        <f>COMPOSICIÓN!E1559</f>
        <v>Caño rigido 1"</v>
      </c>
      <c r="F1559" s="212" t="str">
        <f>COMPOSICIÓN!F1559</f>
        <v>ml</v>
      </c>
      <c r="G1559" s="213">
        <f>COMPOSICIÓN!G1559</f>
        <v>7.5</v>
      </c>
      <c r="H1559" s="214">
        <f>COMPOSICIÓN!H1559</f>
        <v>0.1</v>
      </c>
      <c r="I1559" s="215">
        <f>COMPOSICIÓN!I1559</f>
        <v>666.92666666666696</v>
      </c>
      <c r="J1559" s="212" t="str">
        <f>IFERROR(VLOOKUP(A1559,PARTIDAS!$A$2:$C$269,3,FALSE()),"")</f>
        <v>INSTALACIÓN ELÉCTRICA</v>
      </c>
      <c r="K1559" s="212" t="str">
        <f>IFERROR(INDEX(PPTO_GENERADOR!$B$4:$B$220,MATCH(A1559,PPTO_GENERADOR!$Q$4:$Q$220,0)),"")</f>
        <v/>
      </c>
      <c r="L1559" s="216">
        <f>IF(PLAN_ETAPA!$C$4="(TODOS)",SUMIFS(PPTO_GENERADOR!$E$4:$E$220,PPTO_GENERADOR!$Q$4:$Q$220,A1559),SUMIFS(PPTO_GENERADOR!$E$4:$E$220,PPTO_GENERADOR!$Q$4:$Q$220,A1559,PPTO_GENERADOR!$B$4:$B$220,PLAN_ETAPA!$C$4))</f>
        <v>0</v>
      </c>
      <c r="M1559" s="216">
        <f>IFERROR(VLOOKUP(A1559,PARTIDAS!$A$2:$F$269,6,FALSE()),1)</f>
        <v>5</v>
      </c>
      <c r="N1559" s="216">
        <f>IFERROR(VLOOKUP(A1559,PARTIDAS!$A$2:$I$269,9,FALSE()),1)</f>
        <v>1</v>
      </c>
      <c r="O1559" s="217">
        <f t="shared" si="48"/>
        <v>0</v>
      </c>
      <c r="P1559" s="216">
        <f>IF(O1559=0,0,IF(B1559="MAT",G1559*(1+H1559)*L1559*PLAN_ETAPA!$C$5,IF(B1559="MO",IF(M1559=0,0,G1559*L1559*PLAN_ETAPA!$C$5*N1559/M1559),IF(B1559="EQ",IF(M1559=0,0,G1559*L1559*PLAN_ETAPA!$C$5/M1559),0))))</f>
        <v>0</v>
      </c>
      <c r="Q1559" s="218">
        <f t="shared" si="49"/>
        <v>0</v>
      </c>
    </row>
    <row r="1560" spans="1:17" x14ac:dyDescent="0.35">
      <c r="A1560" s="212" t="str">
        <f>COMPOSICIÓN!A1560</f>
        <v>PTO-1812</v>
      </c>
      <c r="B1560" s="212" t="str">
        <f>COMPOSICIÓN!B1560</f>
        <v>MAT</v>
      </c>
      <c r="C1560" s="212" t="str">
        <f>COMPOSICIÓN!C1560</f>
        <v>OTR</v>
      </c>
      <c r="D1560" s="212" t="str">
        <f>COMPOSICIÓN!D1560</f>
        <v>ELE-007</v>
      </c>
      <c r="E1560" s="212" t="str">
        <f>COMPOSICIÓN!E1560</f>
        <v>Cupla PVC 1"</v>
      </c>
      <c r="F1560" s="212" t="str">
        <f>COMPOSICIÓN!F1560</f>
        <v>u</v>
      </c>
      <c r="G1560" s="213">
        <f>COMPOSICIÓN!G1560</f>
        <v>3</v>
      </c>
      <c r="H1560" s="214">
        <f>COMPOSICIÓN!H1560</f>
        <v>0.1</v>
      </c>
      <c r="I1560" s="215">
        <f>COMPOSICIÓN!I1560</f>
        <v>280.10000000000002</v>
      </c>
      <c r="J1560" s="212" t="str">
        <f>IFERROR(VLOOKUP(A1560,PARTIDAS!$A$2:$C$269,3,FALSE()),"")</f>
        <v>INSTALACIÓN ELÉCTRICA</v>
      </c>
      <c r="K1560" s="212" t="str">
        <f>IFERROR(INDEX(PPTO_GENERADOR!$B$4:$B$220,MATCH(A1560,PPTO_GENERADOR!$Q$4:$Q$220,0)),"")</f>
        <v/>
      </c>
      <c r="L1560" s="216">
        <f>IF(PLAN_ETAPA!$C$4="(TODOS)",SUMIFS(PPTO_GENERADOR!$E$4:$E$220,PPTO_GENERADOR!$Q$4:$Q$220,A1560),SUMIFS(PPTO_GENERADOR!$E$4:$E$220,PPTO_GENERADOR!$Q$4:$Q$220,A1560,PPTO_GENERADOR!$B$4:$B$220,PLAN_ETAPA!$C$4))</f>
        <v>0</v>
      </c>
      <c r="M1560" s="216">
        <f>IFERROR(VLOOKUP(A1560,PARTIDAS!$A$2:$F$269,6,FALSE()),1)</f>
        <v>5</v>
      </c>
      <c r="N1560" s="216">
        <f>IFERROR(VLOOKUP(A1560,PARTIDAS!$A$2:$I$269,9,FALSE()),1)</f>
        <v>1</v>
      </c>
      <c r="O1560" s="217">
        <f t="shared" si="48"/>
        <v>0</v>
      </c>
      <c r="P1560" s="216">
        <f>IF(O1560=0,0,IF(B1560="MAT",G1560*(1+H1560)*L1560*PLAN_ETAPA!$C$5,IF(B1560="MO",IF(M1560=0,0,G1560*L1560*PLAN_ETAPA!$C$5*N1560/M1560),IF(B1560="EQ",IF(M1560=0,0,G1560*L1560*PLAN_ETAPA!$C$5/M1560),0))))</f>
        <v>0</v>
      </c>
      <c r="Q1560" s="218">
        <f t="shared" si="49"/>
        <v>0</v>
      </c>
    </row>
    <row r="1561" spans="1:17" x14ac:dyDescent="0.35">
      <c r="A1561" s="212" t="str">
        <f>COMPOSICIÓN!A1561</f>
        <v>PTO-1812</v>
      </c>
      <c r="B1561" s="212" t="str">
        <f>COMPOSICIÓN!B1561</f>
        <v>MAT</v>
      </c>
      <c r="C1561" s="212" t="str">
        <f>COMPOSICIÓN!C1561</f>
        <v>OTR</v>
      </c>
      <c r="D1561" s="212" t="str">
        <f>COMPOSICIÓN!D1561</f>
        <v>ELE-011</v>
      </c>
      <c r="E1561" s="212" t="str">
        <f>COMPOSICIÓN!E1561</f>
        <v>Cable unipolar 1 x 4,00</v>
      </c>
      <c r="F1561" s="212" t="str">
        <f>COMPOSICIÓN!F1561</f>
        <v>ml</v>
      </c>
      <c r="G1561" s="213">
        <f>COMPOSICIÓN!G1561</f>
        <v>22.5</v>
      </c>
      <c r="H1561" s="214">
        <f>COMPOSICIÓN!H1561</f>
        <v>0.1</v>
      </c>
      <c r="I1561" s="215">
        <f>COMPOSICIÓN!I1561</f>
        <v>834.6</v>
      </c>
      <c r="J1561" s="212" t="str">
        <f>IFERROR(VLOOKUP(A1561,PARTIDAS!$A$2:$C$269,3,FALSE()),"")</f>
        <v>INSTALACIÓN ELÉCTRICA</v>
      </c>
      <c r="K1561" s="212" t="str">
        <f>IFERROR(INDEX(PPTO_GENERADOR!$B$4:$B$220,MATCH(A1561,PPTO_GENERADOR!$Q$4:$Q$220,0)),"")</f>
        <v/>
      </c>
      <c r="L1561" s="216">
        <f>IF(PLAN_ETAPA!$C$4="(TODOS)",SUMIFS(PPTO_GENERADOR!$E$4:$E$220,PPTO_GENERADOR!$Q$4:$Q$220,A1561),SUMIFS(PPTO_GENERADOR!$E$4:$E$220,PPTO_GENERADOR!$Q$4:$Q$220,A1561,PPTO_GENERADOR!$B$4:$B$220,PLAN_ETAPA!$C$4))</f>
        <v>0</v>
      </c>
      <c r="M1561" s="216">
        <f>IFERROR(VLOOKUP(A1561,PARTIDAS!$A$2:$F$269,6,FALSE()),1)</f>
        <v>5</v>
      </c>
      <c r="N1561" s="216">
        <f>IFERROR(VLOOKUP(A1561,PARTIDAS!$A$2:$I$269,9,FALSE()),1)</f>
        <v>1</v>
      </c>
      <c r="O1561" s="217">
        <f t="shared" si="48"/>
        <v>0</v>
      </c>
      <c r="P1561" s="216">
        <f>IF(O1561=0,0,IF(B1561="MAT",G1561*(1+H1561)*L1561*PLAN_ETAPA!$C$5,IF(B1561="MO",IF(M1561=0,0,G1561*L1561*PLAN_ETAPA!$C$5*N1561/M1561),IF(B1561="EQ",IF(M1561=0,0,G1561*L1561*PLAN_ETAPA!$C$5/M1561),0))))</f>
        <v>0</v>
      </c>
      <c r="Q1561" s="218">
        <f t="shared" si="49"/>
        <v>0</v>
      </c>
    </row>
    <row r="1562" spans="1:17" x14ac:dyDescent="0.35">
      <c r="A1562" s="212" t="str">
        <f>COMPOSICIÓN!A1562</f>
        <v>PTO-1812</v>
      </c>
      <c r="B1562" s="212" t="str">
        <f>COMPOSICIÓN!B1562</f>
        <v>MAT</v>
      </c>
      <c r="C1562" s="212" t="str">
        <f>COMPOSICIÓN!C1562</f>
        <v>OTR</v>
      </c>
      <c r="D1562" s="212" t="str">
        <f>COMPOSICIÓN!D1562</f>
        <v>ELE-014</v>
      </c>
      <c r="E1562" s="212" t="str">
        <f>COMPOSICIÓN!E1562</f>
        <v>Caja rectangular chica</v>
      </c>
      <c r="F1562" s="212" t="str">
        <f>COMPOSICIÓN!F1562</f>
        <v>u</v>
      </c>
      <c r="G1562" s="213">
        <f>COMPOSICIÓN!G1562</f>
        <v>1</v>
      </c>
      <c r="H1562" s="214">
        <f>COMPOSICIÓN!H1562</f>
        <v>0.05</v>
      </c>
      <c r="I1562" s="215">
        <f>COMPOSICIÓN!I1562</f>
        <v>202.42</v>
      </c>
      <c r="J1562" s="212" t="str">
        <f>IFERROR(VLOOKUP(A1562,PARTIDAS!$A$2:$C$269,3,FALSE()),"")</f>
        <v>INSTALACIÓN ELÉCTRICA</v>
      </c>
      <c r="K1562" s="212" t="str">
        <f>IFERROR(INDEX(PPTO_GENERADOR!$B$4:$B$220,MATCH(A1562,PPTO_GENERADOR!$Q$4:$Q$220,0)),"")</f>
        <v/>
      </c>
      <c r="L1562" s="216">
        <f>IF(PLAN_ETAPA!$C$4="(TODOS)",SUMIFS(PPTO_GENERADOR!$E$4:$E$220,PPTO_GENERADOR!$Q$4:$Q$220,A1562),SUMIFS(PPTO_GENERADOR!$E$4:$E$220,PPTO_GENERADOR!$Q$4:$Q$220,A1562,PPTO_GENERADOR!$B$4:$B$220,PLAN_ETAPA!$C$4))</f>
        <v>0</v>
      </c>
      <c r="M1562" s="216">
        <f>IFERROR(VLOOKUP(A1562,PARTIDAS!$A$2:$F$269,6,FALSE()),1)</f>
        <v>5</v>
      </c>
      <c r="N1562" s="216">
        <f>IFERROR(VLOOKUP(A1562,PARTIDAS!$A$2:$I$269,9,FALSE()),1)</f>
        <v>1</v>
      </c>
      <c r="O1562" s="217">
        <f t="shared" si="48"/>
        <v>0</v>
      </c>
      <c r="P1562" s="216">
        <f>IF(O1562=0,0,IF(B1562="MAT",G1562*(1+H1562)*L1562*PLAN_ETAPA!$C$5,IF(B1562="MO",IF(M1562=0,0,G1562*L1562*PLAN_ETAPA!$C$5*N1562/M1562),IF(B1562="EQ",IF(M1562=0,0,G1562*L1562*PLAN_ETAPA!$C$5/M1562),0))))</f>
        <v>0</v>
      </c>
      <c r="Q1562" s="218">
        <f t="shared" si="49"/>
        <v>0</v>
      </c>
    </row>
    <row r="1563" spans="1:17" x14ac:dyDescent="0.35">
      <c r="A1563" s="212" t="str">
        <f>COMPOSICIÓN!A1563</f>
        <v>PTO-1813</v>
      </c>
      <c r="B1563" s="212" t="str">
        <f>COMPOSICIÓN!B1563</f>
        <v>EQ</v>
      </c>
      <c r="C1563" s="212">
        <f>COMPOSICIÓN!C1563</f>
        <v>0</v>
      </c>
      <c r="D1563" s="212" t="str">
        <f>COMPOSICIÓN!D1563</f>
        <v>EQ-ANDAM0</v>
      </c>
      <c r="E1563" s="212" t="str">
        <f>COMPOSICIÓN!E1563</f>
        <v>ANDAMIO TUBULAR DE UNO A TRES CUERPOS</v>
      </c>
      <c r="F1563" s="212">
        <f>COMPOSICIÓN!F1563</f>
        <v>0</v>
      </c>
      <c r="G1563" s="213">
        <f>COMPOSICIÓN!G1563</f>
        <v>0.5</v>
      </c>
      <c r="H1563" s="214">
        <f>COMPOSICIÓN!H1563</f>
        <v>0</v>
      </c>
      <c r="I1563" s="215">
        <f>COMPOSICIÓN!I1563</f>
        <v>571.1794909807611</v>
      </c>
      <c r="J1563" s="212" t="str">
        <f>IFERROR(VLOOKUP(A1563,PARTIDAS!$A$2:$C$269,3,FALSE()),"")</f>
        <v>INSTALACIÓN ELÉCTRICA</v>
      </c>
      <c r="K1563" s="212" t="str">
        <f>IFERROR(INDEX(PPTO_GENERADOR!$B$4:$B$220,MATCH(A1563,PPTO_GENERADOR!$Q$4:$Q$220,0)),"")</f>
        <v/>
      </c>
      <c r="L1563" s="216">
        <f>IF(PLAN_ETAPA!$C$4="(TODOS)",SUMIFS(PPTO_GENERADOR!$E$4:$E$220,PPTO_GENERADOR!$Q$4:$Q$220,A1563),SUMIFS(PPTO_GENERADOR!$E$4:$E$220,PPTO_GENERADOR!$Q$4:$Q$220,A1563,PPTO_GENERADOR!$B$4:$B$220,PLAN_ETAPA!$C$4))</f>
        <v>0</v>
      </c>
      <c r="M1563" s="216">
        <f>IFERROR(VLOOKUP(A1563,PARTIDAS!$A$2:$F$269,6,FALSE()),1)</f>
        <v>5</v>
      </c>
      <c r="N1563" s="216">
        <f>IFERROR(VLOOKUP(A1563,PARTIDAS!$A$2:$I$269,9,FALSE()),1)</f>
        <v>1</v>
      </c>
      <c r="O1563" s="217">
        <f t="shared" si="48"/>
        <v>0</v>
      </c>
      <c r="P1563" s="216">
        <f>IF(O1563=0,0,IF(B1563="MAT",G1563*(1+H1563)*L1563*PLAN_ETAPA!$C$5,IF(B1563="MO",IF(M1563=0,0,G1563*L1563*PLAN_ETAPA!$C$5*N1563/M1563),IF(B1563="EQ",IF(M1563=0,0,G1563*L1563*PLAN_ETAPA!$C$5/M1563),0))))</f>
        <v>0</v>
      </c>
      <c r="Q1563" s="218">
        <f t="shared" si="49"/>
        <v>0</v>
      </c>
    </row>
    <row r="1564" spans="1:17" x14ac:dyDescent="0.35">
      <c r="A1564" s="212" t="str">
        <f>COMPOSICIÓN!A1564</f>
        <v>PTO-1813</v>
      </c>
      <c r="B1564" s="212" t="str">
        <f>COMPOSICIÓN!B1564</f>
        <v>EQ</v>
      </c>
      <c r="C1564" s="212">
        <f>COMPOSICIÓN!C1564</f>
        <v>0</v>
      </c>
      <c r="D1564" s="212" t="str">
        <f>COMPOSICIÓN!D1564</f>
        <v>EQ-EQUIP0</v>
      </c>
      <c r="E1564" s="212" t="str">
        <f>COMPOSICIÓN!E1564</f>
        <v>EQUIPO PARA INSTALACION ELECTRICA</v>
      </c>
      <c r="F1564" s="212">
        <f>COMPOSICIÓN!F1564</f>
        <v>0</v>
      </c>
      <c r="G1564" s="213">
        <f>COMPOSICIÓN!G1564</f>
        <v>1</v>
      </c>
      <c r="H1564" s="214">
        <f>COMPOSICIÓN!H1564</f>
        <v>0</v>
      </c>
      <c r="I1564" s="215">
        <f>COMPOSICIÓN!I1564</f>
        <v>5063.0947914732405</v>
      </c>
      <c r="J1564" s="212" t="str">
        <f>IFERROR(VLOOKUP(A1564,PARTIDAS!$A$2:$C$269,3,FALSE()),"")</f>
        <v>INSTALACIÓN ELÉCTRICA</v>
      </c>
      <c r="K1564" s="212" t="str">
        <f>IFERROR(INDEX(PPTO_GENERADOR!$B$4:$B$220,MATCH(A1564,PPTO_GENERADOR!$Q$4:$Q$220,0)),"")</f>
        <v/>
      </c>
      <c r="L1564" s="216">
        <f>IF(PLAN_ETAPA!$C$4="(TODOS)",SUMIFS(PPTO_GENERADOR!$E$4:$E$220,PPTO_GENERADOR!$Q$4:$Q$220,A1564),SUMIFS(PPTO_GENERADOR!$E$4:$E$220,PPTO_GENERADOR!$Q$4:$Q$220,A1564,PPTO_GENERADOR!$B$4:$B$220,PLAN_ETAPA!$C$4))</f>
        <v>0</v>
      </c>
      <c r="M1564" s="216">
        <f>IFERROR(VLOOKUP(A1564,PARTIDAS!$A$2:$F$269,6,FALSE()),1)</f>
        <v>5</v>
      </c>
      <c r="N1564" s="216">
        <f>IFERROR(VLOOKUP(A1564,PARTIDAS!$A$2:$I$269,9,FALSE()),1)</f>
        <v>1</v>
      </c>
      <c r="O1564" s="217">
        <f t="shared" si="48"/>
        <v>0</v>
      </c>
      <c r="P1564" s="216">
        <f>IF(O1564=0,0,IF(B1564="MAT",G1564*(1+H1564)*L1564*PLAN_ETAPA!$C$5,IF(B1564="MO",IF(M1564=0,0,G1564*L1564*PLAN_ETAPA!$C$5*N1564/M1564),IF(B1564="EQ",IF(M1564=0,0,G1564*L1564*PLAN_ETAPA!$C$5/M1564),0))))</f>
        <v>0</v>
      </c>
      <c r="Q1564" s="218">
        <f t="shared" si="49"/>
        <v>0</v>
      </c>
    </row>
    <row r="1565" spans="1:17" x14ac:dyDescent="0.35">
      <c r="A1565" s="212" t="str">
        <f>COMPOSICIÓN!A1565</f>
        <v>PTO-1813</v>
      </c>
      <c r="B1565" s="212" t="str">
        <f>COMPOSICIÓN!B1565</f>
        <v>EQ</v>
      </c>
      <c r="C1565" s="212">
        <f>COMPOSICIÓN!C1565</f>
        <v>0</v>
      </c>
      <c r="D1565" s="212" t="str">
        <f>COMPOSICIÓN!D1565</f>
        <v>EQ-ESCALE</v>
      </c>
      <c r="E1565" s="212" t="str">
        <f>COMPOSICIÓN!E1565</f>
        <v>ESCALERA GLOSS ALUMINIO ARTICULADA 4 X 4 ESCALONES HASTA 150KG</v>
      </c>
      <c r="F1565" s="212">
        <f>COMPOSICIÓN!F1565</f>
        <v>0</v>
      </c>
      <c r="G1565" s="213">
        <f>COMPOSICIÓN!G1565</f>
        <v>0.5</v>
      </c>
      <c r="H1565" s="214">
        <f>COMPOSICIÓN!H1565</f>
        <v>0</v>
      </c>
      <c r="I1565" s="215">
        <f>COMPOSICIÓN!I1565</f>
        <v>140.19809259430903</v>
      </c>
      <c r="J1565" s="212" t="str">
        <f>IFERROR(VLOOKUP(A1565,PARTIDAS!$A$2:$C$269,3,FALSE()),"")</f>
        <v>INSTALACIÓN ELÉCTRICA</v>
      </c>
      <c r="K1565" s="212" t="str">
        <f>IFERROR(INDEX(PPTO_GENERADOR!$B$4:$B$220,MATCH(A1565,PPTO_GENERADOR!$Q$4:$Q$220,0)),"")</f>
        <v/>
      </c>
      <c r="L1565" s="216">
        <f>IF(PLAN_ETAPA!$C$4="(TODOS)",SUMIFS(PPTO_GENERADOR!$E$4:$E$220,PPTO_GENERADOR!$Q$4:$Q$220,A1565),SUMIFS(PPTO_GENERADOR!$E$4:$E$220,PPTO_GENERADOR!$Q$4:$Q$220,A1565,PPTO_GENERADOR!$B$4:$B$220,PLAN_ETAPA!$C$4))</f>
        <v>0</v>
      </c>
      <c r="M1565" s="216">
        <f>IFERROR(VLOOKUP(A1565,PARTIDAS!$A$2:$F$269,6,FALSE()),1)</f>
        <v>5</v>
      </c>
      <c r="N1565" s="216">
        <f>IFERROR(VLOOKUP(A1565,PARTIDAS!$A$2:$I$269,9,FALSE()),1)</f>
        <v>1</v>
      </c>
      <c r="O1565" s="217">
        <f t="shared" si="48"/>
        <v>0</v>
      </c>
      <c r="P1565" s="216">
        <f>IF(O1565=0,0,IF(B1565="MAT",G1565*(1+H1565)*L1565*PLAN_ETAPA!$C$5,IF(B1565="MO",IF(M1565=0,0,G1565*L1565*PLAN_ETAPA!$C$5*N1565/M1565),IF(B1565="EQ",IF(M1565=0,0,G1565*L1565*PLAN_ETAPA!$C$5/M1565),0))))</f>
        <v>0</v>
      </c>
      <c r="Q1565" s="218">
        <f t="shared" si="49"/>
        <v>0</v>
      </c>
    </row>
    <row r="1566" spans="1:17" x14ac:dyDescent="0.35">
      <c r="A1566" s="212" t="str">
        <f>COMPOSICIÓN!A1566</f>
        <v>PTO-1813</v>
      </c>
      <c r="B1566" s="212" t="str">
        <f>COMPOSICIÓN!B1566</f>
        <v>MAT</v>
      </c>
      <c r="C1566" s="212" t="str">
        <f>COMPOSICIÓN!C1566</f>
        <v>OTR</v>
      </c>
      <c r="D1566" s="212" t="str">
        <f>COMPOSICIÓN!D1566</f>
        <v>ACE-019</v>
      </c>
      <c r="E1566" s="212" t="str">
        <f>COMPOSICIÓN!E1566</f>
        <v>Conector hierro 1"</v>
      </c>
      <c r="F1566" s="212" t="str">
        <f>COMPOSICIÓN!F1566</f>
        <v>u</v>
      </c>
      <c r="G1566" s="213">
        <f>COMPOSICIÓN!G1566</f>
        <v>3</v>
      </c>
      <c r="H1566" s="214">
        <f>COMPOSICIÓN!H1566</f>
        <v>0.1</v>
      </c>
      <c r="I1566" s="215">
        <f>COMPOSICIÓN!I1566</f>
        <v>351.14</v>
      </c>
      <c r="J1566" s="212" t="str">
        <f>IFERROR(VLOOKUP(A1566,PARTIDAS!$A$2:$C$269,3,FALSE()),"")</f>
        <v>INSTALACIÓN ELÉCTRICA</v>
      </c>
      <c r="K1566" s="212" t="str">
        <f>IFERROR(INDEX(PPTO_GENERADOR!$B$4:$B$220,MATCH(A1566,PPTO_GENERADOR!$Q$4:$Q$220,0)),"")</f>
        <v/>
      </c>
      <c r="L1566" s="216">
        <f>IF(PLAN_ETAPA!$C$4="(TODOS)",SUMIFS(PPTO_GENERADOR!$E$4:$E$220,PPTO_GENERADOR!$Q$4:$Q$220,A1566),SUMIFS(PPTO_GENERADOR!$E$4:$E$220,PPTO_GENERADOR!$Q$4:$Q$220,A1566,PPTO_GENERADOR!$B$4:$B$220,PLAN_ETAPA!$C$4))</f>
        <v>0</v>
      </c>
      <c r="M1566" s="216">
        <f>IFERROR(VLOOKUP(A1566,PARTIDAS!$A$2:$F$269,6,FALSE()),1)</f>
        <v>5</v>
      </c>
      <c r="N1566" s="216">
        <f>IFERROR(VLOOKUP(A1566,PARTIDAS!$A$2:$I$269,9,FALSE()),1)</f>
        <v>1</v>
      </c>
      <c r="O1566" s="217">
        <f t="shared" si="48"/>
        <v>0</v>
      </c>
      <c r="P1566" s="216">
        <f>IF(O1566=0,0,IF(B1566="MAT",G1566*(1+H1566)*L1566*PLAN_ETAPA!$C$5,IF(B1566="MO",IF(M1566=0,0,G1566*L1566*PLAN_ETAPA!$C$5*N1566/M1566),IF(B1566="EQ",IF(M1566=0,0,G1566*L1566*PLAN_ETAPA!$C$5/M1566),0))))</f>
        <v>0</v>
      </c>
      <c r="Q1566" s="218">
        <f t="shared" si="49"/>
        <v>0</v>
      </c>
    </row>
    <row r="1567" spans="1:17" x14ac:dyDescent="0.35">
      <c r="A1567" s="212" t="str">
        <f>COMPOSICIÓN!A1567</f>
        <v>PTO-1813</v>
      </c>
      <c r="B1567" s="212" t="str">
        <f>COMPOSICIÓN!B1567</f>
        <v>MAT</v>
      </c>
      <c r="C1567" s="212" t="str">
        <f>COMPOSICIÓN!C1567</f>
        <v>OTR</v>
      </c>
      <c r="D1567" s="212" t="str">
        <f>COMPOSICIÓN!D1567</f>
        <v>ELE-002</v>
      </c>
      <c r="E1567" s="212" t="str">
        <f>COMPOSICIÓN!E1567</f>
        <v>Caño rigido 1"</v>
      </c>
      <c r="F1567" s="212" t="str">
        <f>COMPOSICIÓN!F1567</f>
        <v>ml</v>
      </c>
      <c r="G1567" s="213">
        <f>COMPOSICIÓN!G1567</f>
        <v>7.5</v>
      </c>
      <c r="H1567" s="214">
        <f>COMPOSICIÓN!H1567</f>
        <v>0.1</v>
      </c>
      <c r="I1567" s="215">
        <f>COMPOSICIÓN!I1567</f>
        <v>666.92666666666696</v>
      </c>
      <c r="J1567" s="212" t="str">
        <f>IFERROR(VLOOKUP(A1567,PARTIDAS!$A$2:$C$269,3,FALSE()),"")</f>
        <v>INSTALACIÓN ELÉCTRICA</v>
      </c>
      <c r="K1567" s="212" t="str">
        <f>IFERROR(INDEX(PPTO_GENERADOR!$B$4:$B$220,MATCH(A1567,PPTO_GENERADOR!$Q$4:$Q$220,0)),"")</f>
        <v/>
      </c>
      <c r="L1567" s="216">
        <f>IF(PLAN_ETAPA!$C$4="(TODOS)",SUMIFS(PPTO_GENERADOR!$E$4:$E$220,PPTO_GENERADOR!$Q$4:$Q$220,A1567),SUMIFS(PPTO_GENERADOR!$E$4:$E$220,PPTO_GENERADOR!$Q$4:$Q$220,A1567,PPTO_GENERADOR!$B$4:$B$220,PLAN_ETAPA!$C$4))</f>
        <v>0</v>
      </c>
      <c r="M1567" s="216">
        <f>IFERROR(VLOOKUP(A1567,PARTIDAS!$A$2:$F$269,6,FALSE()),1)</f>
        <v>5</v>
      </c>
      <c r="N1567" s="216">
        <f>IFERROR(VLOOKUP(A1567,PARTIDAS!$A$2:$I$269,9,FALSE()),1)</f>
        <v>1</v>
      </c>
      <c r="O1567" s="217">
        <f t="shared" si="48"/>
        <v>0</v>
      </c>
      <c r="P1567" s="216">
        <f>IF(O1567=0,0,IF(B1567="MAT",G1567*(1+H1567)*L1567*PLAN_ETAPA!$C$5,IF(B1567="MO",IF(M1567=0,0,G1567*L1567*PLAN_ETAPA!$C$5*N1567/M1567),IF(B1567="EQ",IF(M1567=0,0,G1567*L1567*PLAN_ETAPA!$C$5/M1567),0))))</f>
        <v>0</v>
      </c>
      <c r="Q1567" s="218">
        <f t="shared" si="49"/>
        <v>0</v>
      </c>
    </row>
    <row r="1568" spans="1:17" x14ac:dyDescent="0.35">
      <c r="A1568" s="212" t="str">
        <f>COMPOSICIÓN!A1568</f>
        <v>PTO-1813</v>
      </c>
      <c r="B1568" s="212" t="str">
        <f>COMPOSICIÓN!B1568</f>
        <v>MAT</v>
      </c>
      <c r="C1568" s="212" t="str">
        <f>COMPOSICIÓN!C1568</f>
        <v>OTR</v>
      </c>
      <c r="D1568" s="212" t="str">
        <f>COMPOSICIÓN!D1568</f>
        <v>ELE-007</v>
      </c>
      <c r="E1568" s="212" t="str">
        <f>COMPOSICIÓN!E1568</f>
        <v>Cupla PVC 1"</v>
      </c>
      <c r="F1568" s="212" t="str">
        <f>COMPOSICIÓN!F1568</f>
        <v>u</v>
      </c>
      <c r="G1568" s="213">
        <f>COMPOSICIÓN!G1568</f>
        <v>3</v>
      </c>
      <c r="H1568" s="214">
        <f>COMPOSICIÓN!H1568</f>
        <v>0.1</v>
      </c>
      <c r="I1568" s="215">
        <f>COMPOSICIÓN!I1568</f>
        <v>280.10000000000002</v>
      </c>
      <c r="J1568" s="212" t="str">
        <f>IFERROR(VLOOKUP(A1568,PARTIDAS!$A$2:$C$269,3,FALSE()),"")</f>
        <v>INSTALACIÓN ELÉCTRICA</v>
      </c>
      <c r="K1568" s="212" t="str">
        <f>IFERROR(INDEX(PPTO_GENERADOR!$B$4:$B$220,MATCH(A1568,PPTO_GENERADOR!$Q$4:$Q$220,0)),"")</f>
        <v/>
      </c>
      <c r="L1568" s="216">
        <f>IF(PLAN_ETAPA!$C$4="(TODOS)",SUMIFS(PPTO_GENERADOR!$E$4:$E$220,PPTO_GENERADOR!$Q$4:$Q$220,A1568),SUMIFS(PPTO_GENERADOR!$E$4:$E$220,PPTO_GENERADOR!$Q$4:$Q$220,A1568,PPTO_GENERADOR!$B$4:$B$220,PLAN_ETAPA!$C$4))</f>
        <v>0</v>
      </c>
      <c r="M1568" s="216">
        <f>IFERROR(VLOOKUP(A1568,PARTIDAS!$A$2:$F$269,6,FALSE()),1)</f>
        <v>5</v>
      </c>
      <c r="N1568" s="216">
        <f>IFERROR(VLOOKUP(A1568,PARTIDAS!$A$2:$I$269,9,FALSE()),1)</f>
        <v>1</v>
      </c>
      <c r="O1568" s="217">
        <f t="shared" si="48"/>
        <v>0</v>
      </c>
      <c r="P1568" s="216">
        <f>IF(O1568=0,0,IF(B1568="MAT",G1568*(1+H1568)*L1568*PLAN_ETAPA!$C$5,IF(B1568="MO",IF(M1568=0,0,G1568*L1568*PLAN_ETAPA!$C$5*N1568/M1568),IF(B1568="EQ",IF(M1568=0,0,G1568*L1568*PLAN_ETAPA!$C$5/M1568),0))))</f>
        <v>0</v>
      </c>
      <c r="Q1568" s="218">
        <f t="shared" si="49"/>
        <v>0</v>
      </c>
    </row>
    <row r="1569" spans="1:17" x14ac:dyDescent="0.35">
      <c r="A1569" s="212" t="str">
        <f>COMPOSICIÓN!A1569</f>
        <v>PTO-1813</v>
      </c>
      <c r="B1569" s="212" t="str">
        <f>COMPOSICIÓN!B1569</f>
        <v>MAT</v>
      </c>
      <c r="C1569" s="212" t="str">
        <f>COMPOSICIÓN!C1569</f>
        <v>OTR</v>
      </c>
      <c r="D1569" s="212" t="str">
        <f>COMPOSICIÓN!D1569</f>
        <v>ELE-011</v>
      </c>
      <c r="E1569" s="212" t="str">
        <f>COMPOSICIÓN!E1569</f>
        <v>Cable unipolar 1 x 4,00</v>
      </c>
      <c r="F1569" s="212" t="str">
        <f>COMPOSICIÓN!F1569</f>
        <v>ml</v>
      </c>
      <c r="G1569" s="213">
        <f>COMPOSICIÓN!G1569</f>
        <v>22.5</v>
      </c>
      <c r="H1569" s="214">
        <f>COMPOSICIÓN!H1569</f>
        <v>0.1</v>
      </c>
      <c r="I1569" s="215">
        <f>COMPOSICIÓN!I1569</f>
        <v>834.6</v>
      </c>
      <c r="J1569" s="212" t="str">
        <f>IFERROR(VLOOKUP(A1569,PARTIDAS!$A$2:$C$269,3,FALSE()),"")</f>
        <v>INSTALACIÓN ELÉCTRICA</v>
      </c>
      <c r="K1569" s="212" t="str">
        <f>IFERROR(INDEX(PPTO_GENERADOR!$B$4:$B$220,MATCH(A1569,PPTO_GENERADOR!$Q$4:$Q$220,0)),"")</f>
        <v/>
      </c>
      <c r="L1569" s="216">
        <f>IF(PLAN_ETAPA!$C$4="(TODOS)",SUMIFS(PPTO_GENERADOR!$E$4:$E$220,PPTO_GENERADOR!$Q$4:$Q$220,A1569),SUMIFS(PPTO_GENERADOR!$E$4:$E$220,PPTO_GENERADOR!$Q$4:$Q$220,A1569,PPTO_GENERADOR!$B$4:$B$220,PLAN_ETAPA!$C$4))</f>
        <v>0</v>
      </c>
      <c r="M1569" s="216">
        <f>IFERROR(VLOOKUP(A1569,PARTIDAS!$A$2:$F$269,6,FALSE()),1)</f>
        <v>5</v>
      </c>
      <c r="N1569" s="216">
        <f>IFERROR(VLOOKUP(A1569,PARTIDAS!$A$2:$I$269,9,FALSE()),1)</f>
        <v>1</v>
      </c>
      <c r="O1569" s="217">
        <f t="shared" si="48"/>
        <v>0</v>
      </c>
      <c r="P1569" s="216">
        <f>IF(O1569=0,0,IF(B1569="MAT",G1569*(1+H1569)*L1569*PLAN_ETAPA!$C$5,IF(B1569="MO",IF(M1569=0,0,G1569*L1569*PLAN_ETAPA!$C$5*N1569/M1569),IF(B1569="EQ",IF(M1569=0,0,G1569*L1569*PLAN_ETAPA!$C$5/M1569),0))))</f>
        <v>0</v>
      </c>
      <c r="Q1569" s="218">
        <f t="shared" si="49"/>
        <v>0</v>
      </c>
    </row>
    <row r="1570" spans="1:17" x14ac:dyDescent="0.35">
      <c r="A1570" s="212" t="str">
        <f>COMPOSICIÓN!A1570</f>
        <v>PTO-1813</v>
      </c>
      <c r="B1570" s="212" t="str">
        <f>COMPOSICIÓN!B1570</f>
        <v>MAT</v>
      </c>
      <c r="C1570" s="212" t="str">
        <f>COMPOSICIÓN!C1570</f>
        <v>OTR</v>
      </c>
      <c r="D1570" s="212" t="str">
        <f>COMPOSICIÓN!D1570</f>
        <v>ELE-014</v>
      </c>
      <c r="E1570" s="212" t="str">
        <f>COMPOSICIÓN!E1570</f>
        <v>Caja rectangular chica</v>
      </c>
      <c r="F1570" s="212" t="str">
        <f>COMPOSICIÓN!F1570</f>
        <v>u</v>
      </c>
      <c r="G1570" s="213">
        <f>COMPOSICIÓN!G1570</f>
        <v>1</v>
      </c>
      <c r="H1570" s="214">
        <f>COMPOSICIÓN!H1570</f>
        <v>0.05</v>
      </c>
      <c r="I1570" s="215">
        <f>COMPOSICIÓN!I1570</f>
        <v>202.42</v>
      </c>
      <c r="J1570" s="212" t="str">
        <f>IFERROR(VLOOKUP(A1570,PARTIDAS!$A$2:$C$269,3,FALSE()),"")</f>
        <v>INSTALACIÓN ELÉCTRICA</v>
      </c>
      <c r="K1570" s="212" t="str">
        <f>IFERROR(INDEX(PPTO_GENERADOR!$B$4:$B$220,MATCH(A1570,PPTO_GENERADOR!$Q$4:$Q$220,0)),"")</f>
        <v/>
      </c>
      <c r="L1570" s="216">
        <f>IF(PLAN_ETAPA!$C$4="(TODOS)",SUMIFS(PPTO_GENERADOR!$E$4:$E$220,PPTO_GENERADOR!$Q$4:$Q$220,A1570),SUMIFS(PPTO_GENERADOR!$E$4:$E$220,PPTO_GENERADOR!$Q$4:$Q$220,A1570,PPTO_GENERADOR!$B$4:$B$220,PLAN_ETAPA!$C$4))</f>
        <v>0</v>
      </c>
      <c r="M1570" s="216">
        <f>IFERROR(VLOOKUP(A1570,PARTIDAS!$A$2:$F$269,6,FALSE()),1)</f>
        <v>5</v>
      </c>
      <c r="N1570" s="216">
        <f>IFERROR(VLOOKUP(A1570,PARTIDAS!$A$2:$I$269,9,FALSE()),1)</f>
        <v>1</v>
      </c>
      <c r="O1570" s="217">
        <f t="shared" si="48"/>
        <v>0</v>
      </c>
      <c r="P1570" s="216">
        <f>IF(O1570=0,0,IF(B1570="MAT",G1570*(1+H1570)*L1570*PLAN_ETAPA!$C$5,IF(B1570="MO",IF(M1570=0,0,G1570*L1570*PLAN_ETAPA!$C$5*N1570/M1570),IF(B1570="EQ",IF(M1570=0,0,G1570*L1570*PLAN_ETAPA!$C$5/M1570),0))))</f>
        <v>0</v>
      </c>
      <c r="Q1570" s="218">
        <f t="shared" si="49"/>
        <v>0</v>
      </c>
    </row>
    <row r="1571" spans="1:17" x14ac:dyDescent="0.35">
      <c r="A1571" s="212" t="str">
        <f>COMPOSICIÓN!A1571</f>
        <v>PTO-1814</v>
      </c>
      <c r="B1571" s="212" t="str">
        <f>COMPOSICIÓN!B1571</f>
        <v>EQ</v>
      </c>
      <c r="C1571" s="212">
        <f>COMPOSICIÓN!C1571</f>
        <v>0</v>
      </c>
      <c r="D1571" s="212" t="str">
        <f>COMPOSICIÓN!D1571</f>
        <v>EQ-ANDAM0</v>
      </c>
      <c r="E1571" s="212" t="str">
        <f>COMPOSICIÓN!E1571</f>
        <v>ANDAMIO TUBULAR DE UNO A TRES CUERPOS</v>
      </c>
      <c r="F1571" s="212">
        <f>COMPOSICIÓN!F1571</f>
        <v>0</v>
      </c>
      <c r="G1571" s="213">
        <f>COMPOSICIÓN!G1571</f>
        <v>0.5</v>
      </c>
      <c r="H1571" s="214">
        <f>COMPOSICIÓN!H1571</f>
        <v>0</v>
      </c>
      <c r="I1571" s="215">
        <f>COMPOSICIÓN!I1571</f>
        <v>571.1794909807611</v>
      </c>
      <c r="J1571" s="212" t="str">
        <f>IFERROR(VLOOKUP(A1571,PARTIDAS!$A$2:$C$269,3,FALSE()),"")</f>
        <v>INSTALACIÓN ELÉCTRICA</v>
      </c>
      <c r="K1571" s="212" t="str">
        <f>IFERROR(INDEX(PPTO_GENERADOR!$B$4:$B$220,MATCH(A1571,PPTO_GENERADOR!$Q$4:$Q$220,0)),"")</f>
        <v/>
      </c>
      <c r="L1571" s="216">
        <f>IF(PLAN_ETAPA!$C$4="(TODOS)",SUMIFS(PPTO_GENERADOR!$E$4:$E$220,PPTO_GENERADOR!$Q$4:$Q$220,A1571),SUMIFS(PPTO_GENERADOR!$E$4:$E$220,PPTO_GENERADOR!$Q$4:$Q$220,A1571,PPTO_GENERADOR!$B$4:$B$220,PLAN_ETAPA!$C$4))</f>
        <v>0</v>
      </c>
      <c r="M1571" s="216">
        <f>IFERROR(VLOOKUP(A1571,PARTIDAS!$A$2:$F$269,6,FALSE()),1)</f>
        <v>5</v>
      </c>
      <c r="N1571" s="216">
        <f>IFERROR(VLOOKUP(A1571,PARTIDAS!$A$2:$I$269,9,FALSE()),1)</f>
        <v>1</v>
      </c>
      <c r="O1571" s="217">
        <f t="shared" si="48"/>
        <v>0</v>
      </c>
      <c r="P1571" s="216">
        <f>IF(O1571=0,0,IF(B1571="MAT",G1571*(1+H1571)*L1571*PLAN_ETAPA!$C$5,IF(B1571="MO",IF(M1571=0,0,G1571*L1571*PLAN_ETAPA!$C$5*N1571/M1571),IF(B1571="EQ",IF(M1571=0,0,G1571*L1571*PLAN_ETAPA!$C$5/M1571),0))))</f>
        <v>0</v>
      </c>
      <c r="Q1571" s="218">
        <f t="shared" si="49"/>
        <v>0</v>
      </c>
    </row>
    <row r="1572" spans="1:17" x14ac:dyDescent="0.35">
      <c r="A1572" s="212" t="str">
        <f>COMPOSICIÓN!A1572</f>
        <v>PTO-1814</v>
      </c>
      <c r="B1572" s="212" t="str">
        <f>COMPOSICIÓN!B1572</f>
        <v>EQ</v>
      </c>
      <c r="C1572" s="212">
        <f>COMPOSICIÓN!C1572</f>
        <v>0</v>
      </c>
      <c r="D1572" s="212" t="str">
        <f>COMPOSICIÓN!D1572</f>
        <v>EQ-EQUIP0</v>
      </c>
      <c r="E1572" s="212" t="str">
        <f>COMPOSICIÓN!E1572</f>
        <v>EQUIPO PARA INSTALACION ELECTRICA</v>
      </c>
      <c r="F1572" s="212">
        <f>COMPOSICIÓN!F1572</f>
        <v>0</v>
      </c>
      <c r="G1572" s="213">
        <f>COMPOSICIÓN!G1572</f>
        <v>1</v>
      </c>
      <c r="H1572" s="214">
        <f>COMPOSICIÓN!H1572</f>
        <v>0</v>
      </c>
      <c r="I1572" s="215">
        <f>COMPOSICIÓN!I1572</f>
        <v>5063.0947914732405</v>
      </c>
      <c r="J1572" s="212" t="str">
        <f>IFERROR(VLOOKUP(A1572,PARTIDAS!$A$2:$C$269,3,FALSE()),"")</f>
        <v>INSTALACIÓN ELÉCTRICA</v>
      </c>
      <c r="K1572" s="212" t="str">
        <f>IFERROR(INDEX(PPTO_GENERADOR!$B$4:$B$220,MATCH(A1572,PPTO_GENERADOR!$Q$4:$Q$220,0)),"")</f>
        <v/>
      </c>
      <c r="L1572" s="216">
        <f>IF(PLAN_ETAPA!$C$4="(TODOS)",SUMIFS(PPTO_GENERADOR!$E$4:$E$220,PPTO_GENERADOR!$Q$4:$Q$220,A1572),SUMIFS(PPTO_GENERADOR!$E$4:$E$220,PPTO_GENERADOR!$Q$4:$Q$220,A1572,PPTO_GENERADOR!$B$4:$B$220,PLAN_ETAPA!$C$4))</f>
        <v>0</v>
      </c>
      <c r="M1572" s="216">
        <f>IFERROR(VLOOKUP(A1572,PARTIDAS!$A$2:$F$269,6,FALSE()),1)</f>
        <v>5</v>
      </c>
      <c r="N1572" s="216">
        <f>IFERROR(VLOOKUP(A1572,PARTIDAS!$A$2:$I$269,9,FALSE()),1)</f>
        <v>1</v>
      </c>
      <c r="O1572" s="217">
        <f t="shared" si="48"/>
        <v>0</v>
      </c>
      <c r="P1572" s="216">
        <f>IF(O1572=0,0,IF(B1572="MAT",G1572*(1+H1572)*L1572*PLAN_ETAPA!$C$5,IF(B1572="MO",IF(M1572=0,0,G1572*L1572*PLAN_ETAPA!$C$5*N1572/M1572),IF(B1572="EQ",IF(M1572=0,0,G1572*L1572*PLAN_ETAPA!$C$5/M1572),0))))</f>
        <v>0</v>
      </c>
      <c r="Q1572" s="218">
        <f t="shared" si="49"/>
        <v>0</v>
      </c>
    </row>
    <row r="1573" spans="1:17" x14ac:dyDescent="0.35">
      <c r="A1573" s="212" t="str">
        <f>COMPOSICIÓN!A1573</f>
        <v>PTO-1814</v>
      </c>
      <c r="B1573" s="212" t="str">
        <f>COMPOSICIÓN!B1573</f>
        <v>EQ</v>
      </c>
      <c r="C1573" s="212">
        <f>COMPOSICIÓN!C1573</f>
        <v>0</v>
      </c>
      <c r="D1573" s="212" t="str">
        <f>COMPOSICIÓN!D1573</f>
        <v>EQ-ESCALE</v>
      </c>
      <c r="E1573" s="212" t="str">
        <f>COMPOSICIÓN!E1573</f>
        <v>ESCALERA GLOSS ALUMINIO ARTICULADA 4 X 4 ESCALONES HASTA 150KG</v>
      </c>
      <c r="F1573" s="212">
        <f>COMPOSICIÓN!F1573</f>
        <v>0</v>
      </c>
      <c r="G1573" s="213">
        <f>COMPOSICIÓN!G1573</f>
        <v>0.5</v>
      </c>
      <c r="H1573" s="214">
        <f>COMPOSICIÓN!H1573</f>
        <v>0</v>
      </c>
      <c r="I1573" s="215">
        <f>COMPOSICIÓN!I1573</f>
        <v>140.19809259430903</v>
      </c>
      <c r="J1573" s="212" t="str">
        <f>IFERROR(VLOOKUP(A1573,PARTIDAS!$A$2:$C$269,3,FALSE()),"")</f>
        <v>INSTALACIÓN ELÉCTRICA</v>
      </c>
      <c r="K1573" s="212" t="str">
        <f>IFERROR(INDEX(PPTO_GENERADOR!$B$4:$B$220,MATCH(A1573,PPTO_GENERADOR!$Q$4:$Q$220,0)),"")</f>
        <v/>
      </c>
      <c r="L1573" s="216">
        <f>IF(PLAN_ETAPA!$C$4="(TODOS)",SUMIFS(PPTO_GENERADOR!$E$4:$E$220,PPTO_GENERADOR!$Q$4:$Q$220,A1573),SUMIFS(PPTO_GENERADOR!$E$4:$E$220,PPTO_GENERADOR!$Q$4:$Q$220,A1573,PPTO_GENERADOR!$B$4:$B$220,PLAN_ETAPA!$C$4))</f>
        <v>0</v>
      </c>
      <c r="M1573" s="216">
        <f>IFERROR(VLOOKUP(A1573,PARTIDAS!$A$2:$F$269,6,FALSE()),1)</f>
        <v>5</v>
      </c>
      <c r="N1573" s="216">
        <f>IFERROR(VLOOKUP(A1573,PARTIDAS!$A$2:$I$269,9,FALSE()),1)</f>
        <v>1</v>
      </c>
      <c r="O1573" s="217">
        <f t="shared" si="48"/>
        <v>0</v>
      </c>
      <c r="P1573" s="216">
        <f>IF(O1573=0,0,IF(B1573="MAT",G1573*(1+H1573)*L1573*PLAN_ETAPA!$C$5,IF(B1573="MO",IF(M1573=0,0,G1573*L1573*PLAN_ETAPA!$C$5*N1573/M1573),IF(B1573="EQ",IF(M1573=0,0,G1573*L1573*PLAN_ETAPA!$C$5/M1573),0))))</f>
        <v>0</v>
      </c>
      <c r="Q1573" s="218">
        <f t="shared" si="49"/>
        <v>0</v>
      </c>
    </row>
    <row r="1574" spans="1:17" x14ac:dyDescent="0.35">
      <c r="A1574" s="212" t="str">
        <f>COMPOSICIÓN!A1574</f>
        <v>PTO-1814</v>
      </c>
      <c r="B1574" s="212" t="str">
        <f>COMPOSICIÓN!B1574</f>
        <v>MAT</v>
      </c>
      <c r="C1574" s="212" t="str">
        <f>COMPOSICIÓN!C1574</f>
        <v>OTR</v>
      </c>
      <c r="D1574" s="212" t="str">
        <f>COMPOSICIÓN!D1574</f>
        <v>ACE-019</v>
      </c>
      <c r="E1574" s="212" t="str">
        <f>COMPOSICIÓN!E1574</f>
        <v>Conector hierro 1"</v>
      </c>
      <c r="F1574" s="212" t="str">
        <f>COMPOSICIÓN!F1574</f>
        <v>u</v>
      </c>
      <c r="G1574" s="213">
        <f>COMPOSICIÓN!G1574</f>
        <v>3</v>
      </c>
      <c r="H1574" s="214">
        <f>COMPOSICIÓN!H1574</f>
        <v>0.1</v>
      </c>
      <c r="I1574" s="215">
        <f>COMPOSICIÓN!I1574</f>
        <v>351.14</v>
      </c>
      <c r="J1574" s="212" t="str">
        <f>IFERROR(VLOOKUP(A1574,PARTIDAS!$A$2:$C$269,3,FALSE()),"")</f>
        <v>INSTALACIÓN ELÉCTRICA</v>
      </c>
      <c r="K1574" s="212" t="str">
        <f>IFERROR(INDEX(PPTO_GENERADOR!$B$4:$B$220,MATCH(A1574,PPTO_GENERADOR!$Q$4:$Q$220,0)),"")</f>
        <v/>
      </c>
      <c r="L1574" s="216">
        <f>IF(PLAN_ETAPA!$C$4="(TODOS)",SUMIFS(PPTO_GENERADOR!$E$4:$E$220,PPTO_GENERADOR!$Q$4:$Q$220,A1574),SUMIFS(PPTO_GENERADOR!$E$4:$E$220,PPTO_GENERADOR!$Q$4:$Q$220,A1574,PPTO_GENERADOR!$B$4:$B$220,PLAN_ETAPA!$C$4))</f>
        <v>0</v>
      </c>
      <c r="M1574" s="216">
        <f>IFERROR(VLOOKUP(A1574,PARTIDAS!$A$2:$F$269,6,FALSE()),1)</f>
        <v>5</v>
      </c>
      <c r="N1574" s="216">
        <f>IFERROR(VLOOKUP(A1574,PARTIDAS!$A$2:$I$269,9,FALSE()),1)</f>
        <v>1</v>
      </c>
      <c r="O1574" s="217">
        <f t="shared" si="48"/>
        <v>0</v>
      </c>
      <c r="P1574" s="216">
        <f>IF(O1574=0,0,IF(B1574="MAT",G1574*(1+H1574)*L1574*PLAN_ETAPA!$C$5,IF(B1574="MO",IF(M1574=0,0,G1574*L1574*PLAN_ETAPA!$C$5*N1574/M1574),IF(B1574="EQ",IF(M1574=0,0,G1574*L1574*PLAN_ETAPA!$C$5/M1574),0))))</f>
        <v>0</v>
      </c>
      <c r="Q1574" s="218">
        <f t="shared" si="49"/>
        <v>0</v>
      </c>
    </row>
    <row r="1575" spans="1:17" x14ac:dyDescent="0.35">
      <c r="A1575" s="212" t="str">
        <f>COMPOSICIÓN!A1575</f>
        <v>PTO-1814</v>
      </c>
      <c r="B1575" s="212" t="str">
        <f>COMPOSICIÓN!B1575</f>
        <v>MAT</v>
      </c>
      <c r="C1575" s="212" t="str">
        <f>COMPOSICIÓN!C1575</f>
        <v>OTR</v>
      </c>
      <c r="D1575" s="212" t="str">
        <f>COMPOSICIÓN!D1575</f>
        <v>ELE-002</v>
      </c>
      <c r="E1575" s="212" t="str">
        <f>COMPOSICIÓN!E1575</f>
        <v>Caño rigido 1"</v>
      </c>
      <c r="F1575" s="212" t="str">
        <f>COMPOSICIÓN!F1575</f>
        <v>ml</v>
      </c>
      <c r="G1575" s="213">
        <f>COMPOSICIÓN!G1575</f>
        <v>7.5</v>
      </c>
      <c r="H1575" s="214">
        <f>COMPOSICIÓN!H1575</f>
        <v>0.1</v>
      </c>
      <c r="I1575" s="215">
        <f>COMPOSICIÓN!I1575</f>
        <v>666.92666666666696</v>
      </c>
      <c r="J1575" s="212" t="str">
        <f>IFERROR(VLOOKUP(A1575,PARTIDAS!$A$2:$C$269,3,FALSE()),"")</f>
        <v>INSTALACIÓN ELÉCTRICA</v>
      </c>
      <c r="K1575" s="212" t="str">
        <f>IFERROR(INDEX(PPTO_GENERADOR!$B$4:$B$220,MATCH(A1575,PPTO_GENERADOR!$Q$4:$Q$220,0)),"")</f>
        <v/>
      </c>
      <c r="L1575" s="216">
        <f>IF(PLAN_ETAPA!$C$4="(TODOS)",SUMIFS(PPTO_GENERADOR!$E$4:$E$220,PPTO_GENERADOR!$Q$4:$Q$220,A1575),SUMIFS(PPTO_GENERADOR!$E$4:$E$220,PPTO_GENERADOR!$Q$4:$Q$220,A1575,PPTO_GENERADOR!$B$4:$B$220,PLAN_ETAPA!$C$4))</f>
        <v>0</v>
      </c>
      <c r="M1575" s="216">
        <f>IFERROR(VLOOKUP(A1575,PARTIDAS!$A$2:$F$269,6,FALSE()),1)</f>
        <v>5</v>
      </c>
      <c r="N1575" s="216">
        <f>IFERROR(VLOOKUP(A1575,PARTIDAS!$A$2:$I$269,9,FALSE()),1)</f>
        <v>1</v>
      </c>
      <c r="O1575" s="217">
        <f t="shared" si="48"/>
        <v>0</v>
      </c>
      <c r="P1575" s="216">
        <f>IF(O1575=0,0,IF(B1575="MAT",G1575*(1+H1575)*L1575*PLAN_ETAPA!$C$5,IF(B1575="MO",IF(M1575=0,0,G1575*L1575*PLAN_ETAPA!$C$5*N1575/M1575),IF(B1575="EQ",IF(M1575=0,0,G1575*L1575*PLAN_ETAPA!$C$5/M1575),0))))</f>
        <v>0</v>
      </c>
      <c r="Q1575" s="218">
        <f t="shared" si="49"/>
        <v>0</v>
      </c>
    </row>
    <row r="1576" spans="1:17" x14ac:dyDescent="0.35">
      <c r="A1576" s="212" t="str">
        <f>COMPOSICIÓN!A1576</f>
        <v>PTO-1814</v>
      </c>
      <c r="B1576" s="212" t="str">
        <f>COMPOSICIÓN!B1576</f>
        <v>MAT</v>
      </c>
      <c r="C1576" s="212" t="str">
        <f>COMPOSICIÓN!C1576</f>
        <v>OTR</v>
      </c>
      <c r="D1576" s="212" t="str">
        <f>COMPOSICIÓN!D1576</f>
        <v>ELE-007</v>
      </c>
      <c r="E1576" s="212" t="str">
        <f>COMPOSICIÓN!E1576</f>
        <v>Cupla PVC 1"</v>
      </c>
      <c r="F1576" s="212" t="str">
        <f>COMPOSICIÓN!F1576</f>
        <v>u</v>
      </c>
      <c r="G1576" s="213">
        <f>COMPOSICIÓN!G1576</f>
        <v>3</v>
      </c>
      <c r="H1576" s="214">
        <f>COMPOSICIÓN!H1576</f>
        <v>0.1</v>
      </c>
      <c r="I1576" s="215">
        <f>COMPOSICIÓN!I1576</f>
        <v>280.10000000000002</v>
      </c>
      <c r="J1576" s="212" t="str">
        <f>IFERROR(VLOOKUP(A1576,PARTIDAS!$A$2:$C$269,3,FALSE()),"")</f>
        <v>INSTALACIÓN ELÉCTRICA</v>
      </c>
      <c r="K1576" s="212" t="str">
        <f>IFERROR(INDEX(PPTO_GENERADOR!$B$4:$B$220,MATCH(A1576,PPTO_GENERADOR!$Q$4:$Q$220,0)),"")</f>
        <v/>
      </c>
      <c r="L1576" s="216">
        <f>IF(PLAN_ETAPA!$C$4="(TODOS)",SUMIFS(PPTO_GENERADOR!$E$4:$E$220,PPTO_GENERADOR!$Q$4:$Q$220,A1576),SUMIFS(PPTO_GENERADOR!$E$4:$E$220,PPTO_GENERADOR!$Q$4:$Q$220,A1576,PPTO_GENERADOR!$B$4:$B$220,PLAN_ETAPA!$C$4))</f>
        <v>0</v>
      </c>
      <c r="M1576" s="216">
        <f>IFERROR(VLOOKUP(A1576,PARTIDAS!$A$2:$F$269,6,FALSE()),1)</f>
        <v>5</v>
      </c>
      <c r="N1576" s="216">
        <f>IFERROR(VLOOKUP(A1576,PARTIDAS!$A$2:$I$269,9,FALSE()),1)</f>
        <v>1</v>
      </c>
      <c r="O1576" s="217">
        <f t="shared" si="48"/>
        <v>0</v>
      </c>
      <c r="P1576" s="216">
        <f>IF(O1576=0,0,IF(B1576="MAT",G1576*(1+H1576)*L1576*PLAN_ETAPA!$C$5,IF(B1576="MO",IF(M1576=0,0,G1576*L1576*PLAN_ETAPA!$C$5*N1576/M1576),IF(B1576="EQ",IF(M1576=0,0,G1576*L1576*PLAN_ETAPA!$C$5/M1576),0))))</f>
        <v>0</v>
      </c>
      <c r="Q1576" s="218">
        <f t="shared" si="49"/>
        <v>0</v>
      </c>
    </row>
    <row r="1577" spans="1:17" x14ac:dyDescent="0.35">
      <c r="A1577" s="212" t="str">
        <f>COMPOSICIÓN!A1577</f>
        <v>PTO-1814</v>
      </c>
      <c r="B1577" s="212" t="str">
        <f>COMPOSICIÓN!B1577</f>
        <v>MAT</v>
      </c>
      <c r="C1577" s="212" t="str">
        <f>COMPOSICIÓN!C1577</f>
        <v>OTR</v>
      </c>
      <c r="D1577" s="212" t="str">
        <f>COMPOSICIÓN!D1577</f>
        <v>ELE-011</v>
      </c>
      <c r="E1577" s="212" t="str">
        <f>COMPOSICIÓN!E1577</f>
        <v>Cable unipolar 1 x 4,00</v>
      </c>
      <c r="F1577" s="212" t="str">
        <f>COMPOSICIÓN!F1577</f>
        <v>ml</v>
      </c>
      <c r="G1577" s="213">
        <f>COMPOSICIÓN!G1577</f>
        <v>22.5</v>
      </c>
      <c r="H1577" s="214">
        <f>COMPOSICIÓN!H1577</f>
        <v>0.1</v>
      </c>
      <c r="I1577" s="215">
        <f>COMPOSICIÓN!I1577</f>
        <v>834.6</v>
      </c>
      <c r="J1577" s="212" t="str">
        <f>IFERROR(VLOOKUP(A1577,PARTIDAS!$A$2:$C$269,3,FALSE()),"")</f>
        <v>INSTALACIÓN ELÉCTRICA</v>
      </c>
      <c r="K1577" s="212" t="str">
        <f>IFERROR(INDEX(PPTO_GENERADOR!$B$4:$B$220,MATCH(A1577,PPTO_GENERADOR!$Q$4:$Q$220,0)),"")</f>
        <v/>
      </c>
      <c r="L1577" s="216">
        <f>IF(PLAN_ETAPA!$C$4="(TODOS)",SUMIFS(PPTO_GENERADOR!$E$4:$E$220,PPTO_GENERADOR!$Q$4:$Q$220,A1577),SUMIFS(PPTO_GENERADOR!$E$4:$E$220,PPTO_GENERADOR!$Q$4:$Q$220,A1577,PPTO_GENERADOR!$B$4:$B$220,PLAN_ETAPA!$C$4))</f>
        <v>0</v>
      </c>
      <c r="M1577" s="216">
        <f>IFERROR(VLOOKUP(A1577,PARTIDAS!$A$2:$F$269,6,FALSE()),1)</f>
        <v>5</v>
      </c>
      <c r="N1577" s="216">
        <f>IFERROR(VLOOKUP(A1577,PARTIDAS!$A$2:$I$269,9,FALSE()),1)</f>
        <v>1</v>
      </c>
      <c r="O1577" s="217">
        <f t="shared" si="48"/>
        <v>0</v>
      </c>
      <c r="P1577" s="216">
        <f>IF(O1577=0,0,IF(B1577="MAT",G1577*(1+H1577)*L1577*PLAN_ETAPA!$C$5,IF(B1577="MO",IF(M1577=0,0,G1577*L1577*PLAN_ETAPA!$C$5*N1577/M1577),IF(B1577="EQ",IF(M1577=0,0,G1577*L1577*PLAN_ETAPA!$C$5/M1577),0))))</f>
        <v>0</v>
      </c>
      <c r="Q1577" s="218">
        <f t="shared" si="49"/>
        <v>0</v>
      </c>
    </row>
    <row r="1578" spans="1:17" x14ac:dyDescent="0.35">
      <c r="A1578" s="212" t="str">
        <f>COMPOSICIÓN!A1578</f>
        <v>PTO-1814</v>
      </c>
      <c r="B1578" s="212" t="str">
        <f>COMPOSICIÓN!B1578</f>
        <v>MAT</v>
      </c>
      <c r="C1578" s="212" t="str">
        <f>COMPOSICIÓN!C1578</f>
        <v>OTR</v>
      </c>
      <c r="D1578" s="212" t="str">
        <f>COMPOSICIÓN!D1578</f>
        <v>ELE-014</v>
      </c>
      <c r="E1578" s="212" t="str">
        <f>COMPOSICIÓN!E1578</f>
        <v>Caja rectangular chica</v>
      </c>
      <c r="F1578" s="212" t="str">
        <f>COMPOSICIÓN!F1578</f>
        <v>u</v>
      </c>
      <c r="G1578" s="213">
        <f>COMPOSICIÓN!G1578</f>
        <v>1</v>
      </c>
      <c r="H1578" s="214">
        <f>COMPOSICIÓN!H1578</f>
        <v>0.05</v>
      </c>
      <c r="I1578" s="215">
        <f>COMPOSICIÓN!I1578</f>
        <v>202.42</v>
      </c>
      <c r="J1578" s="212" t="str">
        <f>IFERROR(VLOOKUP(A1578,PARTIDAS!$A$2:$C$269,3,FALSE()),"")</f>
        <v>INSTALACIÓN ELÉCTRICA</v>
      </c>
      <c r="K1578" s="212" t="str">
        <f>IFERROR(INDEX(PPTO_GENERADOR!$B$4:$B$220,MATCH(A1578,PPTO_GENERADOR!$Q$4:$Q$220,0)),"")</f>
        <v/>
      </c>
      <c r="L1578" s="216">
        <f>IF(PLAN_ETAPA!$C$4="(TODOS)",SUMIFS(PPTO_GENERADOR!$E$4:$E$220,PPTO_GENERADOR!$Q$4:$Q$220,A1578),SUMIFS(PPTO_GENERADOR!$E$4:$E$220,PPTO_GENERADOR!$Q$4:$Q$220,A1578,PPTO_GENERADOR!$B$4:$B$220,PLAN_ETAPA!$C$4))</f>
        <v>0</v>
      </c>
      <c r="M1578" s="216">
        <f>IFERROR(VLOOKUP(A1578,PARTIDAS!$A$2:$F$269,6,FALSE()),1)</f>
        <v>5</v>
      </c>
      <c r="N1578" s="216">
        <f>IFERROR(VLOOKUP(A1578,PARTIDAS!$A$2:$I$269,9,FALSE()),1)</f>
        <v>1</v>
      </c>
      <c r="O1578" s="217">
        <f t="shared" si="48"/>
        <v>0</v>
      </c>
      <c r="P1578" s="216">
        <f>IF(O1578=0,0,IF(B1578="MAT",G1578*(1+H1578)*L1578*PLAN_ETAPA!$C$5,IF(B1578="MO",IF(M1578=0,0,G1578*L1578*PLAN_ETAPA!$C$5*N1578/M1578),IF(B1578="EQ",IF(M1578=0,0,G1578*L1578*PLAN_ETAPA!$C$5/M1578),0))))</f>
        <v>0</v>
      </c>
      <c r="Q1578" s="218">
        <f t="shared" si="49"/>
        <v>0</v>
      </c>
    </row>
    <row r="1579" spans="1:17" x14ac:dyDescent="0.35">
      <c r="A1579" s="212" t="str">
        <f>COMPOSICIÓN!A1579</f>
        <v>PTO-1815</v>
      </c>
      <c r="B1579" s="212" t="str">
        <f>COMPOSICIÓN!B1579</f>
        <v>EQ</v>
      </c>
      <c r="C1579" s="212">
        <f>COMPOSICIÓN!C1579</f>
        <v>0</v>
      </c>
      <c r="D1579" s="212" t="str">
        <f>COMPOSICIÓN!D1579</f>
        <v>EQ-ANDAM0</v>
      </c>
      <c r="E1579" s="212" t="str">
        <f>COMPOSICIÓN!E1579</f>
        <v>ANDAMIO TUBULAR DE UNO A TRES CUERPOS</v>
      </c>
      <c r="F1579" s="212">
        <f>COMPOSICIÓN!F1579</f>
        <v>0</v>
      </c>
      <c r="G1579" s="213">
        <f>COMPOSICIÓN!G1579</f>
        <v>0.5</v>
      </c>
      <c r="H1579" s="214">
        <f>COMPOSICIÓN!H1579</f>
        <v>0</v>
      </c>
      <c r="I1579" s="215">
        <f>COMPOSICIÓN!I1579</f>
        <v>571.1794909807611</v>
      </c>
      <c r="J1579" s="212" t="str">
        <f>IFERROR(VLOOKUP(A1579,PARTIDAS!$A$2:$C$269,3,FALSE()),"")</f>
        <v>INSTALACIÓN ELÉCTRICA</v>
      </c>
      <c r="K1579" s="212" t="str">
        <f>IFERROR(INDEX(PPTO_GENERADOR!$B$4:$B$220,MATCH(A1579,PPTO_GENERADOR!$Q$4:$Q$220,0)),"")</f>
        <v/>
      </c>
      <c r="L1579" s="216">
        <f>IF(PLAN_ETAPA!$C$4="(TODOS)",SUMIFS(PPTO_GENERADOR!$E$4:$E$220,PPTO_GENERADOR!$Q$4:$Q$220,A1579),SUMIFS(PPTO_GENERADOR!$E$4:$E$220,PPTO_GENERADOR!$Q$4:$Q$220,A1579,PPTO_GENERADOR!$B$4:$B$220,PLAN_ETAPA!$C$4))</f>
        <v>0</v>
      </c>
      <c r="M1579" s="216">
        <f>IFERROR(VLOOKUP(A1579,PARTIDAS!$A$2:$F$269,6,FALSE()),1)</f>
        <v>5</v>
      </c>
      <c r="N1579" s="216">
        <f>IFERROR(VLOOKUP(A1579,PARTIDAS!$A$2:$I$269,9,FALSE()),1)</f>
        <v>1</v>
      </c>
      <c r="O1579" s="217">
        <f t="shared" si="48"/>
        <v>0</v>
      </c>
      <c r="P1579" s="216">
        <f>IF(O1579=0,0,IF(B1579="MAT",G1579*(1+H1579)*L1579*PLAN_ETAPA!$C$5,IF(B1579="MO",IF(M1579=0,0,G1579*L1579*PLAN_ETAPA!$C$5*N1579/M1579),IF(B1579="EQ",IF(M1579=0,0,G1579*L1579*PLAN_ETAPA!$C$5/M1579),0))))</f>
        <v>0</v>
      </c>
      <c r="Q1579" s="218">
        <f t="shared" si="49"/>
        <v>0</v>
      </c>
    </row>
    <row r="1580" spans="1:17" x14ac:dyDescent="0.35">
      <c r="A1580" s="212" t="str">
        <f>COMPOSICIÓN!A1580</f>
        <v>PTO-1815</v>
      </c>
      <c r="B1580" s="212" t="str">
        <f>COMPOSICIÓN!B1580</f>
        <v>EQ</v>
      </c>
      <c r="C1580" s="212">
        <f>COMPOSICIÓN!C1580</f>
        <v>0</v>
      </c>
      <c r="D1580" s="212" t="str">
        <f>COMPOSICIÓN!D1580</f>
        <v>EQ-EQUIP0</v>
      </c>
      <c r="E1580" s="212" t="str">
        <f>COMPOSICIÓN!E1580</f>
        <v>EQUIPO PARA INSTALACION ELECTRICA</v>
      </c>
      <c r="F1580" s="212">
        <f>COMPOSICIÓN!F1580</f>
        <v>0</v>
      </c>
      <c r="G1580" s="213">
        <f>COMPOSICIÓN!G1580</f>
        <v>1</v>
      </c>
      <c r="H1580" s="214">
        <f>COMPOSICIÓN!H1580</f>
        <v>0</v>
      </c>
      <c r="I1580" s="215">
        <f>COMPOSICIÓN!I1580</f>
        <v>5063.0947914732405</v>
      </c>
      <c r="J1580" s="212" t="str">
        <f>IFERROR(VLOOKUP(A1580,PARTIDAS!$A$2:$C$269,3,FALSE()),"")</f>
        <v>INSTALACIÓN ELÉCTRICA</v>
      </c>
      <c r="K1580" s="212" t="str">
        <f>IFERROR(INDEX(PPTO_GENERADOR!$B$4:$B$220,MATCH(A1580,PPTO_GENERADOR!$Q$4:$Q$220,0)),"")</f>
        <v/>
      </c>
      <c r="L1580" s="216">
        <f>IF(PLAN_ETAPA!$C$4="(TODOS)",SUMIFS(PPTO_GENERADOR!$E$4:$E$220,PPTO_GENERADOR!$Q$4:$Q$220,A1580),SUMIFS(PPTO_GENERADOR!$E$4:$E$220,PPTO_GENERADOR!$Q$4:$Q$220,A1580,PPTO_GENERADOR!$B$4:$B$220,PLAN_ETAPA!$C$4))</f>
        <v>0</v>
      </c>
      <c r="M1580" s="216">
        <f>IFERROR(VLOOKUP(A1580,PARTIDAS!$A$2:$F$269,6,FALSE()),1)</f>
        <v>5</v>
      </c>
      <c r="N1580" s="216">
        <f>IFERROR(VLOOKUP(A1580,PARTIDAS!$A$2:$I$269,9,FALSE()),1)</f>
        <v>1</v>
      </c>
      <c r="O1580" s="217">
        <f t="shared" si="48"/>
        <v>0</v>
      </c>
      <c r="P1580" s="216">
        <f>IF(O1580=0,0,IF(B1580="MAT",G1580*(1+H1580)*L1580*PLAN_ETAPA!$C$5,IF(B1580="MO",IF(M1580=0,0,G1580*L1580*PLAN_ETAPA!$C$5*N1580/M1580),IF(B1580="EQ",IF(M1580=0,0,G1580*L1580*PLAN_ETAPA!$C$5/M1580),0))))</f>
        <v>0</v>
      </c>
      <c r="Q1580" s="218">
        <f t="shared" si="49"/>
        <v>0</v>
      </c>
    </row>
    <row r="1581" spans="1:17" x14ac:dyDescent="0.35">
      <c r="A1581" s="212" t="str">
        <f>COMPOSICIÓN!A1581</f>
        <v>PTO-1815</v>
      </c>
      <c r="B1581" s="212" t="str">
        <f>COMPOSICIÓN!B1581</f>
        <v>EQ</v>
      </c>
      <c r="C1581" s="212">
        <f>COMPOSICIÓN!C1581</f>
        <v>0</v>
      </c>
      <c r="D1581" s="212" t="str">
        <f>COMPOSICIÓN!D1581</f>
        <v>EQ-ESCALE</v>
      </c>
      <c r="E1581" s="212" t="str">
        <f>COMPOSICIÓN!E1581</f>
        <v>ESCALERA GLOSS ALUMINIO ARTICULADA 4 X 4 ESCALONES HASTA 150KG</v>
      </c>
      <c r="F1581" s="212">
        <f>COMPOSICIÓN!F1581</f>
        <v>0</v>
      </c>
      <c r="G1581" s="213">
        <f>COMPOSICIÓN!G1581</f>
        <v>0.5</v>
      </c>
      <c r="H1581" s="214">
        <f>COMPOSICIÓN!H1581</f>
        <v>0</v>
      </c>
      <c r="I1581" s="215">
        <f>COMPOSICIÓN!I1581</f>
        <v>140.19809259430903</v>
      </c>
      <c r="J1581" s="212" t="str">
        <f>IFERROR(VLOOKUP(A1581,PARTIDAS!$A$2:$C$269,3,FALSE()),"")</f>
        <v>INSTALACIÓN ELÉCTRICA</v>
      </c>
      <c r="K1581" s="212" t="str">
        <f>IFERROR(INDEX(PPTO_GENERADOR!$B$4:$B$220,MATCH(A1581,PPTO_GENERADOR!$Q$4:$Q$220,0)),"")</f>
        <v/>
      </c>
      <c r="L1581" s="216">
        <f>IF(PLAN_ETAPA!$C$4="(TODOS)",SUMIFS(PPTO_GENERADOR!$E$4:$E$220,PPTO_GENERADOR!$Q$4:$Q$220,A1581),SUMIFS(PPTO_GENERADOR!$E$4:$E$220,PPTO_GENERADOR!$Q$4:$Q$220,A1581,PPTO_GENERADOR!$B$4:$B$220,PLAN_ETAPA!$C$4))</f>
        <v>0</v>
      </c>
      <c r="M1581" s="216">
        <f>IFERROR(VLOOKUP(A1581,PARTIDAS!$A$2:$F$269,6,FALSE()),1)</f>
        <v>5</v>
      </c>
      <c r="N1581" s="216">
        <f>IFERROR(VLOOKUP(A1581,PARTIDAS!$A$2:$I$269,9,FALSE()),1)</f>
        <v>1</v>
      </c>
      <c r="O1581" s="217">
        <f t="shared" si="48"/>
        <v>0</v>
      </c>
      <c r="P1581" s="216">
        <f>IF(O1581=0,0,IF(B1581="MAT",G1581*(1+H1581)*L1581*PLAN_ETAPA!$C$5,IF(B1581="MO",IF(M1581=0,0,G1581*L1581*PLAN_ETAPA!$C$5*N1581/M1581),IF(B1581="EQ",IF(M1581=0,0,G1581*L1581*PLAN_ETAPA!$C$5/M1581),0))))</f>
        <v>0</v>
      </c>
      <c r="Q1581" s="218">
        <f t="shared" si="49"/>
        <v>0</v>
      </c>
    </row>
    <row r="1582" spans="1:17" x14ac:dyDescent="0.35">
      <c r="A1582" s="212" t="str">
        <f>COMPOSICIÓN!A1582</f>
        <v>PTO-1815</v>
      </c>
      <c r="B1582" s="212" t="str">
        <f>COMPOSICIÓN!B1582</f>
        <v>MAT</v>
      </c>
      <c r="C1582" s="212" t="str">
        <f>COMPOSICIÓN!C1582</f>
        <v>OTR</v>
      </c>
      <c r="D1582" s="212" t="str">
        <f>COMPOSICIÓN!D1582</f>
        <v>ACE-019</v>
      </c>
      <c r="E1582" s="212" t="str">
        <f>COMPOSICIÓN!E1582</f>
        <v>Conector hierro 1"</v>
      </c>
      <c r="F1582" s="212" t="str">
        <f>COMPOSICIÓN!F1582</f>
        <v>u</v>
      </c>
      <c r="G1582" s="213">
        <f>COMPOSICIÓN!G1582</f>
        <v>3</v>
      </c>
      <c r="H1582" s="214">
        <f>COMPOSICIÓN!H1582</f>
        <v>0.1</v>
      </c>
      <c r="I1582" s="215">
        <f>COMPOSICIÓN!I1582</f>
        <v>351.14</v>
      </c>
      <c r="J1582" s="212" t="str">
        <f>IFERROR(VLOOKUP(A1582,PARTIDAS!$A$2:$C$269,3,FALSE()),"")</f>
        <v>INSTALACIÓN ELÉCTRICA</v>
      </c>
      <c r="K1582" s="212" t="str">
        <f>IFERROR(INDEX(PPTO_GENERADOR!$B$4:$B$220,MATCH(A1582,PPTO_GENERADOR!$Q$4:$Q$220,0)),"")</f>
        <v/>
      </c>
      <c r="L1582" s="216">
        <f>IF(PLAN_ETAPA!$C$4="(TODOS)",SUMIFS(PPTO_GENERADOR!$E$4:$E$220,PPTO_GENERADOR!$Q$4:$Q$220,A1582),SUMIFS(PPTO_GENERADOR!$E$4:$E$220,PPTO_GENERADOR!$Q$4:$Q$220,A1582,PPTO_GENERADOR!$B$4:$B$220,PLAN_ETAPA!$C$4))</f>
        <v>0</v>
      </c>
      <c r="M1582" s="216">
        <f>IFERROR(VLOOKUP(A1582,PARTIDAS!$A$2:$F$269,6,FALSE()),1)</f>
        <v>5</v>
      </c>
      <c r="N1582" s="216">
        <f>IFERROR(VLOOKUP(A1582,PARTIDAS!$A$2:$I$269,9,FALSE()),1)</f>
        <v>1</v>
      </c>
      <c r="O1582" s="217">
        <f t="shared" si="48"/>
        <v>0</v>
      </c>
      <c r="P1582" s="216">
        <f>IF(O1582=0,0,IF(B1582="MAT",G1582*(1+H1582)*L1582*PLAN_ETAPA!$C$5,IF(B1582="MO",IF(M1582=0,0,G1582*L1582*PLAN_ETAPA!$C$5*N1582/M1582),IF(B1582="EQ",IF(M1582=0,0,G1582*L1582*PLAN_ETAPA!$C$5/M1582),0))))</f>
        <v>0</v>
      </c>
      <c r="Q1582" s="218">
        <f t="shared" si="49"/>
        <v>0</v>
      </c>
    </row>
    <row r="1583" spans="1:17" x14ac:dyDescent="0.35">
      <c r="A1583" s="212" t="str">
        <f>COMPOSICIÓN!A1583</f>
        <v>PTO-1815</v>
      </c>
      <c r="B1583" s="212" t="str">
        <f>COMPOSICIÓN!B1583</f>
        <v>MAT</v>
      </c>
      <c r="C1583" s="212" t="str">
        <f>COMPOSICIÓN!C1583</f>
        <v>OTR</v>
      </c>
      <c r="D1583" s="212" t="str">
        <f>COMPOSICIÓN!D1583</f>
        <v>ELE-002</v>
      </c>
      <c r="E1583" s="212" t="str">
        <f>COMPOSICIÓN!E1583</f>
        <v>Caño rigido 1"</v>
      </c>
      <c r="F1583" s="212" t="str">
        <f>COMPOSICIÓN!F1583</f>
        <v>ml</v>
      </c>
      <c r="G1583" s="213">
        <f>COMPOSICIÓN!G1583</f>
        <v>7.5</v>
      </c>
      <c r="H1583" s="214">
        <f>COMPOSICIÓN!H1583</f>
        <v>0.1</v>
      </c>
      <c r="I1583" s="215">
        <f>COMPOSICIÓN!I1583</f>
        <v>666.92666666666696</v>
      </c>
      <c r="J1583" s="212" t="str">
        <f>IFERROR(VLOOKUP(A1583,PARTIDAS!$A$2:$C$269,3,FALSE()),"")</f>
        <v>INSTALACIÓN ELÉCTRICA</v>
      </c>
      <c r="K1583" s="212" t="str">
        <f>IFERROR(INDEX(PPTO_GENERADOR!$B$4:$B$220,MATCH(A1583,PPTO_GENERADOR!$Q$4:$Q$220,0)),"")</f>
        <v/>
      </c>
      <c r="L1583" s="216">
        <f>IF(PLAN_ETAPA!$C$4="(TODOS)",SUMIFS(PPTO_GENERADOR!$E$4:$E$220,PPTO_GENERADOR!$Q$4:$Q$220,A1583),SUMIFS(PPTO_GENERADOR!$E$4:$E$220,PPTO_GENERADOR!$Q$4:$Q$220,A1583,PPTO_GENERADOR!$B$4:$B$220,PLAN_ETAPA!$C$4))</f>
        <v>0</v>
      </c>
      <c r="M1583" s="216">
        <f>IFERROR(VLOOKUP(A1583,PARTIDAS!$A$2:$F$269,6,FALSE()),1)</f>
        <v>5</v>
      </c>
      <c r="N1583" s="216">
        <f>IFERROR(VLOOKUP(A1583,PARTIDAS!$A$2:$I$269,9,FALSE()),1)</f>
        <v>1</v>
      </c>
      <c r="O1583" s="217">
        <f t="shared" si="48"/>
        <v>0</v>
      </c>
      <c r="P1583" s="216">
        <f>IF(O1583=0,0,IF(B1583="MAT",G1583*(1+H1583)*L1583*PLAN_ETAPA!$C$5,IF(B1583="MO",IF(M1583=0,0,G1583*L1583*PLAN_ETAPA!$C$5*N1583/M1583),IF(B1583="EQ",IF(M1583=0,0,G1583*L1583*PLAN_ETAPA!$C$5/M1583),0))))</f>
        <v>0</v>
      </c>
      <c r="Q1583" s="218">
        <f t="shared" si="49"/>
        <v>0</v>
      </c>
    </row>
    <row r="1584" spans="1:17" x14ac:dyDescent="0.35">
      <c r="A1584" s="212" t="str">
        <f>COMPOSICIÓN!A1584</f>
        <v>PTO-1815</v>
      </c>
      <c r="B1584" s="212" t="str">
        <f>COMPOSICIÓN!B1584</f>
        <v>MAT</v>
      </c>
      <c r="C1584" s="212" t="str">
        <f>COMPOSICIÓN!C1584</f>
        <v>OTR</v>
      </c>
      <c r="D1584" s="212" t="str">
        <f>COMPOSICIÓN!D1584</f>
        <v>ELE-007</v>
      </c>
      <c r="E1584" s="212" t="str">
        <f>COMPOSICIÓN!E1584</f>
        <v>Cupla PVC 1"</v>
      </c>
      <c r="F1584" s="212" t="str">
        <f>COMPOSICIÓN!F1584</f>
        <v>u</v>
      </c>
      <c r="G1584" s="213">
        <f>COMPOSICIÓN!G1584</f>
        <v>3</v>
      </c>
      <c r="H1584" s="214">
        <f>COMPOSICIÓN!H1584</f>
        <v>0.1</v>
      </c>
      <c r="I1584" s="215">
        <f>COMPOSICIÓN!I1584</f>
        <v>280.10000000000002</v>
      </c>
      <c r="J1584" s="212" t="str">
        <f>IFERROR(VLOOKUP(A1584,PARTIDAS!$A$2:$C$269,3,FALSE()),"")</f>
        <v>INSTALACIÓN ELÉCTRICA</v>
      </c>
      <c r="K1584" s="212" t="str">
        <f>IFERROR(INDEX(PPTO_GENERADOR!$B$4:$B$220,MATCH(A1584,PPTO_GENERADOR!$Q$4:$Q$220,0)),"")</f>
        <v/>
      </c>
      <c r="L1584" s="216">
        <f>IF(PLAN_ETAPA!$C$4="(TODOS)",SUMIFS(PPTO_GENERADOR!$E$4:$E$220,PPTO_GENERADOR!$Q$4:$Q$220,A1584),SUMIFS(PPTO_GENERADOR!$E$4:$E$220,PPTO_GENERADOR!$Q$4:$Q$220,A1584,PPTO_GENERADOR!$B$4:$B$220,PLAN_ETAPA!$C$4))</f>
        <v>0</v>
      </c>
      <c r="M1584" s="216">
        <f>IFERROR(VLOOKUP(A1584,PARTIDAS!$A$2:$F$269,6,FALSE()),1)</f>
        <v>5</v>
      </c>
      <c r="N1584" s="216">
        <f>IFERROR(VLOOKUP(A1584,PARTIDAS!$A$2:$I$269,9,FALSE()),1)</f>
        <v>1</v>
      </c>
      <c r="O1584" s="217">
        <f t="shared" si="48"/>
        <v>0</v>
      </c>
      <c r="P1584" s="216">
        <f>IF(O1584=0,0,IF(B1584="MAT",G1584*(1+H1584)*L1584*PLAN_ETAPA!$C$5,IF(B1584="MO",IF(M1584=0,0,G1584*L1584*PLAN_ETAPA!$C$5*N1584/M1584),IF(B1584="EQ",IF(M1584=0,0,G1584*L1584*PLAN_ETAPA!$C$5/M1584),0))))</f>
        <v>0</v>
      </c>
      <c r="Q1584" s="218">
        <f t="shared" si="49"/>
        <v>0</v>
      </c>
    </row>
    <row r="1585" spans="1:17" x14ac:dyDescent="0.35">
      <c r="A1585" s="212" t="str">
        <f>COMPOSICIÓN!A1585</f>
        <v>PTO-1815</v>
      </c>
      <c r="B1585" s="212" t="str">
        <f>COMPOSICIÓN!B1585</f>
        <v>MAT</v>
      </c>
      <c r="C1585" s="212" t="str">
        <f>COMPOSICIÓN!C1585</f>
        <v>OTR</v>
      </c>
      <c r="D1585" s="212" t="str">
        <f>COMPOSICIÓN!D1585</f>
        <v>ELE-011</v>
      </c>
      <c r="E1585" s="212" t="str">
        <f>COMPOSICIÓN!E1585</f>
        <v>Cable unipolar 1 x 4,00</v>
      </c>
      <c r="F1585" s="212" t="str">
        <f>COMPOSICIÓN!F1585</f>
        <v>ml</v>
      </c>
      <c r="G1585" s="213">
        <f>COMPOSICIÓN!G1585</f>
        <v>22.5</v>
      </c>
      <c r="H1585" s="214">
        <f>COMPOSICIÓN!H1585</f>
        <v>0.1</v>
      </c>
      <c r="I1585" s="215">
        <f>COMPOSICIÓN!I1585</f>
        <v>834.6</v>
      </c>
      <c r="J1585" s="212" t="str">
        <f>IFERROR(VLOOKUP(A1585,PARTIDAS!$A$2:$C$269,3,FALSE()),"")</f>
        <v>INSTALACIÓN ELÉCTRICA</v>
      </c>
      <c r="K1585" s="212" t="str">
        <f>IFERROR(INDEX(PPTO_GENERADOR!$B$4:$B$220,MATCH(A1585,PPTO_GENERADOR!$Q$4:$Q$220,0)),"")</f>
        <v/>
      </c>
      <c r="L1585" s="216">
        <f>IF(PLAN_ETAPA!$C$4="(TODOS)",SUMIFS(PPTO_GENERADOR!$E$4:$E$220,PPTO_GENERADOR!$Q$4:$Q$220,A1585),SUMIFS(PPTO_GENERADOR!$E$4:$E$220,PPTO_GENERADOR!$Q$4:$Q$220,A1585,PPTO_GENERADOR!$B$4:$B$220,PLAN_ETAPA!$C$4))</f>
        <v>0</v>
      </c>
      <c r="M1585" s="216">
        <f>IFERROR(VLOOKUP(A1585,PARTIDAS!$A$2:$F$269,6,FALSE()),1)</f>
        <v>5</v>
      </c>
      <c r="N1585" s="216">
        <f>IFERROR(VLOOKUP(A1585,PARTIDAS!$A$2:$I$269,9,FALSE()),1)</f>
        <v>1</v>
      </c>
      <c r="O1585" s="217">
        <f t="shared" si="48"/>
        <v>0</v>
      </c>
      <c r="P1585" s="216">
        <f>IF(O1585=0,0,IF(B1585="MAT",G1585*(1+H1585)*L1585*PLAN_ETAPA!$C$5,IF(B1585="MO",IF(M1585=0,0,G1585*L1585*PLAN_ETAPA!$C$5*N1585/M1585),IF(B1585="EQ",IF(M1585=0,0,G1585*L1585*PLAN_ETAPA!$C$5/M1585),0))))</f>
        <v>0</v>
      </c>
      <c r="Q1585" s="218">
        <f t="shared" si="49"/>
        <v>0</v>
      </c>
    </row>
    <row r="1586" spans="1:17" x14ac:dyDescent="0.35">
      <c r="A1586" s="212" t="str">
        <f>COMPOSICIÓN!A1586</f>
        <v>PTO-1815</v>
      </c>
      <c r="B1586" s="212" t="str">
        <f>COMPOSICIÓN!B1586</f>
        <v>MAT</v>
      </c>
      <c r="C1586" s="212" t="str">
        <f>COMPOSICIÓN!C1586</f>
        <v>OTR</v>
      </c>
      <c r="D1586" s="212" t="str">
        <f>COMPOSICIÓN!D1586</f>
        <v>ELE-014</v>
      </c>
      <c r="E1586" s="212" t="str">
        <f>COMPOSICIÓN!E1586</f>
        <v>Caja rectangular chica</v>
      </c>
      <c r="F1586" s="212" t="str">
        <f>COMPOSICIÓN!F1586</f>
        <v>u</v>
      </c>
      <c r="G1586" s="213">
        <f>COMPOSICIÓN!G1586</f>
        <v>1</v>
      </c>
      <c r="H1586" s="214">
        <f>COMPOSICIÓN!H1586</f>
        <v>0.05</v>
      </c>
      <c r="I1586" s="215">
        <f>COMPOSICIÓN!I1586</f>
        <v>202.42</v>
      </c>
      <c r="J1586" s="212" t="str">
        <f>IFERROR(VLOOKUP(A1586,PARTIDAS!$A$2:$C$269,3,FALSE()),"")</f>
        <v>INSTALACIÓN ELÉCTRICA</v>
      </c>
      <c r="K1586" s="212" t="str">
        <f>IFERROR(INDEX(PPTO_GENERADOR!$B$4:$B$220,MATCH(A1586,PPTO_GENERADOR!$Q$4:$Q$220,0)),"")</f>
        <v/>
      </c>
      <c r="L1586" s="216">
        <f>IF(PLAN_ETAPA!$C$4="(TODOS)",SUMIFS(PPTO_GENERADOR!$E$4:$E$220,PPTO_GENERADOR!$Q$4:$Q$220,A1586),SUMIFS(PPTO_GENERADOR!$E$4:$E$220,PPTO_GENERADOR!$Q$4:$Q$220,A1586,PPTO_GENERADOR!$B$4:$B$220,PLAN_ETAPA!$C$4))</f>
        <v>0</v>
      </c>
      <c r="M1586" s="216">
        <f>IFERROR(VLOOKUP(A1586,PARTIDAS!$A$2:$F$269,6,FALSE()),1)</f>
        <v>5</v>
      </c>
      <c r="N1586" s="216">
        <f>IFERROR(VLOOKUP(A1586,PARTIDAS!$A$2:$I$269,9,FALSE()),1)</f>
        <v>1</v>
      </c>
      <c r="O1586" s="217">
        <f t="shared" si="48"/>
        <v>0</v>
      </c>
      <c r="P1586" s="216">
        <f>IF(O1586=0,0,IF(B1586="MAT",G1586*(1+H1586)*L1586*PLAN_ETAPA!$C$5,IF(B1586="MO",IF(M1586=0,0,G1586*L1586*PLAN_ETAPA!$C$5*N1586/M1586),IF(B1586="EQ",IF(M1586=0,0,G1586*L1586*PLAN_ETAPA!$C$5/M1586),0))))</f>
        <v>0</v>
      </c>
      <c r="Q1586" s="218">
        <f t="shared" si="49"/>
        <v>0</v>
      </c>
    </row>
    <row r="1587" spans="1:17" x14ac:dyDescent="0.35">
      <c r="A1587" s="212" t="str">
        <f>COMPOSICIÓN!A1587</f>
        <v>PTO-1816</v>
      </c>
      <c r="B1587" s="212" t="str">
        <f>COMPOSICIÓN!B1587</f>
        <v>EQ</v>
      </c>
      <c r="C1587" s="212">
        <f>COMPOSICIÓN!C1587</f>
        <v>0</v>
      </c>
      <c r="D1587" s="212" t="str">
        <f>COMPOSICIÓN!D1587</f>
        <v>EQ-PTO115</v>
      </c>
      <c r="E1587" s="212" t="str">
        <f>COMPOSICIÓN!E1587</f>
        <v>Herramientas y consumibles - PTO-1816 TSG</v>
      </c>
      <c r="F1587" s="212">
        <f>COMPOSICIÓN!F1587</f>
        <v>0</v>
      </c>
      <c r="G1587" s="213">
        <f>COMPOSICIÓN!G1587</f>
        <v>1</v>
      </c>
      <c r="H1587" s="214">
        <f>COMPOSICIÓN!H1587</f>
        <v>0</v>
      </c>
      <c r="I1587" s="215">
        <f>COMPOSICIÓN!I1587</f>
        <v>24902.845805454501</v>
      </c>
      <c r="J1587" s="212" t="str">
        <f>IFERROR(VLOOKUP(A1587,PARTIDAS!$A$2:$C$269,3,FALSE()),"")</f>
        <v>INSTALACIÓN ELÉCTRICA</v>
      </c>
      <c r="K1587" s="212" t="str">
        <f>IFERROR(INDEX(PPTO_GENERADOR!$B$4:$B$220,MATCH(A1587,PPTO_GENERADOR!$Q$4:$Q$220,0)),"")</f>
        <v>INSTALACIÓN ELÉCTRICA</v>
      </c>
      <c r="L1587" s="216">
        <f>IF(PLAN_ETAPA!$C$4="(TODOS)",SUMIFS(PPTO_GENERADOR!$E$4:$E$220,PPTO_GENERADOR!$Q$4:$Q$220,A1587),SUMIFS(PPTO_GENERADOR!$E$4:$E$220,PPTO_GENERADOR!$Q$4:$Q$220,A1587,PPTO_GENERADOR!$B$4:$B$220,PLAN_ETAPA!$C$4))</f>
        <v>0</v>
      </c>
      <c r="M1587" s="216">
        <f>IFERROR(VLOOKUP(A1587,PARTIDAS!$A$2:$F$269,6,FALSE()),1)</f>
        <v>1</v>
      </c>
      <c r="N1587" s="216">
        <f>IFERROR(VLOOKUP(A1587,PARTIDAS!$A$2:$I$269,9,FALSE()),1)</f>
        <v>1</v>
      </c>
      <c r="O1587" s="217">
        <f t="shared" si="48"/>
        <v>0</v>
      </c>
      <c r="P1587" s="216">
        <f>IF(O1587=0,0,IF(B1587="MAT",G1587*(1+H1587)*L1587*PLAN_ETAPA!$C$5,IF(B1587="MO",IF(M1587=0,0,G1587*L1587*PLAN_ETAPA!$C$5*N1587/M1587),IF(B1587="EQ",IF(M1587=0,0,G1587*L1587*PLAN_ETAPA!$C$5/M1587),0))))</f>
        <v>0</v>
      </c>
      <c r="Q1587" s="218">
        <f t="shared" si="49"/>
        <v>0</v>
      </c>
    </row>
    <row r="1588" spans="1:17" x14ac:dyDescent="0.35">
      <c r="A1588" s="212" t="str">
        <f>COMPOSICIÓN!A1588</f>
        <v>PTO-1816</v>
      </c>
      <c r="B1588" s="212" t="str">
        <f>COMPOSICIÓN!B1588</f>
        <v>MAT</v>
      </c>
      <c r="C1588" s="212" t="str">
        <f>COMPOSICIÓN!C1588</f>
        <v>OTR</v>
      </c>
      <c r="D1588" s="212" t="str">
        <f>COMPOSICIÓN!D1588</f>
        <v>MAT-CONS</v>
      </c>
      <c r="E1588" s="212" t="str">
        <f>COMPOSICIÓN!E1588</f>
        <v>Consumibles</v>
      </c>
      <c r="F1588" s="212" t="str">
        <f>COMPOSICIÓN!F1588</f>
        <v>gl</v>
      </c>
      <c r="G1588" s="213">
        <f>COMPOSICIÓN!G1588</f>
        <v>218497.83670000001</v>
      </c>
      <c r="H1588" s="214">
        <f>COMPOSICIÓN!H1588</f>
        <v>0</v>
      </c>
      <c r="I1588" s="215">
        <f>COMPOSICIÓN!I1588</f>
        <v>1</v>
      </c>
      <c r="J1588" s="212" t="str">
        <f>IFERROR(VLOOKUP(A1588,PARTIDAS!$A$2:$C$269,3,FALSE()),"")</f>
        <v>INSTALACIÓN ELÉCTRICA</v>
      </c>
      <c r="K1588" s="212" t="str">
        <f>IFERROR(INDEX(PPTO_GENERADOR!$B$4:$B$220,MATCH(A1588,PPTO_GENERADOR!$Q$4:$Q$220,0)),"")</f>
        <v>INSTALACIÓN ELÉCTRICA</v>
      </c>
      <c r="L1588" s="216">
        <f>IF(PLAN_ETAPA!$C$4="(TODOS)",SUMIFS(PPTO_GENERADOR!$E$4:$E$220,PPTO_GENERADOR!$Q$4:$Q$220,A1588),SUMIFS(PPTO_GENERADOR!$E$4:$E$220,PPTO_GENERADOR!$Q$4:$Q$220,A1588,PPTO_GENERADOR!$B$4:$B$220,PLAN_ETAPA!$C$4))</f>
        <v>0</v>
      </c>
      <c r="M1588" s="216">
        <f>IFERROR(VLOOKUP(A1588,PARTIDAS!$A$2:$F$269,6,FALSE()),1)</f>
        <v>1</v>
      </c>
      <c r="N1588" s="216">
        <f>IFERROR(VLOOKUP(A1588,PARTIDAS!$A$2:$I$269,9,FALSE()),1)</f>
        <v>1</v>
      </c>
      <c r="O1588" s="217">
        <f t="shared" si="48"/>
        <v>0</v>
      </c>
      <c r="P1588" s="216">
        <f>IF(O1588=0,0,IF(B1588="MAT",G1588*(1+H1588)*L1588*PLAN_ETAPA!$C$5,IF(B1588="MO",IF(M1588=0,0,G1588*L1588*PLAN_ETAPA!$C$5*N1588/M1588),IF(B1588="EQ",IF(M1588=0,0,G1588*L1588*PLAN_ETAPA!$C$5/M1588),0))))</f>
        <v>0</v>
      </c>
      <c r="Q1588" s="218">
        <f t="shared" si="49"/>
        <v>0</v>
      </c>
    </row>
    <row r="1589" spans="1:17" x14ac:dyDescent="0.35">
      <c r="A1589" s="212" t="str">
        <f>COMPOSICIÓN!A1589</f>
        <v>PTO-1816</v>
      </c>
      <c r="B1589" s="212" t="str">
        <f>COMPOSICIÓN!B1589</f>
        <v>MAT</v>
      </c>
      <c r="C1589" s="212" t="str">
        <f>COMPOSICIÓN!C1589</f>
        <v>OTR</v>
      </c>
      <c r="D1589" s="212" t="str">
        <f>COMPOSICIÓN!D1589</f>
        <v>OTR-PTO147</v>
      </c>
      <c r="E1589" s="212" t="str">
        <f>COMPOSICIÓN!E1589</f>
        <v>Voltimetro Display Ojo de Buey 22 mm (220vca ø22mm / IP44)</v>
      </c>
      <c r="F1589" s="212" t="str">
        <f>COMPOSICIÓN!F1589</f>
        <v>u</v>
      </c>
      <c r="G1589" s="213">
        <f>COMPOSICIÓN!G1589</f>
        <v>3</v>
      </c>
      <c r="H1589" s="214">
        <f>COMPOSICIÓN!H1589</f>
        <v>0</v>
      </c>
      <c r="I1589" s="215">
        <f>COMPOSICIÓN!I1589</f>
        <v>3656.19834710744</v>
      </c>
      <c r="J1589" s="212" t="str">
        <f>IFERROR(VLOOKUP(A1589,PARTIDAS!$A$2:$C$269,3,FALSE()),"")</f>
        <v>INSTALACIÓN ELÉCTRICA</v>
      </c>
      <c r="K1589" s="212" t="str">
        <f>IFERROR(INDEX(PPTO_GENERADOR!$B$4:$B$220,MATCH(A1589,PPTO_GENERADOR!$Q$4:$Q$220,0)),"")</f>
        <v>INSTALACIÓN ELÉCTRICA</v>
      </c>
      <c r="L1589" s="216">
        <f>IF(PLAN_ETAPA!$C$4="(TODOS)",SUMIFS(PPTO_GENERADOR!$E$4:$E$220,PPTO_GENERADOR!$Q$4:$Q$220,A1589),SUMIFS(PPTO_GENERADOR!$E$4:$E$220,PPTO_GENERADOR!$Q$4:$Q$220,A1589,PPTO_GENERADOR!$B$4:$B$220,PLAN_ETAPA!$C$4))</f>
        <v>0</v>
      </c>
      <c r="M1589" s="216">
        <f>IFERROR(VLOOKUP(A1589,PARTIDAS!$A$2:$F$269,6,FALSE()),1)</f>
        <v>1</v>
      </c>
      <c r="N1589" s="216">
        <f>IFERROR(VLOOKUP(A1589,PARTIDAS!$A$2:$I$269,9,FALSE()),1)</f>
        <v>1</v>
      </c>
      <c r="O1589" s="217">
        <f t="shared" si="48"/>
        <v>0</v>
      </c>
      <c r="P1589" s="216">
        <f>IF(O1589=0,0,IF(B1589="MAT",G1589*(1+H1589)*L1589*PLAN_ETAPA!$C$5,IF(B1589="MO",IF(M1589=0,0,G1589*L1589*PLAN_ETAPA!$C$5*N1589/M1589),IF(B1589="EQ",IF(M1589=0,0,G1589*L1589*PLAN_ETAPA!$C$5/M1589),0))))</f>
        <v>0</v>
      </c>
      <c r="Q1589" s="218">
        <f t="shared" si="49"/>
        <v>0</v>
      </c>
    </row>
    <row r="1590" spans="1:17" x14ac:dyDescent="0.35">
      <c r="A1590" s="212" t="str">
        <f>COMPOSICIÓN!A1590</f>
        <v>PTO-1816</v>
      </c>
      <c r="B1590" s="212" t="str">
        <f>COMPOSICIÓN!B1590</f>
        <v>MAT</v>
      </c>
      <c r="C1590" s="212" t="str">
        <f>COMPOSICIÓN!C1590</f>
        <v>OTR</v>
      </c>
      <c r="D1590" s="212" t="str">
        <f>COMPOSICIÓN!D1590</f>
        <v>OTR-PTO148</v>
      </c>
      <c r="E1590" s="212" t="str">
        <f>COMPOSICIÓN!E1590</f>
        <v>STECK DIFERENCIAL 4X40A 30MA (4x40A)</v>
      </c>
      <c r="F1590" s="212" t="str">
        <f>COMPOSICIÓN!F1590</f>
        <v>u</v>
      </c>
      <c r="G1590" s="213">
        <f>COMPOSICIÓN!G1590</f>
        <v>3</v>
      </c>
      <c r="H1590" s="214">
        <f>COMPOSICIÓN!H1590</f>
        <v>0</v>
      </c>
      <c r="I1590" s="215">
        <f>COMPOSICIÓN!I1590</f>
        <v>35881.19</v>
      </c>
      <c r="J1590" s="212" t="str">
        <f>IFERROR(VLOOKUP(A1590,PARTIDAS!$A$2:$C$269,3,FALSE()),"")</f>
        <v>INSTALACIÓN ELÉCTRICA</v>
      </c>
      <c r="K1590" s="212" t="str">
        <f>IFERROR(INDEX(PPTO_GENERADOR!$B$4:$B$220,MATCH(A1590,PPTO_GENERADOR!$Q$4:$Q$220,0)),"")</f>
        <v>INSTALACIÓN ELÉCTRICA</v>
      </c>
      <c r="L1590" s="216">
        <f>IF(PLAN_ETAPA!$C$4="(TODOS)",SUMIFS(PPTO_GENERADOR!$E$4:$E$220,PPTO_GENERADOR!$Q$4:$Q$220,A1590),SUMIFS(PPTO_GENERADOR!$E$4:$E$220,PPTO_GENERADOR!$Q$4:$Q$220,A1590,PPTO_GENERADOR!$B$4:$B$220,PLAN_ETAPA!$C$4))</f>
        <v>0</v>
      </c>
      <c r="M1590" s="216">
        <f>IFERROR(VLOOKUP(A1590,PARTIDAS!$A$2:$F$269,6,FALSE()),1)</f>
        <v>1</v>
      </c>
      <c r="N1590" s="216">
        <f>IFERROR(VLOOKUP(A1590,PARTIDAS!$A$2:$I$269,9,FALSE()),1)</f>
        <v>1</v>
      </c>
      <c r="O1590" s="217">
        <f t="shared" si="48"/>
        <v>0</v>
      </c>
      <c r="P1590" s="216">
        <f>IF(O1590=0,0,IF(B1590="MAT",G1590*(1+H1590)*L1590*PLAN_ETAPA!$C$5,IF(B1590="MO",IF(M1590=0,0,G1590*L1590*PLAN_ETAPA!$C$5*N1590/M1590),IF(B1590="EQ",IF(M1590=0,0,G1590*L1590*PLAN_ETAPA!$C$5/M1590),0))))</f>
        <v>0</v>
      </c>
      <c r="Q1590" s="218">
        <f t="shared" si="49"/>
        <v>0</v>
      </c>
    </row>
    <row r="1591" spans="1:17" x14ac:dyDescent="0.35">
      <c r="A1591" s="212" t="str">
        <f>COMPOSICIÓN!A1591</f>
        <v>PTO-1816</v>
      </c>
      <c r="B1591" s="212" t="str">
        <f>COMPOSICIÓN!B1591</f>
        <v>MAT</v>
      </c>
      <c r="C1591" s="212" t="str">
        <f>COMPOSICIÓN!C1591</f>
        <v>OTR</v>
      </c>
      <c r="D1591" s="212" t="str">
        <f>COMPOSICIÓN!D1591</f>
        <v>OTR-PTO149</v>
      </c>
      <c r="E1591" s="212" t="str">
        <f>COMPOSICIÓN!E1591</f>
        <v>STECK DIFERENCIAL 2X25A 30MA (2X40A)</v>
      </c>
      <c r="F1591" s="212" t="str">
        <f>COMPOSICIÓN!F1591</f>
        <v>u</v>
      </c>
      <c r="G1591" s="213">
        <f>COMPOSICIÓN!G1591</f>
        <v>9</v>
      </c>
      <c r="H1591" s="214">
        <f>COMPOSICIÓN!H1591</f>
        <v>0</v>
      </c>
      <c r="I1591" s="215">
        <f>COMPOSICIÓN!I1591</f>
        <v>18770.66</v>
      </c>
      <c r="J1591" s="212" t="str">
        <f>IFERROR(VLOOKUP(A1591,PARTIDAS!$A$2:$C$269,3,FALSE()),"")</f>
        <v>INSTALACIÓN ELÉCTRICA</v>
      </c>
      <c r="K1591" s="212" t="str">
        <f>IFERROR(INDEX(PPTO_GENERADOR!$B$4:$B$220,MATCH(A1591,PPTO_GENERADOR!$Q$4:$Q$220,0)),"")</f>
        <v>INSTALACIÓN ELÉCTRICA</v>
      </c>
      <c r="L1591" s="216">
        <f>IF(PLAN_ETAPA!$C$4="(TODOS)",SUMIFS(PPTO_GENERADOR!$E$4:$E$220,PPTO_GENERADOR!$Q$4:$Q$220,A1591),SUMIFS(PPTO_GENERADOR!$E$4:$E$220,PPTO_GENERADOR!$Q$4:$Q$220,A1591,PPTO_GENERADOR!$B$4:$B$220,PLAN_ETAPA!$C$4))</f>
        <v>0</v>
      </c>
      <c r="M1591" s="216">
        <f>IFERROR(VLOOKUP(A1591,PARTIDAS!$A$2:$F$269,6,FALSE()),1)</f>
        <v>1</v>
      </c>
      <c r="N1591" s="216">
        <f>IFERROR(VLOOKUP(A1591,PARTIDAS!$A$2:$I$269,9,FALSE()),1)</f>
        <v>1</v>
      </c>
      <c r="O1591" s="217">
        <f t="shared" si="48"/>
        <v>0</v>
      </c>
      <c r="P1591" s="216">
        <f>IF(O1591=0,0,IF(B1591="MAT",G1591*(1+H1591)*L1591*PLAN_ETAPA!$C$5,IF(B1591="MO",IF(M1591=0,0,G1591*L1591*PLAN_ETAPA!$C$5*N1591/M1591),IF(B1591="EQ",IF(M1591=0,0,G1591*L1591*PLAN_ETAPA!$C$5/M1591),0))))</f>
        <v>0</v>
      </c>
      <c r="Q1591" s="218">
        <f t="shared" si="49"/>
        <v>0</v>
      </c>
    </row>
    <row r="1592" spans="1:17" x14ac:dyDescent="0.35">
      <c r="A1592" s="212" t="str">
        <f>COMPOSICIÓN!A1592</f>
        <v>PTO-1816</v>
      </c>
      <c r="B1592" s="212" t="str">
        <f>COMPOSICIÓN!B1592</f>
        <v>MAT</v>
      </c>
      <c r="C1592" s="212" t="str">
        <f>COMPOSICIÓN!C1592</f>
        <v>OTR</v>
      </c>
      <c r="D1592" s="212" t="str">
        <f>COMPOSICIÓN!D1592</f>
        <v>OTR-PTO150</v>
      </c>
      <c r="E1592" s="212" t="str">
        <f>COMPOSICIÓN!E1592</f>
        <v>STECK TM TETRAPOLAR 50A 6KA (4 x 50 A)</v>
      </c>
      <c r="F1592" s="212" t="str">
        <f>COMPOSICIÓN!F1592</f>
        <v>u</v>
      </c>
      <c r="G1592" s="213">
        <f>COMPOSICIÓN!G1592</f>
        <v>2</v>
      </c>
      <c r="H1592" s="214">
        <f>COMPOSICIÓN!H1592</f>
        <v>0</v>
      </c>
      <c r="I1592" s="215">
        <f>COMPOSICIÓN!I1592</f>
        <v>11960.81</v>
      </c>
      <c r="J1592" s="212" t="str">
        <f>IFERROR(VLOOKUP(A1592,PARTIDAS!$A$2:$C$269,3,FALSE()),"")</f>
        <v>INSTALACIÓN ELÉCTRICA</v>
      </c>
      <c r="K1592" s="212" t="str">
        <f>IFERROR(INDEX(PPTO_GENERADOR!$B$4:$B$220,MATCH(A1592,PPTO_GENERADOR!$Q$4:$Q$220,0)),"")</f>
        <v>INSTALACIÓN ELÉCTRICA</v>
      </c>
      <c r="L1592" s="216">
        <f>IF(PLAN_ETAPA!$C$4="(TODOS)",SUMIFS(PPTO_GENERADOR!$E$4:$E$220,PPTO_GENERADOR!$Q$4:$Q$220,A1592),SUMIFS(PPTO_GENERADOR!$E$4:$E$220,PPTO_GENERADOR!$Q$4:$Q$220,A1592,PPTO_GENERADOR!$B$4:$B$220,PLAN_ETAPA!$C$4))</f>
        <v>0</v>
      </c>
      <c r="M1592" s="216">
        <f>IFERROR(VLOOKUP(A1592,PARTIDAS!$A$2:$F$269,6,FALSE()),1)</f>
        <v>1</v>
      </c>
      <c r="N1592" s="216">
        <f>IFERROR(VLOOKUP(A1592,PARTIDAS!$A$2:$I$269,9,FALSE()),1)</f>
        <v>1</v>
      </c>
      <c r="O1592" s="217">
        <f t="shared" si="48"/>
        <v>0</v>
      </c>
      <c r="P1592" s="216">
        <f>IF(O1592=0,0,IF(B1592="MAT",G1592*(1+H1592)*L1592*PLAN_ETAPA!$C$5,IF(B1592="MO",IF(M1592=0,0,G1592*L1592*PLAN_ETAPA!$C$5*N1592/M1592),IF(B1592="EQ",IF(M1592=0,0,G1592*L1592*PLAN_ETAPA!$C$5/M1592),0))))</f>
        <v>0</v>
      </c>
      <c r="Q1592" s="218">
        <f t="shared" si="49"/>
        <v>0</v>
      </c>
    </row>
    <row r="1593" spans="1:17" x14ac:dyDescent="0.35">
      <c r="A1593" s="212" t="str">
        <f>COMPOSICIÓN!A1593</f>
        <v>PTO-1816</v>
      </c>
      <c r="B1593" s="212" t="str">
        <f>COMPOSICIÓN!B1593</f>
        <v>MAT</v>
      </c>
      <c r="C1593" s="212" t="str">
        <f>COMPOSICIÓN!C1593</f>
        <v>OTR</v>
      </c>
      <c r="D1593" s="212" t="str">
        <f>COMPOSICIÓN!D1593</f>
        <v>OTR-PTO151</v>
      </c>
      <c r="E1593" s="212" t="str">
        <f>COMPOSICIÓN!E1593</f>
        <v>STECK TM TETRAPOLAR 32A 6KA (4 X 25A)</v>
      </c>
      <c r="F1593" s="212" t="str">
        <f>COMPOSICIÓN!F1593</f>
        <v>u</v>
      </c>
      <c r="G1593" s="213">
        <f>COMPOSICIÓN!G1593</f>
        <v>2</v>
      </c>
      <c r="H1593" s="214">
        <f>COMPOSICIÓN!H1593</f>
        <v>0</v>
      </c>
      <c r="I1593" s="215">
        <f>COMPOSICIÓN!I1593</f>
        <v>11163.59</v>
      </c>
      <c r="J1593" s="212" t="str">
        <f>IFERROR(VLOOKUP(A1593,PARTIDAS!$A$2:$C$269,3,FALSE()),"")</f>
        <v>INSTALACIÓN ELÉCTRICA</v>
      </c>
      <c r="K1593" s="212" t="str">
        <f>IFERROR(INDEX(PPTO_GENERADOR!$B$4:$B$220,MATCH(A1593,PPTO_GENERADOR!$Q$4:$Q$220,0)),"")</f>
        <v>INSTALACIÓN ELÉCTRICA</v>
      </c>
      <c r="L1593" s="216">
        <f>IF(PLAN_ETAPA!$C$4="(TODOS)",SUMIFS(PPTO_GENERADOR!$E$4:$E$220,PPTO_GENERADOR!$Q$4:$Q$220,A1593),SUMIFS(PPTO_GENERADOR!$E$4:$E$220,PPTO_GENERADOR!$Q$4:$Q$220,A1593,PPTO_GENERADOR!$B$4:$B$220,PLAN_ETAPA!$C$4))</f>
        <v>0</v>
      </c>
      <c r="M1593" s="216">
        <f>IFERROR(VLOOKUP(A1593,PARTIDAS!$A$2:$F$269,6,FALSE()),1)</f>
        <v>1</v>
      </c>
      <c r="N1593" s="216">
        <f>IFERROR(VLOOKUP(A1593,PARTIDAS!$A$2:$I$269,9,FALSE()),1)</f>
        <v>1</v>
      </c>
      <c r="O1593" s="217">
        <f t="shared" si="48"/>
        <v>0</v>
      </c>
      <c r="P1593" s="216">
        <f>IF(O1593=0,0,IF(B1593="MAT",G1593*(1+H1593)*L1593*PLAN_ETAPA!$C$5,IF(B1593="MO",IF(M1593=0,0,G1593*L1593*PLAN_ETAPA!$C$5*N1593/M1593),IF(B1593="EQ",IF(M1593=0,0,G1593*L1593*PLAN_ETAPA!$C$5/M1593),0))))</f>
        <v>0</v>
      </c>
      <c r="Q1593" s="218">
        <f t="shared" si="49"/>
        <v>0</v>
      </c>
    </row>
    <row r="1594" spans="1:17" x14ac:dyDescent="0.35">
      <c r="A1594" s="212" t="str">
        <f>COMPOSICIÓN!A1594</f>
        <v>PTO-1816</v>
      </c>
      <c r="B1594" s="212" t="str">
        <f>COMPOSICIÓN!B1594</f>
        <v>MAT</v>
      </c>
      <c r="C1594" s="212" t="str">
        <f>COMPOSICIÓN!C1594</f>
        <v>OTR</v>
      </c>
      <c r="D1594" s="212" t="str">
        <f>COMPOSICIÓN!D1594</f>
        <v>OTR-PTO152</v>
      </c>
      <c r="E1594" s="212" t="str">
        <f>COMPOSICIÓN!E1594</f>
        <v>STECK TM BIPOLAR 16A 6KA (2 X 16A)</v>
      </c>
      <c r="F1594" s="212" t="str">
        <f>COMPOSICIÓN!F1594</f>
        <v>u</v>
      </c>
      <c r="G1594" s="213">
        <f>COMPOSICIÓN!G1594</f>
        <v>10</v>
      </c>
      <c r="H1594" s="214">
        <f>COMPOSICIÓN!H1594</f>
        <v>0</v>
      </c>
      <c r="I1594" s="215">
        <f>COMPOSICIÓN!I1594</f>
        <v>5287.23</v>
      </c>
      <c r="J1594" s="212" t="str">
        <f>IFERROR(VLOOKUP(A1594,PARTIDAS!$A$2:$C$269,3,FALSE()),"")</f>
        <v>INSTALACIÓN ELÉCTRICA</v>
      </c>
      <c r="K1594" s="212" t="str">
        <f>IFERROR(INDEX(PPTO_GENERADOR!$B$4:$B$220,MATCH(A1594,PPTO_GENERADOR!$Q$4:$Q$220,0)),"")</f>
        <v>INSTALACIÓN ELÉCTRICA</v>
      </c>
      <c r="L1594" s="216">
        <f>IF(PLAN_ETAPA!$C$4="(TODOS)",SUMIFS(PPTO_GENERADOR!$E$4:$E$220,PPTO_GENERADOR!$Q$4:$Q$220,A1594),SUMIFS(PPTO_GENERADOR!$E$4:$E$220,PPTO_GENERADOR!$Q$4:$Q$220,A1594,PPTO_GENERADOR!$B$4:$B$220,PLAN_ETAPA!$C$4))</f>
        <v>0</v>
      </c>
      <c r="M1594" s="216">
        <f>IFERROR(VLOOKUP(A1594,PARTIDAS!$A$2:$F$269,6,FALSE()),1)</f>
        <v>1</v>
      </c>
      <c r="N1594" s="216">
        <f>IFERROR(VLOOKUP(A1594,PARTIDAS!$A$2:$I$269,9,FALSE()),1)</f>
        <v>1</v>
      </c>
      <c r="O1594" s="217">
        <f t="shared" si="48"/>
        <v>0</v>
      </c>
      <c r="P1594" s="216">
        <f>IF(O1594=0,0,IF(B1594="MAT",G1594*(1+H1594)*L1594*PLAN_ETAPA!$C$5,IF(B1594="MO",IF(M1594=0,0,G1594*L1594*PLAN_ETAPA!$C$5*N1594/M1594),IF(B1594="EQ",IF(M1594=0,0,G1594*L1594*PLAN_ETAPA!$C$5/M1594),0))))</f>
        <v>0</v>
      </c>
      <c r="Q1594" s="218">
        <f t="shared" si="49"/>
        <v>0</v>
      </c>
    </row>
    <row r="1595" spans="1:17" x14ac:dyDescent="0.35">
      <c r="A1595" s="212" t="str">
        <f>COMPOSICIÓN!A1595</f>
        <v>PTO-1816</v>
      </c>
      <c r="B1595" s="212" t="str">
        <f>COMPOSICIÓN!B1595</f>
        <v>MAT</v>
      </c>
      <c r="C1595" s="212" t="str">
        <f>COMPOSICIÓN!C1595</f>
        <v>OTR</v>
      </c>
      <c r="D1595" s="212" t="str">
        <f>COMPOSICIÓN!D1595</f>
        <v>OTR-PTO153</v>
      </c>
      <c r="E1595" s="212" t="str">
        <f>COMPOSICIÓN!E1595</f>
        <v>STECK TM BIPOLAR 10A 6KA (2 X 10A)</v>
      </c>
      <c r="F1595" s="212" t="str">
        <f>COMPOSICIÓN!F1595</f>
        <v>u</v>
      </c>
      <c r="G1595" s="213">
        <f>COMPOSICIÓN!G1595</f>
        <v>15</v>
      </c>
      <c r="H1595" s="214">
        <f>COMPOSICIÓN!H1595</f>
        <v>0</v>
      </c>
      <c r="I1595" s="215">
        <f>COMPOSICIÓN!I1595</f>
        <v>5287.23</v>
      </c>
      <c r="J1595" s="212" t="str">
        <f>IFERROR(VLOOKUP(A1595,PARTIDAS!$A$2:$C$269,3,FALSE()),"")</f>
        <v>INSTALACIÓN ELÉCTRICA</v>
      </c>
      <c r="K1595" s="212" t="str">
        <f>IFERROR(INDEX(PPTO_GENERADOR!$B$4:$B$220,MATCH(A1595,PPTO_GENERADOR!$Q$4:$Q$220,0)),"")</f>
        <v>INSTALACIÓN ELÉCTRICA</v>
      </c>
      <c r="L1595" s="216">
        <f>IF(PLAN_ETAPA!$C$4="(TODOS)",SUMIFS(PPTO_GENERADOR!$E$4:$E$220,PPTO_GENERADOR!$Q$4:$Q$220,A1595),SUMIFS(PPTO_GENERADOR!$E$4:$E$220,PPTO_GENERADOR!$Q$4:$Q$220,A1595,PPTO_GENERADOR!$B$4:$B$220,PLAN_ETAPA!$C$4))</f>
        <v>0</v>
      </c>
      <c r="M1595" s="216">
        <f>IFERROR(VLOOKUP(A1595,PARTIDAS!$A$2:$F$269,6,FALSE()),1)</f>
        <v>1</v>
      </c>
      <c r="N1595" s="216">
        <f>IFERROR(VLOOKUP(A1595,PARTIDAS!$A$2:$I$269,9,FALSE()),1)</f>
        <v>1</v>
      </c>
      <c r="O1595" s="217">
        <f t="shared" si="48"/>
        <v>0</v>
      </c>
      <c r="P1595" s="216">
        <f>IF(O1595=0,0,IF(B1595="MAT",G1595*(1+H1595)*L1595*PLAN_ETAPA!$C$5,IF(B1595="MO",IF(M1595=0,0,G1595*L1595*PLAN_ETAPA!$C$5*N1595/M1595),IF(B1595="EQ",IF(M1595=0,0,G1595*L1595*PLAN_ETAPA!$C$5/M1595),0))))</f>
        <v>0</v>
      </c>
      <c r="Q1595" s="218">
        <f t="shared" si="49"/>
        <v>0</v>
      </c>
    </row>
    <row r="1596" spans="1:17" x14ac:dyDescent="0.35">
      <c r="A1596" s="212" t="str">
        <f>COMPOSICIÓN!A1596</f>
        <v>PTO-1816</v>
      </c>
      <c r="B1596" s="212" t="str">
        <f>COMPOSICIÓN!B1596</f>
        <v>MAT</v>
      </c>
      <c r="C1596" s="212" t="str">
        <f>COMPOSICIÓN!C1596</f>
        <v>OTR</v>
      </c>
      <c r="D1596" s="212" t="str">
        <f>COMPOSICIÓN!D1596</f>
        <v>OTR-PTO154</v>
      </c>
      <c r="E1596" s="212" t="str">
        <f>COMPOSICIÓN!E1596</f>
        <v>GAB. IP65 SERIE 9000 600X900X225</v>
      </c>
      <c r="F1596" s="212" t="str">
        <f>COMPOSICIÓN!F1596</f>
        <v>u</v>
      </c>
      <c r="G1596" s="213">
        <f>COMPOSICIÓN!G1596</f>
        <v>1</v>
      </c>
      <c r="H1596" s="214">
        <f>COMPOSICIÓN!H1596</f>
        <v>0</v>
      </c>
      <c r="I1596" s="215">
        <f>COMPOSICIÓN!I1596</f>
        <v>267503.51</v>
      </c>
      <c r="J1596" s="212" t="str">
        <f>IFERROR(VLOOKUP(A1596,PARTIDAS!$A$2:$C$269,3,FALSE()),"")</f>
        <v>INSTALACIÓN ELÉCTRICA</v>
      </c>
      <c r="K1596" s="212" t="str">
        <f>IFERROR(INDEX(PPTO_GENERADOR!$B$4:$B$220,MATCH(A1596,PPTO_GENERADOR!$Q$4:$Q$220,0)),"")</f>
        <v>INSTALACIÓN ELÉCTRICA</v>
      </c>
      <c r="L1596" s="216">
        <f>IF(PLAN_ETAPA!$C$4="(TODOS)",SUMIFS(PPTO_GENERADOR!$E$4:$E$220,PPTO_GENERADOR!$Q$4:$Q$220,A1596),SUMIFS(PPTO_GENERADOR!$E$4:$E$220,PPTO_GENERADOR!$Q$4:$Q$220,A1596,PPTO_GENERADOR!$B$4:$B$220,PLAN_ETAPA!$C$4))</f>
        <v>0</v>
      </c>
      <c r="M1596" s="216">
        <f>IFERROR(VLOOKUP(A1596,PARTIDAS!$A$2:$F$269,6,FALSE()),1)</f>
        <v>1</v>
      </c>
      <c r="N1596" s="216">
        <f>IFERROR(VLOOKUP(A1596,PARTIDAS!$A$2:$I$269,9,FALSE()),1)</f>
        <v>1</v>
      </c>
      <c r="O1596" s="217">
        <f t="shared" si="48"/>
        <v>0</v>
      </c>
      <c r="P1596" s="216">
        <f>IF(O1596=0,0,IF(B1596="MAT",G1596*(1+H1596)*L1596*PLAN_ETAPA!$C$5,IF(B1596="MO",IF(M1596=0,0,G1596*L1596*PLAN_ETAPA!$C$5*N1596/M1596),IF(B1596="EQ",IF(M1596=0,0,G1596*L1596*PLAN_ETAPA!$C$5/M1596),0))))</f>
        <v>0</v>
      </c>
      <c r="Q1596" s="218">
        <f t="shared" si="49"/>
        <v>0</v>
      </c>
    </row>
    <row r="1597" spans="1:17" x14ac:dyDescent="0.35">
      <c r="A1597" s="212" t="str">
        <f>COMPOSICIÓN!A1597</f>
        <v>PTO-1816</v>
      </c>
      <c r="B1597" s="212" t="str">
        <f>COMPOSICIÓN!B1597</f>
        <v>MAT</v>
      </c>
      <c r="C1597" s="212" t="str">
        <f>COMPOSICIÓN!C1597</f>
        <v>OTR</v>
      </c>
      <c r="D1597" s="212" t="str">
        <f>COMPOSICIÓN!D1597</f>
        <v>OTR-PTO155</v>
      </c>
      <c r="E1597" s="212" t="str">
        <f>COMPOSICIÓN!E1597</f>
        <v>CONTRAF ABISAG CALADO 60BIP S9000 600X900</v>
      </c>
      <c r="F1597" s="212" t="str">
        <f>COMPOSICIÓN!F1597</f>
        <v>u</v>
      </c>
      <c r="G1597" s="213">
        <f>COMPOSICIÓN!G1597</f>
        <v>1</v>
      </c>
      <c r="H1597" s="214">
        <f>COMPOSICIÓN!H1597</f>
        <v>0</v>
      </c>
      <c r="I1597" s="215">
        <f>COMPOSICIÓN!I1597</f>
        <v>96123.97</v>
      </c>
      <c r="J1597" s="212" t="str">
        <f>IFERROR(VLOOKUP(A1597,PARTIDAS!$A$2:$C$269,3,FALSE()),"")</f>
        <v>INSTALACIÓN ELÉCTRICA</v>
      </c>
      <c r="K1597" s="212" t="str">
        <f>IFERROR(INDEX(PPTO_GENERADOR!$B$4:$B$220,MATCH(A1597,PPTO_GENERADOR!$Q$4:$Q$220,0)),"")</f>
        <v>INSTALACIÓN ELÉCTRICA</v>
      </c>
      <c r="L1597" s="216">
        <f>IF(PLAN_ETAPA!$C$4="(TODOS)",SUMIFS(PPTO_GENERADOR!$E$4:$E$220,PPTO_GENERADOR!$Q$4:$Q$220,A1597),SUMIFS(PPTO_GENERADOR!$E$4:$E$220,PPTO_GENERADOR!$Q$4:$Q$220,A1597,PPTO_GENERADOR!$B$4:$B$220,PLAN_ETAPA!$C$4))</f>
        <v>0</v>
      </c>
      <c r="M1597" s="216">
        <f>IFERROR(VLOOKUP(A1597,PARTIDAS!$A$2:$F$269,6,FALSE()),1)</f>
        <v>1</v>
      </c>
      <c r="N1597" s="216">
        <f>IFERROR(VLOOKUP(A1597,PARTIDAS!$A$2:$I$269,9,FALSE()),1)</f>
        <v>1</v>
      </c>
      <c r="O1597" s="217">
        <f t="shared" si="48"/>
        <v>0</v>
      </c>
      <c r="P1597" s="216">
        <f>IF(O1597=0,0,IF(B1597="MAT",G1597*(1+H1597)*L1597*PLAN_ETAPA!$C$5,IF(B1597="MO",IF(M1597=0,0,G1597*L1597*PLAN_ETAPA!$C$5*N1597/M1597),IF(B1597="EQ",IF(M1597=0,0,G1597*L1597*PLAN_ETAPA!$C$5/M1597),0))))</f>
        <v>0</v>
      </c>
      <c r="Q1597" s="218">
        <f t="shared" si="49"/>
        <v>0</v>
      </c>
    </row>
    <row r="1598" spans="1:17" x14ac:dyDescent="0.35">
      <c r="A1598" s="212" t="str">
        <f>COMPOSICIÓN!A1598</f>
        <v>PTO-1816</v>
      </c>
      <c r="B1598" s="212" t="str">
        <f>COMPOSICIÓN!B1598</f>
        <v>MAT</v>
      </c>
      <c r="C1598" s="212" t="str">
        <f>COMPOSICIÓN!C1598</f>
        <v>OTR</v>
      </c>
      <c r="D1598" s="212" t="str">
        <f>COMPOSICIÓN!D1598</f>
        <v>OTR-PTO156</v>
      </c>
      <c r="E1598" s="212" t="str">
        <f>COMPOSICIÓN!E1598</f>
        <v>SOP REG P/CONTRAFRENTE PROF 225 X1</v>
      </c>
      <c r="F1598" s="212" t="str">
        <f>COMPOSICIÓN!F1598</f>
        <v>u</v>
      </c>
      <c r="G1598" s="213">
        <f>COMPOSICIÓN!G1598</f>
        <v>1</v>
      </c>
      <c r="H1598" s="214">
        <f>COMPOSICIÓN!H1598</f>
        <v>0</v>
      </c>
      <c r="I1598" s="215">
        <f>COMPOSICIÓN!I1598</f>
        <v>9297.0300000000007</v>
      </c>
      <c r="J1598" s="212" t="str">
        <f>IFERROR(VLOOKUP(A1598,PARTIDAS!$A$2:$C$269,3,FALSE()),"")</f>
        <v>INSTALACIÓN ELÉCTRICA</v>
      </c>
      <c r="K1598" s="212" t="str">
        <f>IFERROR(INDEX(PPTO_GENERADOR!$B$4:$B$220,MATCH(A1598,PPTO_GENERADOR!$Q$4:$Q$220,0)),"")</f>
        <v>INSTALACIÓN ELÉCTRICA</v>
      </c>
      <c r="L1598" s="216">
        <f>IF(PLAN_ETAPA!$C$4="(TODOS)",SUMIFS(PPTO_GENERADOR!$E$4:$E$220,PPTO_GENERADOR!$Q$4:$Q$220,A1598),SUMIFS(PPTO_GENERADOR!$E$4:$E$220,PPTO_GENERADOR!$Q$4:$Q$220,A1598,PPTO_GENERADOR!$B$4:$B$220,PLAN_ETAPA!$C$4))</f>
        <v>0</v>
      </c>
      <c r="M1598" s="216">
        <f>IFERROR(VLOOKUP(A1598,PARTIDAS!$A$2:$F$269,6,FALSE()),1)</f>
        <v>1</v>
      </c>
      <c r="N1598" s="216">
        <f>IFERROR(VLOOKUP(A1598,PARTIDAS!$A$2:$I$269,9,FALSE()),1)</f>
        <v>1</v>
      </c>
      <c r="O1598" s="217">
        <f t="shared" si="48"/>
        <v>0</v>
      </c>
      <c r="P1598" s="216">
        <f>IF(O1598=0,0,IF(B1598="MAT",G1598*(1+H1598)*L1598*PLAN_ETAPA!$C$5,IF(B1598="MO",IF(M1598=0,0,G1598*L1598*PLAN_ETAPA!$C$5*N1598/M1598),IF(B1598="EQ",IF(M1598=0,0,G1598*L1598*PLAN_ETAPA!$C$5/M1598),0))))</f>
        <v>0</v>
      </c>
      <c r="Q1598" s="218">
        <f t="shared" si="49"/>
        <v>0</v>
      </c>
    </row>
    <row r="1599" spans="1:17" x14ac:dyDescent="0.35">
      <c r="A1599" s="212" t="str">
        <f>COMPOSICIÓN!A1599</f>
        <v>PTO-1816</v>
      </c>
      <c r="B1599" s="212" t="str">
        <f>COMPOSICIÓN!B1599</f>
        <v>MAT</v>
      </c>
      <c r="C1599" s="212" t="str">
        <f>COMPOSICIÓN!C1599</f>
        <v>OTR</v>
      </c>
      <c r="D1599" s="212" t="str">
        <f>COMPOSICIÓN!D1599</f>
        <v>OTR-PTO157</v>
      </c>
      <c r="E1599" s="212" t="str">
        <f>COMPOSICIÓN!E1599</f>
        <v>RIEL PORTA ELEMENTOS X 1 METRO</v>
      </c>
      <c r="F1599" s="212" t="str">
        <f>COMPOSICIÓN!F1599</f>
        <v>u</v>
      </c>
      <c r="G1599" s="213">
        <f>COMPOSICIÓN!G1599</f>
        <v>3</v>
      </c>
      <c r="H1599" s="214">
        <f>COMPOSICIÓN!H1599</f>
        <v>0</v>
      </c>
      <c r="I1599" s="215">
        <f>COMPOSICIÓN!I1599</f>
        <v>14702.99</v>
      </c>
      <c r="J1599" s="212" t="str">
        <f>IFERROR(VLOOKUP(A1599,PARTIDAS!$A$2:$C$269,3,FALSE()),"")</f>
        <v>INSTALACIÓN ELÉCTRICA</v>
      </c>
      <c r="K1599" s="212" t="str">
        <f>IFERROR(INDEX(PPTO_GENERADOR!$B$4:$B$220,MATCH(A1599,PPTO_GENERADOR!$Q$4:$Q$220,0)),"")</f>
        <v>INSTALACIÓN ELÉCTRICA</v>
      </c>
      <c r="L1599" s="216">
        <f>IF(PLAN_ETAPA!$C$4="(TODOS)",SUMIFS(PPTO_GENERADOR!$E$4:$E$220,PPTO_GENERADOR!$Q$4:$Q$220,A1599),SUMIFS(PPTO_GENERADOR!$E$4:$E$220,PPTO_GENERADOR!$Q$4:$Q$220,A1599,PPTO_GENERADOR!$B$4:$B$220,PLAN_ETAPA!$C$4))</f>
        <v>0</v>
      </c>
      <c r="M1599" s="216">
        <f>IFERROR(VLOOKUP(A1599,PARTIDAS!$A$2:$F$269,6,FALSE()),1)</f>
        <v>1</v>
      </c>
      <c r="N1599" s="216">
        <f>IFERROR(VLOOKUP(A1599,PARTIDAS!$A$2:$I$269,9,FALSE()),1)</f>
        <v>1</v>
      </c>
      <c r="O1599" s="217">
        <f t="shared" si="48"/>
        <v>0</v>
      </c>
      <c r="P1599" s="216">
        <f>IF(O1599=0,0,IF(B1599="MAT",G1599*(1+H1599)*L1599*PLAN_ETAPA!$C$5,IF(B1599="MO",IF(M1599=0,0,G1599*L1599*PLAN_ETAPA!$C$5*N1599/M1599),IF(B1599="EQ",IF(M1599=0,0,G1599*L1599*PLAN_ETAPA!$C$5/M1599),0))))</f>
        <v>0</v>
      </c>
      <c r="Q1599" s="218">
        <f t="shared" si="49"/>
        <v>0</v>
      </c>
    </row>
    <row r="1600" spans="1:17" x14ac:dyDescent="0.35">
      <c r="A1600" s="212" t="str">
        <f>COMPOSICIÓN!A1600</f>
        <v>PTO-1816</v>
      </c>
      <c r="B1600" s="212" t="str">
        <f>COMPOSICIÓN!B1600</f>
        <v>MAT</v>
      </c>
      <c r="C1600" s="212" t="str">
        <f>COMPOSICIÓN!C1600</f>
        <v>OTR</v>
      </c>
      <c r="D1600" s="212" t="str">
        <f>COMPOSICIÓN!D1600</f>
        <v>OTR-PTO158</v>
      </c>
      <c r="E1600" s="212" t="str">
        <f>COMPOSICIÓN!E1600</f>
        <v>DISTRIBUIDOR TETRAP.160A 15 STD</v>
      </c>
      <c r="F1600" s="212" t="str">
        <f>COMPOSICIÓN!F1600</f>
        <v>u</v>
      </c>
      <c r="G1600" s="213">
        <f>COMPOSICIÓN!G1600</f>
        <v>1</v>
      </c>
      <c r="H1600" s="214">
        <f>COMPOSICIÓN!H1600</f>
        <v>0</v>
      </c>
      <c r="I1600" s="215">
        <f>COMPOSICIÓN!I1600</f>
        <v>113610.28</v>
      </c>
      <c r="J1600" s="212" t="str">
        <f>IFERROR(VLOOKUP(A1600,PARTIDAS!$A$2:$C$269,3,FALSE()),"")</f>
        <v>INSTALACIÓN ELÉCTRICA</v>
      </c>
      <c r="K1600" s="212" t="str">
        <f>IFERROR(INDEX(PPTO_GENERADOR!$B$4:$B$220,MATCH(A1600,PPTO_GENERADOR!$Q$4:$Q$220,0)),"")</f>
        <v>INSTALACIÓN ELÉCTRICA</v>
      </c>
      <c r="L1600" s="216">
        <f>IF(PLAN_ETAPA!$C$4="(TODOS)",SUMIFS(PPTO_GENERADOR!$E$4:$E$220,PPTO_GENERADOR!$Q$4:$Q$220,A1600),SUMIFS(PPTO_GENERADOR!$E$4:$E$220,PPTO_GENERADOR!$Q$4:$Q$220,A1600,PPTO_GENERADOR!$B$4:$B$220,PLAN_ETAPA!$C$4))</f>
        <v>0</v>
      </c>
      <c r="M1600" s="216">
        <f>IFERROR(VLOOKUP(A1600,PARTIDAS!$A$2:$F$269,6,FALSE()),1)</f>
        <v>1</v>
      </c>
      <c r="N1600" s="216">
        <f>IFERROR(VLOOKUP(A1600,PARTIDAS!$A$2:$I$269,9,FALSE()),1)</f>
        <v>1</v>
      </c>
      <c r="O1600" s="217">
        <f t="shared" si="48"/>
        <v>0</v>
      </c>
      <c r="P1600" s="216">
        <f>IF(O1600=0,0,IF(B1600="MAT",G1600*(1+H1600)*L1600*PLAN_ETAPA!$C$5,IF(B1600="MO",IF(M1600=0,0,G1600*L1600*PLAN_ETAPA!$C$5*N1600/M1600),IF(B1600="EQ",IF(M1600=0,0,G1600*L1600*PLAN_ETAPA!$C$5/M1600),0))))</f>
        <v>0</v>
      </c>
      <c r="Q1600" s="218">
        <f t="shared" si="49"/>
        <v>0</v>
      </c>
    </row>
    <row r="1601" spans="1:17" x14ac:dyDescent="0.35">
      <c r="A1601" s="212" t="str">
        <f>COMPOSICIÓN!A1601</f>
        <v>PTO-1816</v>
      </c>
      <c r="B1601" s="212" t="str">
        <f>COMPOSICIÓN!B1601</f>
        <v>MAT</v>
      </c>
      <c r="C1601" s="212" t="str">
        <f>COMPOSICIÓN!C1601</f>
        <v>OTR</v>
      </c>
      <c r="D1601" s="212" t="str">
        <f>COMPOSICIÓN!D1601</f>
        <v>OTR-PTO159</v>
      </c>
      <c r="E1601" s="212" t="str">
        <f>COMPOSICIÓN!E1601</f>
        <v>RLLOX100M 1X 6,0MM NEGRO N.IRAM (1 x 6 mm)</v>
      </c>
      <c r="F1601" s="212" t="str">
        <f>COMPOSICIÓN!F1601</f>
        <v>u</v>
      </c>
      <c r="G1601" s="213">
        <f>COMPOSICIÓN!G1601</f>
        <v>1</v>
      </c>
      <c r="H1601" s="214">
        <f>COMPOSICIÓN!H1601</f>
        <v>0</v>
      </c>
      <c r="I1601" s="215">
        <f>COMPOSICIÓN!I1601</f>
        <v>95867.7685950413</v>
      </c>
      <c r="J1601" s="212" t="str">
        <f>IFERROR(VLOOKUP(A1601,PARTIDAS!$A$2:$C$269,3,FALSE()),"")</f>
        <v>INSTALACIÓN ELÉCTRICA</v>
      </c>
      <c r="K1601" s="212" t="str">
        <f>IFERROR(INDEX(PPTO_GENERADOR!$B$4:$B$220,MATCH(A1601,PPTO_GENERADOR!$Q$4:$Q$220,0)),"")</f>
        <v>INSTALACIÓN ELÉCTRICA</v>
      </c>
      <c r="L1601" s="216">
        <f>IF(PLAN_ETAPA!$C$4="(TODOS)",SUMIFS(PPTO_GENERADOR!$E$4:$E$220,PPTO_GENERADOR!$Q$4:$Q$220,A1601),SUMIFS(PPTO_GENERADOR!$E$4:$E$220,PPTO_GENERADOR!$Q$4:$Q$220,A1601,PPTO_GENERADOR!$B$4:$B$220,PLAN_ETAPA!$C$4))</f>
        <v>0</v>
      </c>
      <c r="M1601" s="216">
        <f>IFERROR(VLOOKUP(A1601,PARTIDAS!$A$2:$F$269,6,FALSE()),1)</f>
        <v>1</v>
      </c>
      <c r="N1601" s="216">
        <f>IFERROR(VLOOKUP(A1601,PARTIDAS!$A$2:$I$269,9,FALSE()),1)</f>
        <v>1</v>
      </c>
      <c r="O1601" s="217">
        <f t="shared" si="48"/>
        <v>0</v>
      </c>
      <c r="P1601" s="216">
        <f>IF(O1601=0,0,IF(B1601="MAT",G1601*(1+H1601)*L1601*PLAN_ETAPA!$C$5,IF(B1601="MO",IF(M1601=0,0,G1601*L1601*PLAN_ETAPA!$C$5*N1601/M1601),IF(B1601="EQ",IF(M1601=0,0,G1601*L1601*PLAN_ETAPA!$C$5/M1601),0))))</f>
        <v>0</v>
      </c>
      <c r="Q1601" s="218">
        <f t="shared" si="49"/>
        <v>0</v>
      </c>
    </row>
    <row r="1602" spans="1:17" x14ac:dyDescent="0.35">
      <c r="A1602" s="212" t="str">
        <f>COMPOSICIÓN!A1602</f>
        <v>PTO-1816</v>
      </c>
      <c r="B1602" s="212" t="str">
        <f>COMPOSICIÓN!B1602</f>
        <v>MO</v>
      </c>
      <c r="C1602" s="212" t="str">
        <f>COMPOSICIÓN!C1602</f>
        <v>OTR</v>
      </c>
      <c r="D1602" s="212" t="str">
        <f>COMPOSICIÓN!D1602</f>
        <v>SUB-TS36</v>
      </c>
      <c r="E1602" s="212" t="str">
        <f>COMPOSICIÓN!E1602</f>
        <v>Tablero seccional de 36 a 54 polos</v>
      </c>
      <c r="F1602" s="212" t="str">
        <f>COMPOSICIÓN!F1602</f>
        <v>j</v>
      </c>
      <c r="G1602" s="213">
        <f>COMPOSICIÓN!G1602</f>
        <v>1</v>
      </c>
      <c r="H1602" s="214">
        <f>COMPOSICIÓN!H1602</f>
        <v>0</v>
      </c>
      <c r="I1602" s="215">
        <f>COMPOSICIÓN!I1602</f>
        <v>349202.7</v>
      </c>
      <c r="J1602" s="212" t="str">
        <f>IFERROR(VLOOKUP(A1602,PARTIDAS!$A$2:$C$269,3,FALSE()),"")</f>
        <v>INSTALACIÓN ELÉCTRICA</v>
      </c>
      <c r="K1602" s="212" t="str">
        <f>IFERROR(INDEX(PPTO_GENERADOR!$B$4:$B$220,MATCH(A1602,PPTO_GENERADOR!$Q$4:$Q$220,0)),"")</f>
        <v>INSTALACIÓN ELÉCTRICA</v>
      </c>
      <c r="L1602" s="216">
        <f>IF(PLAN_ETAPA!$C$4="(TODOS)",SUMIFS(PPTO_GENERADOR!$E$4:$E$220,PPTO_GENERADOR!$Q$4:$Q$220,A1602),SUMIFS(PPTO_GENERADOR!$E$4:$E$220,PPTO_GENERADOR!$Q$4:$Q$220,A1602,PPTO_GENERADOR!$B$4:$B$220,PLAN_ETAPA!$C$4))</f>
        <v>0</v>
      </c>
      <c r="M1602" s="216">
        <f>IFERROR(VLOOKUP(A1602,PARTIDAS!$A$2:$F$269,6,FALSE()),1)</f>
        <v>1</v>
      </c>
      <c r="N1602" s="216">
        <f>IFERROR(VLOOKUP(A1602,PARTIDAS!$A$2:$I$269,9,FALSE()),1)</f>
        <v>1</v>
      </c>
      <c r="O1602" s="217">
        <f t="shared" ref="O1602:O1665" si="50">IF(L1602&gt;0,1,0)</f>
        <v>0</v>
      </c>
      <c r="P1602" s="216">
        <f>IF(O1602=0,0,IF(B1602="MAT",G1602*(1+H1602)*L1602*PLAN_ETAPA!$C$5,IF(B1602="MO",IF(M1602=0,0,G1602*L1602*PLAN_ETAPA!$C$5*N1602/M1602),IF(B1602="EQ",IF(M1602=0,0,G1602*L1602*PLAN_ETAPA!$C$5/M1602),0))))</f>
        <v>0</v>
      </c>
      <c r="Q1602" s="218">
        <f t="shared" ref="Q1602:Q1665" si="51">P1602*I1602</f>
        <v>0</v>
      </c>
    </row>
    <row r="1603" spans="1:17" x14ac:dyDescent="0.35">
      <c r="A1603" s="212" t="str">
        <f>COMPOSICIÓN!A1603</f>
        <v>PTO-1817</v>
      </c>
      <c r="B1603" s="212" t="str">
        <f>COMPOSICIÓN!B1603</f>
        <v>EQ</v>
      </c>
      <c r="C1603" s="212">
        <f>COMPOSICIÓN!C1603</f>
        <v>0</v>
      </c>
      <c r="D1603" s="212" t="str">
        <f>COMPOSICIÓN!D1603</f>
        <v>EQ-PTO116</v>
      </c>
      <c r="E1603" s="212" t="str">
        <f>COMPOSICIÓN!E1603</f>
        <v>Herramientas y consumibles - PTO-1817 TSBI</v>
      </c>
      <c r="F1603" s="212">
        <f>COMPOSICIÓN!F1603</f>
        <v>0</v>
      </c>
      <c r="G1603" s="213">
        <f>COMPOSICIÓN!G1603</f>
        <v>1</v>
      </c>
      <c r="H1603" s="214">
        <f>COMPOSICIÓN!H1603</f>
        <v>0</v>
      </c>
      <c r="I1603" s="215">
        <f>COMPOSICIÓN!I1603</f>
        <v>12375.4438807438</v>
      </c>
      <c r="J1603" s="212" t="str">
        <f>IFERROR(VLOOKUP(A1603,PARTIDAS!$A$2:$C$269,3,FALSE()),"")</f>
        <v>INSTALACIÓN ELÉCTRICA</v>
      </c>
      <c r="K1603" s="212" t="str">
        <f>IFERROR(INDEX(PPTO_GENERADOR!$B$4:$B$220,MATCH(A1603,PPTO_GENERADOR!$Q$4:$Q$220,0)),"")</f>
        <v>INSTALACIÓN ELÉCTRICA</v>
      </c>
      <c r="L1603" s="216">
        <f>IF(PLAN_ETAPA!$C$4="(TODOS)",SUMIFS(PPTO_GENERADOR!$E$4:$E$220,PPTO_GENERADOR!$Q$4:$Q$220,A1603),SUMIFS(PPTO_GENERADOR!$E$4:$E$220,PPTO_GENERADOR!$Q$4:$Q$220,A1603,PPTO_GENERADOR!$B$4:$B$220,PLAN_ETAPA!$C$4))</f>
        <v>0</v>
      </c>
      <c r="M1603" s="216">
        <f>IFERROR(VLOOKUP(A1603,PARTIDAS!$A$2:$F$269,6,FALSE()),1)</f>
        <v>1</v>
      </c>
      <c r="N1603" s="216">
        <f>IFERROR(VLOOKUP(A1603,PARTIDAS!$A$2:$I$269,9,FALSE()),1)</f>
        <v>1</v>
      </c>
      <c r="O1603" s="217">
        <f t="shared" si="50"/>
        <v>0</v>
      </c>
      <c r="P1603" s="216">
        <f>IF(O1603=0,0,IF(B1603="MAT",G1603*(1+H1603)*L1603*PLAN_ETAPA!$C$5,IF(B1603="MO",IF(M1603=0,0,G1603*L1603*PLAN_ETAPA!$C$5*N1603/M1603),IF(B1603="EQ",IF(M1603=0,0,G1603*L1603*PLAN_ETAPA!$C$5/M1603),0))))</f>
        <v>0</v>
      </c>
      <c r="Q1603" s="218">
        <f t="shared" si="51"/>
        <v>0</v>
      </c>
    </row>
    <row r="1604" spans="1:17" x14ac:dyDescent="0.35">
      <c r="A1604" s="212" t="str">
        <f>COMPOSICIÓN!A1604</f>
        <v>PTO-1817</v>
      </c>
      <c r="B1604" s="212" t="str">
        <f>COMPOSICIÓN!B1604</f>
        <v>MAT</v>
      </c>
      <c r="C1604" s="212" t="str">
        <f>COMPOSICIÓN!C1604</f>
        <v>OTR</v>
      </c>
      <c r="D1604" s="212" t="str">
        <f>COMPOSICIÓN!D1604</f>
        <v>MAT-CONS</v>
      </c>
      <c r="E1604" s="212" t="str">
        <f>COMPOSICIÓN!E1604</f>
        <v>Consumibles</v>
      </c>
      <c r="F1604" s="212" t="str">
        <f>COMPOSICIÓN!F1604</f>
        <v>gl</v>
      </c>
      <c r="G1604" s="213">
        <f>COMPOSICIÓN!G1604</f>
        <v>98702.857000000004</v>
      </c>
      <c r="H1604" s="214">
        <f>COMPOSICIÓN!H1604</f>
        <v>0</v>
      </c>
      <c r="I1604" s="215">
        <f>COMPOSICIÓN!I1604</f>
        <v>1</v>
      </c>
      <c r="J1604" s="212" t="str">
        <f>IFERROR(VLOOKUP(A1604,PARTIDAS!$A$2:$C$269,3,FALSE()),"")</f>
        <v>INSTALACIÓN ELÉCTRICA</v>
      </c>
      <c r="K1604" s="212" t="str">
        <f>IFERROR(INDEX(PPTO_GENERADOR!$B$4:$B$220,MATCH(A1604,PPTO_GENERADOR!$Q$4:$Q$220,0)),"")</f>
        <v>INSTALACIÓN ELÉCTRICA</v>
      </c>
      <c r="L1604" s="216">
        <f>IF(PLAN_ETAPA!$C$4="(TODOS)",SUMIFS(PPTO_GENERADOR!$E$4:$E$220,PPTO_GENERADOR!$Q$4:$Q$220,A1604),SUMIFS(PPTO_GENERADOR!$E$4:$E$220,PPTO_GENERADOR!$Q$4:$Q$220,A1604,PPTO_GENERADOR!$B$4:$B$220,PLAN_ETAPA!$C$4))</f>
        <v>0</v>
      </c>
      <c r="M1604" s="216">
        <f>IFERROR(VLOOKUP(A1604,PARTIDAS!$A$2:$F$269,6,FALSE()),1)</f>
        <v>1</v>
      </c>
      <c r="N1604" s="216">
        <f>IFERROR(VLOOKUP(A1604,PARTIDAS!$A$2:$I$269,9,FALSE()),1)</f>
        <v>1</v>
      </c>
      <c r="O1604" s="217">
        <f t="shared" si="50"/>
        <v>0</v>
      </c>
      <c r="P1604" s="216">
        <f>IF(O1604=0,0,IF(B1604="MAT",G1604*(1+H1604)*L1604*PLAN_ETAPA!$C$5,IF(B1604="MO",IF(M1604=0,0,G1604*L1604*PLAN_ETAPA!$C$5*N1604/M1604),IF(B1604="EQ",IF(M1604=0,0,G1604*L1604*PLAN_ETAPA!$C$5/M1604),0))))</f>
        <v>0</v>
      </c>
      <c r="Q1604" s="218">
        <f t="shared" si="51"/>
        <v>0</v>
      </c>
    </row>
    <row r="1605" spans="1:17" x14ac:dyDescent="0.35">
      <c r="A1605" s="212" t="str">
        <f>COMPOSICIÓN!A1605</f>
        <v>PTO-1817</v>
      </c>
      <c r="B1605" s="212" t="str">
        <f>COMPOSICIÓN!B1605</f>
        <v>MAT</v>
      </c>
      <c r="C1605" s="212" t="str">
        <f>COMPOSICIÓN!C1605</f>
        <v>OTR</v>
      </c>
      <c r="D1605" s="212" t="str">
        <f>COMPOSICIÓN!D1605</f>
        <v>OTR-PTO147</v>
      </c>
      <c r="E1605" s="212" t="str">
        <f>COMPOSICIÓN!E1605</f>
        <v>Voltimetro Display Ojo de Buey 22 mm (220vca ø22mm / IP44)</v>
      </c>
      <c r="F1605" s="212" t="str">
        <f>COMPOSICIÓN!F1605</f>
        <v>u</v>
      </c>
      <c r="G1605" s="213">
        <f>COMPOSICIÓN!G1605</f>
        <v>3</v>
      </c>
      <c r="H1605" s="214">
        <f>COMPOSICIÓN!H1605</f>
        <v>0</v>
      </c>
      <c r="I1605" s="215">
        <f>COMPOSICIÓN!I1605</f>
        <v>3656.19834710744</v>
      </c>
      <c r="J1605" s="212" t="str">
        <f>IFERROR(VLOOKUP(A1605,PARTIDAS!$A$2:$C$269,3,FALSE()),"")</f>
        <v>INSTALACIÓN ELÉCTRICA</v>
      </c>
      <c r="K1605" s="212" t="str">
        <f>IFERROR(INDEX(PPTO_GENERADOR!$B$4:$B$220,MATCH(A1605,PPTO_GENERADOR!$Q$4:$Q$220,0)),"")</f>
        <v>INSTALACIÓN ELÉCTRICA</v>
      </c>
      <c r="L1605" s="216">
        <f>IF(PLAN_ETAPA!$C$4="(TODOS)",SUMIFS(PPTO_GENERADOR!$E$4:$E$220,PPTO_GENERADOR!$Q$4:$Q$220,A1605),SUMIFS(PPTO_GENERADOR!$E$4:$E$220,PPTO_GENERADOR!$Q$4:$Q$220,A1605,PPTO_GENERADOR!$B$4:$B$220,PLAN_ETAPA!$C$4))</f>
        <v>0</v>
      </c>
      <c r="M1605" s="216">
        <f>IFERROR(VLOOKUP(A1605,PARTIDAS!$A$2:$F$269,6,FALSE()),1)</f>
        <v>1</v>
      </c>
      <c r="N1605" s="216">
        <f>IFERROR(VLOOKUP(A1605,PARTIDAS!$A$2:$I$269,9,FALSE()),1)</f>
        <v>1</v>
      </c>
      <c r="O1605" s="217">
        <f t="shared" si="50"/>
        <v>0</v>
      </c>
      <c r="P1605" s="216">
        <f>IF(O1605=0,0,IF(B1605="MAT",G1605*(1+H1605)*L1605*PLAN_ETAPA!$C$5,IF(B1605="MO",IF(M1605=0,0,G1605*L1605*PLAN_ETAPA!$C$5*N1605/M1605),IF(B1605="EQ",IF(M1605=0,0,G1605*L1605*PLAN_ETAPA!$C$5/M1605),0))))</f>
        <v>0</v>
      </c>
      <c r="Q1605" s="218">
        <f t="shared" si="51"/>
        <v>0</v>
      </c>
    </row>
    <row r="1606" spans="1:17" x14ac:dyDescent="0.35">
      <c r="A1606" s="212" t="str">
        <f>COMPOSICIÓN!A1606</f>
        <v>PTO-1817</v>
      </c>
      <c r="B1606" s="212" t="str">
        <f>COMPOSICIÓN!B1606</f>
        <v>MAT</v>
      </c>
      <c r="C1606" s="212" t="str">
        <f>COMPOSICIÓN!C1606</f>
        <v>OTR</v>
      </c>
      <c r="D1606" s="212" t="str">
        <f>COMPOSICIÓN!D1606</f>
        <v>OTR-PTO148</v>
      </c>
      <c r="E1606" s="212" t="str">
        <f>COMPOSICIÓN!E1606</f>
        <v>STECK DIFERENCIAL 4X40A 30MA (4x40A)</v>
      </c>
      <c r="F1606" s="212" t="str">
        <f>COMPOSICIÓN!F1606</f>
        <v>u</v>
      </c>
      <c r="G1606" s="213">
        <f>COMPOSICIÓN!G1606</f>
        <v>1</v>
      </c>
      <c r="H1606" s="214">
        <f>COMPOSICIÓN!H1606</f>
        <v>0</v>
      </c>
      <c r="I1606" s="215">
        <f>COMPOSICIÓN!I1606</f>
        <v>35881.19</v>
      </c>
      <c r="J1606" s="212" t="str">
        <f>IFERROR(VLOOKUP(A1606,PARTIDAS!$A$2:$C$269,3,FALSE()),"")</f>
        <v>INSTALACIÓN ELÉCTRICA</v>
      </c>
      <c r="K1606" s="212" t="str">
        <f>IFERROR(INDEX(PPTO_GENERADOR!$B$4:$B$220,MATCH(A1606,PPTO_GENERADOR!$Q$4:$Q$220,0)),"")</f>
        <v>INSTALACIÓN ELÉCTRICA</v>
      </c>
      <c r="L1606" s="216">
        <f>IF(PLAN_ETAPA!$C$4="(TODOS)",SUMIFS(PPTO_GENERADOR!$E$4:$E$220,PPTO_GENERADOR!$Q$4:$Q$220,A1606),SUMIFS(PPTO_GENERADOR!$E$4:$E$220,PPTO_GENERADOR!$Q$4:$Q$220,A1606,PPTO_GENERADOR!$B$4:$B$220,PLAN_ETAPA!$C$4))</f>
        <v>0</v>
      </c>
      <c r="M1606" s="216">
        <f>IFERROR(VLOOKUP(A1606,PARTIDAS!$A$2:$F$269,6,FALSE()),1)</f>
        <v>1</v>
      </c>
      <c r="N1606" s="216">
        <f>IFERROR(VLOOKUP(A1606,PARTIDAS!$A$2:$I$269,9,FALSE()),1)</f>
        <v>1</v>
      </c>
      <c r="O1606" s="217">
        <f t="shared" si="50"/>
        <v>0</v>
      </c>
      <c r="P1606" s="216">
        <f>IF(O1606=0,0,IF(B1606="MAT",G1606*(1+H1606)*L1606*PLAN_ETAPA!$C$5,IF(B1606="MO",IF(M1606=0,0,G1606*L1606*PLAN_ETAPA!$C$5*N1606/M1606),IF(B1606="EQ",IF(M1606=0,0,G1606*L1606*PLAN_ETAPA!$C$5/M1606),0))))</f>
        <v>0</v>
      </c>
      <c r="Q1606" s="218">
        <f t="shared" si="51"/>
        <v>0</v>
      </c>
    </row>
    <row r="1607" spans="1:17" x14ac:dyDescent="0.35">
      <c r="A1607" s="212" t="str">
        <f>COMPOSICIÓN!A1607</f>
        <v>PTO-1817</v>
      </c>
      <c r="B1607" s="212" t="str">
        <f>COMPOSICIÓN!B1607</f>
        <v>MAT</v>
      </c>
      <c r="C1607" s="212" t="str">
        <f>COMPOSICIÓN!C1607</f>
        <v>OTR</v>
      </c>
      <c r="D1607" s="212" t="str">
        <f>COMPOSICIÓN!D1607</f>
        <v>OTR-PTO152</v>
      </c>
      <c r="E1607" s="212" t="str">
        <f>COMPOSICIÓN!E1607</f>
        <v>STECK TM BIPOLAR 16A 6KA (2 X 16A)</v>
      </c>
      <c r="F1607" s="212" t="str">
        <f>COMPOSICIÓN!F1607</f>
        <v>u</v>
      </c>
      <c r="G1607" s="213">
        <f>COMPOSICIÓN!G1607</f>
        <v>1</v>
      </c>
      <c r="H1607" s="214">
        <f>COMPOSICIÓN!H1607</f>
        <v>0</v>
      </c>
      <c r="I1607" s="215">
        <f>COMPOSICIÓN!I1607</f>
        <v>5287.23</v>
      </c>
      <c r="J1607" s="212" t="str">
        <f>IFERROR(VLOOKUP(A1607,PARTIDAS!$A$2:$C$269,3,FALSE()),"")</f>
        <v>INSTALACIÓN ELÉCTRICA</v>
      </c>
      <c r="K1607" s="212" t="str">
        <f>IFERROR(INDEX(PPTO_GENERADOR!$B$4:$B$220,MATCH(A1607,PPTO_GENERADOR!$Q$4:$Q$220,0)),"")</f>
        <v>INSTALACIÓN ELÉCTRICA</v>
      </c>
      <c r="L1607" s="216">
        <f>IF(PLAN_ETAPA!$C$4="(TODOS)",SUMIFS(PPTO_GENERADOR!$E$4:$E$220,PPTO_GENERADOR!$Q$4:$Q$220,A1607),SUMIFS(PPTO_GENERADOR!$E$4:$E$220,PPTO_GENERADOR!$Q$4:$Q$220,A1607,PPTO_GENERADOR!$B$4:$B$220,PLAN_ETAPA!$C$4))</f>
        <v>0</v>
      </c>
      <c r="M1607" s="216">
        <f>IFERROR(VLOOKUP(A1607,PARTIDAS!$A$2:$F$269,6,FALSE()),1)</f>
        <v>1</v>
      </c>
      <c r="N1607" s="216">
        <f>IFERROR(VLOOKUP(A1607,PARTIDAS!$A$2:$I$269,9,FALSE()),1)</f>
        <v>1</v>
      </c>
      <c r="O1607" s="217">
        <f t="shared" si="50"/>
        <v>0</v>
      </c>
      <c r="P1607" s="216">
        <f>IF(O1607=0,0,IF(B1607="MAT",G1607*(1+H1607)*L1607*PLAN_ETAPA!$C$5,IF(B1607="MO",IF(M1607=0,0,G1607*L1607*PLAN_ETAPA!$C$5*N1607/M1607),IF(B1607="EQ",IF(M1607=0,0,G1607*L1607*PLAN_ETAPA!$C$5/M1607),0))))</f>
        <v>0</v>
      </c>
      <c r="Q1607" s="218">
        <f t="shared" si="51"/>
        <v>0</v>
      </c>
    </row>
    <row r="1608" spans="1:17" x14ac:dyDescent="0.35">
      <c r="A1608" s="212" t="str">
        <f>COMPOSICIÓN!A1608</f>
        <v>PTO-1817</v>
      </c>
      <c r="B1608" s="212" t="str">
        <f>COMPOSICIÓN!B1608</f>
        <v>MAT</v>
      </c>
      <c r="C1608" s="212" t="str">
        <f>COMPOSICIÓN!C1608</f>
        <v>OTR</v>
      </c>
      <c r="D1608" s="212" t="str">
        <f>COMPOSICIÓN!D1608</f>
        <v>OTR-PTO157</v>
      </c>
      <c r="E1608" s="212" t="str">
        <f>COMPOSICIÓN!E1608</f>
        <v>RIEL PORTA ELEMENTOS X 1 METRO</v>
      </c>
      <c r="F1608" s="212" t="str">
        <f>COMPOSICIÓN!F1608</f>
        <v>u</v>
      </c>
      <c r="G1608" s="213">
        <f>COMPOSICIÓN!G1608</f>
        <v>1</v>
      </c>
      <c r="H1608" s="214">
        <f>COMPOSICIÓN!H1608</f>
        <v>0</v>
      </c>
      <c r="I1608" s="215">
        <f>COMPOSICIÓN!I1608</f>
        <v>14702.99</v>
      </c>
      <c r="J1608" s="212" t="str">
        <f>IFERROR(VLOOKUP(A1608,PARTIDAS!$A$2:$C$269,3,FALSE()),"")</f>
        <v>INSTALACIÓN ELÉCTRICA</v>
      </c>
      <c r="K1608" s="212" t="str">
        <f>IFERROR(INDEX(PPTO_GENERADOR!$B$4:$B$220,MATCH(A1608,PPTO_GENERADOR!$Q$4:$Q$220,0)),"")</f>
        <v>INSTALACIÓN ELÉCTRICA</v>
      </c>
      <c r="L1608" s="216">
        <f>IF(PLAN_ETAPA!$C$4="(TODOS)",SUMIFS(PPTO_GENERADOR!$E$4:$E$220,PPTO_GENERADOR!$Q$4:$Q$220,A1608),SUMIFS(PPTO_GENERADOR!$E$4:$E$220,PPTO_GENERADOR!$Q$4:$Q$220,A1608,PPTO_GENERADOR!$B$4:$B$220,PLAN_ETAPA!$C$4))</f>
        <v>0</v>
      </c>
      <c r="M1608" s="216">
        <f>IFERROR(VLOOKUP(A1608,PARTIDAS!$A$2:$F$269,6,FALSE()),1)</f>
        <v>1</v>
      </c>
      <c r="N1608" s="216">
        <f>IFERROR(VLOOKUP(A1608,PARTIDAS!$A$2:$I$269,9,FALSE()),1)</f>
        <v>1</v>
      </c>
      <c r="O1608" s="217">
        <f t="shared" si="50"/>
        <v>0</v>
      </c>
      <c r="P1608" s="216">
        <f>IF(O1608=0,0,IF(B1608="MAT",G1608*(1+H1608)*L1608*PLAN_ETAPA!$C$5,IF(B1608="MO",IF(M1608=0,0,G1608*L1608*PLAN_ETAPA!$C$5*N1608/M1608),IF(B1608="EQ",IF(M1608=0,0,G1608*L1608*PLAN_ETAPA!$C$5/M1608),0))))</f>
        <v>0</v>
      </c>
      <c r="Q1608" s="218">
        <f t="shared" si="51"/>
        <v>0</v>
      </c>
    </row>
    <row r="1609" spans="1:17" x14ac:dyDescent="0.35">
      <c r="A1609" s="212" t="str">
        <f>COMPOSICIÓN!A1609</f>
        <v>PTO-1817</v>
      </c>
      <c r="B1609" s="212" t="str">
        <f>COMPOSICIÓN!B1609</f>
        <v>MAT</v>
      </c>
      <c r="C1609" s="212" t="str">
        <f>COMPOSICIÓN!C1609</f>
        <v>OTR</v>
      </c>
      <c r="D1609" s="212" t="str">
        <f>COMPOSICIÓN!D1609</f>
        <v>OTR-PTO160</v>
      </c>
      <c r="E1609" s="212" t="str">
        <f>COMPOSICIÓN!E1609</f>
        <v>GAB. IP65 SERIE 9000 300X300X150 (300 X 300 X 150)</v>
      </c>
      <c r="F1609" s="212" t="str">
        <f>COMPOSICIÓN!F1609</f>
        <v>u</v>
      </c>
      <c r="G1609" s="213">
        <f>COMPOSICIÓN!G1609</f>
        <v>1</v>
      </c>
      <c r="H1609" s="214">
        <f>COMPOSICIÓN!H1609</f>
        <v>0</v>
      </c>
      <c r="I1609" s="215">
        <f>COMPOSICIÓN!I1609</f>
        <v>51844.93</v>
      </c>
      <c r="J1609" s="212" t="str">
        <f>IFERROR(VLOOKUP(A1609,PARTIDAS!$A$2:$C$269,3,FALSE()),"")</f>
        <v>INSTALACIÓN ELÉCTRICA</v>
      </c>
      <c r="K1609" s="212" t="str">
        <f>IFERROR(INDEX(PPTO_GENERADOR!$B$4:$B$220,MATCH(A1609,PPTO_GENERADOR!$Q$4:$Q$220,0)),"")</f>
        <v>INSTALACIÓN ELÉCTRICA</v>
      </c>
      <c r="L1609" s="216">
        <f>IF(PLAN_ETAPA!$C$4="(TODOS)",SUMIFS(PPTO_GENERADOR!$E$4:$E$220,PPTO_GENERADOR!$Q$4:$Q$220,A1609),SUMIFS(PPTO_GENERADOR!$E$4:$E$220,PPTO_GENERADOR!$Q$4:$Q$220,A1609,PPTO_GENERADOR!$B$4:$B$220,PLAN_ETAPA!$C$4))</f>
        <v>0</v>
      </c>
      <c r="M1609" s="216">
        <f>IFERROR(VLOOKUP(A1609,PARTIDAS!$A$2:$F$269,6,FALSE()),1)</f>
        <v>1</v>
      </c>
      <c r="N1609" s="216">
        <f>IFERROR(VLOOKUP(A1609,PARTIDAS!$A$2:$I$269,9,FALSE()),1)</f>
        <v>1</v>
      </c>
      <c r="O1609" s="217">
        <f t="shared" si="50"/>
        <v>0</v>
      </c>
      <c r="P1609" s="216">
        <f>IF(O1609=0,0,IF(B1609="MAT",G1609*(1+H1609)*L1609*PLAN_ETAPA!$C$5,IF(B1609="MO",IF(M1609=0,0,G1609*L1609*PLAN_ETAPA!$C$5*N1609/M1609),IF(B1609="EQ",IF(M1609=0,0,G1609*L1609*PLAN_ETAPA!$C$5/M1609),0))))</f>
        <v>0</v>
      </c>
      <c r="Q1609" s="218">
        <f t="shared" si="51"/>
        <v>0</v>
      </c>
    </row>
    <row r="1610" spans="1:17" x14ac:dyDescent="0.35">
      <c r="A1610" s="212" t="str">
        <f>COMPOSICIÓN!A1610</f>
        <v>PTO-1817</v>
      </c>
      <c r="B1610" s="212" t="str">
        <f>COMPOSICIÓN!B1610</f>
        <v>MAT</v>
      </c>
      <c r="C1610" s="212" t="str">
        <f>COMPOSICIÓN!C1610</f>
        <v>OTR</v>
      </c>
      <c r="D1610" s="212" t="str">
        <f>COMPOSICIÓN!D1610</f>
        <v>OTR-PTO161</v>
      </c>
      <c r="E1610" s="212" t="str">
        <f>COMPOSICIÓN!E1610</f>
        <v>CONTRAF ABISAG.CALADO 10BIP S9000 300X300</v>
      </c>
      <c r="F1610" s="212" t="str">
        <f>COMPOSICIÓN!F1610</f>
        <v>u</v>
      </c>
      <c r="G1610" s="213">
        <f>COMPOSICIÓN!G1610</f>
        <v>1</v>
      </c>
      <c r="H1610" s="214">
        <f>COMPOSICIÓN!H1610</f>
        <v>0</v>
      </c>
      <c r="I1610" s="215">
        <f>COMPOSICIÓN!I1610</f>
        <v>33851.08</v>
      </c>
      <c r="J1610" s="212" t="str">
        <f>IFERROR(VLOOKUP(A1610,PARTIDAS!$A$2:$C$269,3,FALSE()),"")</f>
        <v>INSTALACIÓN ELÉCTRICA</v>
      </c>
      <c r="K1610" s="212" t="str">
        <f>IFERROR(INDEX(PPTO_GENERADOR!$B$4:$B$220,MATCH(A1610,PPTO_GENERADOR!$Q$4:$Q$220,0)),"")</f>
        <v>INSTALACIÓN ELÉCTRICA</v>
      </c>
      <c r="L1610" s="216">
        <f>IF(PLAN_ETAPA!$C$4="(TODOS)",SUMIFS(PPTO_GENERADOR!$E$4:$E$220,PPTO_GENERADOR!$Q$4:$Q$220,A1610),SUMIFS(PPTO_GENERADOR!$E$4:$E$220,PPTO_GENERADOR!$Q$4:$Q$220,A1610,PPTO_GENERADOR!$B$4:$B$220,PLAN_ETAPA!$C$4))</f>
        <v>0</v>
      </c>
      <c r="M1610" s="216">
        <f>IFERROR(VLOOKUP(A1610,PARTIDAS!$A$2:$F$269,6,FALSE()),1)</f>
        <v>1</v>
      </c>
      <c r="N1610" s="216">
        <f>IFERROR(VLOOKUP(A1610,PARTIDAS!$A$2:$I$269,9,FALSE()),1)</f>
        <v>1</v>
      </c>
      <c r="O1610" s="217">
        <f t="shared" si="50"/>
        <v>0</v>
      </c>
      <c r="P1610" s="216">
        <f>IF(O1610=0,0,IF(B1610="MAT",G1610*(1+H1610)*L1610*PLAN_ETAPA!$C$5,IF(B1610="MO",IF(M1610=0,0,G1610*L1610*PLAN_ETAPA!$C$5*N1610/M1610),IF(B1610="EQ",IF(M1610=0,0,G1610*L1610*PLAN_ETAPA!$C$5/M1610),0))))</f>
        <v>0</v>
      </c>
      <c r="Q1610" s="218">
        <f t="shared" si="51"/>
        <v>0</v>
      </c>
    </row>
    <row r="1611" spans="1:17" x14ac:dyDescent="0.35">
      <c r="A1611" s="212" t="str">
        <f>COMPOSICIÓN!A1611</f>
        <v>PTO-1817</v>
      </c>
      <c r="B1611" s="212" t="str">
        <f>COMPOSICIÓN!B1611</f>
        <v>MAT</v>
      </c>
      <c r="C1611" s="212" t="str">
        <f>COMPOSICIÓN!C1611</f>
        <v>OTR</v>
      </c>
      <c r="D1611" s="212" t="str">
        <f>COMPOSICIÓN!D1611</f>
        <v>OTR-PTO162</v>
      </c>
      <c r="E1611" s="212" t="str">
        <f>COMPOSICIÓN!E1611</f>
        <v>ALTERNADOR 2 BOMBA DIGITAL 24/110/220VCA (220/24v)</v>
      </c>
      <c r="F1611" s="212" t="str">
        <f>COMPOSICIÓN!F1611</f>
        <v>u</v>
      </c>
      <c r="G1611" s="213">
        <f>COMPOSICIÓN!G1611</f>
        <v>1</v>
      </c>
      <c r="H1611" s="214">
        <f>COMPOSICIÓN!H1611</f>
        <v>0</v>
      </c>
      <c r="I1611" s="215">
        <f>COMPOSICIÓN!I1611</f>
        <v>129189.81</v>
      </c>
      <c r="J1611" s="212" t="str">
        <f>IFERROR(VLOOKUP(A1611,PARTIDAS!$A$2:$C$269,3,FALSE()),"")</f>
        <v>INSTALACIÓN ELÉCTRICA</v>
      </c>
      <c r="K1611" s="212" t="str">
        <f>IFERROR(INDEX(PPTO_GENERADOR!$B$4:$B$220,MATCH(A1611,PPTO_GENERADOR!$Q$4:$Q$220,0)),"")</f>
        <v>INSTALACIÓN ELÉCTRICA</v>
      </c>
      <c r="L1611" s="216">
        <f>IF(PLAN_ETAPA!$C$4="(TODOS)",SUMIFS(PPTO_GENERADOR!$E$4:$E$220,PPTO_GENERADOR!$Q$4:$Q$220,A1611),SUMIFS(PPTO_GENERADOR!$E$4:$E$220,PPTO_GENERADOR!$Q$4:$Q$220,A1611,PPTO_GENERADOR!$B$4:$B$220,PLAN_ETAPA!$C$4))</f>
        <v>0</v>
      </c>
      <c r="M1611" s="216">
        <f>IFERROR(VLOOKUP(A1611,PARTIDAS!$A$2:$F$269,6,FALSE()),1)</f>
        <v>1</v>
      </c>
      <c r="N1611" s="216">
        <f>IFERROR(VLOOKUP(A1611,PARTIDAS!$A$2:$I$269,9,FALSE()),1)</f>
        <v>1</v>
      </c>
      <c r="O1611" s="217">
        <f t="shared" si="50"/>
        <v>0</v>
      </c>
      <c r="P1611" s="216">
        <f>IF(O1611=0,0,IF(B1611="MAT",G1611*(1+H1611)*L1611*PLAN_ETAPA!$C$5,IF(B1611="MO",IF(M1611=0,0,G1611*L1611*PLAN_ETAPA!$C$5*N1611/M1611),IF(B1611="EQ",IF(M1611=0,0,G1611*L1611*PLAN_ETAPA!$C$5/M1611),0))))</f>
        <v>0</v>
      </c>
      <c r="Q1611" s="218">
        <f t="shared" si="51"/>
        <v>0</v>
      </c>
    </row>
    <row r="1612" spans="1:17" x14ac:dyDescent="0.35">
      <c r="A1612" s="212" t="str">
        <f>COMPOSICIÓN!A1612</f>
        <v>PTO-1817</v>
      </c>
      <c r="B1612" s="212" t="str">
        <f>COMPOSICIÓN!B1612</f>
        <v>MAT</v>
      </c>
      <c r="C1612" s="212" t="str">
        <f>COMPOSICIÓN!C1612</f>
        <v>OTR</v>
      </c>
      <c r="D1612" s="212" t="str">
        <f>COMPOSICIÓN!D1612</f>
        <v>OTR-PTO163</v>
      </c>
      <c r="E1612" s="212" t="str">
        <f>COMPOSICIÓN!E1612</f>
        <v>Transformador 220/24 V 50 VA</v>
      </c>
      <c r="F1612" s="212" t="str">
        <f>COMPOSICIÓN!F1612</f>
        <v>u</v>
      </c>
      <c r="G1612" s="213">
        <f>COMPOSICIÓN!G1612</f>
        <v>1</v>
      </c>
      <c r="H1612" s="214">
        <f>COMPOSICIÓN!H1612</f>
        <v>0</v>
      </c>
      <c r="I1612" s="215">
        <f>COMPOSICIÓN!I1612</f>
        <v>40000</v>
      </c>
      <c r="J1612" s="212" t="str">
        <f>IFERROR(VLOOKUP(A1612,PARTIDAS!$A$2:$C$269,3,FALSE()),"")</f>
        <v>INSTALACIÓN ELÉCTRICA</v>
      </c>
      <c r="K1612" s="212" t="str">
        <f>IFERROR(INDEX(PPTO_GENERADOR!$B$4:$B$220,MATCH(A1612,PPTO_GENERADOR!$Q$4:$Q$220,0)),"")</f>
        <v>INSTALACIÓN ELÉCTRICA</v>
      </c>
      <c r="L1612" s="216">
        <f>IF(PLAN_ETAPA!$C$4="(TODOS)",SUMIFS(PPTO_GENERADOR!$E$4:$E$220,PPTO_GENERADOR!$Q$4:$Q$220,A1612),SUMIFS(PPTO_GENERADOR!$E$4:$E$220,PPTO_GENERADOR!$Q$4:$Q$220,A1612,PPTO_GENERADOR!$B$4:$B$220,PLAN_ETAPA!$C$4))</f>
        <v>0</v>
      </c>
      <c r="M1612" s="216">
        <f>IFERROR(VLOOKUP(A1612,PARTIDAS!$A$2:$F$269,6,FALSE()),1)</f>
        <v>1</v>
      </c>
      <c r="N1612" s="216">
        <f>IFERROR(VLOOKUP(A1612,PARTIDAS!$A$2:$I$269,9,FALSE()),1)</f>
        <v>1</v>
      </c>
      <c r="O1612" s="217">
        <f t="shared" si="50"/>
        <v>0</v>
      </c>
      <c r="P1612" s="216">
        <f>IF(O1612=0,0,IF(B1612="MAT",G1612*(1+H1612)*L1612*PLAN_ETAPA!$C$5,IF(B1612="MO",IF(M1612=0,0,G1612*L1612*PLAN_ETAPA!$C$5*N1612/M1612),IF(B1612="EQ",IF(M1612=0,0,G1612*L1612*PLAN_ETAPA!$C$5/M1612),0))))</f>
        <v>0</v>
      </c>
      <c r="Q1612" s="218">
        <f t="shared" si="51"/>
        <v>0</v>
      </c>
    </row>
    <row r="1613" spans="1:17" x14ac:dyDescent="0.35">
      <c r="A1613" s="212" t="str">
        <f>COMPOSICIÓN!A1613</f>
        <v>PTO-1817</v>
      </c>
      <c r="B1613" s="212" t="str">
        <f>COMPOSICIÓN!B1613</f>
        <v>MAT</v>
      </c>
      <c r="C1613" s="212" t="str">
        <f>COMPOSICIÓN!C1613</f>
        <v>OTR</v>
      </c>
      <c r="D1613" s="212" t="str">
        <f>COMPOSICIÓN!D1613</f>
        <v>OTR-PTO164</v>
      </c>
      <c r="E1613" s="212" t="str">
        <f>COMPOSICIÓN!E1613</f>
        <v>LC1D18M7 18A 7,5KW 1+1 220V</v>
      </c>
      <c r="F1613" s="212" t="str">
        <f>COMPOSICIÓN!F1613</f>
        <v>u</v>
      </c>
      <c r="G1613" s="213">
        <f>COMPOSICIÓN!G1613</f>
        <v>2</v>
      </c>
      <c r="H1613" s="214">
        <f>COMPOSICIÓN!H1613</f>
        <v>0</v>
      </c>
      <c r="I1613" s="215">
        <f>COMPOSICIÓN!I1613</f>
        <v>85894.23</v>
      </c>
      <c r="J1613" s="212" t="str">
        <f>IFERROR(VLOOKUP(A1613,PARTIDAS!$A$2:$C$269,3,FALSE()),"")</f>
        <v>INSTALACIÓN ELÉCTRICA</v>
      </c>
      <c r="K1613" s="212" t="str">
        <f>IFERROR(INDEX(PPTO_GENERADOR!$B$4:$B$220,MATCH(A1613,PPTO_GENERADOR!$Q$4:$Q$220,0)),"")</f>
        <v>INSTALACIÓN ELÉCTRICA</v>
      </c>
      <c r="L1613" s="216">
        <f>IF(PLAN_ETAPA!$C$4="(TODOS)",SUMIFS(PPTO_GENERADOR!$E$4:$E$220,PPTO_GENERADOR!$Q$4:$Q$220,A1613),SUMIFS(PPTO_GENERADOR!$E$4:$E$220,PPTO_GENERADOR!$Q$4:$Q$220,A1613,PPTO_GENERADOR!$B$4:$B$220,PLAN_ETAPA!$C$4))</f>
        <v>0</v>
      </c>
      <c r="M1613" s="216">
        <f>IFERROR(VLOOKUP(A1613,PARTIDAS!$A$2:$F$269,6,FALSE()),1)</f>
        <v>1</v>
      </c>
      <c r="N1613" s="216">
        <f>IFERROR(VLOOKUP(A1613,PARTIDAS!$A$2:$I$269,9,FALSE()),1)</f>
        <v>1</v>
      </c>
      <c r="O1613" s="217">
        <f t="shared" si="50"/>
        <v>0</v>
      </c>
      <c r="P1613" s="216">
        <f>IF(O1613=0,0,IF(B1613="MAT",G1613*(1+H1613)*L1613*PLAN_ETAPA!$C$5,IF(B1613="MO",IF(M1613=0,0,G1613*L1613*PLAN_ETAPA!$C$5*N1613/M1613),IF(B1613="EQ",IF(M1613=0,0,G1613*L1613*PLAN_ETAPA!$C$5/M1613),0))))</f>
        <v>0</v>
      </c>
      <c r="Q1613" s="218">
        <f t="shared" si="51"/>
        <v>0</v>
      </c>
    </row>
    <row r="1614" spans="1:17" x14ac:dyDescent="0.35">
      <c r="A1614" s="212" t="str">
        <f>COMPOSICIÓN!A1614</f>
        <v>PTO-1817</v>
      </c>
      <c r="B1614" s="212" t="str">
        <f>COMPOSICIÓN!B1614</f>
        <v>MO</v>
      </c>
      <c r="C1614" s="212" t="str">
        <f>COMPOSICIÓN!C1614</f>
        <v>OTR</v>
      </c>
      <c r="D1614" s="212" t="str">
        <f>COMPOSICIÓN!D1614</f>
        <v>SUB-TS8</v>
      </c>
      <c r="E1614" s="212" t="str">
        <f>COMPOSICIÓN!E1614</f>
        <v>Tablero seccional de 8 a 36 polos</v>
      </c>
      <c r="F1614" s="212" t="str">
        <f>COMPOSICIÓN!F1614</f>
        <v>j</v>
      </c>
      <c r="G1614" s="213">
        <f>COMPOSICIÓN!G1614</f>
        <v>1</v>
      </c>
      <c r="H1614" s="214">
        <f>COMPOSICIÓN!H1614</f>
        <v>0</v>
      </c>
      <c r="I1614" s="215">
        <f>COMPOSICIÓN!I1614</f>
        <v>232812.45</v>
      </c>
      <c r="J1614" s="212" t="str">
        <f>IFERROR(VLOOKUP(A1614,PARTIDAS!$A$2:$C$269,3,FALSE()),"")</f>
        <v>INSTALACIÓN ELÉCTRICA</v>
      </c>
      <c r="K1614" s="212" t="str">
        <f>IFERROR(INDEX(PPTO_GENERADOR!$B$4:$B$220,MATCH(A1614,PPTO_GENERADOR!$Q$4:$Q$220,0)),"")</f>
        <v>INSTALACIÓN ELÉCTRICA</v>
      </c>
      <c r="L1614" s="216">
        <f>IF(PLAN_ETAPA!$C$4="(TODOS)",SUMIFS(PPTO_GENERADOR!$E$4:$E$220,PPTO_GENERADOR!$Q$4:$Q$220,A1614),SUMIFS(PPTO_GENERADOR!$E$4:$E$220,PPTO_GENERADOR!$Q$4:$Q$220,A1614,PPTO_GENERADOR!$B$4:$B$220,PLAN_ETAPA!$C$4))</f>
        <v>0</v>
      </c>
      <c r="M1614" s="216">
        <f>IFERROR(VLOOKUP(A1614,PARTIDAS!$A$2:$F$269,6,FALSE()),1)</f>
        <v>1</v>
      </c>
      <c r="N1614" s="216">
        <f>IFERROR(VLOOKUP(A1614,PARTIDAS!$A$2:$I$269,9,FALSE()),1)</f>
        <v>1</v>
      </c>
      <c r="O1614" s="217">
        <f t="shared" si="50"/>
        <v>0</v>
      </c>
      <c r="P1614" s="216">
        <f>IF(O1614=0,0,IF(B1614="MAT",G1614*(1+H1614)*L1614*PLAN_ETAPA!$C$5,IF(B1614="MO",IF(M1614=0,0,G1614*L1614*PLAN_ETAPA!$C$5*N1614/M1614),IF(B1614="EQ",IF(M1614=0,0,G1614*L1614*PLAN_ETAPA!$C$5/M1614),0))))</f>
        <v>0</v>
      </c>
      <c r="Q1614" s="218">
        <f t="shared" si="51"/>
        <v>0</v>
      </c>
    </row>
    <row r="1615" spans="1:17" x14ac:dyDescent="0.35">
      <c r="A1615" s="212" t="str">
        <f>COMPOSICIÓN!A1615</f>
        <v>PTO-1818</v>
      </c>
      <c r="B1615" s="212" t="str">
        <f>COMPOSICIÓN!B1615</f>
        <v>EQ</v>
      </c>
      <c r="C1615" s="212">
        <f>COMPOSICIÓN!C1615</f>
        <v>0</v>
      </c>
      <c r="D1615" s="212" t="str">
        <f>COMPOSICIÓN!D1615</f>
        <v>EQ-PTO117</v>
      </c>
      <c r="E1615" s="212" t="str">
        <f>COMPOSICIÓN!E1615</f>
        <v>Herramientas y consumibles - PTO-1818 TS.ASC</v>
      </c>
      <c r="F1615" s="212">
        <f>COMPOSICIÓN!F1615</f>
        <v>0</v>
      </c>
      <c r="G1615" s="213">
        <f>COMPOSICIÓN!G1615</f>
        <v>1</v>
      </c>
      <c r="H1615" s="214">
        <f>COMPOSICIÓN!H1615</f>
        <v>0</v>
      </c>
      <c r="I1615" s="215">
        <f>COMPOSICIÓN!I1615</f>
        <v>5888.0883607438</v>
      </c>
      <c r="J1615" s="212" t="str">
        <f>IFERROR(VLOOKUP(A1615,PARTIDAS!$A$2:$C$269,3,FALSE()),"")</f>
        <v>INSTALACIÓN ELÉCTRICA</v>
      </c>
      <c r="K1615" s="212" t="str">
        <f>IFERROR(INDEX(PPTO_GENERADOR!$B$4:$B$220,MATCH(A1615,PPTO_GENERADOR!$Q$4:$Q$220,0)),"")</f>
        <v>INSTALACIÓN ELÉCTRICA</v>
      </c>
      <c r="L1615" s="216">
        <f>IF(PLAN_ETAPA!$C$4="(TODOS)",SUMIFS(PPTO_GENERADOR!$E$4:$E$220,PPTO_GENERADOR!$Q$4:$Q$220,A1615),SUMIFS(PPTO_GENERADOR!$E$4:$E$220,PPTO_GENERADOR!$Q$4:$Q$220,A1615,PPTO_GENERADOR!$B$4:$B$220,PLAN_ETAPA!$C$4))</f>
        <v>0</v>
      </c>
      <c r="M1615" s="216">
        <f>IFERROR(VLOOKUP(A1615,PARTIDAS!$A$2:$F$269,6,FALSE()),1)</f>
        <v>1</v>
      </c>
      <c r="N1615" s="216">
        <f>IFERROR(VLOOKUP(A1615,PARTIDAS!$A$2:$I$269,9,FALSE()),1)</f>
        <v>1</v>
      </c>
      <c r="O1615" s="217">
        <f t="shared" si="50"/>
        <v>0</v>
      </c>
      <c r="P1615" s="216">
        <f>IF(O1615=0,0,IF(B1615="MAT",G1615*(1+H1615)*L1615*PLAN_ETAPA!$C$5,IF(B1615="MO",IF(M1615=0,0,G1615*L1615*PLAN_ETAPA!$C$5*N1615/M1615),IF(B1615="EQ",IF(M1615=0,0,G1615*L1615*PLAN_ETAPA!$C$5/M1615),0))))</f>
        <v>0</v>
      </c>
      <c r="Q1615" s="218">
        <f t="shared" si="51"/>
        <v>0</v>
      </c>
    </row>
    <row r="1616" spans="1:17" x14ac:dyDescent="0.35">
      <c r="A1616" s="212" t="str">
        <f>COMPOSICIÓN!A1616</f>
        <v>PTO-1818</v>
      </c>
      <c r="B1616" s="212" t="str">
        <f>COMPOSICIÓN!B1616</f>
        <v>MAT</v>
      </c>
      <c r="C1616" s="212" t="str">
        <f>COMPOSICIÓN!C1616</f>
        <v>OTR</v>
      </c>
      <c r="D1616" s="212" t="str">
        <f>COMPOSICIÓN!D1616</f>
        <v>MAT-CONS</v>
      </c>
      <c r="E1616" s="212" t="str">
        <f>COMPOSICIÓN!E1616</f>
        <v>Consumibles</v>
      </c>
      <c r="F1616" s="212" t="str">
        <f>COMPOSICIÓN!F1616</f>
        <v>gl</v>
      </c>
      <c r="G1616" s="213">
        <f>COMPOSICIÓN!G1616</f>
        <v>26621.129000000001</v>
      </c>
      <c r="H1616" s="214">
        <f>COMPOSICIÓN!H1616</f>
        <v>0</v>
      </c>
      <c r="I1616" s="215">
        <f>COMPOSICIÓN!I1616</f>
        <v>1</v>
      </c>
      <c r="J1616" s="212" t="str">
        <f>IFERROR(VLOOKUP(A1616,PARTIDAS!$A$2:$C$269,3,FALSE()),"")</f>
        <v>INSTALACIÓN ELÉCTRICA</v>
      </c>
      <c r="K1616" s="212" t="str">
        <f>IFERROR(INDEX(PPTO_GENERADOR!$B$4:$B$220,MATCH(A1616,PPTO_GENERADOR!$Q$4:$Q$220,0)),"")</f>
        <v>INSTALACIÓN ELÉCTRICA</v>
      </c>
      <c r="L1616" s="216">
        <f>IF(PLAN_ETAPA!$C$4="(TODOS)",SUMIFS(PPTO_GENERADOR!$E$4:$E$220,PPTO_GENERADOR!$Q$4:$Q$220,A1616),SUMIFS(PPTO_GENERADOR!$E$4:$E$220,PPTO_GENERADOR!$Q$4:$Q$220,A1616,PPTO_GENERADOR!$B$4:$B$220,PLAN_ETAPA!$C$4))</f>
        <v>0</v>
      </c>
      <c r="M1616" s="216">
        <f>IFERROR(VLOOKUP(A1616,PARTIDAS!$A$2:$F$269,6,FALSE()),1)</f>
        <v>1</v>
      </c>
      <c r="N1616" s="216">
        <f>IFERROR(VLOOKUP(A1616,PARTIDAS!$A$2:$I$269,9,FALSE()),1)</f>
        <v>1</v>
      </c>
      <c r="O1616" s="217">
        <f t="shared" si="50"/>
        <v>0</v>
      </c>
      <c r="P1616" s="216">
        <f>IF(O1616=0,0,IF(B1616="MAT",G1616*(1+H1616)*L1616*PLAN_ETAPA!$C$5,IF(B1616="MO",IF(M1616=0,0,G1616*L1616*PLAN_ETAPA!$C$5*N1616/M1616),IF(B1616="EQ",IF(M1616=0,0,G1616*L1616*PLAN_ETAPA!$C$5/M1616),0))))</f>
        <v>0</v>
      </c>
      <c r="Q1616" s="218">
        <f t="shared" si="51"/>
        <v>0</v>
      </c>
    </row>
    <row r="1617" spans="1:17" x14ac:dyDescent="0.35">
      <c r="A1617" s="212" t="str">
        <f>COMPOSICIÓN!A1617</f>
        <v>PTO-1818</v>
      </c>
      <c r="B1617" s="212" t="str">
        <f>COMPOSICIÓN!B1617</f>
        <v>MAT</v>
      </c>
      <c r="C1617" s="212" t="str">
        <f>COMPOSICIÓN!C1617</f>
        <v>OTR</v>
      </c>
      <c r="D1617" s="212" t="str">
        <f>COMPOSICIÓN!D1617</f>
        <v>OTR-PTO147</v>
      </c>
      <c r="E1617" s="212" t="str">
        <f>COMPOSICIÓN!E1617</f>
        <v>Voltimetro Display Ojo de Buey 22 mm (220vca ø22mm / IP44)</v>
      </c>
      <c r="F1617" s="212" t="str">
        <f>COMPOSICIÓN!F1617</f>
        <v>u</v>
      </c>
      <c r="G1617" s="213">
        <f>COMPOSICIÓN!G1617</f>
        <v>3</v>
      </c>
      <c r="H1617" s="214">
        <f>COMPOSICIÓN!H1617</f>
        <v>0</v>
      </c>
      <c r="I1617" s="215">
        <f>COMPOSICIÓN!I1617</f>
        <v>3656.19834710744</v>
      </c>
      <c r="J1617" s="212" t="str">
        <f>IFERROR(VLOOKUP(A1617,PARTIDAS!$A$2:$C$269,3,FALSE()),"")</f>
        <v>INSTALACIÓN ELÉCTRICA</v>
      </c>
      <c r="K1617" s="212" t="str">
        <f>IFERROR(INDEX(PPTO_GENERADOR!$B$4:$B$220,MATCH(A1617,PPTO_GENERADOR!$Q$4:$Q$220,0)),"")</f>
        <v>INSTALACIÓN ELÉCTRICA</v>
      </c>
      <c r="L1617" s="216">
        <f>IF(PLAN_ETAPA!$C$4="(TODOS)",SUMIFS(PPTO_GENERADOR!$E$4:$E$220,PPTO_GENERADOR!$Q$4:$Q$220,A1617),SUMIFS(PPTO_GENERADOR!$E$4:$E$220,PPTO_GENERADOR!$Q$4:$Q$220,A1617,PPTO_GENERADOR!$B$4:$B$220,PLAN_ETAPA!$C$4))</f>
        <v>0</v>
      </c>
      <c r="M1617" s="216">
        <f>IFERROR(VLOOKUP(A1617,PARTIDAS!$A$2:$F$269,6,FALSE()),1)</f>
        <v>1</v>
      </c>
      <c r="N1617" s="216">
        <f>IFERROR(VLOOKUP(A1617,PARTIDAS!$A$2:$I$269,9,FALSE()),1)</f>
        <v>1</v>
      </c>
      <c r="O1617" s="217">
        <f t="shared" si="50"/>
        <v>0</v>
      </c>
      <c r="P1617" s="216">
        <f>IF(O1617=0,0,IF(B1617="MAT",G1617*(1+H1617)*L1617*PLAN_ETAPA!$C$5,IF(B1617="MO",IF(M1617=0,0,G1617*L1617*PLAN_ETAPA!$C$5*N1617/M1617),IF(B1617="EQ",IF(M1617=0,0,G1617*L1617*PLAN_ETAPA!$C$5/M1617),0))))</f>
        <v>0</v>
      </c>
      <c r="Q1617" s="218">
        <f t="shared" si="51"/>
        <v>0</v>
      </c>
    </row>
    <row r="1618" spans="1:17" x14ac:dyDescent="0.35">
      <c r="A1618" s="212" t="str">
        <f>COMPOSICIÓN!A1618</f>
        <v>PTO-1818</v>
      </c>
      <c r="B1618" s="212" t="str">
        <f>COMPOSICIÓN!B1618</f>
        <v>MAT</v>
      </c>
      <c r="C1618" s="212" t="str">
        <f>COMPOSICIÓN!C1618</f>
        <v>OTR</v>
      </c>
      <c r="D1618" s="212" t="str">
        <f>COMPOSICIÓN!D1618</f>
        <v>OTR-PTO153</v>
      </c>
      <c r="E1618" s="212" t="str">
        <f>COMPOSICIÓN!E1618</f>
        <v>STECK TM BIPOLAR 10A 6KA (2 X 10A)</v>
      </c>
      <c r="F1618" s="212" t="str">
        <f>COMPOSICIÓN!F1618</f>
        <v>u</v>
      </c>
      <c r="G1618" s="213">
        <f>COMPOSICIÓN!G1618</f>
        <v>2</v>
      </c>
      <c r="H1618" s="214">
        <f>COMPOSICIÓN!H1618</f>
        <v>0</v>
      </c>
      <c r="I1618" s="215">
        <f>COMPOSICIÓN!I1618</f>
        <v>5287.23</v>
      </c>
      <c r="J1618" s="212" t="str">
        <f>IFERROR(VLOOKUP(A1618,PARTIDAS!$A$2:$C$269,3,FALSE()),"")</f>
        <v>INSTALACIÓN ELÉCTRICA</v>
      </c>
      <c r="K1618" s="212" t="str">
        <f>IFERROR(INDEX(PPTO_GENERADOR!$B$4:$B$220,MATCH(A1618,PPTO_GENERADOR!$Q$4:$Q$220,0)),"")</f>
        <v>INSTALACIÓN ELÉCTRICA</v>
      </c>
      <c r="L1618" s="216">
        <f>IF(PLAN_ETAPA!$C$4="(TODOS)",SUMIFS(PPTO_GENERADOR!$E$4:$E$220,PPTO_GENERADOR!$Q$4:$Q$220,A1618),SUMIFS(PPTO_GENERADOR!$E$4:$E$220,PPTO_GENERADOR!$Q$4:$Q$220,A1618,PPTO_GENERADOR!$B$4:$B$220,PLAN_ETAPA!$C$4))</f>
        <v>0</v>
      </c>
      <c r="M1618" s="216">
        <f>IFERROR(VLOOKUP(A1618,PARTIDAS!$A$2:$F$269,6,FALSE()),1)</f>
        <v>1</v>
      </c>
      <c r="N1618" s="216">
        <f>IFERROR(VLOOKUP(A1618,PARTIDAS!$A$2:$I$269,9,FALSE()),1)</f>
        <v>1</v>
      </c>
      <c r="O1618" s="217">
        <f t="shared" si="50"/>
        <v>0</v>
      </c>
      <c r="P1618" s="216">
        <f>IF(O1618=0,0,IF(B1618="MAT",G1618*(1+H1618)*L1618*PLAN_ETAPA!$C$5,IF(B1618="MO",IF(M1618=0,0,G1618*L1618*PLAN_ETAPA!$C$5*N1618/M1618),IF(B1618="EQ",IF(M1618=0,0,G1618*L1618*PLAN_ETAPA!$C$5/M1618),0))))</f>
        <v>0</v>
      </c>
      <c r="Q1618" s="218">
        <f t="shared" si="51"/>
        <v>0</v>
      </c>
    </row>
    <row r="1619" spans="1:17" x14ac:dyDescent="0.35">
      <c r="A1619" s="212" t="str">
        <f>COMPOSICIÓN!A1619</f>
        <v>PTO-1818</v>
      </c>
      <c r="B1619" s="212" t="str">
        <f>COMPOSICIÓN!B1619</f>
        <v>MAT</v>
      </c>
      <c r="C1619" s="212" t="str">
        <f>COMPOSICIÓN!C1619</f>
        <v>OTR</v>
      </c>
      <c r="D1619" s="212" t="str">
        <f>COMPOSICIÓN!D1619</f>
        <v>OTR-PTO157</v>
      </c>
      <c r="E1619" s="212" t="str">
        <f>COMPOSICIÓN!E1619</f>
        <v>RIEL PORTA ELEMENTOS X 1 METRO</v>
      </c>
      <c r="F1619" s="212" t="str">
        <f>COMPOSICIÓN!F1619</f>
        <v>u</v>
      </c>
      <c r="G1619" s="213">
        <f>COMPOSICIÓN!G1619</f>
        <v>1</v>
      </c>
      <c r="H1619" s="214">
        <f>COMPOSICIÓN!H1619</f>
        <v>0</v>
      </c>
      <c r="I1619" s="215">
        <f>COMPOSICIÓN!I1619</f>
        <v>14702.99</v>
      </c>
      <c r="J1619" s="212" t="str">
        <f>IFERROR(VLOOKUP(A1619,PARTIDAS!$A$2:$C$269,3,FALSE()),"")</f>
        <v>INSTALACIÓN ELÉCTRICA</v>
      </c>
      <c r="K1619" s="212" t="str">
        <f>IFERROR(INDEX(PPTO_GENERADOR!$B$4:$B$220,MATCH(A1619,PPTO_GENERADOR!$Q$4:$Q$220,0)),"")</f>
        <v>INSTALACIÓN ELÉCTRICA</v>
      </c>
      <c r="L1619" s="216">
        <f>IF(PLAN_ETAPA!$C$4="(TODOS)",SUMIFS(PPTO_GENERADOR!$E$4:$E$220,PPTO_GENERADOR!$Q$4:$Q$220,A1619),SUMIFS(PPTO_GENERADOR!$E$4:$E$220,PPTO_GENERADOR!$Q$4:$Q$220,A1619,PPTO_GENERADOR!$B$4:$B$220,PLAN_ETAPA!$C$4))</f>
        <v>0</v>
      </c>
      <c r="M1619" s="216">
        <f>IFERROR(VLOOKUP(A1619,PARTIDAS!$A$2:$F$269,6,FALSE()),1)</f>
        <v>1</v>
      </c>
      <c r="N1619" s="216">
        <f>IFERROR(VLOOKUP(A1619,PARTIDAS!$A$2:$I$269,9,FALSE()),1)</f>
        <v>1</v>
      </c>
      <c r="O1619" s="217">
        <f t="shared" si="50"/>
        <v>0</v>
      </c>
      <c r="P1619" s="216">
        <f>IF(O1619=0,0,IF(B1619="MAT",G1619*(1+H1619)*L1619*PLAN_ETAPA!$C$5,IF(B1619="MO",IF(M1619=0,0,G1619*L1619*PLAN_ETAPA!$C$5*N1619/M1619),IF(B1619="EQ",IF(M1619=0,0,G1619*L1619*PLAN_ETAPA!$C$5/M1619),0))))</f>
        <v>0</v>
      </c>
      <c r="Q1619" s="218">
        <f t="shared" si="51"/>
        <v>0</v>
      </c>
    </row>
    <row r="1620" spans="1:17" x14ac:dyDescent="0.35">
      <c r="A1620" s="212" t="str">
        <f>COMPOSICIÓN!A1620</f>
        <v>PTO-1818</v>
      </c>
      <c r="B1620" s="212" t="str">
        <f>COMPOSICIÓN!B1620</f>
        <v>MAT</v>
      </c>
      <c r="C1620" s="212" t="str">
        <f>COMPOSICIÓN!C1620</f>
        <v>OTR</v>
      </c>
      <c r="D1620" s="212" t="str">
        <f>COMPOSICIÓN!D1620</f>
        <v>OTR-PTO160</v>
      </c>
      <c r="E1620" s="212" t="str">
        <f>COMPOSICIÓN!E1620</f>
        <v>GAB. IP65 SERIE 9000 300X300X150 (300 X 300 X 150)</v>
      </c>
      <c r="F1620" s="212" t="str">
        <f>COMPOSICIÓN!F1620</f>
        <v>u</v>
      </c>
      <c r="G1620" s="213">
        <f>COMPOSICIÓN!G1620</f>
        <v>1</v>
      </c>
      <c r="H1620" s="214">
        <f>COMPOSICIÓN!H1620</f>
        <v>0</v>
      </c>
      <c r="I1620" s="215">
        <f>COMPOSICIÓN!I1620</f>
        <v>51844.93</v>
      </c>
      <c r="J1620" s="212" t="str">
        <f>IFERROR(VLOOKUP(A1620,PARTIDAS!$A$2:$C$269,3,FALSE()),"")</f>
        <v>INSTALACIÓN ELÉCTRICA</v>
      </c>
      <c r="K1620" s="212" t="str">
        <f>IFERROR(INDEX(PPTO_GENERADOR!$B$4:$B$220,MATCH(A1620,PPTO_GENERADOR!$Q$4:$Q$220,0)),"")</f>
        <v>INSTALACIÓN ELÉCTRICA</v>
      </c>
      <c r="L1620" s="216">
        <f>IF(PLAN_ETAPA!$C$4="(TODOS)",SUMIFS(PPTO_GENERADOR!$E$4:$E$220,PPTO_GENERADOR!$Q$4:$Q$220,A1620),SUMIFS(PPTO_GENERADOR!$E$4:$E$220,PPTO_GENERADOR!$Q$4:$Q$220,A1620,PPTO_GENERADOR!$B$4:$B$220,PLAN_ETAPA!$C$4))</f>
        <v>0</v>
      </c>
      <c r="M1620" s="216">
        <f>IFERROR(VLOOKUP(A1620,PARTIDAS!$A$2:$F$269,6,FALSE()),1)</f>
        <v>1</v>
      </c>
      <c r="N1620" s="216">
        <f>IFERROR(VLOOKUP(A1620,PARTIDAS!$A$2:$I$269,9,FALSE()),1)</f>
        <v>1</v>
      </c>
      <c r="O1620" s="217">
        <f t="shared" si="50"/>
        <v>0</v>
      </c>
      <c r="P1620" s="216">
        <f>IF(O1620=0,0,IF(B1620="MAT",G1620*(1+H1620)*L1620*PLAN_ETAPA!$C$5,IF(B1620="MO",IF(M1620=0,0,G1620*L1620*PLAN_ETAPA!$C$5*N1620/M1620),IF(B1620="EQ",IF(M1620=0,0,G1620*L1620*PLAN_ETAPA!$C$5/M1620),0))))</f>
        <v>0</v>
      </c>
      <c r="Q1620" s="218">
        <f t="shared" si="51"/>
        <v>0</v>
      </c>
    </row>
    <row r="1621" spans="1:17" x14ac:dyDescent="0.35">
      <c r="A1621" s="212" t="str">
        <f>COMPOSICIÓN!A1621</f>
        <v>PTO-1818</v>
      </c>
      <c r="B1621" s="212" t="str">
        <f>COMPOSICIÓN!B1621</f>
        <v>MAT</v>
      </c>
      <c r="C1621" s="212" t="str">
        <f>COMPOSICIÓN!C1621</f>
        <v>OTR</v>
      </c>
      <c r="D1621" s="212" t="str">
        <f>COMPOSICIÓN!D1621</f>
        <v>OTR-PTO161</v>
      </c>
      <c r="E1621" s="212" t="str">
        <f>COMPOSICIÓN!E1621</f>
        <v>CONTRAF ABISAG.CALADO 10BIP S9000 300X300</v>
      </c>
      <c r="F1621" s="212" t="str">
        <f>COMPOSICIÓN!F1621</f>
        <v>u</v>
      </c>
      <c r="G1621" s="213">
        <f>COMPOSICIÓN!G1621</f>
        <v>1</v>
      </c>
      <c r="H1621" s="214">
        <f>COMPOSICIÓN!H1621</f>
        <v>0</v>
      </c>
      <c r="I1621" s="215">
        <f>COMPOSICIÓN!I1621</f>
        <v>33851.08</v>
      </c>
      <c r="J1621" s="212" t="str">
        <f>IFERROR(VLOOKUP(A1621,PARTIDAS!$A$2:$C$269,3,FALSE()),"")</f>
        <v>INSTALACIÓN ELÉCTRICA</v>
      </c>
      <c r="K1621" s="212" t="str">
        <f>IFERROR(INDEX(PPTO_GENERADOR!$B$4:$B$220,MATCH(A1621,PPTO_GENERADOR!$Q$4:$Q$220,0)),"")</f>
        <v>INSTALACIÓN ELÉCTRICA</v>
      </c>
      <c r="L1621" s="216">
        <f>IF(PLAN_ETAPA!$C$4="(TODOS)",SUMIFS(PPTO_GENERADOR!$E$4:$E$220,PPTO_GENERADOR!$Q$4:$Q$220,A1621),SUMIFS(PPTO_GENERADOR!$E$4:$E$220,PPTO_GENERADOR!$Q$4:$Q$220,A1621,PPTO_GENERADOR!$B$4:$B$220,PLAN_ETAPA!$C$4))</f>
        <v>0</v>
      </c>
      <c r="M1621" s="216">
        <f>IFERROR(VLOOKUP(A1621,PARTIDAS!$A$2:$F$269,6,FALSE()),1)</f>
        <v>1</v>
      </c>
      <c r="N1621" s="216">
        <f>IFERROR(VLOOKUP(A1621,PARTIDAS!$A$2:$I$269,9,FALSE()),1)</f>
        <v>1</v>
      </c>
      <c r="O1621" s="217">
        <f t="shared" si="50"/>
        <v>0</v>
      </c>
      <c r="P1621" s="216">
        <f>IF(O1621=0,0,IF(B1621="MAT",G1621*(1+H1621)*L1621*PLAN_ETAPA!$C$5,IF(B1621="MO",IF(M1621=0,0,G1621*L1621*PLAN_ETAPA!$C$5*N1621/M1621),IF(B1621="EQ",IF(M1621=0,0,G1621*L1621*PLAN_ETAPA!$C$5/M1621),0))))</f>
        <v>0</v>
      </c>
      <c r="Q1621" s="218">
        <f t="shared" si="51"/>
        <v>0</v>
      </c>
    </row>
    <row r="1622" spans="1:17" x14ac:dyDescent="0.35">
      <c r="A1622" s="212" t="str">
        <f>COMPOSICIÓN!A1622</f>
        <v>PTO-1818</v>
      </c>
      <c r="B1622" s="212" t="str">
        <f>COMPOSICIÓN!B1622</f>
        <v>MAT</v>
      </c>
      <c r="C1622" s="212" t="str">
        <f>COMPOSICIÓN!C1622</f>
        <v>OTR</v>
      </c>
      <c r="D1622" s="212" t="str">
        <f>COMPOSICIÓN!D1622</f>
        <v>OTR-PTO165</v>
      </c>
      <c r="E1622" s="212" t="str">
        <f>COMPOSICIÓN!E1622</f>
        <v>STECK TM TETRAPOLAR 32A 6KA (4 X 32A)</v>
      </c>
      <c r="F1622" s="212" t="str">
        <f>COMPOSICIÓN!F1622</f>
        <v>u</v>
      </c>
      <c r="G1622" s="213">
        <f>COMPOSICIÓN!G1622</f>
        <v>1</v>
      </c>
      <c r="H1622" s="214">
        <f>COMPOSICIÓN!H1622</f>
        <v>0</v>
      </c>
      <c r="I1622" s="215">
        <f>COMPOSICIÓN!I1622</f>
        <v>11163.59</v>
      </c>
      <c r="J1622" s="212" t="str">
        <f>IFERROR(VLOOKUP(A1622,PARTIDAS!$A$2:$C$269,3,FALSE()),"")</f>
        <v>INSTALACIÓN ELÉCTRICA</v>
      </c>
      <c r="K1622" s="212" t="str">
        <f>IFERROR(INDEX(PPTO_GENERADOR!$B$4:$B$220,MATCH(A1622,PPTO_GENERADOR!$Q$4:$Q$220,0)),"")</f>
        <v>INSTALACIÓN ELÉCTRICA</v>
      </c>
      <c r="L1622" s="216">
        <f>IF(PLAN_ETAPA!$C$4="(TODOS)",SUMIFS(PPTO_GENERADOR!$E$4:$E$220,PPTO_GENERADOR!$Q$4:$Q$220,A1622),SUMIFS(PPTO_GENERADOR!$E$4:$E$220,PPTO_GENERADOR!$Q$4:$Q$220,A1622,PPTO_GENERADOR!$B$4:$B$220,PLAN_ETAPA!$C$4))</f>
        <v>0</v>
      </c>
      <c r="M1622" s="216">
        <f>IFERROR(VLOOKUP(A1622,PARTIDAS!$A$2:$F$269,6,FALSE()),1)</f>
        <v>1</v>
      </c>
      <c r="N1622" s="216">
        <f>IFERROR(VLOOKUP(A1622,PARTIDAS!$A$2:$I$269,9,FALSE()),1)</f>
        <v>1</v>
      </c>
      <c r="O1622" s="217">
        <f t="shared" si="50"/>
        <v>0</v>
      </c>
      <c r="P1622" s="216">
        <f>IF(O1622=0,0,IF(B1622="MAT",G1622*(1+H1622)*L1622*PLAN_ETAPA!$C$5,IF(B1622="MO",IF(M1622=0,0,G1622*L1622*PLAN_ETAPA!$C$5*N1622/M1622),IF(B1622="EQ",IF(M1622=0,0,G1622*L1622*PLAN_ETAPA!$C$5/M1622),0))))</f>
        <v>0</v>
      </c>
      <c r="Q1622" s="218">
        <f t="shared" si="51"/>
        <v>0</v>
      </c>
    </row>
    <row r="1623" spans="1:17" x14ac:dyDescent="0.35">
      <c r="A1623" s="212" t="str">
        <f>COMPOSICIÓN!A1623</f>
        <v>PTO-1818</v>
      </c>
      <c r="B1623" s="212" t="str">
        <f>COMPOSICIÓN!B1623</f>
        <v>MO</v>
      </c>
      <c r="C1623" s="212" t="str">
        <f>COMPOSICIÓN!C1623</f>
        <v>OTR</v>
      </c>
      <c r="D1623" s="212" t="str">
        <f>COMPOSICIÓN!D1623</f>
        <v>SUB-TS8</v>
      </c>
      <c r="E1623" s="212" t="str">
        <f>COMPOSICIÓN!E1623</f>
        <v>Tablero seccional de 8 a 36 polos</v>
      </c>
      <c r="F1623" s="212" t="str">
        <f>COMPOSICIÓN!F1623</f>
        <v>j</v>
      </c>
      <c r="G1623" s="213">
        <f>COMPOSICIÓN!G1623</f>
        <v>1</v>
      </c>
      <c r="H1623" s="214">
        <f>COMPOSICIÓN!H1623</f>
        <v>0</v>
      </c>
      <c r="I1623" s="215">
        <f>COMPOSICIÓN!I1623</f>
        <v>232812.45</v>
      </c>
      <c r="J1623" s="212" t="str">
        <f>IFERROR(VLOOKUP(A1623,PARTIDAS!$A$2:$C$269,3,FALSE()),"")</f>
        <v>INSTALACIÓN ELÉCTRICA</v>
      </c>
      <c r="K1623" s="212" t="str">
        <f>IFERROR(INDEX(PPTO_GENERADOR!$B$4:$B$220,MATCH(A1623,PPTO_GENERADOR!$Q$4:$Q$220,0)),"")</f>
        <v>INSTALACIÓN ELÉCTRICA</v>
      </c>
      <c r="L1623" s="216">
        <f>IF(PLAN_ETAPA!$C$4="(TODOS)",SUMIFS(PPTO_GENERADOR!$E$4:$E$220,PPTO_GENERADOR!$Q$4:$Q$220,A1623),SUMIFS(PPTO_GENERADOR!$E$4:$E$220,PPTO_GENERADOR!$Q$4:$Q$220,A1623,PPTO_GENERADOR!$B$4:$B$220,PLAN_ETAPA!$C$4))</f>
        <v>0</v>
      </c>
      <c r="M1623" s="216">
        <f>IFERROR(VLOOKUP(A1623,PARTIDAS!$A$2:$F$269,6,FALSE()),1)</f>
        <v>1</v>
      </c>
      <c r="N1623" s="216">
        <f>IFERROR(VLOOKUP(A1623,PARTIDAS!$A$2:$I$269,9,FALSE()),1)</f>
        <v>1</v>
      </c>
      <c r="O1623" s="217">
        <f t="shared" si="50"/>
        <v>0</v>
      </c>
      <c r="P1623" s="216">
        <f>IF(O1623=0,0,IF(B1623="MAT",G1623*(1+H1623)*L1623*PLAN_ETAPA!$C$5,IF(B1623="MO",IF(M1623=0,0,G1623*L1623*PLAN_ETAPA!$C$5*N1623/M1623),IF(B1623="EQ",IF(M1623=0,0,G1623*L1623*PLAN_ETAPA!$C$5/M1623),0))))</f>
        <v>0</v>
      </c>
      <c r="Q1623" s="218">
        <f t="shared" si="51"/>
        <v>0</v>
      </c>
    </row>
    <row r="1624" spans="1:17" x14ac:dyDescent="0.35">
      <c r="A1624" s="212" t="str">
        <f>COMPOSICIÓN!A1624</f>
        <v>PTO-1819</v>
      </c>
      <c r="B1624" s="212" t="str">
        <f>COMPOSICIÓN!B1624</f>
        <v>EQ</v>
      </c>
      <c r="C1624" s="212">
        <f>COMPOSICIÓN!C1624</f>
        <v>0</v>
      </c>
      <c r="D1624" s="212" t="str">
        <f>COMPOSICIÓN!D1624</f>
        <v>EQ-PTO118</v>
      </c>
      <c r="E1624" s="212" t="str">
        <f>COMPOSICIÓN!E1624</f>
        <v>Herramientas y consumibles - PTO-1819 TUF</v>
      </c>
      <c r="F1624" s="212">
        <f>COMPOSICIÓN!F1624</f>
        <v>0</v>
      </c>
      <c r="G1624" s="213">
        <f>COMPOSICIÓN!G1624</f>
        <v>1</v>
      </c>
      <c r="H1624" s="214">
        <f>COMPOSICIÓN!H1624</f>
        <v>0</v>
      </c>
      <c r="I1624" s="215">
        <f>COMPOSICIÓN!I1624</f>
        <v>6602.35923</v>
      </c>
      <c r="J1624" s="212" t="str">
        <f>IFERROR(VLOOKUP(A1624,PARTIDAS!$A$2:$C$269,3,FALSE()),"")</f>
        <v>INSTALACIÓN ELÉCTRICA</v>
      </c>
      <c r="K1624" s="212" t="str">
        <f>IFERROR(INDEX(PPTO_GENERADOR!$B$4:$B$220,MATCH(A1624,PPTO_GENERADOR!$Q$4:$Q$220,0)),"")</f>
        <v>INSTALACIÓN ELÉCTRICA</v>
      </c>
      <c r="L1624" s="216">
        <f>IF(PLAN_ETAPA!$C$4="(TODOS)",SUMIFS(PPTO_GENERADOR!$E$4:$E$220,PPTO_GENERADOR!$Q$4:$Q$220,A1624),SUMIFS(PPTO_GENERADOR!$E$4:$E$220,PPTO_GENERADOR!$Q$4:$Q$220,A1624,PPTO_GENERADOR!$B$4:$B$220,PLAN_ETAPA!$C$4))</f>
        <v>0</v>
      </c>
      <c r="M1624" s="216">
        <f>IFERROR(VLOOKUP(A1624,PARTIDAS!$A$2:$F$269,6,FALSE()),1)</f>
        <v>1</v>
      </c>
      <c r="N1624" s="216">
        <f>IFERROR(VLOOKUP(A1624,PARTIDAS!$A$2:$I$269,9,FALSE()),1)</f>
        <v>1</v>
      </c>
      <c r="O1624" s="217">
        <f t="shared" si="50"/>
        <v>0</v>
      </c>
      <c r="P1624" s="216">
        <f>IF(O1624=0,0,IF(B1624="MAT",G1624*(1+H1624)*L1624*PLAN_ETAPA!$C$5,IF(B1624="MO",IF(M1624=0,0,G1624*L1624*PLAN_ETAPA!$C$5*N1624/M1624),IF(B1624="EQ",IF(M1624=0,0,G1624*L1624*PLAN_ETAPA!$C$5/M1624),0))))</f>
        <v>0</v>
      </c>
      <c r="Q1624" s="218">
        <f t="shared" si="51"/>
        <v>0</v>
      </c>
    </row>
    <row r="1625" spans="1:17" x14ac:dyDescent="0.35">
      <c r="A1625" s="212" t="str">
        <f>COMPOSICIÓN!A1625</f>
        <v>PTO-1819</v>
      </c>
      <c r="B1625" s="212" t="str">
        <f>COMPOSICIÓN!B1625</f>
        <v>MAT</v>
      </c>
      <c r="C1625" s="212" t="str">
        <f>COMPOSICIÓN!C1625</f>
        <v>OTR</v>
      </c>
      <c r="D1625" s="212" t="str">
        <f>COMPOSICIÓN!D1625</f>
        <v>MAT-CONS</v>
      </c>
      <c r="E1625" s="212" t="str">
        <f>COMPOSICIÓN!E1625</f>
        <v>Consumibles</v>
      </c>
      <c r="F1625" s="212" t="str">
        <f>COMPOSICIÓN!F1625</f>
        <v>gl</v>
      </c>
      <c r="G1625" s="213">
        <f>COMPOSICIÓN!G1625</f>
        <v>34557.472000000002</v>
      </c>
      <c r="H1625" s="214">
        <f>COMPOSICIÓN!H1625</f>
        <v>0</v>
      </c>
      <c r="I1625" s="215">
        <f>COMPOSICIÓN!I1625</f>
        <v>1</v>
      </c>
      <c r="J1625" s="212" t="str">
        <f>IFERROR(VLOOKUP(A1625,PARTIDAS!$A$2:$C$269,3,FALSE()),"")</f>
        <v>INSTALACIÓN ELÉCTRICA</v>
      </c>
      <c r="K1625" s="212" t="str">
        <f>IFERROR(INDEX(PPTO_GENERADOR!$B$4:$B$220,MATCH(A1625,PPTO_GENERADOR!$Q$4:$Q$220,0)),"")</f>
        <v>INSTALACIÓN ELÉCTRICA</v>
      </c>
      <c r="L1625" s="216">
        <f>IF(PLAN_ETAPA!$C$4="(TODOS)",SUMIFS(PPTO_GENERADOR!$E$4:$E$220,PPTO_GENERADOR!$Q$4:$Q$220,A1625),SUMIFS(PPTO_GENERADOR!$E$4:$E$220,PPTO_GENERADOR!$Q$4:$Q$220,A1625,PPTO_GENERADOR!$B$4:$B$220,PLAN_ETAPA!$C$4))</f>
        <v>0</v>
      </c>
      <c r="M1625" s="216">
        <f>IFERROR(VLOOKUP(A1625,PARTIDAS!$A$2:$F$269,6,FALSE()),1)</f>
        <v>1</v>
      </c>
      <c r="N1625" s="216">
        <f>IFERROR(VLOOKUP(A1625,PARTIDAS!$A$2:$I$269,9,FALSE()),1)</f>
        <v>1</v>
      </c>
      <c r="O1625" s="217">
        <f t="shared" si="50"/>
        <v>0</v>
      </c>
      <c r="P1625" s="216">
        <f>IF(O1625=0,0,IF(B1625="MAT",G1625*(1+H1625)*L1625*PLAN_ETAPA!$C$5,IF(B1625="MO",IF(M1625=0,0,G1625*L1625*PLAN_ETAPA!$C$5*N1625/M1625),IF(B1625="EQ",IF(M1625=0,0,G1625*L1625*PLAN_ETAPA!$C$5/M1625),0))))</f>
        <v>0</v>
      </c>
      <c r="Q1625" s="218">
        <f t="shared" si="51"/>
        <v>0</v>
      </c>
    </row>
    <row r="1626" spans="1:17" x14ac:dyDescent="0.35">
      <c r="A1626" s="212" t="str">
        <f>COMPOSICIÓN!A1626</f>
        <v>PTO-1819</v>
      </c>
      <c r="B1626" s="212" t="str">
        <f>COMPOSICIÓN!B1626</f>
        <v>MAT</v>
      </c>
      <c r="C1626" s="212" t="str">
        <f>COMPOSICIÓN!C1626</f>
        <v>OTR</v>
      </c>
      <c r="D1626" s="212" t="str">
        <f>COMPOSICIÓN!D1626</f>
        <v>OTR-PTO148</v>
      </c>
      <c r="E1626" s="212" t="str">
        <f>COMPOSICIÓN!E1626</f>
        <v>STECK DIFERENCIAL 4X40A 30MA (4x40A)</v>
      </c>
      <c r="F1626" s="212" t="str">
        <f>COMPOSICIÓN!F1626</f>
        <v>u</v>
      </c>
      <c r="G1626" s="213">
        <f>COMPOSICIÓN!G1626</f>
        <v>1</v>
      </c>
      <c r="H1626" s="214">
        <f>COMPOSICIÓN!H1626</f>
        <v>0</v>
      </c>
      <c r="I1626" s="215">
        <f>COMPOSICIÓN!I1626</f>
        <v>35881.19</v>
      </c>
      <c r="J1626" s="212" t="str">
        <f>IFERROR(VLOOKUP(A1626,PARTIDAS!$A$2:$C$269,3,FALSE()),"")</f>
        <v>INSTALACIÓN ELÉCTRICA</v>
      </c>
      <c r="K1626" s="212" t="str">
        <f>IFERROR(INDEX(PPTO_GENERADOR!$B$4:$B$220,MATCH(A1626,PPTO_GENERADOR!$Q$4:$Q$220,0)),"")</f>
        <v>INSTALACIÓN ELÉCTRICA</v>
      </c>
      <c r="L1626" s="216">
        <f>IF(PLAN_ETAPA!$C$4="(TODOS)",SUMIFS(PPTO_GENERADOR!$E$4:$E$220,PPTO_GENERADOR!$Q$4:$Q$220,A1626),SUMIFS(PPTO_GENERADOR!$E$4:$E$220,PPTO_GENERADOR!$Q$4:$Q$220,A1626,PPTO_GENERADOR!$B$4:$B$220,PLAN_ETAPA!$C$4))</f>
        <v>0</v>
      </c>
      <c r="M1626" s="216">
        <f>IFERROR(VLOOKUP(A1626,PARTIDAS!$A$2:$F$269,6,FALSE()),1)</f>
        <v>1</v>
      </c>
      <c r="N1626" s="216">
        <f>IFERROR(VLOOKUP(A1626,PARTIDAS!$A$2:$I$269,9,FALSE()),1)</f>
        <v>1</v>
      </c>
      <c r="O1626" s="217">
        <f t="shared" si="50"/>
        <v>0</v>
      </c>
      <c r="P1626" s="216">
        <f>IF(O1626=0,0,IF(B1626="MAT",G1626*(1+H1626)*L1626*PLAN_ETAPA!$C$5,IF(B1626="MO",IF(M1626=0,0,G1626*L1626*PLAN_ETAPA!$C$5*N1626/M1626),IF(B1626="EQ",IF(M1626=0,0,G1626*L1626*PLAN_ETAPA!$C$5/M1626),0))))</f>
        <v>0</v>
      </c>
      <c r="Q1626" s="218">
        <f t="shared" si="51"/>
        <v>0</v>
      </c>
    </row>
    <row r="1627" spans="1:17" x14ac:dyDescent="0.35">
      <c r="A1627" s="212" t="str">
        <f>COMPOSICIÓN!A1627</f>
        <v>PTO-1819</v>
      </c>
      <c r="B1627" s="212" t="str">
        <f>COMPOSICIÓN!B1627</f>
        <v>MAT</v>
      </c>
      <c r="C1627" s="212" t="str">
        <f>COMPOSICIÓN!C1627</f>
        <v>OTR</v>
      </c>
      <c r="D1627" s="212" t="str">
        <f>COMPOSICIÓN!D1627</f>
        <v>OTR-PTO165</v>
      </c>
      <c r="E1627" s="212" t="str">
        <f>COMPOSICIÓN!E1627</f>
        <v>STECK TM TETRAPOLAR 32A 6KA (4 X 32A)</v>
      </c>
      <c r="F1627" s="212" t="str">
        <f>COMPOSICIÓN!F1627</f>
        <v>u</v>
      </c>
      <c r="G1627" s="213">
        <f>COMPOSICIÓN!G1627</f>
        <v>1</v>
      </c>
      <c r="H1627" s="214">
        <f>COMPOSICIÓN!H1627</f>
        <v>0</v>
      </c>
      <c r="I1627" s="215">
        <f>COMPOSICIÓN!I1627</f>
        <v>11163.59</v>
      </c>
      <c r="J1627" s="212" t="str">
        <f>IFERROR(VLOOKUP(A1627,PARTIDAS!$A$2:$C$269,3,FALSE()),"")</f>
        <v>INSTALACIÓN ELÉCTRICA</v>
      </c>
      <c r="K1627" s="212" t="str">
        <f>IFERROR(INDEX(PPTO_GENERADOR!$B$4:$B$220,MATCH(A1627,PPTO_GENERADOR!$Q$4:$Q$220,0)),"")</f>
        <v>INSTALACIÓN ELÉCTRICA</v>
      </c>
      <c r="L1627" s="216">
        <f>IF(PLAN_ETAPA!$C$4="(TODOS)",SUMIFS(PPTO_GENERADOR!$E$4:$E$220,PPTO_GENERADOR!$Q$4:$Q$220,A1627),SUMIFS(PPTO_GENERADOR!$E$4:$E$220,PPTO_GENERADOR!$Q$4:$Q$220,A1627,PPTO_GENERADOR!$B$4:$B$220,PLAN_ETAPA!$C$4))</f>
        <v>0</v>
      </c>
      <c r="M1627" s="216">
        <f>IFERROR(VLOOKUP(A1627,PARTIDAS!$A$2:$F$269,6,FALSE()),1)</f>
        <v>1</v>
      </c>
      <c r="N1627" s="216">
        <f>IFERROR(VLOOKUP(A1627,PARTIDAS!$A$2:$I$269,9,FALSE()),1)</f>
        <v>1</v>
      </c>
      <c r="O1627" s="217">
        <f t="shared" si="50"/>
        <v>0</v>
      </c>
      <c r="P1627" s="216">
        <f>IF(O1627=0,0,IF(B1627="MAT",G1627*(1+H1627)*L1627*PLAN_ETAPA!$C$5,IF(B1627="MO",IF(M1627=0,0,G1627*L1627*PLAN_ETAPA!$C$5*N1627/M1627),IF(B1627="EQ",IF(M1627=0,0,G1627*L1627*PLAN_ETAPA!$C$5/M1627),0))))</f>
        <v>0</v>
      </c>
      <c r="Q1627" s="218">
        <f t="shared" si="51"/>
        <v>0</v>
      </c>
    </row>
    <row r="1628" spans="1:17" x14ac:dyDescent="0.35">
      <c r="A1628" s="212" t="str">
        <f>COMPOSICIÓN!A1628</f>
        <v>PTO-1819</v>
      </c>
      <c r="B1628" s="212" t="str">
        <f>COMPOSICIÓN!B1628</f>
        <v>MAT</v>
      </c>
      <c r="C1628" s="212" t="str">
        <f>COMPOSICIÓN!C1628</f>
        <v>OTR</v>
      </c>
      <c r="D1628" s="212" t="str">
        <f>COMPOSICIÓN!D1628</f>
        <v>OTR-PTO166</v>
      </c>
      <c r="E1628" s="212" t="str">
        <f>COMPOSICIÓN!E1628</f>
        <v>STECK DIFERENCIAL 2X25A 30MA (2 x 25A)</v>
      </c>
      <c r="F1628" s="212" t="str">
        <f>COMPOSICIÓN!F1628</f>
        <v>u</v>
      </c>
      <c r="G1628" s="213">
        <f>COMPOSICIÓN!G1628</f>
        <v>3</v>
      </c>
      <c r="H1628" s="214">
        <f>COMPOSICIÓN!H1628</f>
        <v>0</v>
      </c>
      <c r="I1628" s="215">
        <f>COMPOSICIÓN!I1628</f>
        <v>18770.66</v>
      </c>
      <c r="J1628" s="212" t="str">
        <f>IFERROR(VLOOKUP(A1628,PARTIDAS!$A$2:$C$269,3,FALSE()),"")</f>
        <v>INSTALACIÓN ELÉCTRICA</v>
      </c>
      <c r="K1628" s="212" t="str">
        <f>IFERROR(INDEX(PPTO_GENERADOR!$B$4:$B$220,MATCH(A1628,PPTO_GENERADOR!$Q$4:$Q$220,0)),"")</f>
        <v>INSTALACIÓN ELÉCTRICA</v>
      </c>
      <c r="L1628" s="216">
        <f>IF(PLAN_ETAPA!$C$4="(TODOS)",SUMIFS(PPTO_GENERADOR!$E$4:$E$220,PPTO_GENERADOR!$Q$4:$Q$220,A1628),SUMIFS(PPTO_GENERADOR!$E$4:$E$220,PPTO_GENERADOR!$Q$4:$Q$220,A1628,PPTO_GENERADOR!$B$4:$B$220,PLAN_ETAPA!$C$4))</f>
        <v>0</v>
      </c>
      <c r="M1628" s="216">
        <f>IFERROR(VLOOKUP(A1628,PARTIDAS!$A$2:$F$269,6,FALSE()),1)</f>
        <v>1</v>
      </c>
      <c r="N1628" s="216">
        <f>IFERROR(VLOOKUP(A1628,PARTIDAS!$A$2:$I$269,9,FALSE()),1)</f>
        <v>1</v>
      </c>
      <c r="O1628" s="217">
        <f t="shared" si="50"/>
        <v>0</v>
      </c>
      <c r="P1628" s="216">
        <f>IF(O1628=0,0,IF(B1628="MAT",G1628*(1+H1628)*L1628*PLAN_ETAPA!$C$5,IF(B1628="MO",IF(M1628=0,0,G1628*L1628*PLAN_ETAPA!$C$5*N1628/M1628),IF(B1628="EQ",IF(M1628=0,0,G1628*L1628*PLAN_ETAPA!$C$5/M1628),0))))</f>
        <v>0</v>
      </c>
      <c r="Q1628" s="218">
        <f t="shared" si="51"/>
        <v>0</v>
      </c>
    </row>
    <row r="1629" spans="1:17" x14ac:dyDescent="0.35">
      <c r="A1629" s="212" t="str">
        <f>COMPOSICIÓN!A1629</f>
        <v>PTO-1819</v>
      </c>
      <c r="B1629" s="212" t="str">
        <f>COMPOSICIÓN!B1629</f>
        <v>MAT</v>
      </c>
      <c r="C1629" s="212" t="str">
        <f>COMPOSICIÓN!C1629</f>
        <v>OTR</v>
      </c>
      <c r="D1629" s="212" t="str">
        <f>COMPOSICIÓN!D1629</f>
        <v>OTR-PTO167</v>
      </c>
      <c r="E1629" s="212" t="str">
        <f>COMPOSICIÓN!E1629</f>
        <v>STECK TM BIPOLAR 10A 6KA (10A)</v>
      </c>
      <c r="F1629" s="212" t="str">
        <f>COMPOSICIÓN!F1629</f>
        <v>u</v>
      </c>
      <c r="G1629" s="213">
        <f>COMPOSICIÓN!G1629</f>
        <v>2</v>
      </c>
      <c r="H1629" s="214">
        <f>COMPOSICIÓN!H1629</f>
        <v>0</v>
      </c>
      <c r="I1629" s="215">
        <f>COMPOSICIÓN!I1629</f>
        <v>5287.23</v>
      </c>
      <c r="J1629" s="212" t="str">
        <f>IFERROR(VLOOKUP(A1629,PARTIDAS!$A$2:$C$269,3,FALSE()),"")</f>
        <v>INSTALACIÓN ELÉCTRICA</v>
      </c>
      <c r="K1629" s="212" t="str">
        <f>IFERROR(INDEX(PPTO_GENERADOR!$B$4:$B$220,MATCH(A1629,PPTO_GENERADOR!$Q$4:$Q$220,0)),"")</f>
        <v>INSTALACIÓN ELÉCTRICA</v>
      </c>
      <c r="L1629" s="216">
        <f>IF(PLAN_ETAPA!$C$4="(TODOS)",SUMIFS(PPTO_GENERADOR!$E$4:$E$220,PPTO_GENERADOR!$Q$4:$Q$220,A1629),SUMIFS(PPTO_GENERADOR!$E$4:$E$220,PPTO_GENERADOR!$Q$4:$Q$220,A1629,PPTO_GENERADOR!$B$4:$B$220,PLAN_ETAPA!$C$4))</f>
        <v>0</v>
      </c>
      <c r="M1629" s="216">
        <f>IFERROR(VLOOKUP(A1629,PARTIDAS!$A$2:$F$269,6,FALSE()),1)</f>
        <v>1</v>
      </c>
      <c r="N1629" s="216">
        <f>IFERROR(VLOOKUP(A1629,PARTIDAS!$A$2:$I$269,9,FALSE()),1)</f>
        <v>1</v>
      </c>
      <c r="O1629" s="217">
        <f t="shared" si="50"/>
        <v>0</v>
      </c>
      <c r="P1629" s="216">
        <f>IF(O1629=0,0,IF(B1629="MAT",G1629*(1+H1629)*L1629*PLAN_ETAPA!$C$5,IF(B1629="MO",IF(M1629=0,0,G1629*L1629*PLAN_ETAPA!$C$5*N1629/M1629),IF(B1629="EQ",IF(M1629=0,0,G1629*L1629*PLAN_ETAPA!$C$5/M1629),0))))</f>
        <v>0</v>
      </c>
      <c r="Q1629" s="218">
        <f t="shared" si="51"/>
        <v>0</v>
      </c>
    </row>
    <row r="1630" spans="1:17" x14ac:dyDescent="0.35">
      <c r="A1630" s="212" t="str">
        <f>COMPOSICIÓN!A1630</f>
        <v>PTO-1819</v>
      </c>
      <c r="B1630" s="212" t="str">
        <f>COMPOSICIÓN!B1630</f>
        <v>MAT</v>
      </c>
      <c r="C1630" s="212" t="str">
        <f>COMPOSICIÓN!C1630</f>
        <v>OTR</v>
      </c>
      <c r="D1630" s="212" t="str">
        <f>COMPOSICIÓN!D1630</f>
        <v>OTR-PTO168</v>
      </c>
      <c r="E1630" s="212" t="str">
        <f>COMPOSICIÓN!E1630</f>
        <v>STECK TM BIPOLAR 16A 6KA (16A)</v>
      </c>
      <c r="F1630" s="212" t="str">
        <f>COMPOSICIÓN!F1630</f>
        <v>u</v>
      </c>
      <c r="G1630" s="213">
        <f>COMPOSICIÓN!G1630</f>
        <v>5</v>
      </c>
      <c r="H1630" s="214">
        <f>COMPOSICIÓN!H1630</f>
        <v>0</v>
      </c>
      <c r="I1630" s="215">
        <f>COMPOSICIÓN!I1630</f>
        <v>5287.23</v>
      </c>
      <c r="J1630" s="212" t="str">
        <f>IFERROR(VLOOKUP(A1630,PARTIDAS!$A$2:$C$269,3,FALSE()),"")</f>
        <v>INSTALACIÓN ELÉCTRICA</v>
      </c>
      <c r="K1630" s="212" t="str">
        <f>IFERROR(INDEX(PPTO_GENERADOR!$B$4:$B$220,MATCH(A1630,PPTO_GENERADOR!$Q$4:$Q$220,0)),"")</f>
        <v>INSTALACIÓN ELÉCTRICA</v>
      </c>
      <c r="L1630" s="216">
        <f>IF(PLAN_ETAPA!$C$4="(TODOS)",SUMIFS(PPTO_GENERADOR!$E$4:$E$220,PPTO_GENERADOR!$Q$4:$Q$220,A1630),SUMIFS(PPTO_GENERADOR!$E$4:$E$220,PPTO_GENERADOR!$Q$4:$Q$220,A1630,PPTO_GENERADOR!$B$4:$B$220,PLAN_ETAPA!$C$4))</f>
        <v>0</v>
      </c>
      <c r="M1630" s="216">
        <f>IFERROR(VLOOKUP(A1630,PARTIDAS!$A$2:$F$269,6,FALSE()),1)</f>
        <v>1</v>
      </c>
      <c r="N1630" s="216">
        <f>IFERROR(VLOOKUP(A1630,PARTIDAS!$A$2:$I$269,9,FALSE()),1)</f>
        <v>1</v>
      </c>
      <c r="O1630" s="217">
        <f t="shared" si="50"/>
        <v>0</v>
      </c>
      <c r="P1630" s="216">
        <f>IF(O1630=0,0,IF(B1630="MAT",G1630*(1+H1630)*L1630*PLAN_ETAPA!$C$5,IF(B1630="MO",IF(M1630=0,0,G1630*L1630*PLAN_ETAPA!$C$5*N1630/M1630),IF(B1630="EQ",IF(M1630=0,0,G1630*L1630*PLAN_ETAPA!$C$5/M1630),0))))</f>
        <v>0</v>
      </c>
      <c r="Q1630" s="218">
        <f t="shared" si="51"/>
        <v>0</v>
      </c>
    </row>
    <row r="1631" spans="1:17" x14ac:dyDescent="0.35">
      <c r="A1631" s="212" t="str">
        <f>COMPOSICIÓN!A1631</f>
        <v>PTO-1819</v>
      </c>
      <c r="B1631" s="212" t="str">
        <f>COMPOSICIÓN!B1631</f>
        <v>MAT</v>
      </c>
      <c r="C1631" s="212" t="str">
        <f>COMPOSICIÓN!C1631</f>
        <v>OTR</v>
      </c>
      <c r="D1631" s="212" t="str">
        <f>COMPOSICIÓN!D1631</f>
        <v>OTR-PTO169</v>
      </c>
      <c r="E1631" s="212" t="str">
        <f>COMPOSICIÓN!E1631</f>
        <v>CAJA EMB P/ TM 36 POLOS BC T/FUME</v>
      </c>
      <c r="F1631" s="212" t="str">
        <f>COMPOSICIÓN!F1631</f>
        <v>u</v>
      </c>
      <c r="G1631" s="213">
        <f>COMPOSICIÓN!G1631</f>
        <v>1</v>
      </c>
      <c r="H1631" s="214">
        <f>COMPOSICIÓN!H1631</f>
        <v>0</v>
      </c>
      <c r="I1631" s="215">
        <f>COMPOSICIÓN!I1631</f>
        <v>27320.39</v>
      </c>
      <c r="J1631" s="212" t="str">
        <f>IFERROR(VLOOKUP(A1631,PARTIDAS!$A$2:$C$269,3,FALSE()),"")</f>
        <v>INSTALACIÓN ELÉCTRICA</v>
      </c>
      <c r="K1631" s="212" t="str">
        <f>IFERROR(INDEX(PPTO_GENERADOR!$B$4:$B$220,MATCH(A1631,PPTO_GENERADOR!$Q$4:$Q$220,0)),"")</f>
        <v>INSTALACIÓN ELÉCTRICA</v>
      </c>
      <c r="L1631" s="216">
        <f>IF(PLAN_ETAPA!$C$4="(TODOS)",SUMIFS(PPTO_GENERADOR!$E$4:$E$220,PPTO_GENERADOR!$Q$4:$Q$220,A1631),SUMIFS(PPTO_GENERADOR!$E$4:$E$220,PPTO_GENERADOR!$Q$4:$Q$220,A1631,PPTO_GENERADOR!$B$4:$B$220,PLAN_ETAPA!$C$4))</f>
        <v>0</v>
      </c>
      <c r="M1631" s="216">
        <f>IFERROR(VLOOKUP(A1631,PARTIDAS!$A$2:$F$269,6,FALSE()),1)</f>
        <v>1</v>
      </c>
      <c r="N1631" s="216">
        <f>IFERROR(VLOOKUP(A1631,PARTIDAS!$A$2:$I$269,9,FALSE()),1)</f>
        <v>1</v>
      </c>
      <c r="O1631" s="217">
        <f t="shared" si="50"/>
        <v>0</v>
      </c>
      <c r="P1631" s="216">
        <f>IF(O1631=0,0,IF(B1631="MAT",G1631*(1+H1631)*L1631*PLAN_ETAPA!$C$5,IF(B1631="MO",IF(M1631=0,0,G1631*L1631*PLAN_ETAPA!$C$5*N1631/M1631),IF(B1631="EQ",IF(M1631=0,0,G1631*L1631*PLAN_ETAPA!$C$5/M1631),0))))</f>
        <v>0</v>
      </c>
      <c r="Q1631" s="218">
        <f t="shared" si="51"/>
        <v>0</v>
      </c>
    </row>
    <row r="1632" spans="1:17" x14ac:dyDescent="0.35">
      <c r="A1632" s="212" t="str">
        <f>COMPOSICIÓN!A1632</f>
        <v>PTO-1819</v>
      </c>
      <c r="B1632" s="212" t="str">
        <f>COMPOSICIÓN!B1632</f>
        <v>MAT</v>
      </c>
      <c r="C1632" s="212" t="str">
        <f>COMPOSICIÓN!C1632</f>
        <v>OTR</v>
      </c>
      <c r="D1632" s="212" t="str">
        <f>COMPOSICIÓN!D1632</f>
        <v>OTR-PTO170</v>
      </c>
      <c r="E1632" s="212" t="str">
        <f>COMPOSICIÓN!E1632</f>
        <v>RIEL DIN 35MM 1 METRO PERFOR.</v>
      </c>
      <c r="F1632" s="212" t="str">
        <f>COMPOSICIÓN!F1632</f>
        <v>u</v>
      </c>
      <c r="G1632" s="213">
        <f>COMPOSICIÓN!G1632</f>
        <v>1</v>
      </c>
      <c r="H1632" s="214">
        <f>COMPOSICIÓN!H1632</f>
        <v>0</v>
      </c>
      <c r="I1632" s="215">
        <f>COMPOSICIÓN!I1632</f>
        <v>5099.6000000000004</v>
      </c>
      <c r="J1632" s="212" t="str">
        <f>IFERROR(VLOOKUP(A1632,PARTIDAS!$A$2:$C$269,3,FALSE()),"")</f>
        <v>INSTALACIÓN ELÉCTRICA</v>
      </c>
      <c r="K1632" s="212" t="str">
        <f>IFERROR(INDEX(PPTO_GENERADOR!$B$4:$B$220,MATCH(A1632,PPTO_GENERADOR!$Q$4:$Q$220,0)),"")</f>
        <v>INSTALACIÓN ELÉCTRICA</v>
      </c>
      <c r="L1632" s="216">
        <f>IF(PLAN_ETAPA!$C$4="(TODOS)",SUMIFS(PPTO_GENERADOR!$E$4:$E$220,PPTO_GENERADOR!$Q$4:$Q$220,A1632),SUMIFS(PPTO_GENERADOR!$E$4:$E$220,PPTO_GENERADOR!$Q$4:$Q$220,A1632,PPTO_GENERADOR!$B$4:$B$220,PLAN_ETAPA!$C$4))</f>
        <v>0</v>
      </c>
      <c r="M1632" s="216">
        <f>IFERROR(VLOOKUP(A1632,PARTIDAS!$A$2:$F$269,6,FALSE()),1)</f>
        <v>1</v>
      </c>
      <c r="N1632" s="216">
        <f>IFERROR(VLOOKUP(A1632,PARTIDAS!$A$2:$I$269,9,FALSE()),1)</f>
        <v>1</v>
      </c>
      <c r="O1632" s="217">
        <f t="shared" si="50"/>
        <v>0</v>
      </c>
      <c r="P1632" s="216">
        <f>IF(O1632=0,0,IF(B1632="MAT",G1632*(1+H1632)*L1632*PLAN_ETAPA!$C$5,IF(B1632="MO",IF(M1632=0,0,G1632*L1632*PLAN_ETAPA!$C$5*N1632/M1632),IF(B1632="EQ",IF(M1632=0,0,G1632*L1632*PLAN_ETAPA!$C$5/M1632),0))))</f>
        <v>0</v>
      </c>
      <c r="Q1632" s="218">
        <f t="shared" si="51"/>
        <v>0</v>
      </c>
    </row>
    <row r="1633" spans="1:17" x14ac:dyDescent="0.35">
      <c r="A1633" s="212" t="str">
        <f>COMPOSICIÓN!A1633</f>
        <v>PTO-1819</v>
      </c>
      <c r="B1633" s="212" t="str">
        <f>COMPOSICIÓN!B1633</f>
        <v>MO</v>
      </c>
      <c r="C1633" s="212" t="str">
        <f>COMPOSICIÓN!C1633</f>
        <v>OTR</v>
      </c>
      <c r="D1633" s="212" t="str">
        <f>COMPOSICIÓN!D1633</f>
        <v>SUB-TS8</v>
      </c>
      <c r="E1633" s="212" t="str">
        <f>COMPOSICIÓN!E1633</f>
        <v>Tablero seccional de 8 a 36 polos</v>
      </c>
      <c r="F1633" s="212" t="str">
        <f>COMPOSICIÓN!F1633</f>
        <v>j</v>
      </c>
      <c r="G1633" s="213">
        <f>COMPOSICIÓN!G1633</f>
        <v>1</v>
      </c>
      <c r="H1633" s="214">
        <f>COMPOSICIÓN!H1633</f>
        <v>0</v>
      </c>
      <c r="I1633" s="215">
        <f>COMPOSICIÓN!I1633</f>
        <v>232812.45</v>
      </c>
      <c r="J1633" s="212" t="str">
        <f>IFERROR(VLOOKUP(A1633,PARTIDAS!$A$2:$C$269,3,FALSE()),"")</f>
        <v>INSTALACIÓN ELÉCTRICA</v>
      </c>
      <c r="K1633" s="212" t="str">
        <f>IFERROR(INDEX(PPTO_GENERADOR!$B$4:$B$220,MATCH(A1633,PPTO_GENERADOR!$Q$4:$Q$220,0)),"")</f>
        <v>INSTALACIÓN ELÉCTRICA</v>
      </c>
      <c r="L1633" s="216">
        <f>IF(PLAN_ETAPA!$C$4="(TODOS)",SUMIFS(PPTO_GENERADOR!$E$4:$E$220,PPTO_GENERADOR!$Q$4:$Q$220,A1633),SUMIFS(PPTO_GENERADOR!$E$4:$E$220,PPTO_GENERADOR!$Q$4:$Q$220,A1633,PPTO_GENERADOR!$B$4:$B$220,PLAN_ETAPA!$C$4))</f>
        <v>0</v>
      </c>
      <c r="M1633" s="216">
        <f>IFERROR(VLOOKUP(A1633,PARTIDAS!$A$2:$F$269,6,FALSE()),1)</f>
        <v>1</v>
      </c>
      <c r="N1633" s="216">
        <f>IFERROR(VLOOKUP(A1633,PARTIDAS!$A$2:$I$269,9,FALSE()),1)</f>
        <v>1</v>
      </c>
      <c r="O1633" s="217">
        <f t="shared" si="50"/>
        <v>0</v>
      </c>
      <c r="P1633" s="216">
        <f>IF(O1633=0,0,IF(B1633="MAT",G1633*(1+H1633)*L1633*PLAN_ETAPA!$C$5,IF(B1633="MO",IF(M1633=0,0,G1633*L1633*PLAN_ETAPA!$C$5*N1633/M1633),IF(B1633="EQ",IF(M1633=0,0,G1633*L1633*PLAN_ETAPA!$C$5/M1633),0))))</f>
        <v>0</v>
      </c>
      <c r="Q1633" s="218">
        <f t="shared" si="51"/>
        <v>0</v>
      </c>
    </row>
    <row r="1634" spans="1:17" x14ac:dyDescent="0.35">
      <c r="A1634" s="212" t="str">
        <f>COMPOSICIÓN!A1634</f>
        <v>PTO-1820</v>
      </c>
      <c r="B1634" s="212" t="str">
        <f>COMPOSICIÓN!B1634</f>
        <v>EQ</v>
      </c>
      <c r="C1634" s="212">
        <f>COMPOSICIÓN!C1634</f>
        <v>0</v>
      </c>
      <c r="D1634" s="212" t="str">
        <f>COMPOSICIÓN!D1634</f>
        <v>EQ-PTO119</v>
      </c>
      <c r="E1634" s="212" t="str">
        <f>COMPOSICIÓN!E1634</f>
        <v>Herramientas y consumibles - PTO-1820 MONTANTE</v>
      </c>
      <c r="F1634" s="212">
        <f>COMPOSICIÓN!F1634</f>
        <v>0</v>
      </c>
      <c r="G1634" s="213">
        <f>COMPOSICIÓN!G1634</f>
        <v>1</v>
      </c>
      <c r="H1634" s="214">
        <f>COMPOSICIÓN!H1634</f>
        <v>0</v>
      </c>
      <c r="I1634" s="215">
        <f>COMPOSICIÓN!I1634</f>
        <v>70727.339200190603</v>
      </c>
      <c r="J1634" s="212" t="str">
        <f>IFERROR(VLOOKUP(A1634,PARTIDAS!$A$2:$C$269,3,FALSE()),"")</f>
        <v>INSTALACIÓN ELÉCTRICA</v>
      </c>
      <c r="K1634" s="212" t="str">
        <f>IFERROR(INDEX(PPTO_GENERADOR!$B$4:$B$220,MATCH(A1634,PPTO_GENERADOR!$Q$4:$Q$220,0)),"")</f>
        <v>INSTALACIÓN ELÉCTRICA</v>
      </c>
      <c r="L1634" s="216">
        <f>IF(PLAN_ETAPA!$C$4="(TODOS)",SUMIFS(PPTO_GENERADOR!$E$4:$E$220,PPTO_GENERADOR!$Q$4:$Q$220,A1634),SUMIFS(PPTO_GENERADOR!$E$4:$E$220,PPTO_GENERADOR!$Q$4:$Q$220,A1634,PPTO_GENERADOR!$B$4:$B$220,PLAN_ETAPA!$C$4))</f>
        <v>0</v>
      </c>
      <c r="M1634" s="216">
        <f>IFERROR(VLOOKUP(A1634,PARTIDAS!$A$2:$F$269,6,FALSE()),1)</f>
        <v>1</v>
      </c>
      <c r="N1634" s="216">
        <f>IFERROR(VLOOKUP(A1634,PARTIDAS!$A$2:$I$269,9,FALSE()),1)</f>
        <v>1</v>
      </c>
      <c r="O1634" s="217">
        <f t="shared" si="50"/>
        <v>0</v>
      </c>
      <c r="P1634" s="216">
        <f>IF(O1634=0,0,IF(B1634="MAT",G1634*(1+H1634)*L1634*PLAN_ETAPA!$C$5,IF(B1634="MO",IF(M1634=0,0,G1634*L1634*PLAN_ETAPA!$C$5*N1634/M1634),IF(B1634="EQ",IF(M1634=0,0,G1634*L1634*PLAN_ETAPA!$C$5/M1634),0))))</f>
        <v>0</v>
      </c>
      <c r="Q1634" s="218">
        <f t="shared" si="51"/>
        <v>0</v>
      </c>
    </row>
    <row r="1635" spans="1:17" x14ac:dyDescent="0.35">
      <c r="A1635" s="212" t="str">
        <f>COMPOSICIÓN!A1635</f>
        <v>PTO-1820</v>
      </c>
      <c r="B1635" s="212" t="str">
        <f>COMPOSICIÓN!B1635</f>
        <v>MAT</v>
      </c>
      <c r="C1635" s="212" t="str">
        <f>COMPOSICIÓN!C1635</f>
        <v>OTR</v>
      </c>
      <c r="D1635" s="212" t="str">
        <f>COMPOSICIÓN!D1635</f>
        <v>MAT-CONS</v>
      </c>
      <c r="E1635" s="212" t="str">
        <f>COMPOSICIÓN!E1635</f>
        <v>Consumibles</v>
      </c>
      <c r="F1635" s="212" t="str">
        <f>COMPOSICIÓN!F1635</f>
        <v>gl</v>
      </c>
      <c r="G1635" s="213">
        <f>COMPOSICIÓN!G1635</f>
        <v>417515.77289999998</v>
      </c>
      <c r="H1635" s="214">
        <f>COMPOSICIÓN!H1635</f>
        <v>0</v>
      </c>
      <c r="I1635" s="215">
        <f>COMPOSICIÓN!I1635</f>
        <v>1</v>
      </c>
      <c r="J1635" s="212" t="str">
        <f>IFERROR(VLOOKUP(A1635,PARTIDAS!$A$2:$C$269,3,FALSE()),"")</f>
        <v>INSTALACIÓN ELÉCTRICA</v>
      </c>
      <c r="K1635" s="212" t="str">
        <f>IFERROR(INDEX(PPTO_GENERADOR!$B$4:$B$220,MATCH(A1635,PPTO_GENERADOR!$Q$4:$Q$220,0)),"")</f>
        <v>INSTALACIÓN ELÉCTRICA</v>
      </c>
      <c r="L1635" s="216">
        <f>IF(PLAN_ETAPA!$C$4="(TODOS)",SUMIFS(PPTO_GENERADOR!$E$4:$E$220,PPTO_GENERADOR!$Q$4:$Q$220,A1635),SUMIFS(PPTO_GENERADOR!$E$4:$E$220,PPTO_GENERADOR!$Q$4:$Q$220,A1635,PPTO_GENERADOR!$B$4:$B$220,PLAN_ETAPA!$C$4))</f>
        <v>0</v>
      </c>
      <c r="M1635" s="216">
        <f>IFERROR(VLOOKUP(A1635,PARTIDAS!$A$2:$F$269,6,FALSE()),1)</f>
        <v>1</v>
      </c>
      <c r="N1635" s="216">
        <f>IFERROR(VLOOKUP(A1635,PARTIDAS!$A$2:$I$269,9,FALSE()),1)</f>
        <v>1</v>
      </c>
      <c r="O1635" s="217">
        <f t="shared" si="50"/>
        <v>0</v>
      </c>
      <c r="P1635" s="216">
        <f>IF(O1635=0,0,IF(B1635="MAT",G1635*(1+H1635)*L1635*PLAN_ETAPA!$C$5,IF(B1635="MO",IF(M1635=0,0,G1635*L1635*PLAN_ETAPA!$C$5*N1635/M1635),IF(B1635="EQ",IF(M1635=0,0,G1635*L1635*PLAN_ETAPA!$C$5/M1635),0))))</f>
        <v>0</v>
      </c>
      <c r="Q1635" s="218">
        <f t="shared" si="51"/>
        <v>0</v>
      </c>
    </row>
    <row r="1636" spans="1:17" x14ac:dyDescent="0.35">
      <c r="A1636" s="212" t="str">
        <f>COMPOSICIÓN!A1636</f>
        <v>PTO-1820</v>
      </c>
      <c r="B1636" s="212" t="str">
        <f>COMPOSICIÓN!B1636</f>
        <v>MAT</v>
      </c>
      <c r="C1636" s="212" t="str">
        <f>COMPOSICIÓN!C1636</f>
        <v>OTR</v>
      </c>
      <c r="D1636" s="212" t="str">
        <f>COMPOSICIÓN!D1636</f>
        <v>OTR-PTO171</v>
      </c>
      <c r="E1636" s="212" t="str">
        <f>COMPOSICIÓN!E1636</f>
        <v>CAÑOX3M RIGIDO 25MM PVC TUBE</v>
      </c>
      <c r="F1636" s="212" t="str">
        <f>COMPOSICIÓN!F1636</f>
        <v>u</v>
      </c>
      <c r="G1636" s="213">
        <f>COMPOSICIÓN!G1636</f>
        <v>100</v>
      </c>
      <c r="H1636" s="214">
        <f>COMPOSICIÓN!H1636</f>
        <v>0</v>
      </c>
      <c r="I1636" s="215">
        <f>COMPOSICIÓN!I1636</f>
        <v>1836.01</v>
      </c>
      <c r="J1636" s="212" t="str">
        <f>IFERROR(VLOOKUP(A1636,PARTIDAS!$A$2:$C$269,3,FALSE()),"")</f>
        <v>INSTALACIÓN ELÉCTRICA</v>
      </c>
      <c r="K1636" s="212" t="str">
        <f>IFERROR(INDEX(PPTO_GENERADOR!$B$4:$B$220,MATCH(A1636,PPTO_GENERADOR!$Q$4:$Q$220,0)),"")</f>
        <v>INSTALACIÓN ELÉCTRICA</v>
      </c>
      <c r="L1636" s="216">
        <f>IF(PLAN_ETAPA!$C$4="(TODOS)",SUMIFS(PPTO_GENERADOR!$E$4:$E$220,PPTO_GENERADOR!$Q$4:$Q$220,A1636),SUMIFS(PPTO_GENERADOR!$E$4:$E$220,PPTO_GENERADOR!$Q$4:$Q$220,A1636,PPTO_GENERADOR!$B$4:$B$220,PLAN_ETAPA!$C$4))</f>
        <v>0</v>
      </c>
      <c r="M1636" s="216">
        <f>IFERROR(VLOOKUP(A1636,PARTIDAS!$A$2:$F$269,6,FALSE()),1)</f>
        <v>1</v>
      </c>
      <c r="N1636" s="216">
        <f>IFERROR(VLOOKUP(A1636,PARTIDAS!$A$2:$I$269,9,FALSE()),1)</f>
        <v>1</v>
      </c>
      <c r="O1636" s="217">
        <f t="shared" si="50"/>
        <v>0</v>
      </c>
      <c r="P1636" s="216">
        <f>IF(O1636=0,0,IF(B1636="MAT",G1636*(1+H1636)*L1636*PLAN_ETAPA!$C$5,IF(B1636="MO",IF(M1636=0,0,G1636*L1636*PLAN_ETAPA!$C$5*N1636/M1636),IF(B1636="EQ",IF(M1636=0,0,G1636*L1636*PLAN_ETAPA!$C$5/M1636),0))))</f>
        <v>0</v>
      </c>
      <c r="Q1636" s="218">
        <f t="shared" si="51"/>
        <v>0</v>
      </c>
    </row>
    <row r="1637" spans="1:17" x14ac:dyDescent="0.35">
      <c r="A1637" s="212" t="str">
        <f>COMPOSICIÓN!A1637</f>
        <v>PTO-1820</v>
      </c>
      <c r="B1637" s="212" t="str">
        <f>COMPOSICIÓN!B1637</f>
        <v>MAT</v>
      </c>
      <c r="C1637" s="212" t="str">
        <f>COMPOSICIÓN!C1637</f>
        <v>OTR</v>
      </c>
      <c r="D1637" s="212" t="str">
        <f>COMPOSICIÓN!D1637</f>
        <v>OTR-PTO172</v>
      </c>
      <c r="E1637" s="212" t="str">
        <f>COMPOSICIÓN!E1637</f>
        <v>RIEL DE FIJAC.1.22 OLMAR</v>
      </c>
      <c r="F1637" s="212" t="str">
        <f>COMPOSICIÓN!F1637</f>
        <v>u</v>
      </c>
      <c r="G1637" s="213">
        <f>COMPOSICIÓN!G1637</f>
        <v>25</v>
      </c>
      <c r="H1637" s="214">
        <f>COMPOSICIÓN!H1637</f>
        <v>0</v>
      </c>
      <c r="I1637" s="215">
        <f>COMPOSICIÓN!I1637</f>
        <v>5067.59</v>
      </c>
      <c r="J1637" s="212" t="str">
        <f>IFERROR(VLOOKUP(A1637,PARTIDAS!$A$2:$C$269,3,FALSE()),"")</f>
        <v>INSTALACIÓN ELÉCTRICA</v>
      </c>
      <c r="K1637" s="212" t="str">
        <f>IFERROR(INDEX(PPTO_GENERADOR!$B$4:$B$220,MATCH(A1637,PPTO_GENERADOR!$Q$4:$Q$220,0)),"")</f>
        <v>INSTALACIÓN ELÉCTRICA</v>
      </c>
      <c r="L1637" s="216">
        <f>IF(PLAN_ETAPA!$C$4="(TODOS)",SUMIFS(PPTO_GENERADOR!$E$4:$E$220,PPTO_GENERADOR!$Q$4:$Q$220,A1637),SUMIFS(PPTO_GENERADOR!$E$4:$E$220,PPTO_GENERADOR!$Q$4:$Q$220,A1637,PPTO_GENERADOR!$B$4:$B$220,PLAN_ETAPA!$C$4))</f>
        <v>0</v>
      </c>
      <c r="M1637" s="216">
        <f>IFERROR(VLOOKUP(A1637,PARTIDAS!$A$2:$F$269,6,FALSE()),1)</f>
        <v>1</v>
      </c>
      <c r="N1637" s="216">
        <f>IFERROR(VLOOKUP(A1637,PARTIDAS!$A$2:$I$269,9,FALSE()),1)</f>
        <v>1</v>
      </c>
      <c r="O1637" s="217">
        <f t="shared" si="50"/>
        <v>0</v>
      </c>
      <c r="P1637" s="216">
        <f>IF(O1637=0,0,IF(B1637="MAT",G1637*(1+H1637)*L1637*PLAN_ETAPA!$C$5,IF(B1637="MO",IF(M1637=0,0,G1637*L1637*PLAN_ETAPA!$C$5*N1637/M1637),IF(B1637="EQ",IF(M1637=0,0,G1637*L1637*PLAN_ETAPA!$C$5/M1637),0))))</f>
        <v>0</v>
      </c>
      <c r="Q1637" s="218">
        <f t="shared" si="51"/>
        <v>0</v>
      </c>
    </row>
    <row r="1638" spans="1:17" x14ac:dyDescent="0.35">
      <c r="A1638" s="212" t="str">
        <f>COMPOSICIÓN!A1638</f>
        <v>PTO-1820</v>
      </c>
      <c r="B1638" s="212" t="str">
        <f>COMPOSICIÓN!B1638</f>
        <v>MAT</v>
      </c>
      <c r="C1638" s="212" t="str">
        <f>COMPOSICIÓN!C1638</f>
        <v>OTR</v>
      </c>
      <c r="D1638" s="212" t="str">
        <f>COMPOSICIÓN!D1638</f>
        <v>OTR-PTO173</v>
      </c>
      <c r="E1638" s="212" t="str">
        <f>COMPOSICIÓN!E1638</f>
        <v>BROCA METALICA 1/4 CJA X 100</v>
      </c>
      <c r="F1638" s="212" t="str">
        <f>COMPOSICIÓN!F1638</f>
        <v>u</v>
      </c>
      <c r="G1638" s="213">
        <f>COMPOSICIÓN!G1638</f>
        <v>1.5</v>
      </c>
      <c r="H1638" s="214">
        <f>COMPOSICIÓN!H1638</f>
        <v>0</v>
      </c>
      <c r="I1638" s="215">
        <f>COMPOSICIÓN!I1638</f>
        <v>70761.600000000006</v>
      </c>
      <c r="J1638" s="212" t="str">
        <f>IFERROR(VLOOKUP(A1638,PARTIDAS!$A$2:$C$269,3,FALSE()),"")</f>
        <v>INSTALACIÓN ELÉCTRICA</v>
      </c>
      <c r="K1638" s="212" t="str">
        <f>IFERROR(INDEX(PPTO_GENERADOR!$B$4:$B$220,MATCH(A1638,PPTO_GENERADOR!$Q$4:$Q$220,0)),"")</f>
        <v>INSTALACIÓN ELÉCTRICA</v>
      </c>
      <c r="L1638" s="216">
        <f>IF(PLAN_ETAPA!$C$4="(TODOS)",SUMIFS(PPTO_GENERADOR!$E$4:$E$220,PPTO_GENERADOR!$Q$4:$Q$220,A1638),SUMIFS(PPTO_GENERADOR!$E$4:$E$220,PPTO_GENERADOR!$Q$4:$Q$220,A1638,PPTO_GENERADOR!$B$4:$B$220,PLAN_ETAPA!$C$4))</f>
        <v>0</v>
      </c>
      <c r="M1638" s="216">
        <f>IFERROR(VLOOKUP(A1638,PARTIDAS!$A$2:$F$269,6,FALSE()),1)</f>
        <v>1</v>
      </c>
      <c r="N1638" s="216">
        <f>IFERROR(VLOOKUP(A1638,PARTIDAS!$A$2:$I$269,9,FALSE()),1)</f>
        <v>1</v>
      </c>
      <c r="O1638" s="217">
        <f t="shared" si="50"/>
        <v>0</v>
      </c>
      <c r="P1638" s="216">
        <f>IF(O1638=0,0,IF(B1638="MAT",G1638*(1+H1638)*L1638*PLAN_ETAPA!$C$5,IF(B1638="MO",IF(M1638=0,0,G1638*L1638*PLAN_ETAPA!$C$5*N1638/M1638),IF(B1638="EQ",IF(M1638=0,0,G1638*L1638*PLAN_ETAPA!$C$5/M1638),0))))</f>
        <v>0</v>
      </c>
      <c r="Q1638" s="218">
        <f t="shared" si="51"/>
        <v>0</v>
      </c>
    </row>
    <row r="1639" spans="1:17" x14ac:dyDescent="0.35">
      <c r="A1639" s="212" t="str">
        <f>COMPOSICIÓN!A1639</f>
        <v>PTO-1820</v>
      </c>
      <c r="B1639" s="212" t="str">
        <f>COMPOSICIÓN!B1639</f>
        <v>MAT</v>
      </c>
      <c r="C1639" s="212" t="str">
        <f>COMPOSICIÓN!C1639</f>
        <v>OTR</v>
      </c>
      <c r="D1639" s="212" t="str">
        <f>COMPOSICIÓN!D1639</f>
        <v>OTR-PTO174</v>
      </c>
      <c r="E1639" s="212" t="str">
        <f>COMPOSICIÓN!E1639</f>
        <v>VARILLA ROSCADA 1/4"X1MTC/BUL.</v>
      </c>
      <c r="F1639" s="212" t="str">
        <f>COMPOSICIÓN!F1639</f>
        <v>u</v>
      </c>
      <c r="G1639" s="213">
        <f>COMPOSICIÓN!G1639</f>
        <v>100</v>
      </c>
      <c r="H1639" s="214">
        <f>COMPOSICIÓN!H1639</f>
        <v>0</v>
      </c>
      <c r="I1639" s="215">
        <f>COMPOSICIÓN!I1639</f>
        <v>954.29</v>
      </c>
      <c r="J1639" s="212" t="str">
        <f>IFERROR(VLOOKUP(A1639,PARTIDAS!$A$2:$C$269,3,FALSE()),"")</f>
        <v>INSTALACIÓN ELÉCTRICA</v>
      </c>
      <c r="K1639" s="212" t="str">
        <f>IFERROR(INDEX(PPTO_GENERADOR!$B$4:$B$220,MATCH(A1639,PPTO_GENERADOR!$Q$4:$Q$220,0)),"")</f>
        <v>INSTALACIÓN ELÉCTRICA</v>
      </c>
      <c r="L1639" s="216">
        <f>IF(PLAN_ETAPA!$C$4="(TODOS)",SUMIFS(PPTO_GENERADOR!$E$4:$E$220,PPTO_GENERADOR!$Q$4:$Q$220,A1639),SUMIFS(PPTO_GENERADOR!$E$4:$E$220,PPTO_GENERADOR!$Q$4:$Q$220,A1639,PPTO_GENERADOR!$B$4:$B$220,PLAN_ETAPA!$C$4))</f>
        <v>0</v>
      </c>
      <c r="M1639" s="216">
        <f>IFERROR(VLOOKUP(A1639,PARTIDAS!$A$2:$F$269,6,FALSE()),1)</f>
        <v>1</v>
      </c>
      <c r="N1639" s="216">
        <f>IFERROR(VLOOKUP(A1639,PARTIDAS!$A$2:$I$269,9,FALSE()),1)</f>
        <v>1</v>
      </c>
      <c r="O1639" s="217">
        <f t="shared" si="50"/>
        <v>0</v>
      </c>
      <c r="P1639" s="216">
        <f>IF(O1639=0,0,IF(B1639="MAT",G1639*(1+H1639)*L1639*PLAN_ETAPA!$C$5,IF(B1639="MO",IF(M1639=0,0,G1639*L1639*PLAN_ETAPA!$C$5*N1639/M1639),IF(B1639="EQ",IF(M1639=0,0,G1639*L1639*PLAN_ETAPA!$C$5/M1639),0))))</f>
        <v>0</v>
      </c>
      <c r="Q1639" s="218">
        <f t="shared" si="51"/>
        <v>0</v>
      </c>
    </row>
    <row r="1640" spans="1:17" x14ac:dyDescent="0.35">
      <c r="A1640" s="212" t="str">
        <f>COMPOSICIÓN!A1640</f>
        <v>PTO-1820</v>
      </c>
      <c r="B1640" s="212" t="str">
        <f>COMPOSICIÓN!B1640</f>
        <v>MAT</v>
      </c>
      <c r="C1640" s="212" t="str">
        <f>COMPOSICIÓN!C1640</f>
        <v>OTR</v>
      </c>
      <c r="D1640" s="212" t="str">
        <f>COMPOSICIÓN!D1640</f>
        <v>OTR-PTO175</v>
      </c>
      <c r="E1640" s="212" t="str">
        <f>COMPOSICIÓN!E1640</f>
        <v>GRAMPA P/RIEL 1</v>
      </c>
      <c r="F1640" s="212" t="str">
        <f>COMPOSICIÓN!F1640</f>
        <v>u</v>
      </c>
      <c r="G1640" s="213">
        <f>COMPOSICIÓN!G1640</f>
        <v>300</v>
      </c>
      <c r="H1640" s="214">
        <f>COMPOSICIÓN!H1640</f>
        <v>0</v>
      </c>
      <c r="I1640" s="215">
        <f>COMPOSICIÓN!I1640</f>
        <v>670.34</v>
      </c>
      <c r="J1640" s="212" t="str">
        <f>IFERROR(VLOOKUP(A1640,PARTIDAS!$A$2:$C$269,3,FALSE()),"")</f>
        <v>INSTALACIÓN ELÉCTRICA</v>
      </c>
      <c r="K1640" s="212" t="str">
        <f>IFERROR(INDEX(PPTO_GENERADOR!$B$4:$B$220,MATCH(A1640,PPTO_GENERADOR!$Q$4:$Q$220,0)),"")</f>
        <v>INSTALACIÓN ELÉCTRICA</v>
      </c>
      <c r="L1640" s="216">
        <f>IF(PLAN_ETAPA!$C$4="(TODOS)",SUMIFS(PPTO_GENERADOR!$E$4:$E$220,PPTO_GENERADOR!$Q$4:$Q$220,A1640),SUMIFS(PPTO_GENERADOR!$E$4:$E$220,PPTO_GENERADOR!$Q$4:$Q$220,A1640,PPTO_GENERADOR!$B$4:$B$220,PLAN_ETAPA!$C$4))</f>
        <v>0</v>
      </c>
      <c r="M1640" s="216">
        <f>IFERROR(VLOOKUP(A1640,PARTIDAS!$A$2:$F$269,6,FALSE()),1)</f>
        <v>1</v>
      </c>
      <c r="N1640" s="216">
        <f>IFERROR(VLOOKUP(A1640,PARTIDAS!$A$2:$I$269,9,FALSE()),1)</f>
        <v>1</v>
      </c>
      <c r="O1640" s="217">
        <f t="shared" si="50"/>
        <v>0</v>
      </c>
      <c r="P1640" s="216">
        <f>IF(O1640=0,0,IF(B1640="MAT",G1640*(1+H1640)*L1640*PLAN_ETAPA!$C$5,IF(B1640="MO",IF(M1640=0,0,G1640*L1640*PLAN_ETAPA!$C$5*N1640/M1640),IF(B1640="EQ",IF(M1640=0,0,G1640*L1640*PLAN_ETAPA!$C$5/M1640),0))))</f>
        <v>0</v>
      </c>
      <c r="Q1640" s="218">
        <f t="shared" si="51"/>
        <v>0</v>
      </c>
    </row>
    <row r="1641" spans="1:17" x14ac:dyDescent="0.35">
      <c r="A1641" s="212" t="str">
        <f>COMPOSICIÓN!A1641</f>
        <v>PTO-1820</v>
      </c>
      <c r="B1641" s="212" t="str">
        <f>COMPOSICIÓN!B1641</f>
        <v>MAT</v>
      </c>
      <c r="C1641" s="212" t="str">
        <f>COMPOSICIÓN!C1641</f>
        <v>OTR</v>
      </c>
      <c r="D1641" s="212" t="str">
        <f>COMPOSICIÓN!D1641</f>
        <v>OTR-PTO176</v>
      </c>
      <c r="E1641" s="212" t="str">
        <f>COMPOSICIÓN!E1641</f>
        <v>CAJA DE CONEXION 30X40X10 CH20</v>
      </c>
      <c r="F1641" s="212" t="str">
        <f>COMPOSICIÓN!F1641</f>
        <v>u</v>
      </c>
      <c r="G1641" s="213">
        <f>COMPOSICIÓN!G1641</f>
        <v>12</v>
      </c>
      <c r="H1641" s="214">
        <f>COMPOSICIÓN!H1641</f>
        <v>0</v>
      </c>
      <c r="I1641" s="215">
        <f>COMPOSICIÓN!I1641</f>
        <v>16656.23</v>
      </c>
      <c r="J1641" s="212" t="str">
        <f>IFERROR(VLOOKUP(A1641,PARTIDAS!$A$2:$C$269,3,FALSE()),"")</f>
        <v>INSTALACIÓN ELÉCTRICA</v>
      </c>
      <c r="K1641" s="212" t="str">
        <f>IFERROR(INDEX(PPTO_GENERADOR!$B$4:$B$220,MATCH(A1641,PPTO_GENERADOR!$Q$4:$Q$220,0)),"")</f>
        <v>INSTALACIÓN ELÉCTRICA</v>
      </c>
      <c r="L1641" s="216">
        <f>IF(PLAN_ETAPA!$C$4="(TODOS)",SUMIFS(PPTO_GENERADOR!$E$4:$E$220,PPTO_GENERADOR!$Q$4:$Q$220,A1641),SUMIFS(PPTO_GENERADOR!$E$4:$E$220,PPTO_GENERADOR!$Q$4:$Q$220,A1641,PPTO_GENERADOR!$B$4:$B$220,PLAN_ETAPA!$C$4))</f>
        <v>0</v>
      </c>
      <c r="M1641" s="216">
        <f>IFERROR(VLOOKUP(A1641,PARTIDAS!$A$2:$F$269,6,FALSE()),1)</f>
        <v>1</v>
      </c>
      <c r="N1641" s="216">
        <f>IFERROR(VLOOKUP(A1641,PARTIDAS!$A$2:$I$269,9,FALSE()),1)</f>
        <v>1</v>
      </c>
      <c r="O1641" s="217">
        <f t="shared" si="50"/>
        <v>0</v>
      </c>
      <c r="P1641" s="216">
        <f>IF(O1641=0,0,IF(B1641="MAT",G1641*(1+H1641)*L1641*PLAN_ETAPA!$C$5,IF(B1641="MO",IF(M1641=0,0,G1641*L1641*PLAN_ETAPA!$C$5*N1641/M1641),IF(B1641="EQ",IF(M1641=0,0,G1641*L1641*PLAN_ETAPA!$C$5/M1641),0))))</f>
        <v>0</v>
      </c>
      <c r="Q1641" s="218">
        <f t="shared" si="51"/>
        <v>0</v>
      </c>
    </row>
    <row r="1642" spans="1:17" x14ac:dyDescent="0.35">
      <c r="A1642" s="212" t="str">
        <f>COMPOSICIÓN!A1642</f>
        <v>PTO-1820</v>
      </c>
      <c r="B1642" s="212" t="str">
        <f>COMPOSICIÓN!B1642</f>
        <v>MAT</v>
      </c>
      <c r="C1642" s="212" t="str">
        <f>COMPOSICIÓN!C1642</f>
        <v>OTR</v>
      </c>
      <c r="D1642" s="212" t="str">
        <f>COMPOSICIÓN!D1642</f>
        <v>OTR-PTO177</v>
      </c>
      <c r="E1642" s="212" t="str">
        <f>COMPOSICIÓN!E1642</f>
        <v>CONECTOR 25MM PVC RIG IP54 TUBE</v>
      </c>
      <c r="F1642" s="212" t="str">
        <f>COMPOSICIÓN!F1642</f>
        <v>u</v>
      </c>
      <c r="G1642" s="213">
        <f>COMPOSICIÓN!G1642</f>
        <v>144</v>
      </c>
      <c r="H1642" s="214">
        <f>COMPOSICIÓN!H1642</f>
        <v>0</v>
      </c>
      <c r="I1642" s="215">
        <f>COMPOSICIÓN!I1642</f>
        <v>237.27</v>
      </c>
      <c r="J1642" s="212" t="str">
        <f>IFERROR(VLOOKUP(A1642,PARTIDAS!$A$2:$C$269,3,FALSE()),"")</f>
        <v>INSTALACIÓN ELÉCTRICA</v>
      </c>
      <c r="K1642" s="212" t="str">
        <f>IFERROR(INDEX(PPTO_GENERADOR!$B$4:$B$220,MATCH(A1642,PPTO_GENERADOR!$Q$4:$Q$220,0)),"")</f>
        <v>INSTALACIÓN ELÉCTRICA</v>
      </c>
      <c r="L1642" s="216">
        <f>IF(PLAN_ETAPA!$C$4="(TODOS)",SUMIFS(PPTO_GENERADOR!$E$4:$E$220,PPTO_GENERADOR!$Q$4:$Q$220,A1642),SUMIFS(PPTO_GENERADOR!$E$4:$E$220,PPTO_GENERADOR!$Q$4:$Q$220,A1642,PPTO_GENERADOR!$B$4:$B$220,PLAN_ETAPA!$C$4))</f>
        <v>0</v>
      </c>
      <c r="M1642" s="216">
        <f>IFERROR(VLOOKUP(A1642,PARTIDAS!$A$2:$F$269,6,FALSE()),1)</f>
        <v>1</v>
      </c>
      <c r="N1642" s="216">
        <f>IFERROR(VLOOKUP(A1642,PARTIDAS!$A$2:$I$269,9,FALSE()),1)</f>
        <v>1</v>
      </c>
      <c r="O1642" s="217">
        <f t="shared" si="50"/>
        <v>0</v>
      </c>
      <c r="P1642" s="216">
        <f>IF(O1642=0,0,IF(B1642="MAT",G1642*(1+H1642)*L1642*PLAN_ETAPA!$C$5,IF(B1642="MO",IF(M1642=0,0,G1642*L1642*PLAN_ETAPA!$C$5*N1642/M1642),IF(B1642="EQ",IF(M1642=0,0,G1642*L1642*PLAN_ETAPA!$C$5/M1642),0))))</f>
        <v>0</v>
      </c>
      <c r="Q1642" s="218">
        <f t="shared" si="51"/>
        <v>0</v>
      </c>
    </row>
    <row r="1643" spans="1:17" x14ac:dyDescent="0.35">
      <c r="A1643" s="212" t="str">
        <f>COMPOSICIÓN!A1643</f>
        <v>PTO-1820</v>
      </c>
      <c r="B1643" s="212" t="str">
        <f>COMPOSICIÓN!B1643</f>
        <v>MAT</v>
      </c>
      <c r="C1643" s="212" t="str">
        <f>COMPOSICIÓN!C1643</f>
        <v>OTR</v>
      </c>
      <c r="D1643" s="212" t="str">
        <f>COMPOSICIÓN!D1643</f>
        <v>OTR-PTO178</v>
      </c>
      <c r="E1643" s="212" t="str">
        <f>COMPOSICIÓN!E1643</f>
        <v>Cable unipolar 10 mm N.IRAM (UF monos (220 ml en syntenax))</v>
      </c>
      <c r="F1643" s="212" t="str">
        <f>COMPOSICIÓN!F1643</f>
        <v>ml</v>
      </c>
      <c r="G1643" s="213">
        <f>COMPOSICIÓN!G1643</f>
        <v>50</v>
      </c>
      <c r="H1643" s="214">
        <f>COMPOSICIÓN!H1643</f>
        <v>0</v>
      </c>
      <c r="I1643" s="215">
        <f>COMPOSICIÓN!I1643</f>
        <v>1654.54545454546</v>
      </c>
      <c r="J1643" s="212" t="str">
        <f>IFERROR(VLOOKUP(A1643,PARTIDAS!$A$2:$C$269,3,FALSE()),"")</f>
        <v>INSTALACIÓN ELÉCTRICA</v>
      </c>
      <c r="K1643" s="212" t="str">
        <f>IFERROR(INDEX(PPTO_GENERADOR!$B$4:$B$220,MATCH(A1643,PPTO_GENERADOR!$Q$4:$Q$220,0)),"")</f>
        <v>INSTALACIÓN ELÉCTRICA</v>
      </c>
      <c r="L1643" s="216">
        <f>IF(PLAN_ETAPA!$C$4="(TODOS)",SUMIFS(PPTO_GENERADOR!$E$4:$E$220,PPTO_GENERADOR!$Q$4:$Q$220,A1643),SUMIFS(PPTO_GENERADOR!$E$4:$E$220,PPTO_GENERADOR!$Q$4:$Q$220,A1643,PPTO_GENERADOR!$B$4:$B$220,PLAN_ETAPA!$C$4))</f>
        <v>0</v>
      </c>
      <c r="M1643" s="216">
        <f>IFERROR(VLOOKUP(A1643,PARTIDAS!$A$2:$F$269,6,FALSE()),1)</f>
        <v>1</v>
      </c>
      <c r="N1643" s="216">
        <f>IFERROR(VLOOKUP(A1643,PARTIDAS!$A$2:$I$269,9,FALSE()),1)</f>
        <v>1</v>
      </c>
      <c r="O1643" s="217">
        <f t="shared" si="50"/>
        <v>0</v>
      </c>
      <c r="P1643" s="216">
        <f>IF(O1643=0,0,IF(B1643="MAT",G1643*(1+H1643)*L1643*PLAN_ETAPA!$C$5,IF(B1643="MO",IF(M1643=0,0,G1643*L1643*PLAN_ETAPA!$C$5*N1643/M1643),IF(B1643="EQ",IF(M1643=0,0,G1643*L1643*PLAN_ETAPA!$C$5/M1643),0))))</f>
        <v>0</v>
      </c>
      <c r="Q1643" s="218">
        <f t="shared" si="51"/>
        <v>0</v>
      </c>
    </row>
    <row r="1644" spans="1:17" x14ac:dyDescent="0.35">
      <c r="A1644" s="212" t="str">
        <f>COMPOSICIÓN!A1644</f>
        <v>PTO-1820</v>
      </c>
      <c r="B1644" s="212" t="str">
        <f>COMPOSICIÓN!B1644</f>
        <v>MAT</v>
      </c>
      <c r="C1644" s="212" t="str">
        <f>COMPOSICIÓN!C1644</f>
        <v>OTR</v>
      </c>
      <c r="D1644" s="212" t="str">
        <f>COMPOSICIÓN!D1644</f>
        <v>OTR-PTO179</v>
      </c>
      <c r="E1644" s="212" t="str">
        <f>COMPOSICIÓN!E1644</f>
        <v>RLLOX100M 1X 6,0MM NEGRO N.IRAM (UF trifasicas (222 ml en syntenax))</v>
      </c>
      <c r="F1644" s="212" t="str">
        <f>COMPOSICIÓN!F1644</f>
        <v>rol</v>
      </c>
      <c r="G1644" s="213">
        <f>COMPOSICIÓN!G1644</f>
        <v>12</v>
      </c>
      <c r="H1644" s="214">
        <f>COMPOSICIÓN!H1644</f>
        <v>0</v>
      </c>
      <c r="I1644" s="215">
        <f>COMPOSICIÓN!I1644</f>
        <v>95867.7685950413</v>
      </c>
      <c r="J1644" s="212" t="str">
        <f>IFERROR(VLOOKUP(A1644,PARTIDAS!$A$2:$C$269,3,FALSE()),"")</f>
        <v>INSTALACIÓN ELÉCTRICA</v>
      </c>
      <c r="K1644" s="212" t="str">
        <f>IFERROR(INDEX(PPTO_GENERADOR!$B$4:$B$220,MATCH(A1644,PPTO_GENERADOR!$Q$4:$Q$220,0)),"")</f>
        <v>INSTALACIÓN ELÉCTRICA</v>
      </c>
      <c r="L1644" s="216">
        <f>IF(PLAN_ETAPA!$C$4="(TODOS)",SUMIFS(PPTO_GENERADOR!$E$4:$E$220,PPTO_GENERADOR!$Q$4:$Q$220,A1644),SUMIFS(PPTO_GENERADOR!$E$4:$E$220,PPTO_GENERADOR!$Q$4:$Q$220,A1644,PPTO_GENERADOR!$B$4:$B$220,PLAN_ETAPA!$C$4))</f>
        <v>0</v>
      </c>
      <c r="M1644" s="216">
        <f>IFERROR(VLOOKUP(A1644,PARTIDAS!$A$2:$F$269,6,FALSE()),1)</f>
        <v>1</v>
      </c>
      <c r="N1644" s="216">
        <f>IFERROR(VLOOKUP(A1644,PARTIDAS!$A$2:$I$269,9,FALSE()),1)</f>
        <v>1</v>
      </c>
      <c r="O1644" s="217">
        <f t="shared" si="50"/>
        <v>0</v>
      </c>
      <c r="P1644" s="216">
        <f>IF(O1644=0,0,IF(B1644="MAT",G1644*(1+H1644)*L1644*PLAN_ETAPA!$C$5,IF(B1644="MO",IF(M1644=0,0,G1644*L1644*PLAN_ETAPA!$C$5*N1644/M1644),IF(B1644="EQ",IF(M1644=0,0,G1644*L1644*PLAN_ETAPA!$C$5/M1644),0))))</f>
        <v>0</v>
      </c>
      <c r="Q1644" s="218">
        <f t="shared" si="51"/>
        <v>0</v>
      </c>
    </row>
    <row r="1645" spans="1:17" x14ac:dyDescent="0.35">
      <c r="A1645" s="212" t="str">
        <f>COMPOSICIÓN!A1645</f>
        <v>PTO-1820</v>
      </c>
      <c r="B1645" s="212" t="str">
        <f>COMPOSICIÓN!B1645</f>
        <v>MAT</v>
      </c>
      <c r="C1645" s="212" t="str">
        <f>COMPOSICIÓN!C1645</f>
        <v>OTR</v>
      </c>
      <c r="D1645" s="212" t="str">
        <f>COMPOSICIÓN!D1645</f>
        <v>OTR-PTO180</v>
      </c>
      <c r="E1645" s="212" t="str">
        <f>COMPOSICIÓN!E1645</f>
        <v>RLLOX100M 1X 4,0MM NEGRO N.IRAM (Bombas PB + Bombas Pres. (45 ml))</v>
      </c>
      <c r="F1645" s="212" t="str">
        <f>COMPOSICIÓN!F1645</f>
        <v>rol</v>
      </c>
      <c r="G1645" s="213">
        <f>COMPOSICIÓN!G1645</f>
        <v>1</v>
      </c>
      <c r="H1645" s="214">
        <f>COMPOSICIÓN!H1645</f>
        <v>0</v>
      </c>
      <c r="I1645" s="215">
        <f>COMPOSICIÓN!I1645</f>
        <v>66520.479999999996</v>
      </c>
      <c r="J1645" s="212" t="str">
        <f>IFERROR(VLOOKUP(A1645,PARTIDAS!$A$2:$C$269,3,FALSE()),"")</f>
        <v>INSTALACIÓN ELÉCTRICA</v>
      </c>
      <c r="K1645" s="212" t="str">
        <f>IFERROR(INDEX(PPTO_GENERADOR!$B$4:$B$220,MATCH(A1645,PPTO_GENERADOR!$Q$4:$Q$220,0)),"")</f>
        <v>INSTALACIÓN ELÉCTRICA</v>
      </c>
      <c r="L1645" s="216">
        <f>IF(PLAN_ETAPA!$C$4="(TODOS)",SUMIFS(PPTO_GENERADOR!$E$4:$E$220,PPTO_GENERADOR!$Q$4:$Q$220,A1645),SUMIFS(PPTO_GENERADOR!$E$4:$E$220,PPTO_GENERADOR!$Q$4:$Q$220,A1645,PPTO_GENERADOR!$B$4:$B$220,PLAN_ETAPA!$C$4))</f>
        <v>0</v>
      </c>
      <c r="M1645" s="216">
        <f>IFERROR(VLOOKUP(A1645,PARTIDAS!$A$2:$F$269,6,FALSE()),1)</f>
        <v>1</v>
      </c>
      <c r="N1645" s="216">
        <f>IFERROR(VLOOKUP(A1645,PARTIDAS!$A$2:$I$269,9,FALSE()),1)</f>
        <v>1</v>
      </c>
      <c r="O1645" s="217">
        <f t="shared" si="50"/>
        <v>0</v>
      </c>
      <c r="P1645" s="216">
        <f>IF(O1645=0,0,IF(B1645="MAT",G1645*(1+H1645)*L1645*PLAN_ETAPA!$C$5,IF(B1645="MO",IF(M1645=0,0,G1645*L1645*PLAN_ETAPA!$C$5*N1645/M1645),IF(B1645="EQ",IF(M1645=0,0,G1645*L1645*PLAN_ETAPA!$C$5/M1645),0))))</f>
        <v>0</v>
      </c>
      <c r="Q1645" s="218">
        <f t="shared" si="51"/>
        <v>0</v>
      </c>
    </row>
    <row r="1646" spans="1:17" x14ac:dyDescent="0.35">
      <c r="A1646" s="212" t="str">
        <f>COMPOSICIÓN!A1646</f>
        <v>PTO-1820</v>
      </c>
      <c r="B1646" s="212" t="str">
        <f>COMPOSICIÓN!B1646</f>
        <v>MAT</v>
      </c>
      <c r="C1646" s="212" t="str">
        <f>COMPOSICIÓN!C1646</f>
        <v>OTR</v>
      </c>
      <c r="D1646" s="212" t="str">
        <f>COMPOSICIÓN!D1646</f>
        <v>OTR-PTO181</v>
      </c>
      <c r="E1646" s="212" t="str">
        <f>COMPOSICIÓN!E1646</f>
        <v>RLLOX100M 1X16 MM VD/ AM N.IRAM (UF trifasicas (25 ml en syntenax))</v>
      </c>
      <c r="F1646" s="212" t="str">
        <f>COMPOSICIÓN!F1646</f>
        <v>rol</v>
      </c>
      <c r="G1646" s="213">
        <f>COMPOSICIÓN!G1646</f>
        <v>2</v>
      </c>
      <c r="H1646" s="214">
        <f>COMPOSICIÓN!H1646</f>
        <v>0</v>
      </c>
      <c r="I1646" s="215">
        <f>COMPOSICIÓN!I1646</f>
        <v>268385.86</v>
      </c>
      <c r="J1646" s="212" t="str">
        <f>IFERROR(VLOOKUP(A1646,PARTIDAS!$A$2:$C$269,3,FALSE()),"")</f>
        <v>INSTALACIÓN ELÉCTRICA</v>
      </c>
      <c r="K1646" s="212" t="str">
        <f>IFERROR(INDEX(PPTO_GENERADOR!$B$4:$B$220,MATCH(A1646,PPTO_GENERADOR!$Q$4:$Q$220,0)),"")</f>
        <v>INSTALACIÓN ELÉCTRICA</v>
      </c>
      <c r="L1646" s="216">
        <f>IF(PLAN_ETAPA!$C$4="(TODOS)",SUMIFS(PPTO_GENERADOR!$E$4:$E$220,PPTO_GENERADOR!$Q$4:$Q$220,A1646),SUMIFS(PPTO_GENERADOR!$E$4:$E$220,PPTO_GENERADOR!$Q$4:$Q$220,A1646,PPTO_GENERADOR!$B$4:$B$220,PLAN_ETAPA!$C$4))</f>
        <v>0</v>
      </c>
      <c r="M1646" s="216">
        <f>IFERROR(VLOOKUP(A1646,PARTIDAS!$A$2:$F$269,6,FALSE()),1)</f>
        <v>1</v>
      </c>
      <c r="N1646" s="216">
        <f>IFERROR(VLOOKUP(A1646,PARTIDAS!$A$2:$I$269,9,FALSE()),1)</f>
        <v>1</v>
      </c>
      <c r="O1646" s="217">
        <f t="shared" si="50"/>
        <v>0</v>
      </c>
      <c r="P1646" s="216">
        <f>IF(O1646=0,0,IF(B1646="MAT",G1646*(1+H1646)*L1646*PLAN_ETAPA!$C$5,IF(B1646="MO",IF(M1646=0,0,G1646*L1646*PLAN_ETAPA!$C$5*N1646/M1646),IF(B1646="EQ",IF(M1646=0,0,G1646*L1646*PLAN_ETAPA!$C$5/M1646),0))))</f>
        <v>0</v>
      </c>
      <c r="Q1646" s="218">
        <f t="shared" si="51"/>
        <v>0</v>
      </c>
    </row>
    <row r="1647" spans="1:17" x14ac:dyDescent="0.35">
      <c r="A1647" s="212" t="str">
        <f>COMPOSICIÓN!A1647</f>
        <v>PTO-1820</v>
      </c>
      <c r="B1647" s="212" t="str">
        <f>COMPOSICIÓN!B1647</f>
        <v>MO</v>
      </c>
      <c r="C1647" s="212" t="str">
        <f>COMPOSICIÓN!C1647</f>
        <v>ALB</v>
      </c>
      <c r="D1647" s="212" t="str">
        <f>COMPOSICIÓN!D1647</f>
        <v>MO-EESPE</v>
      </c>
      <c r="E1647" s="212" t="str">
        <f>COMPOSICIÓN!E1647</f>
        <v>ESPECIALIZADO</v>
      </c>
      <c r="F1647" s="212" t="str">
        <f>COMPOSICIÓN!F1647</f>
        <v>j</v>
      </c>
      <c r="G1647" s="213">
        <f>COMPOSICIÓN!G1647</f>
        <v>10</v>
      </c>
      <c r="H1647" s="214">
        <f>COMPOSICIÓN!H1647</f>
        <v>0</v>
      </c>
      <c r="I1647" s="215">
        <f>COMPOSICIÓN!I1647</f>
        <v>85927.097156571996</v>
      </c>
      <c r="J1647" s="212" t="str">
        <f>IFERROR(VLOOKUP(A1647,PARTIDAS!$A$2:$C$269,3,FALSE()),"")</f>
        <v>INSTALACIÓN ELÉCTRICA</v>
      </c>
      <c r="K1647" s="212" t="str">
        <f>IFERROR(INDEX(PPTO_GENERADOR!$B$4:$B$220,MATCH(A1647,PPTO_GENERADOR!$Q$4:$Q$220,0)),"")</f>
        <v>INSTALACIÓN ELÉCTRICA</v>
      </c>
      <c r="L1647" s="216">
        <f>IF(PLAN_ETAPA!$C$4="(TODOS)",SUMIFS(PPTO_GENERADOR!$E$4:$E$220,PPTO_GENERADOR!$Q$4:$Q$220,A1647),SUMIFS(PPTO_GENERADOR!$E$4:$E$220,PPTO_GENERADOR!$Q$4:$Q$220,A1647,PPTO_GENERADOR!$B$4:$B$220,PLAN_ETAPA!$C$4))</f>
        <v>0</v>
      </c>
      <c r="M1647" s="216">
        <f>IFERROR(VLOOKUP(A1647,PARTIDAS!$A$2:$F$269,6,FALSE()),1)</f>
        <v>1</v>
      </c>
      <c r="N1647" s="216">
        <f>IFERROR(VLOOKUP(A1647,PARTIDAS!$A$2:$I$269,9,FALSE()),1)</f>
        <v>1</v>
      </c>
      <c r="O1647" s="217">
        <f t="shared" si="50"/>
        <v>0</v>
      </c>
      <c r="P1647" s="216">
        <f>IF(O1647=0,0,IF(B1647="MAT",G1647*(1+H1647)*L1647*PLAN_ETAPA!$C$5,IF(B1647="MO",IF(M1647=0,0,G1647*L1647*PLAN_ETAPA!$C$5*N1647/M1647),IF(B1647="EQ",IF(M1647=0,0,G1647*L1647*PLAN_ETAPA!$C$5/M1647),0))))</f>
        <v>0</v>
      </c>
      <c r="Q1647" s="218">
        <f t="shared" si="51"/>
        <v>0</v>
      </c>
    </row>
    <row r="1648" spans="1:17" x14ac:dyDescent="0.35">
      <c r="A1648" s="212" t="str">
        <f>COMPOSICIÓN!A1648</f>
        <v>PTO-1820</v>
      </c>
      <c r="B1648" s="212" t="str">
        <f>COMPOSICIÓN!B1648</f>
        <v>MO</v>
      </c>
      <c r="C1648" s="212" t="str">
        <f>COMPOSICIÓN!C1648</f>
        <v>ALB</v>
      </c>
      <c r="D1648" s="212" t="str">
        <f>COMPOSICIÓN!D1648</f>
        <v>MO-EMEDI</v>
      </c>
      <c r="E1648" s="212" t="str">
        <f>COMPOSICIÓN!E1648</f>
        <v>MEDIO OFICIAL</v>
      </c>
      <c r="F1648" s="212" t="str">
        <f>COMPOSICIÓN!F1648</f>
        <v>j</v>
      </c>
      <c r="G1648" s="213">
        <f>COMPOSICIÓN!G1648</f>
        <v>10</v>
      </c>
      <c r="H1648" s="214">
        <f>COMPOSICIÓN!H1648</f>
        <v>0</v>
      </c>
      <c r="I1648" s="215">
        <f>COMPOSICIÓN!I1648</f>
        <v>65493.071636572</v>
      </c>
      <c r="J1648" s="212" t="str">
        <f>IFERROR(VLOOKUP(A1648,PARTIDAS!$A$2:$C$269,3,FALSE()),"")</f>
        <v>INSTALACIÓN ELÉCTRICA</v>
      </c>
      <c r="K1648" s="212" t="str">
        <f>IFERROR(INDEX(PPTO_GENERADOR!$B$4:$B$220,MATCH(A1648,PPTO_GENERADOR!$Q$4:$Q$220,0)),"")</f>
        <v>INSTALACIÓN ELÉCTRICA</v>
      </c>
      <c r="L1648" s="216">
        <f>IF(PLAN_ETAPA!$C$4="(TODOS)",SUMIFS(PPTO_GENERADOR!$E$4:$E$220,PPTO_GENERADOR!$Q$4:$Q$220,A1648),SUMIFS(PPTO_GENERADOR!$E$4:$E$220,PPTO_GENERADOR!$Q$4:$Q$220,A1648,PPTO_GENERADOR!$B$4:$B$220,PLAN_ETAPA!$C$4))</f>
        <v>0</v>
      </c>
      <c r="M1648" s="216">
        <f>IFERROR(VLOOKUP(A1648,PARTIDAS!$A$2:$F$269,6,FALSE()),1)</f>
        <v>1</v>
      </c>
      <c r="N1648" s="216">
        <f>IFERROR(VLOOKUP(A1648,PARTIDAS!$A$2:$I$269,9,FALSE()),1)</f>
        <v>1</v>
      </c>
      <c r="O1648" s="217">
        <f t="shared" si="50"/>
        <v>0</v>
      </c>
      <c r="P1648" s="216">
        <f>IF(O1648=0,0,IF(B1648="MAT",G1648*(1+H1648)*L1648*PLAN_ETAPA!$C$5,IF(B1648="MO",IF(M1648=0,0,G1648*L1648*PLAN_ETAPA!$C$5*N1648/M1648),IF(B1648="EQ",IF(M1648=0,0,G1648*L1648*PLAN_ETAPA!$C$5/M1648),0))))</f>
        <v>0</v>
      </c>
      <c r="Q1648" s="218">
        <f t="shared" si="51"/>
        <v>0</v>
      </c>
    </row>
    <row r="1649" spans="1:17" x14ac:dyDescent="0.35">
      <c r="A1649" s="212" t="str">
        <f>COMPOSICIÓN!A1649</f>
        <v>PTO-1821</v>
      </c>
      <c r="B1649" s="212" t="str">
        <f>COMPOSICIÓN!B1649</f>
        <v>EQ</v>
      </c>
      <c r="C1649" s="212">
        <f>COMPOSICIÓN!C1649</f>
        <v>0</v>
      </c>
      <c r="D1649" s="212" t="str">
        <f>COMPOSICIÓN!D1649</f>
        <v>EQ-PTO120</v>
      </c>
      <c r="E1649" s="212" t="str">
        <f>COMPOSICIÓN!E1649</f>
        <v>Herramientas y consumibles - PTO-1821 MontanteTV</v>
      </c>
      <c r="F1649" s="212">
        <f>COMPOSICIÓN!F1649</f>
        <v>0</v>
      </c>
      <c r="G1649" s="213">
        <f>COMPOSICIÓN!G1649</f>
        <v>1</v>
      </c>
      <c r="H1649" s="214">
        <f>COMPOSICIÓN!H1649</f>
        <v>0</v>
      </c>
      <c r="I1649" s="215">
        <f>COMPOSICIÓN!I1649</f>
        <v>18803.5301934858</v>
      </c>
      <c r="J1649" s="212" t="str">
        <f>IFERROR(VLOOKUP(A1649,PARTIDAS!$A$2:$C$269,3,FALSE()),"")</f>
        <v>INSTALACIÓN ELÉCTRICA</v>
      </c>
      <c r="K1649" s="212" t="str">
        <f>IFERROR(INDEX(PPTO_GENERADOR!$B$4:$B$220,MATCH(A1649,PPTO_GENERADOR!$Q$4:$Q$220,0)),"")</f>
        <v>INSTALACIÓN ELÉCTRICA</v>
      </c>
      <c r="L1649" s="216">
        <f>IF(PLAN_ETAPA!$C$4="(TODOS)",SUMIFS(PPTO_GENERADOR!$E$4:$E$220,PPTO_GENERADOR!$Q$4:$Q$220,A1649),SUMIFS(PPTO_GENERADOR!$E$4:$E$220,PPTO_GENERADOR!$Q$4:$Q$220,A1649,PPTO_GENERADOR!$B$4:$B$220,PLAN_ETAPA!$C$4))</f>
        <v>0</v>
      </c>
      <c r="M1649" s="216">
        <f>IFERROR(VLOOKUP(A1649,PARTIDAS!$A$2:$F$269,6,FALSE()),1)</f>
        <v>1</v>
      </c>
      <c r="N1649" s="216">
        <f>IFERROR(VLOOKUP(A1649,PARTIDAS!$A$2:$I$269,9,FALSE()),1)</f>
        <v>1</v>
      </c>
      <c r="O1649" s="217">
        <f t="shared" si="50"/>
        <v>0</v>
      </c>
      <c r="P1649" s="216">
        <f>IF(O1649=0,0,IF(B1649="MAT",G1649*(1+H1649)*L1649*PLAN_ETAPA!$C$5,IF(B1649="MO",IF(M1649=0,0,G1649*L1649*PLAN_ETAPA!$C$5*N1649/M1649),IF(B1649="EQ",IF(M1649=0,0,G1649*L1649*PLAN_ETAPA!$C$5/M1649),0))))</f>
        <v>0</v>
      </c>
      <c r="Q1649" s="218">
        <f t="shared" si="51"/>
        <v>0</v>
      </c>
    </row>
    <row r="1650" spans="1:17" x14ac:dyDescent="0.35">
      <c r="A1650" s="212" t="str">
        <f>COMPOSICIÓN!A1650</f>
        <v>PTO-1821</v>
      </c>
      <c r="B1650" s="212" t="str">
        <f>COMPOSICIÓN!B1650</f>
        <v>MAT</v>
      </c>
      <c r="C1650" s="212" t="str">
        <f>COMPOSICIÓN!C1650</f>
        <v>OTR</v>
      </c>
      <c r="D1650" s="212" t="str">
        <f>COMPOSICIÓN!D1650</f>
        <v>MAT-CONS</v>
      </c>
      <c r="E1650" s="212" t="str">
        <f>COMPOSICIÓN!E1650</f>
        <v>Consumibles</v>
      </c>
      <c r="F1650" s="212" t="str">
        <f>COMPOSICIÓN!F1650</f>
        <v>gl</v>
      </c>
      <c r="G1650" s="213">
        <f>COMPOSICIÓN!G1650</f>
        <v>69341.597599999994</v>
      </c>
      <c r="H1650" s="214">
        <f>COMPOSICIÓN!H1650</f>
        <v>0</v>
      </c>
      <c r="I1650" s="215">
        <f>COMPOSICIÓN!I1650</f>
        <v>1</v>
      </c>
      <c r="J1650" s="212" t="str">
        <f>IFERROR(VLOOKUP(A1650,PARTIDAS!$A$2:$C$269,3,FALSE()),"")</f>
        <v>INSTALACIÓN ELÉCTRICA</v>
      </c>
      <c r="K1650" s="212" t="str">
        <f>IFERROR(INDEX(PPTO_GENERADOR!$B$4:$B$220,MATCH(A1650,PPTO_GENERADOR!$Q$4:$Q$220,0)),"")</f>
        <v>INSTALACIÓN ELÉCTRICA</v>
      </c>
      <c r="L1650" s="216">
        <f>IF(PLAN_ETAPA!$C$4="(TODOS)",SUMIFS(PPTO_GENERADOR!$E$4:$E$220,PPTO_GENERADOR!$Q$4:$Q$220,A1650),SUMIFS(PPTO_GENERADOR!$E$4:$E$220,PPTO_GENERADOR!$Q$4:$Q$220,A1650,PPTO_GENERADOR!$B$4:$B$220,PLAN_ETAPA!$C$4))</f>
        <v>0</v>
      </c>
      <c r="M1650" s="216">
        <f>IFERROR(VLOOKUP(A1650,PARTIDAS!$A$2:$F$269,6,FALSE()),1)</f>
        <v>1</v>
      </c>
      <c r="N1650" s="216">
        <f>IFERROR(VLOOKUP(A1650,PARTIDAS!$A$2:$I$269,9,FALSE()),1)</f>
        <v>1</v>
      </c>
      <c r="O1650" s="217">
        <f t="shared" si="50"/>
        <v>0</v>
      </c>
      <c r="P1650" s="216">
        <f>IF(O1650=0,0,IF(B1650="MAT",G1650*(1+H1650)*L1650*PLAN_ETAPA!$C$5,IF(B1650="MO",IF(M1650=0,0,G1650*L1650*PLAN_ETAPA!$C$5*N1650/M1650),IF(B1650="EQ",IF(M1650=0,0,G1650*L1650*PLAN_ETAPA!$C$5/M1650),0))))</f>
        <v>0</v>
      </c>
      <c r="Q1650" s="218">
        <f t="shared" si="51"/>
        <v>0</v>
      </c>
    </row>
    <row r="1651" spans="1:17" x14ac:dyDescent="0.35">
      <c r="A1651" s="212" t="str">
        <f>COMPOSICIÓN!A1651</f>
        <v>PTO-1821</v>
      </c>
      <c r="B1651" s="212" t="str">
        <f>COMPOSICIÓN!B1651</f>
        <v>MAT</v>
      </c>
      <c r="C1651" s="212" t="str">
        <f>COMPOSICIÓN!C1651</f>
        <v>OTR</v>
      </c>
      <c r="D1651" s="212" t="str">
        <f>COMPOSICIÓN!D1651</f>
        <v>OTR-PTO171</v>
      </c>
      <c r="E1651" s="212" t="str">
        <f>COMPOSICIÓN!E1651</f>
        <v>CAÑOX3M RIGIDO 25MM PVC TUBE</v>
      </c>
      <c r="F1651" s="212" t="str">
        <f>COMPOSICIÓN!F1651</f>
        <v>u</v>
      </c>
      <c r="G1651" s="213">
        <f>COMPOSICIÓN!G1651</f>
        <v>30</v>
      </c>
      <c r="H1651" s="214">
        <f>COMPOSICIÓN!H1651</f>
        <v>0</v>
      </c>
      <c r="I1651" s="215">
        <f>COMPOSICIÓN!I1651</f>
        <v>1836.01</v>
      </c>
      <c r="J1651" s="212" t="str">
        <f>IFERROR(VLOOKUP(A1651,PARTIDAS!$A$2:$C$269,3,FALSE()),"")</f>
        <v>INSTALACIÓN ELÉCTRICA</v>
      </c>
      <c r="K1651" s="212" t="str">
        <f>IFERROR(INDEX(PPTO_GENERADOR!$B$4:$B$220,MATCH(A1651,PPTO_GENERADOR!$Q$4:$Q$220,0)),"")</f>
        <v>INSTALACIÓN ELÉCTRICA</v>
      </c>
      <c r="L1651" s="216">
        <f>IF(PLAN_ETAPA!$C$4="(TODOS)",SUMIFS(PPTO_GENERADOR!$E$4:$E$220,PPTO_GENERADOR!$Q$4:$Q$220,A1651),SUMIFS(PPTO_GENERADOR!$E$4:$E$220,PPTO_GENERADOR!$Q$4:$Q$220,A1651,PPTO_GENERADOR!$B$4:$B$220,PLAN_ETAPA!$C$4))</f>
        <v>0</v>
      </c>
      <c r="M1651" s="216">
        <f>IFERROR(VLOOKUP(A1651,PARTIDAS!$A$2:$F$269,6,FALSE()),1)</f>
        <v>1</v>
      </c>
      <c r="N1651" s="216">
        <f>IFERROR(VLOOKUP(A1651,PARTIDAS!$A$2:$I$269,9,FALSE()),1)</f>
        <v>1</v>
      </c>
      <c r="O1651" s="217">
        <f t="shared" si="50"/>
        <v>0</v>
      </c>
      <c r="P1651" s="216">
        <f>IF(O1651=0,0,IF(B1651="MAT",G1651*(1+H1651)*L1651*PLAN_ETAPA!$C$5,IF(B1651="MO",IF(M1651=0,0,G1651*L1651*PLAN_ETAPA!$C$5*N1651/M1651),IF(B1651="EQ",IF(M1651=0,0,G1651*L1651*PLAN_ETAPA!$C$5/M1651),0))))</f>
        <v>0</v>
      </c>
      <c r="Q1651" s="218">
        <f t="shared" si="51"/>
        <v>0</v>
      </c>
    </row>
    <row r="1652" spans="1:17" x14ac:dyDescent="0.35">
      <c r="A1652" s="212" t="str">
        <f>COMPOSICIÓN!A1652</f>
        <v>PTO-1821</v>
      </c>
      <c r="B1652" s="212" t="str">
        <f>COMPOSICIÓN!B1652</f>
        <v>MAT</v>
      </c>
      <c r="C1652" s="212" t="str">
        <f>COMPOSICIÓN!C1652</f>
        <v>OTR</v>
      </c>
      <c r="D1652" s="212" t="str">
        <f>COMPOSICIÓN!D1652</f>
        <v>OTR-PTO172</v>
      </c>
      <c r="E1652" s="212" t="str">
        <f>COMPOSICIÓN!E1652</f>
        <v>RIEL DE FIJAC.1.22 OLMAR</v>
      </c>
      <c r="F1652" s="212" t="str">
        <f>COMPOSICIÓN!F1652</f>
        <v>u</v>
      </c>
      <c r="G1652" s="213">
        <f>COMPOSICIÓN!G1652</f>
        <v>5</v>
      </c>
      <c r="H1652" s="214">
        <f>COMPOSICIÓN!H1652</f>
        <v>0</v>
      </c>
      <c r="I1652" s="215">
        <f>COMPOSICIÓN!I1652</f>
        <v>5067.59</v>
      </c>
      <c r="J1652" s="212" t="str">
        <f>IFERROR(VLOOKUP(A1652,PARTIDAS!$A$2:$C$269,3,FALSE()),"")</f>
        <v>INSTALACIÓN ELÉCTRICA</v>
      </c>
      <c r="K1652" s="212" t="str">
        <f>IFERROR(INDEX(PPTO_GENERADOR!$B$4:$B$220,MATCH(A1652,PPTO_GENERADOR!$Q$4:$Q$220,0)),"")</f>
        <v>INSTALACIÓN ELÉCTRICA</v>
      </c>
      <c r="L1652" s="216">
        <f>IF(PLAN_ETAPA!$C$4="(TODOS)",SUMIFS(PPTO_GENERADOR!$E$4:$E$220,PPTO_GENERADOR!$Q$4:$Q$220,A1652),SUMIFS(PPTO_GENERADOR!$E$4:$E$220,PPTO_GENERADOR!$Q$4:$Q$220,A1652,PPTO_GENERADOR!$B$4:$B$220,PLAN_ETAPA!$C$4))</f>
        <v>0</v>
      </c>
      <c r="M1652" s="216">
        <f>IFERROR(VLOOKUP(A1652,PARTIDAS!$A$2:$F$269,6,FALSE()),1)</f>
        <v>1</v>
      </c>
      <c r="N1652" s="216">
        <f>IFERROR(VLOOKUP(A1652,PARTIDAS!$A$2:$I$269,9,FALSE()),1)</f>
        <v>1</v>
      </c>
      <c r="O1652" s="217">
        <f t="shared" si="50"/>
        <v>0</v>
      </c>
      <c r="P1652" s="216">
        <f>IF(O1652=0,0,IF(B1652="MAT",G1652*(1+H1652)*L1652*PLAN_ETAPA!$C$5,IF(B1652="MO",IF(M1652=0,0,G1652*L1652*PLAN_ETAPA!$C$5*N1652/M1652),IF(B1652="EQ",IF(M1652=0,0,G1652*L1652*PLAN_ETAPA!$C$5/M1652),0))))</f>
        <v>0</v>
      </c>
      <c r="Q1652" s="218">
        <f t="shared" si="51"/>
        <v>0</v>
      </c>
    </row>
    <row r="1653" spans="1:17" x14ac:dyDescent="0.35">
      <c r="A1653" s="212" t="str">
        <f>COMPOSICIÓN!A1653</f>
        <v>PTO-1821</v>
      </c>
      <c r="B1653" s="212" t="str">
        <f>COMPOSICIÓN!B1653</f>
        <v>MAT</v>
      </c>
      <c r="C1653" s="212" t="str">
        <f>COMPOSICIÓN!C1653</f>
        <v>OTR</v>
      </c>
      <c r="D1653" s="212" t="str">
        <f>COMPOSICIÓN!D1653</f>
        <v>OTR-PTO173</v>
      </c>
      <c r="E1653" s="212" t="str">
        <f>COMPOSICIÓN!E1653</f>
        <v>BROCA METALICA 1/4 CJA X 100</v>
      </c>
      <c r="F1653" s="212" t="str">
        <f>COMPOSICIÓN!F1653</f>
        <v>u</v>
      </c>
      <c r="G1653" s="213">
        <f>COMPOSICIÓN!G1653</f>
        <v>0.5</v>
      </c>
      <c r="H1653" s="214">
        <f>COMPOSICIÓN!H1653</f>
        <v>0</v>
      </c>
      <c r="I1653" s="215">
        <f>COMPOSICIÓN!I1653</f>
        <v>70761.600000000006</v>
      </c>
      <c r="J1653" s="212" t="str">
        <f>IFERROR(VLOOKUP(A1653,PARTIDAS!$A$2:$C$269,3,FALSE()),"")</f>
        <v>INSTALACIÓN ELÉCTRICA</v>
      </c>
      <c r="K1653" s="212" t="str">
        <f>IFERROR(INDEX(PPTO_GENERADOR!$B$4:$B$220,MATCH(A1653,PPTO_GENERADOR!$Q$4:$Q$220,0)),"")</f>
        <v>INSTALACIÓN ELÉCTRICA</v>
      </c>
      <c r="L1653" s="216">
        <f>IF(PLAN_ETAPA!$C$4="(TODOS)",SUMIFS(PPTO_GENERADOR!$E$4:$E$220,PPTO_GENERADOR!$Q$4:$Q$220,A1653),SUMIFS(PPTO_GENERADOR!$E$4:$E$220,PPTO_GENERADOR!$Q$4:$Q$220,A1653,PPTO_GENERADOR!$B$4:$B$220,PLAN_ETAPA!$C$4))</f>
        <v>0</v>
      </c>
      <c r="M1653" s="216">
        <f>IFERROR(VLOOKUP(A1653,PARTIDAS!$A$2:$F$269,6,FALSE()),1)</f>
        <v>1</v>
      </c>
      <c r="N1653" s="216">
        <f>IFERROR(VLOOKUP(A1653,PARTIDAS!$A$2:$I$269,9,FALSE()),1)</f>
        <v>1</v>
      </c>
      <c r="O1653" s="217">
        <f t="shared" si="50"/>
        <v>0</v>
      </c>
      <c r="P1653" s="216">
        <f>IF(O1653=0,0,IF(B1653="MAT",G1653*(1+H1653)*L1653*PLAN_ETAPA!$C$5,IF(B1653="MO",IF(M1653=0,0,G1653*L1653*PLAN_ETAPA!$C$5*N1653/M1653),IF(B1653="EQ",IF(M1653=0,0,G1653*L1653*PLAN_ETAPA!$C$5/M1653),0))))</f>
        <v>0</v>
      </c>
      <c r="Q1653" s="218">
        <f t="shared" si="51"/>
        <v>0</v>
      </c>
    </row>
    <row r="1654" spans="1:17" x14ac:dyDescent="0.35">
      <c r="A1654" s="212" t="str">
        <f>COMPOSICIÓN!A1654</f>
        <v>PTO-1821</v>
      </c>
      <c r="B1654" s="212" t="str">
        <f>COMPOSICIÓN!B1654</f>
        <v>MAT</v>
      </c>
      <c r="C1654" s="212" t="str">
        <f>COMPOSICIÓN!C1654</f>
        <v>OTR</v>
      </c>
      <c r="D1654" s="212" t="str">
        <f>COMPOSICIÓN!D1654</f>
        <v>OTR-PTO174</v>
      </c>
      <c r="E1654" s="212" t="str">
        <f>COMPOSICIÓN!E1654</f>
        <v>VARILLA ROSCADA 1/4"X1MTC/BUL.</v>
      </c>
      <c r="F1654" s="212" t="str">
        <f>COMPOSICIÓN!F1654</f>
        <v>u</v>
      </c>
      <c r="G1654" s="213">
        <f>COMPOSICIÓN!G1654</f>
        <v>10</v>
      </c>
      <c r="H1654" s="214">
        <f>COMPOSICIÓN!H1654</f>
        <v>0</v>
      </c>
      <c r="I1654" s="215">
        <f>COMPOSICIÓN!I1654</f>
        <v>954.29</v>
      </c>
      <c r="J1654" s="212" t="str">
        <f>IFERROR(VLOOKUP(A1654,PARTIDAS!$A$2:$C$269,3,FALSE()),"")</f>
        <v>INSTALACIÓN ELÉCTRICA</v>
      </c>
      <c r="K1654" s="212" t="str">
        <f>IFERROR(INDEX(PPTO_GENERADOR!$B$4:$B$220,MATCH(A1654,PPTO_GENERADOR!$Q$4:$Q$220,0)),"")</f>
        <v>INSTALACIÓN ELÉCTRICA</v>
      </c>
      <c r="L1654" s="216">
        <f>IF(PLAN_ETAPA!$C$4="(TODOS)",SUMIFS(PPTO_GENERADOR!$E$4:$E$220,PPTO_GENERADOR!$Q$4:$Q$220,A1654),SUMIFS(PPTO_GENERADOR!$E$4:$E$220,PPTO_GENERADOR!$Q$4:$Q$220,A1654,PPTO_GENERADOR!$B$4:$B$220,PLAN_ETAPA!$C$4))</f>
        <v>0</v>
      </c>
      <c r="M1654" s="216">
        <f>IFERROR(VLOOKUP(A1654,PARTIDAS!$A$2:$F$269,6,FALSE()),1)</f>
        <v>1</v>
      </c>
      <c r="N1654" s="216">
        <f>IFERROR(VLOOKUP(A1654,PARTIDAS!$A$2:$I$269,9,FALSE()),1)</f>
        <v>1</v>
      </c>
      <c r="O1654" s="217">
        <f t="shared" si="50"/>
        <v>0</v>
      </c>
      <c r="P1654" s="216">
        <f>IF(O1654=0,0,IF(B1654="MAT",G1654*(1+H1654)*L1654*PLAN_ETAPA!$C$5,IF(B1654="MO",IF(M1654=0,0,G1654*L1654*PLAN_ETAPA!$C$5*N1654/M1654),IF(B1654="EQ",IF(M1654=0,0,G1654*L1654*PLAN_ETAPA!$C$5/M1654),0))))</f>
        <v>0</v>
      </c>
      <c r="Q1654" s="218">
        <f t="shared" si="51"/>
        <v>0</v>
      </c>
    </row>
    <row r="1655" spans="1:17" x14ac:dyDescent="0.35">
      <c r="A1655" s="212" t="str">
        <f>COMPOSICIÓN!A1655</f>
        <v>PTO-1821</v>
      </c>
      <c r="B1655" s="212" t="str">
        <f>COMPOSICIÓN!B1655</f>
        <v>MAT</v>
      </c>
      <c r="C1655" s="212" t="str">
        <f>COMPOSICIÓN!C1655</f>
        <v>OTR</v>
      </c>
      <c r="D1655" s="212" t="str">
        <f>COMPOSICIÓN!D1655</f>
        <v>OTR-PTO175</v>
      </c>
      <c r="E1655" s="212" t="str">
        <f>COMPOSICIÓN!E1655</f>
        <v>GRAMPA P/RIEL 1</v>
      </c>
      <c r="F1655" s="212" t="str">
        <f>COMPOSICIÓN!F1655</f>
        <v>u</v>
      </c>
      <c r="G1655" s="213">
        <f>COMPOSICIÓN!G1655</f>
        <v>60</v>
      </c>
      <c r="H1655" s="214">
        <f>COMPOSICIÓN!H1655</f>
        <v>0</v>
      </c>
      <c r="I1655" s="215">
        <f>COMPOSICIÓN!I1655</f>
        <v>670.34</v>
      </c>
      <c r="J1655" s="212" t="str">
        <f>IFERROR(VLOOKUP(A1655,PARTIDAS!$A$2:$C$269,3,FALSE()),"")</f>
        <v>INSTALACIÓN ELÉCTRICA</v>
      </c>
      <c r="K1655" s="212" t="str">
        <f>IFERROR(INDEX(PPTO_GENERADOR!$B$4:$B$220,MATCH(A1655,PPTO_GENERADOR!$Q$4:$Q$220,0)),"")</f>
        <v>INSTALACIÓN ELÉCTRICA</v>
      </c>
      <c r="L1655" s="216">
        <f>IF(PLAN_ETAPA!$C$4="(TODOS)",SUMIFS(PPTO_GENERADOR!$E$4:$E$220,PPTO_GENERADOR!$Q$4:$Q$220,A1655),SUMIFS(PPTO_GENERADOR!$E$4:$E$220,PPTO_GENERADOR!$Q$4:$Q$220,A1655,PPTO_GENERADOR!$B$4:$B$220,PLAN_ETAPA!$C$4))</f>
        <v>0</v>
      </c>
      <c r="M1655" s="216">
        <f>IFERROR(VLOOKUP(A1655,PARTIDAS!$A$2:$F$269,6,FALSE()),1)</f>
        <v>1</v>
      </c>
      <c r="N1655" s="216">
        <f>IFERROR(VLOOKUP(A1655,PARTIDAS!$A$2:$I$269,9,FALSE()),1)</f>
        <v>1</v>
      </c>
      <c r="O1655" s="217">
        <f t="shared" si="50"/>
        <v>0</v>
      </c>
      <c r="P1655" s="216">
        <f>IF(O1655=0,0,IF(B1655="MAT",G1655*(1+H1655)*L1655*PLAN_ETAPA!$C$5,IF(B1655="MO",IF(M1655=0,0,G1655*L1655*PLAN_ETAPA!$C$5*N1655/M1655),IF(B1655="EQ",IF(M1655=0,0,G1655*L1655*PLAN_ETAPA!$C$5/M1655),0))))</f>
        <v>0</v>
      </c>
      <c r="Q1655" s="218">
        <f t="shared" si="51"/>
        <v>0</v>
      </c>
    </row>
    <row r="1656" spans="1:17" x14ac:dyDescent="0.35">
      <c r="A1656" s="212" t="str">
        <f>COMPOSICIÓN!A1656</f>
        <v>PTO-1821</v>
      </c>
      <c r="B1656" s="212" t="str">
        <f>COMPOSICIÓN!B1656</f>
        <v>MAT</v>
      </c>
      <c r="C1656" s="212" t="str">
        <f>COMPOSICIÓN!C1656</f>
        <v>OTR</v>
      </c>
      <c r="D1656" s="212" t="str">
        <f>COMPOSICIÓN!D1656</f>
        <v>OTR-PTO176</v>
      </c>
      <c r="E1656" s="212" t="str">
        <f>COMPOSICIÓN!E1656</f>
        <v>CAJA DE CONEXION 30X40X10 CH20</v>
      </c>
      <c r="F1656" s="212" t="str">
        <f>COMPOSICIÓN!F1656</f>
        <v>u</v>
      </c>
      <c r="G1656" s="213">
        <f>COMPOSICIÓN!G1656</f>
        <v>10</v>
      </c>
      <c r="H1656" s="214">
        <f>COMPOSICIÓN!H1656</f>
        <v>0</v>
      </c>
      <c r="I1656" s="215">
        <f>COMPOSICIÓN!I1656</f>
        <v>16656.23</v>
      </c>
      <c r="J1656" s="212" t="str">
        <f>IFERROR(VLOOKUP(A1656,PARTIDAS!$A$2:$C$269,3,FALSE()),"")</f>
        <v>INSTALACIÓN ELÉCTRICA</v>
      </c>
      <c r="K1656" s="212" t="str">
        <f>IFERROR(INDEX(PPTO_GENERADOR!$B$4:$B$220,MATCH(A1656,PPTO_GENERADOR!$Q$4:$Q$220,0)),"")</f>
        <v>INSTALACIÓN ELÉCTRICA</v>
      </c>
      <c r="L1656" s="216">
        <f>IF(PLAN_ETAPA!$C$4="(TODOS)",SUMIFS(PPTO_GENERADOR!$E$4:$E$220,PPTO_GENERADOR!$Q$4:$Q$220,A1656),SUMIFS(PPTO_GENERADOR!$E$4:$E$220,PPTO_GENERADOR!$Q$4:$Q$220,A1656,PPTO_GENERADOR!$B$4:$B$220,PLAN_ETAPA!$C$4))</f>
        <v>0</v>
      </c>
      <c r="M1656" s="216">
        <f>IFERROR(VLOOKUP(A1656,PARTIDAS!$A$2:$F$269,6,FALSE()),1)</f>
        <v>1</v>
      </c>
      <c r="N1656" s="216">
        <f>IFERROR(VLOOKUP(A1656,PARTIDAS!$A$2:$I$269,9,FALSE()),1)</f>
        <v>1</v>
      </c>
      <c r="O1656" s="217">
        <f t="shared" si="50"/>
        <v>0</v>
      </c>
      <c r="P1656" s="216">
        <f>IF(O1656=0,0,IF(B1656="MAT",G1656*(1+H1656)*L1656*PLAN_ETAPA!$C$5,IF(B1656="MO",IF(M1656=0,0,G1656*L1656*PLAN_ETAPA!$C$5*N1656/M1656),IF(B1656="EQ",IF(M1656=0,0,G1656*L1656*PLAN_ETAPA!$C$5/M1656),0))))</f>
        <v>0</v>
      </c>
      <c r="Q1656" s="218">
        <f t="shared" si="51"/>
        <v>0</v>
      </c>
    </row>
    <row r="1657" spans="1:17" x14ac:dyDescent="0.35">
      <c r="A1657" s="212" t="str">
        <f>COMPOSICIÓN!A1657</f>
        <v>PTO-1821</v>
      </c>
      <c r="B1657" s="212" t="str">
        <f>COMPOSICIÓN!B1657</f>
        <v>MAT</v>
      </c>
      <c r="C1657" s="212" t="str">
        <f>COMPOSICIÓN!C1657</f>
        <v>OTR</v>
      </c>
      <c r="D1657" s="212" t="str">
        <f>COMPOSICIÓN!D1657</f>
        <v>OTR-PTO177</v>
      </c>
      <c r="E1657" s="212" t="str">
        <f>COMPOSICIÓN!E1657</f>
        <v>CONECTOR 25MM PVC RIG IP54 TUBE</v>
      </c>
      <c r="F1657" s="212" t="str">
        <f>COMPOSICIÓN!F1657</f>
        <v>u</v>
      </c>
      <c r="G1657" s="213">
        <f>COMPOSICIÓN!G1657</f>
        <v>300</v>
      </c>
      <c r="H1657" s="214">
        <f>COMPOSICIÓN!H1657</f>
        <v>0</v>
      </c>
      <c r="I1657" s="215">
        <f>COMPOSICIÓN!I1657</f>
        <v>237.27</v>
      </c>
      <c r="J1657" s="212" t="str">
        <f>IFERROR(VLOOKUP(A1657,PARTIDAS!$A$2:$C$269,3,FALSE()),"")</f>
        <v>INSTALACIÓN ELÉCTRICA</v>
      </c>
      <c r="K1657" s="212" t="str">
        <f>IFERROR(INDEX(PPTO_GENERADOR!$B$4:$B$220,MATCH(A1657,PPTO_GENERADOR!$Q$4:$Q$220,0)),"")</f>
        <v>INSTALACIÓN ELÉCTRICA</v>
      </c>
      <c r="L1657" s="216">
        <f>IF(PLAN_ETAPA!$C$4="(TODOS)",SUMIFS(PPTO_GENERADOR!$E$4:$E$220,PPTO_GENERADOR!$Q$4:$Q$220,A1657),SUMIFS(PPTO_GENERADOR!$E$4:$E$220,PPTO_GENERADOR!$Q$4:$Q$220,A1657,PPTO_GENERADOR!$B$4:$B$220,PLAN_ETAPA!$C$4))</f>
        <v>0</v>
      </c>
      <c r="M1657" s="216">
        <f>IFERROR(VLOOKUP(A1657,PARTIDAS!$A$2:$F$269,6,FALSE()),1)</f>
        <v>1</v>
      </c>
      <c r="N1657" s="216">
        <f>IFERROR(VLOOKUP(A1657,PARTIDAS!$A$2:$I$269,9,FALSE()),1)</f>
        <v>1</v>
      </c>
      <c r="O1657" s="217">
        <f t="shared" si="50"/>
        <v>0</v>
      </c>
      <c r="P1657" s="216">
        <f>IF(O1657=0,0,IF(B1657="MAT",G1657*(1+H1657)*L1657*PLAN_ETAPA!$C$5,IF(B1657="MO",IF(M1657=0,0,G1657*L1657*PLAN_ETAPA!$C$5*N1657/M1657),IF(B1657="EQ",IF(M1657=0,0,G1657*L1657*PLAN_ETAPA!$C$5/M1657),0))))</f>
        <v>0</v>
      </c>
      <c r="Q1657" s="218">
        <f t="shared" si="51"/>
        <v>0</v>
      </c>
    </row>
    <row r="1658" spans="1:17" x14ac:dyDescent="0.35">
      <c r="A1658" s="212" t="str">
        <f>COMPOSICIÓN!A1658</f>
        <v>PTO-1821</v>
      </c>
      <c r="B1658" s="212" t="str">
        <f>COMPOSICIÓN!B1658</f>
        <v>MAT</v>
      </c>
      <c r="C1658" s="212" t="str">
        <f>COMPOSICIÓN!C1658</f>
        <v>OTR</v>
      </c>
      <c r="D1658" s="212" t="str">
        <f>COMPOSICIÓN!D1658</f>
        <v>OTR-PTO182</v>
      </c>
      <c r="E1658" s="212" t="str">
        <f>COMPOSICIÓN!E1658</f>
        <v>RLLOX100M 1X 1,5MM NEGRO N.IRAM (Cable testigo)</v>
      </c>
      <c r="F1658" s="212" t="str">
        <f>COMPOSICIÓN!F1658</f>
        <v>rol</v>
      </c>
      <c r="G1658" s="213">
        <f>COMPOSICIÓN!G1658</f>
        <v>0.9</v>
      </c>
      <c r="H1658" s="214">
        <f>COMPOSICIÓN!H1658</f>
        <v>0</v>
      </c>
      <c r="I1658" s="215">
        <f>COMPOSICIÓN!I1658</f>
        <v>26467.32</v>
      </c>
      <c r="J1658" s="212" t="str">
        <f>IFERROR(VLOOKUP(A1658,PARTIDAS!$A$2:$C$269,3,FALSE()),"")</f>
        <v>INSTALACIÓN ELÉCTRICA</v>
      </c>
      <c r="K1658" s="212" t="str">
        <f>IFERROR(INDEX(PPTO_GENERADOR!$B$4:$B$220,MATCH(A1658,PPTO_GENERADOR!$Q$4:$Q$220,0)),"")</f>
        <v>INSTALACIÓN ELÉCTRICA</v>
      </c>
      <c r="L1658" s="216">
        <f>IF(PLAN_ETAPA!$C$4="(TODOS)",SUMIFS(PPTO_GENERADOR!$E$4:$E$220,PPTO_GENERADOR!$Q$4:$Q$220,A1658),SUMIFS(PPTO_GENERADOR!$E$4:$E$220,PPTO_GENERADOR!$Q$4:$Q$220,A1658,PPTO_GENERADOR!$B$4:$B$220,PLAN_ETAPA!$C$4))</f>
        <v>0</v>
      </c>
      <c r="M1658" s="216">
        <f>IFERROR(VLOOKUP(A1658,PARTIDAS!$A$2:$F$269,6,FALSE()),1)</f>
        <v>1</v>
      </c>
      <c r="N1658" s="216">
        <f>IFERROR(VLOOKUP(A1658,PARTIDAS!$A$2:$I$269,9,FALSE()),1)</f>
        <v>1</v>
      </c>
      <c r="O1658" s="217">
        <f t="shared" si="50"/>
        <v>0</v>
      </c>
      <c r="P1658" s="216">
        <f>IF(O1658=0,0,IF(B1658="MAT",G1658*(1+H1658)*L1658*PLAN_ETAPA!$C$5,IF(B1658="MO",IF(M1658=0,0,G1658*L1658*PLAN_ETAPA!$C$5*N1658/M1658),IF(B1658="EQ",IF(M1658=0,0,G1658*L1658*PLAN_ETAPA!$C$5/M1658),0))))</f>
        <v>0</v>
      </c>
      <c r="Q1658" s="218">
        <f t="shared" si="51"/>
        <v>0</v>
      </c>
    </row>
    <row r="1659" spans="1:17" x14ac:dyDescent="0.35">
      <c r="A1659" s="212" t="str">
        <f>COMPOSICIÓN!A1659</f>
        <v>PTO-1821</v>
      </c>
      <c r="B1659" s="212" t="str">
        <f>COMPOSICIÓN!B1659</f>
        <v>MO</v>
      </c>
      <c r="C1659" s="212" t="str">
        <f>COMPOSICIÓN!C1659</f>
        <v>ALB</v>
      </c>
      <c r="D1659" s="212" t="str">
        <f>COMPOSICIÓN!D1659</f>
        <v>MO-EESPE</v>
      </c>
      <c r="E1659" s="212" t="str">
        <f>COMPOSICIÓN!E1659</f>
        <v>ESPECIALIZADO</v>
      </c>
      <c r="F1659" s="212" t="str">
        <f>COMPOSICIÓN!F1659</f>
        <v>j</v>
      </c>
      <c r="G1659" s="213">
        <f>COMPOSICIÓN!G1659</f>
        <v>5</v>
      </c>
      <c r="H1659" s="214">
        <f>COMPOSICIÓN!H1659</f>
        <v>0</v>
      </c>
      <c r="I1659" s="215">
        <f>COMPOSICIÓN!I1659</f>
        <v>85927.097156571996</v>
      </c>
      <c r="J1659" s="212" t="str">
        <f>IFERROR(VLOOKUP(A1659,PARTIDAS!$A$2:$C$269,3,FALSE()),"")</f>
        <v>INSTALACIÓN ELÉCTRICA</v>
      </c>
      <c r="K1659" s="212" t="str">
        <f>IFERROR(INDEX(PPTO_GENERADOR!$B$4:$B$220,MATCH(A1659,PPTO_GENERADOR!$Q$4:$Q$220,0)),"")</f>
        <v>INSTALACIÓN ELÉCTRICA</v>
      </c>
      <c r="L1659" s="216">
        <f>IF(PLAN_ETAPA!$C$4="(TODOS)",SUMIFS(PPTO_GENERADOR!$E$4:$E$220,PPTO_GENERADOR!$Q$4:$Q$220,A1659),SUMIFS(PPTO_GENERADOR!$E$4:$E$220,PPTO_GENERADOR!$Q$4:$Q$220,A1659,PPTO_GENERADOR!$B$4:$B$220,PLAN_ETAPA!$C$4))</f>
        <v>0</v>
      </c>
      <c r="M1659" s="216">
        <f>IFERROR(VLOOKUP(A1659,PARTIDAS!$A$2:$F$269,6,FALSE()),1)</f>
        <v>1</v>
      </c>
      <c r="N1659" s="216">
        <f>IFERROR(VLOOKUP(A1659,PARTIDAS!$A$2:$I$269,9,FALSE()),1)</f>
        <v>1</v>
      </c>
      <c r="O1659" s="217">
        <f t="shared" si="50"/>
        <v>0</v>
      </c>
      <c r="P1659" s="216">
        <f>IF(O1659=0,0,IF(B1659="MAT",G1659*(1+H1659)*L1659*PLAN_ETAPA!$C$5,IF(B1659="MO",IF(M1659=0,0,G1659*L1659*PLAN_ETAPA!$C$5*N1659/M1659),IF(B1659="EQ",IF(M1659=0,0,G1659*L1659*PLAN_ETAPA!$C$5/M1659),0))))</f>
        <v>0</v>
      </c>
      <c r="Q1659" s="218">
        <f t="shared" si="51"/>
        <v>0</v>
      </c>
    </row>
    <row r="1660" spans="1:17" x14ac:dyDescent="0.35">
      <c r="A1660" s="212" t="str">
        <f>COMPOSICIÓN!A1660</f>
        <v>PTO-1821</v>
      </c>
      <c r="B1660" s="212" t="str">
        <f>COMPOSICIÓN!B1660</f>
        <v>MO</v>
      </c>
      <c r="C1660" s="212" t="str">
        <f>COMPOSICIÓN!C1660</f>
        <v>ALB</v>
      </c>
      <c r="D1660" s="212" t="str">
        <f>COMPOSICIÓN!D1660</f>
        <v>MO-EMEDI</v>
      </c>
      <c r="E1660" s="212" t="str">
        <f>COMPOSICIÓN!E1660</f>
        <v>MEDIO OFICIAL</v>
      </c>
      <c r="F1660" s="212" t="str">
        <f>COMPOSICIÓN!F1660</f>
        <v>j</v>
      </c>
      <c r="G1660" s="213">
        <f>COMPOSICIÓN!G1660</f>
        <v>5</v>
      </c>
      <c r="H1660" s="214">
        <f>COMPOSICIÓN!H1660</f>
        <v>0</v>
      </c>
      <c r="I1660" s="215">
        <f>COMPOSICIÓN!I1660</f>
        <v>65493.071636572</v>
      </c>
      <c r="J1660" s="212" t="str">
        <f>IFERROR(VLOOKUP(A1660,PARTIDAS!$A$2:$C$269,3,FALSE()),"")</f>
        <v>INSTALACIÓN ELÉCTRICA</v>
      </c>
      <c r="K1660" s="212" t="str">
        <f>IFERROR(INDEX(PPTO_GENERADOR!$B$4:$B$220,MATCH(A1660,PPTO_GENERADOR!$Q$4:$Q$220,0)),"")</f>
        <v>INSTALACIÓN ELÉCTRICA</v>
      </c>
      <c r="L1660" s="216">
        <f>IF(PLAN_ETAPA!$C$4="(TODOS)",SUMIFS(PPTO_GENERADOR!$E$4:$E$220,PPTO_GENERADOR!$Q$4:$Q$220,A1660),SUMIFS(PPTO_GENERADOR!$E$4:$E$220,PPTO_GENERADOR!$Q$4:$Q$220,A1660,PPTO_GENERADOR!$B$4:$B$220,PLAN_ETAPA!$C$4))</f>
        <v>0</v>
      </c>
      <c r="M1660" s="216">
        <f>IFERROR(VLOOKUP(A1660,PARTIDAS!$A$2:$F$269,6,FALSE()),1)</f>
        <v>1</v>
      </c>
      <c r="N1660" s="216">
        <f>IFERROR(VLOOKUP(A1660,PARTIDAS!$A$2:$I$269,9,FALSE()),1)</f>
        <v>1</v>
      </c>
      <c r="O1660" s="217">
        <f t="shared" si="50"/>
        <v>0</v>
      </c>
      <c r="P1660" s="216">
        <f>IF(O1660=0,0,IF(B1660="MAT",G1660*(1+H1660)*L1660*PLAN_ETAPA!$C$5,IF(B1660="MO",IF(M1660=0,0,G1660*L1660*PLAN_ETAPA!$C$5*N1660/M1660),IF(B1660="EQ",IF(M1660=0,0,G1660*L1660*PLAN_ETAPA!$C$5/M1660),0))))</f>
        <v>0</v>
      </c>
      <c r="Q1660" s="218">
        <f t="shared" si="51"/>
        <v>0</v>
      </c>
    </row>
    <row r="1661" spans="1:17" x14ac:dyDescent="0.35">
      <c r="A1661" s="212" t="str">
        <f>COMPOSICIÓN!A1661</f>
        <v>PTO-1822</v>
      </c>
      <c r="B1661" s="212" t="str">
        <f>COMPOSICIÓN!B1661</f>
        <v>EQ</v>
      </c>
      <c r="C1661" s="212">
        <f>COMPOSICIÓN!C1661</f>
        <v>0</v>
      </c>
      <c r="D1661" s="212" t="str">
        <f>COMPOSICIÓN!D1661</f>
        <v>EQ-PTO121</v>
      </c>
      <c r="E1661" s="212" t="str">
        <f>COMPOSICIÓN!E1661</f>
        <v>Herramientas y consumibles - PTO-1822 MontanteTV</v>
      </c>
      <c r="F1661" s="212">
        <f>COMPOSICIÓN!F1661</f>
        <v>0</v>
      </c>
      <c r="G1661" s="213">
        <f>COMPOSICIÓN!G1661</f>
        <v>1</v>
      </c>
      <c r="H1661" s="214">
        <f>COMPOSICIÓN!H1661</f>
        <v>0</v>
      </c>
      <c r="I1661" s="215">
        <f>COMPOSICIÓN!I1661</f>
        <v>18803.5301934858</v>
      </c>
      <c r="J1661" s="212" t="str">
        <f>IFERROR(VLOOKUP(A1661,PARTIDAS!$A$2:$C$269,3,FALSE()),"")</f>
        <v>INSTALACIÓN ELÉCTRICA</v>
      </c>
      <c r="K1661" s="212" t="str">
        <f>IFERROR(INDEX(PPTO_GENERADOR!$B$4:$B$220,MATCH(A1661,PPTO_GENERADOR!$Q$4:$Q$220,0)),"")</f>
        <v>INSTALACIÓN ELÉCTRICA</v>
      </c>
      <c r="L1661" s="216">
        <f>IF(PLAN_ETAPA!$C$4="(TODOS)",SUMIFS(PPTO_GENERADOR!$E$4:$E$220,PPTO_GENERADOR!$Q$4:$Q$220,A1661),SUMIFS(PPTO_GENERADOR!$E$4:$E$220,PPTO_GENERADOR!$Q$4:$Q$220,A1661,PPTO_GENERADOR!$B$4:$B$220,PLAN_ETAPA!$C$4))</f>
        <v>0</v>
      </c>
      <c r="M1661" s="216">
        <f>IFERROR(VLOOKUP(A1661,PARTIDAS!$A$2:$F$269,6,FALSE()),1)</f>
        <v>1</v>
      </c>
      <c r="N1661" s="216">
        <f>IFERROR(VLOOKUP(A1661,PARTIDAS!$A$2:$I$269,9,FALSE()),1)</f>
        <v>1</v>
      </c>
      <c r="O1661" s="217">
        <f t="shared" si="50"/>
        <v>0</v>
      </c>
      <c r="P1661" s="216">
        <f>IF(O1661=0,0,IF(B1661="MAT",G1661*(1+H1661)*L1661*PLAN_ETAPA!$C$5,IF(B1661="MO",IF(M1661=0,0,G1661*L1661*PLAN_ETAPA!$C$5*N1661/M1661),IF(B1661="EQ",IF(M1661=0,0,G1661*L1661*PLAN_ETAPA!$C$5/M1661),0))))</f>
        <v>0</v>
      </c>
      <c r="Q1661" s="218">
        <f t="shared" si="51"/>
        <v>0</v>
      </c>
    </row>
    <row r="1662" spans="1:17" x14ac:dyDescent="0.35">
      <c r="A1662" s="212" t="str">
        <f>COMPOSICIÓN!A1662</f>
        <v>PTO-1822</v>
      </c>
      <c r="B1662" s="212" t="str">
        <f>COMPOSICIÓN!B1662</f>
        <v>MAT</v>
      </c>
      <c r="C1662" s="212" t="str">
        <f>COMPOSICIÓN!C1662</f>
        <v>OTR</v>
      </c>
      <c r="D1662" s="212" t="str">
        <f>COMPOSICIÓN!D1662</f>
        <v>MAT-CONS</v>
      </c>
      <c r="E1662" s="212" t="str">
        <f>COMPOSICIÓN!E1662</f>
        <v>Consumibles</v>
      </c>
      <c r="F1662" s="212" t="str">
        <f>COMPOSICIÓN!F1662</f>
        <v>gl</v>
      </c>
      <c r="G1662" s="213">
        <f>COMPOSICIÓN!G1662</f>
        <v>69341.597599999994</v>
      </c>
      <c r="H1662" s="214">
        <f>COMPOSICIÓN!H1662</f>
        <v>0</v>
      </c>
      <c r="I1662" s="215">
        <f>COMPOSICIÓN!I1662</f>
        <v>1</v>
      </c>
      <c r="J1662" s="212" t="str">
        <f>IFERROR(VLOOKUP(A1662,PARTIDAS!$A$2:$C$269,3,FALSE()),"")</f>
        <v>INSTALACIÓN ELÉCTRICA</v>
      </c>
      <c r="K1662" s="212" t="str">
        <f>IFERROR(INDEX(PPTO_GENERADOR!$B$4:$B$220,MATCH(A1662,PPTO_GENERADOR!$Q$4:$Q$220,0)),"")</f>
        <v>INSTALACIÓN ELÉCTRICA</v>
      </c>
      <c r="L1662" s="216">
        <f>IF(PLAN_ETAPA!$C$4="(TODOS)",SUMIFS(PPTO_GENERADOR!$E$4:$E$220,PPTO_GENERADOR!$Q$4:$Q$220,A1662),SUMIFS(PPTO_GENERADOR!$E$4:$E$220,PPTO_GENERADOR!$Q$4:$Q$220,A1662,PPTO_GENERADOR!$B$4:$B$220,PLAN_ETAPA!$C$4))</f>
        <v>0</v>
      </c>
      <c r="M1662" s="216">
        <f>IFERROR(VLOOKUP(A1662,PARTIDAS!$A$2:$F$269,6,FALSE()),1)</f>
        <v>1</v>
      </c>
      <c r="N1662" s="216">
        <f>IFERROR(VLOOKUP(A1662,PARTIDAS!$A$2:$I$269,9,FALSE()),1)</f>
        <v>1</v>
      </c>
      <c r="O1662" s="217">
        <f t="shared" si="50"/>
        <v>0</v>
      </c>
      <c r="P1662" s="216">
        <f>IF(O1662=0,0,IF(B1662="MAT",G1662*(1+H1662)*L1662*PLAN_ETAPA!$C$5,IF(B1662="MO",IF(M1662=0,0,G1662*L1662*PLAN_ETAPA!$C$5*N1662/M1662),IF(B1662="EQ",IF(M1662=0,0,G1662*L1662*PLAN_ETAPA!$C$5/M1662),0))))</f>
        <v>0</v>
      </c>
      <c r="Q1662" s="218">
        <f t="shared" si="51"/>
        <v>0</v>
      </c>
    </row>
    <row r="1663" spans="1:17" x14ac:dyDescent="0.35">
      <c r="A1663" s="212" t="str">
        <f>COMPOSICIÓN!A1663</f>
        <v>PTO-1822</v>
      </c>
      <c r="B1663" s="212" t="str">
        <f>COMPOSICIÓN!B1663</f>
        <v>MAT</v>
      </c>
      <c r="C1663" s="212" t="str">
        <f>COMPOSICIÓN!C1663</f>
        <v>OTR</v>
      </c>
      <c r="D1663" s="212" t="str">
        <f>COMPOSICIÓN!D1663</f>
        <v>OTR-PTO171</v>
      </c>
      <c r="E1663" s="212" t="str">
        <f>COMPOSICIÓN!E1663</f>
        <v>CAÑOX3M RIGIDO 25MM PVC TUBE</v>
      </c>
      <c r="F1663" s="212" t="str">
        <f>COMPOSICIÓN!F1663</f>
        <v>u</v>
      </c>
      <c r="G1663" s="213">
        <f>COMPOSICIÓN!G1663</f>
        <v>30</v>
      </c>
      <c r="H1663" s="214">
        <f>COMPOSICIÓN!H1663</f>
        <v>0</v>
      </c>
      <c r="I1663" s="215">
        <f>COMPOSICIÓN!I1663</f>
        <v>1836.01</v>
      </c>
      <c r="J1663" s="212" t="str">
        <f>IFERROR(VLOOKUP(A1663,PARTIDAS!$A$2:$C$269,3,FALSE()),"")</f>
        <v>INSTALACIÓN ELÉCTRICA</v>
      </c>
      <c r="K1663" s="212" t="str">
        <f>IFERROR(INDEX(PPTO_GENERADOR!$B$4:$B$220,MATCH(A1663,PPTO_GENERADOR!$Q$4:$Q$220,0)),"")</f>
        <v>INSTALACIÓN ELÉCTRICA</v>
      </c>
      <c r="L1663" s="216">
        <f>IF(PLAN_ETAPA!$C$4="(TODOS)",SUMIFS(PPTO_GENERADOR!$E$4:$E$220,PPTO_GENERADOR!$Q$4:$Q$220,A1663),SUMIFS(PPTO_GENERADOR!$E$4:$E$220,PPTO_GENERADOR!$Q$4:$Q$220,A1663,PPTO_GENERADOR!$B$4:$B$220,PLAN_ETAPA!$C$4))</f>
        <v>0</v>
      </c>
      <c r="M1663" s="216">
        <f>IFERROR(VLOOKUP(A1663,PARTIDAS!$A$2:$F$269,6,FALSE()),1)</f>
        <v>1</v>
      </c>
      <c r="N1663" s="216">
        <f>IFERROR(VLOOKUP(A1663,PARTIDAS!$A$2:$I$269,9,FALSE()),1)</f>
        <v>1</v>
      </c>
      <c r="O1663" s="217">
        <f t="shared" si="50"/>
        <v>0</v>
      </c>
      <c r="P1663" s="216">
        <f>IF(O1663=0,0,IF(B1663="MAT",G1663*(1+H1663)*L1663*PLAN_ETAPA!$C$5,IF(B1663="MO",IF(M1663=0,0,G1663*L1663*PLAN_ETAPA!$C$5*N1663/M1663),IF(B1663="EQ",IF(M1663=0,0,G1663*L1663*PLAN_ETAPA!$C$5/M1663),0))))</f>
        <v>0</v>
      </c>
      <c r="Q1663" s="218">
        <f t="shared" si="51"/>
        <v>0</v>
      </c>
    </row>
    <row r="1664" spans="1:17" x14ac:dyDescent="0.35">
      <c r="A1664" s="212" t="str">
        <f>COMPOSICIÓN!A1664</f>
        <v>PTO-1822</v>
      </c>
      <c r="B1664" s="212" t="str">
        <f>COMPOSICIÓN!B1664</f>
        <v>MAT</v>
      </c>
      <c r="C1664" s="212" t="str">
        <f>COMPOSICIÓN!C1664</f>
        <v>OTR</v>
      </c>
      <c r="D1664" s="212" t="str">
        <f>COMPOSICIÓN!D1664</f>
        <v>OTR-PTO172</v>
      </c>
      <c r="E1664" s="212" t="str">
        <f>COMPOSICIÓN!E1664</f>
        <v>RIEL DE FIJAC.1.22 OLMAR</v>
      </c>
      <c r="F1664" s="212" t="str">
        <f>COMPOSICIÓN!F1664</f>
        <v>u</v>
      </c>
      <c r="G1664" s="213">
        <f>COMPOSICIÓN!G1664</f>
        <v>5</v>
      </c>
      <c r="H1664" s="214">
        <f>COMPOSICIÓN!H1664</f>
        <v>0</v>
      </c>
      <c r="I1664" s="215">
        <f>COMPOSICIÓN!I1664</f>
        <v>5067.59</v>
      </c>
      <c r="J1664" s="212" t="str">
        <f>IFERROR(VLOOKUP(A1664,PARTIDAS!$A$2:$C$269,3,FALSE()),"")</f>
        <v>INSTALACIÓN ELÉCTRICA</v>
      </c>
      <c r="K1664" s="212" t="str">
        <f>IFERROR(INDEX(PPTO_GENERADOR!$B$4:$B$220,MATCH(A1664,PPTO_GENERADOR!$Q$4:$Q$220,0)),"")</f>
        <v>INSTALACIÓN ELÉCTRICA</v>
      </c>
      <c r="L1664" s="216">
        <f>IF(PLAN_ETAPA!$C$4="(TODOS)",SUMIFS(PPTO_GENERADOR!$E$4:$E$220,PPTO_GENERADOR!$Q$4:$Q$220,A1664),SUMIFS(PPTO_GENERADOR!$E$4:$E$220,PPTO_GENERADOR!$Q$4:$Q$220,A1664,PPTO_GENERADOR!$B$4:$B$220,PLAN_ETAPA!$C$4))</f>
        <v>0</v>
      </c>
      <c r="M1664" s="216">
        <f>IFERROR(VLOOKUP(A1664,PARTIDAS!$A$2:$F$269,6,FALSE()),1)</f>
        <v>1</v>
      </c>
      <c r="N1664" s="216">
        <f>IFERROR(VLOOKUP(A1664,PARTIDAS!$A$2:$I$269,9,FALSE()),1)</f>
        <v>1</v>
      </c>
      <c r="O1664" s="217">
        <f t="shared" si="50"/>
        <v>0</v>
      </c>
      <c r="P1664" s="216">
        <f>IF(O1664=0,0,IF(B1664="MAT",G1664*(1+H1664)*L1664*PLAN_ETAPA!$C$5,IF(B1664="MO",IF(M1664=0,0,G1664*L1664*PLAN_ETAPA!$C$5*N1664/M1664),IF(B1664="EQ",IF(M1664=0,0,G1664*L1664*PLAN_ETAPA!$C$5/M1664),0))))</f>
        <v>0</v>
      </c>
      <c r="Q1664" s="218">
        <f t="shared" si="51"/>
        <v>0</v>
      </c>
    </row>
    <row r="1665" spans="1:17" x14ac:dyDescent="0.35">
      <c r="A1665" s="212" t="str">
        <f>COMPOSICIÓN!A1665</f>
        <v>PTO-1822</v>
      </c>
      <c r="B1665" s="212" t="str">
        <f>COMPOSICIÓN!B1665</f>
        <v>MAT</v>
      </c>
      <c r="C1665" s="212" t="str">
        <f>COMPOSICIÓN!C1665</f>
        <v>OTR</v>
      </c>
      <c r="D1665" s="212" t="str">
        <f>COMPOSICIÓN!D1665</f>
        <v>OTR-PTO173</v>
      </c>
      <c r="E1665" s="212" t="str">
        <f>COMPOSICIÓN!E1665</f>
        <v>BROCA METALICA 1/4 CJA X 100</v>
      </c>
      <c r="F1665" s="212" t="str">
        <f>COMPOSICIÓN!F1665</f>
        <v>u</v>
      </c>
      <c r="G1665" s="213">
        <f>COMPOSICIÓN!G1665</f>
        <v>0.5</v>
      </c>
      <c r="H1665" s="214">
        <f>COMPOSICIÓN!H1665</f>
        <v>0</v>
      </c>
      <c r="I1665" s="215">
        <f>COMPOSICIÓN!I1665</f>
        <v>70761.600000000006</v>
      </c>
      <c r="J1665" s="212" t="str">
        <f>IFERROR(VLOOKUP(A1665,PARTIDAS!$A$2:$C$269,3,FALSE()),"")</f>
        <v>INSTALACIÓN ELÉCTRICA</v>
      </c>
      <c r="K1665" s="212" t="str">
        <f>IFERROR(INDEX(PPTO_GENERADOR!$B$4:$B$220,MATCH(A1665,PPTO_GENERADOR!$Q$4:$Q$220,0)),"")</f>
        <v>INSTALACIÓN ELÉCTRICA</v>
      </c>
      <c r="L1665" s="216">
        <f>IF(PLAN_ETAPA!$C$4="(TODOS)",SUMIFS(PPTO_GENERADOR!$E$4:$E$220,PPTO_GENERADOR!$Q$4:$Q$220,A1665),SUMIFS(PPTO_GENERADOR!$E$4:$E$220,PPTO_GENERADOR!$Q$4:$Q$220,A1665,PPTO_GENERADOR!$B$4:$B$220,PLAN_ETAPA!$C$4))</f>
        <v>0</v>
      </c>
      <c r="M1665" s="216">
        <f>IFERROR(VLOOKUP(A1665,PARTIDAS!$A$2:$F$269,6,FALSE()),1)</f>
        <v>1</v>
      </c>
      <c r="N1665" s="216">
        <f>IFERROR(VLOOKUP(A1665,PARTIDAS!$A$2:$I$269,9,FALSE()),1)</f>
        <v>1</v>
      </c>
      <c r="O1665" s="217">
        <f t="shared" si="50"/>
        <v>0</v>
      </c>
      <c r="P1665" s="216">
        <f>IF(O1665=0,0,IF(B1665="MAT",G1665*(1+H1665)*L1665*PLAN_ETAPA!$C$5,IF(B1665="MO",IF(M1665=0,0,G1665*L1665*PLAN_ETAPA!$C$5*N1665/M1665),IF(B1665="EQ",IF(M1665=0,0,G1665*L1665*PLAN_ETAPA!$C$5/M1665),0))))</f>
        <v>0</v>
      </c>
      <c r="Q1665" s="218">
        <f t="shared" si="51"/>
        <v>0</v>
      </c>
    </row>
    <row r="1666" spans="1:17" x14ac:dyDescent="0.35">
      <c r="A1666" s="212" t="str">
        <f>COMPOSICIÓN!A1666</f>
        <v>PTO-1822</v>
      </c>
      <c r="B1666" s="212" t="str">
        <f>COMPOSICIÓN!B1666</f>
        <v>MAT</v>
      </c>
      <c r="C1666" s="212" t="str">
        <f>COMPOSICIÓN!C1666</f>
        <v>OTR</v>
      </c>
      <c r="D1666" s="212" t="str">
        <f>COMPOSICIÓN!D1666</f>
        <v>OTR-PTO174</v>
      </c>
      <c r="E1666" s="212" t="str">
        <f>COMPOSICIÓN!E1666</f>
        <v>VARILLA ROSCADA 1/4"X1MTC/BUL.</v>
      </c>
      <c r="F1666" s="212" t="str">
        <f>COMPOSICIÓN!F1666</f>
        <v>u</v>
      </c>
      <c r="G1666" s="213">
        <f>COMPOSICIÓN!G1666</f>
        <v>10</v>
      </c>
      <c r="H1666" s="214">
        <f>COMPOSICIÓN!H1666</f>
        <v>0</v>
      </c>
      <c r="I1666" s="215">
        <f>COMPOSICIÓN!I1666</f>
        <v>954.29</v>
      </c>
      <c r="J1666" s="212" t="str">
        <f>IFERROR(VLOOKUP(A1666,PARTIDAS!$A$2:$C$269,3,FALSE()),"")</f>
        <v>INSTALACIÓN ELÉCTRICA</v>
      </c>
      <c r="K1666" s="212" t="str">
        <f>IFERROR(INDEX(PPTO_GENERADOR!$B$4:$B$220,MATCH(A1666,PPTO_GENERADOR!$Q$4:$Q$220,0)),"")</f>
        <v>INSTALACIÓN ELÉCTRICA</v>
      </c>
      <c r="L1666" s="216">
        <f>IF(PLAN_ETAPA!$C$4="(TODOS)",SUMIFS(PPTO_GENERADOR!$E$4:$E$220,PPTO_GENERADOR!$Q$4:$Q$220,A1666),SUMIFS(PPTO_GENERADOR!$E$4:$E$220,PPTO_GENERADOR!$Q$4:$Q$220,A1666,PPTO_GENERADOR!$B$4:$B$220,PLAN_ETAPA!$C$4))</f>
        <v>0</v>
      </c>
      <c r="M1666" s="216">
        <f>IFERROR(VLOOKUP(A1666,PARTIDAS!$A$2:$F$269,6,FALSE()),1)</f>
        <v>1</v>
      </c>
      <c r="N1666" s="216">
        <f>IFERROR(VLOOKUP(A1666,PARTIDAS!$A$2:$I$269,9,FALSE()),1)</f>
        <v>1</v>
      </c>
      <c r="O1666" s="217">
        <f t="shared" ref="O1666:O1729" si="52">IF(L1666&gt;0,1,0)</f>
        <v>0</v>
      </c>
      <c r="P1666" s="216">
        <f>IF(O1666=0,0,IF(B1666="MAT",G1666*(1+H1666)*L1666*PLAN_ETAPA!$C$5,IF(B1666="MO",IF(M1666=0,0,G1666*L1666*PLAN_ETAPA!$C$5*N1666/M1666),IF(B1666="EQ",IF(M1666=0,0,G1666*L1666*PLAN_ETAPA!$C$5/M1666),0))))</f>
        <v>0</v>
      </c>
      <c r="Q1666" s="218">
        <f t="shared" ref="Q1666:Q1729" si="53">P1666*I1666</f>
        <v>0</v>
      </c>
    </row>
    <row r="1667" spans="1:17" x14ac:dyDescent="0.35">
      <c r="A1667" s="212" t="str">
        <f>COMPOSICIÓN!A1667</f>
        <v>PTO-1822</v>
      </c>
      <c r="B1667" s="212" t="str">
        <f>COMPOSICIÓN!B1667</f>
        <v>MAT</v>
      </c>
      <c r="C1667" s="212" t="str">
        <f>COMPOSICIÓN!C1667</f>
        <v>OTR</v>
      </c>
      <c r="D1667" s="212" t="str">
        <f>COMPOSICIÓN!D1667</f>
        <v>OTR-PTO175</v>
      </c>
      <c r="E1667" s="212" t="str">
        <f>COMPOSICIÓN!E1667</f>
        <v>GRAMPA P/RIEL 1</v>
      </c>
      <c r="F1667" s="212" t="str">
        <f>COMPOSICIÓN!F1667</f>
        <v>u</v>
      </c>
      <c r="G1667" s="213">
        <f>COMPOSICIÓN!G1667</f>
        <v>60</v>
      </c>
      <c r="H1667" s="214">
        <f>COMPOSICIÓN!H1667</f>
        <v>0</v>
      </c>
      <c r="I1667" s="215">
        <f>COMPOSICIÓN!I1667</f>
        <v>670.34</v>
      </c>
      <c r="J1667" s="212" t="str">
        <f>IFERROR(VLOOKUP(A1667,PARTIDAS!$A$2:$C$269,3,FALSE()),"")</f>
        <v>INSTALACIÓN ELÉCTRICA</v>
      </c>
      <c r="K1667" s="212" t="str">
        <f>IFERROR(INDEX(PPTO_GENERADOR!$B$4:$B$220,MATCH(A1667,PPTO_GENERADOR!$Q$4:$Q$220,0)),"")</f>
        <v>INSTALACIÓN ELÉCTRICA</v>
      </c>
      <c r="L1667" s="216">
        <f>IF(PLAN_ETAPA!$C$4="(TODOS)",SUMIFS(PPTO_GENERADOR!$E$4:$E$220,PPTO_GENERADOR!$Q$4:$Q$220,A1667),SUMIFS(PPTO_GENERADOR!$E$4:$E$220,PPTO_GENERADOR!$Q$4:$Q$220,A1667,PPTO_GENERADOR!$B$4:$B$220,PLAN_ETAPA!$C$4))</f>
        <v>0</v>
      </c>
      <c r="M1667" s="216">
        <f>IFERROR(VLOOKUP(A1667,PARTIDAS!$A$2:$F$269,6,FALSE()),1)</f>
        <v>1</v>
      </c>
      <c r="N1667" s="216">
        <f>IFERROR(VLOOKUP(A1667,PARTIDAS!$A$2:$I$269,9,FALSE()),1)</f>
        <v>1</v>
      </c>
      <c r="O1667" s="217">
        <f t="shared" si="52"/>
        <v>0</v>
      </c>
      <c r="P1667" s="216">
        <f>IF(O1667=0,0,IF(B1667="MAT",G1667*(1+H1667)*L1667*PLAN_ETAPA!$C$5,IF(B1667="MO",IF(M1667=0,0,G1667*L1667*PLAN_ETAPA!$C$5*N1667/M1667),IF(B1667="EQ",IF(M1667=0,0,G1667*L1667*PLAN_ETAPA!$C$5/M1667),0))))</f>
        <v>0</v>
      </c>
      <c r="Q1667" s="218">
        <f t="shared" si="53"/>
        <v>0</v>
      </c>
    </row>
    <row r="1668" spans="1:17" x14ac:dyDescent="0.35">
      <c r="A1668" s="212" t="str">
        <f>COMPOSICIÓN!A1668</f>
        <v>PTO-1822</v>
      </c>
      <c r="B1668" s="212" t="str">
        <f>COMPOSICIÓN!B1668</f>
        <v>MAT</v>
      </c>
      <c r="C1668" s="212" t="str">
        <f>COMPOSICIÓN!C1668</f>
        <v>OTR</v>
      </c>
      <c r="D1668" s="212" t="str">
        <f>COMPOSICIÓN!D1668</f>
        <v>OTR-PTO176</v>
      </c>
      <c r="E1668" s="212" t="str">
        <f>COMPOSICIÓN!E1668</f>
        <v>CAJA DE CONEXION 30X40X10 CH20</v>
      </c>
      <c r="F1668" s="212" t="str">
        <f>COMPOSICIÓN!F1668</f>
        <v>u</v>
      </c>
      <c r="G1668" s="213">
        <f>COMPOSICIÓN!G1668</f>
        <v>10</v>
      </c>
      <c r="H1668" s="214">
        <f>COMPOSICIÓN!H1668</f>
        <v>0</v>
      </c>
      <c r="I1668" s="215">
        <f>COMPOSICIÓN!I1668</f>
        <v>16656.23</v>
      </c>
      <c r="J1668" s="212" t="str">
        <f>IFERROR(VLOOKUP(A1668,PARTIDAS!$A$2:$C$269,3,FALSE()),"")</f>
        <v>INSTALACIÓN ELÉCTRICA</v>
      </c>
      <c r="K1668" s="212" t="str">
        <f>IFERROR(INDEX(PPTO_GENERADOR!$B$4:$B$220,MATCH(A1668,PPTO_GENERADOR!$Q$4:$Q$220,0)),"")</f>
        <v>INSTALACIÓN ELÉCTRICA</v>
      </c>
      <c r="L1668" s="216">
        <f>IF(PLAN_ETAPA!$C$4="(TODOS)",SUMIFS(PPTO_GENERADOR!$E$4:$E$220,PPTO_GENERADOR!$Q$4:$Q$220,A1668),SUMIFS(PPTO_GENERADOR!$E$4:$E$220,PPTO_GENERADOR!$Q$4:$Q$220,A1668,PPTO_GENERADOR!$B$4:$B$220,PLAN_ETAPA!$C$4))</f>
        <v>0</v>
      </c>
      <c r="M1668" s="216">
        <f>IFERROR(VLOOKUP(A1668,PARTIDAS!$A$2:$F$269,6,FALSE()),1)</f>
        <v>1</v>
      </c>
      <c r="N1668" s="216">
        <f>IFERROR(VLOOKUP(A1668,PARTIDAS!$A$2:$I$269,9,FALSE()),1)</f>
        <v>1</v>
      </c>
      <c r="O1668" s="217">
        <f t="shared" si="52"/>
        <v>0</v>
      </c>
      <c r="P1668" s="216">
        <f>IF(O1668=0,0,IF(B1668="MAT",G1668*(1+H1668)*L1668*PLAN_ETAPA!$C$5,IF(B1668="MO",IF(M1668=0,0,G1668*L1668*PLAN_ETAPA!$C$5*N1668/M1668),IF(B1668="EQ",IF(M1668=0,0,G1668*L1668*PLAN_ETAPA!$C$5/M1668),0))))</f>
        <v>0</v>
      </c>
      <c r="Q1668" s="218">
        <f t="shared" si="53"/>
        <v>0</v>
      </c>
    </row>
    <row r="1669" spans="1:17" x14ac:dyDescent="0.35">
      <c r="A1669" s="212" t="str">
        <f>COMPOSICIÓN!A1669</f>
        <v>PTO-1822</v>
      </c>
      <c r="B1669" s="212" t="str">
        <f>COMPOSICIÓN!B1669</f>
        <v>MAT</v>
      </c>
      <c r="C1669" s="212" t="str">
        <f>COMPOSICIÓN!C1669</f>
        <v>OTR</v>
      </c>
      <c r="D1669" s="212" t="str">
        <f>COMPOSICIÓN!D1669</f>
        <v>OTR-PTO177</v>
      </c>
      <c r="E1669" s="212" t="str">
        <f>COMPOSICIÓN!E1669</f>
        <v>CONECTOR 25MM PVC RIG IP54 TUBE</v>
      </c>
      <c r="F1669" s="212" t="str">
        <f>COMPOSICIÓN!F1669</f>
        <v>u</v>
      </c>
      <c r="G1669" s="213">
        <f>COMPOSICIÓN!G1669</f>
        <v>300</v>
      </c>
      <c r="H1669" s="214">
        <f>COMPOSICIÓN!H1669</f>
        <v>0</v>
      </c>
      <c r="I1669" s="215">
        <f>COMPOSICIÓN!I1669</f>
        <v>237.27</v>
      </c>
      <c r="J1669" s="212" t="str">
        <f>IFERROR(VLOOKUP(A1669,PARTIDAS!$A$2:$C$269,3,FALSE()),"")</f>
        <v>INSTALACIÓN ELÉCTRICA</v>
      </c>
      <c r="K1669" s="212" t="str">
        <f>IFERROR(INDEX(PPTO_GENERADOR!$B$4:$B$220,MATCH(A1669,PPTO_GENERADOR!$Q$4:$Q$220,0)),"")</f>
        <v>INSTALACIÓN ELÉCTRICA</v>
      </c>
      <c r="L1669" s="216">
        <f>IF(PLAN_ETAPA!$C$4="(TODOS)",SUMIFS(PPTO_GENERADOR!$E$4:$E$220,PPTO_GENERADOR!$Q$4:$Q$220,A1669),SUMIFS(PPTO_GENERADOR!$E$4:$E$220,PPTO_GENERADOR!$Q$4:$Q$220,A1669,PPTO_GENERADOR!$B$4:$B$220,PLAN_ETAPA!$C$4))</f>
        <v>0</v>
      </c>
      <c r="M1669" s="216">
        <f>IFERROR(VLOOKUP(A1669,PARTIDAS!$A$2:$F$269,6,FALSE()),1)</f>
        <v>1</v>
      </c>
      <c r="N1669" s="216">
        <f>IFERROR(VLOOKUP(A1669,PARTIDAS!$A$2:$I$269,9,FALSE()),1)</f>
        <v>1</v>
      </c>
      <c r="O1669" s="217">
        <f t="shared" si="52"/>
        <v>0</v>
      </c>
      <c r="P1669" s="216">
        <f>IF(O1669=0,0,IF(B1669="MAT",G1669*(1+H1669)*L1669*PLAN_ETAPA!$C$5,IF(B1669="MO",IF(M1669=0,0,G1669*L1669*PLAN_ETAPA!$C$5*N1669/M1669),IF(B1669="EQ",IF(M1669=0,0,G1669*L1669*PLAN_ETAPA!$C$5/M1669),0))))</f>
        <v>0</v>
      </c>
      <c r="Q1669" s="218">
        <f t="shared" si="53"/>
        <v>0</v>
      </c>
    </row>
    <row r="1670" spans="1:17" x14ac:dyDescent="0.35">
      <c r="A1670" s="212" t="str">
        <f>COMPOSICIÓN!A1670</f>
        <v>PTO-1822</v>
      </c>
      <c r="B1670" s="212" t="str">
        <f>COMPOSICIÓN!B1670</f>
        <v>MAT</v>
      </c>
      <c r="C1670" s="212" t="str">
        <f>COMPOSICIÓN!C1670</f>
        <v>OTR</v>
      </c>
      <c r="D1670" s="212" t="str">
        <f>COMPOSICIÓN!D1670</f>
        <v>OTR-PTO182</v>
      </c>
      <c r="E1670" s="212" t="str">
        <f>COMPOSICIÓN!E1670</f>
        <v>RLLOX100M 1X 1,5MM NEGRO N.IRAM (Cable testigo)</v>
      </c>
      <c r="F1670" s="212" t="str">
        <f>COMPOSICIÓN!F1670</f>
        <v>rol</v>
      </c>
      <c r="G1670" s="213">
        <f>COMPOSICIÓN!G1670</f>
        <v>0.9</v>
      </c>
      <c r="H1670" s="214">
        <f>COMPOSICIÓN!H1670</f>
        <v>0</v>
      </c>
      <c r="I1670" s="215">
        <f>COMPOSICIÓN!I1670</f>
        <v>26467.32</v>
      </c>
      <c r="J1670" s="212" t="str">
        <f>IFERROR(VLOOKUP(A1670,PARTIDAS!$A$2:$C$269,3,FALSE()),"")</f>
        <v>INSTALACIÓN ELÉCTRICA</v>
      </c>
      <c r="K1670" s="212" t="str">
        <f>IFERROR(INDEX(PPTO_GENERADOR!$B$4:$B$220,MATCH(A1670,PPTO_GENERADOR!$Q$4:$Q$220,0)),"")</f>
        <v>INSTALACIÓN ELÉCTRICA</v>
      </c>
      <c r="L1670" s="216">
        <f>IF(PLAN_ETAPA!$C$4="(TODOS)",SUMIFS(PPTO_GENERADOR!$E$4:$E$220,PPTO_GENERADOR!$Q$4:$Q$220,A1670),SUMIFS(PPTO_GENERADOR!$E$4:$E$220,PPTO_GENERADOR!$Q$4:$Q$220,A1670,PPTO_GENERADOR!$B$4:$B$220,PLAN_ETAPA!$C$4))</f>
        <v>0</v>
      </c>
      <c r="M1670" s="216">
        <f>IFERROR(VLOOKUP(A1670,PARTIDAS!$A$2:$F$269,6,FALSE()),1)</f>
        <v>1</v>
      </c>
      <c r="N1670" s="216">
        <f>IFERROR(VLOOKUP(A1670,PARTIDAS!$A$2:$I$269,9,FALSE()),1)</f>
        <v>1</v>
      </c>
      <c r="O1670" s="217">
        <f t="shared" si="52"/>
        <v>0</v>
      </c>
      <c r="P1670" s="216">
        <f>IF(O1670=0,0,IF(B1670="MAT",G1670*(1+H1670)*L1670*PLAN_ETAPA!$C$5,IF(B1670="MO",IF(M1670=0,0,G1670*L1670*PLAN_ETAPA!$C$5*N1670/M1670),IF(B1670="EQ",IF(M1670=0,0,G1670*L1670*PLAN_ETAPA!$C$5/M1670),0))))</f>
        <v>0</v>
      </c>
      <c r="Q1670" s="218">
        <f t="shared" si="53"/>
        <v>0</v>
      </c>
    </row>
    <row r="1671" spans="1:17" x14ac:dyDescent="0.35">
      <c r="A1671" s="212" t="str">
        <f>COMPOSICIÓN!A1671</f>
        <v>PTO-1822</v>
      </c>
      <c r="B1671" s="212" t="str">
        <f>COMPOSICIÓN!B1671</f>
        <v>MO</v>
      </c>
      <c r="C1671" s="212" t="str">
        <f>COMPOSICIÓN!C1671</f>
        <v>ALB</v>
      </c>
      <c r="D1671" s="212" t="str">
        <f>COMPOSICIÓN!D1671</f>
        <v>MO-EESPE</v>
      </c>
      <c r="E1671" s="212" t="str">
        <f>COMPOSICIÓN!E1671</f>
        <v>ESPECIALIZADO</v>
      </c>
      <c r="F1671" s="212" t="str">
        <f>COMPOSICIÓN!F1671</f>
        <v>j</v>
      </c>
      <c r="G1671" s="213">
        <f>COMPOSICIÓN!G1671</f>
        <v>5</v>
      </c>
      <c r="H1671" s="214">
        <f>COMPOSICIÓN!H1671</f>
        <v>0</v>
      </c>
      <c r="I1671" s="215">
        <f>COMPOSICIÓN!I1671</f>
        <v>85927.097156571996</v>
      </c>
      <c r="J1671" s="212" t="str">
        <f>IFERROR(VLOOKUP(A1671,PARTIDAS!$A$2:$C$269,3,FALSE()),"")</f>
        <v>INSTALACIÓN ELÉCTRICA</v>
      </c>
      <c r="K1671" s="212" t="str">
        <f>IFERROR(INDEX(PPTO_GENERADOR!$B$4:$B$220,MATCH(A1671,PPTO_GENERADOR!$Q$4:$Q$220,0)),"")</f>
        <v>INSTALACIÓN ELÉCTRICA</v>
      </c>
      <c r="L1671" s="216">
        <f>IF(PLAN_ETAPA!$C$4="(TODOS)",SUMIFS(PPTO_GENERADOR!$E$4:$E$220,PPTO_GENERADOR!$Q$4:$Q$220,A1671),SUMIFS(PPTO_GENERADOR!$E$4:$E$220,PPTO_GENERADOR!$Q$4:$Q$220,A1671,PPTO_GENERADOR!$B$4:$B$220,PLAN_ETAPA!$C$4))</f>
        <v>0</v>
      </c>
      <c r="M1671" s="216">
        <f>IFERROR(VLOOKUP(A1671,PARTIDAS!$A$2:$F$269,6,FALSE()),1)</f>
        <v>1</v>
      </c>
      <c r="N1671" s="216">
        <f>IFERROR(VLOOKUP(A1671,PARTIDAS!$A$2:$I$269,9,FALSE()),1)</f>
        <v>1</v>
      </c>
      <c r="O1671" s="217">
        <f t="shared" si="52"/>
        <v>0</v>
      </c>
      <c r="P1671" s="216">
        <f>IF(O1671=0,0,IF(B1671="MAT",G1671*(1+H1671)*L1671*PLAN_ETAPA!$C$5,IF(B1671="MO",IF(M1671=0,0,G1671*L1671*PLAN_ETAPA!$C$5*N1671/M1671),IF(B1671="EQ",IF(M1671=0,0,G1671*L1671*PLAN_ETAPA!$C$5/M1671),0))))</f>
        <v>0</v>
      </c>
      <c r="Q1671" s="218">
        <f t="shared" si="53"/>
        <v>0</v>
      </c>
    </row>
    <row r="1672" spans="1:17" x14ac:dyDescent="0.35">
      <c r="A1672" s="212" t="str">
        <f>COMPOSICIÓN!A1672</f>
        <v>PTO-1822</v>
      </c>
      <c r="B1672" s="212" t="str">
        <f>COMPOSICIÓN!B1672</f>
        <v>MO</v>
      </c>
      <c r="C1672" s="212" t="str">
        <f>COMPOSICIÓN!C1672</f>
        <v>ALB</v>
      </c>
      <c r="D1672" s="212" t="str">
        <f>COMPOSICIÓN!D1672</f>
        <v>MO-EMEDI</v>
      </c>
      <c r="E1672" s="212" t="str">
        <f>COMPOSICIÓN!E1672</f>
        <v>MEDIO OFICIAL</v>
      </c>
      <c r="F1672" s="212" t="str">
        <f>COMPOSICIÓN!F1672</f>
        <v>j</v>
      </c>
      <c r="G1672" s="213">
        <f>COMPOSICIÓN!G1672</f>
        <v>5</v>
      </c>
      <c r="H1672" s="214">
        <f>COMPOSICIÓN!H1672</f>
        <v>0</v>
      </c>
      <c r="I1672" s="215">
        <f>COMPOSICIÓN!I1672</f>
        <v>65493.071636572</v>
      </c>
      <c r="J1672" s="212" t="str">
        <f>IFERROR(VLOOKUP(A1672,PARTIDAS!$A$2:$C$269,3,FALSE()),"")</f>
        <v>INSTALACIÓN ELÉCTRICA</v>
      </c>
      <c r="K1672" s="212" t="str">
        <f>IFERROR(INDEX(PPTO_GENERADOR!$B$4:$B$220,MATCH(A1672,PPTO_GENERADOR!$Q$4:$Q$220,0)),"")</f>
        <v>INSTALACIÓN ELÉCTRICA</v>
      </c>
      <c r="L1672" s="216">
        <f>IF(PLAN_ETAPA!$C$4="(TODOS)",SUMIFS(PPTO_GENERADOR!$E$4:$E$220,PPTO_GENERADOR!$Q$4:$Q$220,A1672),SUMIFS(PPTO_GENERADOR!$E$4:$E$220,PPTO_GENERADOR!$Q$4:$Q$220,A1672,PPTO_GENERADOR!$B$4:$B$220,PLAN_ETAPA!$C$4))</f>
        <v>0</v>
      </c>
      <c r="M1672" s="216">
        <f>IFERROR(VLOOKUP(A1672,PARTIDAS!$A$2:$F$269,6,FALSE()),1)</f>
        <v>1</v>
      </c>
      <c r="N1672" s="216">
        <f>IFERROR(VLOOKUP(A1672,PARTIDAS!$A$2:$I$269,9,FALSE()),1)</f>
        <v>1</v>
      </c>
      <c r="O1672" s="217">
        <f t="shared" si="52"/>
        <v>0</v>
      </c>
      <c r="P1672" s="216">
        <f>IF(O1672=0,0,IF(B1672="MAT",G1672*(1+H1672)*L1672*PLAN_ETAPA!$C$5,IF(B1672="MO",IF(M1672=0,0,G1672*L1672*PLAN_ETAPA!$C$5*N1672/M1672),IF(B1672="EQ",IF(M1672=0,0,G1672*L1672*PLAN_ETAPA!$C$5/M1672),0))))</f>
        <v>0</v>
      </c>
      <c r="Q1672" s="218">
        <f t="shared" si="53"/>
        <v>0</v>
      </c>
    </row>
    <row r="1673" spans="1:17" x14ac:dyDescent="0.35">
      <c r="A1673" s="212" t="str">
        <f>COMPOSICIÓN!A1673</f>
        <v>PTO-1823</v>
      </c>
      <c r="B1673" s="212" t="str">
        <f>COMPOSICIÓN!B1673</f>
        <v>EQ</v>
      </c>
      <c r="C1673" s="212">
        <f>COMPOSICIÓN!C1673</f>
        <v>0</v>
      </c>
      <c r="D1673" s="212" t="str">
        <f>COMPOSICIÓN!D1673</f>
        <v>EQ-PTO084</v>
      </c>
      <c r="E1673" s="212" t="str">
        <f>COMPOSICIÓN!E1673</f>
        <v>Herramientas menores y consumibles - Colocación de sensor de movimiento - Provisión a c</v>
      </c>
      <c r="F1673" s="212">
        <f>COMPOSICIÓN!F1673</f>
        <v>0</v>
      </c>
      <c r="G1673" s="213">
        <f>COMPOSICIÓN!G1673</f>
        <v>1</v>
      </c>
      <c r="H1673" s="214">
        <f>COMPOSICIÓN!H1673</f>
        <v>0</v>
      </c>
      <c r="I1673" s="215">
        <f>COMPOSICIÓN!I1673</f>
        <v>177.24</v>
      </c>
      <c r="J1673" s="212" t="str">
        <f>IFERROR(VLOOKUP(A1673,PARTIDAS!$A$2:$C$269,3,FALSE()),"")</f>
        <v>INSTALACIÓN ELÉCTRICA</v>
      </c>
      <c r="K1673" s="212" t="str">
        <f>IFERROR(INDEX(PPTO_GENERADOR!$B$4:$B$220,MATCH(A1673,PPTO_GENERADOR!$Q$4:$Q$220,0)),"")</f>
        <v>INSTALACIÓN ELÉCTRICA</v>
      </c>
      <c r="L1673" s="216">
        <f>IF(PLAN_ETAPA!$C$4="(TODOS)",SUMIFS(PPTO_GENERADOR!$E$4:$E$220,PPTO_GENERADOR!$Q$4:$Q$220,A1673),SUMIFS(PPTO_GENERADOR!$E$4:$E$220,PPTO_GENERADOR!$Q$4:$Q$220,A1673,PPTO_GENERADOR!$B$4:$B$220,PLAN_ETAPA!$C$4))</f>
        <v>0</v>
      </c>
      <c r="M1673" s="216">
        <f>IFERROR(VLOOKUP(A1673,PARTIDAS!$A$2:$F$269,6,FALSE()),1)</f>
        <v>1</v>
      </c>
      <c r="N1673" s="216">
        <f>IFERROR(VLOOKUP(A1673,PARTIDAS!$A$2:$I$269,9,FALSE()),1)</f>
        <v>1</v>
      </c>
      <c r="O1673" s="217">
        <f t="shared" si="52"/>
        <v>0</v>
      </c>
      <c r="P1673" s="216">
        <f>IF(O1673=0,0,IF(B1673="MAT",G1673*(1+H1673)*L1673*PLAN_ETAPA!$C$5,IF(B1673="MO",IF(M1673=0,0,G1673*L1673*PLAN_ETAPA!$C$5*N1673/M1673),IF(B1673="EQ",IF(M1673=0,0,G1673*L1673*PLAN_ETAPA!$C$5/M1673),0))))</f>
        <v>0</v>
      </c>
      <c r="Q1673" s="218">
        <f t="shared" si="53"/>
        <v>0</v>
      </c>
    </row>
    <row r="1674" spans="1:17" x14ac:dyDescent="0.35">
      <c r="A1674" s="212" t="str">
        <f>COMPOSICIÓN!A1674</f>
        <v>PTO-1823</v>
      </c>
      <c r="B1674" s="212" t="str">
        <f>COMPOSICIÓN!B1674</f>
        <v>MO</v>
      </c>
      <c r="C1674" s="212" t="str">
        <f>COMPOSICIÓN!C1674</f>
        <v>OTR</v>
      </c>
      <c r="D1674" s="212" t="str">
        <f>COMPOSICIÓN!D1674</f>
        <v>SUB-PTO040</v>
      </c>
      <c r="E1674" s="212" t="str">
        <f>COMPOSICIÓN!E1674</f>
        <v>MO Colocación de sensor de movimiento - Provisión a cargo del comitente [SUBCONTRATOS]</v>
      </c>
      <c r="F1674" s="212" t="str">
        <f>COMPOSICIÓN!F1674</f>
        <v>j</v>
      </c>
      <c r="G1674" s="213">
        <f>COMPOSICIÓN!G1674</f>
        <v>1</v>
      </c>
      <c r="H1674" s="214">
        <f>COMPOSICIÓN!H1674</f>
        <v>0</v>
      </c>
      <c r="I1674" s="215">
        <f>COMPOSICIÓN!I1674</f>
        <v>11816</v>
      </c>
      <c r="J1674" s="212" t="str">
        <f>IFERROR(VLOOKUP(A1674,PARTIDAS!$A$2:$C$269,3,FALSE()),"")</f>
        <v>INSTALACIÓN ELÉCTRICA</v>
      </c>
      <c r="K1674" s="212" t="str">
        <f>IFERROR(INDEX(PPTO_GENERADOR!$B$4:$B$220,MATCH(A1674,PPTO_GENERADOR!$Q$4:$Q$220,0)),"")</f>
        <v>INSTALACIÓN ELÉCTRICA</v>
      </c>
      <c r="L1674" s="216">
        <f>IF(PLAN_ETAPA!$C$4="(TODOS)",SUMIFS(PPTO_GENERADOR!$E$4:$E$220,PPTO_GENERADOR!$Q$4:$Q$220,A1674),SUMIFS(PPTO_GENERADOR!$E$4:$E$220,PPTO_GENERADOR!$Q$4:$Q$220,A1674,PPTO_GENERADOR!$B$4:$B$220,PLAN_ETAPA!$C$4))</f>
        <v>0</v>
      </c>
      <c r="M1674" s="216">
        <f>IFERROR(VLOOKUP(A1674,PARTIDAS!$A$2:$F$269,6,FALSE()),1)</f>
        <v>1</v>
      </c>
      <c r="N1674" s="216">
        <f>IFERROR(VLOOKUP(A1674,PARTIDAS!$A$2:$I$269,9,FALSE()),1)</f>
        <v>1</v>
      </c>
      <c r="O1674" s="217">
        <f t="shared" si="52"/>
        <v>0</v>
      </c>
      <c r="P1674" s="216">
        <f>IF(O1674=0,0,IF(B1674="MAT",G1674*(1+H1674)*L1674*PLAN_ETAPA!$C$5,IF(B1674="MO",IF(M1674=0,0,G1674*L1674*PLAN_ETAPA!$C$5*N1674/M1674),IF(B1674="EQ",IF(M1674=0,0,G1674*L1674*PLAN_ETAPA!$C$5/M1674),0))))</f>
        <v>0</v>
      </c>
      <c r="Q1674" s="218">
        <f t="shared" si="53"/>
        <v>0</v>
      </c>
    </row>
    <row r="1675" spans="1:17" x14ac:dyDescent="0.35">
      <c r="A1675" s="212" t="str">
        <f>COMPOSICIÓN!A1675</f>
        <v>PTO-1824</v>
      </c>
      <c r="B1675" s="212" t="str">
        <f>COMPOSICIÓN!B1675</f>
        <v>EQ</v>
      </c>
      <c r="C1675" s="212">
        <f>COMPOSICIÓN!C1675</f>
        <v>0</v>
      </c>
      <c r="D1675" s="212" t="str">
        <f>COMPOSICIÓN!D1675</f>
        <v>EQ-PTO085</v>
      </c>
      <c r="E1675" s="212" t="str">
        <f>COMPOSICIÓN!E1675</f>
        <v>Herramientas menores y consumibles - Colocación de teclas simples y/o combinadas, pulsa</v>
      </c>
      <c r="F1675" s="212">
        <f>COMPOSICIÓN!F1675</f>
        <v>0</v>
      </c>
      <c r="G1675" s="213">
        <f>COMPOSICIÓN!G1675</f>
        <v>1</v>
      </c>
      <c r="H1675" s="214">
        <f>COMPOSICIÓN!H1675</f>
        <v>0</v>
      </c>
      <c r="I1675" s="215">
        <f>COMPOSICIÓN!I1675</f>
        <v>115.5</v>
      </c>
      <c r="J1675" s="212" t="str">
        <f>IFERROR(VLOOKUP(A1675,PARTIDAS!$A$2:$C$269,3,FALSE()),"")</f>
        <v>INSTALACIÓN ELÉCTRICA</v>
      </c>
      <c r="K1675" s="212" t="str">
        <f>IFERROR(INDEX(PPTO_GENERADOR!$B$4:$B$220,MATCH(A1675,PPTO_GENERADOR!$Q$4:$Q$220,0)),"")</f>
        <v>INSTALACIÓN ELÉCTRICA</v>
      </c>
      <c r="L1675" s="216">
        <f>IF(PLAN_ETAPA!$C$4="(TODOS)",SUMIFS(PPTO_GENERADOR!$E$4:$E$220,PPTO_GENERADOR!$Q$4:$Q$220,A1675),SUMIFS(PPTO_GENERADOR!$E$4:$E$220,PPTO_GENERADOR!$Q$4:$Q$220,A1675,PPTO_GENERADOR!$B$4:$B$220,PLAN_ETAPA!$C$4))</f>
        <v>0</v>
      </c>
      <c r="M1675" s="216">
        <f>IFERROR(VLOOKUP(A1675,PARTIDAS!$A$2:$F$269,6,FALSE()),1)</f>
        <v>1</v>
      </c>
      <c r="N1675" s="216">
        <f>IFERROR(VLOOKUP(A1675,PARTIDAS!$A$2:$I$269,9,FALSE()),1)</f>
        <v>1</v>
      </c>
      <c r="O1675" s="217">
        <f t="shared" si="52"/>
        <v>0</v>
      </c>
      <c r="P1675" s="216">
        <f>IF(O1675=0,0,IF(B1675="MAT",G1675*(1+H1675)*L1675*PLAN_ETAPA!$C$5,IF(B1675="MO",IF(M1675=0,0,G1675*L1675*PLAN_ETAPA!$C$5*N1675/M1675),IF(B1675="EQ",IF(M1675=0,0,G1675*L1675*PLAN_ETAPA!$C$5/M1675),0))))</f>
        <v>0</v>
      </c>
      <c r="Q1675" s="218">
        <f t="shared" si="53"/>
        <v>0</v>
      </c>
    </row>
    <row r="1676" spans="1:17" x14ac:dyDescent="0.35">
      <c r="A1676" s="212" t="str">
        <f>COMPOSICIÓN!A1676</f>
        <v>PTO-1824</v>
      </c>
      <c r="B1676" s="212" t="str">
        <f>COMPOSICIÓN!B1676</f>
        <v>MO</v>
      </c>
      <c r="C1676" s="212" t="str">
        <f>COMPOSICIÓN!C1676</f>
        <v>OTR</v>
      </c>
      <c r="D1676" s="212" t="str">
        <f>COMPOSICIÓN!D1676</f>
        <v>SUB-PTO041</v>
      </c>
      <c r="E1676" s="212" t="str">
        <f>COMPOSICIÓN!E1676</f>
        <v>MO Colocación de teclas simples y/o combinadas, pulsadores - Provisión a cargo del comitente [SUBCONTRATOS]</v>
      </c>
      <c r="F1676" s="212" t="str">
        <f>COMPOSICIÓN!F1676</f>
        <v>j</v>
      </c>
      <c r="G1676" s="213">
        <f>COMPOSICIÓN!G1676</f>
        <v>1</v>
      </c>
      <c r="H1676" s="214">
        <f>COMPOSICIÓN!H1676</f>
        <v>0</v>
      </c>
      <c r="I1676" s="215">
        <f>COMPOSICIÓN!I1676</f>
        <v>7700</v>
      </c>
      <c r="J1676" s="212" t="str">
        <f>IFERROR(VLOOKUP(A1676,PARTIDAS!$A$2:$C$269,3,FALSE()),"")</f>
        <v>INSTALACIÓN ELÉCTRICA</v>
      </c>
      <c r="K1676" s="212" t="str">
        <f>IFERROR(INDEX(PPTO_GENERADOR!$B$4:$B$220,MATCH(A1676,PPTO_GENERADOR!$Q$4:$Q$220,0)),"")</f>
        <v>INSTALACIÓN ELÉCTRICA</v>
      </c>
      <c r="L1676" s="216">
        <f>IF(PLAN_ETAPA!$C$4="(TODOS)",SUMIFS(PPTO_GENERADOR!$E$4:$E$220,PPTO_GENERADOR!$Q$4:$Q$220,A1676),SUMIFS(PPTO_GENERADOR!$E$4:$E$220,PPTO_GENERADOR!$Q$4:$Q$220,A1676,PPTO_GENERADOR!$B$4:$B$220,PLAN_ETAPA!$C$4))</f>
        <v>0</v>
      </c>
      <c r="M1676" s="216">
        <f>IFERROR(VLOOKUP(A1676,PARTIDAS!$A$2:$F$269,6,FALSE()),1)</f>
        <v>1</v>
      </c>
      <c r="N1676" s="216">
        <f>IFERROR(VLOOKUP(A1676,PARTIDAS!$A$2:$I$269,9,FALSE()),1)</f>
        <v>1</v>
      </c>
      <c r="O1676" s="217">
        <f t="shared" si="52"/>
        <v>0</v>
      </c>
      <c r="P1676" s="216">
        <f>IF(O1676=0,0,IF(B1676="MAT",G1676*(1+H1676)*L1676*PLAN_ETAPA!$C$5,IF(B1676="MO",IF(M1676=0,0,G1676*L1676*PLAN_ETAPA!$C$5*N1676/M1676),IF(B1676="EQ",IF(M1676=0,0,G1676*L1676*PLAN_ETAPA!$C$5/M1676),0))))</f>
        <v>0</v>
      </c>
      <c r="Q1676" s="218">
        <f t="shared" si="53"/>
        <v>0</v>
      </c>
    </row>
    <row r="1677" spans="1:17" x14ac:dyDescent="0.35">
      <c r="A1677" s="212" t="str">
        <f>COMPOSICIÓN!A1677</f>
        <v>PTO-1825</v>
      </c>
      <c r="B1677" s="212" t="str">
        <f>COMPOSICIÓN!B1677</f>
        <v>EQ</v>
      </c>
      <c r="C1677" s="212">
        <f>COMPOSICIÓN!C1677</f>
        <v>0</v>
      </c>
      <c r="D1677" s="212" t="str">
        <f>COMPOSICIÓN!D1677</f>
        <v>EQ-PTO086</v>
      </c>
      <c r="E1677" s="212" t="str">
        <f>COMPOSICIÓN!E1677</f>
        <v xml:space="preserve">Herramientas menores y consumibles - Colocación de tomas simples/dobles/encapsulados - </v>
      </c>
      <c r="F1677" s="212">
        <f>COMPOSICIÓN!F1677</f>
        <v>0</v>
      </c>
      <c r="G1677" s="213">
        <f>COMPOSICIÓN!G1677</f>
        <v>1</v>
      </c>
      <c r="H1677" s="214">
        <f>COMPOSICIÓN!H1677</f>
        <v>0</v>
      </c>
      <c r="I1677" s="215">
        <f>COMPOSICIÓN!I1677</f>
        <v>115.5</v>
      </c>
      <c r="J1677" s="212" t="str">
        <f>IFERROR(VLOOKUP(A1677,PARTIDAS!$A$2:$C$269,3,FALSE()),"")</f>
        <v>INSTALACIÓN ELÉCTRICA</v>
      </c>
      <c r="K1677" s="212" t="str">
        <f>IFERROR(INDEX(PPTO_GENERADOR!$B$4:$B$220,MATCH(A1677,PPTO_GENERADOR!$Q$4:$Q$220,0)),"")</f>
        <v>INSTALACIÓN ELÉCTRICA</v>
      </c>
      <c r="L1677" s="216">
        <f>IF(PLAN_ETAPA!$C$4="(TODOS)",SUMIFS(PPTO_GENERADOR!$E$4:$E$220,PPTO_GENERADOR!$Q$4:$Q$220,A1677),SUMIFS(PPTO_GENERADOR!$E$4:$E$220,PPTO_GENERADOR!$Q$4:$Q$220,A1677,PPTO_GENERADOR!$B$4:$B$220,PLAN_ETAPA!$C$4))</f>
        <v>0</v>
      </c>
      <c r="M1677" s="216">
        <f>IFERROR(VLOOKUP(A1677,PARTIDAS!$A$2:$F$269,6,FALSE()),1)</f>
        <v>1</v>
      </c>
      <c r="N1677" s="216">
        <f>IFERROR(VLOOKUP(A1677,PARTIDAS!$A$2:$I$269,9,FALSE()),1)</f>
        <v>1</v>
      </c>
      <c r="O1677" s="217">
        <f t="shared" si="52"/>
        <v>0</v>
      </c>
      <c r="P1677" s="216">
        <f>IF(O1677=0,0,IF(B1677="MAT",G1677*(1+H1677)*L1677*PLAN_ETAPA!$C$5,IF(B1677="MO",IF(M1677=0,0,G1677*L1677*PLAN_ETAPA!$C$5*N1677/M1677),IF(B1677="EQ",IF(M1677=0,0,G1677*L1677*PLAN_ETAPA!$C$5/M1677),0))))</f>
        <v>0</v>
      </c>
      <c r="Q1677" s="218">
        <f t="shared" si="53"/>
        <v>0</v>
      </c>
    </row>
    <row r="1678" spans="1:17" x14ac:dyDescent="0.35">
      <c r="A1678" s="212" t="str">
        <f>COMPOSICIÓN!A1678</f>
        <v>PTO-1825</v>
      </c>
      <c r="B1678" s="212" t="str">
        <f>COMPOSICIÓN!B1678</f>
        <v>MO</v>
      </c>
      <c r="C1678" s="212" t="str">
        <f>COMPOSICIÓN!C1678</f>
        <v>OTR</v>
      </c>
      <c r="D1678" s="212" t="str">
        <f>COMPOSICIÓN!D1678</f>
        <v>SUB-PTO042</v>
      </c>
      <c r="E1678" s="212" t="str">
        <f>COMPOSICIÓN!E1678</f>
        <v>MO Colocación de tomas simples/dobles/encapsulados - Provisión a cargo del comitente [SUBCONTRATOS]</v>
      </c>
      <c r="F1678" s="212" t="str">
        <f>COMPOSICIÓN!F1678</f>
        <v>j</v>
      </c>
      <c r="G1678" s="213">
        <f>COMPOSICIÓN!G1678</f>
        <v>1</v>
      </c>
      <c r="H1678" s="214">
        <f>COMPOSICIÓN!H1678</f>
        <v>0</v>
      </c>
      <c r="I1678" s="215">
        <f>COMPOSICIÓN!I1678</f>
        <v>7700</v>
      </c>
      <c r="J1678" s="212" t="str">
        <f>IFERROR(VLOOKUP(A1678,PARTIDAS!$A$2:$C$269,3,FALSE()),"")</f>
        <v>INSTALACIÓN ELÉCTRICA</v>
      </c>
      <c r="K1678" s="212" t="str">
        <f>IFERROR(INDEX(PPTO_GENERADOR!$B$4:$B$220,MATCH(A1678,PPTO_GENERADOR!$Q$4:$Q$220,0)),"")</f>
        <v>INSTALACIÓN ELÉCTRICA</v>
      </c>
      <c r="L1678" s="216">
        <f>IF(PLAN_ETAPA!$C$4="(TODOS)",SUMIFS(PPTO_GENERADOR!$E$4:$E$220,PPTO_GENERADOR!$Q$4:$Q$220,A1678),SUMIFS(PPTO_GENERADOR!$E$4:$E$220,PPTO_GENERADOR!$Q$4:$Q$220,A1678,PPTO_GENERADOR!$B$4:$B$220,PLAN_ETAPA!$C$4))</f>
        <v>0</v>
      </c>
      <c r="M1678" s="216">
        <f>IFERROR(VLOOKUP(A1678,PARTIDAS!$A$2:$F$269,6,FALSE()),1)</f>
        <v>1</v>
      </c>
      <c r="N1678" s="216">
        <f>IFERROR(VLOOKUP(A1678,PARTIDAS!$A$2:$I$269,9,FALSE()),1)</f>
        <v>1</v>
      </c>
      <c r="O1678" s="217">
        <f t="shared" si="52"/>
        <v>0</v>
      </c>
      <c r="P1678" s="216">
        <f>IF(O1678=0,0,IF(B1678="MAT",G1678*(1+H1678)*L1678*PLAN_ETAPA!$C$5,IF(B1678="MO",IF(M1678=0,0,G1678*L1678*PLAN_ETAPA!$C$5*N1678/M1678),IF(B1678="EQ",IF(M1678=0,0,G1678*L1678*PLAN_ETAPA!$C$5/M1678),0))))</f>
        <v>0</v>
      </c>
      <c r="Q1678" s="218">
        <f t="shared" si="53"/>
        <v>0</v>
      </c>
    </row>
    <row r="1679" spans="1:17" x14ac:dyDescent="0.35">
      <c r="A1679" s="212" t="str">
        <f>COMPOSICIÓN!A1679</f>
        <v>PTO-1826</v>
      </c>
      <c r="B1679" s="212" t="str">
        <f>COMPOSICIÓN!B1679</f>
        <v>EQ</v>
      </c>
      <c r="C1679" s="212">
        <f>COMPOSICIÓN!C1679</f>
        <v>0</v>
      </c>
      <c r="D1679" s="212" t="str">
        <f>COMPOSICIÓN!D1679</f>
        <v>EQ-PTO087</v>
      </c>
      <c r="E1679" s="212" t="str">
        <f>COMPOSICIÓN!E1679</f>
        <v xml:space="preserve">Herramientas menores y consumibles - Colocación de campanilla/zumbadores - Provisión a </v>
      </c>
      <c r="F1679" s="212">
        <f>COMPOSICIÓN!F1679</f>
        <v>0</v>
      </c>
      <c r="G1679" s="213">
        <f>COMPOSICIÓN!G1679</f>
        <v>1</v>
      </c>
      <c r="H1679" s="214">
        <f>COMPOSICIÓN!H1679</f>
        <v>0</v>
      </c>
      <c r="I1679" s="215">
        <f>COMPOSICIÓN!I1679</f>
        <v>281.39999999999998</v>
      </c>
      <c r="J1679" s="212" t="str">
        <f>IFERROR(VLOOKUP(A1679,PARTIDAS!$A$2:$C$269,3,FALSE()),"")</f>
        <v>INSTALACIÓN ELÉCTRICA</v>
      </c>
      <c r="K1679" s="212" t="str">
        <f>IFERROR(INDEX(PPTO_GENERADOR!$B$4:$B$220,MATCH(A1679,PPTO_GENERADOR!$Q$4:$Q$220,0)),"")</f>
        <v>INSTALACIÓN ELÉCTRICA</v>
      </c>
      <c r="L1679" s="216">
        <f>IF(PLAN_ETAPA!$C$4="(TODOS)",SUMIFS(PPTO_GENERADOR!$E$4:$E$220,PPTO_GENERADOR!$Q$4:$Q$220,A1679),SUMIFS(PPTO_GENERADOR!$E$4:$E$220,PPTO_GENERADOR!$Q$4:$Q$220,A1679,PPTO_GENERADOR!$B$4:$B$220,PLAN_ETAPA!$C$4))</f>
        <v>0</v>
      </c>
      <c r="M1679" s="216">
        <f>IFERROR(VLOOKUP(A1679,PARTIDAS!$A$2:$F$269,6,FALSE()),1)</f>
        <v>1</v>
      </c>
      <c r="N1679" s="216">
        <f>IFERROR(VLOOKUP(A1679,PARTIDAS!$A$2:$I$269,9,FALSE()),1)</f>
        <v>1</v>
      </c>
      <c r="O1679" s="217">
        <f t="shared" si="52"/>
        <v>0</v>
      </c>
      <c r="P1679" s="216">
        <f>IF(O1679=0,0,IF(B1679="MAT",G1679*(1+H1679)*L1679*PLAN_ETAPA!$C$5,IF(B1679="MO",IF(M1679=0,0,G1679*L1679*PLAN_ETAPA!$C$5*N1679/M1679),IF(B1679="EQ",IF(M1679=0,0,G1679*L1679*PLAN_ETAPA!$C$5/M1679),0))))</f>
        <v>0</v>
      </c>
      <c r="Q1679" s="218">
        <f t="shared" si="53"/>
        <v>0</v>
      </c>
    </row>
    <row r="1680" spans="1:17" x14ac:dyDescent="0.35">
      <c r="A1680" s="212" t="str">
        <f>COMPOSICIÓN!A1680</f>
        <v>PTO-1826</v>
      </c>
      <c r="B1680" s="212" t="str">
        <f>COMPOSICIÓN!B1680</f>
        <v>MO</v>
      </c>
      <c r="C1680" s="212" t="str">
        <f>COMPOSICIÓN!C1680</f>
        <v>OTR</v>
      </c>
      <c r="D1680" s="212" t="str">
        <f>COMPOSICIÓN!D1680</f>
        <v>SUB-PTO043</v>
      </c>
      <c r="E1680" s="212" t="str">
        <f>COMPOSICIÓN!E1680</f>
        <v>MO Colocación de campanilla/zumbadores - Provisión a cargo del comitente [SUBCONTRATOS]</v>
      </c>
      <c r="F1680" s="212" t="str">
        <f>COMPOSICIÓN!F1680</f>
        <v>j</v>
      </c>
      <c r="G1680" s="213">
        <f>COMPOSICIÓN!G1680</f>
        <v>1</v>
      </c>
      <c r="H1680" s="214">
        <f>COMPOSICIÓN!H1680</f>
        <v>0</v>
      </c>
      <c r="I1680" s="215">
        <f>COMPOSICIÓN!I1680</f>
        <v>18760</v>
      </c>
      <c r="J1680" s="212" t="str">
        <f>IFERROR(VLOOKUP(A1680,PARTIDAS!$A$2:$C$269,3,FALSE()),"")</f>
        <v>INSTALACIÓN ELÉCTRICA</v>
      </c>
      <c r="K1680" s="212" t="str">
        <f>IFERROR(INDEX(PPTO_GENERADOR!$B$4:$B$220,MATCH(A1680,PPTO_GENERADOR!$Q$4:$Q$220,0)),"")</f>
        <v>INSTALACIÓN ELÉCTRICA</v>
      </c>
      <c r="L1680" s="216">
        <f>IF(PLAN_ETAPA!$C$4="(TODOS)",SUMIFS(PPTO_GENERADOR!$E$4:$E$220,PPTO_GENERADOR!$Q$4:$Q$220,A1680),SUMIFS(PPTO_GENERADOR!$E$4:$E$220,PPTO_GENERADOR!$Q$4:$Q$220,A1680,PPTO_GENERADOR!$B$4:$B$220,PLAN_ETAPA!$C$4))</f>
        <v>0</v>
      </c>
      <c r="M1680" s="216">
        <f>IFERROR(VLOOKUP(A1680,PARTIDAS!$A$2:$F$269,6,FALSE()),1)</f>
        <v>1</v>
      </c>
      <c r="N1680" s="216">
        <f>IFERROR(VLOOKUP(A1680,PARTIDAS!$A$2:$I$269,9,FALSE()),1)</f>
        <v>1</v>
      </c>
      <c r="O1680" s="217">
        <f t="shared" si="52"/>
        <v>0</v>
      </c>
      <c r="P1680" s="216">
        <f>IF(O1680=0,0,IF(B1680="MAT",G1680*(1+H1680)*L1680*PLAN_ETAPA!$C$5,IF(B1680="MO",IF(M1680=0,0,G1680*L1680*PLAN_ETAPA!$C$5*N1680/M1680),IF(B1680="EQ",IF(M1680=0,0,G1680*L1680*PLAN_ETAPA!$C$5/M1680),0))))</f>
        <v>0</v>
      </c>
      <c r="Q1680" s="218">
        <f t="shared" si="53"/>
        <v>0</v>
      </c>
    </row>
    <row r="1681" spans="1:17" x14ac:dyDescent="0.35">
      <c r="A1681" s="212" t="str">
        <f>COMPOSICIÓN!A1681</f>
        <v>PTO-1827</v>
      </c>
      <c r="B1681" s="212" t="str">
        <f>COMPOSICIÓN!B1681</f>
        <v>EQ</v>
      </c>
      <c r="C1681" s="212">
        <f>COMPOSICIÓN!C1681</f>
        <v>0</v>
      </c>
      <c r="D1681" s="212" t="str">
        <f>COMPOSICIÓN!D1681</f>
        <v>EQ-PTO088</v>
      </c>
      <c r="E1681" s="212" t="str">
        <f>COMPOSICIÓN!E1681</f>
        <v>Herramientas menores y consumibles - Colocación de extractor de baño - Provisión a carg</v>
      </c>
      <c r="F1681" s="212">
        <f>COMPOSICIÓN!F1681</f>
        <v>0</v>
      </c>
      <c r="G1681" s="213">
        <f>COMPOSICIÓN!G1681</f>
        <v>1</v>
      </c>
      <c r="H1681" s="214">
        <f>COMPOSICIÓN!H1681</f>
        <v>0</v>
      </c>
      <c r="I1681" s="215">
        <f>COMPOSICIÓN!I1681</f>
        <v>1032.1500000000001</v>
      </c>
      <c r="J1681" s="212" t="str">
        <f>IFERROR(VLOOKUP(A1681,PARTIDAS!$A$2:$C$269,3,FALSE()),"")</f>
        <v>INSTALACIÓN ELÉCTRICA</v>
      </c>
      <c r="K1681" s="212" t="str">
        <f>IFERROR(INDEX(PPTO_GENERADOR!$B$4:$B$220,MATCH(A1681,PPTO_GENERADOR!$Q$4:$Q$220,0)),"")</f>
        <v>INSTALACIÓN ELÉCTRICA</v>
      </c>
      <c r="L1681" s="216">
        <f>IF(PLAN_ETAPA!$C$4="(TODOS)",SUMIFS(PPTO_GENERADOR!$E$4:$E$220,PPTO_GENERADOR!$Q$4:$Q$220,A1681),SUMIFS(PPTO_GENERADOR!$E$4:$E$220,PPTO_GENERADOR!$Q$4:$Q$220,A1681,PPTO_GENERADOR!$B$4:$B$220,PLAN_ETAPA!$C$4))</f>
        <v>0</v>
      </c>
      <c r="M1681" s="216">
        <f>IFERROR(VLOOKUP(A1681,PARTIDAS!$A$2:$F$269,6,FALSE()),1)</f>
        <v>1</v>
      </c>
      <c r="N1681" s="216">
        <f>IFERROR(VLOOKUP(A1681,PARTIDAS!$A$2:$I$269,9,FALSE()),1)</f>
        <v>1</v>
      </c>
      <c r="O1681" s="217">
        <f t="shared" si="52"/>
        <v>0</v>
      </c>
      <c r="P1681" s="216">
        <f>IF(O1681=0,0,IF(B1681="MAT",G1681*(1+H1681)*L1681*PLAN_ETAPA!$C$5,IF(B1681="MO",IF(M1681=0,0,G1681*L1681*PLAN_ETAPA!$C$5*N1681/M1681),IF(B1681="EQ",IF(M1681=0,0,G1681*L1681*PLAN_ETAPA!$C$5/M1681),0))))</f>
        <v>0</v>
      </c>
      <c r="Q1681" s="218">
        <f t="shared" si="53"/>
        <v>0</v>
      </c>
    </row>
    <row r="1682" spans="1:17" x14ac:dyDescent="0.35">
      <c r="A1682" s="212" t="str">
        <f>COMPOSICIÓN!A1682</f>
        <v>PTO-1827</v>
      </c>
      <c r="B1682" s="212" t="str">
        <f>COMPOSICIÓN!B1682</f>
        <v>MO</v>
      </c>
      <c r="C1682" s="212" t="str">
        <f>COMPOSICIÓN!C1682</f>
        <v>OTR</v>
      </c>
      <c r="D1682" s="212" t="str">
        <f>COMPOSICIÓN!D1682</f>
        <v>SUB-PTO044</v>
      </c>
      <c r="E1682" s="212" t="str">
        <f>COMPOSICIÓN!E1682</f>
        <v>MO Colocación de extractor de baño - Provisión a cargo del comitente [SUBCONTRATOS]</v>
      </c>
      <c r="F1682" s="212" t="str">
        <f>COMPOSICIÓN!F1682</f>
        <v>j</v>
      </c>
      <c r="G1682" s="213">
        <f>COMPOSICIÓN!G1682</f>
        <v>1</v>
      </c>
      <c r="H1682" s="214">
        <f>COMPOSICIÓN!H1682</f>
        <v>0</v>
      </c>
      <c r="I1682" s="215">
        <f>COMPOSICIÓN!I1682</f>
        <v>68810</v>
      </c>
      <c r="J1682" s="212" t="str">
        <f>IFERROR(VLOOKUP(A1682,PARTIDAS!$A$2:$C$269,3,FALSE()),"")</f>
        <v>INSTALACIÓN ELÉCTRICA</v>
      </c>
      <c r="K1682" s="212" t="str">
        <f>IFERROR(INDEX(PPTO_GENERADOR!$B$4:$B$220,MATCH(A1682,PPTO_GENERADOR!$Q$4:$Q$220,0)),"")</f>
        <v>INSTALACIÓN ELÉCTRICA</v>
      </c>
      <c r="L1682" s="216">
        <f>IF(PLAN_ETAPA!$C$4="(TODOS)",SUMIFS(PPTO_GENERADOR!$E$4:$E$220,PPTO_GENERADOR!$Q$4:$Q$220,A1682),SUMIFS(PPTO_GENERADOR!$E$4:$E$220,PPTO_GENERADOR!$Q$4:$Q$220,A1682,PPTO_GENERADOR!$B$4:$B$220,PLAN_ETAPA!$C$4))</f>
        <v>0</v>
      </c>
      <c r="M1682" s="216">
        <f>IFERROR(VLOOKUP(A1682,PARTIDAS!$A$2:$F$269,6,FALSE()),1)</f>
        <v>1</v>
      </c>
      <c r="N1682" s="216">
        <f>IFERROR(VLOOKUP(A1682,PARTIDAS!$A$2:$I$269,9,FALSE()),1)</f>
        <v>1</v>
      </c>
      <c r="O1682" s="217">
        <f t="shared" si="52"/>
        <v>0</v>
      </c>
      <c r="P1682" s="216">
        <f>IF(O1682=0,0,IF(B1682="MAT",G1682*(1+H1682)*L1682*PLAN_ETAPA!$C$5,IF(B1682="MO",IF(M1682=0,0,G1682*L1682*PLAN_ETAPA!$C$5*N1682/M1682),IF(B1682="EQ",IF(M1682=0,0,G1682*L1682*PLAN_ETAPA!$C$5/M1682),0))))</f>
        <v>0</v>
      </c>
      <c r="Q1682" s="218">
        <f t="shared" si="53"/>
        <v>0</v>
      </c>
    </row>
    <row r="1683" spans="1:17" x14ac:dyDescent="0.35">
      <c r="A1683" s="212" t="str">
        <f>COMPOSICIÓN!A1683</f>
        <v>PTO-1828</v>
      </c>
      <c r="B1683" s="212" t="str">
        <f>COMPOSICIÓN!B1683</f>
        <v>EQ</v>
      </c>
      <c r="C1683" s="212">
        <f>COMPOSICIÓN!C1683</f>
        <v>0</v>
      </c>
      <c r="D1683" s="212" t="str">
        <f>COMPOSICIÓN!D1683</f>
        <v>EQ-PTO089</v>
      </c>
      <c r="E1683" s="212" t="str">
        <f>COMPOSICIÓN!E1683</f>
        <v>Herramientas menores y consumibles - Colocación de luz de emergencia - Provisión a carg</v>
      </c>
      <c r="F1683" s="212">
        <f>COMPOSICIÓN!F1683</f>
        <v>0</v>
      </c>
      <c r="G1683" s="213">
        <f>COMPOSICIÓN!G1683</f>
        <v>1</v>
      </c>
      <c r="H1683" s="214">
        <f>COMPOSICIÓN!H1683</f>
        <v>0</v>
      </c>
      <c r="I1683" s="215">
        <f>COMPOSICIÓN!I1683</f>
        <v>281.39999999999998</v>
      </c>
      <c r="J1683" s="212" t="str">
        <f>IFERROR(VLOOKUP(A1683,PARTIDAS!$A$2:$C$269,3,FALSE()),"")</f>
        <v>INSTALACIÓN ELÉCTRICA</v>
      </c>
      <c r="K1683" s="212" t="str">
        <f>IFERROR(INDEX(PPTO_GENERADOR!$B$4:$B$220,MATCH(A1683,PPTO_GENERADOR!$Q$4:$Q$220,0)),"")</f>
        <v>INSTALACIÓN ELÉCTRICA</v>
      </c>
      <c r="L1683" s="216">
        <f>IF(PLAN_ETAPA!$C$4="(TODOS)",SUMIFS(PPTO_GENERADOR!$E$4:$E$220,PPTO_GENERADOR!$Q$4:$Q$220,A1683),SUMIFS(PPTO_GENERADOR!$E$4:$E$220,PPTO_GENERADOR!$Q$4:$Q$220,A1683,PPTO_GENERADOR!$B$4:$B$220,PLAN_ETAPA!$C$4))</f>
        <v>0</v>
      </c>
      <c r="M1683" s="216">
        <f>IFERROR(VLOOKUP(A1683,PARTIDAS!$A$2:$F$269,6,FALSE()),1)</f>
        <v>1</v>
      </c>
      <c r="N1683" s="216">
        <f>IFERROR(VLOOKUP(A1683,PARTIDAS!$A$2:$I$269,9,FALSE()),1)</f>
        <v>1</v>
      </c>
      <c r="O1683" s="217">
        <f t="shared" si="52"/>
        <v>0</v>
      </c>
      <c r="P1683" s="216">
        <f>IF(O1683=0,0,IF(B1683="MAT",G1683*(1+H1683)*L1683*PLAN_ETAPA!$C$5,IF(B1683="MO",IF(M1683=0,0,G1683*L1683*PLAN_ETAPA!$C$5*N1683/M1683),IF(B1683="EQ",IF(M1683=0,0,G1683*L1683*PLAN_ETAPA!$C$5/M1683),0))))</f>
        <v>0</v>
      </c>
      <c r="Q1683" s="218">
        <f t="shared" si="53"/>
        <v>0</v>
      </c>
    </row>
    <row r="1684" spans="1:17" x14ac:dyDescent="0.35">
      <c r="A1684" s="212" t="str">
        <f>COMPOSICIÓN!A1684</f>
        <v>PTO-1828</v>
      </c>
      <c r="B1684" s="212" t="str">
        <f>COMPOSICIÓN!B1684</f>
        <v>MO</v>
      </c>
      <c r="C1684" s="212" t="str">
        <f>COMPOSICIÓN!C1684</f>
        <v>OTR</v>
      </c>
      <c r="D1684" s="212" t="str">
        <f>COMPOSICIÓN!D1684</f>
        <v>SUB-PTO045</v>
      </c>
      <c r="E1684" s="212" t="str">
        <f>COMPOSICIÓN!E1684</f>
        <v>MO Colocación de luz de emergencia - Provisión a cargo del comitente [SUBCONTRATOS]</v>
      </c>
      <c r="F1684" s="212" t="str">
        <f>COMPOSICIÓN!F1684</f>
        <v>j</v>
      </c>
      <c r="G1684" s="213">
        <f>COMPOSICIÓN!G1684</f>
        <v>1</v>
      </c>
      <c r="H1684" s="214">
        <f>COMPOSICIÓN!H1684</f>
        <v>0</v>
      </c>
      <c r="I1684" s="215">
        <f>COMPOSICIÓN!I1684</f>
        <v>18760</v>
      </c>
      <c r="J1684" s="212" t="str">
        <f>IFERROR(VLOOKUP(A1684,PARTIDAS!$A$2:$C$269,3,FALSE()),"")</f>
        <v>INSTALACIÓN ELÉCTRICA</v>
      </c>
      <c r="K1684" s="212" t="str">
        <f>IFERROR(INDEX(PPTO_GENERADOR!$B$4:$B$220,MATCH(A1684,PPTO_GENERADOR!$Q$4:$Q$220,0)),"")</f>
        <v>INSTALACIÓN ELÉCTRICA</v>
      </c>
      <c r="L1684" s="216">
        <f>IF(PLAN_ETAPA!$C$4="(TODOS)",SUMIFS(PPTO_GENERADOR!$E$4:$E$220,PPTO_GENERADOR!$Q$4:$Q$220,A1684),SUMIFS(PPTO_GENERADOR!$E$4:$E$220,PPTO_GENERADOR!$Q$4:$Q$220,A1684,PPTO_GENERADOR!$B$4:$B$220,PLAN_ETAPA!$C$4))</f>
        <v>0</v>
      </c>
      <c r="M1684" s="216">
        <f>IFERROR(VLOOKUP(A1684,PARTIDAS!$A$2:$F$269,6,FALSE()),1)</f>
        <v>1</v>
      </c>
      <c r="N1684" s="216">
        <f>IFERROR(VLOOKUP(A1684,PARTIDAS!$A$2:$I$269,9,FALSE()),1)</f>
        <v>1</v>
      </c>
      <c r="O1684" s="217">
        <f t="shared" si="52"/>
        <v>0</v>
      </c>
      <c r="P1684" s="216">
        <f>IF(O1684=0,0,IF(B1684="MAT",G1684*(1+H1684)*L1684*PLAN_ETAPA!$C$5,IF(B1684="MO",IF(M1684=0,0,G1684*L1684*PLAN_ETAPA!$C$5*N1684/M1684),IF(B1684="EQ",IF(M1684=0,0,G1684*L1684*PLAN_ETAPA!$C$5/M1684),0))))</f>
        <v>0</v>
      </c>
      <c r="Q1684" s="218">
        <f t="shared" si="53"/>
        <v>0</v>
      </c>
    </row>
    <row r="1685" spans="1:17" x14ac:dyDescent="0.35">
      <c r="A1685" s="212" t="str">
        <f>COMPOSICIÓN!A1685</f>
        <v>PTO-1829</v>
      </c>
      <c r="B1685" s="212" t="str">
        <f>COMPOSICIÓN!B1685</f>
        <v>EQ</v>
      </c>
      <c r="C1685" s="212">
        <f>COMPOSICIÓN!C1685</f>
        <v>0</v>
      </c>
      <c r="D1685" s="212" t="str">
        <f>COMPOSICIÓN!D1685</f>
        <v>EQ-PTO090</v>
      </c>
      <c r="E1685" s="212" t="str">
        <f>COMPOSICIÓN!E1685</f>
        <v>Herramientas menores y consumibles - Colocación de semáforo - Provisión a cargo del com</v>
      </c>
      <c r="F1685" s="212">
        <f>COMPOSICIÓN!F1685</f>
        <v>0</v>
      </c>
      <c r="G1685" s="213">
        <f>COMPOSICIÓN!G1685</f>
        <v>1</v>
      </c>
      <c r="H1685" s="214">
        <f>COMPOSICIÓN!H1685</f>
        <v>0</v>
      </c>
      <c r="I1685" s="215">
        <f>COMPOSICIÓN!I1685</f>
        <v>281.39999999999998</v>
      </c>
      <c r="J1685" s="212" t="str">
        <f>IFERROR(VLOOKUP(A1685,PARTIDAS!$A$2:$C$269,3,FALSE()),"")</f>
        <v>INSTALACIÓN ELÉCTRICA</v>
      </c>
      <c r="K1685" s="212" t="str">
        <f>IFERROR(INDEX(PPTO_GENERADOR!$B$4:$B$220,MATCH(A1685,PPTO_GENERADOR!$Q$4:$Q$220,0)),"")</f>
        <v>INSTALACIÓN ELÉCTRICA</v>
      </c>
      <c r="L1685" s="216">
        <f>IF(PLAN_ETAPA!$C$4="(TODOS)",SUMIFS(PPTO_GENERADOR!$E$4:$E$220,PPTO_GENERADOR!$Q$4:$Q$220,A1685),SUMIFS(PPTO_GENERADOR!$E$4:$E$220,PPTO_GENERADOR!$Q$4:$Q$220,A1685,PPTO_GENERADOR!$B$4:$B$220,PLAN_ETAPA!$C$4))</f>
        <v>0</v>
      </c>
      <c r="M1685" s="216">
        <f>IFERROR(VLOOKUP(A1685,PARTIDAS!$A$2:$F$269,6,FALSE()),1)</f>
        <v>1</v>
      </c>
      <c r="N1685" s="216">
        <f>IFERROR(VLOOKUP(A1685,PARTIDAS!$A$2:$I$269,9,FALSE()),1)</f>
        <v>1</v>
      </c>
      <c r="O1685" s="217">
        <f t="shared" si="52"/>
        <v>0</v>
      </c>
      <c r="P1685" s="216">
        <f>IF(O1685=0,0,IF(B1685="MAT",G1685*(1+H1685)*L1685*PLAN_ETAPA!$C$5,IF(B1685="MO",IF(M1685=0,0,G1685*L1685*PLAN_ETAPA!$C$5*N1685/M1685),IF(B1685="EQ",IF(M1685=0,0,G1685*L1685*PLAN_ETAPA!$C$5/M1685),0))))</f>
        <v>0</v>
      </c>
      <c r="Q1685" s="218">
        <f t="shared" si="53"/>
        <v>0</v>
      </c>
    </row>
    <row r="1686" spans="1:17" x14ac:dyDescent="0.35">
      <c r="A1686" s="212" t="str">
        <f>COMPOSICIÓN!A1686</f>
        <v>PTO-1829</v>
      </c>
      <c r="B1686" s="212" t="str">
        <f>COMPOSICIÓN!B1686</f>
        <v>MO</v>
      </c>
      <c r="C1686" s="212" t="str">
        <f>COMPOSICIÓN!C1686</f>
        <v>OTR</v>
      </c>
      <c r="D1686" s="212" t="str">
        <f>COMPOSICIÓN!D1686</f>
        <v>SUB-PTO046</v>
      </c>
      <c r="E1686" s="212" t="str">
        <f>COMPOSICIÓN!E1686</f>
        <v>MO Colocación de semáforo - Provisión a cargo del comitente [SUBCONTRATOS]</v>
      </c>
      <c r="F1686" s="212" t="str">
        <f>COMPOSICIÓN!F1686</f>
        <v>j</v>
      </c>
      <c r="G1686" s="213">
        <f>COMPOSICIÓN!G1686</f>
        <v>1</v>
      </c>
      <c r="H1686" s="214">
        <f>COMPOSICIÓN!H1686</f>
        <v>0</v>
      </c>
      <c r="I1686" s="215">
        <f>COMPOSICIÓN!I1686</f>
        <v>18760</v>
      </c>
      <c r="J1686" s="212" t="str">
        <f>IFERROR(VLOOKUP(A1686,PARTIDAS!$A$2:$C$269,3,FALSE()),"")</f>
        <v>INSTALACIÓN ELÉCTRICA</v>
      </c>
      <c r="K1686" s="212" t="str">
        <f>IFERROR(INDEX(PPTO_GENERADOR!$B$4:$B$220,MATCH(A1686,PPTO_GENERADOR!$Q$4:$Q$220,0)),"")</f>
        <v>INSTALACIÓN ELÉCTRICA</v>
      </c>
      <c r="L1686" s="216">
        <f>IF(PLAN_ETAPA!$C$4="(TODOS)",SUMIFS(PPTO_GENERADOR!$E$4:$E$220,PPTO_GENERADOR!$Q$4:$Q$220,A1686),SUMIFS(PPTO_GENERADOR!$E$4:$E$220,PPTO_GENERADOR!$Q$4:$Q$220,A1686,PPTO_GENERADOR!$B$4:$B$220,PLAN_ETAPA!$C$4))</f>
        <v>0</v>
      </c>
      <c r="M1686" s="216">
        <f>IFERROR(VLOOKUP(A1686,PARTIDAS!$A$2:$F$269,6,FALSE()),1)</f>
        <v>1</v>
      </c>
      <c r="N1686" s="216">
        <f>IFERROR(VLOOKUP(A1686,PARTIDAS!$A$2:$I$269,9,FALSE()),1)</f>
        <v>1</v>
      </c>
      <c r="O1686" s="217">
        <f t="shared" si="52"/>
        <v>0</v>
      </c>
      <c r="P1686" s="216">
        <f>IF(O1686=0,0,IF(B1686="MAT",G1686*(1+H1686)*L1686*PLAN_ETAPA!$C$5,IF(B1686="MO",IF(M1686=0,0,G1686*L1686*PLAN_ETAPA!$C$5*N1686/M1686),IF(B1686="EQ",IF(M1686=0,0,G1686*L1686*PLAN_ETAPA!$C$5/M1686),0))))</f>
        <v>0</v>
      </c>
      <c r="Q1686" s="218">
        <f t="shared" si="53"/>
        <v>0</v>
      </c>
    </row>
    <row r="1687" spans="1:17" x14ac:dyDescent="0.35">
      <c r="A1687" s="212" t="str">
        <f>COMPOSICIÓN!A1687</f>
        <v>PTO-1830</v>
      </c>
      <c r="B1687" s="212" t="str">
        <f>COMPOSICIÓN!B1687</f>
        <v>EQ</v>
      </c>
      <c r="C1687" s="212">
        <f>COMPOSICIÓN!C1687</f>
        <v>0</v>
      </c>
      <c r="D1687" s="212" t="str">
        <f>COMPOSICIÓN!D1687</f>
        <v>EQ-PTO091</v>
      </c>
      <c r="E1687" s="212" t="str">
        <f>COMPOSICIÓN!E1687</f>
        <v>Herramientas menores y consumibles - Colocación artefactos en espacios comunes y balcon</v>
      </c>
      <c r="F1687" s="212">
        <f>COMPOSICIÓN!F1687</f>
        <v>0</v>
      </c>
      <c r="G1687" s="213">
        <f>COMPOSICIÓN!G1687</f>
        <v>1</v>
      </c>
      <c r="H1687" s="214">
        <f>COMPOSICIÓN!H1687</f>
        <v>0</v>
      </c>
      <c r="I1687" s="215">
        <f>COMPOSICIÓN!I1687</f>
        <v>177.24</v>
      </c>
      <c r="J1687" s="212" t="str">
        <f>IFERROR(VLOOKUP(A1687,PARTIDAS!$A$2:$C$269,3,FALSE()),"")</f>
        <v>INSTALACIÓN ELÉCTRICA</v>
      </c>
      <c r="K1687" s="212" t="str">
        <f>IFERROR(INDEX(PPTO_GENERADOR!$B$4:$B$220,MATCH(A1687,PPTO_GENERADOR!$Q$4:$Q$220,0)),"")</f>
        <v>INSTALACIÓN ELÉCTRICA</v>
      </c>
      <c r="L1687" s="216">
        <f>IF(PLAN_ETAPA!$C$4="(TODOS)",SUMIFS(PPTO_GENERADOR!$E$4:$E$220,PPTO_GENERADOR!$Q$4:$Q$220,A1687),SUMIFS(PPTO_GENERADOR!$E$4:$E$220,PPTO_GENERADOR!$Q$4:$Q$220,A1687,PPTO_GENERADOR!$B$4:$B$220,PLAN_ETAPA!$C$4))</f>
        <v>0</v>
      </c>
      <c r="M1687" s="216">
        <f>IFERROR(VLOOKUP(A1687,PARTIDAS!$A$2:$F$269,6,FALSE()),1)</f>
        <v>1</v>
      </c>
      <c r="N1687" s="216">
        <f>IFERROR(VLOOKUP(A1687,PARTIDAS!$A$2:$I$269,9,FALSE()),1)</f>
        <v>1</v>
      </c>
      <c r="O1687" s="217">
        <f t="shared" si="52"/>
        <v>0</v>
      </c>
      <c r="P1687" s="216">
        <f>IF(O1687=0,0,IF(B1687="MAT",G1687*(1+H1687)*L1687*PLAN_ETAPA!$C$5,IF(B1687="MO",IF(M1687=0,0,G1687*L1687*PLAN_ETAPA!$C$5*N1687/M1687),IF(B1687="EQ",IF(M1687=0,0,G1687*L1687*PLAN_ETAPA!$C$5/M1687),0))))</f>
        <v>0</v>
      </c>
      <c r="Q1687" s="218">
        <f t="shared" si="53"/>
        <v>0</v>
      </c>
    </row>
    <row r="1688" spans="1:17" x14ac:dyDescent="0.35">
      <c r="A1688" s="212" t="str">
        <f>COMPOSICIÓN!A1688</f>
        <v>PTO-1830</v>
      </c>
      <c r="B1688" s="212" t="str">
        <f>COMPOSICIÓN!B1688</f>
        <v>MO</v>
      </c>
      <c r="C1688" s="212" t="str">
        <f>COMPOSICIÓN!C1688</f>
        <v>OTR</v>
      </c>
      <c r="D1688" s="212" t="str">
        <f>COMPOSICIÓN!D1688</f>
        <v>SUB-PTO047</v>
      </c>
      <c r="E1688" s="212" t="str">
        <f>COMPOSICIÓN!E1688</f>
        <v>MO Colocación artefactos en espacios comunes y balcones - Provisión a cargo del comitente. NO incluye provisión, ni colocación de artefactos en interior de UF [SUBCONTRATOS]</v>
      </c>
      <c r="F1688" s="212" t="str">
        <f>COMPOSICIÓN!F1688</f>
        <v>j</v>
      </c>
      <c r="G1688" s="213">
        <f>COMPOSICIÓN!G1688</f>
        <v>1</v>
      </c>
      <c r="H1688" s="214">
        <f>COMPOSICIÓN!H1688</f>
        <v>0</v>
      </c>
      <c r="I1688" s="215">
        <f>COMPOSICIÓN!I1688</f>
        <v>11816</v>
      </c>
      <c r="J1688" s="212" t="str">
        <f>IFERROR(VLOOKUP(A1688,PARTIDAS!$A$2:$C$269,3,FALSE()),"")</f>
        <v>INSTALACIÓN ELÉCTRICA</v>
      </c>
      <c r="K1688" s="212" t="str">
        <f>IFERROR(INDEX(PPTO_GENERADOR!$B$4:$B$220,MATCH(A1688,PPTO_GENERADOR!$Q$4:$Q$220,0)),"")</f>
        <v>INSTALACIÓN ELÉCTRICA</v>
      </c>
      <c r="L1688" s="216">
        <f>IF(PLAN_ETAPA!$C$4="(TODOS)",SUMIFS(PPTO_GENERADOR!$E$4:$E$220,PPTO_GENERADOR!$Q$4:$Q$220,A1688),SUMIFS(PPTO_GENERADOR!$E$4:$E$220,PPTO_GENERADOR!$Q$4:$Q$220,A1688,PPTO_GENERADOR!$B$4:$B$220,PLAN_ETAPA!$C$4))</f>
        <v>0</v>
      </c>
      <c r="M1688" s="216">
        <f>IFERROR(VLOOKUP(A1688,PARTIDAS!$A$2:$F$269,6,FALSE()),1)</f>
        <v>1</v>
      </c>
      <c r="N1688" s="216">
        <f>IFERROR(VLOOKUP(A1688,PARTIDAS!$A$2:$I$269,9,FALSE()),1)</f>
        <v>1</v>
      </c>
      <c r="O1688" s="217">
        <f t="shared" si="52"/>
        <v>0</v>
      </c>
      <c r="P1688" s="216">
        <f>IF(O1688=0,0,IF(B1688="MAT",G1688*(1+H1688)*L1688*PLAN_ETAPA!$C$5,IF(B1688="MO",IF(M1688=0,0,G1688*L1688*PLAN_ETAPA!$C$5*N1688/M1688),IF(B1688="EQ",IF(M1688=0,0,G1688*L1688*PLAN_ETAPA!$C$5/M1688),0))))</f>
        <v>0</v>
      </c>
      <c r="Q1688" s="218">
        <f t="shared" si="53"/>
        <v>0</v>
      </c>
    </row>
    <row r="1689" spans="1:17" x14ac:dyDescent="0.35">
      <c r="A1689" s="212" t="str">
        <f>COMPOSICIÓN!A1689</f>
        <v>PTO-1831</v>
      </c>
      <c r="B1689" s="212" t="str">
        <f>COMPOSICIÓN!B1689</f>
        <v>EQ</v>
      </c>
      <c r="C1689" s="212">
        <f>COMPOSICIÓN!C1689</f>
        <v>0</v>
      </c>
      <c r="D1689" s="212" t="str">
        <f>COMPOSICIÓN!D1689</f>
        <v>EQ-PTO122</v>
      </c>
      <c r="E1689" s="212" t="str">
        <f>COMPOSICIÓN!E1689</f>
        <v>Herramientas y consumibles - PTO-1831 ACOMETIDA</v>
      </c>
      <c r="F1689" s="212">
        <f>COMPOSICIÓN!F1689</f>
        <v>0</v>
      </c>
      <c r="G1689" s="213">
        <f>COMPOSICIÓN!G1689</f>
        <v>1</v>
      </c>
      <c r="H1689" s="214">
        <f>COMPOSICIÓN!H1689</f>
        <v>0</v>
      </c>
      <c r="I1689" s="215">
        <f>COMPOSICIÓN!I1689</f>
        <v>61176.021690000001</v>
      </c>
      <c r="J1689" s="212" t="str">
        <f>IFERROR(VLOOKUP(A1689,PARTIDAS!$A$2:$C$269,3,FALSE()),"")</f>
        <v>INSTALACIÓN ELÉCTRICA</v>
      </c>
      <c r="K1689" s="212" t="str">
        <f>IFERROR(INDEX(PPTO_GENERADOR!$B$4:$B$220,MATCH(A1689,PPTO_GENERADOR!$Q$4:$Q$220,0)),"")</f>
        <v>INSTALACIÓN ELÉCTRICA</v>
      </c>
      <c r="L1689" s="216">
        <f>IF(PLAN_ETAPA!$C$4="(TODOS)",SUMIFS(PPTO_GENERADOR!$E$4:$E$220,PPTO_GENERADOR!$Q$4:$Q$220,A1689),SUMIFS(PPTO_GENERADOR!$E$4:$E$220,PPTO_GENERADOR!$Q$4:$Q$220,A1689,PPTO_GENERADOR!$B$4:$B$220,PLAN_ETAPA!$C$4))</f>
        <v>0</v>
      </c>
      <c r="M1689" s="216">
        <f>IFERROR(VLOOKUP(A1689,PARTIDAS!$A$2:$F$269,6,FALSE()),1)</f>
        <v>1</v>
      </c>
      <c r="N1689" s="216">
        <f>IFERROR(VLOOKUP(A1689,PARTIDAS!$A$2:$I$269,9,FALSE()),1)</f>
        <v>1</v>
      </c>
      <c r="O1689" s="217">
        <f t="shared" si="52"/>
        <v>0</v>
      </c>
      <c r="P1689" s="216">
        <f>IF(O1689=0,0,IF(B1689="MAT",G1689*(1+H1689)*L1689*PLAN_ETAPA!$C$5,IF(B1689="MO",IF(M1689=0,0,G1689*L1689*PLAN_ETAPA!$C$5*N1689/M1689),IF(B1689="EQ",IF(M1689=0,0,G1689*L1689*PLAN_ETAPA!$C$5/M1689),0))))</f>
        <v>0</v>
      </c>
      <c r="Q1689" s="218">
        <f t="shared" si="53"/>
        <v>0</v>
      </c>
    </row>
    <row r="1690" spans="1:17" x14ac:dyDescent="0.35">
      <c r="A1690" s="212" t="str">
        <f>COMPOSICIÓN!A1690</f>
        <v>PTO-1831</v>
      </c>
      <c r="B1690" s="212" t="str">
        <f>COMPOSICIÓN!B1690</f>
        <v>MAT</v>
      </c>
      <c r="C1690" s="212" t="str">
        <f>COMPOSICIÓN!C1690</f>
        <v>OTR</v>
      </c>
      <c r="D1690" s="212" t="str">
        <f>COMPOSICIÓN!D1690</f>
        <v>MAT-CONS</v>
      </c>
      <c r="E1690" s="212" t="str">
        <f>COMPOSICIÓN!E1690</f>
        <v>Consumibles</v>
      </c>
      <c r="F1690" s="212" t="str">
        <f>COMPOSICIÓN!F1690</f>
        <v>gl</v>
      </c>
      <c r="G1690" s="213">
        <f>COMPOSICIÓN!G1690</f>
        <v>401194.20600000001</v>
      </c>
      <c r="H1690" s="214">
        <f>COMPOSICIÓN!H1690</f>
        <v>0</v>
      </c>
      <c r="I1690" s="215">
        <f>COMPOSICIÓN!I1690</f>
        <v>1</v>
      </c>
      <c r="J1690" s="212" t="str">
        <f>IFERROR(VLOOKUP(A1690,PARTIDAS!$A$2:$C$269,3,FALSE()),"")</f>
        <v>INSTALACIÓN ELÉCTRICA</v>
      </c>
      <c r="K1690" s="212" t="str">
        <f>IFERROR(INDEX(PPTO_GENERADOR!$B$4:$B$220,MATCH(A1690,PPTO_GENERADOR!$Q$4:$Q$220,0)),"")</f>
        <v>INSTALACIÓN ELÉCTRICA</v>
      </c>
      <c r="L1690" s="216">
        <f>IF(PLAN_ETAPA!$C$4="(TODOS)",SUMIFS(PPTO_GENERADOR!$E$4:$E$220,PPTO_GENERADOR!$Q$4:$Q$220,A1690),SUMIFS(PPTO_GENERADOR!$E$4:$E$220,PPTO_GENERADOR!$Q$4:$Q$220,A1690,PPTO_GENERADOR!$B$4:$B$220,PLAN_ETAPA!$C$4))</f>
        <v>0</v>
      </c>
      <c r="M1690" s="216">
        <f>IFERROR(VLOOKUP(A1690,PARTIDAS!$A$2:$F$269,6,FALSE()),1)</f>
        <v>1</v>
      </c>
      <c r="N1690" s="216">
        <f>IFERROR(VLOOKUP(A1690,PARTIDAS!$A$2:$I$269,9,FALSE()),1)</f>
        <v>1</v>
      </c>
      <c r="O1690" s="217">
        <f t="shared" si="52"/>
        <v>0</v>
      </c>
      <c r="P1690" s="216">
        <f>IF(O1690=0,0,IF(B1690="MAT",G1690*(1+H1690)*L1690*PLAN_ETAPA!$C$5,IF(B1690="MO",IF(M1690=0,0,G1690*L1690*PLAN_ETAPA!$C$5*N1690/M1690),IF(B1690="EQ",IF(M1690=0,0,G1690*L1690*PLAN_ETAPA!$C$5/M1690),0))))</f>
        <v>0</v>
      </c>
      <c r="Q1690" s="218">
        <f t="shared" si="53"/>
        <v>0</v>
      </c>
    </row>
    <row r="1691" spans="1:17" x14ac:dyDescent="0.35">
      <c r="A1691" s="212" t="str">
        <f>COMPOSICIÓN!A1691</f>
        <v>PTO-1831</v>
      </c>
      <c r="B1691" s="212" t="str">
        <f>COMPOSICIÓN!B1691</f>
        <v>MAT</v>
      </c>
      <c r="C1691" s="212" t="str">
        <f>COMPOSICIÓN!C1691</f>
        <v>OTR</v>
      </c>
      <c r="D1691" s="212" t="str">
        <f>COMPOSICIÓN!D1691</f>
        <v>OTR-PTO183</v>
      </c>
      <c r="E1691" s="212" t="str">
        <f>COMPOSICIÓN!E1691</f>
        <v>M SUBTERRANEO N IRAM 1X 120MM2 (1 x 120)</v>
      </c>
      <c r="F1691" s="212" t="str">
        <f>COMPOSICIÓN!F1691</f>
        <v>ml</v>
      </c>
      <c r="G1691" s="213">
        <f>COMPOSICIÓN!G1691</f>
        <v>10</v>
      </c>
      <c r="H1691" s="214">
        <f>COMPOSICIÓN!H1691</f>
        <v>0</v>
      </c>
      <c r="I1691" s="215">
        <f>COMPOSICIÓN!I1691</f>
        <v>20537.45</v>
      </c>
      <c r="J1691" s="212" t="str">
        <f>IFERROR(VLOOKUP(A1691,PARTIDAS!$A$2:$C$269,3,FALSE()),"")</f>
        <v>INSTALACIÓN ELÉCTRICA</v>
      </c>
      <c r="K1691" s="212" t="str">
        <f>IFERROR(INDEX(PPTO_GENERADOR!$B$4:$B$220,MATCH(A1691,PPTO_GENERADOR!$Q$4:$Q$220,0)),"")</f>
        <v>INSTALACIÓN ELÉCTRICA</v>
      </c>
      <c r="L1691" s="216">
        <f>IF(PLAN_ETAPA!$C$4="(TODOS)",SUMIFS(PPTO_GENERADOR!$E$4:$E$220,PPTO_GENERADOR!$Q$4:$Q$220,A1691),SUMIFS(PPTO_GENERADOR!$E$4:$E$220,PPTO_GENERADOR!$Q$4:$Q$220,A1691,PPTO_GENERADOR!$B$4:$B$220,PLAN_ETAPA!$C$4))</f>
        <v>0</v>
      </c>
      <c r="M1691" s="216">
        <f>IFERROR(VLOOKUP(A1691,PARTIDAS!$A$2:$F$269,6,FALSE()),1)</f>
        <v>1</v>
      </c>
      <c r="N1691" s="216">
        <f>IFERROR(VLOOKUP(A1691,PARTIDAS!$A$2:$I$269,9,FALSE()),1)</f>
        <v>1</v>
      </c>
      <c r="O1691" s="217">
        <f t="shared" si="52"/>
        <v>0</v>
      </c>
      <c r="P1691" s="216">
        <f>IF(O1691=0,0,IF(B1691="MAT",G1691*(1+H1691)*L1691*PLAN_ETAPA!$C$5,IF(B1691="MO",IF(M1691=0,0,G1691*L1691*PLAN_ETAPA!$C$5*N1691/M1691),IF(B1691="EQ",IF(M1691=0,0,G1691*L1691*PLAN_ETAPA!$C$5/M1691),0))))</f>
        <v>0</v>
      </c>
      <c r="Q1691" s="218">
        <f t="shared" si="53"/>
        <v>0</v>
      </c>
    </row>
    <row r="1692" spans="1:17" x14ac:dyDescent="0.35">
      <c r="A1692" s="212" t="str">
        <f>COMPOSICIÓN!A1692</f>
        <v>PTO-1831</v>
      </c>
      <c r="B1692" s="212" t="str">
        <f>COMPOSICIÓN!B1692</f>
        <v>MAT</v>
      </c>
      <c r="C1692" s="212" t="str">
        <f>COMPOSICIÓN!C1692</f>
        <v>OTR</v>
      </c>
      <c r="D1692" s="212" t="str">
        <f>COMPOSICIÓN!D1692</f>
        <v>OTR-PTO184</v>
      </c>
      <c r="E1692" s="212" t="str">
        <f>COMPOSICIÓN!E1692</f>
        <v>[66039162] GAB 4 MED TRIF C/TM + DIF (EDENOR)</v>
      </c>
      <c r="F1692" s="212" t="str">
        <f>COMPOSICIÓN!F1692</f>
        <v>u</v>
      </c>
      <c r="G1692" s="213">
        <f>COMPOSICIÓN!G1692</f>
        <v>2</v>
      </c>
      <c r="H1692" s="214">
        <f>COMPOSICIÓN!H1692</f>
        <v>0</v>
      </c>
      <c r="I1692" s="215">
        <f>COMPOSICIÓN!I1692</f>
        <v>832346.42</v>
      </c>
      <c r="J1692" s="212" t="str">
        <f>IFERROR(VLOOKUP(A1692,PARTIDAS!$A$2:$C$269,3,FALSE()),"")</f>
        <v>INSTALACIÓN ELÉCTRICA</v>
      </c>
      <c r="K1692" s="212" t="str">
        <f>IFERROR(INDEX(PPTO_GENERADOR!$B$4:$B$220,MATCH(A1692,PPTO_GENERADOR!$Q$4:$Q$220,0)),"")</f>
        <v>INSTALACIÓN ELÉCTRICA</v>
      </c>
      <c r="L1692" s="216">
        <f>IF(PLAN_ETAPA!$C$4="(TODOS)",SUMIFS(PPTO_GENERADOR!$E$4:$E$220,PPTO_GENERADOR!$Q$4:$Q$220,A1692),SUMIFS(PPTO_GENERADOR!$E$4:$E$220,PPTO_GENERADOR!$Q$4:$Q$220,A1692,PPTO_GENERADOR!$B$4:$B$220,PLAN_ETAPA!$C$4))</f>
        <v>0</v>
      </c>
      <c r="M1692" s="216">
        <f>IFERROR(VLOOKUP(A1692,PARTIDAS!$A$2:$F$269,6,FALSE()),1)</f>
        <v>1</v>
      </c>
      <c r="N1692" s="216">
        <f>IFERROR(VLOOKUP(A1692,PARTIDAS!$A$2:$I$269,9,FALSE()),1)</f>
        <v>1</v>
      </c>
      <c r="O1692" s="217">
        <f t="shared" si="52"/>
        <v>0</v>
      </c>
      <c r="P1692" s="216">
        <f>IF(O1692=0,0,IF(B1692="MAT",G1692*(1+H1692)*L1692*PLAN_ETAPA!$C$5,IF(B1692="MO",IF(M1692=0,0,G1692*L1692*PLAN_ETAPA!$C$5*N1692/M1692),IF(B1692="EQ",IF(M1692=0,0,G1692*L1692*PLAN_ETAPA!$C$5/M1692),0))))</f>
        <v>0</v>
      </c>
      <c r="Q1692" s="218">
        <f t="shared" si="53"/>
        <v>0</v>
      </c>
    </row>
    <row r="1693" spans="1:17" x14ac:dyDescent="0.35">
      <c r="A1693" s="212" t="str">
        <f>COMPOSICIÓN!A1693</f>
        <v>PTO-1831</v>
      </c>
      <c r="B1693" s="212" t="str">
        <f>COMPOSICIÓN!B1693</f>
        <v>MAT</v>
      </c>
      <c r="C1693" s="212" t="str">
        <f>COMPOSICIÓN!C1693</f>
        <v>OTR</v>
      </c>
      <c r="D1693" s="212" t="str">
        <f>COMPOSICIÓN!D1693</f>
        <v>OTR-PTO185</v>
      </c>
      <c r="E1693" s="212" t="str">
        <f>COMPOSICIÓN!E1693</f>
        <v>[66039155] GAB 1 MED TRIF C/TM + DIF (EDENOR)</v>
      </c>
      <c r="F1693" s="212" t="str">
        <f>COMPOSICIÓN!F1693</f>
        <v>u</v>
      </c>
      <c r="G1693" s="213">
        <f>COMPOSICIÓN!G1693</f>
        <v>1</v>
      </c>
      <c r="H1693" s="214">
        <f>COMPOSICIÓN!H1693</f>
        <v>0</v>
      </c>
      <c r="I1693" s="215">
        <f>COMPOSICIÓN!I1693</f>
        <v>210583.05</v>
      </c>
      <c r="J1693" s="212" t="str">
        <f>IFERROR(VLOOKUP(A1693,PARTIDAS!$A$2:$C$269,3,FALSE()),"")</f>
        <v>INSTALACIÓN ELÉCTRICA</v>
      </c>
      <c r="K1693" s="212" t="str">
        <f>IFERROR(INDEX(PPTO_GENERADOR!$B$4:$B$220,MATCH(A1693,PPTO_GENERADOR!$Q$4:$Q$220,0)),"")</f>
        <v>INSTALACIÓN ELÉCTRICA</v>
      </c>
      <c r="L1693" s="216">
        <f>IF(PLAN_ETAPA!$C$4="(TODOS)",SUMIFS(PPTO_GENERADOR!$E$4:$E$220,PPTO_GENERADOR!$Q$4:$Q$220,A1693),SUMIFS(PPTO_GENERADOR!$E$4:$E$220,PPTO_GENERADOR!$Q$4:$Q$220,A1693,PPTO_GENERADOR!$B$4:$B$220,PLAN_ETAPA!$C$4))</f>
        <v>0</v>
      </c>
      <c r="M1693" s="216">
        <f>IFERROR(VLOOKUP(A1693,PARTIDAS!$A$2:$F$269,6,FALSE()),1)</f>
        <v>1</v>
      </c>
      <c r="N1693" s="216">
        <f>IFERROR(VLOOKUP(A1693,PARTIDAS!$A$2:$I$269,9,FALSE()),1)</f>
        <v>1</v>
      </c>
      <c r="O1693" s="217">
        <f t="shared" si="52"/>
        <v>0</v>
      </c>
      <c r="P1693" s="216">
        <f>IF(O1693=0,0,IF(B1693="MAT",G1693*(1+H1693)*L1693*PLAN_ETAPA!$C$5,IF(B1693="MO",IF(M1693=0,0,G1693*L1693*PLAN_ETAPA!$C$5*N1693/M1693),IF(B1693="EQ",IF(M1693=0,0,G1693*L1693*PLAN_ETAPA!$C$5/M1693),0))))</f>
        <v>0</v>
      </c>
      <c r="Q1693" s="218">
        <f t="shared" si="53"/>
        <v>0</v>
      </c>
    </row>
    <row r="1694" spans="1:17" x14ac:dyDescent="0.35">
      <c r="A1694" s="212" t="str">
        <f>COMPOSICIÓN!A1694</f>
        <v>PTO-1831</v>
      </c>
      <c r="B1694" s="212" t="str">
        <f>COMPOSICIÓN!B1694</f>
        <v>MAT</v>
      </c>
      <c r="C1694" s="212" t="str">
        <f>COMPOSICIÓN!C1694</f>
        <v>OTR</v>
      </c>
      <c r="D1694" s="212" t="str">
        <f>COMPOSICIÓN!D1694</f>
        <v>OTR-PTO186</v>
      </c>
      <c r="E1694" s="212" t="str">
        <f>COMPOSICIÓN!E1694</f>
        <v>[62009010] CAJA TOMA 500A C/ 6 BASES NH (EDENOR)</v>
      </c>
      <c r="F1694" s="212" t="str">
        <f>COMPOSICIÓN!F1694</f>
        <v>u</v>
      </c>
      <c r="G1694" s="213">
        <f>COMPOSICIÓN!G1694</f>
        <v>1</v>
      </c>
      <c r="H1694" s="214">
        <f>COMPOSICIÓN!H1694</f>
        <v>0</v>
      </c>
      <c r="I1694" s="215">
        <f>COMPOSICIÓN!I1694</f>
        <v>462872.16</v>
      </c>
      <c r="J1694" s="212" t="str">
        <f>IFERROR(VLOOKUP(A1694,PARTIDAS!$A$2:$C$269,3,FALSE()),"")</f>
        <v>INSTALACIÓN ELÉCTRICA</v>
      </c>
      <c r="K1694" s="212" t="str">
        <f>IFERROR(INDEX(PPTO_GENERADOR!$B$4:$B$220,MATCH(A1694,PPTO_GENERADOR!$Q$4:$Q$220,0)),"")</f>
        <v>INSTALACIÓN ELÉCTRICA</v>
      </c>
      <c r="L1694" s="216">
        <f>IF(PLAN_ETAPA!$C$4="(TODOS)",SUMIFS(PPTO_GENERADOR!$E$4:$E$220,PPTO_GENERADOR!$Q$4:$Q$220,A1694),SUMIFS(PPTO_GENERADOR!$E$4:$E$220,PPTO_GENERADOR!$Q$4:$Q$220,A1694,PPTO_GENERADOR!$B$4:$B$220,PLAN_ETAPA!$C$4))</f>
        <v>0</v>
      </c>
      <c r="M1694" s="216">
        <f>IFERROR(VLOOKUP(A1694,PARTIDAS!$A$2:$F$269,6,FALSE()),1)</f>
        <v>1</v>
      </c>
      <c r="N1694" s="216">
        <f>IFERROR(VLOOKUP(A1694,PARTIDAS!$A$2:$I$269,9,FALSE()),1)</f>
        <v>1</v>
      </c>
      <c r="O1694" s="217">
        <f t="shared" si="52"/>
        <v>0</v>
      </c>
      <c r="P1694" s="216">
        <f>IF(O1694=0,0,IF(B1694="MAT",G1694*(1+H1694)*L1694*PLAN_ETAPA!$C$5,IF(B1694="MO",IF(M1694=0,0,G1694*L1694*PLAN_ETAPA!$C$5*N1694/M1694),IF(B1694="EQ",IF(M1694=0,0,G1694*L1694*PLAN_ETAPA!$C$5/M1694),0))))</f>
        <v>0</v>
      </c>
      <c r="Q1694" s="218">
        <f t="shared" si="53"/>
        <v>0</v>
      </c>
    </row>
    <row r="1695" spans="1:17" x14ac:dyDescent="0.35">
      <c r="A1695" s="212" t="str">
        <f>COMPOSICIÓN!A1695</f>
        <v>PTO-1831</v>
      </c>
      <c r="B1695" s="212" t="str">
        <f>COMPOSICIÓN!B1695</f>
        <v>MAT</v>
      </c>
      <c r="C1695" s="212" t="str">
        <f>COMPOSICIÓN!C1695</f>
        <v>OTR</v>
      </c>
      <c r="D1695" s="212" t="str">
        <f>COMPOSICIÓN!D1695</f>
        <v>OTR-PTO187</v>
      </c>
      <c r="E1695" s="212" t="str">
        <f>COMPOSICIÓN!E1695</f>
        <v>Fusible NH 00 63 A</v>
      </c>
      <c r="F1695" s="212" t="str">
        <f>COMPOSICIÓN!F1695</f>
        <v>u</v>
      </c>
      <c r="G1695" s="213">
        <f>COMPOSICIÓN!G1695</f>
        <v>27</v>
      </c>
      <c r="H1695" s="214">
        <f>COMPOSICIÓN!H1695</f>
        <v>0</v>
      </c>
      <c r="I1695" s="215">
        <f>COMPOSICIÓN!I1695</f>
        <v>3784.33</v>
      </c>
      <c r="J1695" s="212" t="str">
        <f>IFERROR(VLOOKUP(A1695,PARTIDAS!$A$2:$C$269,3,FALSE()),"")</f>
        <v>INSTALACIÓN ELÉCTRICA</v>
      </c>
      <c r="K1695" s="212" t="str">
        <f>IFERROR(INDEX(PPTO_GENERADOR!$B$4:$B$220,MATCH(A1695,PPTO_GENERADOR!$Q$4:$Q$220,0)),"")</f>
        <v>INSTALACIÓN ELÉCTRICA</v>
      </c>
      <c r="L1695" s="216">
        <f>IF(PLAN_ETAPA!$C$4="(TODOS)",SUMIFS(PPTO_GENERADOR!$E$4:$E$220,PPTO_GENERADOR!$Q$4:$Q$220,A1695),SUMIFS(PPTO_GENERADOR!$E$4:$E$220,PPTO_GENERADOR!$Q$4:$Q$220,A1695,PPTO_GENERADOR!$B$4:$B$220,PLAN_ETAPA!$C$4))</f>
        <v>0</v>
      </c>
      <c r="M1695" s="216">
        <f>IFERROR(VLOOKUP(A1695,PARTIDAS!$A$2:$F$269,6,FALSE()),1)</f>
        <v>1</v>
      </c>
      <c r="N1695" s="216">
        <f>IFERROR(VLOOKUP(A1695,PARTIDAS!$A$2:$I$269,9,FALSE()),1)</f>
        <v>1</v>
      </c>
      <c r="O1695" s="217">
        <f t="shared" si="52"/>
        <v>0</v>
      </c>
      <c r="P1695" s="216">
        <f>IF(O1695=0,0,IF(B1695="MAT",G1695*(1+H1695)*L1695*PLAN_ETAPA!$C$5,IF(B1695="MO",IF(M1695=0,0,G1695*L1695*PLAN_ETAPA!$C$5*N1695/M1695),IF(B1695="EQ",IF(M1695=0,0,G1695*L1695*PLAN_ETAPA!$C$5/M1695),0))))</f>
        <v>0</v>
      </c>
      <c r="Q1695" s="218">
        <f t="shared" si="53"/>
        <v>0</v>
      </c>
    </row>
    <row r="1696" spans="1:17" x14ac:dyDescent="0.35">
      <c r="A1696" s="212" t="str">
        <f>COMPOSICIÓN!A1696</f>
        <v>PTO-1831</v>
      </c>
      <c r="B1696" s="212" t="str">
        <f>COMPOSICIÓN!B1696</f>
        <v>MAT</v>
      </c>
      <c r="C1696" s="212" t="str">
        <f>COMPOSICIÓN!C1696</f>
        <v>OTR</v>
      </c>
      <c r="D1696" s="212" t="str">
        <f>COMPOSICIÓN!D1696</f>
        <v>OTR-PTO188</v>
      </c>
      <c r="E1696" s="212" t="str">
        <f>COMPOSICIÓN!E1696</f>
        <v>Fusible NH 02 a 125 A</v>
      </c>
      <c r="F1696" s="212" t="str">
        <f>COMPOSICIÓN!F1696</f>
        <v>u</v>
      </c>
      <c r="G1696" s="213">
        <f>COMPOSICIÓN!G1696</f>
        <v>3</v>
      </c>
      <c r="H1696" s="214">
        <f>COMPOSICIÓN!H1696</f>
        <v>0</v>
      </c>
      <c r="I1696" s="215">
        <f>COMPOSICIÓN!I1696</f>
        <v>9642.86</v>
      </c>
      <c r="J1696" s="212" t="str">
        <f>IFERROR(VLOOKUP(A1696,PARTIDAS!$A$2:$C$269,3,FALSE()),"")</f>
        <v>INSTALACIÓN ELÉCTRICA</v>
      </c>
      <c r="K1696" s="212" t="str">
        <f>IFERROR(INDEX(PPTO_GENERADOR!$B$4:$B$220,MATCH(A1696,PPTO_GENERADOR!$Q$4:$Q$220,0)),"")</f>
        <v>INSTALACIÓN ELÉCTRICA</v>
      </c>
      <c r="L1696" s="216">
        <f>IF(PLAN_ETAPA!$C$4="(TODOS)",SUMIFS(PPTO_GENERADOR!$E$4:$E$220,PPTO_GENERADOR!$Q$4:$Q$220,A1696),SUMIFS(PPTO_GENERADOR!$E$4:$E$220,PPTO_GENERADOR!$Q$4:$Q$220,A1696,PPTO_GENERADOR!$B$4:$B$220,PLAN_ETAPA!$C$4))</f>
        <v>0</v>
      </c>
      <c r="M1696" s="216">
        <f>IFERROR(VLOOKUP(A1696,PARTIDAS!$A$2:$F$269,6,FALSE()),1)</f>
        <v>1</v>
      </c>
      <c r="N1696" s="216">
        <f>IFERROR(VLOOKUP(A1696,PARTIDAS!$A$2:$I$269,9,FALSE()),1)</f>
        <v>1</v>
      </c>
      <c r="O1696" s="217">
        <f t="shared" si="52"/>
        <v>0</v>
      </c>
      <c r="P1696" s="216">
        <f>IF(O1696=0,0,IF(B1696="MAT",G1696*(1+H1696)*L1696*PLAN_ETAPA!$C$5,IF(B1696="MO",IF(M1696=0,0,G1696*L1696*PLAN_ETAPA!$C$5*N1696/M1696),IF(B1696="EQ",IF(M1696=0,0,G1696*L1696*PLAN_ETAPA!$C$5/M1696),0))))</f>
        <v>0</v>
      </c>
      <c r="Q1696" s="218">
        <f t="shared" si="53"/>
        <v>0</v>
      </c>
    </row>
    <row r="1697" spans="1:17" x14ac:dyDescent="0.35">
      <c r="A1697" s="212" t="str">
        <f>COMPOSICIÓN!A1697</f>
        <v>PTO-1831</v>
      </c>
      <c r="B1697" s="212" t="str">
        <f>COMPOSICIÓN!B1697</f>
        <v>MO</v>
      </c>
      <c r="C1697" s="212" t="str">
        <f>COMPOSICIÓN!C1697</f>
        <v>OTR</v>
      </c>
      <c r="D1697" s="212" t="str">
        <f>COMPOSICIÓN!D1697</f>
        <v>SUB-CACOM</v>
      </c>
      <c r="E1697" s="212" t="str">
        <f>COMPOSICIÓN!E1697</f>
        <v>Caño de acometida</v>
      </c>
      <c r="F1697" s="212" t="str">
        <f>COMPOSICIÓN!F1697</f>
        <v>j</v>
      </c>
      <c r="G1697" s="213">
        <f>COMPOSICIÓN!G1697</f>
        <v>1</v>
      </c>
      <c r="H1697" s="214">
        <f>COMPOSICIÓN!H1697</f>
        <v>0</v>
      </c>
      <c r="I1697" s="215">
        <f>COMPOSICIÓN!I1697</f>
        <v>90526.8</v>
      </c>
      <c r="J1697" s="212" t="str">
        <f>IFERROR(VLOOKUP(A1697,PARTIDAS!$A$2:$C$269,3,FALSE()),"")</f>
        <v>INSTALACIÓN ELÉCTRICA</v>
      </c>
      <c r="K1697" s="212" t="str">
        <f>IFERROR(INDEX(PPTO_GENERADOR!$B$4:$B$220,MATCH(A1697,PPTO_GENERADOR!$Q$4:$Q$220,0)),"")</f>
        <v>INSTALACIÓN ELÉCTRICA</v>
      </c>
      <c r="L1697" s="216">
        <f>IF(PLAN_ETAPA!$C$4="(TODOS)",SUMIFS(PPTO_GENERADOR!$E$4:$E$220,PPTO_GENERADOR!$Q$4:$Q$220,A1697),SUMIFS(PPTO_GENERADOR!$E$4:$E$220,PPTO_GENERADOR!$Q$4:$Q$220,A1697,PPTO_GENERADOR!$B$4:$B$220,PLAN_ETAPA!$C$4))</f>
        <v>0</v>
      </c>
      <c r="M1697" s="216">
        <f>IFERROR(VLOOKUP(A1697,PARTIDAS!$A$2:$F$269,6,FALSE()),1)</f>
        <v>1</v>
      </c>
      <c r="N1697" s="216">
        <f>IFERROR(VLOOKUP(A1697,PARTIDAS!$A$2:$I$269,9,FALSE()),1)</f>
        <v>1</v>
      </c>
      <c r="O1697" s="217">
        <f t="shared" si="52"/>
        <v>0</v>
      </c>
      <c r="P1697" s="216">
        <f>IF(O1697=0,0,IF(B1697="MAT",G1697*(1+H1697)*L1697*PLAN_ETAPA!$C$5,IF(B1697="MO",IF(M1697=0,0,G1697*L1697*PLAN_ETAPA!$C$5*N1697/M1697),IF(B1697="EQ",IF(M1697=0,0,G1697*L1697*PLAN_ETAPA!$C$5/M1697),0))))</f>
        <v>0</v>
      </c>
      <c r="Q1697" s="218">
        <f t="shared" si="53"/>
        <v>0</v>
      </c>
    </row>
    <row r="1698" spans="1:17" x14ac:dyDescent="0.35">
      <c r="A1698" s="212" t="str">
        <f>COMPOSICIÓN!A1698</f>
        <v>PTO-1831</v>
      </c>
      <c r="B1698" s="212" t="str">
        <f>COMPOSICIÓN!B1698</f>
        <v>MO</v>
      </c>
      <c r="C1698" s="212" t="str">
        <f>COMPOSICIÓN!C1698</f>
        <v>OTR</v>
      </c>
      <c r="D1698" s="212" t="str">
        <f>COMPOSICIÓN!D1698</f>
        <v>SUB-CAJTOM</v>
      </c>
      <c r="E1698" s="212" t="str">
        <f>COMPOSICIÓN!E1698</f>
        <v>Caja de toma</v>
      </c>
      <c r="F1698" s="212" t="str">
        <f>COMPOSICIÓN!F1698</f>
        <v>j</v>
      </c>
      <c r="G1698" s="213">
        <f>COMPOSICIÓN!G1698</f>
        <v>1</v>
      </c>
      <c r="H1698" s="214">
        <f>COMPOSICIÓN!H1698</f>
        <v>0</v>
      </c>
      <c r="I1698" s="215">
        <f>COMPOSICIÓN!I1698</f>
        <v>129373.3</v>
      </c>
      <c r="J1698" s="212" t="str">
        <f>IFERROR(VLOOKUP(A1698,PARTIDAS!$A$2:$C$269,3,FALSE()),"")</f>
        <v>INSTALACIÓN ELÉCTRICA</v>
      </c>
      <c r="K1698" s="212" t="str">
        <f>IFERROR(INDEX(PPTO_GENERADOR!$B$4:$B$220,MATCH(A1698,PPTO_GENERADOR!$Q$4:$Q$220,0)),"")</f>
        <v>INSTALACIÓN ELÉCTRICA</v>
      </c>
      <c r="L1698" s="216">
        <f>IF(PLAN_ETAPA!$C$4="(TODOS)",SUMIFS(PPTO_GENERADOR!$E$4:$E$220,PPTO_GENERADOR!$Q$4:$Q$220,A1698),SUMIFS(PPTO_GENERADOR!$E$4:$E$220,PPTO_GENERADOR!$Q$4:$Q$220,A1698,PPTO_GENERADOR!$B$4:$B$220,PLAN_ETAPA!$C$4))</f>
        <v>0</v>
      </c>
      <c r="M1698" s="216">
        <f>IFERROR(VLOOKUP(A1698,PARTIDAS!$A$2:$F$269,6,FALSE()),1)</f>
        <v>1</v>
      </c>
      <c r="N1698" s="216">
        <f>IFERROR(VLOOKUP(A1698,PARTIDAS!$A$2:$I$269,9,FALSE()),1)</f>
        <v>1</v>
      </c>
      <c r="O1698" s="217">
        <f t="shared" si="52"/>
        <v>0</v>
      </c>
      <c r="P1698" s="216">
        <f>IF(O1698=0,0,IF(B1698="MAT",G1698*(1+H1698)*L1698*PLAN_ETAPA!$C$5,IF(B1698="MO",IF(M1698=0,0,G1698*L1698*PLAN_ETAPA!$C$5*N1698/M1698),IF(B1698="EQ",IF(M1698=0,0,G1698*L1698*PLAN_ETAPA!$C$5/M1698),0))))</f>
        <v>0</v>
      </c>
      <c r="Q1698" s="218">
        <f t="shared" si="53"/>
        <v>0</v>
      </c>
    </row>
    <row r="1699" spans="1:17" x14ac:dyDescent="0.35">
      <c r="A1699" s="212" t="str">
        <f>COMPOSICIÓN!A1699</f>
        <v>PTO-1831</v>
      </c>
      <c r="B1699" s="212" t="str">
        <f>COMPOSICIÓN!B1699</f>
        <v>MO</v>
      </c>
      <c r="C1699" s="212" t="str">
        <f>COMPOSICIÓN!C1699</f>
        <v>OTR</v>
      </c>
      <c r="D1699" s="212" t="str">
        <f>COMPOSICIÓN!D1699</f>
        <v>SUB-PTO048</v>
      </c>
      <c r="E1699" s="212" t="str">
        <f>COMPOSICIÓN!E1699</f>
        <v xml:space="preserve">Gabinete columna 4 modulos trifasico Edesur </v>
      </c>
      <c r="F1699" s="212" t="str">
        <f>COMPOSICIÓN!F1699</f>
        <v>j</v>
      </c>
      <c r="G1699" s="213">
        <f>COMPOSICIÓN!G1699</f>
        <v>2</v>
      </c>
      <c r="H1699" s="214">
        <f>COMPOSICIÓN!H1699</f>
        <v>0</v>
      </c>
      <c r="I1699" s="215">
        <f>COMPOSICIÓN!I1699</f>
        <v>344928.5</v>
      </c>
      <c r="J1699" s="212" t="str">
        <f>IFERROR(VLOOKUP(A1699,PARTIDAS!$A$2:$C$269,3,FALSE()),"")</f>
        <v>INSTALACIÓN ELÉCTRICA</v>
      </c>
      <c r="K1699" s="212" t="str">
        <f>IFERROR(INDEX(PPTO_GENERADOR!$B$4:$B$220,MATCH(A1699,PPTO_GENERADOR!$Q$4:$Q$220,0)),"")</f>
        <v>INSTALACIÓN ELÉCTRICA</v>
      </c>
      <c r="L1699" s="216">
        <f>IF(PLAN_ETAPA!$C$4="(TODOS)",SUMIFS(PPTO_GENERADOR!$E$4:$E$220,PPTO_GENERADOR!$Q$4:$Q$220,A1699),SUMIFS(PPTO_GENERADOR!$E$4:$E$220,PPTO_GENERADOR!$Q$4:$Q$220,A1699,PPTO_GENERADOR!$B$4:$B$220,PLAN_ETAPA!$C$4))</f>
        <v>0</v>
      </c>
      <c r="M1699" s="216">
        <f>IFERROR(VLOOKUP(A1699,PARTIDAS!$A$2:$F$269,6,FALSE()),1)</f>
        <v>1</v>
      </c>
      <c r="N1699" s="216">
        <f>IFERROR(VLOOKUP(A1699,PARTIDAS!$A$2:$I$269,9,FALSE()),1)</f>
        <v>1</v>
      </c>
      <c r="O1699" s="217">
        <f t="shared" si="52"/>
        <v>0</v>
      </c>
      <c r="P1699" s="216">
        <f>IF(O1699=0,0,IF(B1699="MAT",G1699*(1+H1699)*L1699*PLAN_ETAPA!$C$5,IF(B1699="MO",IF(M1699=0,0,G1699*L1699*PLAN_ETAPA!$C$5*N1699/M1699),IF(B1699="EQ",IF(M1699=0,0,G1699*L1699*PLAN_ETAPA!$C$5/M1699),0))))</f>
        <v>0</v>
      </c>
      <c r="Q1699" s="218">
        <f t="shared" si="53"/>
        <v>0</v>
      </c>
    </row>
    <row r="1700" spans="1:17" x14ac:dyDescent="0.35">
      <c r="A1700" s="212" t="str">
        <f>COMPOSICIÓN!A1700</f>
        <v>PTO-1831</v>
      </c>
      <c r="B1700" s="212" t="str">
        <f>COMPOSICIÓN!B1700</f>
        <v>MO</v>
      </c>
      <c r="C1700" s="212" t="str">
        <f>COMPOSICIÓN!C1700</f>
        <v>OTR</v>
      </c>
      <c r="D1700" s="212" t="str">
        <f>COMPOSICIÓN!D1700</f>
        <v>SUB-PTO049</v>
      </c>
      <c r="E1700" s="212" t="str">
        <f>COMPOSICIÓN!E1700</f>
        <v xml:space="preserve">Gabinete columna 2 modulos trifasico Edesur </v>
      </c>
      <c r="F1700" s="212" t="str">
        <f>COMPOSICIÓN!F1700</f>
        <v>j</v>
      </c>
      <c r="G1700" s="213">
        <f>COMPOSICIÓN!G1700</f>
        <v>1</v>
      </c>
      <c r="H1700" s="214">
        <f>COMPOSICIÓN!H1700</f>
        <v>0</v>
      </c>
      <c r="I1700" s="215">
        <f>COMPOSICIÓN!I1700</f>
        <v>92822.1</v>
      </c>
      <c r="J1700" s="212" t="str">
        <f>IFERROR(VLOOKUP(A1700,PARTIDAS!$A$2:$C$269,3,FALSE()),"")</f>
        <v>INSTALACIÓN ELÉCTRICA</v>
      </c>
      <c r="K1700" s="212" t="str">
        <f>IFERROR(INDEX(PPTO_GENERADOR!$B$4:$B$220,MATCH(A1700,PPTO_GENERADOR!$Q$4:$Q$220,0)),"")</f>
        <v>INSTALACIÓN ELÉCTRICA</v>
      </c>
      <c r="L1700" s="216">
        <f>IF(PLAN_ETAPA!$C$4="(TODOS)",SUMIFS(PPTO_GENERADOR!$E$4:$E$220,PPTO_GENERADOR!$Q$4:$Q$220,A1700),SUMIFS(PPTO_GENERADOR!$E$4:$E$220,PPTO_GENERADOR!$Q$4:$Q$220,A1700,PPTO_GENERADOR!$B$4:$B$220,PLAN_ETAPA!$C$4))</f>
        <v>0</v>
      </c>
      <c r="M1700" s="216">
        <f>IFERROR(VLOOKUP(A1700,PARTIDAS!$A$2:$F$269,6,FALSE()),1)</f>
        <v>1</v>
      </c>
      <c r="N1700" s="216">
        <f>IFERROR(VLOOKUP(A1700,PARTIDAS!$A$2:$I$269,9,FALSE()),1)</f>
        <v>1</v>
      </c>
      <c r="O1700" s="217">
        <f t="shared" si="52"/>
        <v>0</v>
      </c>
      <c r="P1700" s="216">
        <f>IF(O1700=0,0,IF(B1700="MAT",G1700*(1+H1700)*L1700*PLAN_ETAPA!$C$5,IF(B1700="MO",IF(M1700=0,0,G1700*L1700*PLAN_ETAPA!$C$5*N1700/M1700),IF(B1700="EQ",IF(M1700=0,0,G1700*L1700*PLAN_ETAPA!$C$5/M1700),0))))</f>
        <v>0</v>
      </c>
      <c r="Q1700" s="218">
        <f t="shared" si="53"/>
        <v>0</v>
      </c>
    </row>
    <row r="1701" spans="1:17" x14ac:dyDescent="0.35">
      <c r="A1701" s="212" t="str">
        <f>COMPOSICIÓN!A1701</f>
        <v>PTO-1832</v>
      </c>
      <c r="B1701" s="212" t="str">
        <f>COMPOSICIÓN!B1701</f>
        <v>EQ</v>
      </c>
      <c r="C1701" s="212">
        <f>COMPOSICIÓN!C1701</f>
        <v>0</v>
      </c>
      <c r="D1701" s="212" t="str">
        <f>COMPOSICIÓN!D1701</f>
        <v>EQ-PTO123</v>
      </c>
      <c r="E1701" s="212" t="str">
        <f>COMPOSICIÓN!E1701</f>
        <v>Herramientas y consumibles - PTO-1832 Puesta tierra</v>
      </c>
      <c r="F1701" s="212">
        <f>COMPOSICIÓN!F1701</f>
        <v>0</v>
      </c>
      <c r="G1701" s="213">
        <f>COMPOSICIÓN!G1701</f>
        <v>1</v>
      </c>
      <c r="H1701" s="214">
        <f>COMPOSICIÓN!H1701</f>
        <v>0</v>
      </c>
      <c r="I1701" s="215">
        <f>COMPOSICIÓN!I1701</f>
        <v>10618.1041956769</v>
      </c>
      <c r="J1701" s="212" t="str">
        <f>IFERROR(VLOOKUP(A1701,PARTIDAS!$A$2:$C$269,3,FALSE()),"")</f>
        <v>INSTALACIÓN ELÉCTRICA</v>
      </c>
      <c r="K1701" s="212" t="str">
        <f>IFERROR(INDEX(PPTO_GENERADOR!$B$4:$B$220,MATCH(A1701,PPTO_GENERADOR!$Q$4:$Q$220,0)),"")</f>
        <v>INSTALACIÓN ELÉCTRICA</v>
      </c>
      <c r="L1701" s="216">
        <f>IF(PLAN_ETAPA!$C$4="(TODOS)",SUMIFS(PPTO_GENERADOR!$E$4:$E$220,PPTO_GENERADOR!$Q$4:$Q$220,A1701),SUMIFS(PPTO_GENERADOR!$E$4:$E$220,PPTO_GENERADOR!$Q$4:$Q$220,A1701,PPTO_GENERADOR!$B$4:$B$220,PLAN_ETAPA!$C$4))</f>
        <v>0</v>
      </c>
      <c r="M1701" s="216">
        <f>IFERROR(VLOOKUP(A1701,PARTIDAS!$A$2:$F$269,6,FALSE()),1)</f>
        <v>1</v>
      </c>
      <c r="N1701" s="216">
        <f>IFERROR(VLOOKUP(A1701,PARTIDAS!$A$2:$I$269,9,FALSE()),1)</f>
        <v>1</v>
      </c>
      <c r="O1701" s="217">
        <f t="shared" si="52"/>
        <v>0</v>
      </c>
      <c r="P1701" s="216">
        <f>IF(O1701=0,0,IF(B1701="MAT",G1701*(1+H1701)*L1701*PLAN_ETAPA!$C$5,IF(B1701="MO",IF(M1701=0,0,G1701*L1701*PLAN_ETAPA!$C$5*N1701/M1701),IF(B1701="EQ",IF(M1701=0,0,G1701*L1701*PLAN_ETAPA!$C$5/M1701),0))))</f>
        <v>0</v>
      </c>
      <c r="Q1701" s="218">
        <f t="shared" si="53"/>
        <v>0</v>
      </c>
    </row>
    <row r="1702" spans="1:17" x14ac:dyDescent="0.35">
      <c r="A1702" s="212" t="str">
        <f>COMPOSICIÓN!A1702</f>
        <v>PTO-1832</v>
      </c>
      <c r="B1702" s="212" t="str">
        <f>COMPOSICIÓN!B1702</f>
        <v>MAT</v>
      </c>
      <c r="C1702" s="212" t="str">
        <f>COMPOSICIÓN!C1702</f>
        <v>OTR</v>
      </c>
      <c r="D1702" s="212" t="str">
        <f>COMPOSICIÓN!D1702</f>
        <v>MAT-CONS</v>
      </c>
      <c r="E1702" s="212" t="str">
        <f>COMPOSICIÓN!E1702</f>
        <v>Consumibles</v>
      </c>
      <c r="F1702" s="212" t="str">
        <f>COMPOSICIÓN!F1702</f>
        <v>gl</v>
      </c>
      <c r="G1702" s="213">
        <f>COMPOSICIÓN!G1702</f>
        <v>95009.658800000005</v>
      </c>
      <c r="H1702" s="214">
        <f>COMPOSICIÓN!H1702</f>
        <v>0</v>
      </c>
      <c r="I1702" s="215">
        <f>COMPOSICIÓN!I1702</f>
        <v>1</v>
      </c>
      <c r="J1702" s="212" t="str">
        <f>IFERROR(VLOOKUP(A1702,PARTIDAS!$A$2:$C$269,3,FALSE()),"")</f>
        <v>INSTALACIÓN ELÉCTRICA</v>
      </c>
      <c r="K1702" s="212" t="str">
        <f>IFERROR(INDEX(PPTO_GENERADOR!$B$4:$B$220,MATCH(A1702,PPTO_GENERADOR!$Q$4:$Q$220,0)),"")</f>
        <v>INSTALACIÓN ELÉCTRICA</v>
      </c>
      <c r="L1702" s="216">
        <f>IF(PLAN_ETAPA!$C$4="(TODOS)",SUMIFS(PPTO_GENERADOR!$E$4:$E$220,PPTO_GENERADOR!$Q$4:$Q$220,A1702),SUMIFS(PPTO_GENERADOR!$E$4:$E$220,PPTO_GENERADOR!$Q$4:$Q$220,A1702,PPTO_GENERADOR!$B$4:$B$220,PLAN_ETAPA!$C$4))</f>
        <v>0</v>
      </c>
      <c r="M1702" s="216">
        <f>IFERROR(VLOOKUP(A1702,PARTIDAS!$A$2:$F$269,6,FALSE()),1)</f>
        <v>1</v>
      </c>
      <c r="N1702" s="216">
        <f>IFERROR(VLOOKUP(A1702,PARTIDAS!$A$2:$I$269,9,FALSE()),1)</f>
        <v>1</v>
      </c>
      <c r="O1702" s="217">
        <f t="shared" si="52"/>
        <v>0</v>
      </c>
      <c r="P1702" s="216">
        <f>IF(O1702=0,0,IF(B1702="MAT",G1702*(1+H1702)*L1702*PLAN_ETAPA!$C$5,IF(B1702="MO",IF(M1702=0,0,G1702*L1702*PLAN_ETAPA!$C$5*N1702/M1702),IF(B1702="EQ",IF(M1702=0,0,G1702*L1702*PLAN_ETAPA!$C$5/M1702),0))))</f>
        <v>0</v>
      </c>
      <c r="Q1702" s="218">
        <f t="shared" si="53"/>
        <v>0</v>
      </c>
    </row>
    <row r="1703" spans="1:17" x14ac:dyDescent="0.35">
      <c r="A1703" s="212" t="str">
        <f>COMPOSICIÓN!A1703</f>
        <v>PTO-1832</v>
      </c>
      <c r="B1703" s="212" t="str">
        <f>COMPOSICIÓN!B1703</f>
        <v>MAT</v>
      </c>
      <c r="C1703" s="212" t="str">
        <f>COMPOSICIÓN!C1703</f>
        <v>OTR</v>
      </c>
      <c r="D1703" s="212" t="str">
        <f>COMPOSICIÓN!D1703</f>
        <v>OTR-PTO189</v>
      </c>
      <c r="E1703" s="212" t="str">
        <f>COMPOSICIÓN!E1703</f>
        <v>M COBRE DESNUDO 7H 25MM (1 x 25 desnudo)</v>
      </c>
      <c r="F1703" s="212" t="str">
        <f>COMPOSICIÓN!F1703</f>
        <v>ml</v>
      </c>
      <c r="G1703" s="213">
        <f>COMPOSICIÓN!G1703</f>
        <v>75</v>
      </c>
      <c r="H1703" s="214">
        <f>COMPOSICIÓN!H1703</f>
        <v>0</v>
      </c>
      <c r="I1703" s="215">
        <f>COMPOSICIÓN!I1703</f>
        <v>4462.8099173553701</v>
      </c>
      <c r="J1703" s="212" t="str">
        <f>IFERROR(VLOOKUP(A1703,PARTIDAS!$A$2:$C$269,3,FALSE()),"")</f>
        <v>INSTALACIÓN ELÉCTRICA</v>
      </c>
      <c r="K1703" s="212" t="str">
        <f>IFERROR(INDEX(PPTO_GENERADOR!$B$4:$B$220,MATCH(A1703,PPTO_GENERADOR!$Q$4:$Q$220,0)),"")</f>
        <v>INSTALACIÓN ELÉCTRICA</v>
      </c>
      <c r="L1703" s="216">
        <f>IF(PLAN_ETAPA!$C$4="(TODOS)",SUMIFS(PPTO_GENERADOR!$E$4:$E$220,PPTO_GENERADOR!$Q$4:$Q$220,A1703),SUMIFS(PPTO_GENERADOR!$E$4:$E$220,PPTO_GENERADOR!$Q$4:$Q$220,A1703,PPTO_GENERADOR!$B$4:$B$220,PLAN_ETAPA!$C$4))</f>
        <v>0</v>
      </c>
      <c r="M1703" s="216">
        <f>IFERROR(VLOOKUP(A1703,PARTIDAS!$A$2:$F$269,6,FALSE()),1)</f>
        <v>1</v>
      </c>
      <c r="N1703" s="216">
        <f>IFERROR(VLOOKUP(A1703,PARTIDAS!$A$2:$I$269,9,FALSE()),1)</f>
        <v>1</v>
      </c>
      <c r="O1703" s="217">
        <f t="shared" si="52"/>
        <v>0</v>
      </c>
      <c r="P1703" s="216">
        <f>IF(O1703=0,0,IF(B1703="MAT",G1703*(1+H1703)*L1703*PLAN_ETAPA!$C$5,IF(B1703="MO",IF(M1703=0,0,G1703*L1703*PLAN_ETAPA!$C$5*N1703/M1703),IF(B1703="EQ",IF(M1703=0,0,G1703*L1703*PLAN_ETAPA!$C$5/M1703),0))))</f>
        <v>0</v>
      </c>
      <c r="Q1703" s="218">
        <f t="shared" si="53"/>
        <v>0</v>
      </c>
    </row>
    <row r="1704" spans="1:17" x14ac:dyDescent="0.35">
      <c r="A1704" s="212" t="str">
        <f>COMPOSICIÓN!A1704</f>
        <v>PTO-1832</v>
      </c>
      <c r="B1704" s="212" t="str">
        <f>COMPOSICIÓN!B1704</f>
        <v>MAT</v>
      </c>
      <c r="C1704" s="212" t="str">
        <f>COMPOSICIÓN!C1704</f>
        <v>OTR</v>
      </c>
      <c r="D1704" s="212" t="str">
        <f>COMPOSICIÓN!D1704</f>
        <v>OTR-PTO190</v>
      </c>
      <c r="E1704" s="212" t="str">
        <f>COMPOSICIÓN!E1704</f>
        <v>CONDUWELD JAB ST 3/4 1.5M (Jabalina 3/4" x 1,5 m)</v>
      </c>
      <c r="F1704" s="212" t="str">
        <f>COMPOSICIÓN!F1704</f>
        <v>u</v>
      </c>
      <c r="G1704" s="213">
        <f>COMPOSICIÓN!G1704</f>
        <v>5</v>
      </c>
      <c r="H1704" s="214">
        <f>COMPOSICIÓN!H1704</f>
        <v>0</v>
      </c>
      <c r="I1704" s="215">
        <f>COMPOSICIÓN!I1704</f>
        <v>26981.95</v>
      </c>
      <c r="J1704" s="212" t="str">
        <f>IFERROR(VLOOKUP(A1704,PARTIDAS!$A$2:$C$269,3,FALSE()),"")</f>
        <v>INSTALACIÓN ELÉCTRICA</v>
      </c>
      <c r="K1704" s="212" t="str">
        <f>IFERROR(INDEX(PPTO_GENERADOR!$B$4:$B$220,MATCH(A1704,PPTO_GENERADOR!$Q$4:$Q$220,0)),"")</f>
        <v>INSTALACIÓN ELÉCTRICA</v>
      </c>
      <c r="L1704" s="216">
        <f>IF(PLAN_ETAPA!$C$4="(TODOS)",SUMIFS(PPTO_GENERADOR!$E$4:$E$220,PPTO_GENERADOR!$Q$4:$Q$220,A1704),SUMIFS(PPTO_GENERADOR!$E$4:$E$220,PPTO_GENERADOR!$Q$4:$Q$220,A1704,PPTO_GENERADOR!$B$4:$B$220,PLAN_ETAPA!$C$4))</f>
        <v>0</v>
      </c>
      <c r="M1704" s="216">
        <f>IFERROR(VLOOKUP(A1704,PARTIDAS!$A$2:$F$269,6,FALSE()),1)</f>
        <v>1</v>
      </c>
      <c r="N1704" s="216">
        <f>IFERROR(VLOOKUP(A1704,PARTIDAS!$A$2:$I$269,9,FALSE()),1)</f>
        <v>1</v>
      </c>
      <c r="O1704" s="217">
        <f t="shared" si="52"/>
        <v>0</v>
      </c>
      <c r="P1704" s="216">
        <f>IF(O1704=0,0,IF(B1704="MAT",G1704*(1+H1704)*L1704*PLAN_ETAPA!$C$5,IF(B1704="MO",IF(M1704=0,0,G1704*L1704*PLAN_ETAPA!$C$5*N1704/M1704),IF(B1704="EQ",IF(M1704=0,0,G1704*L1704*PLAN_ETAPA!$C$5/M1704),0))))</f>
        <v>0</v>
      </c>
      <c r="Q1704" s="218">
        <f t="shared" si="53"/>
        <v>0</v>
      </c>
    </row>
    <row r="1705" spans="1:17" x14ac:dyDescent="0.35">
      <c r="A1705" s="212" t="str">
        <f>COMPOSICIÓN!A1705</f>
        <v>PTO-1832</v>
      </c>
      <c r="B1705" s="212" t="str">
        <f>COMPOSICIÓN!B1705</f>
        <v>MAT</v>
      </c>
      <c r="C1705" s="212" t="str">
        <f>COMPOSICIÓN!C1705</f>
        <v>OTR</v>
      </c>
      <c r="D1705" s="212" t="str">
        <f>COMPOSICIÓN!D1705</f>
        <v>OTR-PTO191</v>
      </c>
      <c r="E1705" s="212" t="str">
        <f>COMPOSICIÓN!E1705</f>
        <v>CAJA INSPECCION 15 x 15 PVC</v>
      </c>
      <c r="F1705" s="212" t="str">
        <f>COMPOSICIÓN!F1705</f>
        <v>u</v>
      </c>
      <c r="G1705" s="213">
        <f>COMPOSICIÓN!G1705</f>
        <v>5</v>
      </c>
      <c r="H1705" s="214">
        <f>COMPOSICIÓN!H1705</f>
        <v>0</v>
      </c>
      <c r="I1705" s="215">
        <f>COMPOSICIÓN!I1705</f>
        <v>1085.56</v>
      </c>
      <c r="J1705" s="212" t="str">
        <f>IFERROR(VLOOKUP(A1705,PARTIDAS!$A$2:$C$269,3,FALSE()),"")</f>
        <v>INSTALACIÓN ELÉCTRICA</v>
      </c>
      <c r="K1705" s="212" t="str">
        <f>IFERROR(INDEX(PPTO_GENERADOR!$B$4:$B$220,MATCH(A1705,PPTO_GENERADOR!$Q$4:$Q$220,0)),"")</f>
        <v>INSTALACIÓN ELÉCTRICA</v>
      </c>
      <c r="L1705" s="216">
        <f>IF(PLAN_ETAPA!$C$4="(TODOS)",SUMIFS(PPTO_GENERADOR!$E$4:$E$220,PPTO_GENERADOR!$Q$4:$Q$220,A1705),SUMIFS(PPTO_GENERADOR!$E$4:$E$220,PPTO_GENERADOR!$Q$4:$Q$220,A1705,PPTO_GENERADOR!$B$4:$B$220,PLAN_ETAPA!$C$4))</f>
        <v>0</v>
      </c>
      <c r="M1705" s="216">
        <f>IFERROR(VLOOKUP(A1705,PARTIDAS!$A$2:$F$269,6,FALSE()),1)</f>
        <v>1</v>
      </c>
      <c r="N1705" s="216">
        <f>IFERROR(VLOOKUP(A1705,PARTIDAS!$A$2:$I$269,9,FALSE()),1)</f>
        <v>1</v>
      </c>
      <c r="O1705" s="217">
        <f t="shared" si="52"/>
        <v>0</v>
      </c>
      <c r="P1705" s="216">
        <f>IF(O1705=0,0,IF(B1705="MAT",G1705*(1+H1705)*L1705*PLAN_ETAPA!$C$5,IF(B1705="MO",IF(M1705=0,0,G1705*L1705*PLAN_ETAPA!$C$5*N1705/M1705),IF(B1705="EQ",IF(M1705=0,0,G1705*L1705*PLAN_ETAPA!$C$5/M1705),0))))</f>
        <v>0</v>
      </c>
      <c r="Q1705" s="218">
        <f t="shared" si="53"/>
        <v>0</v>
      </c>
    </row>
    <row r="1706" spans="1:17" x14ac:dyDescent="0.35">
      <c r="A1706" s="212" t="str">
        <f>COMPOSICIÓN!A1706</f>
        <v>PTO-1832</v>
      </c>
      <c r="B1706" s="212" t="str">
        <f>COMPOSICIÓN!B1706</f>
        <v>MO</v>
      </c>
      <c r="C1706" s="212" t="str">
        <f>COMPOSICIÓN!C1706</f>
        <v>OTR</v>
      </c>
      <c r="D1706" s="212" t="str">
        <f>COMPOSICIÓN!D1706</f>
        <v>SUB-PATSERV</v>
      </c>
      <c r="E1706" s="212" t="str">
        <f>COMPOSICIÓN!E1706</f>
        <v>PAT de Servicio</v>
      </c>
      <c r="F1706" s="212" t="str">
        <f>COMPOSICIÓN!F1706</f>
        <v>j</v>
      </c>
      <c r="G1706" s="213">
        <f>COMPOSICIÓN!G1706</f>
        <v>5</v>
      </c>
      <c r="H1706" s="214">
        <f>COMPOSICIÓN!H1706</f>
        <v>0</v>
      </c>
      <c r="I1706" s="215">
        <f>COMPOSICIÓN!I1706</f>
        <v>64652.7</v>
      </c>
      <c r="J1706" s="212" t="str">
        <f>IFERROR(VLOOKUP(A1706,PARTIDAS!$A$2:$C$269,3,FALSE()),"")</f>
        <v>INSTALACIÓN ELÉCTRICA</v>
      </c>
      <c r="K1706" s="212" t="str">
        <f>IFERROR(INDEX(PPTO_GENERADOR!$B$4:$B$220,MATCH(A1706,PPTO_GENERADOR!$Q$4:$Q$220,0)),"")</f>
        <v>INSTALACIÓN ELÉCTRICA</v>
      </c>
      <c r="L1706" s="216">
        <f>IF(PLAN_ETAPA!$C$4="(TODOS)",SUMIFS(PPTO_GENERADOR!$E$4:$E$220,PPTO_GENERADOR!$Q$4:$Q$220,A1706),SUMIFS(PPTO_GENERADOR!$E$4:$E$220,PPTO_GENERADOR!$Q$4:$Q$220,A1706,PPTO_GENERADOR!$B$4:$B$220,PLAN_ETAPA!$C$4))</f>
        <v>0</v>
      </c>
      <c r="M1706" s="216">
        <f>IFERROR(VLOOKUP(A1706,PARTIDAS!$A$2:$F$269,6,FALSE()),1)</f>
        <v>1</v>
      </c>
      <c r="N1706" s="216">
        <f>IFERROR(VLOOKUP(A1706,PARTIDAS!$A$2:$I$269,9,FALSE()),1)</f>
        <v>1</v>
      </c>
      <c r="O1706" s="217">
        <f t="shared" si="52"/>
        <v>0</v>
      </c>
      <c r="P1706" s="216">
        <f>IF(O1706=0,0,IF(B1706="MAT",G1706*(1+H1706)*L1706*PLAN_ETAPA!$C$5,IF(B1706="MO",IF(M1706=0,0,G1706*L1706*PLAN_ETAPA!$C$5*N1706/M1706),IF(B1706="EQ",IF(M1706=0,0,G1706*L1706*PLAN_ETAPA!$C$5/M1706),0))))</f>
        <v>0</v>
      </c>
      <c r="Q1706" s="218">
        <f t="shared" si="53"/>
        <v>0</v>
      </c>
    </row>
    <row r="1707" spans="1:17" x14ac:dyDescent="0.35">
      <c r="A1707" s="212" t="str">
        <f>COMPOSICIÓN!A1707</f>
        <v>PTO-1833</v>
      </c>
      <c r="B1707" s="212" t="str">
        <f>COMPOSICIÓN!B1707</f>
        <v>MO</v>
      </c>
      <c r="C1707" s="212" t="str">
        <f>COMPOSICIÓN!C1707</f>
        <v>OTR</v>
      </c>
      <c r="D1707" s="212" t="str">
        <f>COMPOSICIÓN!D1707</f>
        <v>SUB-PTO051</v>
      </c>
      <c r="E1707" s="212" t="str">
        <f>COMPOSICIÓN!E1707</f>
        <v>MO Certificado DCI para servicios generales [SUBCONTRATOS]</v>
      </c>
      <c r="F1707" s="212" t="str">
        <f>COMPOSICIÓN!F1707</f>
        <v>j</v>
      </c>
      <c r="G1707" s="213">
        <f>COMPOSICIÓN!G1707</f>
        <v>1</v>
      </c>
      <c r="H1707" s="214">
        <f>COMPOSICIÓN!H1707</f>
        <v>0</v>
      </c>
      <c r="I1707" s="215">
        <f>COMPOSICIÓN!I1707</f>
        <v>107023.598877166</v>
      </c>
      <c r="J1707" s="212" t="str">
        <f>IFERROR(VLOOKUP(A1707,PARTIDAS!$A$2:$C$269,3,FALSE()),"")</f>
        <v>INSTALACIÓN ELÉCTRICA</v>
      </c>
      <c r="K1707" s="212" t="str">
        <f>IFERROR(INDEX(PPTO_GENERADOR!$B$4:$B$220,MATCH(A1707,PPTO_GENERADOR!$Q$4:$Q$220,0)),"")</f>
        <v>INSTALACIÓN ELÉCTRICA</v>
      </c>
      <c r="L1707" s="216">
        <f>IF(PLAN_ETAPA!$C$4="(TODOS)",SUMIFS(PPTO_GENERADOR!$E$4:$E$220,PPTO_GENERADOR!$Q$4:$Q$220,A1707),SUMIFS(PPTO_GENERADOR!$E$4:$E$220,PPTO_GENERADOR!$Q$4:$Q$220,A1707,PPTO_GENERADOR!$B$4:$B$220,PLAN_ETAPA!$C$4))</f>
        <v>0</v>
      </c>
      <c r="M1707" s="216">
        <f>IFERROR(VLOOKUP(A1707,PARTIDAS!$A$2:$F$269,6,FALSE()),1)</f>
        <v>1</v>
      </c>
      <c r="N1707" s="216">
        <f>IFERROR(VLOOKUP(A1707,PARTIDAS!$A$2:$I$269,9,FALSE()),1)</f>
        <v>1</v>
      </c>
      <c r="O1707" s="217">
        <f t="shared" si="52"/>
        <v>0</v>
      </c>
      <c r="P1707" s="216">
        <f>IF(O1707=0,0,IF(B1707="MAT",G1707*(1+H1707)*L1707*PLAN_ETAPA!$C$5,IF(B1707="MO",IF(M1707=0,0,G1707*L1707*PLAN_ETAPA!$C$5*N1707/M1707),IF(B1707="EQ",IF(M1707=0,0,G1707*L1707*PLAN_ETAPA!$C$5/M1707),0))))</f>
        <v>0</v>
      </c>
      <c r="Q1707" s="218">
        <f t="shared" si="53"/>
        <v>0</v>
      </c>
    </row>
    <row r="1708" spans="1:17" x14ac:dyDescent="0.35">
      <c r="A1708" s="212" t="str">
        <f>COMPOSICIÓN!A1708</f>
        <v>PTO-1901</v>
      </c>
      <c r="B1708" s="212" t="str">
        <f>COMPOSICIÓN!B1708</f>
        <v>EQ</v>
      </c>
      <c r="C1708" s="212">
        <f>COMPOSICIÓN!C1708</f>
        <v>0</v>
      </c>
      <c r="D1708" s="212" t="str">
        <f>COMPOSICIÓN!D1708</f>
        <v>EQ-PTO094</v>
      </c>
      <c r="E1708" s="212" t="str">
        <f>COMPOSICIÓN!E1708</f>
        <v>Herramientas menores y consumibles - Tendido caño cloacal en planta baja</v>
      </c>
      <c r="F1708" s="212">
        <f>COMPOSICIÓN!F1708</f>
        <v>0</v>
      </c>
      <c r="G1708" s="213">
        <f>COMPOSICIÓN!G1708</f>
        <v>1</v>
      </c>
      <c r="H1708" s="214">
        <f>COMPOSICIÓN!H1708</f>
        <v>0</v>
      </c>
      <c r="I1708" s="215">
        <f>COMPOSICIÓN!I1708</f>
        <v>75335.457966240298</v>
      </c>
      <c r="J1708" s="212" t="str">
        <f>IFERROR(VLOOKUP(A1708,PARTIDAS!$A$2:$C$269,3,FALSE()),"")</f>
        <v>INSTALACIONES SANITARIAS</v>
      </c>
      <c r="K1708" s="212" t="str">
        <f>IFERROR(INDEX(PPTO_GENERADOR!$B$4:$B$220,MATCH(A1708,PPTO_GENERADOR!$Q$4:$Q$220,0)),"")</f>
        <v>INSTALACIONES SANITARIAS</v>
      </c>
      <c r="L1708" s="216">
        <f>IF(PLAN_ETAPA!$C$4="(TODOS)",SUMIFS(PPTO_GENERADOR!$E$4:$E$220,PPTO_GENERADOR!$Q$4:$Q$220,A1708),SUMIFS(PPTO_GENERADOR!$E$4:$E$220,PPTO_GENERADOR!$Q$4:$Q$220,A1708,PPTO_GENERADOR!$B$4:$B$220,PLAN_ETAPA!$C$4))</f>
        <v>0</v>
      </c>
      <c r="M1708" s="216">
        <f>IFERROR(VLOOKUP(A1708,PARTIDAS!$A$2:$F$269,6,FALSE()),1)</f>
        <v>1</v>
      </c>
      <c r="N1708" s="216">
        <f>IFERROR(VLOOKUP(A1708,PARTIDAS!$A$2:$I$269,9,FALSE()),1)</f>
        <v>1</v>
      </c>
      <c r="O1708" s="217">
        <f t="shared" si="52"/>
        <v>0</v>
      </c>
      <c r="P1708" s="216">
        <f>IF(O1708=0,0,IF(B1708="MAT",G1708*(1+H1708)*L1708*PLAN_ETAPA!$C$5,IF(B1708="MO",IF(M1708=0,0,G1708*L1708*PLAN_ETAPA!$C$5*N1708/M1708),IF(B1708="EQ",IF(M1708=0,0,G1708*L1708*PLAN_ETAPA!$C$5/M1708),0))))</f>
        <v>0</v>
      </c>
      <c r="Q1708" s="218">
        <f t="shared" si="53"/>
        <v>0</v>
      </c>
    </row>
    <row r="1709" spans="1:17" x14ac:dyDescent="0.35">
      <c r="A1709" s="212" t="str">
        <f>COMPOSICIÓN!A1709</f>
        <v>PTO-1901</v>
      </c>
      <c r="B1709" s="212" t="str">
        <f>COMPOSICIÓN!B1709</f>
        <v>MAT</v>
      </c>
      <c r="C1709" s="212" t="str">
        <f>COMPOSICIÓN!C1709</f>
        <v>OTR</v>
      </c>
      <c r="D1709" s="212" t="str">
        <f>COMPOSICIÓN!D1709</f>
        <v>OTR-PTO113</v>
      </c>
      <c r="E1709" s="212" t="str">
        <f>COMPOSICIÓN!E1709</f>
        <v>Tendido caño cloacal en planta baja [CLOACAL]</v>
      </c>
      <c r="F1709" s="212" t="str">
        <f>COMPOSICIÓN!F1709</f>
        <v>gl</v>
      </c>
      <c r="G1709" s="213">
        <f>COMPOSICIÓN!G1709</f>
        <v>1</v>
      </c>
      <c r="H1709" s="214">
        <f>COMPOSICIÓN!H1709</f>
        <v>0</v>
      </c>
      <c r="I1709" s="215">
        <f>COMPOSICIÓN!I1709</f>
        <v>2201631.50655</v>
      </c>
      <c r="J1709" s="212" t="str">
        <f>IFERROR(VLOOKUP(A1709,PARTIDAS!$A$2:$C$269,3,FALSE()),"")</f>
        <v>INSTALACIONES SANITARIAS</v>
      </c>
      <c r="K1709" s="212" t="str">
        <f>IFERROR(INDEX(PPTO_GENERADOR!$B$4:$B$220,MATCH(A1709,PPTO_GENERADOR!$Q$4:$Q$220,0)),"")</f>
        <v>INSTALACIONES SANITARIAS</v>
      </c>
      <c r="L1709" s="216">
        <f>IF(PLAN_ETAPA!$C$4="(TODOS)",SUMIFS(PPTO_GENERADOR!$E$4:$E$220,PPTO_GENERADOR!$Q$4:$Q$220,A1709),SUMIFS(PPTO_GENERADOR!$E$4:$E$220,PPTO_GENERADOR!$Q$4:$Q$220,A1709,PPTO_GENERADOR!$B$4:$B$220,PLAN_ETAPA!$C$4))</f>
        <v>0</v>
      </c>
      <c r="M1709" s="216">
        <f>IFERROR(VLOOKUP(A1709,PARTIDAS!$A$2:$F$269,6,FALSE()),1)</f>
        <v>1</v>
      </c>
      <c r="N1709" s="216">
        <f>IFERROR(VLOOKUP(A1709,PARTIDAS!$A$2:$I$269,9,FALSE()),1)</f>
        <v>1</v>
      </c>
      <c r="O1709" s="217">
        <f t="shared" si="52"/>
        <v>0</v>
      </c>
      <c r="P1709" s="216">
        <f>IF(O1709=0,0,IF(B1709="MAT",G1709*(1+H1709)*L1709*PLAN_ETAPA!$C$5,IF(B1709="MO",IF(M1709=0,0,G1709*L1709*PLAN_ETAPA!$C$5*N1709/M1709),IF(B1709="EQ",IF(M1709=0,0,G1709*L1709*PLAN_ETAPA!$C$5/M1709),0))))</f>
        <v>0</v>
      </c>
      <c r="Q1709" s="218">
        <f t="shared" si="53"/>
        <v>0</v>
      </c>
    </row>
    <row r="1710" spans="1:17" x14ac:dyDescent="0.35">
      <c r="A1710" s="212" t="str">
        <f>COMPOSICIÓN!A1710</f>
        <v>PTO-1901</v>
      </c>
      <c r="B1710" s="212" t="str">
        <f>COMPOSICIÓN!B1710</f>
        <v>MO</v>
      </c>
      <c r="C1710" s="212" t="str">
        <f>COMPOSICIÓN!C1710</f>
        <v>OTR</v>
      </c>
      <c r="D1710" s="212" t="str">
        <f>COMPOSICIÓN!D1710</f>
        <v>SUB-PTO052</v>
      </c>
      <c r="E1710" s="212" t="str">
        <f>COMPOSICIÓN!E1710</f>
        <v>MO Tendido caño cloacal en planta baja [CLOACAL]</v>
      </c>
      <c r="F1710" s="212" t="str">
        <f>COMPOSICIÓN!F1710</f>
        <v>j</v>
      </c>
      <c r="G1710" s="213">
        <f>COMPOSICIÓN!G1710</f>
        <v>1</v>
      </c>
      <c r="H1710" s="214">
        <f>COMPOSICIÓN!H1710</f>
        <v>0</v>
      </c>
      <c r="I1710" s="215">
        <f>COMPOSICIÓN!I1710</f>
        <v>2820732.3578660199</v>
      </c>
      <c r="J1710" s="212" t="str">
        <f>IFERROR(VLOOKUP(A1710,PARTIDAS!$A$2:$C$269,3,FALSE()),"")</f>
        <v>INSTALACIONES SANITARIAS</v>
      </c>
      <c r="K1710" s="212" t="str">
        <f>IFERROR(INDEX(PPTO_GENERADOR!$B$4:$B$220,MATCH(A1710,PPTO_GENERADOR!$Q$4:$Q$220,0)),"")</f>
        <v>INSTALACIONES SANITARIAS</v>
      </c>
      <c r="L1710" s="216">
        <f>IF(PLAN_ETAPA!$C$4="(TODOS)",SUMIFS(PPTO_GENERADOR!$E$4:$E$220,PPTO_GENERADOR!$Q$4:$Q$220,A1710),SUMIFS(PPTO_GENERADOR!$E$4:$E$220,PPTO_GENERADOR!$Q$4:$Q$220,A1710,PPTO_GENERADOR!$B$4:$B$220,PLAN_ETAPA!$C$4))</f>
        <v>0</v>
      </c>
      <c r="M1710" s="216">
        <f>IFERROR(VLOOKUP(A1710,PARTIDAS!$A$2:$F$269,6,FALSE()),1)</f>
        <v>1</v>
      </c>
      <c r="N1710" s="216">
        <f>IFERROR(VLOOKUP(A1710,PARTIDAS!$A$2:$I$269,9,FALSE()),1)</f>
        <v>1</v>
      </c>
      <c r="O1710" s="217">
        <f t="shared" si="52"/>
        <v>0</v>
      </c>
      <c r="P1710" s="216">
        <f>IF(O1710=0,0,IF(B1710="MAT",G1710*(1+H1710)*L1710*PLAN_ETAPA!$C$5,IF(B1710="MO",IF(M1710=0,0,G1710*L1710*PLAN_ETAPA!$C$5*N1710/M1710),IF(B1710="EQ",IF(M1710=0,0,G1710*L1710*PLAN_ETAPA!$C$5/M1710),0))))</f>
        <v>0</v>
      </c>
      <c r="Q1710" s="218">
        <f t="shared" si="53"/>
        <v>0</v>
      </c>
    </row>
    <row r="1711" spans="1:17" x14ac:dyDescent="0.35">
      <c r="A1711" s="212" t="str">
        <f>COMPOSICIÓN!A1711</f>
        <v>PTO-1902</v>
      </c>
      <c r="B1711" s="212" t="str">
        <f>COMPOSICIÓN!B1711</f>
        <v>EQ</v>
      </c>
      <c r="C1711" s="212">
        <f>COMPOSICIÓN!C1711</f>
        <v>0</v>
      </c>
      <c r="D1711" s="212" t="str">
        <f>COMPOSICIÓN!D1711</f>
        <v>EQ-PTO095</v>
      </c>
      <c r="E1711" s="212" t="str">
        <f>COMPOSICIÓN!E1711</f>
        <v>Herramientas menores y consumibles - Por armar CDV en planta tipo</v>
      </c>
      <c r="F1711" s="212">
        <f>COMPOSICIÓN!F1711</f>
        <v>0</v>
      </c>
      <c r="G1711" s="213">
        <f>COMPOSICIÓN!G1711</f>
        <v>1</v>
      </c>
      <c r="H1711" s="214">
        <f>COMPOSICIÓN!H1711</f>
        <v>0</v>
      </c>
      <c r="I1711" s="215">
        <f>COMPOSICIÓN!I1711</f>
        <v>105926.51424973601</v>
      </c>
      <c r="J1711" s="212" t="str">
        <f>IFERROR(VLOOKUP(A1711,PARTIDAS!$A$2:$C$269,3,FALSE()),"")</f>
        <v>INSTALACIONES SANITARIAS</v>
      </c>
      <c r="K1711" s="212" t="str">
        <f>IFERROR(INDEX(PPTO_GENERADOR!$B$4:$B$220,MATCH(A1711,PPTO_GENERADOR!$Q$4:$Q$220,0)),"")</f>
        <v>INSTALACIONES SANITARIAS</v>
      </c>
      <c r="L1711" s="216">
        <f>IF(PLAN_ETAPA!$C$4="(TODOS)",SUMIFS(PPTO_GENERADOR!$E$4:$E$220,PPTO_GENERADOR!$Q$4:$Q$220,A1711),SUMIFS(PPTO_GENERADOR!$E$4:$E$220,PPTO_GENERADOR!$Q$4:$Q$220,A1711,PPTO_GENERADOR!$B$4:$B$220,PLAN_ETAPA!$C$4))</f>
        <v>0</v>
      </c>
      <c r="M1711" s="216">
        <f>IFERROR(VLOOKUP(A1711,PARTIDAS!$A$2:$F$269,6,FALSE()),1)</f>
        <v>1</v>
      </c>
      <c r="N1711" s="216">
        <f>IFERROR(VLOOKUP(A1711,PARTIDAS!$A$2:$I$269,9,FALSE()),1)</f>
        <v>1</v>
      </c>
      <c r="O1711" s="217">
        <f t="shared" si="52"/>
        <v>0</v>
      </c>
      <c r="P1711" s="216">
        <f>IF(O1711=0,0,IF(B1711="MAT",G1711*(1+H1711)*L1711*PLAN_ETAPA!$C$5,IF(B1711="MO",IF(M1711=0,0,G1711*L1711*PLAN_ETAPA!$C$5*N1711/M1711),IF(B1711="EQ",IF(M1711=0,0,G1711*L1711*PLAN_ETAPA!$C$5/M1711),0))))</f>
        <v>0</v>
      </c>
      <c r="Q1711" s="218">
        <f t="shared" si="53"/>
        <v>0</v>
      </c>
    </row>
    <row r="1712" spans="1:17" x14ac:dyDescent="0.35">
      <c r="A1712" s="212" t="str">
        <f>COMPOSICIÓN!A1712</f>
        <v>PTO-1902</v>
      </c>
      <c r="B1712" s="212" t="str">
        <f>COMPOSICIÓN!B1712</f>
        <v>MAT</v>
      </c>
      <c r="C1712" s="212" t="str">
        <f>COMPOSICIÓN!C1712</f>
        <v>OTR</v>
      </c>
      <c r="D1712" s="212" t="str">
        <f>COMPOSICIÓN!D1712</f>
        <v>OTR-PTO114</v>
      </c>
      <c r="E1712" s="212" t="str">
        <f>COMPOSICIÓN!E1712</f>
        <v>Por armar CDV en planta tipo [CLOACAL]</v>
      </c>
      <c r="F1712" s="212" t="str">
        <f>COMPOSICIÓN!F1712</f>
        <v>gl</v>
      </c>
      <c r="G1712" s="213">
        <f>COMPOSICIÓN!G1712</f>
        <v>1</v>
      </c>
      <c r="H1712" s="214">
        <f>COMPOSICIÓN!H1712</f>
        <v>0</v>
      </c>
      <c r="I1712" s="215">
        <f>COMPOSICIÓN!I1712</f>
        <v>2830669.0798499999</v>
      </c>
      <c r="J1712" s="212" t="str">
        <f>IFERROR(VLOOKUP(A1712,PARTIDAS!$A$2:$C$269,3,FALSE()),"")</f>
        <v>INSTALACIONES SANITARIAS</v>
      </c>
      <c r="K1712" s="212" t="str">
        <f>IFERROR(INDEX(PPTO_GENERADOR!$B$4:$B$220,MATCH(A1712,PPTO_GENERADOR!$Q$4:$Q$220,0)),"")</f>
        <v>INSTALACIONES SANITARIAS</v>
      </c>
      <c r="L1712" s="216">
        <f>IF(PLAN_ETAPA!$C$4="(TODOS)",SUMIFS(PPTO_GENERADOR!$E$4:$E$220,PPTO_GENERADOR!$Q$4:$Q$220,A1712),SUMIFS(PPTO_GENERADOR!$E$4:$E$220,PPTO_GENERADOR!$Q$4:$Q$220,A1712,PPTO_GENERADOR!$B$4:$B$220,PLAN_ETAPA!$C$4))</f>
        <v>0</v>
      </c>
      <c r="M1712" s="216">
        <f>IFERROR(VLOOKUP(A1712,PARTIDAS!$A$2:$F$269,6,FALSE()),1)</f>
        <v>1</v>
      </c>
      <c r="N1712" s="216">
        <f>IFERROR(VLOOKUP(A1712,PARTIDAS!$A$2:$I$269,9,FALSE()),1)</f>
        <v>1</v>
      </c>
      <c r="O1712" s="217">
        <f t="shared" si="52"/>
        <v>0</v>
      </c>
      <c r="P1712" s="216">
        <f>IF(O1712=0,0,IF(B1712="MAT",G1712*(1+H1712)*L1712*PLAN_ETAPA!$C$5,IF(B1712="MO",IF(M1712=0,0,G1712*L1712*PLAN_ETAPA!$C$5*N1712/M1712),IF(B1712="EQ",IF(M1712=0,0,G1712*L1712*PLAN_ETAPA!$C$5/M1712),0))))</f>
        <v>0</v>
      </c>
      <c r="Q1712" s="218">
        <f t="shared" si="53"/>
        <v>0</v>
      </c>
    </row>
    <row r="1713" spans="1:17" x14ac:dyDescent="0.35">
      <c r="A1713" s="212" t="str">
        <f>COMPOSICIÓN!A1713</f>
        <v>PTO-1902</v>
      </c>
      <c r="B1713" s="212" t="str">
        <f>COMPOSICIÓN!B1713</f>
        <v>MO</v>
      </c>
      <c r="C1713" s="212" t="str">
        <f>COMPOSICIÓN!C1713</f>
        <v>OTR</v>
      </c>
      <c r="D1713" s="212" t="str">
        <f>COMPOSICIÓN!D1713</f>
        <v>SUB-PTO053</v>
      </c>
      <c r="E1713" s="212" t="str">
        <f>COMPOSICIÓN!E1713</f>
        <v>MO Por armar CDV en planta tipo [CLOACAL]</v>
      </c>
      <c r="F1713" s="212" t="str">
        <f>COMPOSICIÓN!F1713</f>
        <v>j</v>
      </c>
      <c r="G1713" s="213">
        <f>COMPOSICIÓN!G1713</f>
        <v>1</v>
      </c>
      <c r="H1713" s="214">
        <f>COMPOSICIÓN!H1713</f>
        <v>0</v>
      </c>
      <c r="I1713" s="215">
        <f>COMPOSICIÓN!I1713</f>
        <v>4231098.5367990304</v>
      </c>
      <c r="J1713" s="212" t="str">
        <f>IFERROR(VLOOKUP(A1713,PARTIDAS!$A$2:$C$269,3,FALSE()),"")</f>
        <v>INSTALACIONES SANITARIAS</v>
      </c>
      <c r="K1713" s="212" t="str">
        <f>IFERROR(INDEX(PPTO_GENERADOR!$B$4:$B$220,MATCH(A1713,PPTO_GENERADOR!$Q$4:$Q$220,0)),"")</f>
        <v>INSTALACIONES SANITARIAS</v>
      </c>
      <c r="L1713" s="216">
        <f>IF(PLAN_ETAPA!$C$4="(TODOS)",SUMIFS(PPTO_GENERADOR!$E$4:$E$220,PPTO_GENERADOR!$Q$4:$Q$220,A1713),SUMIFS(PPTO_GENERADOR!$E$4:$E$220,PPTO_GENERADOR!$Q$4:$Q$220,A1713,PPTO_GENERADOR!$B$4:$B$220,PLAN_ETAPA!$C$4))</f>
        <v>0</v>
      </c>
      <c r="M1713" s="216">
        <f>IFERROR(VLOOKUP(A1713,PARTIDAS!$A$2:$F$269,6,FALSE()),1)</f>
        <v>1</v>
      </c>
      <c r="N1713" s="216">
        <f>IFERROR(VLOOKUP(A1713,PARTIDAS!$A$2:$I$269,9,FALSE()),1)</f>
        <v>1</v>
      </c>
      <c r="O1713" s="217">
        <f t="shared" si="52"/>
        <v>0</v>
      </c>
      <c r="P1713" s="216">
        <f>IF(O1713=0,0,IF(B1713="MAT",G1713*(1+H1713)*L1713*PLAN_ETAPA!$C$5,IF(B1713="MO",IF(M1713=0,0,G1713*L1713*PLAN_ETAPA!$C$5*N1713/M1713),IF(B1713="EQ",IF(M1713=0,0,G1713*L1713*PLAN_ETAPA!$C$5/M1713),0))))</f>
        <v>0</v>
      </c>
      <c r="Q1713" s="218">
        <f t="shared" si="53"/>
        <v>0</v>
      </c>
    </row>
    <row r="1714" spans="1:17" x14ac:dyDescent="0.35">
      <c r="A1714" s="212" t="str">
        <f>COMPOSICIÓN!A1714</f>
        <v>PTO-1903</v>
      </c>
      <c r="B1714" s="212" t="str">
        <f>COMPOSICIÓN!B1714</f>
        <v>EQ</v>
      </c>
      <c r="C1714" s="212">
        <f>COMPOSICIÓN!C1714</f>
        <v>0</v>
      </c>
      <c r="D1714" s="212" t="str">
        <f>COMPOSICIÓN!D1714</f>
        <v>EQ-PTO096</v>
      </c>
      <c r="E1714" s="212" t="str">
        <f>COMPOSICIÓN!E1714</f>
        <v>Herramientas menores y consumibles - Montantes, remate y ventilación a los 4 vientos</v>
      </c>
      <c r="F1714" s="212">
        <f>COMPOSICIÓN!F1714</f>
        <v>0</v>
      </c>
      <c r="G1714" s="213">
        <f>COMPOSICIÓN!G1714</f>
        <v>1</v>
      </c>
      <c r="H1714" s="214">
        <f>COMPOSICIÓN!H1714</f>
        <v>0</v>
      </c>
      <c r="I1714" s="215">
        <f>COMPOSICIÓN!I1714</f>
        <v>54130.281672325298</v>
      </c>
      <c r="J1714" s="212" t="str">
        <f>IFERROR(VLOOKUP(A1714,PARTIDAS!$A$2:$C$269,3,FALSE()),"")</f>
        <v>INSTALACIONES SANITARIAS</v>
      </c>
      <c r="K1714" s="212" t="str">
        <f>IFERROR(INDEX(PPTO_GENERADOR!$B$4:$B$220,MATCH(A1714,PPTO_GENERADOR!$Q$4:$Q$220,0)),"")</f>
        <v>INSTALACIONES SANITARIAS</v>
      </c>
      <c r="L1714" s="216">
        <f>IF(PLAN_ETAPA!$C$4="(TODOS)",SUMIFS(PPTO_GENERADOR!$E$4:$E$220,PPTO_GENERADOR!$Q$4:$Q$220,A1714),SUMIFS(PPTO_GENERADOR!$E$4:$E$220,PPTO_GENERADOR!$Q$4:$Q$220,A1714,PPTO_GENERADOR!$B$4:$B$220,PLAN_ETAPA!$C$4))</f>
        <v>0</v>
      </c>
      <c r="M1714" s="216">
        <f>IFERROR(VLOOKUP(A1714,PARTIDAS!$A$2:$F$269,6,FALSE()),1)</f>
        <v>1</v>
      </c>
      <c r="N1714" s="216">
        <f>IFERROR(VLOOKUP(A1714,PARTIDAS!$A$2:$I$269,9,FALSE()),1)</f>
        <v>1</v>
      </c>
      <c r="O1714" s="217">
        <f t="shared" si="52"/>
        <v>0</v>
      </c>
      <c r="P1714" s="216">
        <f>IF(O1714=0,0,IF(B1714="MAT",G1714*(1+H1714)*L1714*PLAN_ETAPA!$C$5,IF(B1714="MO",IF(M1714=0,0,G1714*L1714*PLAN_ETAPA!$C$5*N1714/M1714),IF(B1714="EQ",IF(M1714=0,0,G1714*L1714*PLAN_ETAPA!$C$5/M1714),0))))</f>
        <v>0</v>
      </c>
      <c r="Q1714" s="218">
        <f t="shared" si="53"/>
        <v>0</v>
      </c>
    </row>
    <row r="1715" spans="1:17" x14ac:dyDescent="0.35">
      <c r="A1715" s="212" t="str">
        <f>COMPOSICIÓN!A1715</f>
        <v>PTO-1903</v>
      </c>
      <c r="B1715" s="212" t="str">
        <f>COMPOSICIÓN!B1715</f>
        <v>MAT</v>
      </c>
      <c r="C1715" s="212" t="str">
        <f>COMPOSICIÓN!C1715</f>
        <v>OTR</v>
      </c>
      <c r="D1715" s="212" t="str">
        <f>COMPOSICIÓN!D1715</f>
        <v>OTR-PTO115</v>
      </c>
      <c r="E1715" s="212" t="str">
        <f>COMPOSICIÓN!E1715</f>
        <v>Montantes, remate y ventilación a los 4 vientos [CLOACAL]</v>
      </c>
      <c r="F1715" s="212" t="str">
        <f>COMPOSICIÓN!F1715</f>
        <v>gl</v>
      </c>
      <c r="G1715" s="213">
        <f>COMPOSICIÓN!G1715</f>
        <v>1</v>
      </c>
      <c r="H1715" s="214">
        <f>COMPOSICIÓN!H1715</f>
        <v>0</v>
      </c>
      <c r="I1715" s="215">
        <f>COMPOSICIÓN!I1715</f>
        <v>1258075.1466000001</v>
      </c>
      <c r="J1715" s="212" t="str">
        <f>IFERROR(VLOOKUP(A1715,PARTIDAS!$A$2:$C$269,3,FALSE()),"")</f>
        <v>INSTALACIONES SANITARIAS</v>
      </c>
      <c r="K1715" s="212" t="str">
        <f>IFERROR(INDEX(PPTO_GENERADOR!$B$4:$B$220,MATCH(A1715,PPTO_GENERADOR!$Q$4:$Q$220,0)),"")</f>
        <v>INSTALACIONES SANITARIAS</v>
      </c>
      <c r="L1715" s="216">
        <f>IF(PLAN_ETAPA!$C$4="(TODOS)",SUMIFS(PPTO_GENERADOR!$E$4:$E$220,PPTO_GENERADOR!$Q$4:$Q$220,A1715),SUMIFS(PPTO_GENERADOR!$E$4:$E$220,PPTO_GENERADOR!$Q$4:$Q$220,A1715,PPTO_GENERADOR!$B$4:$B$220,PLAN_ETAPA!$C$4))</f>
        <v>0</v>
      </c>
      <c r="M1715" s="216">
        <f>IFERROR(VLOOKUP(A1715,PARTIDAS!$A$2:$F$269,6,FALSE()),1)</f>
        <v>1</v>
      </c>
      <c r="N1715" s="216">
        <f>IFERROR(VLOOKUP(A1715,PARTIDAS!$A$2:$I$269,9,FALSE()),1)</f>
        <v>1</v>
      </c>
      <c r="O1715" s="217">
        <f t="shared" si="52"/>
        <v>0</v>
      </c>
      <c r="P1715" s="216">
        <f>IF(O1715=0,0,IF(B1715="MAT",G1715*(1+H1715)*L1715*PLAN_ETAPA!$C$5,IF(B1715="MO",IF(M1715=0,0,G1715*L1715*PLAN_ETAPA!$C$5*N1715/M1715),IF(B1715="EQ",IF(M1715=0,0,G1715*L1715*PLAN_ETAPA!$C$5/M1715),0))))</f>
        <v>0</v>
      </c>
      <c r="Q1715" s="218">
        <f t="shared" si="53"/>
        <v>0</v>
      </c>
    </row>
    <row r="1716" spans="1:17" x14ac:dyDescent="0.35">
      <c r="A1716" s="212" t="str">
        <f>COMPOSICIÓN!A1716</f>
        <v>PTO-1903</v>
      </c>
      <c r="B1716" s="212" t="str">
        <f>COMPOSICIÓN!B1716</f>
        <v>MO</v>
      </c>
      <c r="C1716" s="212" t="str">
        <f>COMPOSICIÓN!C1716</f>
        <v>OTR</v>
      </c>
      <c r="D1716" s="212" t="str">
        <f>COMPOSICIÓN!D1716</f>
        <v>SUB-PTO054</v>
      </c>
      <c r="E1716" s="212" t="str">
        <f>COMPOSICIÓN!E1716</f>
        <v>MO Montantes, remate y ventilación a los 4 vientos [CLOACAL]</v>
      </c>
      <c r="F1716" s="212" t="str">
        <f>COMPOSICIÓN!F1716</f>
        <v>j</v>
      </c>
      <c r="G1716" s="213">
        <f>COMPOSICIÓN!G1716</f>
        <v>1</v>
      </c>
      <c r="H1716" s="214">
        <f>COMPOSICIÓN!H1716</f>
        <v>0</v>
      </c>
      <c r="I1716" s="215">
        <f>COMPOSICIÓN!I1716</f>
        <v>2350610.2982216901</v>
      </c>
      <c r="J1716" s="212" t="str">
        <f>IFERROR(VLOOKUP(A1716,PARTIDAS!$A$2:$C$269,3,FALSE()),"")</f>
        <v>INSTALACIONES SANITARIAS</v>
      </c>
      <c r="K1716" s="212" t="str">
        <f>IFERROR(INDEX(PPTO_GENERADOR!$B$4:$B$220,MATCH(A1716,PPTO_GENERADOR!$Q$4:$Q$220,0)),"")</f>
        <v>INSTALACIONES SANITARIAS</v>
      </c>
      <c r="L1716" s="216">
        <f>IF(PLAN_ETAPA!$C$4="(TODOS)",SUMIFS(PPTO_GENERADOR!$E$4:$E$220,PPTO_GENERADOR!$Q$4:$Q$220,A1716),SUMIFS(PPTO_GENERADOR!$E$4:$E$220,PPTO_GENERADOR!$Q$4:$Q$220,A1716,PPTO_GENERADOR!$B$4:$B$220,PLAN_ETAPA!$C$4))</f>
        <v>0</v>
      </c>
      <c r="M1716" s="216">
        <f>IFERROR(VLOOKUP(A1716,PARTIDAS!$A$2:$F$269,6,FALSE()),1)</f>
        <v>1</v>
      </c>
      <c r="N1716" s="216">
        <f>IFERROR(VLOOKUP(A1716,PARTIDAS!$A$2:$I$269,9,FALSE()),1)</f>
        <v>1</v>
      </c>
      <c r="O1716" s="217">
        <f t="shared" si="52"/>
        <v>0</v>
      </c>
      <c r="P1716" s="216">
        <f>IF(O1716=0,0,IF(B1716="MAT",G1716*(1+H1716)*L1716*PLAN_ETAPA!$C$5,IF(B1716="MO",IF(M1716=0,0,G1716*L1716*PLAN_ETAPA!$C$5*N1716/M1716),IF(B1716="EQ",IF(M1716=0,0,G1716*L1716*PLAN_ETAPA!$C$5/M1716),0))))</f>
        <v>0</v>
      </c>
      <c r="Q1716" s="218">
        <f t="shared" si="53"/>
        <v>0</v>
      </c>
    </row>
    <row r="1717" spans="1:17" x14ac:dyDescent="0.35">
      <c r="A1717" s="212" t="str">
        <f>COMPOSICIÓN!A1717</f>
        <v>PTO-1904</v>
      </c>
      <c r="B1717" s="212" t="str">
        <f>COMPOSICIÓN!B1717</f>
        <v>EQ</v>
      </c>
      <c r="C1717" s="212">
        <f>COMPOSICIÓN!C1717</f>
        <v>0</v>
      </c>
      <c r="D1717" s="212" t="str">
        <f>COMPOSICIÓN!D1717</f>
        <v>EQ-PTO097</v>
      </c>
      <c r="E1717" s="212" t="str">
        <f>COMPOSICIÓN!E1717</f>
        <v xml:space="preserve">Herramientas menores y consumibles - Tendido caño pluvial en planta baja </v>
      </c>
      <c r="F1717" s="212">
        <f>COMPOSICIÓN!F1717</f>
        <v>0</v>
      </c>
      <c r="G1717" s="213">
        <f>COMPOSICIÓN!G1717</f>
        <v>1</v>
      </c>
      <c r="H1717" s="214">
        <f>COMPOSICIÓN!H1717</f>
        <v>0</v>
      </c>
      <c r="I1717" s="215">
        <f>COMPOSICIÓN!I1717</f>
        <v>27462.429620301798</v>
      </c>
      <c r="J1717" s="212" t="str">
        <f>IFERROR(VLOOKUP(A1717,PARTIDAS!$A$2:$C$269,3,FALSE()),"")</f>
        <v>INSTALACIONES SANITARIAS</v>
      </c>
      <c r="K1717" s="212" t="str">
        <f>IFERROR(INDEX(PPTO_GENERADOR!$B$4:$B$220,MATCH(A1717,PPTO_GENERADOR!$Q$4:$Q$220,0)),"")</f>
        <v>INSTALACIONES SANITARIAS</v>
      </c>
      <c r="L1717" s="216">
        <f>IF(PLAN_ETAPA!$C$4="(TODOS)",SUMIFS(PPTO_GENERADOR!$E$4:$E$220,PPTO_GENERADOR!$Q$4:$Q$220,A1717),SUMIFS(PPTO_GENERADOR!$E$4:$E$220,PPTO_GENERADOR!$Q$4:$Q$220,A1717,PPTO_GENERADOR!$B$4:$B$220,PLAN_ETAPA!$C$4))</f>
        <v>0</v>
      </c>
      <c r="M1717" s="216">
        <f>IFERROR(VLOOKUP(A1717,PARTIDAS!$A$2:$F$269,6,FALSE()),1)</f>
        <v>1</v>
      </c>
      <c r="N1717" s="216">
        <f>IFERROR(VLOOKUP(A1717,PARTIDAS!$A$2:$I$269,9,FALSE()),1)</f>
        <v>1</v>
      </c>
      <c r="O1717" s="217">
        <f t="shared" si="52"/>
        <v>0</v>
      </c>
      <c r="P1717" s="216">
        <f>IF(O1717=0,0,IF(B1717="MAT",G1717*(1+H1717)*L1717*PLAN_ETAPA!$C$5,IF(B1717="MO",IF(M1717=0,0,G1717*L1717*PLAN_ETAPA!$C$5*N1717/M1717),IF(B1717="EQ",IF(M1717=0,0,G1717*L1717*PLAN_ETAPA!$C$5/M1717),0))))</f>
        <v>0</v>
      </c>
      <c r="Q1717" s="218">
        <f t="shared" si="53"/>
        <v>0</v>
      </c>
    </row>
    <row r="1718" spans="1:17" x14ac:dyDescent="0.35">
      <c r="A1718" s="212" t="str">
        <f>COMPOSICIÓN!A1718</f>
        <v>PTO-1904</v>
      </c>
      <c r="B1718" s="212" t="str">
        <f>COMPOSICIÓN!B1718</f>
        <v>MAT</v>
      </c>
      <c r="C1718" s="212" t="str">
        <f>COMPOSICIÓN!C1718</f>
        <v>OTR</v>
      </c>
      <c r="D1718" s="212" t="str">
        <f>COMPOSICIÓN!D1718</f>
        <v>OTR-PTO116</v>
      </c>
      <c r="E1718" s="212" t="str">
        <f>COMPOSICIÓN!E1718</f>
        <v>Tendido caño pluvial en planta baja  [CLOACAL]</v>
      </c>
      <c r="F1718" s="212" t="str">
        <f>COMPOSICIÓN!F1718</f>
        <v>gl</v>
      </c>
      <c r="G1718" s="213">
        <f>COMPOSICIÓN!G1718</f>
        <v>1</v>
      </c>
      <c r="H1718" s="214">
        <f>COMPOSICIÓN!H1718</f>
        <v>0</v>
      </c>
      <c r="I1718" s="215">
        <f>COMPOSICIÓN!I1718</f>
        <v>733877.16885000002</v>
      </c>
      <c r="J1718" s="212" t="str">
        <f>IFERROR(VLOOKUP(A1718,PARTIDAS!$A$2:$C$269,3,FALSE()),"")</f>
        <v>INSTALACIONES SANITARIAS</v>
      </c>
      <c r="K1718" s="212" t="str">
        <f>IFERROR(INDEX(PPTO_GENERADOR!$B$4:$B$220,MATCH(A1718,PPTO_GENERADOR!$Q$4:$Q$220,0)),"")</f>
        <v>INSTALACIONES SANITARIAS</v>
      </c>
      <c r="L1718" s="216">
        <f>IF(PLAN_ETAPA!$C$4="(TODOS)",SUMIFS(PPTO_GENERADOR!$E$4:$E$220,PPTO_GENERADOR!$Q$4:$Q$220,A1718),SUMIFS(PPTO_GENERADOR!$E$4:$E$220,PPTO_GENERADOR!$Q$4:$Q$220,A1718,PPTO_GENERADOR!$B$4:$B$220,PLAN_ETAPA!$C$4))</f>
        <v>0</v>
      </c>
      <c r="M1718" s="216">
        <f>IFERROR(VLOOKUP(A1718,PARTIDAS!$A$2:$F$269,6,FALSE()),1)</f>
        <v>1</v>
      </c>
      <c r="N1718" s="216">
        <f>IFERROR(VLOOKUP(A1718,PARTIDAS!$A$2:$I$269,9,FALSE()),1)</f>
        <v>1</v>
      </c>
      <c r="O1718" s="217">
        <f t="shared" si="52"/>
        <v>0</v>
      </c>
      <c r="P1718" s="216">
        <f>IF(O1718=0,0,IF(B1718="MAT",G1718*(1+H1718)*L1718*PLAN_ETAPA!$C$5,IF(B1718="MO",IF(M1718=0,0,G1718*L1718*PLAN_ETAPA!$C$5*N1718/M1718),IF(B1718="EQ",IF(M1718=0,0,G1718*L1718*PLAN_ETAPA!$C$5/M1718),0))))</f>
        <v>0</v>
      </c>
      <c r="Q1718" s="218">
        <f t="shared" si="53"/>
        <v>0</v>
      </c>
    </row>
    <row r="1719" spans="1:17" x14ac:dyDescent="0.35">
      <c r="A1719" s="212" t="str">
        <f>COMPOSICIÓN!A1719</f>
        <v>PTO-1904</v>
      </c>
      <c r="B1719" s="212" t="str">
        <f>COMPOSICIÓN!B1719</f>
        <v>MO</v>
      </c>
      <c r="C1719" s="212" t="str">
        <f>COMPOSICIÓN!C1719</f>
        <v>OTR</v>
      </c>
      <c r="D1719" s="212" t="str">
        <f>COMPOSICIÓN!D1719</f>
        <v>SUB-PTO055</v>
      </c>
      <c r="E1719" s="212" t="str">
        <f>COMPOSICIÓN!E1719</f>
        <v>MO Tendido caño pluvial en planta baja  [CLOACAL]</v>
      </c>
      <c r="F1719" s="212" t="str">
        <f>COMPOSICIÓN!F1719</f>
        <v>j</v>
      </c>
      <c r="G1719" s="213">
        <f>COMPOSICIÓN!G1719</f>
        <v>1</v>
      </c>
      <c r="H1719" s="214">
        <f>COMPOSICIÓN!H1719</f>
        <v>0</v>
      </c>
      <c r="I1719" s="215">
        <f>COMPOSICIÓN!I1719</f>
        <v>1096951.47250345</v>
      </c>
      <c r="J1719" s="212" t="str">
        <f>IFERROR(VLOOKUP(A1719,PARTIDAS!$A$2:$C$269,3,FALSE()),"")</f>
        <v>INSTALACIONES SANITARIAS</v>
      </c>
      <c r="K1719" s="212" t="str">
        <f>IFERROR(INDEX(PPTO_GENERADOR!$B$4:$B$220,MATCH(A1719,PPTO_GENERADOR!$Q$4:$Q$220,0)),"")</f>
        <v>INSTALACIONES SANITARIAS</v>
      </c>
      <c r="L1719" s="216">
        <f>IF(PLAN_ETAPA!$C$4="(TODOS)",SUMIFS(PPTO_GENERADOR!$E$4:$E$220,PPTO_GENERADOR!$Q$4:$Q$220,A1719),SUMIFS(PPTO_GENERADOR!$E$4:$E$220,PPTO_GENERADOR!$Q$4:$Q$220,A1719,PPTO_GENERADOR!$B$4:$B$220,PLAN_ETAPA!$C$4))</f>
        <v>0</v>
      </c>
      <c r="M1719" s="216">
        <f>IFERROR(VLOOKUP(A1719,PARTIDAS!$A$2:$F$269,6,FALSE()),1)</f>
        <v>1</v>
      </c>
      <c r="N1719" s="216">
        <f>IFERROR(VLOOKUP(A1719,PARTIDAS!$A$2:$I$269,9,FALSE()),1)</f>
        <v>1</v>
      </c>
      <c r="O1719" s="217">
        <f t="shared" si="52"/>
        <v>0</v>
      </c>
      <c r="P1719" s="216">
        <f>IF(O1719=0,0,IF(B1719="MAT",G1719*(1+H1719)*L1719*PLAN_ETAPA!$C$5,IF(B1719="MO",IF(M1719=0,0,G1719*L1719*PLAN_ETAPA!$C$5*N1719/M1719),IF(B1719="EQ",IF(M1719=0,0,G1719*L1719*PLAN_ETAPA!$C$5/M1719),0))))</f>
        <v>0</v>
      </c>
      <c r="Q1719" s="218">
        <f t="shared" si="53"/>
        <v>0</v>
      </c>
    </row>
    <row r="1720" spans="1:17" x14ac:dyDescent="0.35">
      <c r="A1720" s="212" t="str">
        <f>COMPOSICIÓN!A1720</f>
        <v>PTO-1905</v>
      </c>
      <c r="B1720" s="212" t="str">
        <f>COMPOSICIÓN!B1720</f>
        <v>EQ</v>
      </c>
      <c r="C1720" s="212">
        <f>COMPOSICIÓN!C1720</f>
        <v>0</v>
      </c>
      <c r="D1720" s="212" t="str">
        <f>COMPOSICIÓN!D1720</f>
        <v>EQ-PTO098</v>
      </c>
      <c r="E1720" s="212" t="str">
        <f>COMPOSICIÓN!E1720</f>
        <v>Herramientas menores y consumibles - Tendido caño pluvial por pisos</v>
      </c>
      <c r="F1720" s="212">
        <f>COMPOSICIÓN!F1720</f>
        <v>0</v>
      </c>
      <c r="G1720" s="213">
        <f>COMPOSICIÓN!G1720</f>
        <v>1</v>
      </c>
      <c r="H1720" s="214">
        <f>COMPOSICIÓN!H1720</f>
        <v>0</v>
      </c>
      <c r="I1720" s="215">
        <f>COMPOSICIÓN!I1720</f>
        <v>39232.042314716797</v>
      </c>
      <c r="J1720" s="212" t="str">
        <f>IFERROR(VLOOKUP(A1720,PARTIDAS!$A$2:$C$269,3,FALSE()),"")</f>
        <v>INSTALACIONES SANITARIAS</v>
      </c>
      <c r="K1720" s="212" t="str">
        <f>IFERROR(INDEX(PPTO_GENERADOR!$B$4:$B$220,MATCH(A1720,PPTO_GENERADOR!$Q$4:$Q$220,0)),"")</f>
        <v>INSTALACIONES SANITARIAS</v>
      </c>
      <c r="L1720" s="216">
        <f>IF(PLAN_ETAPA!$C$4="(TODOS)",SUMIFS(PPTO_GENERADOR!$E$4:$E$220,PPTO_GENERADOR!$Q$4:$Q$220,A1720),SUMIFS(PPTO_GENERADOR!$E$4:$E$220,PPTO_GENERADOR!$Q$4:$Q$220,A1720,PPTO_GENERADOR!$B$4:$B$220,PLAN_ETAPA!$C$4))</f>
        <v>0</v>
      </c>
      <c r="M1720" s="216">
        <f>IFERROR(VLOOKUP(A1720,PARTIDAS!$A$2:$F$269,6,FALSE()),1)</f>
        <v>1</v>
      </c>
      <c r="N1720" s="216">
        <f>IFERROR(VLOOKUP(A1720,PARTIDAS!$A$2:$I$269,9,FALSE()),1)</f>
        <v>1</v>
      </c>
      <c r="O1720" s="217">
        <f t="shared" si="52"/>
        <v>0</v>
      </c>
      <c r="P1720" s="216">
        <f>IF(O1720=0,0,IF(B1720="MAT",G1720*(1+H1720)*L1720*PLAN_ETAPA!$C$5,IF(B1720="MO",IF(M1720=0,0,G1720*L1720*PLAN_ETAPA!$C$5*N1720/M1720),IF(B1720="EQ",IF(M1720=0,0,G1720*L1720*PLAN_ETAPA!$C$5/M1720),0))))</f>
        <v>0</v>
      </c>
      <c r="Q1720" s="218">
        <f t="shared" si="53"/>
        <v>0</v>
      </c>
    </row>
    <row r="1721" spans="1:17" x14ac:dyDescent="0.35">
      <c r="A1721" s="212" t="str">
        <f>COMPOSICIÓN!A1721</f>
        <v>PTO-1905</v>
      </c>
      <c r="B1721" s="212" t="str">
        <f>COMPOSICIÓN!B1721</f>
        <v>MAT</v>
      </c>
      <c r="C1721" s="212" t="str">
        <f>COMPOSICIÓN!C1721</f>
        <v>OTR</v>
      </c>
      <c r="D1721" s="212" t="str">
        <f>COMPOSICIÓN!D1721</f>
        <v>OTR-PTO117</v>
      </c>
      <c r="E1721" s="212" t="str">
        <f>COMPOSICIÓN!E1721</f>
        <v>Tendido caño pluvial por pisos [CLOACAL]</v>
      </c>
      <c r="F1721" s="212" t="str">
        <f>COMPOSICIÓN!F1721</f>
        <v>gl</v>
      </c>
      <c r="G1721" s="213">
        <f>COMPOSICIÓN!G1721</f>
        <v>1</v>
      </c>
      <c r="H1721" s="214">
        <f>COMPOSICIÓN!H1721</f>
        <v>0</v>
      </c>
      <c r="I1721" s="215">
        <f>COMPOSICIÓN!I1721</f>
        <v>1048395.9555</v>
      </c>
      <c r="J1721" s="212" t="str">
        <f>IFERROR(VLOOKUP(A1721,PARTIDAS!$A$2:$C$269,3,FALSE()),"")</f>
        <v>INSTALACIONES SANITARIAS</v>
      </c>
      <c r="K1721" s="212" t="str">
        <f>IFERROR(INDEX(PPTO_GENERADOR!$B$4:$B$220,MATCH(A1721,PPTO_GENERADOR!$Q$4:$Q$220,0)),"")</f>
        <v>INSTALACIONES SANITARIAS</v>
      </c>
      <c r="L1721" s="216">
        <f>IF(PLAN_ETAPA!$C$4="(TODOS)",SUMIFS(PPTO_GENERADOR!$E$4:$E$220,PPTO_GENERADOR!$Q$4:$Q$220,A1721),SUMIFS(PPTO_GENERADOR!$E$4:$E$220,PPTO_GENERADOR!$Q$4:$Q$220,A1721,PPTO_GENERADOR!$B$4:$B$220,PLAN_ETAPA!$C$4))</f>
        <v>0</v>
      </c>
      <c r="M1721" s="216">
        <f>IFERROR(VLOOKUP(A1721,PARTIDAS!$A$2:$F$269,6,FALSE()),1)</f>
        <v>1</v>
      </c>
      <c r="N1721" s="216">
        <f>IFERROR(VLOOKUP(A1721,PARTIDAS!$A$2:$I$269,9,FALSE()),1)</f>
        <v>1</v>
      </c>
      <c r="O1721" s="217">
        <f t="shared" si="52"/>
        <v>0</v>
      </c>
      <c r="P1721" s="216">
        <f>IF(O1721=0,0,IF(B1721="MAT",G1721*(1+H1721)*L1721*PLAN_ETAPA!$C$5,IF(B1721="MO",IF(M1721=0,0,G1721*L1721*PLAN_ETAPA!$C$5*N1721/M1721),IF(B1721="EQ",IF(M1721=0,0,G1721*L1721*PLAN_ETAPA!$C$5/M1721),0))))</f>
        <v>0</v>
      </c>
      <c r="Q1721" s="218">
        <f t="shared" si="53"/>
        <v>0</v>
      </c>
    </row>
    <row r="1722" spans="1:17" x14ac:dyDescent="0.35">
      <c r="A1722" s="212" t="str">
        <f>COMPOSICIÓN!A1722</f>
        <v>PTO-1905</v>
      </c>
      <c r="B1722" s="212" t="str">
        <f>COMPOSICIÓN!B1722</f>
        <v>MO</v>
      </c>
      <c r="C1722" s="212" t="str">
        <f>COMPOSICIÓN!C1722</f>
        <v>OTR</v>
      </c>
      <c r="D1722" s="212" t="str">
        <f>COMPOSICIÓN!D1722</f>
        <v>SUB-PTO056</v>
      </c>
      <c r="E1722" s="212" t="str">
        <f>COMPOSICIÓN!E1722</f>
        <v>MO Tendido caño pluvial por pisos [CLOACAL]</v>
      </c>
      <c r="F1722" s="212" t="str">
        <f>COMPOSICIÓN!F1722</f>
        <v>j</v>
      </c>
      <c r="G1722" s="213">
        <f>COMPOSICIÓN!G1722</f>
        <v>1</v>
      </c>
      <c r="H1722" s="214">
        <f>COMPOSICIÓN!H1722</f>
        <v>0</v>
      </c>
      <c r="I1722" s="215">
        <f>COMPOSICIÓN!I1722</f>
        <v>1567073.5321477901</v>
      </c>
      <c r="J1722" s="212" t="str">
        <f>IFERROR(VLOOKUP(A1722,PARTIDAS!$A$2:$C$269,3,FALSE()),"")</f>
        <v>INSTALACIONES SANITARIAS</v>
      </c>
      <c r="K1722" s="212" t="str">
        <f>IFERROR(INDEX(PPTO_GENERADOR!$B$4:$B$220,MATCH(A1722,PPTO_GENERADOR!$Q$4:$Q$220,0)),"")</f>
        <v>INSTALACIONES SANITARIAS</v>
      </c>
      <c r="L1722" s="216">
        <f>IF(PLAN_ETAPA!$C$4="(TODOS)",SUMIFS(PPTO_GENERADOR!$E$4:$E$220,PPTO_GENERADOR!$Q$4:$Q$220,A1722),SUMIFS(PPTO_GENERADOR!$E$4:$E$220,PPTO_GENERADOR!$Q$4:$Q$220,A1722,PPTO_GENERADOR!$B$4:$B$220,PLAN_ETAPA!$C$4))</f>
        <v>0</v>
      </c>
      <c r="M1722" s="216">
        <f>IFERROR(VLOOKUP(A1722,PARTIDAS!$A$2:$F$269,6,FALSE()),1)</f>
        <v>1</v>
      </c>
      <c r="N1722" s="216">
        <f>IFERROR(VLOOKUP(A1722,PARTIDAS!$A$2:$I$269,9,FALSE()),1)</f>
        <v>1</v>
      </c>
      <c r="O1722" s="217">
        <f t="shared" si="52"/>
        <v>0</v>
      </c>
      <c r="P1722" s="216">
        <f>IF(O1722=0,0,IF(B1722="MAT",G1722*(1+H1722)*L1722*PLAN_ETAPA!$C$5,IF(B1722="MO",IF(M1722=0,0,G1722*L1722*PLAN_ETAPA!$C$5*N1722/M1722),IF(B1722="EQ",IF(M1722=0,0,G1722*L1722*PLAN_ETAPA!$C$5/M1722),0))))</f>
        <v>0</v>
      </c>
      <c r="Q1722" s="218">
        <f t="shared" si="53"/>
        <v>0</v>
      </c>
    </row>
    <row r="1723" spans="1:17" x14ac:dyDescent="0.35">
      <c r="A1723" s="212" t="str">
        <f>COMPOSICIÓN!A1723</f>
        <v>PTO-1906</v>
      </c>
      <c r="B1723" s="212" t="str">
        <f>COMPOSICIÓN!B1723</f>
        <v>EQ</v>
      </c>
      <c r="C1723" s="212">
        <f>COMPOSICIÓN!C1723</f>
        <v>0</v>
      </c>
      <c r="D1723" s="212" t="str">
        <f>COMPOSICIÓN!D1723</f>
        <v>EQ-PTO099</v>
      </c>
      <c r="E1723" s="212" t="str">
        <f>COMPOSICIÓN!E1723</f>
        <v>Herramientas menores y consumibles - Instalación tanque de recupero y bombeo pluvial</v>
      </c>
      <c r="F1723" s="212">
        <f>COMPOSICIÓN!F1723</f>
        <v>0</v>
      </c>
      <c r="G1723" s="213">
        <f>COMPOSICIÓN!G1723</f>
        <v>1</v>
      </c>
      <c r="H1723" s="214">
        <f>COMPOSICIÓN!H1723</f>
        <v>0</v>
      </c>
      <c r="I1723" s="215">
        <f>COMPOSICIÓN!I1723</f>
        <v>11769.6126944151</v>
      </c>
      <c r="J1723" s="212" t="str">
        <f>IFERROR(VLOOKUP(A1723,PARTIDAS!$A$2:$C$269,3,FALSE()),"")</f>
        <v>INSTALACIONES SANITARIAS</v>
      </c>
      <c r="K1723" s="212" t="str">
        <f>IFERROR(INDEX(PPTO_GENERADOR!$B$4:$B$220,MATCH(A1723,PPTO_GENERADOR!$Q$4:$Q$220,0)),"")</f>
        <v>INSTALACIONES SANITARIAS</v>
      </c>
      <c r="L1723" s="216">
        <f>IF(PLAN_ETAPA!$C$4="(TODOS)",SUMIFS(PPTO_GENERADOR!$E$4:$E$220,PPTO_GENERADOR!$Q$4:$Q$220,A1723),SUMIFS(PPTO_GENERADOR!$E$4:$E$220,PPTO_GENERADOR!$Q$4:$Q$220,A1723,PPTO_GENERADOR!$B$4:$B$220,PLAN_ETAPA!$C$4))</f>
        <v>0</v>
      </c>
      <c r="M1723" s="216">
        <f>IFERROR(VLOOKUP(A1723,PARTIDAS!$A$2:$F$269,6,FALSE()),1)</f>
        <v>1</v>
      </c>
      <c r="N1723" s="216">
        <f>IFERROR(VLOOKUP(A1723,PARTIDAS!$A$2:$I$269,9,FALSE()),1)</f>
        <v>1</v>
      </c>
      <c r="O1723" s="217">
        <f t="shared" si="52"/>
        <v>0</v>
      </c>
      <c r="P1723" s="216">
        <f>IF(O1723=0,0,IF(B1723="MAT",G1723*(1+H1723)*L1723*PLAN_ETAPA!$C$5,IF(B1723="MO",IF(M1723=0,0,G1723*L1723*PLAN_ETAPA!$C$5*N1723/M1723),IF(B1723="EQ",IF(M1723=0,0,G1723*L1723*PLAN_ETAPA!$C$5/M1723),0))))</f>
        <v>0</v>
      </c>
      <c r="Q1723" s="218">
        <f t="shared" si="53"/>
        <v>0</v>
      </c>
    </row>
    <row r="1724" spans="1:17" x14ac:dyDescent="0.35">
      <c r="A1724" s="212" t="str">
        <f>COMPOSICIÓN!A1724</f>
        <v>PTO-1906</v>
      </c>
      <c r="B1724" s="212" t="str">
        <f>COMPOSICIÓN!B1724</f>
        <v>MAT</v>
      </c>
      <c r="C1724" s="212" t="str">
        <f>COMPOSICIÓN!C1724</f>
        <v>OTR</v>
      </c>
      <c r="D1724" s="212" t="str">
        <f>COMPOSICIÓN!D1724</f>
        <v>OTR-PTO118</v>
      </c>
      <c r="E1724" s="212" t="str">
        <f>COMPOSICIÓN!E1724</f>
        <v>Instalación tanque de recupero y bombeo pluvial [CLOACAL]</v>
      </c>
      <c r="F1724" s="212" t="str">
        <f>COMPOSICIÓN!F1724</f>
        <v>gl</v>
      </c>
      <c r="G1724" s="213">
        <f>COMPOSICIÓN!G1724</f>
        <v>1</v>
      </c>
      <c r="H1724" s="214">
        <f>COMPOSICIÓN!H1724</f>
        <v>0</v>
      </c>
      <c r="I1724" s="215">
        <f>COMPOSICIÓN!I1724</f>
        <v>314518.78665000002</v>
      </c>
      <c r="J1724" s="212" t="str">
        <f>IFERROR(VLOOKUP(A1724,PARTIDAS!$A$2:$C$269,3,FALSE()),"")</f>
        <v>INSTALACIONES SANITARIAS</v>
      </c>
      <c r="K1724" s="212" t="str">
        <f>IFERROR(INDEX(PPTO_GENERADOR!$B$4:$B$220,MATCH(A1724,PPTO_GENERADOR!$Q$4:$Q$220,0)),"")</f>
        <v>INSTALACIONES SANITARIAS</v>
      </c>
      <c r="L1724" s="216">
        <f>IF(PLAN_ETAPA!$C$4="(TODOS)",SUMIFS(PPTO_GENERADOR!$E$4:$E$220,PPTO_GENERADOR!$Q$4:$Q$220,A1724),SUMIFS(PPTO_GENERADOR!$E$4:$E$220,PPTO_GENERADOR!$Q$4:$Q$220,A1724,PPTO_GENERADOR!$B$4:$B$220,PLAN_ETAPA!$C$4))</f>
        <v>0</v>
      </c>
      <c r="M1724" s="216">
        <f>IFERROR(VLOOKUP(A1724,PARTIDAS!$A$2:$F$269,6,FALSE()),1)</f>
        <v>1</v>
      </c>
      <c r="N1724" s="216">
        <f>IFERROR(VLOOKUP(A1724,PARTIDAS!$A$2:$I$269,9,FALSE()),1)</f>
        <v>1</v>
      </c>
      <c r="O1724" s="217">
        <f t="shared" si="52"/>
        <v>0</v>
      </c>
      <c r="P1724" s="216">
        <f>IF(O1724=0,0,IF(B1724="MAT",G1724*(1+H1724)*L1724*PLAN_ETAPA!$C$5,IF(B1724="MO",IF(M1724=0,0,G1724*L1724*PLAN_ETAPA!$C$5*N1724/M1724),IF(B1724="EQ",IF(M1724=0,0,G1724*L1724*PLAN_ETAPA!$C$5/M1724),0))))</f>
        <v>0</v>
      </c>
      <c r="Q1724" s="218">
        <f t="shared" si="53"/>
        <v>0</v>
      </c>
    </row>
    <row r="1725" spans="1:17" x14ac:dyDescent="0.35">
      <c r="A1725" s="212" t="str">
        <f>COMPOSICIÓN!A1725</f>
        <v>PTO-1906</v>
      </c>
      <c r="B1725" s="212" t="str">
        <f>COMPOSICIÓN!B1725</f>
        <v>MO</v>
      </c>
      <c r="C1725" s="212" t="str">
        <f>COMPOSICIÓN!C1725</f>
        <v>OTR</v>
      </c>
      <c r="D1725" s="212" t="str">
        <f>COMPOSICIÓN!D1725</f>
        <v>SUB-PTO057</v>
      </c>
      <c r="E1725" s="212" t="str">
        <f>COMPOSICIÓN!E1725</f>
        <v>MO Instalación tanque de recupero y bombeo pluvial [CLOACAL]</v>
      </c>
      <c r="F1725" s="212" t="str">
        <f>COMPOSICIÓN!F1725</f>
        <v>j</v>
      </c>
      <c r="G1725" s="213">
        <f>COMPOSICIÓN!G1725</f>
        <v>1</v>
      </c>
      <c r="H1725" s="214">
        <f>COMPOSICIÓN!H1725</f>
        <v>0</v>
      </c>
      <c r="I1725" s="215">
        <f>COMPOSICIÓN!I1725</f>
        <v>470122.05964433699</v>
      </c>
      <c r="J1725" s="212" t="str">
        <f>IFERROR(VLOOKUP(A1725,PARTIDAS!$A$2:$C$269,3,FALSE()),"")</f>
        <v>INSTALACIONES SANITARIAS</v>
      </c>
      <c r="K1725" s="212" t="str">
        <f>IFERROR(INDEX(PPTO_GENERADOR!$B$4:$B$220,MATCH(A1725,PPTO_GENERADOR!$Q$4:$Q$220,0)),"")</f>
        <v>INSTALACIONES SANITARIAS</v>
      </c>
      <c r="L1725" s="216">
        <f>IF(PLAN_ETAPA!$C$4="(TODOS)",SUMIFS(PPTO_GENERADOR!$E$4:$E$220,PPTO_GENERADOR!$Q$4:$Q$220,A1725),SUMIFS(PPTO_GENERADOR!$E$4:$E$220,PPTO_GENERADOR!$Q$4:$Q$220,A1725,PPTO_GENERADOR!$B$4:$B$220,PLAN_ETAPA!$C$4))</f>
        <v>0</v>
      </c>
      <c r="M1725" s="216">
        <f>IFERROR(VLOOKUP(A1725,PARTIDAS!$A$2:$F$269,6,FALSE()),1)</f>
        <v>1</v>
      </c>
      <c r="N1725" s="216">
        <f>IFERROR(VLOOKUP(A1725,PARTIDAS!$A$2:$I$269,9,FALSE()),1)</f>
        <v>1</v>
      </c>
      <c r="O1725" s="217">
        <f t="shared" si="52"/>
        <v>0</v>
      </c>
      <c r="P1725" s="216">
        <f>IF(O1725=0,0,IF(B1725="MAT",G1725*(1+H1725)*L1725*PLAN_ETAPA!$C$5,IF(B1725="MO",IF(M1725=0,0,G1725*L1725*PLAN_ETAPA!$C$5*N1725/M1725),IF(B1725="EQ",IF(M1725=0,0,G1725*L1725*PLAN_ETAPA!$C$5/M1725),0))))</f>
        <v>0</v>
      </c>
      <c r="Q1725" s="218">
        <f t="shared" si="53"/>
        <v>0</v>
      </c>
    </row>
    <row r="1726" spans="1:17" x14ac:dyDescent="0.35">
      <c r="A1726" s="212" t="str">
        <f>COMPOSICIÓN!A1726</f>
        <v>PTO-1907</v>
      </c>
      <c r="B1726" s="212" t="str">
        <f>COMPOSICIÓN!B1726</f>
        <v>EQ</v>
      </c>
      <c r="C1726" s="212">
        <f>COMPOSICIÓN!C1726</f>
        <v>0</v>
      </c>
      <c r="D1726" s="212" t="str">
        <f>COMPOSICIÓN!D1726</f>
        <v>EQ-PTO100</v>
      </c>
      <c r="E1726" s="212" t="str">
        <f>COMPOSICIÓN!E1726</f>
        <v>Herramientas menores y consumibles - Tendido caño de agua hasta TB. Colocación de TB, a</v>
      </c>
      <c r="F1726" s="212">
        <f>COMPOSICIÓN!F1726</f>
        <v>0</v>
      </c>
      <c r="G1726" s="213">
        <f>COMPOSICIÓN!G1726</f>
        <v>1</v>
      </c>
      <c r="H1726" s="214">
        <f>COMPOSICIÓN!H1726</f>
        <v>0</v>
      </c>
      <c r="I1726" s="215">
        <f>COMPOSICIÓN!I1726</f>
        <v>36185.167983590203</v>
      </c>
      <c r="J1726" s="212" t="str">
        <f>IFERROR(VLOOKUP(A1726,PARTIDAS!$A$2:$C$269,3,FALSE()),"")</f>
        <v>INSTALACIONES SANITARIAS</v>
      </c>
      <c r="K1726" s="212" t="str">
        <f>IFERROR(INDEX(PPTO_GENERADOR!$B$4:$B$220,MATCH(A1726,PPTO_GENERADOR!$Q$4:$Q$220,0)),"")</f>
        <v>INSTALACIONES SANITARIAS</v>
      </c>
      <c r="L1726" s="216">
        <f>IF(PLAN_ETAPA!$C$4="(TODOS)",SUMIFS(PPTO_GENERADOR!$E$4:$E$220,PPTO_GENERADOR!$Q$4:$Q$220,A1726),SUMIFS(PPTO_GENERADOR!$E$4:$E$220,PPTO_GENERADOR!$Q$4:$Q$220,A1726,PPTO_GENERADOR!$B$4:$B$220,PLAN_ETAPA!$C$4))</f>
        <v>0</v>
      </c>
      <c r="M1726" s="216">
        <f>IFERROR(VLOOKUP(A1726,PARTIDAS!$A$2:$F$269,6,FALSE()),1)</f>
        <v>1</v>
      </c>
      <c r="N1726" s="216">
        <f>IFERROR(VLOOKUP(A1726,PARTIDAS!$A$2:$I$269,9,FALSE()),1)</f>
        <v>1</v>
      </c>
      <c r="O1726" s="217">
        <f t="shared" si="52"/>
        <v>0</v>
      </c>
      <c r="P1726" s="216">
        <f>IF(O1726=0,0,IF(B1726="MAT",G1726*(1+H1726)*L1726*PLAN_ETAPA!$C$5,IF(B1726="MO",IF(M1726=0,0,G1726*L1726*PLAN_ETAPA!$C$5*N1726/M1726),IF(B1726="EQ",IF(M1726=0,0,G1726*L1726*PLAN_ETAPA!$C$5/M1726),0))))</f>
        <v>0</v>
      </c>
      <c r="Q1726" s="218">
        <f t="shared" si="53"/>
        <v>0</v>
      </c>
    </row>
    <row r="1727" spans="1:17" x14ac:dyDescent="0.35">
      <c r="A1727" s="212" t="str">
        <f>COMPOSICIÓN!A1727</f>
        <v>PTO-1907</v>
      </c>
      <c r="B1727" s="212" t="str">
        <f>COMPOSICIÓN!B1727</f>
        <v>MAT</v>
      </c>
      <c r="C1727" s="212" t="str">
        <f>COMPOSICIÓN!C1727</f>
        <v>OTR</v>
      </c>
      <c r="D1727" s="212" t="str">
        <f>COMPOSICIÓN!D1727</f>
        <v>OTR-PTO119</v>
      </c>
      <c r="E1727" s="212" t="str">
        <f>COMPOSICIÓN!E1727</f>
        <v>Tendido caño de agua hasta TB. Colocación de TB, armado de colector y cuadro de bombas [AF.AC]</v>
      </c>
      <c r="F1727" s="212" t="str">
        <f>COMPOSICIÓN!F1727</f>
        <v>gl</v>
      </c>
      <c r="G1727" s="213">
        <f>COMPOSICIÓN!G1727</f>
        <v>1</v>
      </c>
      <c r="H1727" s="214">
        <f>COMPOSICIÓN!H1727</f>
        <v>0</v>
      </c>
      <c r="I1727" s="215">
        <f>COMPOSICIÓN!I1727</f>
        <v>892886.95565999998</v>
      </c>
      <c r="J1727" s="212" t="str">
        <f>IFERROR(VLOOKUP(A1727,PARTIDAS!$A$2:$C$269,3,FALSE()),"")</f>
        <v>INSTALACIONES SANITARIAS</v>
      </c>
      <c r="K1727" s="212" t="str">
        <f>IFERROR(INDEX(PPTO_GENERADOR!$B$4:$B$220,MATCH(A1727,PPTO_GENERADOR!$Q$4:$Q$220,0)),"")</f>
        <v>INSTALACIONES SANITARIAS</v>
      </c>
      <c r="L1727" s="216">
        <f>IF(PLAN_ETAPA!$C$4="(TODOS)",SUMIFS(PPTO_GENERADOR!$E$4:$E$220,PPTO_GENERADOR!$Q$4:$Q$220,A1727),SUMIFS(PPTO_GENERADOR!$E$4:$E$220,PPTO_GENERADOR!$Q$4:$Q$220,A1727,PPTO_GENERADOR!$B$4:$B$220,PLAN_ETAPA!$C$4))</f>
        <v>0</v>
      </c>
      <c r="M1727" s="216">
        <f>IFERROR(VLOOKUP(A1727,PARTIDAS!$A$2:$F$269,6,FALSE()),1)</f>
        <v>1</v>
      </c>
      <c r="N1727" s="216">
        <f>IFERROR(VLOOKUP(A1727,PARTIDAS!$A$2:$I$269,9,FALSE()),1)</f>
        <v>1</v>
      </c>
      <c r="O1727" s="217">
        <f t="shared" si="52"/>
        <v>0</v>
      </c>
      <c r="P1727" s="216">
        <f>IF(O1727=0,0,IF(B1727="MAT",G1727*(1+H1727)*L1727*PLAN_ETAPA!$C$5,IF(B1727="MO",IF(M1727=0,0,G1727*L1727*PLAN_ETAPA!$C$5*N1727/M1727),IF(B1727="EQ",IF(M1727=0,0,G1727*L1727*PLAN_ETAPA!$C$5/M1727),0))))</f>
        <v>0</v>
      </c>
      <c r="Q1727" s="218">
        <f t="shared" si="53"/>
        <v>0</v>
      </c>
    </row>
    <row r="1728" spans="1:17" x14ac:dyDescent="0.35">
      <c r="A1728" s="212" t="str">
        <f>COMPOSICIÓN!A1728</f>
        <v>PTO-1907</v>
      </c>
      <c r="B1728" s="212" t="str">
        <f>COMPOSICIÓN!B1728</f>
        <v>MO</v>
      </c>
      <c r="C1728" s="212" t="str">
        <f>COMPOSICIÓN!C1728</f>
        <v>OTR</v>
      </c>
      <c r="D1728" s="212" t="str">
        <f>COMPOSICIÓN!D1728</f>
        <v>SUB-PTO058</v>
      </c>
      <c r="E1728" s="212" t="str">
        <f>COMPOSICIÓN!E1728</f>
        <v>MO Tendido caño de agua hasta TB. Colocación de TB, armado de colector y cuadro de bombas [AF.AC]</v>
      </c>
      <c r="F1728" s="212" t="str">
        <f>COMPOSICIÓN!F1728</f>
        <v>j</v>
      </c>
      <c r="G1728" s="213">
        <f>COMPOSICIÓN!G1728</f>
        <v>1</v>
      </c>
      <c r="H1728" s="214">
        <f>COMPOSICIÓN!H1728</f>
        <v>0</v>
      </c>
      <c r="I1728" s="215">
        <f>COMPOSICIÓN!I1728</f>
        <v>1519457.57657935</v>
      </c>
      <c r="J1728" s="212" t="str">
        <f>IFERROR(VLOOKUP(A1728,PARTIDAS!$A$2:$C$269,3,FALSE()),"")</f>
        <v>INSTALACIONES SANITARIAS</v>
      </c>
      <c r="K1728" s="212" t="str">
        <f>IFERROR(INDEX(PPTO_GENERADOR!$B$4:$B$220,MATCH(A1728,PPTO_GENERADOR!$Q$4:$Q$220,0)),"")</f>
        <v>INSTALACIONES SANITARIAS</v>
      </c>
      <c r="L1728" s="216">
        <f>IF(PLAN_ETAPA!$C$4="(TODOS)",SUMIFS(PPTO_GENERADOR!$E$4:$E$220,PPTO_GENERADOR!$Q$4:$Q$220,A1728),SUMIFS(PPTO_GENERADOR!$E$4:$E$220,PPTO_GENERADOR!$Q$4:$Q$220,A1728,PPTO_GENERADOR!$B$4:$B$220,PLAN_ETAPA!$C$4))</f>
        <v>0</v>
      </c>
      <c r="M1728" s="216">
        <f>IFERROR(VLOOKUP(A1728,PARTIDAS!$A$2:$F$269,6,FALSE()),1)</f>
        <v>1</v>
      </c>
      <c r="N1728" s="216">
        <f>IFERROR(VLOOKUP(A1728,PARTIDAS!$A$2:$I$269,9,FALSE()),1)</f>
        <v>1</v>
      </c>
      <c r="O1728" s="217">
        <f t="shared" si="52"/>
        <v>0</v>
      </c>
      <c r="P1728" s="216">
        <f>IF(O1728=0,0,IF(B1728="MAT",G1728*(1+H1728)*L1728*PLAN_ETAPA!$C$5,IF(B1728="MO",IF(M1728=0,0,G1728*L1728*PLAN_ETAPA!$C$5*N1728/M1728),IF(B1728="EQ",IF(M1728=0,0,G1728*L1728*PLAN_ETAPA!$C$5/M1728),0))))</f>
        <v>0</v>
      </c>
      <c r="Q1728" s="218">
        <f t="shared" si="53"/>
        <v>0</v>
      </c>
    </row>
    <row r="1729" spans="1:17" x14ac:dyDescent="0.35">
      <c r="A1729" s="212" t="str">
        <f>COMPOSICIÓN!A1729</f>
        <v>PTO-1908</v>
      </c>
      <c r="B1729" s="212" t="str">
        <f>COMPOSICIÓN!B1729</f>
        <v>EQ</v>
      </c>
      <c r="C1729" s="212">
        <f>COMPOSICIÓN!C1729</f>
        <v>0</v>
      </c>
      <c r="D1729" s="212" t="str">
        <f>COMPOSICIÓN!D1729</f>
        <v>EQ-PTO101</v>
      </c>
      <c r="E1729" s="212" t="str">
        <f>COMPOSICIÓN!E1729</f>
        <v>Herramientas menores y consumibles - Armado de colector, subida y bajadas de AF</v>
      </c>
      <c r="F1729" s="212">
        <f>COMPOSICIÓN!F1729</f>
        <v>0</v>
      </c>
      <c r="G1729" s="213">
        <f>COMPOSICIÓN!G1729</f>
        <v>1</v>
      </c>
      <c r="H1729" s="214">
        <f>COMPOSICIÓN!H1729</f>
        <v>0</v>
      </c>
      <c r="I1729" s="215">
        <f>COMPOSICIÓN!I1729</f>
        <v>40649.602761890201</v>
      </c>
      <c r="J1729" s="212" t="str">
        <f>IFERROR(VLOOKUP(A1729,PARTIDAS!$A$2:$C$269,3,FALSE()),"")</f>
        <v>INSTALACIONES SANITARIAS</v>
      </c>
      <c r="K1729" s="212" t="str">
        <f>IFERROR(INDEX(PPTO_GENERADOR!$B$4:$B$220,MATCH(A1729,PPTO_GENERADOR!$Q$4:$Q$220,0)),"")</f>
        <v>INSTALACIONES SANITARIAS</v>
      </c>
      <c r="L1729" s="216">
        <f>IF(PLAN_ETAPA!$C$4="(TODOS)",SUMIFS(PPTO_GENERADOR!$E$4:$E$220,PPTO_GENERADOR!$Q$4:$Q$220,A1729),SUMIFS(PPTO_GENERADOR!$E$4:$E$220,PPTO_GENERADOR!$Q$4:$Q$220,A1729,PPTO_GENERADOR!$B$4:$B$220,PLAN_ETAPA!$C$4))</f>
        <v>0</v>
      </c>
      <c r="M1729" s="216">
        <f>IFERROR(VLOOKUP(A1729,PARTIDAS!$A$2:$F$269,6,FALSE()),1)</f>
        <v>1</v>
      </c>
      <c r="N1729" s="216">
        <f>IFERROR(VLOOKUP(A1729,PARTIDAS!$A$2:$I$269,9,FALSE()),1)</f>
        <v>1</v>
      </c>
      <c r="O1729" s="217">
        <f t="shared" si="52"/>
        <v>0</v>
      </c>
      <c r="P1729" s="216">
        <f>IF(O1729=0,0,IF(B1729="MAT",G1729*(1+H1729)*L1729*PLAN_ETAPA!$C$5,IF(B1729="MO",IF(M1729=0,0,G1729*L1729*PLAN_ETAPA!$C$5*N1729/M1729),IF(B1729="EQ",IF(M1729=0,0,G1729*L1729*PLAN_ETAPA!$C$5/M1729),0))))</f>
        <v>0</v>
      </c>
      <c r="Q1729" s="218">
        <f t="shared" si="53"/>
        <v>0</v>
      </c>
    </row>
    <row r="1730" spans="1:17" x14ac:dyDescent="0.35">
      <c r="A1730" s="212" t="str">
        <f>COMPOSICIÓN!A1730</f>
        <v>PTO-1908</v>
      </c>
      <c r="B1730" s="212" t="str">
        <f>COMPOSICIÓN!B1730</f>
        <v>MAT</v>
      </c>
      <c r="C1730" s="212" t="str">
        <f>COMPOSICIÓN!C1730</f>
        <v>OTR</v>
      </c>
      <c r="D1730" s="212" t="str">
        <f>COMPOSICIÓN!D1730</f>
        <v>OTR-PTO120</v>
      </c>
      <c r="E1730" s="212" t="str">
        <f>COMPOSICIÓN!E1730</f>
        <v>Armado de colector, subida y bajadas de AF [AF.AC]</v>
      </c>
      <c r="F1730" s="212" t="str">
        <f>COMPOSICIÓN!F1730</f>
        <v>gl</v>
      </c>
      <c r="G1730" s="213">
        <f>COMPOSICIÓN!G1730</f>
        <v>1</v>
      </c>
      <c r="H1730" s="214">
        <f>COMPOSICIÓN!H1730</f>
        <v>0</v>
      </c>
      <c r="I1730" s="215">
        <f>COMPOSICIÓN!I1730</f>
        <v>1190515.9408799999</v>
      </c>
      <c r="J1730" s="212" t="str">
        <f>IFERROR(VLOOKUP(A1730,PARTIDAS!$A$2:$C$269,3,FALSE()),"")</f>
        <v>INSTALACIONES SANITARIAS</v>
      </c>
      <c r="K1730" s="212" t="str">
        <f>IFERROR(INDEX(PPTO_GENERADOR!$B$4:$B$220,MATCH(A1730,PPTO_GENERADOR!$Q$4:$Q$220,0)),"")</f>
        <v>INSTALACIONES SANITARIAS</v>
      </c>
      <c r="L1730" s="216">
        <f>IF(PLAN_ETAPA!$C$4="(TODOS)",SUMIFS(PPTO_GENERADOR!$E$4:$E$220,PPTO_GENERADOR!$Q$4:$Q$220,A1730),SUMIFS(PPTO_GENERADOR!$E$4:$E$220,PPTO_GENERADOR!$Q$4:$Q$220,A1730,PPTO_GENERADOR!$B$4:$B$220,PLAN_ETAPA!$C$4))</f>
        <v>0</v>
      </c>
      <c r="M1730" s="216">
        <f>IFERROR(VLOOKUP(A1730,PARTIDAS!$A$2:$F$269,6,FALSE()),1)</f>
        <v>1</v>
      </c>
      <c r="N1730" s="216">
        <f>IFERROR(VLOOKUP(A1730,PARTIDAS!$A$2:$I$269,9,FALSE()),1)</f>
        <v>1</v>
      </c>
      <c r="O1730" s="217">
        <f t="shared" ref="O1730:O1793" si="54">IF(L1730&gt;0,1,0)</f>
        <v>0</v>
      </c>
      <c r="P1730" s="216">
        <f>IF(O1730=0,0,IF(B1730="MAT",G1730*(1+H1730)*L1730*PLAN_ETAPA!$C$5,IF(B1730="MO",IF(M1730=0,0,G1730*L1730*PLAN_ETAPA!$C$5*N1730/M1730),IF(B1730="EQ",IF(M1730=0,0,G1730*L1730*PLAN_ETAPA!$C$5/M1730),0))))</f>
        <v>0</v>
      </c>
      <c r="Q1730" s="218">
        <f t="shared" ref="Q1730:Q1793" si="55">P1730*I1730</f>
        <v>0</v>
      </c>
    </row>
    <row r="1731" spans="1:17" x14ac:dyDescent="0.35">
      <c r="A1731" s="212" t="str">
        <f>COMPOSICIÓN!A1731</f>
        <v>PTO-1908</v>
      </c>
      <c r="B1731" s="212" t="str">
        <f>COMPOSICIÓN!B1731</f>
        <v>MO</v>
      </c>
      <c r="C1731" s="212" t="str">
        <f>COMPOSICIÓN!C1731</f>
        <v>OTR</v>
      </c>
      <c r="D1731" s="212" t="str">
        <f>COMPOSICIÓN!D1731</f>
        <v>SUB-PTO059</v>
      </c>
      <c r="E1731" s="212" t="str">
        <f>COMPOSICIÓN!E1731</f>
        <v>MO Armado de colector, subida y bajadas de AF [AF.AC]</v>
      </c>
      <c r="F1731" s="212" t="str">
        <f>COMPOSICIÓN!F1731</f>
        <v>j</v>
      </c>
      <c r="G1731" s="213">
        <f>COMPOSICIÓN!G1731</f>
        <v>1</v>
      </c>
      <c r="H1731" s="214">
        <f>COMPOSICIÓN!H1731</f>
        <v>0</v>
      </c>
      <c r="I1731" s="215">
        <f>COMPOSICIÓN!I1731</f>
        <v>1519457.57657935</v>
      </c>
      <c r="J1731" s="212" t="str">
        <f>IFERROR(VLOOKUP(A1731,PARTIDAS!$A$2:$C$269,3,FALSE()),"")</f>
        <v>INSTALACIONES SANITARIAS</v>
      </c>
      <c r="K1731" s="212" t="str">
        <f>IFERROR(INDEX(PPTO_GENERADOR!$B$4:$B$220,MATCH(A1731,PPTO_GENERADOR!$Q$4:$Q$220,0)),"")</f>
        <v>INSTALACIONES SANITARIAS</v>
      </c>
      <c r="L1731" s="216">
        <f>IF(PLAN_ETAPA!$C$4="(TODOS)",SUMIFS(PPTO_GENERADOR!$E$4:$E$220,PPTO_GENERADOR!$Q$4:$Q$220,A1731),SUMIFS(PPTO_GENERADOR!$E$4:$E$220,PPTO_GENERADOR!$Q$4:$Q$220,A1731,PPTO_GENERADOR!$B$4:$B$220,PLAN_ETAPA!$C$4))</f>
        <v>0</v>
      </c>
      <c r="M1731" s="216">
        <f>IFERROR(VLOOKUP(A1731,PARTIDAS!$A$2:$F$269,6,FALSE()),1)</f>
        <v>1</v>
      </c>
      <c r="N1731" s="216">
        <f>IFERROR(VLOOKUP(A1731,PARTIDAS!$A$2:$I$269,9,FALSE()),1)</f>
        <v>1</v>
      </c>
      <c r="O1731" s="217">
        <f t="shared" si="54"/>
        <v>0</v>
      </c>
      <c r="P1731" s="216">
        <f>IF(O1731=0,0,IF(B1731="MAT",G1731*(1+H1731)*L1731*PLAN_ETAPA!$C$5,IF(B1731="MO",IF(M1731=0,0,G1731*L1731*PLAN_ETAPA!$C$5*N1731/M1731),IF(B1731="EQ",IF(M1731=0,0,G1731*L1731*PLAN_ETAPA!$C$5/M1731),0))))</f>
        <v>0</v>
      </c>
      <c r="Q1731" s="218">
        <f t="shared" si="55"/>
        <v>0</v>
      </c>
    </row>
    <row r="1732" spans="1:17" x14ac:dyDescent="0.35">
      <c r="A1732" s="212" t="str">
        <f>COMPOSICIÓN!A1732</f>
        <v>PTO-1909</v>
      </c>
      <c r="B1732" s="212" t="str">
        <f>COMPOSICIÓN!B1732</f>
        <v>EQ</v>
      </c>
      <c r="C1732" s="212">
        <f>COMPOSICIÓN!C1732</f>
        <v>0</v>
      </c>
      <c r="D1732" s="212" t="str">
        <f>COMPOSICIÓN!D1732</f>
        <v>EQ-PTO102</v>
      </c>
      <c r="E1732" s="212" t="str">
        <f>COMPOSICIÓN!E1732</f>
        <v>Herramientas menores y consumibles - Colocación de bomba presurizadora, armado de colec</v>
      </c>
      <c r="F1732" s="212">
        <f>COMPOSICIÓN!F1732</f>
        <v>0</v>
      </c>
      <c r="G1732" s="213">
        <f>COMPOSICIÓN!G1732</f>
        <v>1</v>
      </c>
      <c r="H1732" s="214">
        <f>COMPOSICIÓN!H1732</f>
        <v>0</v>
      </c>
      <c r="I1732" s="215">
        <f>COMPOSICIÓN!I1732</f>
        <v>36185.167983590203</v>
      </c>
      <c r="J1732" s="212" t="str">
        <f>IFERROR(VLOOKUP(A1732,PARTIDAS!$A$2:$C$269,3,FALSE()),"")</f>
        <v>INSTALACIONES SANITARIAS</v>
      </c>
      <c r="K1732" s="212" t="str">
        <f>IFERROR(INDEX(PPTO_GENERADOR!$B$4:$B$220,MATCH(A1732,PPTO_GENERADOR!$Q$4:$Q$220,0)),"")</f>
        <v>INSTALACIONES SANITARIAS</v>
      </c>
      <c r="L1732" s="216">
        <f>IF(PLAN_ETAPA!$C$4="(TODOS)",SUMIFS(PPTO_GENERADOR!$E$4:$E$220,PPTO_GENERADOR!$Q$4:$Q$220,A1732),SUMIFS(PPTO_GENERADOR!$E$4:$E$220,PPTO_GENERADOR!$Q$4:$Q$220,A1732,PPTO_GENERADOR!$B$4:$B$220,PLAN_ETAPA!$C$4))</f>
        <v>0</v>
      </c>
      <c r="M1732" s="216">
        <f>IFERROR(VLOOKUP(A1732,PARTIDAS!$A$2:$F$269,6,FALSE()),1)</f>
        <v>1</v>
      </c>
      <c r="N1732" s="216">
        <f>IFERROR(VLOOKUP(A1732,PARTIDAS!$A$2:$I$269,9,FALSE()),1)</f>
        <v>1</v>
      </c>
      <c r="O1732" s="217">
        <f t="shared" si="54"/>
        <v>0</v>
      </c>
      <c r="P1732" s="216">
        <f>IF(O1732=0,0,IF(B1732="MAT",G1732*(1+H1732)*L1732*PLAN_ETAPA!$C$5,IF(B1732="MO",IF(M1732=0,0,G1732*L1732*PLAN_ETAPA!$C$5*N1732/M1732),IF(B1732="EQ",IF(M1732=0,0,G1732*L1732*PLAN_ETAPA!$C$5/M1732),0))))</f>
        <v>0</v>
      </c>
      <c r="Q1732" s="218">
        <f t="shared" si="55"/>
        <v>0</v>
      </c>
    </row>
    <row r="1733" spans="1:17" x14ac:dyDescent="0.35">
      <c r="A1733" s="212" t="str">
        <f>COMPOSICIÓN!A1733</f>
        <v>PTO-1909</v>
      </c>
      <c r="B1733" s="212" t="str">
        <f>COMPOSICIÓN!B1733</f>
        <v>MAT</v>
      </c>
      <c r="C1733" s="212" t="str">
        <f>COMPOSICIÓN!C1733</f>
        <v>OTR</v>
      </c>
      <c r="D1733" s="212" t="str">
        <f>COMPOSICIÓN!D1733</f>
        <v>OTR-PTO121</v>
      </c>
      <c r="E1733" s="212" t="str">
        <f>COMPOSICIÓN!E1733</f>
        <v>Colocación de bomba presurizadora, armado de colector y montantes presurizadas (ultimo piso 4°) AF [AF.AC]</v>
      </c>
      <c r="F1733" s="212" t="str">
        <f>COMPOSICIÓN!F1733</f>
        <v>gl</v>
      </c>
      <c r="G1733" s="213">
        <f>COMPOSICIÓN!G1733</f>
        <v>1</v>
      </c>
      <c r="H1733" s="214">
        <f>COMPOSICIÓN!H1733</f>
        <v>0</v>
      </c>
      <c r="I1733" s="215">
        <f>COMPOSICIÓN!I1733</f>
        <v>892886.95565999998</v>
      </c>
      <c r="J1733" s="212" t="str">
        <f>IFERROR(VLOOKUP(A1733,PARTIDAS!$A$2:$C$269,3,FALSE()),"")</f>
        <v>INSTALACIONES SANITARIAS</v>
      </c>
      <c r="K1733" s="212" t="str">
        <f>IFERROR(INDEX(PPTO_GENERADOR!$B$4:$B$220,MATCH(A1733,PPTO_GENERADOR!$Q$4:$Q$220,0)),"")</f>
        <v>INSTALACIONES SANITARIAS</v>
      </c>
      <c r="L1733" s="216">
        <f>IF(PLAN_ETAPA!$C$4="(TODOS)",SUMIFS(PPTO_GENERADOR!$E$4:$E$220,PPTO_GENERADOR!$Q$4:$Q$220,A1733),SUMIFS(PPTO_GENERADOR!$E$4:$E$220,PPTO_GENERADOR!$Q$4:$Q$220,A1733,PPTO_GENERADOR!$B$4:$B$220,PLAN_ETAPA!$C$4))</f>
        <v>0</v>
      </c>
      <c r="M1733" s="216">
        <f>IFERROR(VLOOKUP(A1733,PARTIDAS!$A$2:$F$269,6,FALSE()),1)</f>
        <v>1</v>
      </c>
      <c r="N1733" s="216">
        <f>IFERROR(VLOOKUP(A1733,PARTIDAS!$A$2:$I$269,9,FALSE()),1)</f>
        <v>1</v>
      </c>
      <c r="O1733" s="217">
        <f t="shared" si="54"/>
        <v>0</v>
      </c>
      <c r="P1733" s="216">
        <f>IF(O1733=0,0,IF(B1733="MAT",G1733*(1+H1733)*L1733*PLAN_ETAPA!$C$5,IF(B1733="MO",IF(M1733=0,0,G1733*L1733*PLAN_ETAPA!$C$5*N1733/M1733),IF(B1733="EQ",IF(M1733=0,0,G1733*L1733*PLAN_ETAPA!$C$5/M1733),0))))</f>
        <v>0</v>
      </c>
      <c r="Q1733" s="218">
        <f t="shared" si="55"/>
        <v>0</v>
      </c>
    </row>
    <row r="1734" spans="1:17" x14ac:dyDescent="0.35">
      <c r="A1734" s="212" t="str">
        <f>COMPOSICIÓN!A1734</f>
        <v>PTO-1909</v>
      </c>
      <c r="B1734" s="212" t="str">
        <f>COMPOSICIÓN!B1734</f>
        <v>MO</v>
      </c>
      <c r="C1734" s="212" t="str">
        <f>COMPOSICIÓN!C1734</f>
        <v>OTR</v>
      </c>
      <c r="D1734" s="212" t="str">
        <f>COMPOSICIÓN!D1734</f>
        <v>SUB-PTO060</v>
      </c>
      <c r="E1734" s="212" t="str">
        <f>COMPOSICIÓN!E1734</f>
        <v>MO Colocación de bomba presurizadora, armado de colector y montantes presurizadas (ultimo piso 4°) AF [AF.AC]</v>
      </c>
      <c r="F1734" s="212" t="str">
        <f>COMPOSICIÓN!F1734</f>
        <v>j</v>
      </c>
      <c r="G1734" s="213">
        <f>COMPOSICIÓN!G1734</f>
        <v>1</v>
      </c>
      <c r="H1734" s="214">
        <f>COMPOSICIÓN!H1734</f>
        <v>0</v>
      </c>
      <c r="I1734" s="215">
        <f>COMPOSICIÓN!I1734</f>
        <v>1519457.57657935</v>
      </c>
      <c r="J1734" s="212" t="str">
        <f>IFERROR(VLOOKUP(A1734,PARTIDAS!$A$2:$C$269,3,FALSE()),"")</f>
        <v>INSTALACIONES SANITARIAS</v>
      </c>
      <c r="K1734" s="212" t="str">
        <f>IFERROR(INDEX(PPTO_GENERADOR!$B$4:$B$220,MATCH(A1734,PPTO_GENERADOR!$Q$4:$Q$220,0)),"")</f>
        <v>INSTALACIONES SANITARIAS</v>
      </c>
      <c r="L1734" s="216">
        <f>IF(PLAN_ETAPA!$C$4="(TODOS)",SUMIFS(PPTO_GENERADOR!$E$4:$E$220,PPTO_GENERADOR!$Q$4:$Q$220,A1734),SUMIFS(PPTO_GENERADOR!$E$4:$E$220,PPTO_GENERADOR!$Q$4:$Q$220,A1734,PPTO_GENERADOR!$B$4:$B$220,PLAN_ETAPA!$C$4))</f>
        <v>0</v>
      </c>
      <c r="M1734" s="216">
        <f>IFERROR(VLOOKUP(A1734,PARTIDAS!$A$2:$F$269,6,FALSE()),1)</f>
        <v>1</v>
      </c>
      <c r="N1734" s="216">
        <f>IFERROR(VLOOKUP(A1734,PARTIDAS!$A$2:$I$269,9,FALSE()),1)</f>
        <v>1</v>
      </c>
      <c r="O1734" s="217">
        <f t="shared" si="54"/>
        <v>0</v>
      </c>
      <c r="P1734" s="216">
        <f>IF(O1734=0,0,IF(B1734="MAT",G1734*(1+H1734)*L1734*PLAN_ETAPA!$C$5,IF(B1734="MO",IF(M1734=0,0,G1734*L1734*PLAN_ETAPA!$C$5*N1734/M1734),IF(B1734="EQ",IF(M1734=0,0,G1734*L1734*PLAN_ETAPA!$C$5/M1734),0))))</f>
        <v>0</v>
      </c>
      <c r="Q1734" s="218">
        <f t="shared" si="55"/>
        <v>0</v>
      </c>
    </row>
    <row r="1735" spans="1:17" x14ac:dyDescent="0.35">
      <c r="A1735" s="212" t="str">
        <f>COMPOSICIÓN!A1735</f>
        <v>PTO-1910</v>
      </c>
      <c r="B1735" s="212" t="str">
        <f>COMPOSICIÓN!B1735</f>
        <v>EQ</v>
      </c>
      <c r="C1735" s="212">
        <f>COMPOSICIÓN!C1735</f>
        <v>0</v>
      </c>
      <c r="D1735" s="212" t="str">
        <f>COMPOSICIÓN!D1735</f>
        <v>EQ-PTO103</v>
      </c>
      <c r="E1735" s="212" t="str">
        <f>COMPOSICIÓN!E1735</f>
        <v>Herramientas menores y consumibles - Distribución agua fria y caliente en planta tipo</v>
      </c>
      <c r="F1735" s="212">
        <f>COMPOSICIÓN!F1735</f>
        <v>0</v>
      </c>
      <c r="G1735" s="213">
        <f>COMPOSICIÓN!G1735</f>
        <v>1</v>
      </c>
      <c r="H1735" s="214">
        <f>COMPOSICIÓN!H1735</f>
        <v>0</v>
      </c>
      <c r="I1735" s="215">
        <f>COMPOSICIÓN!I1735</f>
        <v>204187.39332383199</v>
      </c>
      <c r="J1735" s="212" t="str">
        <f>IFERROR(VLOOKUP(A1735,PARTIDAS!$A$2:$C$269,3,FALSE()),"")</f>
        <v>INSTALACIONES SANITARIAS</v>
      </c>
      <c r="K1735" s="212" t="str">
        <f>IFERROR(INDEX(PPTO_GENERADOR!$B$4:$B$220,MATCH(A1735,PPTO_GENERADOR!$Q$4:$Q$220,0)),"")</f>
        <v>INSTALACIONES SANITARIAS</v>
      </c>
      <c r="L1735" s="216">
        <f>IF(PLAN_ETAPA!$C$4="(TODOS)",SUMIFS(PPTO_GENERADOR!$E$4:$E$220,PPTO_GENERADOR!$Q$4:$Q$220,A1735),SUMIFS(PPTO_GENERADOR!$E$4:$E$220,PPTO_GENERADOR!$Q$4:$Q$220,A1735,PPTO_GENERADOR!$B$4:$B$220,PLAN_ETAPA!$C$4))</f>
        <v>0</v>
      </c>
      <c r="M1735" s="216">
        <f>IFERROR(VLOOKUP(A1735,PARTIDAS!$A$2:$F$269,6,FALSE()),1)</f>
        <v>1</v>
      </c>
      <c r="N1735" s="216">
        <f>IFERROR(VLOOKUP(A1735,PARTIDAS!$A$2:$I$269,9,FALSE()),1)</f>
        <v>1</v>
      </c>
      <c r="O1735" s="217">
        <f t="shared" si="54"/>
        <v>0</v>
      </c>
      <c r="P1735" s="216">
        <f>IF(O1735=0,0,IF(B1735="MAT",G1735*(1+H1735)*L1735*PLAN_ETAPA!$C$5,IF(B1735="MO",IF(M1735=0,0,G1735*L1735*PLAN_ETAPA!$C$5*N1735/M1735),IF(B1735="EQ",IF(M1735=0,0,G1735*L1735*PLAN_ETAPA!$C$5/M1735),0))))</f>
        <v>0</v>
      </c>
      <c r="Q1735" s="218">
        <f t="shared" si="55"/>
        <v>0</v>
      </c>
    </row>
    <row r="1736" spans="1:17" x14ac:dyDescent="0.35">
      <c r="A1736" s="212" t="str">
        <f>COMPOSICIÓN!A1736</f>
        <v>PTO-1910</v>
      </c>
      <c r="B1736" s="212" t="str">
        <f>COMPOSICIÓN!B1736</f>
        <v>MAT</v>
      </c>
      <c r="C1736" s="212" t="str">
        <f>COMPOSICIÓN!C1736</f>
        <v>OTR</v>
      </c>
      <c r="D1736" s="212" t="str">
        <f>COMPOSICIÓN!D1736</f>
        <v>OTR-PTO122</v>
      </c>
      <c r="E1736" s="212" t="str">
        <f>COMPOSICIÓN!E1736</f>
        <v>Distribución agua fria y caliente en planta tipo [AF.AC]</v>
      </c>
      <c r="F1736" s="212" t="str">
        <f>COMPOSICIÓN!F1736</f>
        <v>gl</v>
      </c>
      <c r="G1736" s="213">
        <f>COMPOSICIÓN!G1736</f>
        <v>1</v>
      </c>
      <c r="H1736" s="214">
        <f>COMPOSICIÓN!H1736</f>
        <v>0</v>
      </c>
      <c r="I1736" s="215">
        <f>COMPOSICIÓN!I1736</f>
        <v>2976289.8522000001</v>
      </c>
      <c r="J1736" s="212" t="str">
        <f>IFERROR(VLOOKUP(A1736,PARTIDAS!$A$2:$C$269,3,FALSE()),"")</f>
        <v>INSTALACIONES SANITARIAS</v>
      </c>
      <c r="K1736" s="212" t="str">
        <f>IFERROR(INDEX(PPTO_GENERADOR!$B$4:$B$220,MATCH(A1736,PPTO_GENERADOR!$Q$4:$Q$220,0)),"")</f>
        <v>INSTALACIONES SANITARIAS</v>
      </c>
      <c r="L1736" s="216">
        <f>IF(PLAN_ETAPA!$C$4="(TODOS)",SUMIFS(PPTO_GENERADOR!$E$4:$E$220,PPTO_GENERADOR!$Q$4:$Q$220,A1736),SUMIFS(PPTO_GENERADOR!$E$4:$E$220,PPTO_GENERADOR!$Q$4:$Q$220,A1736,PPTO_GENERADOR!$B$4:$B$220,PLAN_ETAPA!$C$4))</f>
        <v>0</v>
      </c>
      <c r="M1736" s="216">
        <f>IFERROR(VLOOKUP(A1736,PARTIDAS!$A$2:$F$269,6,FALSE()),1)</f>
        <v>1</v>
      </c>
      <c r="N1736" s="216">
        <f>IFERROR(VLOOKUP(A1736,PARTIDAS!$A$2:$I$269,9,FALSE()),1)</f>
        <v>1</v>
      </c>
      <c r="O1736" s="217">
        <f t="shared" si="54"/>
        <v>0</v>
      </c>
      <c r="P1736" s="216">
        <f>IF(O1736=0,0,IF(B1736="MAT",G1736*(1+H1736)*L1736*PLAN_ETAPA!$C$5,IF(B1736="MO",IF(M1736=0,0,G1736*L1736*PLAN_ETAPA!$C$5*N1736/M1736),IF(B1736="EQ",IF(M1736=0,0,G1736*L1736*PLAN_ETAPA!$C$5/M1736),0))))</f>
        <v>0</v>
      </c>
      <c r="Q1736" s="218">
        <f t="shared" si="55"/>
        <v>0</v>
      </c>
    </row>
    <row r="1737" spans="1:17" x14ac:dyDescent="0.35">
      <c r="A1737" s="212" t="str">
        <f>COMPOSICIÓN!A1737</f>
        <v>PTO-1910</v>
      </c>
      <c r="B1737" s="212" t="str">
        <f>COMPOSICIÓN!B1737</f>
        <v>MO</v>
      </c>
      <c r="C1737" s="212" t="str">
        <f>COMPOSICIÓN!C1737</f>
        <v>OTR</v>
      </c>
      <c r="D1737" s="212" t="str">
        <f>COMPOSICIÓN!D1737</f>
        <v>SUB-PTO061</v>
      </c>
      <c r="E1737" s="212" t="str">
        <f>COMPOSICIÓN!E1737</f>
        <v>MO Distribución agua fria y caliente en planta tipo [AF.AC]</v>
      </c>
      <c r="F1737" s="212" t="str">
        <f>COMPOSICIÓN!F1737</f>
        <v>j</v>
      </c>
      <c r="G1737" s="213">
        <f>COMPOSICIÓN!G1737</f>
        <v>1</v>
      </c>
      <c r="H1737" s="214">
        <f>COMPOSICIÓN!H1737</f>
        <v>0</v>
      </c>
      <c r="I1737" s="215">
        <f>COMPOSICIÓN!I1737</f>
        <v>10636203.036055399</v>
      </c>
      <c r="J1737" s="212" t="str">
        <f>IFERROR(VLOOKUP(A1737,PARTIDAS!$A$2:$C$269,3,FALSE()),"")</f>
        <v>INSTALACIONES SANITARIAS</v>
      </c>
      <c r="K1737" s="212" t="str">
        <f>IFERROR(INDEX(PPTO_GENERADOR!$B$4:$B$220,MATCH(A1737,PPTO_GENERADOR!$Q$4:$Q$220,0)),"")</f>
        <v>INSTALACIONES SANITARIAS</v>
      </c>
      <c r="L1737" s="216">
        <f>IF(PLAN_ETAPA!$C$4="(TODOS)",SUMIFS(PPTO_GENERADOR!$E$4:$E$220,PPTO_GENERADOR!$Q$4:$Q$220,A1737),SUMIFS(PPTO_GENERADOR!$E$4:$E$220,PPTO_GENERADOR!$Q$4:$Q$220,A1737,PPTO_GENERADOR!$B$4:$B$220,PLAN_ETAPA!$C$4))</f>
        <v>0</v>
      </c>
      <c r="M1737" s="216">
        <f>IFERROR(VLOOKUP(A1737,PARTIDAS!$A$2:$F$269,6,FALSE()),1)</f>
        <v>1</v>
      </c>
      <c r="N1737" s="216">
        <f>IFERROR(VLOOKUP(A1737,PARTIDAS!$A$2:$I$269,9,FALSE()),1)</f>
        <v>1</v>
      </c>
      <c r="O1737" s="217">
        <f t="shared" si="54"/>
        <v>0</v>
      </c>
      <c r="P1737" s="216">
        <f>IF(O1737=0,0,IF(B1737="MAT",G1737*(1+H1737)*L1737*PLAN_ETAPA!$C$5,IF(B1737="MO",IF(M1737=0,0,G1737*L1737*PLAN_ETAPA!$C$5*N1737/M1737),IF(B1737="EQ",IF(M1737=0,0,G1737*L1737*PLAN_ETAPA!$C$5/M1737),0))))</f>
        <v>0</v>
      </c>
      <c r="Q1737" s="218">
        <f t="shared" si="55"/>
        <v>0</v>
      </c>
    </row>
    <row r="1738" spans="1:17" x14ac:dyDescent="0.35">
      <c r="A1738" s="212" t="str">
        <f>COMPOSICIÓN!A1738</f>
        <v>PTO-1911</v>
      </c>
      <c r="B1738" s="212" t="str">
        <f>COMPOSICIÓN!B1738</f>
        <v>EQ</v>
      </c>
      <c r="C1738" s="212">
        <f>COMPOSICIÓN!C1738</f>
        <v>0</v>
      </c>
      <c r="D1738" s="212" t="str">
        <f>COMPOSICIÓN!D1738</f>
        <v>EQ-PTO104</v>
      </c>
      <c r="E1738" s="212" t="str">
        <f>COMPOSICIÓN!E1738</f>
        <v>Herramientas menores y consumibles - Colocación de artefactos y griferias</v>
      </c>
      <c r="F1738" s="212">
        <f>COMPOSICIÓN!F1738</f>
        <v>0</v>
      </c>
      <c r="G1738" s="213">
        <f>COMPOSICIÓN!G1738</f>
        <v>1</v>
      </c>
      <c r="H1738" s="214">
        <f>COMPOSICIÓN!H1738</f>
        <v>0</v>
      </c>
      <c r="I1738" s="215">
        <f>COMPOSICIÓN!I1738</f>
        <v>69010.743634148894</v>
      </c>
      <c r="J1738" s="212" t="str">
        <f>IFERROR(VLOOKUP(A1738,PARTIDAS!$A$2:$C$269,3,FALSE()),"")</f>
        <v>INSTALACIONES SANITARIAS</v>
      </c>
      <c r="K1738" s="212" t="str">
        <f>IFERROR(INDEX(PPTO_GENERADOR!$B$4:$B$220,MATCH(A1738,PPTO_GENERADOR!$Q$4:$Q$220,0)),"")</f>
        <v>INSTALACIONES SANITARIAS</v>
      </c>
      <c r="L1738" s="216">
        <f>IF(PLAN_ETAPA!$C$4="(TODOS)",SUMIFS(PPTO_GENERADOR!$E$4:$E$220,PPTO_GENERADOR!$Q$4:$Q$220,A1738),SUMIFS(PPTO_GENERADOR!$E$4:$E$220,PPTO_GENERADOR!$Q$4:$Q$220,A1738,PPTO_GENERADOR!$B$4:$B$220,PLAN_ETAPA!$C$4))</f>
        <v>0</v>
      </c>
      <c r="M1738" s="216">
        <f>IFERROR(VLOOKUP(A1738,PARTIDAS!$A$2:$F$269,6,FALSE()),1)</f>
        <v>1</v>
      </c>
      <c r="N1738" s="216">
        <f>IFERROR(VLOOKUP(A1738,PARTIDAS!$A$2:$I$269,9,FALSE()),1)</f>
        <v>1</v>
      </c>
      <c r="O1738" s="217">
        <f t="shared" si="54"/>
        <v>0</v>
      </c>
      <c r="P1738" s="216">
        <f>IF(O1738=0,0,IF(B1738="MAT",G1738*(1+H1738)*L1738*PLAN_ETAPA!$C$5,IF(B1738="MO",IF(M1738=0,0,G1738*L1738*PLAN_ETAPA!$C$5*N1738/M1738),IF(B1738="EQ",IF(M1738=0,0,G1738*L1738*PLAN_ETAPA!$C$5/M1738),0))))</f>
        <v>0</v>
      </c>
      <c r="Q1738" s="218">
        <f t="shared" si="55"/>
        <v>0</v>
      </c>
    </row>
    <row r="1739" spans="1:17" x14ac:dyDescent="0.35">
      <c r="A1739" s="212" t="str">
        <f>COMPOSICIÓN!A1739</f>
        <v>PTO-1911</v>
      </c>
      <c r="B1739" s="212" t="str">
        <f>COMPOSICIÓN!B1739</f>
        <v>MAT</v>
      </c>
      <c r="C1739" s="212" t="str">
        <f>COMPOSICIÓN!C1739</f>
        <v>OTR</v>
      </c>
      <c r="D1739" s="212" t="str">
        <f>COMPOSICIÓN!D1739</f>
        <v>OTR-PTO123</v>
      </c>
      <c r="E1739" s="212" t="str">
        <f>COMPOSICIÓN!E1739</f>
        <v>Colocación de artefactos y griferias [AF.AC]</v>
      </c>
      <c r="F1739" s="212" t="str">
        <f>COMPOSICIÓN!F1739</f>
        <v>gl</v>
      </c>
      <c r="G1739" s="213">
        <f>COMPOSICIÓN!G1739</f>
        <v>1</v>
      </c>
      <c r="H1739" s="214">
        <f>COMPOSICIÓN!H1739</f>
        <v>0</v>
      </c>
      <c r="I1739" s="215">
        <f>COMPOSICIÓN!I1739</f>
        <v>2023467.36</v>
      </c>
      <c r="J1739" s="212" t="str">
        <f>IFERROR(VLOOKUP(A1739,PARTIDAS!$A$2:$C$269,3,FALSE()),"")</f>
        <v>INSTALACIONES SANITARIAS</v>
      </c>
      <c r="K1739" s="212" t="str">
        <f>IFERROR(INDEX(PPTO_GENERADOR!$B$4:$B$220,MATCH(A1739,PPTO_GENERADOR!$Q$4:$Q$220,0)),"")</f>
        <v>INSTALACIONES SANITARIAS</v>
      </c>
      <c r="L1739" s="216">
        <f>IF(PLAN_ETAPA!$C$4="(TODOS)",SUMIFS(PPTO_GENERADOR!$E$4:$E$220,PPTO_GENERADOR!$Q$4:$Q$220,A1739),SUMIFS(PPTO_GENERADOR!$E$4:$E$220,PPTO_GENERADOR!$Q$4:$Q$220,A1739,PPTO_GENERADOR!$B$4:$B$220,PLAN_ETAPA!$C$4))</f>
        <v>0</v>
      </c>
      <c r="M1739" s="216">
        <f>IFERROR(VLOOKUP(A1739,PARTIDAS!$A$2:$F$269,6,FALSE()),1)</f>
        <v>1</v>
      </c>
      <c r="N1739" s="216">
        <f>IFERROR(VLOOKUP(A1739,PARTIDAS!$A$2:$I$269,9,FALSE()),1)</f>
        <v>1</v>
      </c>
      <c r="O1739" s="217">
        <f t="shared" si="54"/>
        <v>0</v>
      </c>
      <c r="P1739" s="216">
        <f>IF(O1739=0,0,IF(B1739="MAT",G1739*(1+H1739)*L1739*PLAN_ETAPA!$C$5,IF(B1739="MO",IF(M1739=0,0,G1739*L1739*PLAN_ETAPA!$C$5*N1739/M1739),IF(B1739="EQ",IF(M1739=0,0,G1739*L1739*PLAN_ETAPA!$C$5/M1739),0))))</f>
        <v>0</v>
      </c>
      <c r="Q1739" s="218">
        <f t="shared" si="55"/>
        <v>0</v>
      </c>
    </row>
    <row r="1740" spans="1:17" x14ac:dyDescent="0.35">
      <c r="A1740" s="212" t="str">
        <f>COMPOSICIÓN!A1740</f>
        <v>PTO-1911</v>
      </c>
      <c r="B1740" s="212" t="str">
        <f>COMPOSICIÓN!B1740</f>
        <v>MO</v>
      </c>
      <c r="C1740" s="212" t="str">
        <f>COMPOSICIÓN!C1740</f>
        <v>OTR</v>
      </c>
      <c r="D1740" s="212" t="str">
        <f>COMPOSICIÓN!D1740</f>
        <v>SUB-PTO062</v>
      </c>
      <c r="E1740" s="212" t="str">
        <f>COMPOSICIÓN!E1740</f>
        <v>MO Colocación de artefactos y griferias [AF.AC]</v>
      </c>
      <c r="F1740" s="212" t="str">
        <f>COMPOSICIÓN!F1740</f>
        <v>j</v>
      </c>
      <c r="G1740" s="213">
        <f>COMPOSICIÓN!G1740</f>
        <v>1</v>
      </c>
      <c r="H1740" s="214">
        <f>COMPOSICIÓN!H1740</f>
        <v>0</v>
      </c>
      <c r="I1740" s="215">
        <f>COMPOSICIÓN!I1740</f>
        <v>2577248.88227659</v>
      </c>
      <c r="J1740" s="212" t="str">
        <f>IFERROR(VLOOKUP(A1740,PARTIDAS!$A$2:$C$269,3,FALSE()),"")</f>
        <v>INSTALACIONES SANITARIAS</v>
      </c>
      <c r="K1740" s="212" t="str">
        <f>IFERROR(INDEX(PPTO_GENERADOR!$B$4:$B$220,MATCH(A1740,PPTO_GENERADOR!$Q$4:$Q$220,0)),"")</f>
        <v>INSTALACIONES SANITARIAS</v>
      </c>
      <c r="L1740" s="216">
        <f>IF(PLAN_ETAPA!$C$4="(TODOS)",SUMIFS(PPTO_GENERADOR!$E$4:$E$220,PPTO_GENERADOR!$Q$4:$Q$220,A1740),SUMIFS(PPTO_GENERADOR!$E$4:$E$220,PPTO_GENERADOR!$Q$4:$Q$220,A1740,PPTO_GENERADOR!$B$4:$B$220,PLAN_ETAPA!$C$4))</f>
        <v>0</v>
      </c>
      <c r="M1740" s="216">
        <f>IFERROR(VLOOKUP(A1740,PARTIDAS!$A$2:$F$269,6,FALSE()),1)</f>
        <v>1</v>
      </c>
      <c r="N1740" s="216">
        <f>IFERROR(VLOOKUP(A1740,PARTIDAS!$A$2:$I$269,9,FALSE()),1)</f>
        <v>1</v>
      </c>
      <c r="O1740" s="217">
        <f t="shared" si="54"/>
        <v>0</v>
      </c>
      <c r="P1740" s="216">
        <f>IF(O1740=0,0,IF(B1740="MAT",G1740*(1+H1740)*L1740*PLAN_ETAPA!$C$5,IF(B1740="MO",IF(M1740=0,0,G1740*L1740*PLAN_ETAPA!$C$5*N1740/M1740),IF(B1740="EQ",IF(M1740=0,0,G1740*L1740*PLAN_ETAPA!$C$5/M1740),0))))</f>
        <v>0</v>
      </c>
      <c r="Q1740" s="218">
        <f t="shared" si="55"/>
        <v>0</v>
      </c>
    </row>
    <row r="1741" spans="1:17" x14ac:dyDescent="0.35">
      <c r="A1741" s="212" t="str">
        <f>COMPOSICIÓN!A1741</f>
        <v>PTO-1912</v>
      </c>
      <c r="B1741" s="212" t="str">
        <f>COMPOSICIÓN!B1741</f>
        <v>EQ</v>
      </c>
      <c r="C1741" s="212">
        <f>COMPOSICIÓN!C1741</f>
        <v>0</v>
      </c>
      <c r="D1741" s="212" t="str">
        <f>COMPOSICIÓN!D1741</f>
        <v>EQ-PTO027</v>
      </c>
      <c r="E1741" s="212" t="str">
        <f>COMPOSICIÓN!E1741</f>
        <v>Herramientas y consumibles Armado y conexionado de desagües AA.CC</v>
      </c>
      <c r="F1741" s="212">
        <f>COMPOSICIÓN!F1741</f>
        <v>0</v>
      </c>
      <c r="G1741" s="213">
        <f>COMPOSICIÓN!G1741</f>
        <v>1</v>
      </c>
      <c r="H1741" s="214">
        <f>COMPOSICIÓN!H1741</f>
        <v>0</v>
      </c>
      <c r="I1741" s="215">
        <f>COMPOSICIÓN!I1741</f>
        <v>29250</v>
      </c>
      <c r="J1741" s="212" t="str">
        <f>IFERROR(VLOOKUP(A1741,PARTIDAS!$A$2:$C$269,3,FALSE()),"")</f>
        <v>INSTALACIONES SANITARIAS</v>
      </c>
      <c r="K1741" s="212" t="str">
        <f>IFERROR(INDEX(PPTO_GENERADOR!$B$4:$B$220,MATCH(A1741,PPTO_GENERADOR!$Q$4:$Q$220,0)),"")</f>
        <v>INSTALACIONES SANITARIAS</v>
      </c>
      <c r="L1741" s="216">
        <f>IF(PLAN_ETAPA!$C$4="(TODOS)",SUMIFS(PPTO_GENERADOR!$E$4:$E$220,PPTO_GENERADOR!$Q$4:$Q$220,A1741),SUMIFS(PPTO_GENERADOR!$E$4:$E$220,PPTO_GENERADOR!$Q$4:$Q$220,A1741,PPTO_GENERADOR!$B$4:$B$220,PLAN_ETAPA!$C$4))</f>
        <v>0</v>
      </c>
      <c r="M1741" s="216">
        <f>IFERROR(VLOOKUP(A1741,PARTIDAS!$A$2:$F$269,6,FALSE()),1)</f>
        <v>1</v>
      </c>
      <c r="N1741" s="216">
        <f>IFERROR(VLOOKUP(A1741,PARTIDAS!$A$2:$I$269,9,FALSE()),1)</f>
        <v>1</v>
      </c>
      <c r="O1741" s="217">
        <f t="shared" si="54"/>
        <v>0</v>
      </c>
      <c r="P1741" s="216">
        <f>IF(O1741=0,0,IF(B1741="MAT",G1741*(1+H1741)*L1741*PLAN_ETAPA!$C$5,IF(B1741="MO",IF(M1741=0,0,G1741*L1741*PLAN_ETAPA!$C$5*N1741/M1741),IF(B1741="EQ",IF(M1741=0,0,G1741*L1741*PLAN_ETAPA!$C$5/M1741),0))))</f>
        <v>0</v>
      </c>
      <c r="Q1741" s="218">
        <f t="shared" si="55"/>
        <v>0</v>
      </c>
    </row>
    <row r="1742" spans="1:17" x14ac:dyDescent="0.35">
      <c r="A1742" s="212" t="str">
        <f>COMPOSICIÓN!A1742</f>
        <v>PTO-1912</v>
      </c>
      <c r="B1742" s="212" t="str">
        <f>COMPOSICIÓN!B1742</f>
        <v>MAT</v>
      </c>
      <c r="C1742" s="212" t="str">
        <f>COMPOSICIÓN!C1742</f>
        <v>OTR</v>
      </c>
      <c r="D1742" s="212" t="str">
        <f>COMPOSICIÓN!D1742</f>
        <v>OTR-PTO124</v>
      </c>
      <c r="E1742" s="212" t="str">
        <f>COMPOSICIÓN!E1742</f>
        <v>Armado y conexionado de desagües AA.CC</v>
      </c>
      <c r="F1742" s="212" t="str">
        <f>COMPOSICIÓN!F1742</f>
        <v>gl</v>
      </c>
      <c r="G1742" s="213">
        <f>COMPOSICIÓN!G1742</f>
        <v>1</v>
      </c>
      <c r="H1742" s="214">
        <f>COMPOSICIÓN!H1742</f>
        <v>0</v>
      </c>
      <c r="I1742" s="215">
        <f>COMPOSICIÓN!I1742</f>
        <v>450000</v>
      </c>
      <c r="J1742" s="212" t="str">
        <f>IFERROR(VLOOKUP(A1742,PARTIDAS!$A$2:$C$269,3,FALSE()),"")</f>
        <v>INSTALACIONES SANITARIAS</v>
      </c>
      <c r="K1742" s="212" t="str">
        <f>IFERROR(INDEX(PPTO_GENERADOR!$B$4:$B$220,MATCH(A1742,PPTO_GENERADOR!$Q$4:$Q$220,0)),"")</f>
        <v>INSTALACIONES SANITARIAS</v>
      </c>
      <c r="L1742" s="216">
        <f>IF(PLAN_ETAPA!$C$4="(TODOS)",SUMIFS(PPTO_GENERADOR!$E$4:$E$220,PPTO_GENERADOR!$Q$4:$Q$220,A1742),SUMIFS(PPTO_GENERADOR!$E$4:$E$220,PPTO_GENERADOR!$Q$4:$Q$220,A1742,PPTO_GENERADOR!$B$4:$B$220,PLAN_ETAPA!$C$4))</f>
        <v>0</v>
      </c>
      <c r="M1742" s="216">
        <f>IFERROR(VLOOKUP(A1742,PARTIDAS!$A$2:$F$269,6,FALSE()),1)</f>
        <v>1</v>
      </c>
      <c r="N1742" s="216">
        <f>IFERROR(VLOOKUP(A1742,PARTIDAS!$A$2:$I$269,9,FALSE()),1)</f>
        <v>1</v>
      </c>
      <c r="O1742" s="217">
        <f t="shared" si="54"/>
        <v>0</v>
      </c>
      <c r="P1742" s="216">
        <f>IF(O1742=0,0,IF(B1742="MAT",G1742*(1+H1742)*L1742*PLAN_ETAPA!$C$5,IF(B1742="MO",IF(M1742=0,0,G1742*L1742*PLAN_ETAPA!$C$5*N1742/M1742),IF(B1742="EQ",IF(M1742=0,0,G1742*L1742*PLAN_ETAPA!$C$5/M1742),0))))</f>
        <v>0</v>
      </c>
      <c r="Q1742" s="218">
        <f t="shared" si="55"/>
        <v>0</v>
      </c>
    </row>
    <row r="1743" spans="1:17" x14ac:dyDescent="0.35">
      <c r="A1743" s="212" t="str">
        <f>COMPOSICIÓN!A1743</f>
        <v>PTO-1912</v>
      </c>
      <c r="B1743" s="212" t="str">
        <f>COMPOSICIÓN!B1743</f>
        <v>MO</v>
      </c>
      <c r="C1743" s="212" t="str">
        <f>COMPOSICIÓN!C1743</f>
        <v>OTR</v>
      </c>
      <c r="D1743" s="212" t="str">
        <f>COMPOSICIÓN!D1743</f>
        <v>SUB-PTO063</v>
      </c>
      <c r="E1743" s="212" t="str">
        <f>COMPOSICIÓN!E1743</f>
        <v>MO Armado y conexionado de desagües AA.CC</v>
      </c>
      <c r="F1743" s="212" t="str">
        <f>COMPOSICIÓN!F1743</f>
        <v>j</v>
      </c>
      <c r="G1743" s="213">
        <f>COMPOSICIÓN!G1743</f>
        <v>1</v>
      </c>
      <c r="H1743" s="214">
        <f>COMPOSICIÓN!H1743</f>
        <v>0</v>
      </c>
      <c r="I1743" s="215">
        <f>COMPOSICIÓN!I1743</f>
        <v>1500000</v>
      </c>
      <c r="J1743" s="212" t="str">
        <f>IFERROR(VLOOKUP(A1743,PARTIDAS!$A$2:$C$269,3,FALSE()),"")</f>
        <v>INSTALACIONES SANITARIAS</v>
      </c>
      <c r="K1743" s="212" t="str">
        <f>IFERROR(INDEX(PPTO_GENERADOR!$B$4:$B$220,MATCH(A1743,PPTO_GENERADOR!$Q$4:$Q$220,0)),"")</f>
        <v>INSTALACIONES SANITARIAS</v>
      </c>
      <c r="L1743" s="216">
        <f>IF(PLAN_ETAPA!$C$4="(TODOS)",SUMIFS(PPTO_GENERADOR!$E$4:$E$220,PPTO_GENERADOR!$Q$4:$Q$220,A1743),SUMIFS(PPTO_GENERADOR!$E$4:$E$220,PPTO_GENERADOR!$Q$4:$Q$220,A1743,PPTO_GENERADOR!$B$4:$B$220,PLAN_ETAPA!$C$4))</f>
        <v>0</v>
      </c>
      <c r="M1743" s="216">
        <f>IFERROR(VLOOKUP(A1743,PARTIDAS!$A$2:$F$269,6,FALSE()),1)</f>
        <v>1</v>
      </c>
      <c r="N1743" s="216">
        <f>IFERROR(VLOOKUP(A1743,PARTIDAS!$A$2:$I$269,9,FALSE()),1)</f>
        <v>1</v>
      </c>
      <c r="O1743" s="217">
        <f t="shared" si="54"/>
        <v>0</v>
      </c>
      <c r="P1743" s="216">
        <f>IF(O1743=0,0,IF(B1743="MAT",G1743*(1+H1743)*L1743*PLAN_ETAPA!$C$5,IF(B1743="MO",IF(M1743=0,0,G1743*L1743*PLAN_ETAPA!$C$5*N1743/M1743),IF(B1743="EQ",IF(M1743=0,0,G1743*L1743*PLAN_ETAPA!$C$5/M1743),0))))</f>
        <v>0</v>
      </c>
      <c r="Q1743" s="218">
        <f t="shared" si="55"/>
        <v>0</v>
      </c>
    </row>
    <row r="1744" spans="1:17" x14ac:dyDescent="0.35">
      <c r="A1744" s="212" t="str">
        <f>COMPOSICIÓN!A1744</f>
        <v>PTO-1913</v>
      </c>
      <c r="B1744" s="212" t="str">
        <f>COMPOSICIÓN!B1744</f>
        <v>EQ</v>
      </c>
      <c r="C1744" s="212">
        <f>COMPOSICIÓN!C1744</f>
        <v>0</v>
      </c>
      <c r="D1744" s="212" t="str">
        <f>COMPOSICIÓN!D1744</f>
        <v>EQ-PTO105</v>
      </c>
      <c r="E1744" s="212" t="str">
        <f>COMPOSICIÓN!E1744</f>
        <v>Herramientas menores y consumibles - Tendido de cañerías de piso radiante - Colectores,</v>
      </c>
      <c r="F1744" s="212">
        <f>COMPOSICIÓN!F1744</f>
        <v>0</v>
      </c>
      <c r="G1744" s="213">
        <f>COMPOSICIÓN!G1744</f>
        <v>1</v>
      </c>
      <c r="H1744" s="214">
        <f>COMPOSICIÓN!H1744</f>
        <v>0</v>
      </c>
      <c r="I1744" s="215">
        <f>COMPOSICIÓN!I1744</f>
        <v>399227.87518155301</v>
      </c>
      <c r="J1744" s="212" t="str">
        <f>IFERROR(VLOOKUP(A1744,PARTIDAS!$A$2:$C$269,3,FALSE()),"")</f>
        <v>INSTALACIONES SANITARIAS</v>
      </c>
      <c r="K1744" s="212" t="str">
        <f>IFERROR(INDEX(PPTO_GENERADOR!$B$4:$B$220,MATCH(A1744,PPTO_GENERADOR!$Q$4:$Q$220,0)),"")</f>
        <v>INSTALACIONES SANITARIAS</v>
      </c>
      <c r="L1744" s="216">
        <f>IF(PLAN_ETAPA!$C$4="(TODOS)",SUMIFS(PPTO_GENERADOR!$E$4:$E$220,PPTO_GENERADOR!$Q$4:$Q$220,A1744),SUMIFS(PPTO_GENERADOR!$E$4:$E$220,PPTO_GENERADOR!$Q$4:$Q$220,A1744,PPTO_GENERADOR!$B$4:$B$220,PLAN_ETAPA!$C$4))</f>
        <v>0</v>
      </c>
      <c r="M1744" s="216">
        <f>IFERROR(VLOOKUP(A1744,PARTIDAS!$A$2:$F$269,6,FALSE()),1)</f>
        <v>1</v>
      </c>
      <c r="N1744" s="216">
        <f>IFERROR(VLOOKUP(A1744,PARTIDAS!$A$2:$I$269,9,FALSE()),1)</f>
        <v>1</v>
      </c>
      <c r="O1744" s="217">
        <f t="shared" si="54"/>
        <v>0</v>
      </c>
      <c r="P1744" s="216">
        <f>IF(O1744=0,0,IF(B1744="MAT",G1744*(1+H1744)*L1744*PLAN_ETAPA!$C$5,IF(B1744="MO",IF(M1744=0,0,G1744*L1744*PLAN_ETAPA!$C$5*N1744/M1744),IF(B1744="EQ",IF(M1744=0,0,G1744*L1744*PLAN_ETAPA!$C$5/M1744),0))))</f>
        <v>0</v>
      </c>
      <c r="Q1744" s="218">
        <f t="shared" si="55"/>
        <v>0</v>
      </c>
    </row>
    <row r="1745" spans="1:17" x14ac:dyDescent="0.35">
      <c r="A1745" s="212" t="str">
        <f>COMPOSICIÓN!A1745</f>
        <v>PTO-1913</v>
      </c>
      <c r="B1745" s="212" t="str">
        <f>COMPOSICIÓN!B1745</f>
        <v>MAT</v>
      </c>
      <c r="C1745" s="212" t="str">
        <f>COMPOSICIÓN!C1745</f>
        <v>OTR</v>
      </c>
      <c r="D1745" s="212" t="str">
        <f>COMPOSICIÓN!D1745</f>
        <v>OTR-PTO192</v>
      </c>
      <c r="E1745" s="212" t="str">
        <f>COMPOSICIÓN!E1745</f>
        <v>Tubo Ø 16 mm PEX, rollo por 240 m - HidroFlex Saladillo</v>
      </c>
      <c r="F1745" s="212" t="str">
        <f>COMPOSICIÓN!F1745</f>
        <v>rol</v>
      </c>
      <c r="G1745" s="213">
        <f>COMPOSICIÓN!G1745</f>
        <v>13</v>
      </c>
      <c r="H1745" s="214">
        <f>COMPOSICIÓN!H1745</f>
        <v>0</v>
      </c>
      <c r="I1745" s="215">
        <f>COMPOSICIÓN!I1745</f>
        <v>190020.54</v>
      </c>
      <c r="J1745" s="212" t="str">
        <f>IFERROR(VLOOKUP(A1745,PARTIDAS!$A$2:$C$269,3,FALSE()),"")</f>
        <v>INSTALACIONES SANITARIAS</v>
      </c>
      <c r="K1745" s="212" t="str">
        <f>IFERROR(INDEX(PPTO_GENERADOR!$B$4:$B$220,MATCH(A1745,PPTO_GENERADOR!$Q$4:$Q$220,0)),"")</f>
        <v>INSTALACIONES SANITARIAS</v>
      </c>
      <c r="L1745" s="216">
        <f>IF(PLAN_ETAPA!$C$4="(TODOS)",SUMIFS(PPTO_GENERADOR!$E$4:$E$220,PPTO_GENERADOR!$Q$4:$Q$220,A1745),SUMIFS(PPTO_GENERADOR!$E$4:$E$220,PPTO_GENERADOR!$Q$4:$Q$220,A1745,PPTO_GENERADOR!$B$4:$B$220,PLAN_ETAPA!$C$4))</f>
        <v>0</v>
      </c>
      <c r="M1745" s="216">
        <f>IFERROR(VLOOKUP(A1745,PARTIDAS!$A$2:$F$269,6,FALSE()),1)</f>
        <v>1</v>
      </c>
      <c r="N1745" s="216">
        <f>IFERROR(VLOOKUP(A1745,PARTIDAS!$A$2:$I$269,9,FALSE()),1)</f>
        <v>1</v>
      </c>
      <c r="O1745" s="217">
        <f t="shared" si="54"/>
        <v>0</v>
      </c>
      <c r="P1745" s="216">
        <f>IF(O1745=0,0,IF(B1745="MAT",G1745*(1+H1745)*L1745*PLAN_ETAPA!$C$5,IF(B1745="MO",IF(M1745=0,0,G1745*L1745*PLAN_ETAPA!$C$5*N1745/M1745),IF(B1745="EQ",IF(M1745=0,0,G1745*L1745*PLAN_ETAPA!$C$5/M1745),0))))</f>
        <v>0</v>
      </c>
      <c r="Q1745" s="218">
        <f t="shared" si="55"/>
        <v>0</v>
      </c>
    </row>
    <row r="1746" spans="1:17" x14ac:dyDescent="0.35">
      <c r="A1746" s="212" t="str">
        <f>COMPOSICIÓN!A1746</f>
        <v>PTO-1913</v>
      </c>
      <c r="B1746" s="212" t="str">
        <f>COMPOSICIÓN!B1746</f>
        <v>MAT</v>
      </c>
      <c r="C1746" s="212" t="str">
        <f>COMPOSICIÓN!C1746</f>
        <v>OTR</v>
      </c>
      <c r="D1746" s="212" t="str">
        <f>COMPOSICIÓN!D1746</f>
        <v>OTR-PTO193</v>
      </c>
      <c r="E1746" s="212" t="str">
        <f>COMPOSICIÓN!E1746</f>
        <v>Membrana térmica HidroFlex, rollo 1x20 m, e: 10 mm - HidroFlex Saladillo</v>
      </c>
      <c r="F1746" s="212" t="str">
        <f>COMPOSICIÓN!F1746</f>
        <v>rol</v>
      </c>
      <c r="G1746" s="213">
        <f>COMPOSICIÓN!G1746</f>
        <v>34</v>
      </c>
      <c r="H1746" s="214">
        <f>COMPOSICIÓN!H1746</f>
        <v>0</v>
      </c>
      <c r="I1746" s="215">
        <f>COMPOSICIÓN!I1746</f>
        <v>56674.81</v>
      </c>
      <c r="J1746" s="212" t="str">
        <f>IFERROR(VLOOKUP(A1746,PARTIDAS!$A$2:$C$269,3,FALSE()),"")</f>
        <v>INSTALACIONES SANITARIAS</v>
      </c>
      <c r="K1746" s="212" t="str">
        <f>IFERROR(INDEX(PPTO_GENERADOR!$B$4:$B$220,MATCH(A1746,PPTO_GENERADOR!$Q$4:$Q$220,0)),"")</f>
        <v>INSTALACIONES SANITARIAS</v>
      </c>
      <c r="L1746" s="216">
        <f>IF(PLAN_ETAPA!$C$4="(TODOS)",SUMIFS(PPTO_GENERADOR!$E$4:$E$220,PPTO_GENERADOR!$Q$4:$Q$220,A1746),SUMIFS(PPTO_GENERADOR!$E$4:$E$220,PPTO_GENERADOR!$Q$4:$Q$220,A1746,PPTO_GENERADOR!$B$4:$B$220,PLAN_ETAPA!$C$4))</f>
        <v>0</v>
      </c>
      <c r="M1746" s="216">
        <f>IFERROR(VLOOKUP(A1746,PARTIDAS!$A$2:$F$269,6,FALSE()),1)</f>
        <v>1</v>
      </c>
      <c r="N1746" s="216">
        <f>IFERROR(VLOOKUP(A1746,PARTIDAS!$A$2:$I$269,9,FALSE()),1)</f>
        <v>1</v>
      </c>
      <c r="O1746" s="217">
        <f t="shared" si="54"/>
        <v>0</v>
      </c>
      <c r="P1746" s="216">
        <f>IF(O1746=0,0,IF(B1746="MAT",G1746*(1+H1746)*L1746*PLAN_ETAPA!$C$5,IF(B1746="MO",IF(M1746=0,0,G1746*L1746*PLAN_ETAPA!$C$5*N1746/M1746),IF(B1746="EQ",IF(M1746=0,0,G1746*L1746*PLAN_ETAPA!$C$5/M1746),0))))</f>
        <v>0</v>
      </c>
      <c r="Q1746" s="218">
        <f t="shared" si="55"/>
        <v>0</v>
      </c>
    </row>
    <row r="1747" spans="1:17" x14ac:dyDescent="0.35">
      <c r="A1747" s="212" t="str">
        <f>COMPOSICIÓN!A1747</f>
        <v>PTO-1913</v>
      </c>
      <c r="B1747" s="212" t="str">
        <f>COMPOSICIÓN!B1747</f>
        <v>MAT</v>
      </c>
      <c r="C1747" s="212" t="str">
        <f>COMPOSICIÓN!C1747</f>
        <v>OTR</v>
      </c>
      <c r="D1747" s="212" t="str">
        <f>COMPOSICIÓN!D1747</f>
        <v>OTR-PTO194</v>
      </c>
      <c r="E1747" s="212" t="str">
        <f>COMPOSICIÓN!E1747</f>
        <v>Curva tubos Ø 16 mm - HidroFlex Saladillo</v>
      </c>
      <c r="F1747" s="212" t="str">
        <f>COMPOSICIÓN!F1747</f>
        <v>u</v>
      </c>
      <c r="G1747" s="213">
        <f>COMPOSICIÓN!G1747</f>
        <v>39</v>
      </c>
      <c r="H1747" s="214">
        <f>COMPOSICIÓN!H1747</f>
        <v>0</v>
      </c>
      <c r="I1747" s="215">
        <f>COMPOSICIÓN!I1747</f>
        <v>1234.1199999999999</v>
      </c>
      <c r="J1747" s="212" t="str">
        <f>IFERROR(VLOOKUP(A1747,PARTIDAS!$A$2:$C$269,3,FALSE()),"")</f>
        <v>INSTALACIONES SANITARIAS</v>
      </c>
      <c r="K1747" s="212" t="str">
        <f>IFERROR(INDEX(PPTO_GENERADOR!$B$4:$B$220,MATCH(A1747,PPTO_GENERADOR!$Q$4:$Q$220,0)),"")</f>
        <v>INSTALACIONES SANITARIAS</v>
      </c>
      <c r="L1747" s="216">
        <f>IF(PLAN_ETAPA!$C$4="(TODOS)",SUMIFS(PPTO_GENERADOR!$E$4:$E$220,PPTO_GENERADOR!$Q$4:$Q$220,A1747),SUMIFS(PPTO_GENERADOR!$E$4:$E$220,PPTO_GENERADOR!$Q$4:$Q$220,A1747,PPTO_GENERADOR!$B$4:$B$220,PLAN_ETAPA!$C$4))</f>
        <v>0</v>
      </c>
      <c r="M1747" s="216">
        <f>IFERROR(VLOOKUP(A1747,PARTIDAS!$A$2:$F$269,6,FALSE()),1)</f>
        <v>1</v>
      </c>
      <c r="N1747" s="216">
        <f>IFERROR(VLOOKUP(A1747,PARTIDAS!$A$2:$I$269,9,FALSE()),1)</f>
        <v>1</v>
      </c>
      <c r="O1747" s="217">
        <f t="shared" si="54"/>
        <v>0</v>
      </c>
      <c r="P1747" s="216">
        <f>IF(O1747=0,0,IF(B1747="MAT",G1747*(1+H1747)*L1747*PLAN_ETAPA!$C$5,IF(B1747="MO",IF(M1747=0,0,G1747*L1747*PLAN_ETAPA!$C$5*N1747/M1747),IF(B1747="EQ",IF(M1747=0,0,G1747*L1747*PLAN_ETAPA!$C$5/M1747),0))))</f>
        <v>0</v>
      </c>
      <c r="Q1747" s="218">
        <f t="shared" si="55"/>
        <v>0</v>
      </c>
    </row>
    <row r="1748" spans="1:17" x14ac:dyDescent="0.35">
      <c r="A1748" s="212" t="str">
        <f>COMPOSICIÓN!A1748</f>
        <v>PTO-1913</v>
      </c>
      <c r="B1748" s="212" t="str">
        <f>COMPOSICIÓN!B1748</f>
        <v>MAT</v>
      </c>
      <c r="C1748" s="212" t="str">
        <f>COMPOSICIÓN!C1748</f>
        <v>OTR</v>
      </c>
      <c r="D1748" s="212" t="str">
        <f>COMPOSICIÓN!D1748</f>
        <v>OTR-PTO195</v>
      </c>
      <c r="E1748" s="212" t="str">
        <f>COMPOSICIÓN!E1748</f>
        <v>Precintos 200 mm x paquete</v>
      </c>
      <c r="F1748" s="212" t="str">
        <f>COMPOSICIÓN!F1748</f>
        <v>paq</v>
      </c>
      <c r="G1748" s="213">
        <f>COMPOSICIÓN!G1748</f>
        <v>28</v>
      </c>
      <c r="H1748" s="214">
        <f>COMPOSICIÓN!H1748</f>
        <v>0</v>
      </c>
      <c r="I1748" s="215">
        <f>COMPOSICIÓN!I1748</f>
        <v>4158.84</v>
      </c>
      <c r="J1748" s="212" t="str">
        <f>IFERROR(VLOOKUP(A1748,PARTIDAS!$A$2:$C$269,3,FALSE()),"")</f>
        <v>INSTALACIONES SANITARIAS</v>
      </c>
      <c r="K1748" s="212" t="str">
        <f>IFERROR(INDEX(PPTO_GENERADOR!$B$4:$B$220,MATCH(A1748,PPTO_GENERADOR!$Q$4:$Q$220,0)),"")</f>
        <v>INSTALACIONES SANITARIAS</v>
      </c>
      <c r="L1748" s="216">
        <f>IF(PLAN_ETAPA!$C$4="(TODOS)",SUMIFS(PPTO_GENERADOR!$E$4:$E$220,PPTO_GENERADOR!$Q$4:$Q$220,A1748),SUMIFS(PPTO_GENERADOR!$E$4:$E$220,PPTO_GENERADOR!$Q$4:$Q$220,A1748,PPTO_GENERADOR!$B$4:$B$220,PLAN_ETAPA!$C$4))</f>
        <v>0</v>
      </c>
      <c r="M1748" s="216">
        <f>IFERROR(VLOOKUP(A1748,PARTIDAS!$A$2:$F$269,6,FALSE()),1)</f>
        <v>1</v>
      </c>
      <c r="N1748" s="216">
        <f>IFERROR(VLOOKUP(A1748,PARTIDAS!$A$2:$I$269,9,FALSE()),1)</f>
        <v>1</v>
      </c>
      <c r="O1748" s="217">
        <f t="shared" si="54"/>
        <v>0</v>
      </c>
      <c r="P1748" s="216">
        <f>IF(O1748=0,0,IF(B1748="MAT",G1748*(1+H1748)*L1748*PLAN_ETAPA!$C$5,IF(B1748="MO",IF(M1748=0,0,G1748*L1748*PLAN_ETAPA!$C$5*N1748/M1748),IF(B1748="EQ",IF(M1748=0,0,G1748*L1748*PLAN_ETAPA!$C$5/M1748),0))))</f>
        <v>0</v>
      </c>
      <c r="Q1748" s="218">
        <f t="shared" si="55"/>
        <v>0</v>
      </c>
    </row>
    <row r="1749" spans="1:17" x14ac:dyDescent="0.35">
      <c r="A1749" s="212" t="str">
        <f>COMPOSICIÓN!A1749</f>
        <v>PTO-1913</v>
      </c>
      <c r="B1749" s="212" t="str">
        <f>COMPOSICIÓN!B1749</f>
        <v>MAT</v>
      </c>
      <c r="C1749" s="212" t="str">
        <f>COMPOSICIÓN!C1749</f>
        <v>OTR</v>
      </c>
      <c r="D1749" s="212" t="str">
        <f>COMPOSICIÓN!D1749</f>
        <v>OTR-PTO196</v>
      </c>
      <c r="E1749" s="212" t="str">
        <f>COMPOSICIÓN!E1749</f>
        <v>Codo c/rosca 3/4"</v>
      </c>
      <c r="F1749" s="212" t="str">
        <f>COMPOSICIÓN!F1749</f>
        <v>u</v>
      </c>
      <c r="G1749" s="213">
        <f>COMPOSICIÓN!G1749</f>
        <v>16</v>
      </c>
      <c r="H1749" s="214">
        <f>COMPOSICIÓN!H1749</f>
        <v>0</v>
      </c>
      <c r="I1749" s="215">
        <f>COMPOSICIÓN!I1749</f>
        <v>1943.21</v>
      </c>
      <c r="J1749" s="212" t="str">
        <f>IFERROR(VLOOKUP(A1749,PARTIDAS!$A$2:$C$269,3,FALSE()),"")</f>
        <v>INSTALACIONES SANITARIAS</v>
      </c>
      <c r="K1749" s="212" t="str">
        <f>IFERROR(INDEX(PPTO_GENERADOR!$B$4:$B$220,MATCH(A1749,PPTO_GENERADOR!$Q$4:$Q$220,0)),"")</f>
        <v>INSTALACIONES SANITARIAS</v>
      </c>
      <c r="L1749" s="216">
        <f>IF(PLAN_ETAPA!$C$4="(TODOS)",SUMIFS(PPTO_GENERADOR!$E$4:$E$220,PPTO_GENERADOR!$Q$4:$Q$220,A1749),SUMIFS(PPTO_GENERADOR!$E$4:$E$220,PPTO_GENERADOR!$Q$4:$Q$220,A1749,PPTO_GENERADOR!$B$4:$B$220,PLAN_ETAPA!$C$4))</f>
        <v>0</v>
      </c>
      <c r="M1749" s="216">
        <f>IFERROR(VLOOKUP(A1749,PARTIDAS!$A$2:$F$269,6,FALSE()),1)</f>
        <v>1</v>
      </c>
      <c r="N1749" s="216">
        <f>IFERROR(VLOOKUP(A1749,PARTIDAS!$A$2:$I$269,9,FALSE()),1)</f>
        <v>1</v>
      </c>
      <c r="O1749" s="217">
        <f t="shared" si="54"/>
        <v>0</v>
      </c>
      <c r="P1749" s="216">
        <f>IF(O1749=0,0,IF(B1749="MAT",G1749*(1+H1749)*L1749*PLAN_ETAPA!$C$5,IF(B1749="MO",IF(M1749=0,0,G1749*L1749*PLAN_ETAPA!$C$5*N1749/M1749),IF(B1749="EQ",IF(M1749=0,0,G1749*L1749*PLAN_ETAPA!$C$5/M1749),0))))</f>
        <v>0</v>
      </c>
      <c r="Q1749" s="218">
        <f t="shared" si="55"/>
        <v>0</v>
      </c>
    </row>
    <row r="1750" spans="1:17" x14ac:dyDescent="0.35">
      <c r="A1750" s="212" t="str">
        <f>COMPOSICIÓN!A1750</f>
        <v>PTO-1913</v>
      </c>
      <c r="B1750" s="212" t="str">
        <f>COMPOSICIÓN!B1750</f>
        <v>MAT</v>
      </c>
      <c r="C1750" s="212" t="str">
        <f>COMPOSICIÓN!C1750</f>
        <v>OTR</v>
      </c>
      <c r="D1750" s="212" t="str">
        <f>COMPOSICIÓN!D1750</f>
        <v>OTR-PTO197</v>
      </c>
      <c r="E1750" s="212" t="str">
        <f>COMPOSICIÓN!E1750</f>
        <v>H-3 TUBO AGUA CALIENTE 19X3.9X6</v>
      </c>
      <c r="F1750" s="212" t="str">
        <f>COMPOSICIÓN!F1750</f>
        <v>tira</v>
      </c>
      <c r="G1750" s="213">
        <f>COMPOSICIÓN!G1750</f>
        <v>16</v>
      </c>
      <c r="H1750" s="214">
        <f>COMPOSICIÓN!H1750</f>
        <v>0</v>
      </c>
      <c r="I1750" s="215">
        <f>COMPOSICIÓN!I1750</f>
        <v>10449.84</v>
      </c>
      <c r="J1750" s="212" t="str">
        <f>IFERROR(VLOOKUP(A1750,PARTIDAS!$A$2:$C$269,3,FALSE()),"")</f>
        <v>INSTALACIONES SANITARIAS</v>
      </c>
      <c r="K1750" s="212" t="str">
        <f>IFERROR(INDEX(PPTO_GENERADOR!$B$4:$B$220,MATCH(A1750,PPTO_GENERADOR!$Q$4:$Q$220,0)),"")</f>
        <v>INSTALACIONES SANITARIAS</v>
      </c>
      <c r="L1750" s="216">
        <f>IF(PLAN_ETAPA!$C$4="(TODOS)",SUMIFS(PPTO_GENERADOR!$E$4:$E$220,PPTO_GENERADOR!$Q$4:$Q$220,A1750),SUMIFS(PPTO_GENERADOR!$E$4:$E$220,PPTO_GENERADOR!$Q$4:$Q$220,A1750,PPTO_GENERADOR!$B$4:$B$220,PLAN_ETAPA!$C$4))</f>
        <v>0</v>
      </c>
      <c r="M1750" s="216">
        <f>IFERROR(VLOOKUP(A1750,PARTIDAS!$A$2:$F$269,6,FALSE()),1)</f>
        <v>1</v>
      </c>
      <c r="N1750" s="216">
        <f>IFERROR(VLOOKUP(A1750,PARTIDAS!$A$2:$I$269,9,FALSE()),1)</f>
        <v>1</v>
      </c>
      <c r="O1750" s="217">
        <f t="shared" si="54"/>
        <v>0</v>
      </c>
      <c r="P1750" s="216">
        <f>IF(O1750=0,0,IF(B1750="MAT",G1750*(1+H1750)*L1750*PLAN_ETAPA!$C$5,IF(B1750="MO",IF(M1750=0,0,G1750*L1750*PLAN_ETAPA!$C$5*N1750/M1750),IF(B1750="EQ",IF(M1750=0,0,G1750*L1750*PLAN_ETAPA!$C$5/M1750),0))))</f>
        <v>0</v>
      </c>
      <c r="Q1750" s="218">
        <f t="shared" si="55"/>
        <v>0</v>
      </c>
    </row>
    <row r="1751" spans="1:17" x14ac:dyDescent="0.35">
      <c r="A1751" s="212" t="str">
        <f>COMPOSICIÓN!A1751</f>
        <v>PTO-1913</v>
      </c>
      <c r="B1751" s="212" t="str">
        <f>COMPOSICIÓN!B1751</f>
        <v>MAT</v>
      </c>
      <c r="C1751" s="212" t="str">
        <f>COMPOSICIÓN!C1751</f>
        <v>OTR</v>
      </c>
      <c r="D1751" s="212" t="str">
        <f>COMPOSICIÓN!D1751</f>
        <v>OTR-PTO198</v>
      </c>
      <c r="E1751" s="212" t="str">
        <f>COMPOSICIÓN!E1751</f>
        <v>Codo 3/4"</v>
      </c>
      <c r="F1751" s="212" t="str">
        <f>COMPOSICIÓN!F1751</f>
        <v>u</v>
      </c>
      <c r="G1751" s="213">
        <f>COMPOSICIÓN!G1751</f>
        <v>32</v>
      </c>
      <c r="H1751" s="214">
        <f>COMPOSICIÓN!H1751</f>
        <v>0</v>
      </c>
      <c r="I1751" s="215">
        <f>COMPOSICIÓN!I1751</f>
        <v>429.89</v>
      </c>
      <c r="J1751" s="212" t="str">
        <f>IFERROR(VLOOKUP(A1751,PARTIDAS!$A$2:$C$269,3,FALSE()),"")</f>
        <v>INSTALACIONES SANITARIAS</v>
      </c>
      <c r="K1751" s="212" t="str">
        <f>IFERROR(INDEX(PPTO_GENERADOR!$B$4:$B$220,MATCH(A1751,PPTO_GENERADOR!$Q$4:$Q$220,0)),"")</f>
        <v>INSTALACIONES SANITARIAS</v>
      </c>
      <c r="L1751" s="216">
        <f>IF(PLAN_ETAPA!$C$4="(TODOS)",SUMIFS(PPTO_GENERADOR!$E$4:$E$220,PPTO_GENERADOR!$Q$4:$Q$220,A1751),SUMIFS(PPTO_GENERADOR!$E$4:$E$220,PPTO_GENERADOR!$Q$4:$Q$220,A1751,PPTO_GENERADOR!$B$4:$B$220,PLAN_ETAPA!$C$4))</f>
        <v>0</v>
      </c>
      <c r="M1751" s="216">
        <f>IFERROR(VLOOKUP(A1751,PARTIDAS!$A$2:$F$269,6,FALSE()),1)</f>
        <v>1</v>
      </c>
      <c r="N1751" s="216">
        <f>IFERROR(VLOOKUP(A1751,PARTIDAS!$A$2:$I$269,9,FALSE()),1)</f>
        <v>1</v>
      </c>
      <c r="O1751" s="217">
        <f t="shared" si="54"/>
        <v>0</v>
      </c>
      <c r="P1751" s="216">
        <f>IF(O1751=0,0,IF(B1751="MAT",G1751*(1+H1751)*L1751*PLAN_ETAPA!$C$5,IF(B1751="MO",IF(M1751=0,0,G1751*L1751*PLAN_ETAPA!$C$5*N1751/M1751),IF(B1751="EQ",IF(M1751=0,0,G1751*L1751*PLAN_ETAPA!$C$5/M1751),0))))</f>
        <v>0</v>
      </c>
      <c r="Q1751" s="218">
        <f t="shared" si="55"/>
        <v>0</v>
      </c>
    </row>
    <row r="1752" spans="1:17" x14ac:dyDescent="0.35">
      <c r="A1752" s="212" t="str">
        <f>COMPOSICIÓN!A1752</f>
        <v>PTO-1913</v>
      </c>
      <c r="B1752" s="212" t="str">
        <f>COMPOSICIÓN!B1752</f>
        <v>MAT</v>
      </c>
      <c r="C1752" s="212" t="str">
        <f>COMPOSICIÓN!C1752</f>
        <v>OTR</v>
      </c>
      <c r="D1752" s="212" t="str">
        <f>COMPOSICIÓN!D1752</f>
        <v>OTR-PTO199</v>
      </c>
      <c r="E1752" s="212" t="str">
        <f>COMPOSICIÓN!E1752</f>
        <v>Coverthor blanco 3/8" (Ø 16mm) - Coverthor Saladillo</v>
      </c>
      <c r="F1752" s="212" t="str">
        <f>COMPOSICIÓN!F1752</f>
        <v>tira</v>
      </c>
      <c r="G1752" s="213">
        <f>COMPOSICIÓN!G1752</f>
        <v>32</v>
      </c>
      <c r="H1752" s="214">
        <f>COMPOSICIÓN!H1752</f>
        <v>0</v>
      </c>
      <c r="I1752" s="215">
        <f>COMPOSICIÓN!I1752</f>
        <v>852.41</v>
      </c>
      <c r="J1752" s="212" t="str">
        <f>IFERROR(VLOOKUP(A1752,PARTIDAS!$A$2:$C$269,3,FALSE()),"")</f>
        <v>INSTALACIONES SANITARIAS</v>
      </c>
      <c r="K1752" s="212" t="str">
        <f>IFERROR(INDEX(PPTO_GENERADOR!$B$4:$B$220,MATCH(A1752,PPTO_GENERADOR!$Q$4:$Q$220,0)),"")</f>
        <v>INSTALACIONES SANITARIAS</v>
      </c>
      <c r="L1752" s="216">
        <f>IF(PLAN_ETAPA!$C$4="(TODOS)",SUMIFS(PPTO_GENERADOR!$E$4:$E$220,PPTO_GENERADOR!$Q$4:$Q$220,A1752),SUMIFS(PPTO_GENERADOR!$E$4:$E$220,PPTO_GENERADOR!$Q$4:$Q$220,A1752,PPTO_GENERADOR!$B$4:$B$220,PLAN_ETAPA!$C$4))</f>
        <v>0</v>
      </c>
      <c r="M1752" s="216">
        <f>IFERROR(VLOOKUP(A1752,PARTIDAS!$A$2:$F$269,6,FALSE()),1)</f>
        <v>1</v>
      </c>
      <c r="N1752" s="216">
        <f>IFERROR(VLOOKUP(A1752,PARTIDAS!$A$2:$I$269,9,FALSE()),1)</f>
        <v>1</v>
      </c>
      <c r="O1752" s="217">
        <f t="shared" si="54"/>
        <v>0</v>
      </c>
      <c r="P1752" s="216">
        <f>IF(O1752=0,0,IF(B1752="MAT",G1752*(1+H1752)*L1752*PLAN_ETAPA!$C$5,IF(B1752="MO",IF(M1752=0,0,G1752*L1752*PLAN_ETAPA!$C$5*N1752/M1752),IF(B1752="EQ",IF(M1752=0,0,G1752*L1752*PLAN_ETAPA!$C$5/M1752),0))))</f>
        <v>0</v>
      </c>
      <c r="Q1752" s="218">
        <f t="shared" si="55"/>
        <v>0</v>
      </c>
    </row>
    <row r="1753" spans="1:17" x14ac:dyDescent="0.35">
      <c r="A1753" s="212" t="str">
        <f>COMPOSICIÓN!A1753</f>
        <v>PTO-1913</v>
      </c>
      <c r="B1753" s="212" t="str">
        <f>COMPOSICIÓN!B1753</f>
        <v>MAT</v>
      </c>
      <c r="C1753" s="212" t="str">
        <f>COMPOSICIÓN!C1753</f>
        <v>OTR</v>
      </c>
      <c r="D1753" s="212" t="str">
        <f>COMPOSICIÓN!D1753</f>
        <v>OTR-PTO082</v>
      </c>
      <c r="E1753" s="212" t="str">
        <f>COMPOSICIÓN!E1753</f>
        <v>Rollo Polietileno negro 2x50 mt x 200mic</v>
      </c>
      <c r="F1753" s="212" t="str">
        <f>COMPOSICIÓN!F1753</f>
        <v>rol</v>
      </c>
      <c r="G1753" s="213">
        <f>COMPOSICIÓN!G1753</f>
        <v>4</v>
      </c>
      <c r="H1753" s="214">
        <f>COMPOSICIÓN!H1753</f>
        <v>0</v>
      </c>
      <c r="I1753" s="215">
        <f>COMPOSICIÓN!I1753</f>
        <v>27000</v>
      </c>
      <c r="J1753" s="212" t="str">
        <f>IFERROR(VLOOKUP(A1753,PARTIDAS!$A$2:$C$269,3,FALSE()),"")</f>
        <v>INSTALACIONES SANITARIAS</v>
      </c>
      <c r="K1753" s="212" t="str">
        <f>IFERROR(INDEX(PPTO_GENERADOR!$B$4:$B$220,MATCH(A1753,PPTO_GENERADOR!$Q$4:$Q$220,0)),"")</f>
        <v>INSTALACIONES SANITARIAS</v>
      </c>
      <c r="L1753" s="216">
        <f>IF(PLAN_ETAPA!$C$4="(TODOS)",SUMIFS(PPTO_GENERADOR!$E$4:$E$220,PPTO_GENERADOR!$Q$4:$Q$220,A1753),SUMIFS(PPTO_GENERADOR!$E$4:$E$220,PPTO_GENERADOR!$Q$4:$Q$220,A1753,PPTO_GENERADOR!$B$4:$B$220,PLAN_ETAPA!$C$4))</f>
        <v>0</v>
      </c>
      <c r="M1753" s="216">
        <f>IFERROR(VLOOKUP(A1753,PARTIDAS!$A$2:$F$269,6,FALSE()),1)</f>
        <v>1</v>
      </c>
      <c r="N1753" s="216">
        <f>IFERROR(VLOOKUP(A1753,PARTIDAS!$A$2:$I$269,9,FALSE()),1)</f>
        <v>1</v>
      </c>
      <c r="O1753" s="217">
        <f t="shared" si="54"/>
        <v>0</v>
      </c>
      <c r="P1753" s="216">
        <f>IF(O1753=0,0,IF(B1753="MAT",G1753*(1+H1753)*L1753*PLAN_ETAPA!$C$5,IF(B1753="MO",IF(M1753=0,0,G1753*L1753*PLAN_ETAPA!$C$5*N1753/M1753),IF(B1753="EQ",IF(M1753=0,0,G1753*L1753*PLAN_ETAPA!$C$5/M1753),0))))</f>
        <v>0</v>
      </c>
      <c r="Q1753" s="218">
        <f t="shared" si="55"/>
        <v>0</v>
      </c>
    </row>
    <row r="1754" spans="1:17" x14ac:dyDescent="0.35">
      <c r="A1754" s="212" t="str">
        <f>COMPOSICIÓN!A1754</f>
        <v>PTO-1913</v>
      </c>
      <c r="B1754" s="212" t="str">
        <f>COMPOSICIÓN!B1754</f>
        <v>MAT</v>
      </c>
      <c r="C1754" s="212" t="str">
        <f>COMPOSICIÓN!C1754</f>
        <v>OTR</v>
      </c>
      <c r="D1754" s="212" t="str">
        <f>COMPOSICIÓN!D1754</f>
        <v>OTR-PTO200</v>
      </c>
      <c r="E1754" s="212" t="str">
        <f>COMPOSICIÓN!E1754</f>
        <v>Malla N° 4 Liv 15x15 3x2 mt</v>
      </c>
      <c r="F1754" s="212" t="str">
        <f>COMPOSICIÓN!F1754</f>
        <v>un</v>
      </c>
      <c r="G1754" s="213">
        <f>COMPOSICIÓN!G1754</f>
        <v>114</v>
      </c>
      <c r="H1754" s="214">
        <f>COMPOSICIÓN!H1754</f>
        <v>0</v>
      </c>
      <c r="I1754" s="215">
        <f>COMPOSICIÓN!I1754</f>
        <v>10695.63</v>
      </c>
      <c r="J1754" s="212" t="str">
        <f>IFERROR(VLOOKUP(A1754,PARTIDAS!$A$2:$C$269,3,FALSE()),"")</f>
        <v>INSTALACIONES SANITARIAS</v>
      </c>
      <c r="K1754" s="212" t="str">
        <f>IFERROR(INDEX(PPTO_GENERADOR!$B$4:$B$220,MATCH(A1754,PPTO_GENERADOR!$Q$4:$Q$220,0)),"")</f>
        <v>INSTALACIONES SANITARIAS</v>
      </c>
      <c r="L1754" s="216">
        <f>IF(PLAN_ETAPA!$C$4="(TODOS)",SUMIFS(PPTO_GENERADOR!$E$4:$E$220,PPTO_GENERADOR!$Q$4:$Q$220,A1754),SUMIFS(PPTO_GENERADOR!$E$4:$E$220,PPTO_GENERADOR!$Q$4:$Q$220,A1754,PPTO_GENERADOR!$B$4:$B$220,PLAN_ETAPA!$C$4))</f>
        <v>0</v>
      </c>
      <c r="M1754" s="216">
        <f>IFERROR(VLOOKUP(A1754,PARTIDAS!$A$2:$F$269,6,FALSE()),1)</f>
        <v>1</v>
      </c>
      <c r="N1754" s="216">
        <f>IFERROR(VLOOKUP(A1754,PARTIDAS!$A$2:$I$269,9,FALSE()),1)</f>
        <v>1</v>
      </c>
      <c r="O1754" s="217">
        <f t="shared" si="54"/>
        <v>0</v>
      </c>
      <c r="P1754" s="216">
        <f>IF(O1754=0,0,IF(B1754="MAT",G1754*(1+H1754)*L1754*PLAN_ETAPA!$C$5,IF(B1754="MO",IF(M1754=0,0,G1754*L1754*PLAN_ETAPA!$C$5*N1754/M1754),IF(B1754="EQ",IF(M1754=0,0,G1754*L1754*PLAN_ETAPA!$C$5/M1754),0))))</f>
        <v>0</v>
      </c>
      <c r="Q1754" s="218">
        <f t="shared" si="55"/>
        <v>0</v>
      </c>
    </row>
    <row r="1755" spans="1:17" x14ac:dyDescent="0.35">
      <c r="A1755" s="212" t="str">
        <f>COMPOSICIÓN!A1755</f>
        <v>PTO-1913</v>
      </c>
      <c r="B1755" s="212" t="str">
        <f>COMPOSICIÓN!B1755</f>
        <v>MAT</v>
      </c>
      <c r="C1755" s="212" t="str">
        <f>COMPOSICIÓN!C1755</f>
        <v>OTR</v>
      </c>
      <c r="D1755" s="212" t="str">
        <f>COMPOSICIÓN!D1755</f>
        <v>MAT-CONS</v>
      </c>
      <c r="E1755" s="212" t="str">
        <f>COMPOSICIÓN!E1755</f>
        <v>Consumibles</v>
      </c>
      <c r="F1755" s="212" t="str">
        <f>COMPOSICIÓN!F1755</f>
        <v>gl</v>
      </c>
      <c r="G1755" s="213">
        <f>COMPOSICIÓN!G1755</f>
        <v>736366.674</v>
      </c>
      <c r="H1755" s="214">
        <f>COMPOSICIÓN!H1755</f>
        <v>0</v>
      </c>
      <c r="I1755" s="215">
        <f>COMPOSICIÓN!I1755</f>
        <v>1</v>
      </c>
      <c r="J1755" s="212" t="str">
        <f>IFERROR(VLOOKUP(A1755,PARTIDAS!$A$2:$C$269,3,FALSE()),"")</f>
        <v>INSTALACIONES SANITARIAS</v>
      </c>
      <c r="K1755" s="212" t="str">
        <f>IFERROR(INDEX(PPTO_GENERADOR!$B$4:$B$220,MATCH(A1755,PPTO_GENERADOR!$Q$4:$Q$220,0)),"")</f>
        <v>INSTALACIONES SANITARIAS</v>
      </c>
      <c r="L1755" s="216">
        <f>IF(PLAN_ETAPA!$C$4="(TODOS)",SUMIFS(PPTO_GENERADOR!$E$4:$E$220,PPTO_GENERADOR!$Q$4:$Q$220,A1755),SUMIFS(PPTO_GENERADOR!$E$4:$E$220,PPTO_GENERADOR!$Q$4:$Q$220,A1755,PPTO_GENERADOR!$B$4:$B$220,PLAN_ETAPA!$C$4))</f>
        <v>0</v>
      </c>
      <c r="M1755" s="216">
        <f>IFERROR(VLOOKUP(A1755,PARTIDAS!$A$2:$F$269,6,FALSE()),1)</f>
        <v>1</v>
      </c>
      <c r="N1755" s="216">
        <f>IFERROR(VLOOKUP(A1755,PARTIDAS!$A$2:$I$269,9,FALSE()),1)</f>
        <v>1</v>
      </c>
      <c r="O1755" s="217">
        <f t="shared" si="54"/>
        <v>0</v>
      </c>
      <c r="P1755" s="216">
        <f>IF(O1755=0,0,IF(B1755="MAT",G1755*(1+H1755)*L1755*PLAN_ETAPA!$C$5,IF(B1755="MO",IF(M1755=0,0,G1755*L1755*PLAN_ETAPA!$C$5*N1755/M1755),IF(B1755="EQ",IF(M1755=0,0,G1755*L1755*PLAN_ETAPA!$C$5/M1755),0))))</f>
        <v>0</v>
      </c>
      <c r="Q1755" s="218">
        <f t="shared" si="55"/>
        <v>0</v>
      </c>
    </row>
    <row r="1756" spans="1:17" x14ac:dyDescent="0.35">
      <c r="A1756" s="212" t="str">
        <f>COMPOSICIÓN!A1756</f>
        <v>PTO-1913</v>
      </c>
      <c r="B1756" s="212" t="str">
        <f>COMPOSICIÓN!B1756</f>
        <v>MO</v>
      </c>
      <c r="C1756" s="212" t="str">
        <f>COMPOSICIÓN!C1756</f>
        <v>OTR</v>
      </c>
      <c r="D1756" s="212" t="str">
        <f>COMPOSICIÓN!D1756</f>
        <v>SUB-PTO064</v>
      </c>
      <c r="E1756" s="212" t="str">
        <f>COMPOSICIÓN!E1756</f>
        <v>MO Tendido de cañerías de piso radiante - Colectores, gabinetes y termostatos a cargo del comitente [SUBCONTRATOS]</v>
      </c>
      <c r="F1756" s="212" t="str">
        <f>COMPOSICIÓN!F1756</f>
        <v>j</v>
      </c>
      <c r="G1756" s="213">
        <f>COMPOSICIÓN!G1756</f>
        <v>1</v>
      </c>
      <c r="H1756" s="214">
        <f>COMPOSICIÓN!H1756</f>
        <v>0</v>
      </c>
      <c r="I1756" s="215">
        <f>COMPOSICIÓN!I1756</f>
        <v>19750412.0247702</v>
      </c>
      <c r="J1756" s="212" t="str">
        <f>IFERROR(VLOOKUP(A1756,PARTIDAS!$A$2:$C$269,3,FALSE()),"")</f>
        <v>INSTALACIONES SANITARIAS</v>
      </c>
      <c r="K1756" s="212" t="str">
        <f>IFERROR(INDEX(PPTO_GENERADOR!$B$4:$B$220,MATCH(A1756,PPTO_GENERADOR!$Q$4:$Q$220,0)),"")</f>
        <v>INSTALACIONES SANITARIAS</v>
      </c>
      <c r="L1756" s="216">
        <f>IF(PLAN_ETAPA!$C$4="(TODOS)",SUMIFS(PPTO_GENERADOR!$E$4:$E$220,PPTO_GENERADOR!$Q$4:$Q$220,A1756),SUMIFS(PPTO_GENERADOR!$E$4:$E$220,PPTO_GENERADOR!$Q$4:$Q$220,A1756,PPTO_GENERADOR!$B$4:$B$220,PLAN_ETAPA!$C$4))</f>
        <v>0</v>
      </c>
      <c r="M1756" s="216">
        <f>IFERROR(VLOOKUP(A1756,PARTIDAS!$A$2:$F$269,6,FALSE()),1)</f>
        <v>1</v>
      </c>
      <c r="N1756" s="216">
        <f>IFERROR(VLOOKUP(A1756,PARTIDAS!$A$2:$I$269,9,FALSE()),1)</f>
        <v>1</v>
      </c>
      <c r="O1756" s="217">
        <f t="shared" si="54"/>
        <v>0</v>
      </c>
      <c r="P1756" s="216">
        <f>IF(O1756=0,0,IF(B1756="MAT",G1756*(1+H1756)*L1756*PLAN_ETAPA!$C$5,IF(B1756="MO",IF(M1756=0,0,G1756*L1756*PLAN_ETAPA!$C$5*N1756/M1756),IF(B1756="EQ",IF(M1756=0,0,G1756*L1756*PLAN_ETAPA!$C$5/M1756),0))))</f>
        <v>0</v>
      </c>
      <c r="Q1756" s="218">
        <f t="shared" si="55"/>
        <v>0</v>
      </c>
    </row>
    <row r="1757" spans="1:17" x14ac:dyDescent="0.35">
      <c r="A1757" s="212" t="str">
        <f>COMPOSICIÓN!A1757</f>
        <v>PTO-1914</v>
      </c>
      <c r="B1757" s="212" t="str">
        <f>COMPOSICIÓN!B1757</f>
        <v>EQ</v>
      </c>
      <c r="C1757" s="212">
        <f>COMPOSICIÓN!C1757</f>
        <v>0</v>
      </c>
      <c r="D1757" s="212" t="str">
        <f>COMPOSICIÓN!D1757</f>
        <v>EQ-PTO106</v>
      </c>
      <c r="E1757" s="212" t="str">
        <f>COMPOSICIÓN!E1757</f>
        <v xml:space="preserve">Herramientas menores y consumibles - Montaje de caldera y puesta en marcha - Provisión </v>
      </c>
      <c r="F1757" s="212">
        <f>COMPOSICIÓN!F1757</f>
        <v>0</v>
      </c>
      <c r="G1757" s="213">
        <f>COMPOSICIÓN!G1757</f>
        <v>1</v>
      </c>
      <c r="H1757" s="214">
        <f>COMPOSICIÓN!H1757</f>
        <v>0</v>
      </c>
      <c r="I1757" s="215">
        <f>COMPOSICIÓN!I1757</f>
        <v>41934.478574617002</v>
      </c>
      <c r="J1757" s="212" t="str">
        <f>IFERROR(VLOOKUP(A1757,PARTIDAS!$A$2:$C$269,3,FALSE()),"")</f>
        <v>INSTALACIONES SANITARIAS</v>
      </c>
      <c r="K1757" s="212" t="str">
        <f>IFERROR(INDEX(PPTO_GENERADOR!$B$4:$B$220,MATCH(A1757,PPTO_GENERADOR!$Q$4:$Q$220,0)),"")</f>
        <v>INSTALACIONES SANITARIAS</v>
      </c>
      <c r="L1757" s="216">
        <f>IF(PLAN_ETAPA!$C$4="(TODOS)",SUMIFS(PPTO_GENERADOR!$E$4:$E$220,PPTO_GENERADOR!$Q$4:$Q$220,A1757),SUMIFS(PPTO_GENERADOR!$E$4:$E$220,PPTO_GENERADOR!$Q$4:$Q$220,A1757,PPTO_GENERADOR!$B$4:$B$220,PLAN_ETAPA!$C$4))</f>
        <v>0</v>
      </c>
      <c r="M1757" s="216">
        <f>IFERROR(VLOOKUP(A1757,PARTIDAS!$A$2:$F$269,6,FALSE()),1)</f>
        <v>1</v>
      </c>
      <c r="N1757" s="216">
        <f>IFERROR(VLOOKUP(A1757,PARTIDAS!$A$2:$I$269,9,FALSE()),1)</f>
        <v>1</v>
      </c>
      <c r="O1757" s="217">
        <f t="shared" si="54"/>
        <v>0</v>
      </c>
      <c r="P1757" s="216">
        <f>IF(O1757=0,0,IF(B1757="MAT",G1757*(1+H1757)*L1757*PLAN_ETAPA!$C$5,IF(B1757="MO",IF(M1757=0,0,G1757*L1757*PLAN_ETAPA!$C$5*N1757/M1757),IF(B1757="EQ",IF(M1757=0,0,G1757*L1757*PLAN_ETAPA!$C$5/M1757),0))))</f>
        <v>0</v>
      </c>
      <c r="Q1757" s="218">
        <f t="shared" si="55"/>
        <v>0</v>
      </c>
    </row>
    <row r="1758" spans="1:17" x14ac:dyDescent="0.35">
      <c r="A1758" s="212" t="str">
        <f>COMPOSICIÓN!A1758</f>
        <v>PTO-1914</v>
      </c>
      <c r="B1758" s="212" t="str">
        <f>COMPOSICIÓN!B1758</f>
        <v>MAT</v>
      </c>
      <c r="C1758" s="212" t="str">
        <f>COMPOSICIÓN!C1758</f>
        <v>OTR</v>
      </c>
      <c r="D1758" s="212" t="str">
        <f>COMPOSICIÓN!D1758</f>
        <v>OTR-PTO201</v>
      </c>
      <c r="E1758" s="212" t="str">
        <f>COMPOSICIÓN!E1758</f>
        <v>Kit flexible caldera</v>
      </c>
      <c r="F1758" s="212" t="str">
        <f>COMPOSICIÓN!F1758</f>
        <v>u</v>
      </c>
      <c r="G1758" s="213">
        <f>COMPOSICIÓN!G1758</f>
        <v>8</v>
      </c>
      <c r="H1758" s="214">
        <f>COMPOSICIÓN!H1758</f>
        <v>0</v>
      </c>
      <c r="I1758" s="215">
        <f>COMPOSICIÓN!I1758</f>
        <v>75142.710000000006</v>
      </c>
      <c r="J1758" s="212" t="str">
        <f>IFERROR(VLOOKUP(A1758,PARTIDAS!$A$2:$C$269,3,FALSE()),"")</f>
        <v>INSTALACIONES SANITARIAS</v>
      </c>
      <c r="K1758" s="212" t="str">
        <f>IFERROR(INDEX(PPTO_GENERADOR!$B$4:$B$220,MATCH(A1758,PPTO_GENERADOR!$Q$4:$Q$220,0)),"")</f>
        <v>INSTALACIONES SANITARIAS</v>
      </c>
      <c r="L1758" s="216">
        <f>IF(PLAN_ETAPA!$C$4="(TODOS)",SUMIFS(PPTO_GENERADOR!$E$4:$E$220,PPTO_GENERADOR!$Q$4:$Q$220,A1758),SUMIFS(PPTO_GENERADOR!$E$4:$E$220,PPTO_GENERADOR!$Q$4:$Q$220,A1758,PPTO_GENERADOR!$B$4:$B$220,PLAN_ETAPA!$C$4))</f>
        <v>0</v>
      </c>
      <c r="M1758" s="216">
        <f>IFERROR(VLOOKUP(A1758,PARTIDAS!$A$2:$F$269,6,FALSE()),1)</f>
        <v>1</v>
      </c>
      <c r="N1758" s="216">
        <f>IFERROR(VLOOKUP(A1758,PARTIDAS!$A$2:$I$269,9,FALSE()),1)</f>
        <v>1</v>
      </c>
      <c r="O1758" s="217">
        <f t="shared" si="54"/>
        <v>0</v>
      </c>
      <c r="P1758" s="216">
        <f>IF(O1758=0,0,IF(B1758="MAT",G1758*(1+H1758)*L1758*PLAN_ETAPA!$C$5,IF(B1758="MO",IF(M1758=0,0,G1758*L1758*PLAN_ETAPA!$C$5*N1758/M1758),IF(B1758="EQ",IF(M1758=0,0,G1758*L1758*PLAN_ETAPA!$C$5/M1758),0))))</f>
        <v>0</v>
      </c>
      <c r="Q1758" s="218">
        <f t="shared" si="55"/>
        <v>0</v>
      </c>
    </row>
    <row r="1759" spans="1:17" x14ac:dyDescent="0.35">
      <c r="A1759" s="212" t="str">
        <f>COMPOSICIÓN!A1759</f>
        <v>PTO-1914</v>
      </c>
      <c r="B1759" s="212" t="str">
        <f>COMPOSICIÓN!B1759</f>
        <v>MO</v>
      </c>
      <c r="C1759" s="212" t="str">
        <f>COMPOSICIÓN!C1759</f>
        <v>OTR</v>
      </c>
      <c r="D1759" s="212" t="str">
        <f>COMPOSICIÓN!D1759</f>
        <v>SUB-PTO065</v>
      </c>
      <c r="E1759" s="212" t="str">
        <f>COMPOSICIÓN!E1759</f>
        <v>MO Montaje de caldera y puesta en marcha - Provisión a cargo del comitente, incluida las ventilaciones [SUBCONTRATOS]</v>
      </c>
      <c r="F1759" s="212" t="str">
        <f>COMPOSICIÓN!F1759</f>
        <v>j</v>
      </c>
      <c r="G1759" s="213">
        <f>COMPOSICIÓN!G1759</f>
        <v>1</v>
      </c>
      <c r="H1759" s="214">
        <f>COMPOSICIÓN!H1759</f>
        <v>0</v>
      </c>
      <c r="I1759" s="215">
        <f>COMPOSICIÓN!I1759</f>
        <v>2194490.2249744702</v>
      </c>
      <c r="J1759" s="212" t="str">
        <f>IFERROR(VLOOKUP(A1759,PARTIDAS!$A$2:$C$269,3,FALSE()),"")</f>
        <v>INSTALACIONES SANITARIAS</v>
      </c>
      <c r="K1759" s="212" t="str">
        <f>IFERROR(INDEX(PPTO_GENERADOR!$B$4:$B$220,MATCH(A1759,PPTO_GENERADOR!$Q$4:$Q$220,0)),"")</f>
        <v>INSTALACIONES SANITARIAS</v>
      </c>
      <c r="L1759" s="216">
        <f>IF(PLAN_ETAPA!$C$4="(TODOS)",SUMIFS(PPTO_GENERADOR!$E$4:$E$220,PPTO_GENERADOR!$Q$4:$Q$220,A1759),SUMIFS(PPTO_GENERADOR!$E$4:$E$220,PPTO_GENERADOR!$Q$4:$Q$220,A1759,PPTO_GENERADOR!$B$4:$B$220,PLAN_ETAPA!$C$4))</f>
        <v>0</v>
      </c>
      <c r="M1759" s="216">
        <f>IFERROR(VLOOKUP(A1759,PARTIDAS!$A$2:$F$269,6,FALSE()),1)</f>
        <v>1</v>
      </c>
      <c r="N1759" s="216">
        <f>IFERROR(VLOOKUP(A1759,PARTIDAS!$A$2:$I$269,9,FALSE()),1)</f>
        <v>1</v>
      </c>
      <c r="O1759" s="217">
        <f t="shared" si="54"/>
        <v>0</v>
      </c>
      <c r="P1759" s="216">
        <f>IF(O1759=0,0,IF(B1759="MAT",G1759*(1+H1759)*L1759*PLAN_ETAPA!$C$5,IF(B1759="MO",IF(M1759=0,0,G1759*L1759*PLAN_ETAPA!$C$5*N1759/M1759),IF(B1759="EQ",IF(M1759=0,0,G1759*L1759*PLAN_ETAPA!$C$5/M1759),0))))</f>
        <v>0</v>
      </c>
      <c r="Q1759" s="218">
        <f t="shared" si="55"/>
        <v>0</v>
      </c>
    </row>
    <row r="1760" spans="1:17" x14ac:dyDescent="0.35">
      <c r="A1760" s="212" t="str">
        <f>COMPOSICIÓN!A1760</f>
        <v>PTO-1915</v>
      </c>
      <c r="B1760" s="212" t="str">
        <f>COMPOSICIÓN!B1760</f>
        <v>EQ</v>
      </c>
      <c r="C1760" s="212">
        <f>COMPOSICIÓN!C1760</f>
        <v>0</v>
      </c>
      <c r="D1760" s="212" t="str">
        <f>COMPOSICIÓN!D1760</f>
        <v>EQ-PTO107</v>
      </c>
      <c r="E1760" s="212" t="str">
        <f>COMPOSICIÓN!E1760</f>
        <v>Herramientas menores y consumibles - Tendido cañeria de incendio - Gabinetes, tapas, ma</v>
      </c>
      <c r="F1760" s="212">
        <f>COMPOSICIÓN!F1760</f>
        <v>0</v>
      </c>
      <c r="G1760" s="213">
        <f>COMPOSICIÓN!G1760</f>
        <v>1</v>
      </c>
      <c r="H1760" s="214">
        <f>COMPOSICIÓN!H1760</f>
        <v>0</v>
      </c>
      <c r="I1760" s="215">
        <f>COMPOSICIÓN!I1760</f>
        <v>71400.7442527518</v>
      </c>
      <c r="J1760" s="212" t="str">
        <f>IFERROR(VLOOKUP(A1760,PARTIDAS!$A$2:$C$269,3,FALSE()),"")</f>
        <v>INSTALACIONES SANITARIAS</v>
      </c>
      <c r="K1760" s="212" t="str">
        <f>IFERROR(INDEX(PPTO_GENERADOR!$B$4:$B$220,MATCH(A1760,PPTO_GENERADOR!$Q$4:$Q$220,0)),"")</f>
        <v>INSTALACIONES SANITARIAS</v>
      </c>
      <c r="L1760" s="216">
        <f>IF(PLAN_ETAPA!$C$4="(TODOS)",SUMIFS(PPTO_GENERADOR!$E$4:$E$220,PPTO_GENERADOR!$Q$4:$Q$220,A1760),SUMIFS(PPTO_GENERADOR!$E$4:$E$220,PPTO_GENERADOR!$Q$4:$Q$220,A1760,PPTO_GENERADOR!$B$4:$B$220,PLAN_ETAPA!$C$4))</f>
        <v>0</v>
      </c>
      <c r="M1760" s="216">
        <f>IFERROR(VLOOKUP(A1760,PARTIDAS!$A$2:$F$269,6,FALSE()),1)</f>
        <v>1</v>
      </c>
      <c r="N1760" s="216">
        <f>IFERROR(VLOOKUP(A1760,PARTIDAS!$A$2:$I$269,9,FALSE()),1)</f>
        <v>1</v>
      </c>
      <c r="O1760" s="217">
        <f t="shared" si="54"/>
        <v>0</v>
      </c>
      <c r="P1760" s="216">
        <f>IF(O1760=0,0,IF(B1760="MAT",G1760*(1+H1760)*L1760*PLAN_ETAPA!$C$5,IF(B1760="MO",IF(M1760=0,0,G1760*L1760*PLAN_ETAPA!$C$5*N1760/M1760),IF(B1760="EQ",IF(M1760=0,0,G1760*L1760*PLAN_ETAPA!$C$5/M1760),0))))</f>
        <v>0</v>
      </c>
      <c r="Q1760" s="218">
        <f t="shared" si="55"/>
        <v>0</v>
      </c>
    </row>
    <row r="1761" spans="1:17" x14ac:dyDescent="0.35">
      <c r="A1761" s="212" t="str">
        <f>COMPOSICIÓN!A1761</f>
        <v>PTO-1915</v>
      </c>
      <c r="B1761" s="212" t="str">
        <f>COMPOSICIÓN!B1761</f>
        <v>MO</v>
      </c>
      <c r="C1761" s="212" t="str">
        <f>COMPOSICIÓN!C1761</f>
        <v>OTR</v>
      </c>
      <c r="D1761" s="212" t="str">
        <f>COMPOSICIÓN!D1761</f>
        <v>SUB-PTO086</v>
      </c>
      <c r="E1761" s="212" t="str">
        <f>COMPOSICIÓN!E1761</f>
        <v>MO Incendio</v>
      </c>
      <c r="F1761" s="212" t="str">
        <f>COMPOSICIÓN!F1761</f>
        <v>j</v>
      </c>
      <c r="G1761" s="213">
        <f>COMPOSICIÓN!G1761</f>
        <v>1</v>
      </c>
      <c r="H1761" s="214">
        <f>COMPOSICIÓN!H1761</f>
        <v>0</v>
      </c>
      <c r="I1761" s="215">
        <f>COMPOSICIÓN!I1761</f>
        <v>1816615.8408501199</v>
      </c>
      <c r="J1761" s="212" t="str">
        <f>IFERROR(VLOOKUP(A1761,PARTIDAS!$A$2:$C$269,3,FALSE()),"")</f>
        <v>INSTALACIONES SANITARIAS</v>
      </c>
      <c r="K1761" s="212" t="str">
        <f>IFERROR(INDEX(PPTO_GENERADOR!$B$4:$B$220,MATCH(A1761,PPTO_GENERADOR!$Q$4:$Q$220,0)),"")</f>
        <v>INSTALACIONES SANITARIAS</v>
      </c>
      <c r="L1761" s="216">
        <f>IF(PLAN_ETAPA!$C$4="(TODOS)",SUMIFS(PPTO_GENERADOR!$E$4:$E$220,PPTO_GENERADOR!$Q$4:$Q$220,A1761),SUMIFS(PPTO_GENERADOR!$E$4:$E$220,PPTO_GENERADOR!$Q$4:$Q$220,A1761,PPTO_GENERADOR!$B$4:$B$220,PLAN_ETAPA!$C$4))</f>
        <v>0</v>
      </c>
      <c r="M1761" s="216">
        <f>IFERROR(VLOOKUP(A1761,PARTIDAS!$A$2:$F$269,6,FALSE()),1)</f>
        <v>1</v>
      </c>
      <c r="N1761" s="216">
        <f>IFERROR(VLOOKUP(A1761,PARTIDAS!$A$2:$I$269,9,FALSE()),1)</f>
        <v>1</v>
      </c>
      <c r="O1761" s="217">
        <f t="shared" si="54"/>
        <v>0</v>
      </c>
      <c r="P1761" s="216">
        <f>IF(O1761=0,0,IF(B1761="MAT",G1761*(1+H1761)*L1761*PLAN_ETAPA!$C$5,IF(B1761="MO",IF(M1761=0,0,G1761*L1761*PLAN_ETAPA!$C$5*N1761/M1761),IF(B1761="EQ",IF(M1761=0,0,G1761*L1761*PLAN_ETAPA!$C$5/M1761),0))))</f>
        <v>0</v>
      </c>
      <c r="Q1761" s="218">
        <f t="shared" si="55"/>
        <v>0</v>
      </c>
    </row>
    <row r="1762" spans="1:17" x14ac:dyDescent="0.35">
      <c r="A1762" s="212" t="str">
        <f>COMPOSICIÓN!A1762</f>
        <v>PTO-1915</v>
      </c>
      <c r="B1762" s="212" t="str">
        <f>COMPOSICIÓN!B1762</f>
        <v>MAT</v>
      </c>
      <c r="C1762" s="212" t="str">
        <f>COMPOSICIÓN!C1762</f>
        <v>OTR</v>
      </c>
      <c r="D1762" s="212" t="str">
        <f>COMPOSICIÓN!D1762</f>
        <v>OTR-PTO202</v>
      </c>
      <c r="E1762" s="212" t="str">
        <f>COMPOSICIÓN!E1762</f>
        <v>Caño HG sin cupla 2 1/2 x 6,40 mts</v>
      </c>
      <c r="F1762" s="212" t="str">
        <f>COMPOSICIÓN!F1762</f>
        <v>u</v>
      </c>
      <c r="G1762" s="213">
        <f>COMPOSICIÓN!G1762</f>
        <v>7</v>
      </c>
      <c r="H1762" s="214">
        <f>COMPOSICIÓN!H1762</f>
        <v>0</v>
      </c>
      <c r="I1762" s="215">
        <f>COMPOSICIÓN!I1762</f>
        <v>226738.89</v>
      </c>
      <c r="J1762" s="212" t="str">
        <f>IFERROR(VLOOKUP(A1762,PARTIDAS!$A$2:$C$269,3,FALSE()),"")</f>
        <v>INSTALACIONES SANITARIAS</v>
      </c>
      <c r="K1762" s="212" t="str">
        <f>IFERROR(INDEX(PPTO_GENERADOR!$B$4:$B$220,MATCH(A1762,PPTO_GENERADOR!$Q$4:$Q$220,0)),"")</f>
        <v>INSTALACIONES SANITARIAS</v>
      </c>
      <c r="L1762" s="216">
        <f>IF(PLAN_ETAPA!$C$4="(TODOS)",SUMIFS(PPTO_GENERADOR!$E$4:$E$220,PPTO_GENERADOR!$Q$4:$Q$220,A1762),SUMIFS(PPTO_GENERADOR!$E$4:$E$220,PPTO_GENERADOR!$Q$4:$Q$220,A1762,PPTO_GENERADOR!$B$4:$B$220,PLAN_ETAPA!$C$4))</f>
        <v>0</v>
      </c>
      <c r="M1762" s="216">
        <f>IFERROR(VLOOKUP(A1762,PARTIDAS!$A$2:$F$269,6,FALSE()),1)</f>
        <v>1</v>
      </c>
      <c r="N1762" s="216">
        <f>IFERROR(VLOOKUP(A1762,PARTIDAS!$A$2:$I$269,9,FALSE()),1)</f>
        <v>1</v>
      </c>
      <c r="O1762" s="217">
        <f t="shared" si="54"/>
        <v>0</v>
      </c>
      <c r="P1762" s="216">
        <f>IF(O1762=0,0,IF(B1762="MAT",G1762*(1+H1762)*L1762*PLAN_ETAPA!$C$5,IF(B1762="MO",IF(M1762=0,0,G1762*L1762*PLAN_ETAPA!$C$5*N1762/M1762),IF(B1762="EQ",IF(M1762=0,0,G1762*L1762*PLAN_ETAPA!$C$5/M1762),0))))</f>
        <v>0</v>
      </c>
      <c r="Q1762" s="218">
        <f t="shared" si="55"/>
        <v>0</v>
      </c>
    </row>
    <row r="1763" spans="1:17" x14ac:dyDescent="0.35">
      <c r="A1763" s="212" t="str">
        <f>COMPOSICIÓN!A1763</f>
        <v>PTO-1915</v>
      </c>
      <c r="B1763" s="212" t="str">
        <f>COMPOSICIÓN!B1763</f>
        <v>MAT</v>
      </c>
      <c r="C1763" s="212" t="str">
        <f>COMPOSICIÓN!C1763</f>
        <v>OTR</v>
      </c>
      <c r="D1763" s="212" t="str">
        <f>COMPOSICIÓN!D1763</f>
        <v>OTR-PTO203</v>
      </c>
      <c r="E1763" s="212" t="str">
        <f>COMPOSICIÓN!E1763</f>
        <v>Codo HG a 90 HH 2 1/2</v>
      </c>
      <c r="F1763" s="212" t="str">
        <f>COMPOSICIÓN!F1763</f>
        <v>u</v>
      </c>
      <c r="G1763" s="213">
        <f>COMPOSICIÓN!G1763</f>
        <v>15</v>
      </c>
      <c r="H1763" s="214">
        <f>COMPOSICIÓN!H1763</f>
        <v>0</v>
      </c>
      <c r="I1763" s="215">
        <f>COMPOSICIÓN!I1763</f>
        <v>16952.66</v>
      </c>
      <c r="J1763" s="212" t="str">
        <f>IFERROR(VLOOKUP(A1763,PARTIDAS!$A$2:$C$269,3,FALSE()),"")</f>
        <v>INSTALACIONES SANITARIAS</v>
      </c>
      <c r="K1763" s="212" t="str">
        <f>IFERROR(INDEX(PPTO_GENERADOR!$B$4:$B$220,MATCH(A1763,PPTO_GENERADOR!$Q$4:$Q$220,0)),"")</f>
        <v>INSTALACIONES SANITARIAS</v>
      </c>
      <c r="L1763" s="216">
        <f>IF(PLAN_ETAPA!$C$4="(TODOS)",SUMIFS(PPTO_GENERADOR!$E$4:$E$220,PPTO_GENERADOR!$Q$4:$Q$220,A1763),SUMIFS(PPTO_GENERADOR!$E$4:$E$220,PPTO_GENERADOR!$Q$4:$Q$220,A1763,PPTO_GENERADOR!$B$4:$B$220,PLAN_ETAPA!$C$4))</f>
        <v>0</v>
      </c>
      <c r="M1763" s="216">
        <f>IFERROR(VLOOKUP(A1763,PARTIDAS!$A$2:$F$269,6,FALSE()),1)</f>
        <v>1</v>
      </c>
      <c r="N1763" s="216">
        <f>IFERROR(VLOOKUP(A1763,PARTIDAS!$A$2:$I$269,9,FALSE()),1)</f>
        <v>1</v>
      </c>
      <c r="O1763" s="217">
        <f t="shared" si="54"/>
        <v>0</v>
      </c>
      <c r="P1763" s="216">
        <f>IF(O1763=0,0,IF(B1763="MAT",G1763*(1+H1763)*L1763*PLAN_ETAPA!$C$5,IF(B1763="MO",IF(M1763=0,0,G1763*L1763*PLAN_ETAPA!$C$5*N1763/M1763),IF(B1763="EQ",IF(M1763=0,0,G1763*L1763*PLAN_ETAPA!$C$5/M1763),0))))</f>
        <v>0</v>
      </c>
      <c r="Q1763" s="218">
        <f t="shared" si="55"/>
        <v>0</v>
      </c>
    </row>
    <row r="1764" spans="1:17" x14ac:dyDescent="0.35">
      <c r="A1764" s="212" t="str">
        <f>COMPOSICIÓN!A1764</f>
        <v>PTO-1915</v>
      </c>
      <c r="B1764" s="212" t="str">
        <f>COMPOSICIÓN!B1764</f>
        <v>MAT</v>
      </c>
      <c r="C1764" s="212" t="str">
        <f>COMPOSICIÓN!C1764</f>
        <v>OTR</v>
      </c>
      <c r="D1764" s="212" t="str">
        <f>COMPOSICIÓN!D1764</f>
        <v>OTR-PTO204</v>
      </c>
      <c r="E1764" s="212" t="str">
        <f>COMPOSICIÓN!E1764</f>
        <v>Rosca con tuerca de 2 1/2</v>
      </c>
      <c r="F1764" s="212" t="str">
        <f>COMPOSICIÓN!F1764</f>
        <v>u</v>
      </c>
      <c r="G1764" s="213">
        <f>COMPOSICIÓN!G1764</f>
        <v>6</v>
      </c>
      <c r="H1764" s="214">
        <f>COMPOSICIÓN!H1764</f>
        <v>0</v>
      </c>
      <c r="I1764" s="215">
        <f>COMPOSICIÓN!I1764</f>
        <v>9333.2000000000007</v>
      </c>
      <c r="J1764" s="212" t="str">
        <f>IFERROR(VLOOKUP(A1764,PARTIDAS!$A$2:$C$269,3,FALSE()),"")</f>
        <v>INSTALACIONES SANITARIAS</v>
      </c>
      <c r="K1764" s="212" t="str">
        <f>IFERROR(INDEX(PPTO_GENERADOR!$B$4:$B$220,MATCH(A1764,PPTO_GENERADOR!$Q$4:$Q$220,0)),"")</f>
        <v>INSTALACIONES SANITARIAS</v>
      </c>
      <c r="L1764" s="216">
        <f>IF(PLAN_ETAPA!$C$4="(TODOS)",SUMIFS(PPTO_GENERADOR!$E$4:$E$220,PPTO_GENERADOR!$Q$4:$Q$220,A1764),SUMIFS(PPTO_GENERADOR!$E$4:$E$220,PPTO_GENERADOR!$Q$4:$Q$220,A1764,PPTO_GENERADOR!$B$4:$B$220,PLAN_ETAPA!$C$4))</f>
        <v>0</v>
      </c>
      <c r="M1764" s="216">
        <f>IFERROR(VLOOKUP(A1764,PARTIDAS!$A$2:$F$269,6,FALSE()),1)</f>
        <v>1</v>
      </c>
      <c r="N1764" s="216">
        <f>IFERROR(VLOOKUP(A1764,PARTIDAS!$A$2:$I$269,9,FALSE()),1)</f>
        <v>1</v>
      </c>
      <c r="O1764" s="217">
        <f t="shared" si="54"/>
        <v>0</v>
      </c>
      <c r="P1764" s="216">
        <f>IF(O1764=0,0,IF(B1764="MAT",G1764*(1+H1764)*L1764*PLAN_ETAPA!$C$5,IF(B1764="MO",IF(M1764=0,0,G1764*L1764*PLAN_ETAPA!$C$5*N1764/M1764),IF(B1764="EQ",IF(M1764=0,0,G1764*L1764*PLAN_ETAPA!$C$5/M1764),0))))</f>
        <v>0</v>
      </c>
      <c r="Q1764" s="218">
        <f t="shared" si="55"/>
        <v>0</v>
      </c>
    </row>
    <row r="1765" spans="1:17" x14ac:dyDescent="0.35">
      <c r="A1765" s="212" t="str">
        <f>COMPOSICIÓN!A1765</f>
        <v>PTO-1915</v>
      </c>
      <c r="B1765" s="212" t="str">
        <f>COMPOSICIÓN!B1765</f>
        <v>MAT</v>
      </c>
      <c r="C1765" s="212" t="str">
        <f>COMPOSICIÓN!C1765</f>
        <v>OTR</v>
      </c>
      <c r="D1765" s="212" t="str">
        <f>COMPOSICIÓN!D1765</f>
        <v>OTR-PTO205</v>
      </c>
      <c r="E1765" s="212" t="str">
        <f>COMPOSICIÓN!E1765</f>
        <v>Cupla HG 2 1/2</v>
      </c>
      <c r="F1765" s="212" t="str">
        <f>COMPOSICIÓN!F1765</f>
        <v>u</v>
      </c>
      <c r="G1765" s="213">
        <f>COMPOSICIÓN!G1765</f>
        <v>6</v>
      </c>
      <c r="H1765" s="214">
        <f>COMPOSICIÓN!H1765</f>
        <v>0</v>
      </c>
      <c r="I1765" s="215">
        <f>COMPOSICIÓN!I1765</f>
        <v>15339.5</v>
      </c>
      <c r="J1765" s="212" t="str">
        <f>IFERROR(VLOOKUP(A1765,PARTIDAS!$A$2:$C$269,3,FALSE()),"")</f>
        <v>INSTALACIONES SANITARIAS</v>
      </c>
      <c r="K1765" s="212" t="str">
        <f>IFERROR(INDEX(PPTO_GENERADOR!$B$4:$B$220,MATCH(A1765,PPTO_GENERADOR!$Q$4:$Q$220,0)),"")</f>
        <v>INSTALACIONES SANITARIAS</v>
      </c>
      <c r="L1765" s="216">
        <f>IF(PLAN_ETAPA!$C$4="(TODOS)",SUMIFS(PPTO_GENERADOR!$E$4:$E$220,PPTO_GENERADOR!$Q$4:$Q$220,A1765),SUMIFS(PPTO_GENERADOR!$E$4:$E$220,PPTO_GENERADOR!$Q$4:$Q$220,A1765,PPTO_GENERADOR!$B$4:$B$220,PLAN_ETAPA!$C$4))</f>
        <v>0</v>
      </c>
      <c r="M1765" s="216">
        <f>IFERROR(VLOOKUP(A1765,PARTIDAS!$A$2:$F$269,6,FALSE()),1)</f>
        <v>1</v>
      </c>
      <c r="N1765" s="216">
        <f>IFERROR(VLOOKUP(A1765,PARTIDAS!$A$2:$I$269,9,FALSE()),1)</f>
        <v>1</v>
      </c>
      <c r="O1765" s="217">
        <f t="shared" si="54"/>
        <v>0</v>
      </c>
      <c r="P1765" s="216">
        <f>IF(O1765=0,0,IF(B1765="MAT",G1765*(1+H1765)*L1765*PLAN_ETAPA!$C$5,IF(B1765="MO",IF(M1765=0,0,G1765*L1765*PLAN_ETAPA!$C$5*N1765/M1765),IF(B1765="EQ",IF(M1765=0,0,G1765*L1765*PLAN_ETAPA!$C$5/M1765),0))))</f>
        <v>0</v>
      </c>
      <c r="Q1765" s="218">
        <f t="shared" si="55"/>
        <v>0</v>
      </c>
    </row>
    <row r="1766" spans="1:17" x14ac:dyDescent="0.35">
      <c r="A1766" s="212" t="str">
        <f>COMPOSICIÓN!A1766</f>
        <v>PTO-1915</v>
      </c>
      <c r="B1766" s="212" t="str">
        <f>COMPOSICIÓN!B1766</f>
        <v>MAT</v>
      </c>
      <c r="C1766" s="212" t="str">
        <f>COMPOSICIÓN!C1766</f>
        <v>OTR</v>
      </c>
      <c r="D1766" s="212" t="str">
        <f>COMPOSICIÓN!D1766</f>
        <v>OTR-PTO206</v>
      </c>
      <c r="E1766" s="212" t="str">
        <f>COMPOSICIÓN!E1766</f>
        <v>Tee reduccion HG 2 1/2 x 2</v>
      </c>
      <c r="F1766" s="212" t="str">
        <f>COMPOSICIÓN!F1766</f>
        <v>u</v>
      </c>
      <c r="G1766" s="213">
        <f>COMPOSICIÓN!G1766</f>
        <v>5</v>
      </c>
      <c r="H1766" s="214">
        <f>COMPOSICIÓN!H1766</f>
        <v>0</v>
      </c>
      <c r="I1766" s="215">
        <f>COMPOSICIÓN!I1766</f>
        <v>21808.23</v>
      </c>
      <c r="J1766" s="212" t="str">
        <f>IFERROR(VLOOKUP(A1766,PARTIDAS!$A$2:$C$269,3,FALSE()),"")</f>
        <v>INSTALACIONES SANITARIAS</v>
      </c>
      <c r="K1766" s="212" t="str">
        <f>IFERROR(INDEX(PPTO_GENERADOR!$B$4:$B$220,MATCH(A1766,PPTO_GENERADOR!$Q$4:$Q$220,0)),"")</f>
        <v>INSTALACIONES SANITARIAS</v>
      </c>
      <c r="L1766" s="216">
        <f>IF(PLAN_ETAPA!$C$4="(TODOS)",SUMIFS(PPTO_GENERADOR!$E$4:$E$220,PPTO_GENERADOR!$Q$4:$Q$220,A1766),SUMIFS(PPTO_GENERADOR!$E$4:$E$220,PPTO_GENERADOR!$Q$4:$Q$220,A1766,PPTO_GENERADOR!$B$4:$B$220,PLAN_ETAPA!$C$4))</f>
        <v>0</v>
      </c>
      <c r="M1766" s="216">
        <f>IFERROR(VLOOKUP(A1766,PARTIDAS!$A$2:$F$269,6,FALSE()),1)</f>
        <v>1</v>
      </c>
      <c r="N1766" s="216">
        <f>IFERROR(VLOOKUP(A1766,PARTIDAS!$A$2:$I$269,9,FALSE()),1)</f>
        <v>1</v>
      </c>
      <c r="O1766" s="217">
        <f t="shared" si="54"/>
        <v>0</v>
      </c>
      <c r="P1766" s="216">
        <f>IF(O1766=0,0,IF(B1766="MAT",G1766*(1+H1766)*L1766*PLAN_ETAPA!$C$5,IF(B1766="MO",IF(M1766=0,0,G1766*L1766*PLAN_ETAPA!$C$5*N1766/M1766),IF(B1766="EQ",IF(M1766=0,0,G1766*L1766*PLAN_ETAPA!$C$5/M1766),0))))</f>
        <v>0</v>
      </c>
      <c r="Q1766" s="218">
        <f t="shared" si="55"/>
        <v>0</v>
      </c>
    </row>
    <row r="1767" spans="1:17" x14ac:dyDescent="0.35">
      <c r="A1767" s="212" t="str">
        <f>COMPOSICIÓN!A1767</f>
        <v>PTO-1915</v>
      </c>
      <c r="B1767" s="212" t="str">
        <f>COMPOSICIÓN!B1767</f>
        <v>MAT</v>
      </c>
      <c r="C1767" s="212" t="str">
        <f>COMPOSICIÓN!C1767</f>
        <v>OTR</v>
      </c>
      <c r="D1767" s="212" t="str">
        <f>COMPOSICIÓN!D1767</f>
        <v>OTR-PTO207</v>
      </c>
      <c r="E1767" s="212" t="str">
        <f>COMPOSICIÓN!E1767</f>
        <v>Valvula teatro 2 x 1 3/4</v>
      </c>
      <c r="F1767" s="212" t="str">
        <f>COMPOSICIÓN!F1767</f>
        <v>u</v>
      </c>
      <c r="G1767" s="213">
        <f>COMPOSICIÓN!G1767</f>
        <v>5</v>
      </c>
      <c r="H1767" s="214">
        <f>COMPOSICIÓN!H1767</f>
        <v>0</v>
      </c>
      <c r="I1767" s="215">
        <f>COMPOSICIÓN!I1767</f>
        <v>39120</v>
      </c>
      <c r="J1767" s="212" t="str">
        <f>IFERROR(VLOOKUP(A1767,PARTIDAS!$A$2:$C$269,3,FALSE()),"")</f>
        <v>INSTALACIONES SANITARIAS</v>
      </c>
      <c r="K1767" s="212" t="str">
        <f>IFERROR(INDEX(PPTO_GENERADOR!$B$4:$B$220,MATCH(A1767,PPTO_GENERADOR!$Q$4:$Q$220,0)),"")</f>
        <v>INSTALACIONES SANITARIAS</v>
      </c>
      <c r="L1767" s="216">
        <f>IF(PLAN_ETAPA!$C$4="(TODOS)",SUMIFS(PPTO_GENERADOR!$E$4:$E$220,PPTO_GENERADOR!$Q$4:$Q$220,A1767),SUMIFS(PPTO_GENERADOR!$E$4:$E$220,PPTO_GENERADOR!$Q$4:$Q$220,A1767,PPTO_GENERADOR!$B$4:$B$220,PLAN_ETAPA!$C$4))</f>
        <v>0</v>
      </c>
      <c r="M1767" s="216">
        <f>IFERROR(VLOOKUP(A1767,PARTIDAS!$A$2:$F$269,6,FALSE()),1)</f>
        <v>1</v>
      </c>
      <c r="N1767" s="216">
        <f>IFERROR(VLOOKUP(A1767,PARTIDAS!$A$2:$I$269,9,FALSE()),1)</f>
        <v>1</v>
      </c>
      <c r="O1767" s="217">
        <f t="shared" si="54"/>
        <v>0</v>
      </c>
      <c r="P1767" s="216">
        <f>IF(O1767=0,0,IF(B1767="MAT",G1767*(1+H1767)*L1767*PLAN_ETAPA!$C$5,IF(B1767="MO",IF(M1767=0,0,G1767*L1767*PLAN_ETAPA!$C$5*N1767/M1767),IF(B1767="EQ",IF(M1767=0,0,G1767*L1767*PLAN_ETAPA!$C$5/M1767),0))))</f>
        <v>0</v>
      </c>
      <c r="Q1767" s="218">
        <f t="shared" si="55"/>
        <v>0</v>
      </c>
    </row>
    <row r="1768" spans="1:17" x14ac:dyDescent="0.35">
      <c r="A1768" s="212" t="str">
        <f>COMPOSICIÓN!A1768</f>
        <v>PTO-1915</v>
      </c>
      <c r="B1768" s="212" t="str">
        <f>COMPOSICIÓN!B1768</f>
        <v>MAT</v>
      </c>
      <c r="C1768" s="212" t="str">
        <f>COMPOSICIÓN!C1768</f>
        <v>OTR</v>
      </c>
      <c r="D1768" s="212" t="str">
        <f>COMPOSICIÓN!D1768</f>
        <v>OTR-PTO208</v>
      </c>
      <c r="E1768" s="212" t="str">
        <f>COMPOSICIÓN!E1768</f>
        <v>Valvula de impulsion de 2 1/2</v>
      </c>
      <c r="F1768" s="212" t="str">
        <f>COMPOSICIÓN!F1768</f>
        <v>u</v>
      </c>
      <c r="G1768" s="213">
        <f>COMPOSICIÓN!G1768</f>
        <v>1</v>
      </c>
      <c r="H1768" s="214">
        <f>COMPOSICIÓN!H1768</f>
        <v>0</v>
      </c>
      <c r="I1768" s="215">
        <f>COMPOSICIÓN!I1768</f>
        <v>79361</v>
      </c>
      <c r="J1768" s="212" t="str">
        <f>IFERROR(VLOOKUP(A1768,PARTIDAS!$A$2:$C$269,3,FALSE()),"")</f>
        <v>INSTALACIONES SANITARIAS</v>
      </c>
      <c r="K1768" s="212" t="str">
        <f>IFERROR(INDEX(PPTO_GENERADOR!$B$4:$B$220,MATCH(A1768,PPTO_GENERADOR!$Q$4:$Q$220,0)),"")</f>
        <v>INSTALACIONES SANITARIAS</v>
      </c>
      <c r="L1768" s="216">
        <f>IF(PLAN_ETAPA!$C$4="(TODOS)",SUMIFS(PPTO_GENERADOR!$E$4:$E$220,PPTO_GENERADOR!$Q$4:$Q$220,A1768),SUMIFS(PPTO_GENERADOR!$E$4:$E$220,PPTO_GENERADOR!$Q$4:$Q$220,A1768,PPTO_GENERADOR!$B$4:$B$220,PLAN_ETAPA!$C$4))</f>
        <v>0</v>
      </c>
      <c r="M1768" s="216">
        <f>IFERROR(VLOOKUP(A1768,PARTIDAS!$A$2:$F$269,6,FALSE()),1)</f>
        <v>1</v>
      </c>
      <c r="N1768" s="216">
        <f>IFERROR(VLOOKUP(A1768,PARTIDAS!$A$2:$I$269,9,FALSE()),1)</f>
        <v>1</v>
      </c>
      <c r="O1768" s="217">
        <f t="shared" si="54"/>
        <v>0</v>
      </c>
      <c r="P1768" s="216">
        <f>IF(O1768=0,0,IF(B1768="MAT",G1768*(1+H1768)*L1768*PLAN_ETAPA!$C$5,IF(B1768="MO",IF(M1768=0,0,G1768*L1768*PLAN_ETAPA!$C$5*N1768/M1768),IF(B1768="EQ",IF(M1768=0,0,G1768*L1768*PLAN_ETAPA!$C$5/M1768),0))))</f>
        <v>0</v>
      </c>
      <c r="Q1768" s="218">
        <f t="shared" si="55"/>
        <v>0</v>
      </c>
    </row>
    <row r="1769" spans="1:17" x14ac:dyDescent="0.35">
      <c r="A1769" s="212" t="str">
        <f>COMPOSICIÓN!A1769</f>
        <v>PTO-1915</v>
      </c>
      <c r="B1769" s="212" t="str">
        <f>COMPOSICIÓN!B1769</f>
        <v>MAT</v>
      </c>
      <c r="C1769" s="212" t="str">
        <f>COMPOSICIÓN!C1769</f>
        <v>OTR</v>
      </c>
      <c r="D1769" s="212" t="str">
        <f>COMPOSICIÓN!D1769</f>
        <v>OTR-PTO209</v>
      </c>
      <c r="E1769" s="212" t="str">
        <f>COMPOSICIÓN!E1769</f>
        <v>VR 2 1/2 BR</v>
      </c>
      <c r="F1769" s="212" t="str">
        <f>COMPOSICIÓN!F1769</f>
        <v>u</v>
      </c>
      <c r="G1769" s="213">
        <f>COMPOSICIÓN!G1769</f>
        <v>1</v>
      </c>
      <c r="H1769" s="214">
        <f>COMPOSICIÓN!H1769</f>
        <v>0</v>
      </c>
      <c r="I1769" s="215">
        <f>COMPOSICIÓN!I1769</f>
        <v>79361</v>
      </c>
      <c r="J1769" s="212" t="str">
        <f>IFERROR(VLOOKUP(A1769,PARTIDAS!$A$2:$C$269,3,FALSE()),"")</f>
        <v>INSTALACIONES SANITARIAS</v>
      </c>
      <c r="K1769" s="212" t="str">
        <f>IFERROR(INDEX(PPTO_GENERADOR!$B$4:$B$220,MATCH(A1769,PPTO_GENERADOR!$Q$4:$Q$220,0)),"")</f>
        <v>INSTALACIONES SANITARIAS</v>
      </c>
      <c r="L1769" s="216">
        <f>IF(PLAN_ETAPA!$C$4="(TODOS)",SUMIFS(PPTO_GENERADOR!$E$4:$E$220,PPTO_GENERADOR!$Q$4:$Q$220,A1769),SUMIFS(PPTO_GENERADOR!$E$4:$E$220,PPTO_GENERADOR!$Q$4:$Q$220,A1769,PPTO_GENERADOR!$B$4:$B$220,PLAN_ETAPA!$C$4))</f>
        <v>0</v>
      </c>
      <c r="M1769" s="216">
        <f>IFERROR(VLOOKUP(A1769,PARTIDAS!$A$2:$F$269,6,FALSE()),1)</f>
        <v>1</v>
      </c>
      <c r="N1769" s="216">
        <f>IFERROR(VLOOKUP(A1769,PARTIDAS!$A$2:$I$269,9,FALSE()),1)</f>
        <v>1</v>
      </c>
      <c r="O1769" s="217">
        <f t="shared" si="54"/>
        <v>0</v>
      </c>
      <c r="P1769" s="216">
        <f>IF(O1769=0,0,IF(B1769="MAT",G1769*(1+H1769)*L1769*PLAN_ETAPA!$C$5,IF(B1769="MO",IF(M1769=0,0,G1769*L1769*PLAN_ETAPA!$C$5*N1769/M1769),IF(B1769="EQ",IF(M1769=0,0,G1769*L1769*PLAN_ETAPA!$C$5/M1769),0))))</f>
        <v>0</v>
      </c>
      <c r="Q1769" s="218">
        <f t="shared" si="55"/>
        <v>0</v>
      </c>
    </row>
    <row r="1770" spans="1:17" x14ac:dyDescent="0.35">
      <c r="A1770" s="212" t="str">
        <f>COMPOSICIÓN!A1770</f>
        <v>PTO-1915</v>
      </c>
      <c r="B1770" s="212" t="str">
        <f>COMPOSICIÓN!B1770</f>
        <v>MAT</v>
      </c>
      <c r="C1770" s="212" t="str">
        <f>COMPOSICIÓN!C1770</f>
        <v>OTR</v>
      </c>
      <c r="D1770" s="212" t="str">
        <f>COMPOSICIÓN!D1770</f>
        <v>MAT-CONS</v>
      </c>
      <c r="E1770" s="212" t="str">
        <f>COMPOSICIÓN!E1770</f>
        <v>Consumibles</v>
      </c>
      <c r="F1770" s="212" t="str">
        <f>COMPOSICIÓN!F1770</f>
        <v>gl</v>
      </c>
      <c r="G1770" s="213">
        <f>COMPOSICIÓN!G1770</f>
        <v>490572.29599999997</v>
      </c>
      <c r="H1770" s="214">
        <f>COMPOSICIÓN!H1770</f>
        <v>0</v>
      </c>
      <c r="I1770" s="215">
        <f>COMPOSICIÓN!I1770</f>
        <v>1</v>
      </c>
      <c r="J1770" s="212" t="str">
        <f>IFERROR(VLOOKUP(A1770,PARTIDAS!$A$2:$C$269,3,FALSE()),"")</f>
        <v>INSTALACIONES SANITARIAS</v>
      </c>
      <c r="K1770" s="212" t="str">
        <f>IFERROR(INDEX(PPTO_GENERADOR!$B$4:$B$220,MATCH(A1770,PPTO_GENERADOR!$Q$4:$Q$220,0)),"")</f>
        <v>INSTALACIONES SANITARIAS</v>
      </c>
      <c r="L1770" s="216">
        <f>IF(PLAN_ETAPA!$C$4="(TODOS)",SUMIFS(PPTO_GENERADOR!$E$4:$E$220,PPTO_GENERADOR!$Q$4:$Q$220,A1770),SUMIFS(PPTO_GENERADOR!$E$4:$E$220,PPTO_GENERADOR!$Q$4:$Q$220,A1770,PPTO_GENERADOR!$B$4:$B$220,PLAN_ETAPA!$C$4))</f>
        <v>0</v>
      </c>
      <c r="M1770" s="216">
        <f>IFERROR(VLOOKUP(A1770,PARTIDAS!$A$2:$F$269,6,FALSE()),1)</f>
        <v>1</v>
      </c>
      <c r="N1770" s="216">
        <f>IFERROR(VLOOKUP(A1770,PARTIDAS!$A$2:$I$269,9,FALSE()),1)</f>
        <v>1</v>
      </c>
      <c r="O1770" s="217">
        <f t="shared" si="54"/>
        <v>0</v>
      </c>
      <c r="P1770" s="216">
        <f>IF(O1770=0,0,IF(B1770="MAT",G1770*(1+H1770)*L1770*PLAN_ETAPA!$C$5,IF(B1770="MO",IF(M1770=0,0,G1770*L1770*PLAN_ETAPA!$C$5*N1770/M1770),IF(B1770="EQ",IF(M1770=0,0,G1770*L1770*PLAN_ETAPA!$C$5/M1770),0))))</f>
        <v>0</v>
      </c>
      <c r="Q1770" s="218">
        <f t="shared" si="55"/>
        <v>0</v>
      </c>
    </row>
    <row r="1771" spans="1:17" x14ac:dyDescent="0.35">
      <c r="A1771" s="212" t="str">
        <f>COMPOSICIÓN!A1771</f>
        <v>PTO-1916</v>
      </c>
      <c r="B1771" s="212" t="str">
        <f>COMPOSICIÓN!B1771</f>
        <v>MO</v>
      </c>
      <c r="C1771" s="212" t="str">
        <f>COMPOSICIÓN!C1771</f>
        <v>OTR</v>
      </c>
      <c r="D1771" s="212" t="str">
        <f>COMPOSICIÓN!D1771</f>
        <v>SUB-PTO087</v>
      </c>
      <c r="E1771" s="212" t="str">
        <f>COMPOSICIÓN!E1771</f>
        <v>MO Provisión y tendido de cañerías de gas a cada UF</v>
      </c>
      <c r="F1771" s="212" t="str">
        <f>COMPOSICIÓN!F1771</f>
        <v>j</v>
      </c>
      <c r="G1771" s="213">
        <f>COMPOSICIÓN!G1771</f>
        <v>1</v>
      </c>
      <c r="H1771" s="214">
        <f>COMPOSICIÓN!H1771</f>
        <v>0</v>
      </c>
      <c r="I1771" s="215">
        <f>COMPOSICIÓN!I1771</f>
        <v>15641236.6044</v>
      </c>
      <c r="J1771" s="212" t="str">
        <f>IFERROR(VLOOKUP(A1771,PARTIDAS!$A$2:$C$269,3,FALSE()),"")</f>
        <v>INSTALACIONES SANITARIAS</v>
      </c>
      <c r="K1771" s="212" t="str">
        <f>IFERROR(INDEX(PPTO_GENERADOR!$B$4:$B$220,MATCH(A1771,PPTO_GENERADOR!$Q$4:$Q$220,0)),"")</f>
        <v>INSTALACIONES SANITARIAS</v>
      </c>
      <c r="L1771" s="216">
        <f>IF(PLAN_ETAPA!$C$4="(TODOS)",SUMIFS(PPTO_GENERADOR!$E$4:$E$220,PPTO_GENERADOR!$Q$4:$Q$220,A1771),SUMIFS(PPTO_GENERADOR!$E$4:$E$220,PPTO_GENERADOR!$Q$4:$Q$220,A1771,PPTO_GENERADOR!$B$4:$B$220,PLAN_ETAPA!$C$4))</f>
        <v>0</v>
      </c>
      <c r="M1771" s="216">
        <f>IFERROR(VLOOKUP(A1771,PARTIDAS!$A$2:$F$269,6,FALSE()),1)</f>
        <v>1</v>
      </c>
      <c r="N1771" s="216">
        <f>IFERROR(VLOOKUP(A1771,PARTIDAS!$A$2:$I$269,9,FALSE()),1)</f>
        <v>1</v>
      </c>
      <c r="O1771" s="217">
        <f t="shared" si="54"/>
        <v>0</v>
      </c>
      <c r="P1771" s="216">
        <f>IF(O1771=0,0,IF(B1771="MAT",G1771*(1+H1771)*L1771*PLAN_ETAPA!$C$5,IF(B1771="MO",IF(M1771=0,0,G1771*L1771*PLAN_ETAPA!$C$5*N1771/M1771),IF(B1771="EQ",IF(M1771=0,0,G1771*L1771*PLAN_ETAPA!$C$5/M1771),0))))</f>
        <v>0</v>
      </c>
      <c r="Q1771" s="218">
        <f t="shared" si="55"/>
        <v>0</v>
      </c>
    </row>
    <row r="1772" spans="1:17" x14ac:dyDescent="0.35">
      <c r="A1772" s="212" t="str">
        <f>COMPOSICIÓN!A1772</f>
        <v>PTO-1916</v>
      </c>
      <c r="B1772" s="212" t="str">
        <f>COMPOSICIÓN!B1772</f>
        <v>MAT</v>
      </c>
      <c r="C1772" s="212" t="str">
        <f>COMPOSICIÓN!C1772</f>
        <v>OTR</v>
      </c>
      <c r="D1772" s="212" t="str">
        <f>COMPOSICIÓN!D1772</f>
        <v>OTR-PTO210</v>
      </c>
      <c r="E1772" s="212" t="str">
        <f>COMPOSICIÓN!E1772</f>
        <v>Llave de paso esférica de 20mm</v>
      </c>
      <c r="F1772" s="212" t="str">
        <f>COMPOSICIÓN!F1772</f>
        <v>u</v>
      </c>
      <c r="G1772" s="213">
        <f>COMPOSICIÓN!G1772</f>
        <v>8</v>
      </c>
      <c r="H1772" s="214">
        <f>COMPOSICIÓN!H1772</f>
        <v>0</v>
      </c>
      <c r="I1772" s="215">
        <f>COMPOSICIÓN!I1772</f>
        <v>18420.5</v>
      </c>
      <c r="J1772" s="212" t="str">
        <f>IFERROR(VLOOKUP(A1772,PARTIDAS!$A$2:$C$269,3,FALSE()),"")</f>
        <v>INSTALACIONES SANITARIAS</v>
      </c>
      <c r="K1772" s="212" t="str">
        <f>IFERROR(INDEX(PPTO_GENERADOR!$B$4:$B$220,MATCH(A1772,PPTO_GENERADOR!$Q$4:$Q$220,0)),"")</f>
        <v>INSTALACIONES SANITARIAS</v>
      </c>
      <c r="L1772" s="216">
        <f>IF(PLAN_ETAPA!$C$4="(TODOS)",SUMIFS(PPTO_GENERADOR!$E$4:$E$220,PPTO_GENERADOR!$Q$4:$Q$220,A1772),SUMIFS(PPTO_GENERADOR!$E$4:$E$220,PPTO_GENERADOR!$Q$4:$Q$220,A1772,PPTO_GENERADOR!$B$4:$B$220,PLAN_ETAPA!$C$4))</f>
        <v>0</v>
      </c>
      <c r="M1772" s="216">
        <f>IFERROR(VLOOKUP(A1772,PARTIDAS!$A$2:$F$269,6,FALSE()),1)</f>
        <v>1</v>
      </c>
      <c r="N1772" s="216">
        <f>IFERROR(VLOOKUP(A1772,PARTIDAS!$A$2:$I$269,9,FALSE()),1)</f>
        <v>1</v>
      </c>
      <c r="O1772" s="217">
        <f t="shared" si="54"/>
        <v>0</v>
      </c>
      <c r="P1772" s="216">
        <f>IF(O1772=0,0,IF(B1772="MAT",G1772*(1+H1772)*L1772*PLAN_ETAPA!$C$5,IF(B1772="MO",IF(M1772=0,0,G1772*L1772*PLAN_ETAPA!$C$5*N1772/M1772),IF(B1772="EQ",IF(M1772=0,0,G1772*L1772*PLAN_ETAPA!$C$5/M1772),0))))</f>
        <v>0</v>
      </c>
      <c r="Q1772" s="218">
        <f t="shared" si="55"/>
        <v>0</v>
      </c>
    </row>
    <row r="1773" spans="1:17" x14ac:dyDescent="0.35">
      <c r="A1773" s="212" t="str">
        <f>COMPOSICIÓN!A1773</f>
        <v>PTO-1916</v>
      </c>
      <c r="B1773" s="212" t="str">
        <f>COMPOSICIÓN!B1773</f>
        <v>MAT</v>
      </c>
      <c r="C1773" s="212" t="str">
        <f>COMPOSICIÓN!C1773</f>
        <v>OTR</v>
      </c>
      <c r="D1773" s="212" t="str">
        <f>COMPOSICIÓN!D1773</f>
        <v>OTR-PTO211</v>
      </c>
      <c r="E1773" s="212" t="str">
        <f>COMPOSICIÓN!E1773</f>
        <v>Llave de paso esférica de 32mm</v>
      </c>
      <c r="F1773" s="212" t="str">
        <f>COMPOSICIÓN!F1773</f>
        <v>u</v>
      </c>
      <c r="G1773" s="213">
        <f>COMPOSICIÓN!G1773</f>
        <v>8</v>
      </c>
      <c r="H1773" s="214">
        <f>COMPOSICIÓN!H1773</f>
        <v>0</v>
      </c>
      <c r="I1773" s="215">
        <f>COMPOSICIÓN!I1773</f>
        <v>40497.366000000002</v>
      </c>
      <c r="J1773" s="212" t="str">
        <f>IFERROR(VLOOKUP(A1773,PARTIDAS!$A$2:$C$269,3,FALSE()),"")</f>
        <v>INSTALACIONES SANITARIAS</v>
      </c>
      <c r="K1773" s="212" t="str">
        <f>IFERROR(INDEX(PPTO_GENERADOR!$B$4:$B$220,MATCH(A1773,PPTO_GENERADOR!$Q$4:$Q$220,0)),"")</f>
        <v>INSTALACIONES SANITARIAS</v>
      </c>
      <c r="L1773" s="216">
        <f>IF(PLAN_ETAPA!$C$4="(TODOS)",SUMIFS(PPTO_GENERADOR!$E$4:$E$220,PPTO_GENERADOR!$Q$4:$Q$220,A1773),SUMIFS(PPTO_GENERADOR!$E$4:$E$220,PPTO_GENERADOR!$Q$4:$Q$220,A1773,PPTO_GENERADOR!$B$4:$B$220,PLAN_ETAPA!$C$4))</f>
        <v>0</v>
      </c>
      <c r="M1773" s="216">
        <f>IFERROR(VLOOKUP(A1773,PARTIDAS!$A$2:$F$269,6,FALSE()),1)</f>
        <v>1</v>
      </c>
      <c r="N1773" s="216">
        <f>IFERROR(VLOOKUP(A1773,PARTIDAS!$A$2:$I$269,9,FALSE()),1)</f>
        <v>1</v>
      </c>
      <c r="O1773" s="217">
        <f t="shared" si="54"/>
        <v>0</v>
      </c>
      <c r="P1773" s="216">
        <f>IF(O1773=0,0,IF(B1773="MAT",G1773*(1+H1773)*L1773*PLAN_ETAPA!$C$5,IF(B1773="MO",IF(M1773=0,0,G1773*L1773*PLAN_ETAPA!$C$5*N1773/M1773),IF(B1773="EQ",IF(M1773=0,0,G1773*L1773*PLAN_ETAPA!$C$5/M1773),0))))</f>
        <v>0</v>
      </c>
      <c r="Q1773" s="218">
        <f t="shared" si="55"/>
        <v>0</v>
      </c>
    </row>
    <row r="1774" spans="1:17" x14ac:dyDescent="0.35">
      <c r="A1774" s="212" t="str">
        <f>COMPOSICIÓN!A1774</f>
        <v>PTO-1916</v>
      </c>
      <c r="B1774" s="212" t="str">
        <f>COMPOSICIÓN!B1774</f>
        <v>MAT</v>
      </c>
      <c r="C1774" s="212" t="str">
        <f>COMPOSICIÓN!C1774</f>
        <v>OTR</v>
      </c>
      <c r="D1774" s="212" t="str">
        <f>COMPOSICIÓN!D1774</f>
        <v>OTR-PTO212</v>
      </c>
      <c r="E1774" s="212" t="str">
        <f>COMPOSICIÓN!E1774</f>
        <v>Codo a 90° de 20mm</v>
      </c>
      <c r="F1774" s="212" t="str">
        <f>COMPOSICIÓN!F1774</f>
        <v>u</v>
      </c>
      <c r="G1774" s="213">
        <f>COMPOSICIÓN!G1774</f>
        <v>26</v>
      </c>
      <c r="H1774" s="214">
        <f>COMPOSICIÓN!H1774</f>
        <v>0</v>
      </c>
      <c r="I1774" s="215">
        <f>COMPOSICIÓN!I1774</f>
        <v>2140.61</v>
      </c>
      <c r="J1774" s="212" t="str">
        <f>IFERROR(VLOOKUP(A1774,PARTIDAS!$A$2:$C$269,3,FALSE()),"")</f>
        <v>INSTALACIONES SANITARIAS</v>
      </c>
      <c r="K1774" s="212" t="str">
        <f>IFERROR(INDEX(PPTO_GENERADOR!$B$4:$B$220,MATCH(A1774,PPTO_GENERADOR!$Q$4:$Q$220,0)),"")</f>
        <v>INSTALACIONES SANITARIAS</v>
      </c>
      <c r="L1774" s="216">
        <f>IF(PLAN_ETAPA!$C$4="(TODOS)",SUMIFS(PPTO_GENERADOR!$E$4:$E$220,PPTO_GENERADOR!$Q$4:$Q$220,A1774),SUMIFS(PPTO_GENERADOR!$E$4:$E$220,PPTO_GENERADOR!$Q$4:$Q$220,A1774,PPTO_GENERADOR!$B$4:$B$220,PLAN_ETAPA!$C$4))</f>
        <v>0</v>
      </c>
      <c r="M1774" s="216">
        <f>IFERROR(VLOOKUP(A1774,PARTIDAS!$A$2:$F$269,6,FALSE()),1)</f>
        <v>1</v>
      </c>
      <c r="N1774" s="216">
        <f>IFERROR(VLOOKUP(A1774,PARTIDAS!$A$2:$I$269,9,FALSE()),1)</f>
        <v>1</v>
      </c>
      <c r="O1774" s="217">
        <f t="shared" si="54"/>
        <v>0</v>
      </c>
      <c r="P1774" s="216">
        <f>IF(O1774=0,0,IF(B1774="MAT",G1774*(1+H1774)*L1774*PLAN_ETAPA!$C$5,IF(B1774="MO",IF(M1774=0,0,G1774*L1774*PLAN_ETAPA!$C$5*N1774/M1774),IF(B1774="EQ",IF(M1774=0,0,G1774*L1774*PLAN_ETAPA!$C$5/M1774),0))))</f>
        <v>0</v>
      </c>
      <c r="Q1774" s="218">
        <f t="shared" si="55"/>
        <v>0</v>
      </c>
    </row>
    <row r="1775" spans="1:17" x14ac:dyDescent="0.35">
      <c r="A1775" s="212" t="str">
        <f>COMPOSICIÓN!A1775</f>
        <v>PTO-1916</v>
      </c>
      <c r="B1775" s="212" t="str">
        <f>COMPOSICIÓN!B1775</f>
        <v>MAT</v>
      </c>
      <c r="C1775" s="212" t="str">
        <f>COMPOSICIÓN!C1775</f>
        <v>OTR</v>
      </c>
      <c r="D1775" s="212" t="str">
        <f>COMPOSICIÓN!D1775</f>
        <v>OTR-PTO213</v>
      </c>
      <c r="E1775" s="212" t="str">
        <f>COMPOSICIÓN!E1775</f>
        <v>Codo a 90° de 32mm</v>
      </c>
      <c r="F1775" s="212" t="str">
        <f>COMPOSICIÓN!F1775</f>
        <v>u</v>
      </c>
      <c r="G1775" s="213">
        <f>COMPOSICIÓN!G1775</f>
        <v>126</v>
      </c>
      <c r="H1775" s="214">
        <f>COMPOSICIÓN!H1775</f>
        <v>0</v>
      </c>
      <c r="I1775" s="215">
        <f>COMPOSICIÓN!I1775</f>
        <v>3659.23</v>
      </c>
      <c r="J1775" s="212" t="str">
        <f>IFERROR(VLOOKUP(A1775,PARTIDAS!$A$2:$C$269,3,FALSE()),"")</f>
        <v>INSTALACIONES SANITARIAS</v>
      </c>
      <c r="K1775" s="212" t="str">
        <f>IFERROR(INDEX(PPTO_GENERADOR!$B$4:$B$220,MATCH(A1775,PPTO_GENERADOR!$Q$4:$Q$220,0)),"")</f>
        <v>INSTALACIONES SANITARIAS</v>
      </c>
      <c r="L1775" s="216">
        <f>IF(PLAN_ETAPA!$C$4="(TODOS)",SUMIFS(PPTO_GENERADOR!$E$4:$E$220,PPTO_GENERADOR!$Q$4:$Q$220,A1775),SUMIFS(PPTO_GENERADOR!$E$4:$E$220,PPTO_GENERADOR!$Q$4:$Q$220,A1775,PPTO_GENERADOR!$B$4:$B$220,PLAN_ETAPA!$C$4))</f>
        <v>0</v>
      </c>
      <c r="M1775" s="216">
        <f>IFERROR(VLOOKUP(A1775,PARTIDAS!$A$2:$F$269,6,FALSE()),1)</f>
        <v>1</v>
      </c>
      <c r="N1775" s="216">
        <f>IFERROR(VLOOKUP(A1775,PARTIDAS!$A$2:$I$269,9,FALSE()),1)</f>
        <v>1</v>
      </c>
      <c r="O1775" s="217">
        <f t="shared" si="54"/>
        <v>0</v>
      </c>
      <c r="P1775" s="216">
        <f>IF(O1775=0,0,IF(B1775="MAT",G1775*(1+H1775)*L1775*PLAN_ETAPA!$C$5,IF(B1775="MO",IF(M1775=0,0,G1775*L1775*PLAN_ETAPA!$C$5*N1775/M1775),IF(B1775="EQ",IF(M1775=0,0,G1775*L1775*PLAN_ETAPA!$C$5/M1775),0))))</f>
        <v>0</v>
      </c>
      <c r="Q1775" s="218">
        <f t="shared" si="55"/>
        <v>0</v>
      </c>
    </row>
    <row r="1776" spans="1:17" x14ac:dyDescent="0.35">
      <c r="A1776" s="212" t="str">
        <f>COMPOSICIÓN!A1776</f>
        <v>PTO-1916</v>
      </c>
      <c r="B1776" s="212" t="str">
        <f>COMPOSICIÓN!B1776</f>
        <v>MAT</v>
      </c>
      <c r="C1776" s="212" t="str">
        <f>COMPOSICIÓN!C1776</f>
        <v>OTR</v>
      </c>
      <c r="D1776" s="212" t="str">
        <f>COMPOSICIÓN!D1776</f>
        <v>OTR-PTO214</v>
      </c>
      <c r="E1776" s="212" t="str">
        <f>COMPOSICIÓN!E1776</f>
        <v>Cupla de reduccion de 32x20mm</v>
      </c>
      <c r="F1776" s="212" t="str">
        <f>COMPOSICIÓN!F1776</f>
        <v>u</v>
      </c>
      <c r="G1776" s="213">
        <f>COMPOSICIÓN!G1776</f>
        <v>5</v>
      </c>
      <c r="H1776" s="214">
        <f>COMPOSICIÓN!H1776</f>
        <v>0</v>
      </c>
      <c r="I1776" s="215">
        <f>COMPOSICIÓN!I1776</f>
        <v>1826.31</v>
      </c>
      <c r="J1776" s="212" t="str">
        <f>IFERROR(VLOOKUP(A1776,PARTIDAS!$A$2:$C$269,3,FALSE()),"")</f>
        <v>INSTALACIONES SANITARIAS</v>
      </c>
      <c r="K1776" s="212" t="str">
        <f>IFERROR(INDEX(PPTO_GENERADOR!$B$4:$B$220,MATCH(A1776,PPTO_GENERADOR!$Q$4:$Q$220,0)),"")</f>
        <v>INSTALACIONES SANITARIAS</v>
      </c>
      <c r="L1776" s="216">
        <f>IF(PLAN_ETAPA!$C$4="(TODOS)",SUMIFS(PPTO_GENERADOR!$E$4:$E$220,PPTO_GENERADOR!$Q$4:$Q$220,A1776),SUMIFS(PPTO_GENERADOR!$E$4:$E$220,PPTO_GENERADOR!$Q$4:$Q$220,A1776,PPTO_GENERADOR!$B$4:$B$220,PLAN_ETAPA!$C$4))</f>
        <v>0</v>
      </c>
      <c r="M1776" s="216">
        <f>IFERROR(VLOOKUP(A1776,PARTIDAS!$A$2:$F$269,6,FALSE()),1)</f>
        <v>1</v>
      </c>
      <c r="N1776" s="216">
        <f>IFERROR(VLOOKUP(A1776,PARTIDAS!$A$2:$I$269,9,FALSE()),1)</f>
        <v>1</v>
      </c>
      <c r="O1776" s="217">
        <f t="shared" si="54"/>
        <v>0</v>
      </c>
      <c r="P1776" s="216">
        <f>IF(O1776=0,0,IF(B1776="MAT",G1776*(1+H1776)*L1776*PLAN_ETAPA!$C$5,IF(B1776="MO",IF(M1776=0,0,G1776*L1776*PLAN_ETAPA!$C$5*N1776/M1776),IF(B1776="EQ",IF(M1776=0,0,G1776*L1776*PLAN_ETAPA!$C$5/M1776),0))))</f>
        <v>0</v>
      </c>
      <c r="Q1776" s="218">
        <f t="shared" si="55"/>
        <v>0</v>
      </c>
    </row>
    <row r="1777" spans="1:17" x14ac:dyDescent="0.35">
      <c r="A1777" s="212" t="str">
        <f>COMPOSICIÓN!A1777</f>
        <v>PTO-1916</v>
      </c>
      <c r="B1777" s="212" t="str">
        <f>COMPOSICIÓN!B1777</f>
        <v>MAT</v>
      </c>
      <c r="C1777" s="212" t="str">
        <f>COMPOSICIÓN!C1777</f>
        <v>OTR</v>
      </c>
      <c r="D1777" s="212" t="str">
        <f>COMPOSICIÓN!D1777</f>
        <v>OTR-PTO215</v>
      </c>
      <c r="E1777" s="212" t="str">
        <f>COMPOSICIÓN!E1777</f>
        <v>Niple corto con tope 32mm</v>
      </c>
      <c r="F1777" s="212" t="str">
        <f>COMPOSICIÓN!F1777</f>
        <v>u</v>
      </c>
      <c r="G1777" s="213">
        <f>COMPOSICIÓN!G1777</f>
        <v>5</v>
      </c>
      <c r="H1777" s="214">
        <f>COMPOSICIÓN!H1777</f>
        <v>0</v>
      </c>
      <c r="I1777" s="215">
        <f>COMPOSICIÓN!I1777</f>
        <v>1291.29</v>
      </c>
      <c r="J1777" s="212" t="str">
        <f>IFERROR(VLOOKUP(A1777,PARTIDAS!$A$2:$C$269,3,FALSE()),"")</f>
        <v>INSTALACIONES SANITARIAS</v>
      </c>
      <c r="K1777" s="212" t="str">
        <f>IFERROR(INDEX(PPTO_GENERADOR!$B$4:$B$220,MATCH(A1777,PPTO_GENERADOR!$Q$4:$Q$220,0)),"")</f>
        <v>INSTALACIONES SANITARIAS</v>
      </c>
      <c r="L1777" s="216">
        <f>IF(PLAN_ETAPA!$C$4="(TODOS)",SUMIFS(PPTO_GENERADOR!$E$4:$E$220,PPTO_GENERADOR!$Q$4:$Q$220,A1777),SUMIFS(PPTO_GENERADOR!$E$4:$E$220,PPTO_GENERADOR!$Q$4:$Q$220,A1777,PPTO_GENERADOR!$B$4:$B$220,PLAN_ETAPA!$C$4))</f>
        <v>0</v>
      </c>
      <c r="M1777" s="216">
        <f>IFERROR(VLOOKUP(A1777,PARTIDAS!$A$2:$F$269,6,FALSE()),1)</f>
        <v>1</v>
      </c>
      <c r="N1777" s="216">
        <f>IFERROR(VLOOKUP(A1777,PARTIDAS!$A$2:$I$269,9,FALSE()),1)</f>
        <v>1</v>
      </c>
      <c r="O1777" s="217">
        <f t="shared" si="54"/>
        <v>0</v>
      </c>
      <c r="P1777" s="216">
        <f>IF(O1777=0,0,IF(B1777="MAT",G1777*(1+H1777)*L1777*PLAN_ETAPA!$C$5,IF(B1777="MO",IF(M1777=0,0,G1777*L1777*PLAN_ETAPA!$C$5*N1777/M1777),IF(B1777="EQ",IF(M1777=0,0,G1777*L1777*PLAN_ETAPA!$C$5/M1777),0))))</f>
        <v>0</v>
      </c>
      <c r="Q1777" s="218">
        <f t="shared" si="55"/>
        <v>0</v>
      </c>
    </row>
    <row r="1778" spans="1:17" x14ac:dyDescent="0.35">
      <c r="A1778" s="212" t="str">
        <f>COMPOSICIÓN!A1778</f>
        <v>PTO-1916</v>
      </c>
      <c r="B1778" s="212" t="str">
        <f>COMPOSICIÓN!B1778</f>
        <v>MAT</v>
      </c>
      <c r="C1778" s="212" t="str">
        <f>COMPOSICIÓN!C1778</f>
        <v>OTR</v>
      </c>
      <c r="D1778" s="212" t="str">
        <f>COMPOSICIÓN!D1778</f>
        <v>OTR-PTO216</v>
      </c>
      <c r="E1778" s="212" t="str">
        <f>COMPOSICIÓN!E1778</f>
        <v>Te de reduccion central de 32x20mm</v>
      </c>
      <c r="F1778" s="212" t="str">
        <f>COMPOSICIÓN!F1778</f>
        <v>u</v>
      </c>
      <c r="G1778" s="213">
        <f>COMPOSICIÓN!G1778</f>
        <v>3</v>
      </c>
      <c r="H1778" s="214">
        <f>COMPOSICIÓN!H1778</f>
        <v>0</v>
      </c>
      <c r="I1778" s="215">
        <f>COMPOSICIÓN!I1778</f>
        <v>4980.91</v>
      </c>
      <c r="J1778" s="212" t="str">
        <f>IFERROR(VLOOKUP(A1778,PARTIDAS!$A$2:$C$269,3,FALSE()),"")</f>
        <v>INSTALACIONES SANITARIAS</v>
      </c>
      <c r="K1778" s="212" t="str">
        <f>IFERROR(INDEX(PPTO_GENERADOR!$B$4:$B$220,MATCH(A1778,PPTO_GENERADOR!$Q$4:$Q$220,0)),"")</f>
        <v>INSTALACIONES SANITARIAS</v>
      </c>
      <c r="L1778" s="216">
        <f>IF(PLAN_ETAPA!$C$4="(TODOS)",SUMIFS(PPTO_GENERADOR!$E$4:$E$220,PPTO_GENERADOR!$Q$4:$Q$220,A1778),SUMIFS(PPTO_GENERADOR!$E$4:$E$220,PPTO_GENERADOR!$Q$4:$Q$220,A1778,PPTO_GENERADOR!$B$4:$B$220,PLAN_ETAPA!$C$4))</f>
        <v>0</v>
      </c>
      <c r="M1778" s="216">
        <f>IFERROR(VLOOKUP(A1778,PARTIDAS!$A$2:$F$269,6,FALSE()),1)</f>
        <v>1</v>
      </c>
      <c r="N1778" s="216">
        <f>IFERROR(VLOOKUP(A1778,PARTIDAS!$A$2:$I$269,9,FALSE()),1)</f>
        <v>1</v>
      </c>
      <c r="O1778" s="217">
        <f t="shared" si="54"/>
        <v>0</v>
      </c>
      <c r="P1778" s="216">
        <f>IF(O1778=0,0,IF(B1778="MAT",G1778*(1+H1778)*L1778*PLAN_ETAPA!$C$5,IF(B1778="MO",IF(M1778=0,0,G1778*L1778*PLAN_ETAPA!$C$5*N1778/M1778),IF(B1778="EQ",IF(M1778=0,0,G1778*L1778*PLAN_ETAPA!$C$5/M1778),0))))</f>
        <v>0</v>
      </c>
      <c r="Q1778" s="218">
        <f t="shared" si="55"/>
        <v>0</v>
      </c>
    </row>
    <row r="1779" spans="1:17" x14ac:dyDescent="0.35">
      <c r="A1779" s="212" t="str">
        <f>COMPOSICIÓN!A1779</f>
        <v>PTO-1916</v>
      </c>
      <c r="B1779" s="212" t="str">
        <f>COMPOSICIÓN!B1779</f>
        <v>MAT</v>
      </c>
      <c r="C1779" s="212" t="str">
        <f>COMPOSICIÓN!C1779</f>
        <v>OTR</v>
      </c>
      <c r="D1779" s="212" t="str">
        <f>COMPOSICIÓN!D1779</f>
        <v>OTR-PTO217</v>
      </c>
      <c r="E1779" s="212" t="str">
        <f>COMPOSICIÓN!E1779</f>
        <v>Te normal de 32mm</v>
      </c>
      <c r="F1779" s="212" t="str">
        <f>COMPOSICIÓN!F1779</f>
        <v>u</v>
      </c>
      <c r="G1779" s="213">
        <f>COMPOSICIÓN!G1779</f>
        <v>3</v>
      </c>
      <c r="H1779" s="214">
        <f>COMPOSICIÓN!H1779</f>
        <v>0</v>
      </c>
      <c r="I1779" s="215">
        <f>COMPOSICIÓN!I1779</f>
        <v>5575.48</v>
      </c>
      <c r="J1779" s="212" t="str">
        <f>IFERROR(VLOOKUP(A1779,PARTIDAS!$A$2:$C$269,3,FALSE()),"")</f>
        <v>INSTALACIONES SANITARIAS</v>
      </c>
      <c r="K1779" s="212" t="str">
        <f>IFERROR(INDEX(PPTO_GENERADOR!$B$4:$B$220,MATCH(A1779,PPTO_GENERADOR!$Q$4:$Q$220,0)),"")</f>
        <v>INSTALACIONES SANITARIAS</v>
      </c>
      <c r="L1779" s="216">
        <f>IF(PLAN_ETAPA!$C$4="(TODOS)",SUMIFS(PPTO_GENERADOR!$E$4:$E$220,PPTO_GENERADOR!$Q$4:$Q$220,A1779),SUMIFS(PPTO_GENERADOR!$E$4:$E$220,PPTO_GENERADOR!$Q$4:$Q$220,A1779,PPTO_GENERADOR!$B$4:$B$220,PLAN_ETAPA!$C$4))</f>
        <v>0</v>
      </c>
      <c r="M1779" s="216">
        <f>IFERROR(VLOOKUP(A1779,PARTIDAS!$A$2:$F$269,6,FALSE()),1)</f>
        <v>1</v>
      </c>
      <c r="N1779" s="216">
        <f>IFERROR(VLOOKUP(A1779,PARTIDAS!$A$2:$I$269,9,FALSE()),1)</f>
        <v>1</v>
      </c>
      <c r="O1779" s="217">
        <f t="shared" si="54"/>
        <v>0</v>
      </c>
      <c r="P1779" s="216">
        <f>IF(O1779=0,0,IF(B1779="MAT",G1779*(1+H1779)*L1779*PLAN_ETAPA!$C$5,IF(B1779="MO",IF(M1779=0,0,G1779*L1779*PLAN_ETAPA!$C$5*N1779/M1779),IF(B1779="EQ",IF(M1779=0,0,G1779*L1779*PLAN_ETAPA!$C$5/M1779),0))))</f>
        <v>0</v>
      </c>
      <c r="Q1779" s="218">
        <f t="shared" si="55"/>
        <v>0</v>
      </c>
    </row>
    <row r="1780" spans="1:17" x14ac:dyDescent="0.35">
      <c r="A1780" s="212" t="str">
        <f>COMPOSICIÓN!A1780</f>
        <v>PTO-1916</v>
      </c>
      <c r="B1780" s="212" t="str">
        <f>COMPOSICIÓN!B1780</f>
        <v>MAT</v>
      </c>
      <c r="C1780" s="212" t="str">
        <f>COMPOSICIÓN!C1780</f>
        <v>OTR</v>
      </c>
      <c r="D1780" s="212" t="str">
        <f>COMPOSICIÓN!D1780</f>
        <v>OTR-PTO218</v>
      </c>
      <c r="E1780" s="212" t="str">
        <f>COMPOSICIÓN!E1780</f>
        <v>Tubo acero polietileno de 20mm L=4m</v>
      </c>
      <c r="F1780" s="212" t="str">
        <f>COMPOSICIÓN!F1780</f>
        <v>u</v>
      </c>
      <c r="G1780" s="213">
        <f>COMPOSICIÓN!G1780</f>
        <v>3</v>
      </c>
      <c r="H1780" s="214">
        <f>COMPOSICIÓN!H1780</f>
        <v>0</v>
      </c>
      <c r="I1780" s="215">
        <f>COMPOSICIÓN!I1780</f>
        <v>18516.939999999999</v>
      </c>
      <c r="J1780" s="212" t="str">
        <f>IFERROR(VLOOKUP(A1780,PARTIDAS!$A$2:$C$269,3,FALSE()),"")</f>
        <v>INSTALACIONES SANITARIAS</v>
      </c>
      <c r="K1780" s="212" t="str">
        <f>IFERROR(INDEX(PPTO_GENERADOR!$B$4:$B$220,MATCH(A1780,PPTO_GENERADOR!$Q$4:$Q$220,0)),"")</f>
        <v>INSTALACIONES SANITARIAS</v>
      </c>
      <c r="L1780" s="216">
        <f>IF(PLAN_ETAPA!$C$4="(TODOS)",SUMIFS(PPTO_GENERADOR!$E$4:$E$220,PPTO_GENERADOR!$Q$4:$Q$220,A1780),SUMIFS(PPTO_GENERADOR!$E$4:$E$220,PPTO_GENERADOR!$Q$4:$Q$220,A1780,PPTO_GENERADOR!$B$4:$B$220,PLAN_ETAPA!$C$4))</f>
        <v>0</v>
      </c>
      <c r="M1780" s="216">
        <f>IFERROR(VLOOKUP(A1780,PARTIDAS!$A$2:$F$269,6,FALSE()),1)</f>
        <v>1</v>
      </c>
      <c r="N1780" s="216">
        <f>IFERROR(VLOOKUP(A1780,PARTIDAS!$A$2:$I$269,9,FALSE()),1)</f>
        <v>1</v>
      </c>
      <c r="O1780" s="217">
        <f t="shared" si="54"/>
        <v>0</v>
      </c>
      <c r="P1780" s="216">
        <f>IF(O1780=0,0,IF(B1780="MAT",G1780*(1+H1780)*L1780*PLAN_ETAPA!$C$5,IF(B1780="MO",IF(M1780=0,0,G1780*L1780*PLAN_ETAPA!$C$5*N1780/M1780),IF(B1780="EQ",IF(M1780=0,0,G1780*L1780*PLAN_ETAPA!$C$5/M1780),0))))</f>
        <v>0</v>
      </c>
      <c r="Q1780" s="218">
        <f t="shared" si="55"/>
        <v>0</v>
      </c>
    </row>
    <row r="1781" spans="1:17" x14ac:dyDescent="0.35">
      <c r="A1781" s="212" t="str">
        <f>COMPOSICIÓN!A1781</f>
        <v>PTO-1916</v>
      </c>
      <c r="B1781" s="212" t="str">
        <f>COMPOSICIÓN!B1781</f>
        <v>MAT</v>
      </c>
      <c r="C1781" s="212" t="str">
        <f>COMPOSICIÓN!C1781</f>
        <v>OTR</v>
      </c>
      <c r="D1781" s="212" t="str">
        <f>COMPOSICIÓN!D1781</f>
        <v>OTR-PTO219</v>
      </c>
      <c r="E1781" s="212" t="str">
        <f>COMPOSICIÓN!E1781</f>
        <v>Tubo acero polietileno de 32mm L=4m</v>
      </c>
      <c r="F1781" s="212" t="str">
        <f>COMPOSICIÓN!F1781</f>
        <v>u</v>
      </c>
      <c r="G1781" s="213">
        <f>COMPOSICIÓN!G1781</f>
        <v>71</v>
      </c>
      <c r="H1781" s="214">
        <f>COMPOSICIÓN!H1781</f>
        <v>0</v>
      </c>
      <c r="I1781" s="215">
        <f>COMPOSICIÓN!I1781</f>
        <v>36584.29</v>
      </c>
      <c r="J1781" s="212" t="str">
        <f>IFERROR(VLOOKUP(A1781,PARTIDAS!$A$2:$C$269,3,FALSE()),"")</f>
        <v>INSTALACIONES SANITARIAS</v>
      </c>
      <c r="K1781" s="212" t="str">
        <f>IFERROR(INDEX(PPTO_GENERADOR!$B$4:$B$220,MATCH(A1781,PPTO_GENERADOR!$Q$4:$Q$220,0)),"")</f>
        <v>INSTALACIONES SANITARIAS</v>
      </c>
      <c r="L1781" s="216">
        <f>IF(PLAN_ETAPA!$C$4="(TODOS)",SUMIFS(PPTO_GENERADOR!$E$4:$E$220,PPTO_GENERADOR!$Q$4:$Q$220,A1781),SUMIFS(PPTO_GENERADOR!$E$4:$E$220,PPTO_GENERADOR!$Q$4:$Q$220,A1781,PPTO_GENERADOR!$B$4:$B$220,PLAN_ETAPA!$C$4))</f>
        <v>0</v>
      </c>
      <c r="M1781" s="216">
        <f>IFERROR(VLOOKUP(A1781,PARTIDAS!$A$2:$F$269,6,FALSE()),1)</f>
        <v>1</v>
      </c>
      <c r="N1781" s="216">
        <f>IFERROR(VLOOKUP(A1781,PARTIDAS!$A$2:$I$269,9,FALSE()),1)</f>
        <v>1</v>
      </c>
      <c r="O1781" s="217">
        <f t="shared" si="54"/>
        <v>0</v>
      </c>
      <c r="P1781" s="216">
        <f>IF(O1781=0,0,IF(B1781="MAT",G1781*(1+H1781)*L1781*PLAN_ETAPA!$C$5,IF(B1781="MO",IF(M1781=0,0,G1781*L1781*PLAN_ETAPA!$C$5*N1781/M1781),IF(B1781="EQ",IF(M1781=0,0,G1781*L1781*PLAN_ETAPA!$C$5/M1781),0))))</f>
        <v>0</v>
      </c>
      <c r="Q1781" s="218">
        <f t="shared" si="55"/>
        <v>0</v>
      </c>
    </row>
    <row r="1782" spans="1:17" x14ac:dyDescent="0.35">
      <c r="A1782" s="212" t="str">
        <f>COMPOSICIÓN!A1782</f>
        <v>PTO-1916</v>
      </c>
      <c r="B1782" s="212" t="str">
        <f>COMPOSICIÓN!B1782</f>
        <v>MAT</v>
      </c>
      <c r="C1782" s="212" t="str">
        <f>COMPOSICIÓN!C1782</f>
        <v>OTR</v>
      </c>
      <c r="D1782" s="212" t="str">
        <f>COMPOSICIÓN!D1782</f>
        <v>OTR-PTO220</v>
      </c>
      <c r="E1782" s="212" t="str">
        <f>COMPOSICIÓN!E1782</f>
        <v>Codo a 90° de 20mm c/RH 1/2"</v>
      </c>
      <c r="F1782" s="212" t="str">
        <f>COMPOSICIÓN!F1782</f>
        <v>u</v>
      </c>
      <c r="G1782" s="213">
        <f>COMPOSICIÓN!G1782</f>
        <v>18</v>
      </c>
      <c r="H1782" s="214">
        <f>COMPOSICIÓN!H1782</f>
        <v>0</v>
      </c>
      <c r="I1782" s="215">
        <f>COMPOSICIÓN!I1782</f>
        <v>4181</v>
      </c>
      <c r="J1782" s="212" t="str">
        <f>IFERROR(VLOOKUP(A1782,PARTIDAS!$A$2:$C$269,3,FALSE()),"")</f>
        <v>INSTALACIONES SANITARIAS</v>
      </c>
      <c r="K1782" s="212" t="str">
        <f>IFERROR(INDEX(PPTO_GENERADOR!$B$4:$B$220,MATCH(A1782,PPTO_GENERADOR!$Q$4:$Q$220,0)),"")</f>
        <v>INSTALACIONES SANITARIAS</v>
      </c>
      <c r="L1782" s="216">
        <f>IF(PLAN_ETAPA!$C$4="(TODOS)",SUMIFS(PPTO_GENERADOR!$E$4:$E$220,PPTO_GENERADOR!$Q$4:$Q$220,A1782),SUMIFS(PPTO_GENERADOR!$E$4:$E$220,PPTO_GENERADOR!$Q$4:$Q$220,A1782,PPTO_GENERADOR!$B$4:$B$220,PLAN_ETAPA!$C$4))</f>
        <v>0</v>
      </c>
      <c r="M1782" s="216">
        <f>IFERROR(VLOOKUP(A1782,PARTIDAS!$A$2:$F$269,6,FALSE()),1)</f>
        <v>1</v>
      </c>
      <c r="N1782" s="216">
        <f>IFERROR(VLOOKUP(A1782,PARTIDAS!$A$2:$I$269,9,FALSE()),1)</f>
        <v>1</v>
      </c>
      <c r="O1782" s="217">
        <f t="shared" si="54"/>
        <v>0</v>
      </c>
      <c r="P1782" s="216">
        <f>IF(O1782=0,0,IF(B1782="MAT",G1782*(1+H1782)*L1782*PLAN_ETAPA!$C$5,IF(B1782="MO",IF(M1782=0,0,G1782*L1782*PLAN_ETAPA!$C$5*N1782/M1782),IF(B1782="EQ",IF(M1782=0,0,G1782*L1782*PLAN_ETAPA!$C$5/M1782),0))))</f>
        <v>0</v>
      </c>
      <c r="Q1782" s="218">
        <f t="shared" si="55"/>
        <v>0</v>
      </c>
    </row>
    <row r="1783" spans="1:17" x14ac:dyDescent="0.35">
      <c r="A1783" s="212" t="str">
        <f>COMPOSICIÓN!A1783</f>
        <v>PTO-1916</v>
      </c>
      <c r="B1783" s="212" t="str">
        <f>COMPOSICIÓN!B1783</f>
        <v>MAT</v>
      </c>
      <c r="C1783" s="212" t="str">
        <f>COMPOSICIÓN!C1783</f>
        <v>OTR</v>
      </c>
      <c r="D1783" s="212" t="str">
        <f>COMPOSICIÓN!D1783</f>
        <v>OTR-PTO221</v>
      </c>
      <c r="E1783" s="212" t="str">
        <f>COMPOSICIÓN!E1783</f>
        <v>Codo a 90° de 32mm c/RH 3/4"</v>
      </c>
      <c r="F1783" s="212" t="str">
        <f>COMPOSICIÓN!F1783</f>
        <v>u</v>
      </c>
      <c r="G1783" s="213">
        <f>COMPOSICIÓN!G1783</f>
        <v>8</v>
      </c>
      <c r="H1783" s="214">
        <f>COMPOSICIÓN!H1783</f>
        <v>0</v>
      </c>
      <c r="I1783" s="215">
        <f>COMPOSICIÓN!I1783</f>
        <v>8559</v>
      </c>
      <c r="J1783" s="212" t="str">
        <f>IFERROR(VLOOKUP(A1783,PARTIDAS!$A$2:$C$269,3,FALSE()),"")</f>
        <v>INSTALACIONES SANITARIAS</v>
      </c>
      <c r="K1783" s="212" t="str">
        <f>IFERROR(INDEX(PPTO_GENERADOR!$B$4:$B$220,MATCH(A1783,PPTO_GENERADOR!$Q$4:$Q$220,0)),"")</f>
        <v>INSTALACIONES SANITARIAS</v>
      </c>
      <c r="L1783" s="216">
        <f>IF(PLAN_ETAPA!$C$4="(TODOS)",SUMIFS(PPTO_GENERADOR!$E$4:$E$220,PPTO_GENERADOR!$Q$4:$Q$220,A1783),SUMIFS(PPTO_GENERADOR!$E$4:$E$220,PPTO_GENERADOR!$Q$4:$Q$220,A1783,PPTO_GENERADOR!$B$4:$B$220,PLAN_ETAPA!$C$4))</f>
        <v>0</v>
      </c>
      <c r="M1783" s="216">
        <f>IFERROR(VLOOKUP(A1783,PARTIDAS!$A$2:$F$269,6,FALSE()),1)</f>
        <v>1</v>
      </c>
      <c r="N1783" s="216">
        <f>IFERROR(VLOOKUP(A1783,PARTIDAS!$A$2:$I$269,9,FALSE()),1)</f>
        <v>1</v>
      </c>
      <c r="O1783" s="217">
        <f t="shared" si="54"/>
        <v>0</v>
      </c>
      <c r="P1783" s="216">
        <f>IF(O1783=0,0,IF(B1783="MAT",G1783*(1+H1783)*L1783*PLAN_ETAPA!$C$5,IF(B1783="MO",IF(M1783=0,0,G1783*L1783*PLAN_ETAPA!$C$5*N1783/M1783),IF(B1783="EQ",IF(M1783=0,0,G1783*L1783*PLAN_ETAPA!$C$5/M1783),0))))</f>
        <v>0</v>
      </c>
      <c r="Q1783" s="218">
        <f t="shared" si="55"/>
        <v>0</v>
      </c>
    </row>
    <row r="1784" spans="1:17" x14ac:dyDescent="0.35">
      <c r="A1784" s="212" t="str">
        <f>COMPOSICIÓN!A1784</f>
        <v>PTO-1916</v>
      </c>
      <c r="B1784" s="212" t="str">
        <f>COMPOSICIÓN!B1784</f>
        <v>MAT</v>
      </c>
      <c r="C1784" s="212" t="str">
        <f>COMPOSICIÓN!C1784</f>
        <v>OTR</v>
      </c>
      <c r="D1784" s="212" t="str">
        <f>COMPOSICIÓN!D1784</f>
        <v>OTR-PTO222</v>
      </c>
      <c r="E1784" s="212" t="str">
        <f>COMPOSICIÓN!E1784</f>
        <v>CAÑO EPOXI 1 1/4 x 6,40</v>
      </c>
      <c r="F1784" s="212" t="str">
        <f>COMPOSICIÓN!F1784</f>
        <v>tira</v>
      </c>
      <c r="G1784" s="213">
        <f>COMPOSICIÓN!G1784</f>
        <v>1</v>
      </c>
      <c r="H1784" s="214">
        <f>COMPOSICIÓN!H1784</f>
        <v>0</v>
      </c>
      <c r="I1784" s="215">
        <f>COMPOSICIÓN!I1784</f>
        <v>79820.73</v>
      </c>
      <c r="J1784" s="212" t="str">
        <f>IFERROR(VLOOKUP(A1784,PARTIDAS!$A$2:$C$269,3,FALSE()),"")</f>
        <v>INSTALACIONES SANITARIAS</v>
      </c>
      <c r="K1784" s="212" t="str">
        <f>IFERROR(INDEX(PPTO_GENERADOR!$B$4:$B$220,MATCH(A1784,PPTO_GENERADOR!$Q$4:$Q$220,0)),"")</f>
        <v>INSTALACIONES SANITARIAS</v>
      </c>
      <c r="L1784" s="216">
        <f>IF(PLAN_ETAPA!$C$4="(TODOS)",SUMIFS(PPTO_GENERADOR!$E$4:$E$220,PPTO_GENERADOR!$Q$4:$Q$220,A1784),SUMIFS(PPTO_GENERADOR!$E$4:$E$220,PPTO_GENERADOR!$Q$4:$Q$220,A1784,PPTO_GENERADOR!$B$4:$B$220,PLAN_ETAPA!$C$4))</f>
        <v>0</v>
      </c>
      <c r="M1784" s="216">
        <f>IFERROR(VLOOKUP(A1784,PARTIDAS!$A$2:$F$269,6,FALSE()),1)</f>
        <v>1</v>
      </c>
      <c r="N1784" s="216">
        <f>IFERROR(VLOOKUP(A1784,PARTIDAS!$A$2:$I$269,9,FALSE()),1)</f>
        <v>1</v>
      </c>
      <c r="O1784" s="217">
        <f t="shared" si="54"/>
        <v>0</v>
      </c>
      <c r="P1784" s="216">
        <f>IF(O1784=0,0,IF(B1784="MAT",G1784*(1+H1784)*L1784*PLAN_ETAPA!$C$5,IF(B1784="MO",IF(M1784=0,0,G1784*L1784*PLAN_ETAPA!$C$5*N1784/M1784),IF(B1784="EQ",IF(M1784=0,0,G1784*L1784*PLAN_ETAPA!$C$5/M1784),0))))</f>
        <v>0</v>
      </c>
      <c r="Q1784" s="218">
        <f t="shared" si="55"/>
        <v>0</v>
      </c>
    </row>
    <row r="1785" spans="1:17" x14ac:dyDescent="0.35">
      <c r="A1785" s="212" t="str">
        <f>COMPOSICIÓN!A1785</f>
        <v>PTO-1916</v>
      </c>
      <c r="B1785" s="212" t="str">
        <f>COMPOSICIÓN!B1785</f>
        <v>MAT</v>
      </c>
      <c r="C1785" s="212" t="str">
        <f>COMPOSICIÓN!C1785</f>
        <v>OTR</v>
      </c>
      <c r="D1785" s="212" t="str">
        <f>COMPOSICIÓN!D1785</f>
        <v>OTR-PTO223</v>
      </c>
      <c r="E1785" s="212" t="str">
        <f>COMPOSICIÓN!E1785</f>
        <v>EPOXI TEE 1 1/4</v>
      </c>
      <c r="F1785" s="212" t="str">
        <f>COMPOSICIÓN!F1785</f>
        <v>u</v>
      </c>
      <c r="G1785" s="213">
        <f>COMPOSICIÓN!G1785</f>
        <v>4</v>
      </c>
      <c r="H1785" s="214">
        <f>COMPOSICIÓN!H1785</f>
        <v>0</v>
      </c>
      <c r="I1785" s="215">
        <f>COMPOSICIÓN!I1785</f>
        <v>5026.22</v>
      </c>
      <c r="J1785" s="212" t="str">
        <f>IFERROR(VLOOKUP(A1785,PARTIDAS!$A$2:$C$269,3,FALSE()),"")</f>
        <v>INSTALACIONES SANITARIAS</v>
      </c>
      <c r="K1785" s="212" t="str">
        <f>IFERROR(INDEX(PPTO_GENERADOR!$B$4:$B$220,MATCH(A1785,PPTO_GENERADOR!$Q$4:$Q$220,0)),"")</f>
        <v>INSTALACIONES SANITARIAS</v>
      </c>
      <c r="L1785" s="216">
        <f>IF(PLAN_ETAPA!$C$4="(TODOS)",SUMIFS(PPTO_GENERADOR!$E$4:$E$220,PPTO_GENERADOR!$Q$4:$Q$220,A1785),SUMIFS(PPTO_GENERADOR!$E$4:$E$220,PPTO_GENERADOR!$Q$4:$Q$220,A1785,PPTO_GENERADOR!$B$4:$B$220,PLAN_ETAPA!$C$4))</f>
        <v>0</v>
      </c>
      <c r="M1785" s="216">
        <f>IFERROR(VLOOKUP(A1785,PARTIDAS!$A$2:$F$269,6,FALSE()),1)</f>
        <v>1</v>
      </c>
      <c r="N1785" s="216">
        <f>IFERROR(VLOOKUP(A1785,PARTIDAS!$A$2:$I$269,9,FALSE()),1)</f>
        <v>1</v>
      </c>
      <c r="O1785" s="217">
        <f t="shared" si="54"/>
        <v>0</v>
      </c>
      <c r="P1785" s="216">
        <f>IF(O1785=0,0,IF(B1785="MAT",G1785*(1+H1785)*L1785*PLAN_ETAPA!$C$5,IF(B1785="MO",IF(M1785=0,0,G1785*L1785*PLAN_ETAPA!$C$5*N1785/M1785),IF(B1785="EQ",IF(M1785=0,0,G1785*L1785*PLAN_ETAPA!$C$5/M1785),0))))</f>
        <v>0</v>
      </c>
      <c r="Q1785" s="218">
        <f t="shared" si="55"/>
        <v>0</v>
      </c>
    </row>
    <row r="1786" spans="1:17" x14ac:dyDescent="0.35">
      <c r="A1786" s="212" t="str">
        <f>COMPOSICIÓN!A1786</f>
        <v>PTO-1916</v>
      </c>
      <c r="B1786" s="212" t="str">
        <f>COMPOSICIÓN!B1786</f>
        <v>MAT</v>
      </c>
      <c r="C1786" s="212" t="str">
        <f>COMPOSICIÓN!C1786</f>
        <v>OTR</v>
      </c>
      <c r="D1786" s="212" t="str">
        <f>COMPOSICIÓN!D1786</f>
        <v>OTR-PTO224</v>
      </c>
      <c r="E1786" s="212" t="str">
        <f>COMPOSICIÓN!E1786</f>
        <v>EPOXI CODO 90 HH 1 1/4</v>
      </c>
      <c r="F1786" s="212" t="str">
        <f>COMPOSICIÓN!F1786</f>
        <v>u</v>
      </c>
      <c r="G1786" s="213">
        <f>COMPOSICIÓN!G1786</f>
        <v>16</v>
      </c>
      <c r="H1786" s="214">
        <f>COMPOSICIÓN!H1786</f>
        <v>0</v>
      </c>
      <c r="I1786" s="215">
        <f>COMPOSICIÓN!I1786</f>
        <v>3592.22</v>
      </c>
      <c r="J1786" s="212" t="str">
        <f>IFERROR(VLOOKUP(A1786,PARTIDAS!$A$2:$C$269,3,FALSE()),"")</f>
        <v>INSTALACIONES SANITARIAS</v>
      </c>
      <c r="K1786" s="212" t="str">
        <f>IFERROR(INDEX(PPTO_GENERADOR!$B$4:$B$220,MATCH(A1786,PPTO_GENERADOR!$Q$4:$Q$220,0)),"")</f>
        <v>INSTALACIONES SANITARIAS</v>
      </c>
      <c r="L1786" s="216">
        <f>IF(PLAN_ETAPA!$C$4="(TODOS)",SUMIFS(PPTO_GENERADOR!$E$4:$E$220,PPTO_GENERADOR!$Q$4:$Q$220,A1786),SUMIFS(PPTO_GENERADOR!$E$4:$E$220,PPTO_GENERADOR!$Q$4:$Q$220,A1786,PPTO_GENERADOR!$B$4:$B$220,PLAN_ETAPA!$C$4))</f>
        <v>0</v>
      </c>
      <c r="M1786" s="216">
        <f>IFERROR(VLOOKUP(A1786,PARTIDAS!$A$2:$F$269,6,FALSE()),1)</f>
        <v>1</v>
      </c>
      <c r="N1786" s="216">
        <f>IFERROR(VLOOKUP(A1786,PARTIDAS!$A$2:$I$269,9,FALSE()),1)</f>
        <v>1</v>
      </c>
      <c r="O1786" s="217">
        <f t="shared" si="54"/>
        <v>0</v>
      </c>
      <c r="P1786" s="216">
        <f>IF(O1786=0,0,IF(B1786="MAT",G1786*(1+H1786)*L1786*PLAN_ETAPA!$C$5,IF(B1786="MO",IF(M1786=0,0,G1786*L1786*PLAN_ETAPA!$C$5*N1786/M1786),IF(B1786="EQ",IF(M1786=0,0,G1786*L1786*PLAN_ETAPA!$C$5/M1786),0))))</f>
        <v>0</v>
      </c>
      <c r="Q1786" s="218">
        <f t="shared" si="55"/>
        <v>0</v>
      </c>
    </row>
    <row r="1787" spans="1:17" x14ac:dyDescent="0.35">
      <c r="A1787" s="212" t="str">
        <f>COMPOSICIÓN!A1787</f>
        <v>PTO-1916</v>
      </c>
      <c r="B1787" s="212" t="str">
        <f>COMPOSICIÓN!B1787</f>
        <v>MAT</v>
      </c>
      <c r="C1787" s="212" t="str">
        <f>COMPOSICIÓN!C1787</f>
        <v>OTR</v>
      </c>
      <c r="D1787" s="212" t="str">
        <f>COMPOSICIÓN!D1787</f>
        <v>OTR-PTO225</v>
      </c>
      <c r="E1787" s="212" t="str">
        <f>COMPOSICIÓN!E1787</f>
        <v>BRONCE BUJE RED 1 1/4 x 1</v>
      </c>
      <c r="F1787" s="212" t="str">
        <f>COMPOSICIÓN!F1787</f>
        <v>u</v>
      </c>
      <c r="G1787" s="213">
        <f>COMPOSICIÓN!G1787</f>
        <v>4</v>
      </c>
      <c r="H1787" s="214">
        <f>COMPOSICIÓN!H1787</f>
        <v>0</v>
      </c>
      <c r="I1787" s="215">
        <f>COMPOSICIÓN!I1787</f>
        <v>4009.17</v>
      </c>
      <c r="J1787" s="212" t="str">
        <f>IFERROR(VLOOKUP(A1787,PARTIDAS!$A$2:$C$269,3,FALSE()),"")</f>
        <v>INSTALACIONES SANITARIAS</v>
      </c>
      <c r="K1787" s="212" t="str">
        <f>IFERROR(INDEX(PPTO_GENERADOR!$B$4:$B$220,MATCH(A1787,PPTO_GENERADOR!$Q$4:$Q$220,0)),"")</f>
        <v>INSTALACIONES SANITARIAS</v>
      </c>
      <c r="L1787" s="216">
        <f>IF(PLAN_ETAPA!$C$4="(TODOS)",SUMIFS(PPTO_GENERADOR!$E$4:$E$220,PPTO_GENERADOR!$Q$4:$Q$220,A1787),SUMIFS(PPTO_GENERADOR!$E$4:$E$220,PPTO_GENERADOR!$Q$4:$Q$220,A1787,PPTO_GENERADOR!$B$4:$B$220,PLAN_ETAPA!$C$4))</f>
        <v>0</v>
      </c>
      <c r="M1787" s="216">
        <f>IFERROR(VLOOKUP(A1787,PARTIDAS!$A$2:$F$269,6,FALSE()),1)</f>
        <v>1</v>
      </c>
      <c r="N1787" s="216">
        <f>IFERROR(VLOOKUP(A1787,PARTIDAS!$A$2:$I$269,9,FALSE()),1)</f>
        <v>1</v>
      </c>
      <c r="O1787" s="217">
        <f t="shared" si="54"/>
        <v>0</v>
      </c>
      <c r="P1787" s="216">
        <f>IF(O1787=0,0,IF(B1787="MAT",G1787*(1+H1787)*L1787*PLAN_ETAPA!$C$5,IF(B1787="MO",IF(M1787=0,0,G1787*L1787*PLAN_ETAPA!$C$5*N1787/M1787),IF(B1787="EQ",IF(M1787=0,0,G1787*L1787*PLAN_ETAPA!$C$5/M1787),0))))</f>
        <v>0</v>
      </c>
      <c r="Q1787" s="218">
        <f t="shared" si="55"/>
        <v>0</v>
      </c>
    </row>
    <row r="1788" spans="1:17" x14ac:dyDescent="0.35">
      <c r="A1788" s="212" t="str">
        <f>COMPOSICIÓN!A1788</f>
        <v>PTO-1916</v>
      </c>
      <c r="B1788" s="212" t="str">
        <f>COMPOSICIÓN!B1788</f>
        <v>MAT</v>
      </c>
      <c r="C1788" s="212" t="str">
        <f>COMPOSICIÓN!C1788</f>
        <v>OTR</v>
      </c>
      <c r="D1788" s="212" t="str">
        <f>COMPOSICIÓN!D1788</f>
        <v>OTR-PTO226</v>
      </c>
      <c r="E1788" s="212" t="str">
        <f>COMPOSICIÓN!E1788</f>
        <v>SUYAI ESFERICA P/GAS FORJADA 1 1/4</v>
      </c>
      <c r="F1788" s="212" t="str">
        <f>COMPOSICIÓN!F1788</f>
        <v>u</v>
      </c>
      <c r="G1788" s="213">
        <f>COMPOSICIÓN!G1788</f>
        <v>5</v>
      </c>
      <c r="H1788" s="214">
        <f>COMPOSICIÓN!H1788</f>
        <v>0</v>
      </c>
      <c r="I1788" s="215">
        <f>COMPOSICIÓN!I1788</f>
        <v>88241.07</v>
      </c>
      <c r="J1788" s="212" t="str">
        <f>IFERROR(VLOOKUP(A1788,PARTIDAS!$A$2:$C$269,3,FALSE()),"")</f>
        <v>INSTALACIONES SANITARIAS</v>
      </c>
      <c r="K1788" s="212" t="str">
        <f>IFERROR(INDEX(PPTO_GENERADOR!$B$4:$B$220,MATCH(A1788,PPTO_GENERADOR!$Q$4:$Q$220,0)),"")</f>
        <v>INSTALACIONES SANITARIAS</v>
      </c>
      <c r="L1788" s="216">
        <f>IF(PLAN_ETAPA!$C$4="(TODOS)",SUMIFS(PPTO_GENERADOR!$E$4:$E$220,PPTO_GENERADOR!$Q$4:$Q$220,A1788),SUMIFS(PPTO_GENERADOR!$E$4:$E$220,PPTO_GENERADOR!$Q$4:$Q$220,A1788,PPTO_GENERADOR!$B$4:$B$220,PLAN_ETAPA!$C$4))</f>
        <v>0</v>
      </c>
      <c r="M1788" s="216">
        <f>IFERROR(VLOOKUP(A1788,PARTIDAS!$A$2:$F$269,6,FALSE()),1)</f>
        <v>1</v>
      </c>
      <c r="N1788" s="216">
        <f>IFERROR(VLOOKUP(A1788,PARTIDAS!$A$2:$I$269,9,FALSE()),1)</f>
        <v>1</v>
      </c>
      <c r="O1788" s="217">
        <f t="shared" si="54"/>
        <v>0</v>
      </c>
      <c r="P1788" s="216">
        <f>IF(O1788=0,0,IF(B1788="MAT",G1788*(1+H1788)*L1788*PLAN_ETAPA!$C$5,IF(B1788="MO",IF(M1788=0,0,G1788*L1788*PLAN_ETAPA!$C$5*N1788/M1788),IF(B1788="EQ",IF(M1788=0,0,G1788*L1788*PLAN_ETAPA!$C$5/M1788),0))))</f>
        <v>0</v>
      </c>
      <c r="Q1788" s="218">
        <f t="shared" si="55"/>
        <v>0</v>
      </c>
    </row>
    <row r="1789" spans="1:17" x14ac:dyDescent="0.35">
      <c r="A1789" s="212" t="str">
        <f>COMPOSICIÓN!A1789</f>
        <v>PTO-1916</v>
      </c>
      <c r="B1789" s="212" t="str">
        <f>COMPOSICIÓN!B1789</f>
        <v>MAT</v>
      </c>
      <c r="C1789" s="212" t="str">
        <f>COMPOSICIÓN!C1789</f>
        <v>OTR</v>
      </c>
      <c r="D1789" s="212" t="str">
        <f>COMPOSICIÓN!D1789</f>
        <v>OTR-PTO227</v>
      </c>
      <c r="E1789" s="212" t="str">
        <f>COMPOSICIÓN!E1789</f>
        <v>FUSIOGAS TRANSICION HEMBRA 32 x 1</v>
      </c>
      <c r="F1789" s="212" t="str">
        <f>COMPOSICIÓN!F1789</f>
        <v>u</v>
      </c>
      <c r="G1789" s="213">
        <f>COMPOSICIÓN!G1789</f>
        <v>8</v>
      </c>
      <c r="H1789" s="214">
        <f>COMPOSICIÓN!H1789</f>
        <v>0</v>
      </c>
      <c r="I1789" s="215">
        <f>COMPOSICIÓN!I1789</f>
        <v>4114.5200000000004</v>
      </c>
      <c r="J1789" s="212" t="str">
        <f>IFERROR(VLOOKUP(A1789,PARTIDAS!$A$2:$C$269,3,FALSE()),"")</f>
        <v>INSTALACIONES SANITARIAS</v>
      </c>
      <c r="K1789" s="212" t="str">
        <f>IFERROR(INDEX(PPTO_GENERADOR!$B$4:$B$220,MATCH(A1789,PPTO_GENERADOR!$Q$4:$Q$220,0)),"")</f>
        <v>INSTALACIONES SANITARIAS</v>
      </c>
      <c r="L1789" s="216">
        <f>IF(PLAN_ETAPA!$C$4="(TODOS)",SUMIFS(PPTO_GENERADOR!$E$4:$E$220,PPTO_GENERADOR!$Q$4:$Q$220,A1789),SUMIFS(PPTO_GENERADOR!$E$4:$E$220,PPTO_GENERADOR!$Q$4:$Q$220,A1789,PPTO_GENERADOR!$B$4:$B$220,PLAN_ETAPA!$C$4))</f>
        <v>0</v>
      </c>
      <c r="M1789" s="216">
        <f>IFERROR(VLOOKUP(A1789,PARTIDAS!$A$2:$F$269,6,FALSE()),1)</f>
        <v>1</v>
      </c>
      <c r="N1789" s="216">
        <f>IFERROR(VLOOKUP(A1789,PARTIDAS!$A$2:$I$269,9,FALSE()),1)</f>
        <v>1</v>
      </c>
      <c r="O1789" s="217">
        <f t="shared" si="54"/>
        <v>0</v>
      </c>
      <c r="P1789" s="216">
        <f>IF(O1789=0,0,IF(B1789="MAT",G1789*(1+H1789)*L1789*PLAN_ETAPA!$C$5,IF(B1789="MO",IF(M1789=0,0,G1789*L1789*PLAN_ETAPA!$C$5*N1789/M1789),IF(B1789="EQ",IF(M1789=0,0,G1789*L1789*PLAN_ETAPA!$C$5/M1789),0))))</f>
        <v>0</v>
      </c>
      <c r="Q1789" s="218">
        <f t="shared" si="55"/>
        <v>0</v>
      </c>
    </row>
    <row r="1790" spans="1:17" x14ac:dyDescent="0.35">
      <c r="A1790" s="212" t="str">
        <f>COMPOSICIÓN!A1790</f>
        <v>PTO-1916</v>
      </c>
      <c r="B1790" s="212" t="str">
        <f>COMPOSICIÓN!B1790</f>
        <v>MAT</v>
      </c>
      <c r="C1790" s="212" t="str">
        <f>COMPOSICIÓN!C1790</f>
        <v>OTR</v>
      </c>
      <c r="D1790" s="212" t="str">
        <f>COMPOSICIÓN!D1790</f>
        <v>OTR-PTO228</v>
      </c>
      <c r="E1790" s="212" t="str">
        <f>COMPOSICIÓN!E1790</f>
        <v>REGULADOR GAS GS-25 N/M3H</v>
      </c>
      <c r="F1790" s="212" t="str">
        <f>COMPOSICIÓN!F1790</f>
        <v>u</v>
      </c>
      <c r="G1790" s="213">
        <f>COMPOSICIÓN!G1790</f>
        <v>2</v>
      </c>
      <c r="H1790" s="214">
        <f>COMPOSICIÓN!H1790</f>
        <v>0</v>
      </c>
      <c r="I1790" s="215">
        <f>COMPOSICIÓN!I1790</f>
        <v>130062.5</v>
      </c>
      <c r="J1790" s="212" t="str">
        <f>IFERROR(VLOOKUP(A1790,PARTIDAS!$A$2:$C$269,3,FALSE()),"")</f>
        <v>INSTALACIONES SANITARIAS</v>
      </c>
      <c r="K1790" s="212" t="str">
        <f>IFERROR(INDEX(PPTO_GENERADOR!$B$4:$B$220,MATCH(A1790,PPTO_GENERADOR!$Q$4:$Q$220,0)),"")</f>
        <v>INSTALACIONES SANITARIAS</v>
      </c>
      <c r="L1790" s="216">
        <f>IF(PLAN_ETAPA!$C$4="(TODOS)",SUMIFS(PPTO_GENERADOR!$E$4:$E$220,PPTO_GENERADOR!$Q$4:$Q$220,A1790),SUMIFS(PPTO_GENERADOR!$E$4:$E$220,PPTO_GENERADOR!$Q$4:$Q$220,A1790,PPTO_GENERADOR!$B$4:$B$220,PLAN_ETAPA!$C$4))</f>
        <v>0</v>
      </c>
      <c r="M1790" s="216">
        <f>IFERROR(VLOOKUP(A1790,PARTIDAS!$A$2:$F$269,6,FALSE()),1)</f>
        <v>1</v>
      </c>
      <c r="N1790" s="216">
        <f>IFERROR(VLOOKUP(A1790,PARTIDAS!$A$2:$I$269,9,FALSE()),1)</f>
        <v>1</v>
      </c>
      <c r="O1790" s="217">
        <f t="shared" si="54"/>
        <v>0</v>
      </c>
      <c r="P1790" s="216">
        <f>IF(O1790=0,0,IF(B1790="MAT",G1790*(1+H1790)*L1790*PLAN_ETAPA!$C$5,IF(B1790="MO",IF(M1790=0,0,G1790*L1790*PLAN_ETAPA!$C$5*N1790/M1790),IF(B1790="EQ",IF(M1790=0,0,G1790*L1790*PLAN_ETAPA!$C$5/M1790),0))))</f>
        <v>0</v>
      </c>
      <c r="Q1790" s="218">
        <f t="shared" si="55"/>
        <v>0</v>
      </c>
    </row>
    <row r="1791" spans="1:17" x14ac:dyDescent="0.35">
      <c r="A1791" s="212" t="str">
        <f>COMPOSICIÓN!A1791</f>
        <v>PTO-1916</v>
      </c>
      <c r="B1791" s="212" t="str">
        <f>COMPOSICIÓN!B1791</f>
        <v>MAT</v>
      </c>
      <c r="C1791" s="212" t="str">
        <f>COMPOSICIÓN!C1791</f>
        <v>OTR</v>
      </c>
      <c r="D1791" s="212" t="str">
        <f>COMPOSICIÓN!D1791</f>
        <v>MAT-CONS</v>
      </c>
      <c r="E1791" s="212" t="str">
        <f>COMPOSICIÓN!E1791</f>
        <v>Consumibles</v>
      </c>
      <c r="F1791" s="212" t="str">
        <f>COMPOSICIÓN!F1791</f>
        <v>gl</v>
      </c>
      <c r="G1791" s="213">
        <f>COMPOSICIÓN!G1791</f>
        <v>473976.86700000003</v>
      </c>
      <c r="H1791" s="214">
        <f>COMPOSICIÓN!H1791</f>
        <v>0</v>
      </c>
      <c r="I1791" s="215">
        <f>COMPOSICIÓN!I1791</f>
        <v>1</v>
      </c>
      <c r="J1791" s="212" t="str">
        <f>IFERROR(VLOOKUP(A1791,PARTIDAS!$A$2:$C$269,3,FALSE()),"")</f>
        <v>INSTALACIONES SANITARIAS</v>
      </c>
      <c r="K1791" s="212" t="str">
        <f>IFERROR(INDEX(PPTO_GENERADOR!$B$4:$B$220,MATCH(A1791,PPTO_GENERADOR!$Q$4:$Q$220,0)),"")</f>
        <v>INSTALACIONES SANITARIAS</v>
      </c>
      <c r="L1791" s="216">
        <f>IF(PLAN_ETAPA!$C$4="(TODOS)",SUMIFS(PPTO_GENERADOR!$E$4:$E$220,PPTO_GENERADOR!$Q$4:$Q$220,A1791),SUMIFS(PPTO_GENERADOR!$E$4:$E$220,PPTO_GENERADOR!$Q$4:$Q$220,A1791,PPTO_GENERADOR!$B$4:$B$220,PLAN_ETAPA!$C$4))</f>
        <v>0</v>
      </c>
      <c r="M1791" s="216">
        <f>IFERROR(VLOOKUP(A1791,PARTIDAS!$A$2:$F$269,6,FALSE()),1)</f>
        <v>1</v>
      </c>
      <c r="N1791" s="216">
        <f>IFERROR(VLOOKUP(A1791,PARTIDAS!$A$2:$I$269,9,FALSE()),1)</f>
        <v>1</v>
      </c>
      <c r="O1791" s="217">
        <f t="shared" si="54"/>
        <v>0</v>
      </c>
      <c r="P1791" s="216">
        <f>IF(O1791=0,0,IF(B1791="MAT",G1791*(1+H1791)*L1791*PLAN_ETAPA!$C$5,IF(B1791="MO",IF(M1791=0,0,G1791*L1791*PLAN_ETAPA!$C$5*N1791/M1791),IF(B1791="EQ",IF(M1791=0,0,G1791*L1791*PLAN_ETAPA!$C$5/M1791),0))))</f>
        <v>0</v>
      </c>
      <c r="Q1791" s="218">
        <f t="shared" si="55"/>
        <v>0</v>
      </c>
    </row>
    <row r="1792" spans="1:17" x14ac:dyDescent="0.35">
      <c r="A1792" s="212" t="str">
        <f>COMPOSICIÓN!A1792</f>
        <v>PTO-1917</v>
      </c>
      <c r="B1792" s="212" t="str">
        <f>COMPOSICIÓN!B1792</f>
        <v>MAT</v>
      </c>
      <c r="C1792" s="212" t="str">
        <f>COMPOSICIÓN!C1792</f>
        <v>OTR</v>
      </c>
      <c r="D1792" s="212" t="str">
        <f>COMPOSICIÓN!D1792</f>
        <v>OTR-PTO129</v>
      </c>
      <c r="E1792" s="212" t="str">
        <f>COMPOSICIÓN!E1792</f>
        <v>Colocación de anafes - Provisión a cargo del comitente</v>
      </c>
      <c r="F1792" s="212" t="str">
        <f>COMPOSICIÓN!F1792</f>
        <v>u</v>
      </c>
      <c r="G1792" s="213">
        <f>COMPOSICIÓN!G1792</f>
        <v>1</v>
      </c>
      <c r="H1792" s="214">
        <f>COMPOSICIÓN!H1792</f>
        <v>0</v>
      </c>
      <c r="I1792" s="215">
        <f>COMPOSICIÓN!I1792</f>
        <v>15000</v>
      </c>
      <c r="J1792" s="212" t="str">
        <f>IFERROR(VLOOKUP(A1792,PARTIDAS!$A$2:$C$269,3,FALSE()),"")</f>
        <v>INSTALACIONES SANITARIAS</v>
      </c>
      <c r="K1792" s="212" t="str">
        <f>IFERROR(INDEX(PPTO_GENERADOR!$B$4:$B$220,MATCH(A1792,PPTO_GENERADOR!$Q$4:$Q$220,0)),"")</f>
        <v>INSTALACIONES SANITARIAS</v>
      </c>
      <c r="L1792" s="216">
        <f>IF(PLAN_ETAPA!$C$4="(TODOS)",SUMIFS(PPTO_GENERADOR!$E$4:$E$220,PPTO_GENERADOR!$Q$4:$Q$220,A1792),SUMIFS(PPTO_GENERADOR!$E$4:$E$220,PPTO_GENERADOR!$Q$4:$Q$220,A1792,PPTO_GENERADOR!$B$4:$B$220,PLAN_ETAPA!$C$4))</f>
        <v>0</v>
      </c>
      <c r="M1792" s="216">
        <f>IFERROR(VLOOKUP(A1792,PARTIDAS!$A$2:$F$269,6,FALSE()),1)</f>
        <v>1</v>
      </c>
      <c r="N1792" s="216">
        <f>IFERROR(VLOOKUP(A1792,PARTIDAS!$A$2:$I$269,9,FALSE()),1)</f>
        <v>1</v>
      </c>
      <c r="O1792" s="217">
        <f t="shared" si="54"/>
        <v>0</v>
      </c>
      <c r="P1792" s="216">
        <f>IF(O1792=0,0,IF(B1792="MAT",G1792*(1+H1792)*L1792*PLAN_ETAPA!$C$5,IF(B1792="MO",IF(M1792=0,0,G1792*L1792*PLAN_ETAPA!$C$5*N1792/M1792),IF(B1792="EQ",IF(M1792=0,0,G1792*L1792*PLAN_ETAPA!$C$5/M1792),0))))</f>
        <v>0</v>
      </c>
      <c r="Q1792" s="218">
        <f t="shared" si="55"/>
        <v>0</v>
      </c>
    </row>
    <row r="1793" spans="1:17" x14ac:dyDescent="0.35">
      <c r="A1793" s="212" t="str">
        <f>COMPOSICIÓN!A1793</f>
        <v>PTO-1917</v>
      </c>
      <c r="B1793" s="212" t="str">
        <f>COMPOSICIÓN!B1793</f>
        <v>MO</v>
      </c>
      <c r="C1793" s="212" t="str">
        <f>COMPOSICIÓN!C1793</f>
        <v>OTR</v>
      </c>
      <c r="D1793" s="212" t="str">
        <f>COMPOSICIÓN!D1793</f>
        <v>SUB-PTO066</v>
      </c>
      <c r="E1793" s="212" t="str">
        <f>COMPOSICIÓN!E1793</f>
        <v>MO Colocación de anafes - Provisión a cargo del comitente</v>
      </c>
      <c r="F1793" s="212" t="str">
        <f>COMPOSICIÓN!F1793</f>
        <v>j</v>
      </c>
      <c r="G1793" s="213">
        <f>COMPOSICIÓN!G1793</f>
        <v>1</v>
      </c>
      <c r="H1793" s="214">
        <f>COMPOSICIÓN!H1793</f>
        <v>0</v>
      </c>
      <c r="I1793" s="215">
        <f>COMPOSICIÓN!I1793</f>
        <v>30000</v>
      </c>
      <c r="J1793" s="212" t="str">
        <f>IFERROR(VLOOKUP(A1793,PARTIDAS!$A$2:$C$269,3,FALSE()),"")</f>
        <v>INSTALACIONES SANITARIAS</v>
      </c>
      <c r="K1793" s="212" t="str">
        <f>IFERROR(INDEX(PPTO_GENERADOR!$B$4:$B$220,MATCH(A1793,PPTO_GENERADOR!$Q$4:$Q$220,0)),"")</f>
        <v>INSTALACIONES SANITARIAS</v>
      </c>
      <c r="L1793" s="216">
        <f>IF(PLAN_ETAPA!$C$4="(TODOS)",SUMIFS(PPTO_GENERADOR!$E$4:$E$220,PPTO_GENERADOR!$Q$4:$Q$220,A1793),SUMIFS(PPTO_GENERADOR!$E$4:$E$220,PPTO_GENERADOR!$Q$4:$Q$220,A1793,PPTO_GENERADOR!$B$4:$B$220,PLAN_ETAPA!$C$4))</f>
        <v>0</v>
      </c>
      <c r="M1793" s="216">
        <f>IFERROR(VLOOKUP(A1793,PARTIDAS!$A$2:$F$269,6,FALSE()),1)</f>
        <v>1</v>
      </c>
      <c r="N1793" s="216">
        <f>IFERROR(VLOOKUP(A1793,PARTIDAS!$A$2:$I$269,9,FALSE()),1)</f>
        <v>1</v>
      </c>
      <c r="O1793" s="217">
        <f t="shared" si="54"/>
        <v>0</v>
      </c>
      <c r="P1793" s="216">
        <f>IF(O1793=0,0,IF(B1793="MAT",G1793*(1+H1793)*L1793*PLAN_ETAPA!$C$5,IF(B1793="MO",IF(M1793=0,0,G1793*L1793*PLAN_ETAPA!$C$5*N1793/M1793),IF(B1793="EQ",IF(M1793=0,0,G1793*L1793*PLAN_ETAPA!$C$5/M1793),0))))</f>
        <v>0</v>
      </c>
      <c r="Q1793" s="218">
        <f t="shared" si="55"/>
        <v>0</v>
      </c>
    </row>
    <row r="1794" spans="1:17" x14ac:dyDescent="0.35">
      <c r="A1794" s="212" t="str">
        <f>COMPOSICIÓN!A1794</f>
        <v>PTO-1918</v>
      </c>
      <c r="B1794" s="212" t="str">
        <f>COMPOSICIÓN!B1794</f>
        <v>MAT</v>
      </c>
      <c r="C1794" s="212" t="str">
        <f>COMPOSICIÓN!C1794</f>
        <v>OTR</v>
      </c>
      <c r="D1794" s="212" t="str">
        <f>COMPOSICIÓN!D1794</f>
        <v>OTR-PTO130</v>
      </c>
      <c r="E1794" s="212" t="str">
        <f>COMPOSICIÓN!E1794</f>
        <v>Provisión y amure de rejillas de ventilación homologadas</v>
      </c>
      <c r="F1794" s="212" t="str">
        <f>COMPOSICIÓN!F1794</f>
        <v>gl</v>
      </c>
      <c r="G1794" s="213">
        <f>COMPOSICIÓN!G1794</f>
        <v>1</v>
      </c>
      <c r="H1794" s="214">
        <f>COMPOSICIÓN!H1794</f>
        <v>0</v>
      </c>
      <c r="I1794" s="215">
        <f>COMPOSICIÓN!I1794</f>
        <v>1500</v>
      </c>
      <c r="J1794" s="212" t="str">
        <f>IFERROR(VLOOKUP(A1794,PARTIDAS!$A$2:$C$269,3,FALSE()),"")</f>
        <v>INSTALACIONES SANITARIAS</v>
      </c>
      <c r="K1794" s="212" t="str">
        <f>IFERROR(INDEX(PPTO_GENERADOR!$B$4:$B$220,MATCH(A1794,PPTO_GENERADOR!$Q$4:$Q$220,0)),"")</f>
        <v>INSTALACIONES SANITARIAS</v>
      </c>
      <c r="L1794" s="216">
        <f>IF(PLAN_ETAPA!$C$4="(TODOS)",SUMIFS(PPTO_GENERADOR!$E$4:$E$220,PPTO_GENERADOR!$Q$4:$Q$220,A1794),SUMIFS(PPTO_GENERADOR!$E$4:$E$220,PPTO_GENERADOR!$Q$4:$Q$220,A1794,PPTO_GENERADOR!$B$4:$B$220,PLAN_ETAPA!$C$4))</f>
        <v>0</v>
      </c>
      <c r="M1794" s="216">
        <f>IFERROR(VLOOKUP(A1794,PARTIDAS!$A$2:$F$269,6,FALSE()),1)</f>
        <v>1</v>
      </c>
      <c r="N1794" s="216">
        <f>IFERROR(VLOOKUP(A1794,PARTIDAS!$A$2:$I$269,9,FALSE()),1)</f>
        <v>1</v>
      </c>
      <c r="O1794" s="217">
        <f t="shared" ref="O1794:O1857" si="56">IF(L1794&gt;0,1,0)</f>
        <v>0</v>
      </c>
      <c r="P1794" s="216">
        <f>IF(O1794=0,0,IF(B1794="MAT",G1794*(1+H1794)*L1794*PLAN_ETAPA!$C$5,IF(B1794="MO",IF(M1794=0,0,G1794*L1794*PLAN_ETAPA!$C$5*N1794/M1794),IF(B1794="EQ",IF(M1794=0,0,G1794*L1794*PLAN_ETAPA!$C$5/M1794),0))))</f>
        <v>0</v>
      </c>
      <c r="Q1794" s="218">
        <f t="shared" ref="Q1794:Q1857" si="57">P1794*I1794</f>
        <v>0</v>
      </c>
    </row>
    <row r="1795" spans="1:17" x14ac:dyDescent="0.35">
      <c r="A1795" s="212" t="str">
        <f>COMPOSICIÓN!A1795</f>
        <v>PTO-1918</v>
      </c>
      <c r="B1795" s="212" t="str">
        <f>COMPOSICIÓN!B1795</f>
        <v>MO</v>
      </c>
      <c r="C1795" s="212" t="str">
        <f>COMPOSICIÓN!C1795</f>
        <v>OTR</v>
      </c>
      <c r="D1795" s="212" t="str">
        <f>COMPOSICIÓN!D1795</f>
        <v>SUB-PTO067</v>
      </c>
      <c r="E1795" s="212" t="str">
        <f>COMPOSICIÓN!E1795</f>
        <v>MO Provisión y amure de rejillas de ventilación homologadas</v>
      </c>
      <c r="F1795" s="212" t="str">
        <f>COMPOSICIÓN!F1795</f>
        <v>j</v>
      </c>
      <c r="G1795" s="213">
        <f>COMPOSICIÓN!G1795</f>
        <v>1</v>
      </c>
      <c r="H1795" s="214">
        <f>COMPOSICIÓN!H1795</f>
        <v>0</v>
      </c>
      <c r="I1795" s="215">
        <f>COMPOSICIÓN!I1795</f>
        <v>19238.769926642999</v>
      </c>
      <c r="J1795" s="212" t="str">
        <f>IFERROR(VLOOKUP(A1795,PARTIDAS!$A$2:$C$269,3,FALSE()),"")</f>
        <v>INSTALACIONES SANITARIAS</v>
      </c>
      <c r="K1795" s="212" t="str">
        <f>IFERROR(INDEX(PPTO_GENERADOR!$B$4:$B$220,MATCH(A1795,PPTO_GENERADOR!$Q$4:$Q$220,0)),"")</f>
        <v>INSTALACIONES SANITARIAS</v>
      </c>
      <c r="L1795" s="216">
        <f>IF(PLAN_ETAPA!$C$4="(TODOS)",SUMIFS(PPTO_GENERADOR!$E$4:$E$220,PPTO_GENERADOR!$Q$4:$Q$220,A1795),SUMIFS(PPTO_GENERADOR!$E$4:$E$220,PPTO_GENERADOR!$Q$4:$Q$220,A1795,PPTO_GENERADOR!$B$4:$B$220,PLAN_ETAPA!$C$4))</f>
        <v>0</v>
      </c>
      <c r="M1795" s="216">
        <f>IFERROR(VLOOKUP(A1795,PARTIDAS!$A$2:$F$269,6,FALSE()),1)</f>
        <v>1</v>
      </c>
      <c r="N1795" s="216">
        <f>IFERROR(VLOOKUP(A1795,PARTIDAS!$A$2:$I$269,9,FALSE()),1)</f>
        <v>1</v>
      </c>
      <c r="O1795" s="217">
        <f t="shared" si="56"/>
        <v>0</v>
      </c>
      <c r="P1795" s="216">
        <f>IF(O1795=0,0,IF(B1795="MAT",G1795*(1+H1795)*L1795*PLAN_ETAPA!$C$5,IF(B1795="MO",IF(M1795=0,0,G1795*L1795*PLAN_ETAPA!$C$5*N1795/M1795),IF(B1795="EQ",IF(M1795=0,0,G1795*L1795*PLAN_ETAPA!$C$5/M1795),0))))</f>
        <v>0</v>
      </c>
      <c r="Q1795" s="218">
        <f t="shared" si="57"/>
        <v>0</v>
      </c>
    </row>
    <row r="1796" spans="1:17" x14ac:dyDescent="0.35">
      <c r="A1796" s="212" t="str">
        <f>COMPOSICIÓN!A1796</f>
        <v>PTO-1919</v>
      </c>
      <c r="B1796" s="212" t="str">
        <f>COMPOSICIÓN!B1796</f>
        <v>MO</v>
      </c>
      <c r="C1796" s="212" t="str">
        <f>COMPOSICIÓN!C1796</f>
        <v>OTR</v>
      </c>
      <c r="D1796" s="212" t="str">
        <f>COMPOSICIÓN!D1796</f>
        <v>SUB-PTO068</v>
      </c>
      <c r="E1796" s="212" t="str">
        <f>COMPOSICIÓN!E1796</f>
        <v>MO Tramites gas - Prefactibilidad, inspección parcial, final</v>
      </c>
      <c r="F1796" s="212" t="str">
        <f>COMPOSICIÓN!F1796</f>
        <v>j</v>
      </c>
      <c r="G1796" s="213">
        <f>COMPOSICIÓN!G1796</f>
        <v>1</v>
      </c>
      <c r="H1796" s="214">
        <f>COMPOSICIÓN!H1796</f>
        <v>0</v>
      </c>
      <c r="I1796" s="215">
        <f>COMPOSICIÓN!I1796</f>
        <v>3510000</v>
      </c>
      <c r="J1796" s="212" t="str">
        <f>IFERROR(VLOOKUP(A1796,PARTIDAS!$A$2:$C$269,3,FALSE()),"")</f>
        <v>INSTALACIONES SANITARIAS</v>
      </c>
      <c r="K1796" s="212" t="str">
        <f>IFERROR(INDEX(PPTO_GENERADOR!$B$4:$B$220,MATCH(A1796,PPTO_GENERADOR!$Q$4:$Q$220,0)),"")</f>
        <v>INSTALACIONES SANITARIAS</v>
      </c>
      <c r="L1796" s="216">
        <f>IF(PLAN_ETAPA!$C$4="(TODOS)",SUMIFS(PPTO_GENERADOR!$E$4:$E$220,PPTO_GENERADOR!$Q$4:$Q$220,A1796),SUMIFS(PPTO_GENERADOR!$E$4:$E$220,PPTO_GENERADOR!$Q$4:$Q$220,A1796,PPTO_GENERADOR!$B$4:$B$220,PLAN_ETAPA!$C$4))</f>
        <v>0</v>
      </c>
      <c r="M1796" s="216">
        <f>IFERROR(VLOOKUP(A1796,PARTIDAS!$A$2:$F$269,6,FALSE()),1)</f>
        <v>1</v>
      </c>
      <c r="N1796" s="216">
        <f>IFERROR(VLOOKUP(A1796,PARTIDAS!$A$2:$I$269,9,FALSE()),1)</f>
        <v>1</v>
      </c>
      <c r="O1796" s="217">
        <f t="shared" si="56"/>
        <v>0</v>
      </c>
      <c r="P1796" s="216">
        <f>IF(O1796=0,0,IF(B1796="MAT",G1796*(1+H1796)*L1796*PLAN_ETAPA!$C$5,IF(B1796="MO",IF(M1796=0,0,G1796*L1796*PLAN_ETAPA!$C$5*N1796/M1796),IF(B1796="EQ",IF(M1796=0,0,G1796*L1796*PLAN_ETAPA!$C$5/M1796),0))))</f>
        <v>0</v>
      </c>
      <c r="Q1796" s="218">
        <f t="shared" si="57"/>
        <v>0</v>
      </c>
    </row>
    <row r="1797" spans="1:17" x14ac:dyDescent="0.35">
      <c r="A1797" s="212" t="str">
        <f>COMPOSICIÓN!A1797</f>
        <v>PTO-2201</v>
      </c>
      <c r="B1797" s="212" t="str">
        <f>COMPOSICIÓN!B1797</f>
        <v>MO</v>
      </c>
      <c r="C1797" s="212" t="str">
        <f>COMPOSICIÓN!C1797</f>
        <v>OTR</v>
      </c>
      <c r="D1797" s="212" t="str">
        <f>COMPOSICIÓN!D1797</f>
        <v>SUB-PTO069</v>
      </c>
      <c r="E1797" s="212" t="str">
        <f>COMPOSICIÓN!E1797</f>
        <v>MO Instalación de artefactos de cocina, hornos - Provisión a cargo del comitente [SUBCONTRATOS]</v>
      </c>
      <c r="F1797" s="212" t="str">
        <f>COMPOSICIÓN!F1797</f>
        <v>j</v>
      </c>
      <c r="G1797" s="213">
        <f>COMPOSICIÓN!G1797</f>
        <v>1</v>
      </c>
      <c r="H1797" s="214">
        <f>COMPOSICIÓN!H1797</f>
        <v>0</v>
      </c>
      <c r="I1797" s="215">
        <f>COMPOSICIÓN!I1797</f>
        <v>68810</v>
      </c>
      <c r="J1797" s="212" t="str">
        <f>IFERROR(VLOOKUP(A1797,PARTIDAS!$A$2:$C$269,3,FALSE()),"")</f>
        <v>EQUIPAMIENTO</v>
      </c>
      <c r="K1797" s="212" t="str">
        <f>IFERROR(INDEX(PPTO_GENERADOR!$B$4:$B$220,MATCH(A1797,PPTO_GENERADOR!$Q$4:$Q$220,0)),"")</f>
        <v>EQUIPAMIENTO</v>
      </c>
      <c r="L1797" s="216">
        <f>IF(PLAN_ETAPA!$C$4="(TODOS)",SUMIFS(PPTO_GENERADOR!$E$4:$E$220,PPTO_GENERADOR!$Q$4:$Q$220,A1797),SUMIFS(PPTO_GENERADOR!$E$4:$E$220,PPTO_GENERADOR!$Q$4:$Q$220,A1797,PPTO_GENERADOR!$B$4:$B$220,PLAN_ETAPA!$C$4))</f>
        <v>0</v>
      </c>
      <c r="M1797" s="216">
        <f>IFERROR(VLOOKUP(A1797,PARTIDAS!$A$2:$F$269,6,FALSE()),1)</f>
        <v>1</v>
      </c>
      <c r="N1797" s="216">
        <f>IFERROR(VLOOKUP(A1797,PARTIDAS!$A$2:$I$269,9,FALSE()),1)</f>
        <v>1</v>
      </c>
      <c r="O1797" s="217">
        <f t="shared" si="56"/>
        <v>0</v>
      </c>
      <c r="P1797" s="216">
        <f>IF(O1797=0,0,IF(B1797="MAT",G1797*(1+H1797)*L1797*PLAN_ETAPA!$C$5,IF(B1797="MO",IF(M1797=0,0,G1797*L1797*PLAN_ETAPA!$C$5*N1797/M1797),IF(B1797="EQ",IF(M1797=0,0,G1797*L1797*PLAN_ETAPA!$C$5/M1797),0))))</f>
        <v>0</v>
      </c>
      <c r="Q1797" s="218">
        <f t="shared" si="57"/>
        <v>0</v>
      </c>
    </row>
    <row r="1798" spans="1:17" x14ac:dyDescent="0.35">
      <c r="A1798" s="212" t="str">
        <f>COMPOSICIÓN!A1798</f>
        <v>PTO-2202</v>
      </c>
      <c r="B1798" s="212" t="str">
        <f>COMPOSICIÓN!B1798</f>
        <v>MO</v>
      </c>
      <c r="C1798" s="212" t="str">
        <f>COMPOSICIÓN!C1798</f>
        <v>OTR</v>
      </c>
      <c r="D1798" s="212" t="str">
        <f>COMPOSICIÓN!D1798</f>
        <v>SUB-PTO070</v>
      </c>
      <c r="E1798" s="212" t="str">
        <f>COMPOSICIÓN!E1798</f>
        <v>MO Instalacion de extractores de baños - Provisión a cargo del comitente [SUBCONTRATOS]</v>
      </c>
      <c r="F1798" s="212" t="str">
        <f>COMPOSICIÓN!F1798</f>
        <v>j</v>
      </c>
      <c r="G1798" s="213">
        <f>COMPOSICIÓN!G1798</f>
        <v>1</v>
      </c>
      <c r="H1798" s="214">
        <f>COMPOSICIÓN!H1798</f>
        <v>0</v>
      </c>
      <c r="I1798" s="215">
        <f>COMPOSICIÓN!I1798</f>
        <v>68810</v>
      </c>
      <c r="J1798" s="212" t="str">
        <f>IFERROR(VLOOKUP(A1798,PARTIDAS!$A$2:$C$269,3,FALSE()),"")</f>
        <v>EQUIPAMIENTO</v>
      </c>
      <c r="K1798" s="212" t="str">
        <f>IFERROR(INDEX(PPTO_GENERADOR!$B$4:$B$220,MATCH(A1798,PPTO_GENERADOR!$Q$4:$Q$220,0)),"")</f>
        <v>EQUIPAMIENTO</v>
      </c>
      <c r="L1798" s="216">
        <f>IF(PLAN_ETAPA!$C$4="(TODOS)",SUMIFS(PPTO_GENERADOR!$E$4:$E$220,PPTO_GENERADOR!$Q$4:$Q$220,A1798),SUMIFS(PPTO_GENERADOR!$E$4:$E$220,PPTO_GENERADOR!$Q$4:$Q$220,A1798,PPTO_GENERADOR!$B$4:$B$220,PLAN_ETAPA!$C$4))</f>
        <v>0</v>
      </c>
      <c r="M1798" s="216">
        <f>IFERROR(VLOOKUP(A1798,PARTIDAS!$A$2:$F$269,6,FALSE()),1)</f>
        <v>1</v>
      </c>
      <c r="N1798" s="216">
        <f>IFERROR(VLOOKUP(A1798,PARTIDAS!$A$2:$I$269,9,FALSE()),1)</f>
        <v>1</v>
      </c>
      <c r="O1798" s="217">
        <f t="shared" si="56"/>
        <v>0</v>
      </c>
      <c r="P1798" s="216">
        <f>IF(O1798=0,0,IF(B1798="MAT",G1798*(1+H1798)*L1798*PLAN_ETAPA!$C$5,IF(B1798="MO",IF(M1798=0,0,G1798*L1798*PLAN_ETAPA!$C$5*N1798/M1798),IF(B1798="EQ",IF(M1798=0,0,G1798*L1798*PLAN_ETAPA!$C$5/M1798),0))))</f>
        <v>0</v>
      </c>
      <c r="Q1798" s="218">
        <f t="shared" si="57"/>
        <v>0</v>
      </c>
    </row>
    <row r="1799" spans="1:17" x14ac:dyDescent="0.35">
      <c r="A1799" s="212" t="str">
        <f>COMPOSICIÓN!A1799</f>
        <v>PTO-2301</v>
      </c>
      <c r="B1799" s="212" t="str">
        <f>COMPOSICIÓN!B1799</f>
        <v>EQ</v>
      </c>
      <c r="C1799" s="212">
        <f>COMPOSICIÓN!C1799</f>
        <v>0</v>
      </c>
      <c r="D1799" s="212" t="str">
        <f>COMPOSICIÓN!D1799</f>
        <v>EQ-PTO108</v>
      </c>
      <c r="E1799" s="212" t="str">
        <f>COMPOSICIÓN!E1799</f>
        <v xml:space="preserve">Herramientas menores y consumibles - Albañilería parrilla completa - Losa y muros </v>
      </c>
      <c r="F1799" s="212">
        <f>COMPOSICIÓN!F1799</f>
        <v>0</v>
      </c>
      <c r="G1799" s="213">
        <f>COMPOSICIÓN!G1799</f>
        <v>1</v>
      </c>
      <c r="H1799" s="214">
        <f>COMPOSICIÓN!H1799</f>
        <v>0</v>
      </c>
      <c r="I1799" s="215">
        <f>COMPOSICIÓN!I1799</f>
        <v>2872.6870049034101</v>
      </c>
      <c r="J1799" s="212" t="str">
        <f>IFERROR(VLOOKUP(A1799,PARTIDAS!$A$2:$C$269,3,FALSE()),"")</f>
        <v>TRABAJOS COMPLEMENTARIOS</v>
      </c>
      <c r="K1799" s="212" t="str">
        <f>IFERROR(INDEX(PPTO_GENERADOR!$B$4:$B$220,MATCH(A1799,PPTO_GENERADOR!$Q$4:$Q$220,0)),"")</f>
        <v>TRABAJOS COMPLEMENTARIOS</v>
      </c>
      <c r="L1799" s="216">
        <f>IF(PLAN_ETAPA!$C$4="(TODOS)",SUMIFS(PPTO_GENERADOR!$E$4:$E$220,PPTO_GENERADOR!$Q$4:$Q$220,A1799),SUMIFS(PPTO_GENERADOR!$E$4:$E$220,PPTO_GENERADOR!$Q$4:$Q$220,A1799,PPTO_GENERADOR!$B$4:$B$220,PLAN_ETAPA!$C$4))</f>
        <v>0</v>
      </c>
      <c r="M1799" s="216">
        <f>IFERROR(VLOOKUP(A1799,PARTIDAS!$A$2:$F$269,6,FALSE()),1)</f>
        <v>1</v>
      </c>
      <c r="N1799" s="216">
        <f>IFERROR(VLOOKUP(A1799,PARTIDAS!$A$2:$I$269,9,FALSE()),1)</f>
        <v>1</v>
      </c>
      <c r="O1799" s="217">
        <f t="shared" si="56"/>
        <v>0</v>
      </c>
      <c r="P1799" s="216">
        <f>IF(O1799=0,0,IF(B1799="MAT",G1799*(1+H1799)*L1799*PLAN_ETAPA!$C$5,IF(B1799="MO",IF(M1799=0,0,G1799*L1799*PLAN_ETAPA!$C$5*N1799/M1799),IF(B1799="EQ",IF(M1799=0,0,G1799*L1799*PLAN_ETAPA!$C$5/M1799),0))))</f>
        <v>0</v>
      </c>
      <c r="Q1799" s="218">
        <f t="shared" si="57"/>
        <v>0</v>
      </c>
    </row>
    <row r="1800" spans="1:17" x14ac:dyDescent="0.35">
      <c r="A1800" s="212" t="str">
        <f>COMPOSICIÓN!A1800</f>
        <v>PTO-2301</v>
      </c>
      <c r="B1800" s="212" t="str">
        <f>COMPOSICIÓN!B1800</f>
        <v>MAT</v>
      </c>
      <c r="C1800" s="212" t="str">
        <f>COMPOSICIÓN!C1800</f>
        <v>COR</v>
      </c>
      <c r="D1800" s="212" t="str">
        <f>COMPOSICIÓN!D1800</f>
        <v>OTR-PTO131</v>
      </c>
      <c r="E1800" s="212" t="str">
        <f>COMPOSICIÓN!E1800</f>
        <v>Mmaposteria</v>
      </c>
      <c r="F1800" s="212" t="str">
        <f>COMPOSICIÓN!F1800</f>
        <v>gl</v>
      </c>
      <c r="G1800" s="213">
        <f>COMPOSICIÓN!G1800</f>
        <v>0.16666666666666699</v>
      </c>
      <c r="H1800" s="214">
        <f>COMPOSICIÓN!H1800</f>
        <v>0</v>
      </c>
      <c r="I1800" s="215">
        <f>COMPOSICIÓN!I1800</f>
        <v>100000</v>
      </c>
      <c r="J1800" s="212" t="str">
        <f>IFERROR(VLOOKUP(A1800,PARTIDAS!$A$2:$C$269,3,FALSE()),"")</f>
        <v>TRABAJOS COMPLEMENTARIOS</v>
      </c>
      <c r="K1800" s="212" t="str">
        <f>IFERROR(INDEX(PPTO_GENERADOR!$B$4:$B$220,MATCH(A1800,PPTO_GENERADOR!$Q$4:$Q$220,0)),"")</f>
        <v>TRABAJOS COMPLEMENTARIOS</v>
      </c>
      <c r="L1800" s="216">
        <f>IF(PLAN_ETAPA!$C$4="(TODOS)",SUMIFS(PPTO_GENERADOR!$E$4:$E$220,PPTO_GENERADOR!$Q$4:$Q$220,A1800),SUMIFS(PPTO_GENERADOR!$E$4:$E$220,PPTO_GENERADOR!$Q$4:$Q$220,A1800,PPTO_GENERADOR!$B$4:$B$220,PLAN_ETAPA!$C$4))</f>
        <v>0</v>
      </c>
      <c r="M1800" s="216">
        <f>IFERROR(VLOOKUP(A1800,PARTIDAS!$A$2:$F$269,6,FALSE()),1)</f>
        <v>1</v>
      </c>
      <c r="N1800" s="216">
        <f>IFERROR(VLOOKUP(A1800,PARTIDAS!$A$2:$I$269,9,FALSE()),1)</f>
        <v>1</v>
      </c>
      <c r="O1800" s="217">
        <f t="shared" si="56"/>
        <v>0</v>
      </c>
      <c r="P1800" s="216">
        <f>IF(O1800=0,0,IF(B1800="MAT",G1800*(1+H1800)*L1800*PLAN_ETAPA!$C$5,IF(B1800="MO",IF(M1800=0,0,G1800*L1800*PLAN_ETAPA!$C$5*N1800/M1800),IF(B1800="EQ",IF(M1800=0,0,G1800*L1800*PLAN_ETAPA!$C$5/M1800),0))))</f>
        <v>0</v>
      </c>
      <c r="Q1800" s="218">
        <f t="shared" si="57"/>
        <v>0</v>
      </c>
    </row>
    <row r="1801" spans="1:17" x14ac:dyDescent="0.35">
      <c r="A1801" s="212" t="str">
        <f>COMPOSICIÓN!A1801</f>
        <v>PTO-2301</v>
      </c>
      <c r="B1801" s="212" t="str">
        <f>COMPOSICIÓN!B1801</f>
        <v>MAT</v>
      </c>
      <c r="C1801" s="212" t="str">
        <f>COMPOSICIÓN!C1801</f>
        <v>COR</v>
      </c>
      <c r="D1801" s="212" t="str">
        <f>COMPOSICIÓN!D1801</f>
        <v>OTR-PTO132</v>
      </c>
      <c r="E1801" s="212" t="str">
        <f>COMPOSICIÓN!E1801</f>
        <v>Revoque</v>
      </c>
      <c r="F1801" s="212" t="str">
        <f>COMPOSICIÓN!F1801</f>
        <v>gl</v>
      </c>
      <c r="G1801" s="213">
        <f>COMPOSICIÓN!G1801</f>
        <v>0.16666666666666699</v>
      </c>
      <c r="H1801" s="214">
        <f>COMPOSICIÓN!H1801</f>
        <v>0</v>
      </c>
      <c r="I1801" s="215">
        <f>COMPOSICIÓN!I1801</f>
        <v>50000</v>
      </c>
      <c r="J1801" s="212" t="str">
        <f>IFERROR(VLOOKUP(A1801,PARTIDAS!$A$2:$C$269,3,FALSE()),"")</f>
        <v>TRABAJOS COMPLEMENTARIOS</v>
      </c>
      <c r="K1801" s="212" t="str">
        <f>IFERROR(INDEX(PPTO_GENERADOR!$B$4:$B$220,MATCH(A1801,PPTO_GENERADOR!$Q$4:$Q$220,0)),"")</f>
        <v>TRABAJOS COMPLEMENTARIOS</v>
      </c>
      <c r="L1801" s="216">
        <f>IF(PLAN_ETAPA!$C$4="(TODOS)",SUMIFS(PPTO_GENERADOR!$E$4:$E$220,PPTO_GENERADOR!$Q$4:$Q$220,A1801),SUMIFS(PPTO_GENERADOR!$E$4:$E$220,PPTO_GENERADOR!$Q$4:$Q$220,A1801,PPTO_GENERADOR!$B$4:$B$220,PLAN_ETAPA!$C$4))</f>
        <v>0</v>
      </c>
      <c r="M1801" s="216">
        <f>IFERROR(VLOOKUP(A1801,PARTIDAS!$A$2:$F$269,6,FALSE()),1)</f>
        <v>1</v>
      </c>
      <c r="N1801" s="216">
        <f>IFERROR(VLOOKUP(A1801,PARTIDAS!$A$2:$I$269,9,FALSE()),1)</f>
        <v>1</v>
      </c>
      <c r="O1801" s="217">
        <f t="shared" si="56"/>
        <v>0</v>
      </c>
      <c r="P1801" s="216">
        <f>IF(O1801=0,0,IF(B1801="MAT",G1801*(1+H1801)*L1801*PLAN_ETAPA!$C$5,IF(B1801="MO",IF(M1801=0,0,G1801*L1801*PLAN_ETAPA!$C$5*N1801/M1801),IF(B1801="EQ",IF(M1801=0,0,G1801*L1801*PLAN_ETAPA!$C$5/M1801),0))))</f>
        <v>0</v>
      </c>
      <c r="Q1801" s="218">
        <f t="shared" si="57"/>
        <v>0</v>
      </c>
    </row>
    <row r="1802" spans="1:17" x14ac:dyDescent="0.35">
      <c r="A1802" s="212" t="str">
        <f>COMPOSICIÓN!A1802</f>
        <v>PTO-2301</v>
      </c>
      <c r="B1802" s="212" t="str">
        <f>COMPOSICIÓN!B1802</f>
        <v>MAT</v>
      </c>
      <c r="C1802" s="212" t="str">
        <f>COMPOSICIÓN!C1802</f>
        <v>OTR</v>
      </c>
      <c r="D1802" s="212" t="str">
        <f>COMPOSICIÓN!D1802</f>
        <v>MAT-CONS</v>
      </c>
      <c r="E1802" s="212" t="str">
        <f>COMPOSICIÓN!E1802</f>
        <v>Consumibles</v>
      </c>
      <c r="F1802" s="212" t="str">
        <f>COMPOSICIÓN!F1802</f>
        <v>gl</v>
      </c>
      <c r="G1802" s="213">
        <f>COMPOSICIÓN!G1802</f>
        <v>4166.6666666700003</v>
      </c>
      <c r="H1802" s="214">
        <f>COMPOSICIÓN!H1802</f>
        <v>0</v>
      </c>
      <c r="I1802" s="215">
        <f>COMPOSICIÓN!I1802</f>
        <v>1</v>
      </c>
      <c r="J1802" s="212" t="str">
        <f>IFERROR(VLOOKUP(A1802,PARTIDAS!$A$2:$C$269,3,FALSE()),"")</f>
        <v>TRABAJOS COMPLEMENTARIOS</v>
      </c>
      <c r="K1802" s="212" t="str">
        <f>IFERROR(INDEX(PPTO_GENERADOR!$B$4:$B$220,MATCH(A1802,PPTO_GENERADOR!$Q$4:$Q$220,0)),"")</f>
        <v>TRABAJOS COMPLEMENTARIOS</v>
      </c>
      <c r="L1802" s="216">
        <f>IF(PLAN_ETAPA!$C$4="(TODOS)",SUMIFS(PPTO_GENERADOR!$E$4:$E$220,PPTO_GENERADOR!$Q$4:$Q$220,A1802),SUMIFS(PPTO_GENERADOR!$E$4:$E$220,PPTO_GENERADOR!$Q$4:$Q$220,A1802,PPTO_GENERADOR!$B$4:$B$220,PLAN_ETAPA!$C$4))</f>
        <v>0</v>
      </c>
      <c r="M1802" s="216">
        <f>IFERROR(VLOOKUP(A1802,PARTIDAS!$A$2:$F$269,6,FALSE()),1)</f>
        <v>1</v>
      </c>
      <c r="N1802" s="216">
        <f>IFERROR(VLOOKUP(A1802,PARTIDAS!$A$2:$I$269,9,FALSE()),1)</f>
        <v>1</v>
      </c>
      <c r="O1802" s="217">
        <f t="shared" si="56"/>
        <v>0</v>
      </c>
      <c r="P1802" s="216">
        <f>IF(O1802=0,0,IF(B1802="MAT",G1802*(1+H1802)*L1802*PLAN_ETAPA!$C$5,IF(B1802="MO",IF(M1802=0,0,G1802*L1802*PLAN_ETAPA!$C$5*N1802/M1802),IF(B1802="EQ",IF(M1802=0,0,G1802*L1802*PLAN_ETAPA!$C$5/M1802),0))))</f>
        <v>0</v>
      </c>
      <c r="Q1802" s="218">
        <f t="shared" si="57"/>
        <v>0</v>
      </c>
    </row>
    <row r="1803" spans="1:17" x14ac:dyDescent="0.35">
      <c r="A1803" s="212" t="str">
        <f>COMPOSICIÓN!A1803</f>
        <v>PTO-2301</v>
      </c>
      <c r="B1803" s="212" t="str">
        <f>COMPOSICIÓN!B1803</f>
        <v>MAT</v>
      </c>
      <c r="C1803" s="212" t="str">
        <f>COMPOSICIÓN!C1803</f>
        <v>OTR</v>
      </c>
      <c r="D1803" s="212" t="str">
        <f>COMPOSICIÓN!D1803</f>
        <v>OTR-PTO063</v>
      </c>
      <c r="E1803" s="212" t="str">
        <f>COMPOSICIÓN!E1803</f>
        <v>H30 6.20</v>
      </c>
      <c r="F1803" s="212" t="str">
        <f>COMPOSICIÓN!F1803</f>
        <v>m3</v>
      </c>
      <c r="G1803" s="213">
        <f>COMPOSICIÓN!G1803</f>
        <v>0.1125</v>
      </c>
      <c r="H1803" s="214">
        <f>COMPOSICIÓN!H1803</f>
        <v>0</v>
      </c>
      <c r="I1803" s="215">
        <f>COMPOSICIÓN!I1803</f>
        <v>125000</v>
      </c>
      <c r="J1803" s="212" t="str">
        <f>IFERROR(VLOOKUP(A1803,PARTIDAS!$A$2:$C$269,3,FALSE()),"")</f>
        <v>TRABAJOS COMPLEMENTARIOS</v>
      </c>
      <c r="K1803" s="212" t="str">
        <f>IFERROR(INDEX(PPTO_GENERADOR!$B$4:$B$220,MATCH(A1803,PPTO_GENERADOR!$Q$4:$Q$220,0)),"")</f>
        <v>TRABAJOS COMPLEMENTARIOS</v>
      </c>
      <c r="L1803" s="216">
        <f>IF(PLAN_ETAPA!$C$4="(TODOS)",SUMIFS(PPTO_GENERADOR!$E$4:$E$220,PPTO_GENERADOR!$Q$4:$Q$220,A1803),SUMIFS(PPTO_GENERADOR!$E$4:$E$220,PPTO_GENERADOR!$Q$4:$Q$220,A1803,PPTO_GENERADOR!$B$4:$B$220,PLAN_ETAPA!$C$4))</f>
        <v>0</v>
      </c>
      <c r="M1803" s="216">
        <f>IFERROR(VLOOKUP(A1803,PARTIDAS!$A$2:$F$269,6,FALSE()),1)</f>
        <v>1</v>
      </c>
      <c r="N1803" s="216">
        <f>IFERROR(VLOOKUP(A1803,PARTIDAS!$A$2:$I$269,9,FALSE()),1)</f>
        <v>1</v>
      </c>
      <c r="O1803" s="217">
        <f t="shared" si="56"/>
        <v>0</v>
      </c>
      <c r="P1803" s="216">
        <f>IF(O1803=0,0,IF(B1803="MAT",G1803*(1+H1803)*L1803*PLAN_ETAPA!$C$5,IF(B1803="MO",IF(M1803=0,0,G1803*L1803*PLAN_ETAPA!$C$5*N1803/M1803),IF(B1803="EQ",IF(M1803=0,0,G1803*L1803*PLAN_ETAPA!$C$5/M1803),0))))</f>
        <v>0</v>
      </c>
      <c r="Q1803" s="218">
        <f t="shared" si="57"/>
        <v>0</v>
      </c>
    </row>
    <row r="1804" spans="1:17" x14ac:dyDescent="0.35">
      <c r="A1804" s="212" t="str">
        <f>COMPOSICIÓN!A1804</f>
        <v>PTO-2301</v>
      </c>
      <c r="B1804" s="212" t="str">
        <f>COMPOSICIÓN!B1804</f>
        <v>MAT</v>
      </c>
      <c r="C1804" s="212" t="str">
        <f>COMPOSICIÓN!C1804</f>
        <v>OTR</v>
      </c>
      <c r="D1804" s="212" t="str">
        <f>COMPOSICIÓN!D1804</f>
        <v>OTR-PTO083</v>
      </c>
      <c r="E1804" s="212" t="str">
        <f>COMPOSICIÓN!E1804</f>
        <v>Malla Q188 15 x 15 6 mm 6x2,40</v>
      </c>
      <c r="F1804" s="212" t="str">
        <f>COMPOSICIÓN!F1804</f>
        <v>un</v>
      </c>
      <c r="G1804" s="213">
        <f>COMPOSICIÓN!G1804</f>
        <v>7.8125E-2</v>
      </c>
      <c r="H1804" s="214">
        <f>COMPOSICIÓN!H1804</f>
        <v>0</v>
      </c>
      <c r="I1804" s="215">
        <f>COMPOSICIÓN!I1804</f>
        <v>69985.789999999994</v>
      </c>
      <c r="J1804" s="212" t="str">
        <f>IFERROR(VLOOKUP(A1804,PARTIDAS!$A$2:$C$269,3,FALSE()),"")</f>
        <v>TRABAJOS COMPLEMENTARIOS</v>
      </c>
      <c r="K1804" s="212" t="str">
        <f>IFERROR(INDEX(PPTO_GENERADOR!$B$4:$B$220,MATCH(A1804,PPTO_GENERADOR!$Q$4:$Q$220,0)),"")</f>
        <v>TRABAJOS COMPLEMENTARIOS</v>
      </c>
      <c r="L1804" s="216">
        <f>IF(PLAN_ETAPA!$C$4="(TODOS)",SUMIFS(PPTO_GENERADOR!$E$4:$E$220,PPTO_GENERADOR!$Q$4:$Q$220,A1804),SUMIFS(PPTO_GENERADOR!$E$4:$E$220,PPTO_GENERADOR!$Q$4:$Q$220,A1804,PPTO_GENERADOR!$B$4:$B$220,PLAN_ETAPA!$C$4))</f>
        <v>0</v>
      </c>
      <c r="M1804" s="216">
        <f>IFERROR(VLOOKUP(A1804,PARTIDAS!$A$2:$F$269,6,FALSE()),1)</f>
        <v>1</v>
      </c>
      <c r="N1804" s="216">
        <f>IFERROR(VLOOKUP(A1804,PARTIDAS!$A$2:$I$269,9,FALSE()),1)</f>
        <v>1</v>
      </c>
      <c r="O1804" s="217">
        <f t="shared" si="56"/>
        <v>0</v>
      </c>
      <c r="P1804" s="216">
        <f>IF(O1804=0,0,IF(B1804="MAT",G1804*(1+H1804)*L1804*PLAN_ETAPA!$C$5,IF(B1804="MO",IF(M1804=0,0,G1804*L1804*PLAN_ETAPA!$C$5*N1804/M1804),IF(B1804="EQ",IF(M1804=0,0,G1804*L1804*PLAN_ETAPA!$C$5/M1804),0))))</f>
        <v>0</v>
      </c>
      <c r="Q1804" s="218">
        <f t="shared" si="57"/>
        <v>0</v>
      </c>
    </row>
    <row r="1805" spans="1:17" x14ac:dyDescent="0.35">
      <c r="A1805" s="212" t="str">
        <f>COMPOSICIÓN!A1805</f>
        <v>PTO-2301</v>
      </c>
      <c r="B1805" s="212" t="str">
        <f>COMPOSICIÓN!B1805</f>
        <v>MAT</v>
      </c>
      <c r="C1805" s="212" t="str">
        <f>COMPOSICIÓN!C1805</f>
        <v>OTR</v>
      </c>
      <c r="D1805" s="212" t="str">
        <f>COMPOSICIÓN!D1805</f>
        <v>OTR-PTO133</v>
      </c>
      <c r="E1805" s="212" t="str">
        <f>COMPOSICIÓN!E1805</f>
        <v xml:space="preserve">Dintel </v>
      </c>
      <c r="F1805" s="212" t="str">
        <f>COMPOSICIÓN!F1805</f>
        <v>gl</v>
      </c>
      <c r="G1805" s="213">
        <f>COMPOSICIÓN!G1805</f>
        <v>0.16666666666666699</v>
      </c>
      <c r="H1805" s="214">
        <f>COMPOSICIÓN!H1805</f>
        <v>0</v>
      </c>
      <c r="I1805" s="215">
        <f>COMPOSICIÓN!I1805</f>
        <v>30000</v>
      </c>
      <c r="J1805" s="212" t="str">
        <f>IFERROR(VLOOKUP(A1805,PARTIDAS!$A$2:$C$269,3,FALSE()),"")</f>
        <v>TRABAJOS COMPLEMENTARIOS</v>
      </c>
      <c r="K1805" s="212" t="str">
        <f>IFERROR(INDEX(PPTO_GENERADOR!$B$4:$B$220,MATCH(A1805,PPTO_GENERADOR!$Q$4:$Q$220,0)),"")</f>
        <v>TRABAJOS COMPLEMENTARIOS</v>
      </c>
      <c r="L1805" s="216">
        <f>IF(PLAN_ETAPA!$C$4="(TODOS)",SUMIFS(PPTO_GENERADOR!$E$4:$E$220,PPTO_GENERADOR!$Q$4:$Q$220,A1805),SUMIFS(PPTO_GENERADOR!$E$4:$E$220,PPTO_GENERADOR!$Q$4:$Q$220,A1805,PPTO_GENERADOR!$B$4:$B$220,PLAN_ETAPA!$C$4))</f>
        <v>0</v>
      </c>
      <c r="M1805" s="216">
        <f>IFERROR(VLOOKUP(A1805,PARTIDAS!$A$2:$F$269,6,FALSE()),1)</f>
        <v>1</v>
      </c>
      <c r="N1805" s="216">
        <f>IFERROR(VLOOKUP(A1805,PARTIDAS!$A$2:$I$269,9,FALSE()),1)</f>
        <v>1</v>
      </c>
      <c r="O1805" s="217">
        <f t="shared" si="56"/>
        <v>0</v>
      </c>
      <c r="P1805" s="216">
        <f>IF(O1805=0,0,IF(B1805="MAT",G1805*(1+H1805)*L1805*PLAN_ETAPA!$C$5,IF(B1805="MO",IF(M1805=0,0,G1805*L1805*PLAN_ETAPA!$C$5*N1805/M1805),IF(B1805="EQ",IF(M1805=0,0,G1805*L1805*PLAN_ETAPA!$C$5/M1805),0))))</f>
        <v>0</v>
      </c>
      <c r="Q1805" s="218">
        <f t="shared" si="57"/>
        <v>0</v>
      </c>
    </row>
    <row r="1806" spans="1:17" x14ac:dyDescent="0.35">
      <c r="A1806" s="212" t="str">
        <f>COMPOSICIÓN!A1806</f>
        <v>PTO-2301</v>
      </c>
      <c r="B1806" s="212" t="str">
        <f>COMPOSICIÓN!B1806</f>
        <v>MO</v>
      </c>
      <c r="C1806" s="212" t="str">
        <f>COMPOSICIÓN!C1806</f>
        <v>ALB</v>
      </c>
      <c r="D1806" s="212" t="str">
        <f>COMPOSICIÓN!D1806</f>
        <v>MO-EAYUD</v>
      </c>
      <c r="E1806" s="212" t="str">
        <f>COMPOSICIÓN!E1806</f>
        <v>AYUDANTE</v>
      </c>
      <c r="F1806" s="212" t="str">
        <f>COMPOSICIÓN!F1806</f>
        <v>j</v>
      </c>
      <c r="G1806" s="213">
        <f>COMPOSICIÓN!G1806</f>
        <v>1</v>
      </c>
      <c r="H1806" s="214">
        <f>COMPOSICIÓN!H1806</f>
        <v>0</v>
      </c>
      <c r="I1806" s="215">
        <f>COMPOSICIÓN!I1806</f>
        <v>60860.580776572002</v>
      </c>
      <c r="J1806" s="212" t="str">
        <f>IFERROR(VLOOKUP(A1806,PARTIDAS!$A$2:$C$269,3,FALSE()),"")</f>
        <v>TRABAJOS COMPLEMENTARIOS</v>
      </c>
      <c r="K1806" s="212" t="str">
        <f>IFERROR(INDEX(PPTO_GENERADOR!$B$4:$B$220,MATCH(A1806,PPTO_GENERADOR!$Q$4:$Q$220,0)),"")</f>
        <v>TRABAJOS COMPLEMENTARIOS</v>
      </c>
      <c r="L1806" s="216">
        <f>IF(PLAN_ETAPA!$C$4="(TODOS)",SUMIFS(PPTO_GENERADOR!$E$4:$E$220,PPTO_GENERADOR!$Q$4:$Q$220,A1806),SUMIFS(PPTO_GENERADOR!$E$4:$E$220,PPTO_GENERADOR!$Q$4:$Q$220,A1806,PPTO_GENERADOR!$B$4:$B$220,PLAN_ETAPA!$C$4))</f>
        <v>0</v>
      </c>
      <c r="M1806" s="216">
        <f>IFERROR(VLOOKUP(A1806,PARTIDAS!$A$2:$F$269,6,FALSE()),1)</f>
        <v>1</v>
      </c>
      <c r="N1806" s="216">
        <f>IFERROR(VLOOKUP(A1806,PARTIDAS!$A$2:$I$269,9,FALSE()),1)</f>
        <v>1</v>
      </c>
      <c r="O1806" s="217">
        <f t="shared" si="56"/>
        <v>0</v>
      </c>
      <c r="P1806" s="216">
        <f>IF(O1806=0,0,IF(B1806="MAT",G1806*(1+H1806)*L1806*PLAN_ETAPA!$C$5,IF(B1806="MO",IF(M1806=0,0,G1806*L1806*PLAN_ETAPA!$C$5*N1806/M1806),IF(B1806="EQ",IF(M1806=0,0,G1806*L1806*PLAN_ETAPA!$C$5/M1806),0))))</f>
        <v>0</v>
      </c>
      <c r="Q1806" s="218">
        <f t="shared" si="57"/>
        <v>0</v>
      </c>
    </row>
    <row r="1807" spans="1:17" x14ac:dyDescent="0.35">
      <c r="A1807" s="212" t="str">
        <f>COMPOSICIÓN!A1807</f>
        <v>PTO-2301</v>
      </c>
      <c r="B1807" s="212" t="str">
        <f>COMPOSICIÓN!B1807</f>
        <v>MO</v>
      </c>
      <c r="C1807" s="212" t="str">
        <f>COMPOSICIÓN!C1807</f>
        <v>ALB</v>
      </c>
      <c r="D1807" s="212" t="str">
        <f>COMPOSICIÓN!D1807</f>
        <v>MO-EOFIC</v>
      </c>
      <c r="E1807" s="212" t="str">
        <f>COMPOSICIÓN!E1807</f>
        <v>OFICIAL</v>
      </c>
      <c r="F1807" s="212" t="str">
        <f>COMPOSICIÓN!F1807</f>
        <v>j</v>
      </c>
      <c r="G1807" s="213">
        <f>COMPOSICIÓN!G1807</f>
        <v>1</v>
      </c>
      <c r="H1807" s="214">
        <f>COMPOSICIÓN!H1807</f>
        <v>0</v>
      </c>
      <c r="I1807" s="215">
        <f>COMPOSICIÓN!I1807</f>
        <v>76955.079706571996</v>
      </c>
      <c r="J1807" s="212" t="str">
        <f>IFERROR(VLOOKUP(A1807,PARTIDAS!$A$2:$C$269,3,FALSE()),"")</f>
        <v>TRABAJOS COMPLEMENTARIOS</v>
      </c>
      <c r="K1807" s="212" t="str">
        <f>IFERROR(INDEX(PPTO_GENERADOR!$B$4:$B$220,MATCH(A1807,PPTO_GENERADOR!$Q$4:$Q$220,0)),"")</f>
        <v>TRABAJOS COMPLEMENTARIOS</v>
      </c>
      <c r="L1807" s="216">
        <f>IF(PLAN_ETAPA!$C$4="(TODOS)",SUMIFS(PPTO_GENERADOR!$E$4:$E$220,PPTO_GENERADOR!$Q$4:$Q$220,A1807),SUMIFS(PPTO_GENERADOR!$E$4:$E$220,PPTO_GENERADOR!$Q$4:$Q$220,A1807,PPTO_GENERADOR!$B$4:$B$220,PLAN_ETAPA!$C$4))</f>
        <v>0</v>
      </c>
      <c r="M1807" s="216">
        <f>IFERROR(VLOOKUP(A1807,PARTIDAS!$A$2:$F$269,6,FALSE()),1)</f>
        <v>1</v>
      </c>
      <c r="N1807" s="216">
        <f>IFERROR(VLOOKUP(A1807,PARTIDAS!$A$2:$I$269,9,FALSE()),1)</f>
        <v>1</v>
      </c>
      <c r="O1807" s="217">
        <f t="shared" si="56"/>
        <v>0</v>
      </c>
      <c r="P1807" s="216">
        <f>IF(O1807=0,0,IF(B1807="MAT",G1807*(1+H1807)*L1807*PLAN_ETAPA!$C$5,IF(B1807="MO",IF(M1807=0,0,G1807*L1807*PLAN_ETAPA!$C$5*N1807/M1807),IF(B1807="EQ",IF(M1807=0,0,G1807*L1807*PLAN_ETAPA!$C$5/M1807),0))))</f>
        <v>0</v>
      </c>
      <c r="Q1807" s="218">
        <f t="shared" si="57"/>
        <v>0</v>
      </c>
    </row>
    <row r="1808" spans="1:17" x14ac:dyDescent="0.35">
      <c r="A1808" s="212" t="str">
        <f>COMPOSICIÓN!A1808</f>
        <v>PTO-2302</v>
      </c>
      <c r="B1808" s="212" t="str">
        <f>COMPOSICIÓN!B1808</f>
        <v>EQ</v>
      </c>
      <c r="C1808" s="212">
        <f>COMPOSICIÓN!C1808</f>
        <v>0</v>
      </c>
      <c r="D1808" s="212" t="str">
        <f>COMPOSICIÓN!D1808</f>
        <v>EQ-PTO109</v>
      </c>
      <c r="E1808" s="212" t="str">
        <f>COMPOSICIÓN!E1808</f>
        <v>Herramientas menores y consumibles - Amure de tapas para pleno eléctricos y gas en pali</v>
      </c>
      <c r="F1808" s="212">
        <f>COMPOSICIÓN!F1808</f>
        <v>0</v>
      </c>
      <c r="G1808" s="213">
        <f>COMPOSICIÓN!G1808</f>
        <v>1</v>
      </c>
      <c r="H1808" s="214">
        <f>COMPOSICIÓN!H1808</f>
        <v>0</v>
      </c>
      <c r="I1808" s="215">
        <f>COMPOSICIÓN!I1808</f>
        <v>8803.9027571143397</v>
      </c>
      <c r="J1808" s="212" t="str">
        <f>IFERROR(VLOOKUP(A1808,PARTIDAS!$A$2:$C$269,3,FALSE()),"")</f>
        <v>TRABAJOS COMPLEMENTARIOS</v>
      </c>
      <c r="K1808" s="212" t="str">
        <f>IFERROR(INDEX(PPTO_GENERADOR!$B$4:$B$220,MATCH(A1808,PPTO_GENERADOR!$Q$4:$Q$220,0)),"")</f>
        <v>TRABAJOS COMPLEMENTARIOS</v>
      </c>
      <c r="L1808" s="216">
        <f>IF(PLAN_ETAPA!$C$4="(TODOS)",SUMIFS(PPTO_GENERADOR!$E$4:$E$220,PPTO_GENERADOR!$Q$4:$Q$220,A1808),SUMIFS(PPTO_GENERADOR!$E$4:$E$220,PPTO_GENERADOR!$Q$4:$Q$220,A1808,PPTO_GENERADOR!$B$4:$B$220,PLAN_ETAPA!$C$4))</f>
        <v>0</v>
      </c>
      <c r="M1808" s="216">
        <f>IFERROR(VLOOKUP(A1808,PARTIDAS!$A$2:$F$269,6,FALSE()),1)</f>
        <v>1</v>
      </c>
      <c r="N1808" s="216">
        <f>IFERROR(VLOOKUP(A1808,PARTIDAS!$A$2:$I$269,9,FALSE()),1)</f>
        <v>1</v>
      </c>
      <c r="O1808" s="217">
        <f t="shared" si="56"/>
        <v>0</v>
      </c>
      <c r="P1808" s="216">
        <f>IF(O1808=0,0,IF(B1808="MAT",G1808*(1+H1808)*L1808*PLAN_ETAPA!$C$5,IF(B1808="MO",IF(M1808=0,0,G1808*L1808*PLAN_ETAPA!$C$5*N1808/M1808),IF(B1808="EQ",IF(M1808=0,0,G1808*L1808*PLAN_ETAPA!$C$5/M1808),0))))</f>
        <v>0</v>
      </c>
      <c r="Q1808" s="218">
        <f t="shared" si="57"/>
        <v>0</v>
      </c>
    </row>
    <row r="1809" spans="1:17" x14ac:dyDescent="0.35">
      <c r="A1809" s="212" t="str">
        <f>COMPOSICIÓN!A1809</f>
        <v>PTO-2302</v>
      </c>
      <c r="B1809" s="212" t="str">
        <f>COMPOSICIÓN!B1809</f>
        <v>MAT</v>
      </c>
      <c r="C1809" s="212" t="str">
        <f>COMPOSICIÓN!C1809</f>
        <v>COR</v>
      </c>
      <c r="D1809" s="212" t="str">
        <f>COMPOSICIÓN!D1809</f>
        <v>OTR-PTO135</v>
      </c>
      <c r="E1809" s="212" t="str">
        <f>COMPOSICIÓN!E1809</f>
        <v>M.Obra</v>
      </c>
      <c r="F1809" s="212" t="str">
        <f>COMPOSICIÓN!F1809</f>
        <v>d</v>
      </c>
      <c r="G1809" s="213">
        <f>COMPOSICIÓN!G1809</f>
        <v>5</v>
      </c>
      <c r="H1809" s="214">
        <f>COMPOSICIÓN!H1809</f>
        <v>0</v>
      </c>
      <c r="I1809" s="215">
        <f>COMPOSICIÓN!I1809</f>
        <v>10000</v>
      </c>
      <c r="J1809" s="212" t="str">
        <f>IFERROR(VLOOKUP(A1809,PARTIDAS!$A$2:$C$269,3,FALSE()),"")</f>
        <v>TRABAJOS COMPLEMENTARIOS</v>
      </c>
      <c r="K1809" s="212" t="str">
        <f>IFERROR(INDEX(PPTO_GENERADOR!$B$4:$B$220,MATCH(A1809,PPTO_GENERADOR!$Q$4:$Q$220,0)),"")</f>
        <v>TRABAJOS COMPLEMENTARIOS</v>
      </c>
      <c r="L1809" s="216">
        <f>IF(PLAN_ETAPA!$C$4="(TODOS)",SUMIFS(PPTO_GENERADOR!$E$4:$E$220,PPTO_GENERADOR!$Q$4:$Q$220,A1809),SUMIFS(PPTO_GENERADOR!$E$4:$E$220,PPTO_GENERADOR!$Q$4:$Q$220,A1809,PPTO_GENERADOR!$B$4:$B$220,PLAN_ETAPA!$C$4))</f>
        <v>0</v>
      </c>
      <c r="M1809" s="216">
        <f>IFERROR(VLOOKUP(A1809,PARTIDAS!$A$2:$F$269,6,FALSE()),1)</f>
        <v>1</v>
      </c>
      <c r="N1809" s="216">
        <f>IFERROR(VLOOKUP(A1809,PARTIDAS!$A$2:$I$269,9,FALSE()),1)</f>
        <v>1</v>
      </c>
      <c r="O1809" s="217">
        <f t="shared" si="56"/>
        <v>0</v>
      </c>
      <c r="P1809" s="216">
        <f>IF(O1809=0,0,IF(B1809="MAT",G1809*(1+H1809)*L1809*PLAN_ETAPA!$C$5,IF(B1809="MO",IF(M1809=0,0,G1809*L1809*PLAN_ETAPA!$C$5*N1809/M1809),IF(B1809="EQ",IF(M1809=0,0,G1809*L1809*PLAN_ETAPA!$C$5/M1809),0))))</f>
        <v>0</v>
      </c>
      <c r="Q1809" s="218">
        <f t="shared" si="57"/>
        <v>0</v>
      </c>
    </row>
    <row r="1810" spans="1:17" x14ac:dyDescent="0.35">
      <c r="A1810" s="212" t="str">
        <f>COMPOSICIÓN!A1810</f>
        <v>PTO-2302</v>
      </c>
      <c r="B1810" s="212" t="str">
        <f>COMPOSICIÓN!B1810</f>
        <v>MO</v>
      </c>
      <c r="C1810" s="212" t="str">
        <f>COMPOSICIÓN!C1810</f>
        <v>ALB</v>
      </c>
      <c r="D1810" s="212" t="str">
        <f>COMPOSICIÓN!D1810</f>
        <v>MO-EAYUD</v>
      </c>
      <c r="E1810" s="212" t="str">
        <f>COMPOSICIÓN!E1810</f>
        <v>AYUDANTE</v>
      </c>
      <c r="F1810" s="212" t="str">
        <f>COMPOSICIÓN!F1810</f>
        <v>j</v>
      </c>
      <c r="G1810" s="213">
        <f>COMPOSICIÓN!G1810</f>
        <v>2.5</v>
      </c>
      <c r="H1810" s="214">
        <f>COMPOSICIÓN!H1810</f>
        <v>0</v>
      </c>
      <c r="I1810" s="215">
        <f>COMPOSICIÓN!I1810</f>
        <v>60860.580776572002</v>
      </c>
      <c r="J1810" s="212" t="str">
        <f>IFERROR(VLOOKUP(A1810,PARTIDAS!$A$2:$C$269,3,FALSE()),"")</f>
        <v>TRABAJOS COMPLEMENTARIOS</v>
      </c>
      <c r="K1810" s="212" t="str">
        <f>IFERROR(INDEX(PPTO_GENERADOR!$B$4:$B$220,MATCH(A1810,PPTO_GENERADOR!$Q$4:$Q$220,0)),"")</f>
        <v>TRABAJOS COMPLEMENTARIOS</v>
      </c>
      <c r="L1810" s="216">
        <f>IF(PLAN_ETAPA!$C$4="(TODOS)",SUMIFS(PPTO_GENERADOR!$E$4:$E$220,PPTO_GENERADOR!$Q$4:$Q$220,A1810),SUMIFS(PPTO_GENERADOR!$E$4:$E$220,PPTO_GENERADOR!$Q$4:$Q$220,A1810,PPTO_GENERADOR!$B$4:$B$220,PLAN_ETAPA!$C$4))</f>
        <v>0</v>
      </c>
      <c r="M1810" s="216">
        <f>IFERROR(VLOOKUP(A1810,PARTIDAS!$A$2:$F$269,6,FALSE()),1)</f>
        <v>1</v>
      </c>
      <c r="N1810" s="216">
        <f>IFERROR(VLOOKUP(A1810,PARTIDAS!$A$2:$I$269,9,FALSE()),1)</f>
        <v>1</v>
      </c>
      <c r="O1810" s="217">
        <f t="shared" si="56"/>
        <v>0</v>
      </c>
      <c r="P1810" s="216">
        <f>IF(O1810=0,0,IF(B1810="MAT",G1810*(1+H1810)*L1810*PLAN_ETAPA!$C$5,IF(B1810="MO",IF(M1810=0,0,G1810*L1810*PLAN_ETAPA!$C$5*N1810/M1810),IF(B1810="EQ",IF(M1810=0,0,G1810*L1810*PLAN_ETAPA!$C$5/M1810),0))))</f>
        <v>0</v>
      </c>
      <c r="Q1810" s="218">
        <f t="shared" si="57"/>
        <v>0</v>
      </c>
    </row>
    <row r="1811" spans="1:17" x14ac:dyDescent="0.35">
      <c r="A1811" s="212" t="str">
        <f>COMPOSICIÓN!A1811</f>
        <v>PTO-2302</v>
      </c>
      <c r="B1811" s="212" t="str">
        <f>COMPOSICIÓN!B1811</f>
        <v>MO</v>
      </c>
      <c r="C1811" s="212" t="str">
        <f>COMPOSICIÓN!C1811</f>
        <v>ALB</v>
      </c>
      <c r="D1811" s="212" t="str">
        <f>COMPOSICIÓN!D1811</f>
        <v>MO-EOFIC</v>
      </c>
      <c r="E1811" s="212" t="str">
        <f>COMPOSICIÓN!E1811</f>
        <v>OFICIAL</v>
      </c>
      <c r="F1811" s="212" t="str">
        <f>COMPOSICIÓN!F1811</f>
        <v>j</v>
      </c>
      <c r="G1811" s="213">
        <f>COMPOSICIÓN!G1811</f>
        <v>5</v>
      </c>
      <c r="H1811" s="214">
        <f>COMPOSICIÓN!H1811</f>
        <v>0</v>
      </c>
      <c r="I1811" s="215">
        <f>COMPOSICIÓN!I1811</f>
        <v>76955.079706571996</v>
      </c>
      <c r="J1811" s="212" t="str">
        <f>IFERROR(VLOOKUP(A1811,PARTIDAS!$A$2:$C$269,3,FALSE()),"")</f>
        <v>TRABAJOS COMPLEMENTARIOS</v>
      </c>
      <c r="K1811" s="212" t="str">
        <f>IFERROR(INDEX(PPTO_GENERADOR!$B$4:$B$220,MATCH(A1811,PPTO_GENERADOR!$Q$4:$Q$220,0)),"")</f>
        <v>TRABAJOS COMPLEMENTARIOS</v>
      </c>
      <c r="L1811" s="216">
        <f>IF(PLAN_ETAPA!$C$4="(TODOS)",SUMIFS(PPTO_GENERADOR!$E$4:$E$220,PPTO_GENERADOR!$Q$4:$Q$220,A1811),SUMIFS(PPTO_GENERADOR!$E$4:$E$220,PPTO_GENERADOR!$Q$4:$Q$220,A1811,PPTO_GENERADOR!$B$4:$B$220,PLAN_ETAPA!$C$4))</f>
        <v>0</v>
      </c>
      <c r="M1811" s="216">
        <f>IFERROR(VLOOKUP(A1811,PARTIDAS!$A$2:$F$269,6,FALSE()),1)</f>
        <v>1</v>
      </c>
      <c r="N1811" s="216">
        <f>IFERROR(VLOOKUP(A1811,PARTIDAS!$A$2:$I$269,9,FALSE()),1)</f>
        <v>1</v>
      </c>
      <c r="O1811" s="217">
        <f t="shared" si="56"/>
        <v>0</v>
      </c>
      <c r="P1811" s="216">
        <f>IF(O1811=0,0,IF(B1811="MAT",G1811*(1+H1811)*L1811*PLAN_ETAPA!$C$5,IF(B1811="MO",IF(M1811=0,0,G1811*L1811*PLAN_ETAPA!$C$5*N1811/M1811),IF(B1811="EQ",IF(M1811=0,0,G1811*L1811*PLAN_ETAPA!$C$5/M1811),0))))</f>
        <v>0</v>
      </c>
      <c r="Q1811" s="218">
        <f t="shared" si="57"/>
        <v>0</v>
      </c>
    </row>
    <row r="1812" spans="1:17" x14ac:dyDescent="0.35">
      <c r="A1812" s="212" t="str">
        <f>COMPOSICIÓN!A1812</f>
        <v>PTO-2303</v>
      </c>
      <c r="B1812" s="212" t="str">
        <f>COMPOSICIÓN!B1812</f>
        <v>EQ</v>
      </c>
      <c r="C1812" s="212">
        <f>COMPOSICIÓN!C1812</f>
        <v>0</v>
      </c>
      <c r="D1812" s="212" t="str">
        <f>COMPOSICIÓN!D1812</f>
        <v>EQ-PTO110</v>
      </c>
      <c r="E1812" s="212" t="str">
        <f>COMPOSICIÓN!E1812</f>
        <v>Herramientas menores y consumibles - Demolición de vereda</v>
      </c>
      <c r="F1812" s="212">
        <f>COMPOSICIÓN!F1812</f>
        <v>0</v>
      </c>
      <c r="G1812" s="213">
        <f>COMPOSICIÓN!G1812</f>
        <v>1</v>
      </c>
      <c r="H1812" s="214">
        <f>COMPOSICIÓN!H1812</f>
        <v>0</v>
      </c>
      <c r="I1812" s="215">
        <f>COMPOSICIÓN!I1812</f>
        <v>300.22927085357298</v>
      </c>
      <c r="J1812" s="212" t="str">
        <f>IFERROR(VLOOKUP(A1812,PARTIDAS!$A$2:$C$269,3,FALSE()),"")</f>
        <v>TRABAJOS COMPLEMENTARIOS</v>
      </c>
      <c r="K1812" s="212" t="str">
        <f>IFERROR(INDEX(PPTO_GENERADOR!$B$4:$B$220,MATCH(A1812,PPTO_GENERADOR!$Q$4:$Q$220,0)),"")</f>
        <v>TRABAJOS COMPLEMENTARIOS</v>
      </c>
      <c r="L1812" s="216">
        <f>IF(PLAN_ETAPA!$C$4="(TODOS)",SUMIFS(PPTO_GENERADOR!$E$4:$E$220,PPTO_GENERADOR!$Q$4:$Q$220,A1812),SUMIFS(PPTO_GENERADOR!$E$4:$E$220,PPTO_GENERADOR!$Q$4:$Q$220,A1812,PPTO_GENERADOR!$B$4:$B$220,PLAN_ETAPA!$C$4))</f>
        <v>0</v>
      </c>
      <c r="M1812" s="216">
        <f>IFERROR(VLOOKUP(A1812,PARTIDAS!$A$2:$F$269,6,FALSE()),1)</f>
        <v>1</v>
      </c>
      <c r="N1812" s="216">
        <f>IFERROR(VLOOKUP(A1812,PARTIDAS!$A$2:$I$269,9,FALSE()),1)</f>
        <v>1</v>
      </c>
      <c r="O1812" s="217">
        <f t="shared" si="56"/>
        <v>0</v>
      </c>
      <c r="P1812" s="216">
        <f>IF(O1812=0,0,IF(B1812="MAT",G1812*(1+H1812)*L1812*PLAN_ETAPA!$C$5,IF(B1812="MO",IF(M1812=0,0,G1812*L1812*PLAN_ETAPA!$C$5*N1812/M1812),IF(B1812="EQ",IF(M1812=0,0,G1812*L1812*PLAN_ETAPA!$C$5/M1812),0))))</f>
        <v>0</v>
      </c>
      <c r="Q1812" s="218">
        <f t="shared" si="57"/>
        <v>0</v>
      </c>
    </row>
    <row r="1813" spans="1:17" x14ac:dyDescent="0.35">
      <c r="A1813" s="212" t="str">
        <f>COMPOSICIÓN!A1813</f>
        <v>PTO-2303</v>
      </c>
      <c r="B1813" s="212" t="str">
        <f>COMPOSICIÓN!B1813</f>
        <v>MAT</v>
      </c>
      <c r="C1813" s="212" t="str">
        <f>COMPOSICIÓN!C1813</f>
        <v>OTR</v>
      </c>
      <c r="D1813" s="212" t="str">
        <f>COMPOSICIÓN!D1813</f>
        <v>MAT-CONS</v>
      </c>
      <c r="E1813" s="212" t="str">
        <f>COMPOSICIÓN!E1813</f>
        <v>Consumibles</v>
      </c>
      <c r="F1813" s="212" t="str">
        <f>COMPOSICIÓN!F1813</f>
        <v>gl</v>
      </c>
      <c r="G1813" s="213">
        <f>COMPOSICIÓN!G1813</f>
        <v>3846.1538461499999</v>
      </c>
      <c r="H1813" s="214">
        <f>COMPOSICIÓN!H1813</f>
        <v>0</v>
      </c>
      <c r="I1813" s="215">
        <f>COMPOSICIÓN!I1813</f>
        <v>1</v>
      </c>
      <c r="J1813" s="212" t="str">
        <f>IFERROR(VLOOKUP(A1813,PARTIDAS!$A$2:$C$269,3,FALSE()),"")</f>
        <v>TRABAJOS COMPLEMENTARIOS</v>
      </c>
      <c r="K1813" s="212" t="str">
        <f>IFERROR(INDEX(PPTO_GENERADOR!$B$4:$B$220,MATCH(A1813,PPTO_GENERADOR!$Q$4:$Q$220,0)),"")</f>
        <v>TRABAJOS COMPLEMENTARIOS</v>
      </c>
      <c r="L1813" s="216">
        <f>IF(PLAN_ETAPA!$C$4="(TODOS)",SUMIFS(PPTO_GENERADOR!$E$4:$E$220,PPTO_GENERADOR!$Q$4:$Q$220,A1813),SUMIFS(PPTO_GENERADOR!$E$4:$E$220,PPTO_GENERADOR!$Q$4:$Q$220,A1813,PPTO_GENERADOR!$B$4:$B$220,PLAN_ETAPA!$C$4))</f>
        <v>0</v>
      </c>
      <c r="M1813" s="216">
        <f>IFERROR(VLOOKUP(A1813,PARTIDAS!$A$2:$F$269,6,FALSE()),1)</f>
        <v>1</v>
      </c>
      <c r="N1813" s="216">
        <f>IFERROR(VLOOKUP(A1813,PARTIDAS!$A$2:$I$269,9,FALSE()),1)</f>
        <v>1</v>
      </c>
      <c r="O1813" s="217">
        <f t="shared" si="56"/>
        <v>0</v>
      </c>
      <c r="P1813" s="216">
        <f>IF(O1813=0,0,IF(B1813="MAT",G1813*(1+H1813)*L1813*PLAN_ETAPA!$C$5,IF(B1813="MO",IF(M1813=0,0,G1813*L1813*PLAN_ETAPA!$C$5*N1813/M1813),IF(B1813="EQ",IF(M1813=0,0,G1813*L1813*PLAN_ETAPA!$C$5/M1813),0))))</f>
        <v>0</v>
      </c>
      <c r="Q1813" s="218">
        <f t="shared" si="57"/>
        <v>0</v>
      </c>
    </row>
    <row r="1814" spans="1:17" x14ac:dyDescent="0.35">
      <c r="A1814" s="212" t="str">
        <f>COMPOSICIÓN!A1814</f>
        <v>PTO-2303</v>
      </c>
      <c r="B1814" s="212" t="str">
        <f>COMPOSICIÓN!B1814</f>
        <v>MAT</v>
      </c>
      <c r="C1814" s="212" t="str">
        <f>COMPOSICIÓN!C1814</f>
        <v>OTR</v>
      </c>
      <c r="D1814" s="212" t="str">
        <f>COMPOSICIÓN!D1814</f>
        <v>OTR-PTO070</v>
      </c>
      <c r="E1814" s="212" t="str">
        <f>COMPOSICIÓN!E1814</f>
        <v>Volquete</v>
      </c>
      <c r="F1814" s="212" t="str">
        <f>COMPOSICIÓN!F1814</f>
        <v>u</v>
      </c>
      <c r="G1814" s="213">
        <f>COMPOSICIÓN!G1814</f>
        <v>3.8461538461538498E-2</v>
      </c>
      <c r="H1814" s="214">
        <f>COMPOSICIÓN!H1814</f>
        <v>0</v>
      </c>
      <c r="I1814" s="215">
        <f>COMPOSICIÓN!I1814</f>
        <v>100000</v>
      </c>
      <c r="J1814" s="212" t="str">
        <f>IFERROR(VLOOKUP(A1814,PARTIDAS!$A$2:$C$269,3,FALSE()),"")</f>
        <v>TRABAJOS COMPLEMENTARIOS</v>
      </c>
      <c r="K1814" s="212" t="str">
        <f>IFERROR(INDEX(PPTO_GENERADOR!$B$4:$B$220,MATCH(A1814,PPTO_GENERADOR!$Q$4:$Q$220,0)),"")</f>
        <v>TRABAJOS COMPLEMENTARIOS</v>
      </c>
      <c r="L1814" s="216">
        <f>IF(PLAN_ETAPA!$C$4="(TODOS)",SUMIFS(PPTO_GENERADOR!$E$4:$E$220,PPTO_GENERADOR!$Q$4:$Q$220,A1814),SUMIFS(PPTO_GENERADOR!$E$4:$E$220,PPTO_GENERADOR!$Q$4:$Q$220,A1814,PPTO_GENERADOR!$B$4:$B$220,PLAN_ETAPA!$C$4))</f>
        <v>0</v>
      </c>
      <c r="M1814" s="216">
        <f>IFERROR(VLOOKUP(A1814,PARTIDAS!$A$2:$F$269,6,FALSE()),1)</f>
        <v>1</v>
      </c>
      <c r="N1814" s="216">
        <f>IFERROR(VLOOKUP(A1814,PARTIDAS!$A$2:$I$269,9,FALSE()),1)</f>
        <v>1</v>
      </c>
      <c r="O1814" s="217">
        <f t="shared" si="56"/>
        <v>0</v>
      </c>
      <c r="P1814" s="216">
        <f>IF(O1814=0,0,IF(B1814="MAT",G1814*(1+H1814)*L1814*PLAN_ETAPA!$C$5,IF(B1814="MO",IF(M1814=0,0,G1814*L1814*PLAN_ETAPA!$C$5*N1814/M1814),IF(B1814="EQ",IF(M1814=0,0,G1814*L1814*PLAN_ETAPA!$C$5/M1814),0))))</f>
        <v>0</v>
      </c>
      <c r="Q1814" s="218">
        <f t="shared" si="57"/>
        <v>0</v>
      </c>
    </row>
    <row r="1815" spans="1:17" x14ac:dyDescent="0.35">
      <c r="A1815" s="212" t="str">
        <f>COMPOSICIÓN!A1815</f>
        <v>PTO-2303</v>
      </c>
      <c r="B1815" s="212" t="str">
        <f>COMPOSICIÓN!B1815</f>
        <v>MO</v>
      </c>
      <c r="C1815" s="212" t="str">
        <f>COMPOSICIÓN!C1815</f>
        <v>ALB</v>
      </c>
      <c r="D1815" s="212" t="str">
        <f>COMPOSICIÓN!D1815</f>
        <v>MO-EAYUD</v>
      </c>
      <c r="E1815" s="212" t="str">
        <f>COMPOSICIÓN!E1815</f>
        <v>AYUDANTE</v>
      </c>
      <c r="F1815" s="212" t="str">
        <f>COMPOSICIÓN!F1815</f>
        <v>j</v>
      </c>
      <c r="G1815" s="213">
        <f>COMPOSICIÓN!G1815</f>
        <v>0.15384615384615399</v>
      </c>
      <c r="H1815" s="214">
        <f>COMPOSICIÓN!H1815</f>
        <v>0</v>
      </c>
      <c r="I1815" s="215">
        <f>COMPOSICIÓN!I1815</f>
        <v>60860.580776572002</v>
      </c>
      <c r="J1815" s="212" t="str">
        <f>IFERROR(VLOOKUP(A1815,PARTIDAS!$A$2:$C$269,3,FALSE()),"")</f>
        <v>TRABAJOS COMPLEMENTARIOS</v>
      </c>
      <c r="K1815" s="212" t="str">
        <f>IFERROR(INDEX(PPTO_GENERADOR!$B$4:$B$220,MATCH(A1815,PPTO_GENERADOR!$Q$4:$Q$220,0)),"")</f>
        <v>TRABAJOS COMPLEMENTARIOS</v>
      </c>
      <c r="L1815" s="216">
        <f>IF(PLAN_ETAPA!$C$4="(TODOS)",SUMIFS(PPTO_GENERADOR!$E$4:$E$220,PPTO_GENERADOR!$Q$4:$Q$220,A1815),SUMIFS(PPTO_GENERADOR!$E$4:$E$220,PPTO_GENERADOR!$Q$4:$Q$220,A1815,PPTO_GENERADOR!$B$4:$B$220,PLAN_ETAPA!$C$4))</f>
        <v>0</v>
      </c>
      <c r="M1815" s="216">
        <f>IFERROR(VLOOKUP(A1815,PARTIDAS!$A$2:$F$269,6,FALSE()),1)</f>
        <v>1</v>
      </c>
      <c r="N1815" s="216">
        <f>IFERROR(VLOOKUP(A1815,PARTIDAS!$A$2:$I$269,9,FALSE()),1)</f>
        <v>1</v>
      </c>
      <c r="O1815" s="217">
        <f t="shared" si="56"/>
        <v>0</v>
      </c>
      <c r="P1815" s="216">
        <f>IF(O1815=0,0,IF(B1815="MAT",G1815*(1+H1815)*L1815*PLAN_ETAPA!$C$5,IF(B1815="MO",IF(M1815=0,0,G1815*L1815*PLAN_ETAPA!$C$5*N1815/M1815),IF(B1815="EQ",IF(M1815=0,0,G1815*L1815*PLAN_ETAPA!$C$5/M1815),0))))</f>
        <v>0</v>
      </c>
      <c r="Q1815" s="218">
        <f t="shared" si="57"/>
        <v>0</v>
      </c>
    </row>
    <row r="1816" spans="1:17" x14ac:dyDescent="0.35">
      <c r="A1816" s="212" t="str">
        <f>COMPOSICIÓN!A1816</f>
        <v>PTO-2303</v>
      </c>
      <c r="B1816" s="212" t="str">
        <f>COMPOSICIÓN!B1816</f>
        <v>MO</v>
      </c>
      <c r="C1816" s="212" t="str">
        <f>COMPOSICIÓN!C1816</f>
        <v>ALB</v>
      </c>
      <c r="D1816" s="212" t="str">
        <f>COMPOSICIÓN!D1816</f>
        <v>MO-EOFIC</v>
      </c>
      <c r="E1816" s="212" t="str">
        <f>COMPOSICIÓN!E1816</f>
        <v>OFICIAL</v>
      </c>
      <c r="F1816" s="212" t="str">
        <f>COMPOSICIÓN!F1816</f>
        <v>j</v>
      </c>
      <c r="G1816" s="213">
        <f>COMPOSICIÓN!G1816</f>
        <v>3.8461538461538498E-2</v>
      </c>
      <c r="H1816" s="214">
        <f>COMPOSICIÓN!H1816</f>
        <v>0</v>
      </c>
      <c r="I1816" s="215">
        <f>COMPOSICIÓN!I1816</f>
        <v>76955.079706571996</v>
      </c>
      <c r="J1816" s="212" t="str">
        <f>IFERROR(VLOOKUP(A1816,PARTIDAS!$A$2:$C$269,3,FALSE()),"")</f>
        <v>TRABAJOS COMPLEMENTARIOS</v>
      </c>
      <c r="K1816" s="212" t="str">
        <f>IFERROR(INDEX(PPTO_GENERADOR!$B$4:$B$220,MATCH(A1816,PPTO_GENERADOR!$Q$4:$Q$220,0)),"")</f>
        <v>TRABAJOS COMPLEMENTARIOS</v>
      </c>
      <c r="L1816" s="216">
        <f>IF(PLAN_ETAPA!$C$4="(TODOS)",SUMIFS(PPTO_GENERADOR!$E$4:$E$220,PPTO_GENERADOR!$Q$4:$Q$220,A1816),SUMIFS(PPTO_GENERADOR!$E$4:$E$220,PPTO_GENERADOR!$Q$4:$Q$220,A1816,PPTO_GENERADOR!$B$4:$B$220,PLAN_ETAPA!$C$4))</f>
        <v>0</v>
      </c>
      <c r="M1816" s="216">
        <f>IFERROR(VLOOKUP(A1816,PARTIDAS!$A$2:$F$269,6,FALSE()),1)</f>
        <v>1</v>
      </c>
      <c r="N1816" s="216">
        <f>IFERROR(VLOOKUP(A1816,PARTIDAS!$A$2:$I$269,9,FALSE()),1)</f>
        <v>1</v>
      </c>
      <c r="O1816" s="217">
        <f t="shared" si="56"/>
        <v>0</v>
      </c>
      <c r="P1816" s="216">
        <f>IF(O1816=0,0,IF(B1816="MAT",G1816*(1+H1816)*L1816*PLAN_ETAPA!$C$5,IF(B1816="MO",IF(M1816=0,0,G1816*L1816*PLAN_ETAPA!$C$5*N1816/M1816),IF(B1816="EQ",IF(M1816=0,0,G1816*L1816*PLAN_ETAPA!$C$5/M1816),0))))</f>
        <v>0</v>
      </c>
      <c r="Q1816" s="218">
        <f t="shared" si="57"/>
        <v>0</v>
      </c>
    </row>
    <row r="1817" spans="1:17" x14ac:dyDescent="0.35">
      <c r="A1817" s="212" t="str">
        <f>COMPOSICIÓN!A1817</f>
        <v>PTO-2304</v>
      </c>
      <c r="B1817" s="212" t="str">
        <f>COMPOSICIÓN!B1817</f>
        <v>EQ</v>
      </c>
      <c r="C1817" s="212">
        <f>COMPOSICIÓN!C1817</f>
        <v>0</v>
      </c>
      <c r="D1817" s="212" t="str">
        <f>COMPOSICIÓN!D1817</f>
        <v>EQ-PTO024</v>
      </c>
      <c r="E1817" s="212" t="str">
        <f>COMPOSICIÓN!E1817</f>
        <v>EQUIPO DE CONSTRUCCION EN SECO</v>
      </c>
      <c r="F1817" s="212">
        <f>COMPOSICIÓN!F1817</f>
        <v>0</v>
      </c>
      <c r="G1817" s="213">
        <f>COMPOSICIÓN!G1817</f>
        <v>1</v>
      </c>
      <c r="H1817" s="214">
        <f>COMPOSICIÓN!H1817</f>
        <v>0</v>
      </c>
      <c r="I1817" s="215">
        <f>COMPOSICIÓN!I1817</f>
        <v>2365.2381485799501</v>
      </c>
      <c r="J1817" s="212" t="str">
        <f>IFERROR(VLOOKUP(A1817,PARTIDAS!$A$2:$C$269,3,FALSE()),"")</f>
        <v>TRABAJOS COMPLEMENTARIOS</v>
      </c>
      <c r="K1817" s="212" t="str">
        <f>IFERROR(INDEX(PPTO_GENERADOR!$B$4:$B$220,MATCH(A1817,PPTO_GENERADOR!$Q$4:$Q$220,0)),"")</f>
        <v>TRABAJOS COMPLEMENTARIOS</v>
      </c>
      <c r="L1817" s="216">
        <f>IF(PLAN_ETAPA!$C$4="(TODOS)",SUMIFS(PPTO_GENERADOR!$E$4:$E$220,PPTO_GENERADOR!$Q$4:$Q$220,A1817),SUMIFS(PPTO_GENERADOR!$E$4:$E$220,PPTO_GENERADOR!$Q$4:$Q$220,A1817,PPTO_GENERADOR!$B$4:$B$220,PLAN_ETAPA!$C$4))</f>
        <v>0</v>
      </c>
      <c r="M1817" s="216">
        <f>IFERROR(VLOOKUP(A1817,PARTIDAS!$A$2:$F$269,6,FALSE()),1)</f>
        <v>7</v>
      </c>
      <c r="N1817" s="216">
        <f>IFERROR(VLOOKUP(A1817,PARTIDAS!$A$2:$I$269,9,FALSE()),1)</f>
        <v>1</v>
      </c>
      <c r="O1817" s="217">
        <f t="shared" si="56"/>
        <v>0</v>
      </c>
      <c r="P1817" s="216">
        <f>IF(O1817=0,0,IF(B1817="MAT",G1817*(1+H1817)*L1817*PLAN_ETAPA!$C$5,IF(B1817="MO",IF(M1817=0,0,G1817*L1817*PLAN_ETAPA!$C$5*N1817/M1817),IF(B1817="EQ",IF(M1817=0,0,G1817*L1817*PLAN_ETAPA!$C$5/M1817),0))))</f>
        <v>0</v>
      </c>
      <c r="Q1817" s="218">
        <f t="shared" si="57"/>
        <v>0</v>
      </c>
    </row>
    <row r="1818" spans="1:17" x14ac:dyDescent="0.35">
      <c r="A1818" s="212" t="str">
        <f>COMPOSICIÓN!A1818</f>
        <v>PTO-2304</v>
      </c>
      <c r="B1818" s="212" t="str">
        <f>COMPOSICIÓN!B1818</f>
        <v>EQ</v>
      </c>
      <c r="C1818" s="212">
        <f>COMPOSICIÓN!C1818</f>
        <v>0</v>
      </c>
      <c r="D1818" s="212" t="str">
        <f>COMPOSICIÓN!D1818</f>
        <v>EQ-ESCALE</v>
      </c>
      <c r="E1818" s="212" t="str">
        <f>COMPOSICIÓN!E1818</f>
        <v>ESCALERA GLOSS ALUMINIO ARTICULADA 4 X 4 ESCALONES HASTA 150KG</v>
      </c>
      <c r="F1818" s="212">
        <f>COMPOSICIÓN!F1818</f>
        <v>0</v>
      </c>
      <c r="G1818" s="213">
        <f>COMPOSICIÓN!G1818</f>
        <v>0.5</v>
      </c>
      <c r="H1818" s="214">
        <f>COMPOSICIÓN!H1818</f>
        <v>0</v>
      </c>
      <c r="I1818" s="215">
        <f>COMPOSICIÓN!I1818</f>
        <v>140.19809259430903</v>
      </c>
      <c r="J1818" s="212" t="str">
        <f>IFERROR(VLOOKUP(A1818,PARTIDAS!$A$2:$C$269,3,FALSE()),"")</f>
        <v>TRABAJOS COMPLEMENTARIOS</v>
      </c>
      <c r="K1818" s="212" t="str">
        <f>IFERROR(INDEX(PPTO_GENERADOR!$B$4:$B$220,MATCH(A1818,PPTO_GENERADOR!$Q$4:$Q$220,0)),"")</f>
        <v>TRABAJOS COMPLEMENTARIOS</v>
      </c>
      <c r="L1818" s="216">
        <f>IF(PLAN_ETAPA!$C$4="(TODOS)",SUMIFS(PPTO_GENERADOR!$E$4:$E$220,PPTO_GENERADOR!$Q$4:$Q$220,A1818),SUMIFS(PPTO_GENERADOR!$E$4:$E$220,PPTO_GENERADOR!$Q$4:$Q$220,A1818,PPTO_GENERADOR!$B$4:$B$220,PLAN_ETAPA!$C$4))</f>
        <v>0</v>
      </c>
      <c r="M1818" s="216">
        <f>IFERROR(VLOOKUP(A1818,PARTIDAS!$A$2:$F$269,6,FALSE()),1)</f>
        <v>7</v>
      </c>
      <c r="N1818" s="216">
        <f>IFERROR(VLOOKUP(A1818,PARTIDAS!$A$2:$I$269,9,FALSE()),1)</f>
        <v>1</v>
      </c>
      <c r="O1818" s="217">
        <f t="shared" si="56"/>
        <v>0</v>
      </c>
      <c r="P1818" s="216">
        <f>IF(O1818=0,0,IF(B1818="MAT",G1818*(1+H1818)*L1818*PLAN_ETAPA!$C$5,IF(B1818="MO",IF(M1818=0,0,G1818*L1818*PLAN_ETAPA!$C$5*N1818/M1818),IF(B1818="EQ",IF(M1818=0,0,G1818*L1818*PLAN_ETAPA!$C$5/M1818),0))))</f>
        <v>0</v>
      </c>
      <c r="Q1818" s="218">
        <f t="shared" si="57"/>
        <v>0</v>
      </c>
    </row>
    <row r="1819" spans="1:17" x14ac:dyDescent="0.35">
      <c r="A1819" s="212" t="str">
        <f>COMPOSICIÓN!A1819</f>
        <v>PTO-2304</v>
      </c>
      <c r="B1819" s="212" t="str">
        <f>COMPOSICIÓN!B1819</f>
        <v>MAT</v>
      </c>
      <c r="C1819" s="212" t="str">
        <f>COMPOSICIÓN!C1819</f>
        <v>OTR</v>
      </c>
      <c r="D1819" s="212" t="str">
        <f>COMPOSICIÓN!D1819</f>
        <v>DUR-001</v>
      </c>
      <c r="E1819" s="212" t="str">
        <f>COMPOSICIÓN!E1819</f>
        <v>Solera 70mm x 2.60m</v>
      </c>
      <c r="F1819" s="212" t="str">
        <f>COMPOSICIÓN!F1819</f>
        <v>u</v>
      </c>
      <c r="G1819" s="213">
        <f>COMPOSICIÓN!G1819</f>
        <v>0.46153846153846201</v>
      </c>
      <c r="H1819" s="214">
        <f>COMPOSICIÓN!H1819</f>
        <v>0.1</v>
      </c>
      <c r="I1819" s="215">
        <f>COMPOSICIÓN!I1819</f>
        <v>2932.93</v>
      </c>
      <c r="J1819" s="212" t="str">
        <f>IFERROR(VLOOKUP(A1819,PARTIDAS!$A$2:$C$269,3,FALSE()),"")</f>
        <v>TRABAJOS COMPLEMENTARIOS</v>
      </c>
      <c r="K1819" s="212" t="str">
        <f>IFERROR(INDEX(PPTO_GENERADOR!$B$4:$B$220,MATCH(A1819,PPTO_GENERADOR!$Q$4:$Q$220,0)),"")</f>
        <v>TRABAJOS COMPLEMENTARIOS</v>
      </c>
      <c r="L1819" s="216">
        <f>IF(PLAN_ETAPA!$C$4="(TODOS)",SUMIFS(PPTO_GENERADOR!$E$4:$E$220,PPTO_GENERADOR!$Q$4:$Q$220,A1819),SUMIFS(PPTO_GENERADOR!$E$4:$E$220,PPTO_GENERADOR!$Q$4:$Q$220,A1819,PPTO_GENERADOR!$B$4:$B$220,PLAN_ETAPA!$C$4))</f>
        <v>0</v>
      </c>
      <c r="M1819" s="216">
        <f>IFERROR(VLOOKUP(A1819,PARTIDAS!$A$2:$F$269,6,FALSE()),1)</f>
        <v>7</v>
      </c>
      <c r="N1819" s="216">
        <f>IFERROR(VLOOKUP(A1819,PARTIDAS!$A$2:$I$269,9,FALSE()),1)</f>
        <v>1</v>
      </c>
      <c r="O1819" s="217">
        <f t="shared" si="56"/>
        <v>0</v>
      </c>
      <c r="P1819" s="216">
        <f>IF(O1819=0,0,IF(B1819="MAT",G1819*(1+H1819)*L1819*PLAN_ETAPA!$C$5,IF(B1819="MO",IF(M1819=0,0,G1819*L1819*PLAN_ETAPA!$C$5*N1819/M1819),IF(B1819="EQ",IF(M1819=0,0,G1819*L1819*PLAN_ETAPA!$C$5/M1819),0))))</f>
        <v>0</v>
      </c>
      <c r="Q1819" s="218">
        <f t="shared" si="57"/>
        <v>0</v>
      </c>
    </row>
    <row r="1820" spans="1:17" x14ac:dyDescent="0.35">
      <c r="A1820" s="212" t="str">
        <f>COMPOSICIÓN!A1820</f>
        <v>PTO-2304</v>
      </c>
      <c r="B1820" s="212" t="str">
        <f>COMPOSICIÓN!B1820</f>
        <v>MAT</v>
      </c>
      <c r="C1820" s="212" t="str">
        <f>COMPOSICIÓN!C1820</f>
        <v>OTR</v>
      </c>
      <c r="D1820" s="212" t="str">
        <f>COMPOSICIÓN!D1820</f>
        <v>DUR-002</v>
      </c>
      <c r="E1820" s="212" t="str">
        <f>COMPOSICIÓN!E1820</f>
        <v>Montante 69mm x 2.60m</v>
      </c>
      <c r="F1820" s="212" t="str">
        <f>COMPOSICIÓN!F1820</f>
        <v>u</v>
      </c>
      <c r="G1820" s="213">
        <f>COMPOSICIÓN!G1820</f>
        <v>1.15384615384615</v>
      </c>
      <c r="H1820" s="214">
        <f>COMPOSICIÓN!H1820</f>
        <v>0.1</v>
      </c>
      <c r="I1820" s="215">
        <f>COMPOSICIÓN!I1820</f>
        <v>3295.47</v>
      </c>
      <c r="J1820" s="212" t="str">
        <f>IFERROR(VLOOKUP(A1820,PARTIDAS!$A$2:$C$269,3,FALSE()),"")</f>
        <v>TRABAJOS COMPLEMENTARIOS</v>
      </c>
      <c r="K1820" s="212" t="str">
        <f>IFERROR(INDEX(PPTO_GENERADOR!$B$4:$B$220,MATCH(A1820,PPTO_GENERADOR!$Q$4:$Q$220,0)),"")</f>
        <v>TRABAJOS COMPLEMENTARIOS</v>
      </c>
      <c r="L1820" s="216">
        <f>IF(PLAN_ETAPA!$C$4="(TODOS)",SUMIFS(PPTO_GENERADOR!$E$4:$E$220,PPTO_GENERADOR!$Q$4:$Q$220,A1820),SUMIFS(PPTO_GENERADOR!$E$4:$E$220,PPTO_GENERADOR!$Q$4:$Q$220,A1820,PPTO_GENERADOR!$B$4:$B$220,PLAN_ETAPA!$C$4))</f>
        <v>0</v>
      </c>
      <c r="M1820" s="216">
        <f>IFERROR(VLOOKUP(A1820,PARTIDAS!$A$2:$F$269,6,FALSE()),1)</f>
        <v>7</v>
      </c>
      <c r="N1820" s="216">
        <f>IFERROR(VLOOKUP(A1820,PARTIDAS!$A$2:$I$269,9,FALSE()),1)</f>
        <v>1</v>
      </c>
      <c r="O1820" s="217">
        <f t="shared" si="56"/>
        <v>0</v>
      </c>
      <c r="P1820" s="216">
        <f>IF(O1820=0,0,IF(B1820="MAT",G1820*(1+H1820)*L1820*PLAN_ETAPA!$C$5,IF(B1820="MO",IF(M1820=0,0,G1820*L1820*PLAN_ETAPA!$C$5*N1820/M1820),IF(B1820="EQ",IF(M1820=0,0,G1820*L1820*PLAN_ETAPA!$C$5/M1820),0))))</f>
        <v>0</v>
      </c>
      <c r="Q1820" s="218">
        <f t="shared" si="57"/>
        <v>0</v>
      </c>
    </row>
    <row r="1821" spans="1:17" x14ac:dyDescent="0.35">
      <c r="A1821" s="212" t="str">
        <f>COMPOSICIÓN!A1821</f>
        <v>PTO-2304</v>
      </c>
      <c r="B1821" s="212" t="str">
        <f>COMPOSICIÓN!B1821</f>
        <v>MAT</v>
      </c>
      <c r="C1821" s="212" t="str">
        <f>COMPOSICIÓN!C1821</f>
        <v>OTR</v>
      </c>
      <c r="D1821" s="212" t="str">
        <f>COMPOSICIÓN!D1821</f>
        <v>DUR-005</v>
      </c>
      <c r="E1821" s="212" t="str">
        <f>COMPOSICIÓN!E1821</f>
        <v>Masilla x 32kg</v>
      </c>
      <c r="F1821" s="212" t="str">
        <f>COMPOSICIÓN!F1821</f>
        <v>u</v>
      </c>
      <c r="G1821" s="213">
        <f>COMPOSICIÓN!G1821</f>
        <v>5.6300000000000003E-2</v>
      </c>
      <c r="H1821" s="214">
        <f>COMPOSICIÓN!H1821</f>
        <v>0.05</v>
      </c>
      <c r="I1821" s="215">
        <f>COMPOSICIÓN!I1821</f>
        <v>26872.02</v>
      </c>
      <c r="J1821" s="212" t="str">
        <f>IFERROR(VLOOKUP(A1821,PARTIDAS!$A$2:$C$269,3,FALSE()),"")</f>
        <v>TRABAJOS COMPLEMENTARIOS</v>
      </c>
      <c r="K1821" s="212" t="str">
        <f>IFERROR(INDEX(PPTO_GENERADOR!$B$4:$B$220,MATCH(A1821,PPTO_GENERADOR!$Q$4:$Q$220,0)),"")</f>
        <v>TRABAJOS COMPLEMENTARIOS</v>
      </c>
      <c r="L1821" s="216">
        <f>IF(PLAN_ETAPA!$C$4="(TODOS)",SUMIFS(PPTO_GENERADOR!$E$4:$E$220,PPTO_GENERADOR!$Q$4:$Q$220,A1821),SUMIFS(PPTO_GENERADOR!$E$4:$E$220,PPTO_GENERADOR!$Q$4:$Q$220,A1821,PPTO_GENERADOR!$B$4:$B$220,PLAN_ETAPA!$C$4))</f>
        <v>0</v>
      </c>
      <c r="M1821" s="216">
        <f>IFERROR(VLOOKUP(A1821,PARTIDAS!$A$2:$F$269,6,FALSE()),1)</f>
        <v>7</v>
      </c>
      <c r="N1821" s="216">
        <f>IFERROR(VLOOKUP(A1821,PARTIDAS!$A$2:$I$269,9,FALSE()),1)</f>
        <v>1</v>
      </c>
      <c r="O1821" s="217">
        <f t="shared" si="56"/>
        <v>0</v>
      </c>
      <c r="P1821" s="216">
        <f>IF(O1821=0,0,IF(B1821="MAT",G1821*(1+H1821)*L1821*PLAN_ETAPA!$C$5,IF(B1821="MO",IF(M1821=0,0,G1821*L1821*PLAN_ETAPA!$C$5*N1821/M1821),IF(B1821="EQ",IF(M1821=0,0,G1821*L1821*PLAN_ETAPA!$C$5/M1821),0))))</f>
        <v>0</v>
      </c>
      <c r="Q1821" s="218">
        <f t="shared" si="57"/>
        <v>0</v>
      </c>
    </row>
    <row r="1822" spans="1:17" x14ac:dyDescent="0.35">
      <c r="A1822" s="212" t="str">
        <f>COMPOSICIÓN!A1822</f>
        <v>PTO-2304</v>
      </c>
      <c r="B1822" s="212" t="str">
        <f>COMPOSICIÓN!B1822</f>
        <v>MAT</v>
      </c>
      <c r="C1822" s="212" t="str">
        <f>COMPOSICIÓN!C1822</f>
        <v>OTR</v>
      </c>
      <c r="D1822" s="212" t="str">
        <f>COMPOSICIÓN!D1822</f>
        <v>OTR-007</v>
      </c>
      <c r="E1822" s="212" t="str">
        <f>COMPOSICIÓN!E1822</f>
        <v>Tornillo T1 - Aguja</v>
      </c>
      <c r="F1822" s="212" t="str">
        <f>COMPOSICIÓN!F1822</f>
        <v>u</v>
      </c>
      <c r="G1822" s="213">
        <f>COMPOSICIÓN!G1822</f>
        <v>10</v>
      </c>
      <c r="H1822" s="214">
        <f>COMPOSICIÓN!H1822</f>
        <v>0.05</v>
      </c>
      <c r="I1822" s="215">
        <f>COMPOSICIÓN!I1822</f>
        <v>32.707173553719002</v>
      </c>
      <c r="J1822" s="212" t="str">
        <f>IFERROR(VLOOKUP(A1822,PARTIDAS!$A$2:$C$269,3,FALSE()),"")</f>
        <v>TRABAJOS COMPLEMENTARIOS</v>
      </c>
      <c r="K1822" s="212" t="str">
        <f>IFERROR(INDEX(PPTO_GENERADOR!$B$4:$B$220,MATCH(A1822,PPTO_GENERADOR!$Q$4:$Q$220,0)),"")</f>
        <v>TRABAJOS COMPLEMENTARIOS</v>
      </c>
      <c r="L1822" s="216">
        <f>IF(PLAN_ETAPA!$C$4="(TODOS)",SUMIFS(PPTO_GENERADOR!$E$4:$E$220,PPTO_GENERADOR!$Q$4:$Q$220,A1822),SUMIFS(PPTO_GENERADOR!$E$4:$E$220,PPTO_GENERADOR!$Q$4:$Q$220,A1822,PPTO_GENERADOR!$B$4:$B$220,PLAN_ETAPA!$C$4))</f>
        <v>0</v>
      </c>
      <c r="M1822" s="216">
        <f>IFERROR(VLOOKUP(A1822,PARTIDAS!$A$2:$F$269,6,FALSE()),1)</f>
        <v>7</v>
      </c>
      <c r="N1822" s="216">
        <f>IFERROR(VLOOKUP(A1822,PARTIDAS!$A$2:$I$269,9,FALSE()),1)</f>
        <v>1</v>
      </c>
      <c r="O1822" s="217">
        <f t="shared" si="56"/>
        <v>0</v>
      </c>
      <c r="P1822" s="216">
        <f>IF(O1822=0,0,IF(B1822="MAT",G1822*(1+H1822)*L1822*PLAN_ETAPA!$C$5,IF(B1822="MO",IF(M1822=0,0,G1822*L1822*PLAN_ETAPA!$C$5*N1822/M1822),IF(B1822="EQ",IF(M1822=0,0,G1822*L1822*PLAN_ETAPA!$C$5/M1822),0))))</f>
        <v>0</v>
      </c>
      <c r="Q1822" s="218">
        <f t="shared" si="57"/>
        <v>0</v>
      </c>
    </row>
    <row r="1823" spans="1:17" x14ac:dyDescent="0.35">
      <c r="A1823" s="212" t="str">
        <f>COMPOSICIÓN!A1823</f>
        <v>PTO-2304</v>
      </c>
      <c r="B1823" s="212" t="str">
        <f>COMPOSICIÓN!B1823</f>
        <v>MAT</v>
      </c>
      <c r="C1823" s="212" t="str">
        <f>COMPOSICIÓN!C1823</f>
        <v>OTR</v>
      </c>
      <c r="D1823" s="212" t="str">
        <f>COMPOSICIÓN!D1823</f>
        <v>OTR-008</v>
      </c>
      <c r="E1823" s="212" t="str">
        <f>COMPOSICIÓN!E1823</f>
        <v>Tornillo T2 - Aguja</v>
      </c>
      <c r="F1823" s="212" t="str">
        <f>COMPOSICIÓN!F1823</f>
        <v>u</v>
      </c>
      <c r="G1823" s="213">
        <f>COMPOSICIÓN!G1823</f>
        <v>30</v>
      </c>
      <c r="H1823" s="214">
        <f>COMPOSICIÓN!H1823</f>
        <v>0.05</v>
      </c>
      <c r="I1823" s="215">
        <f>COMPOSICIÓN!I1823</f>
        <v>17.1963177226814</v>
      </c>
      <c r="J1823" s="212" t="str">
        <f>IFERROR(VLOOKUP(A1823,PARTIDAS!$A$2:$C$269,3,FALSE()),"")</f>
        <v>TRABAJOS COMPLEMENTARIOS</v>
      </c>
      <c r="K1823" s="212" t="str">
        <f>IFERROR(INDEX(PPTO_GENERADOR!$B$4:$B$220,MATCH(A1823,PPTO_GENERADOR!$Q$4:$Q$220,0)),"")</f>
        <v>TRABAJOS COMPLEMENTARIOS</v>
      </c>
      <c r="L1823" s="216">
        <f>IF(PLAN_ETAPA!$C$4="(TODOS)",SUMIFS(PPTO_GENERADOR!$E$4:$E$220,PPTO_GENERADOR!$Q$4:$Q$220,A1823),SUMIFS(PPTO_GENERADOR!$E$4:$E$220,PPTO_GENERADOR!$Q$4:$Q$220,A1823,PPTO_GENERADOR!$B$4:$B$220,PLAN_ETAPA!$C$4))</f>
        <v>0</v>
      </c>
      <c r="M1823" s="216">
        <f>IFERROR(VLOOKUP(A1823,PARTIDAS!$A$2:$F$269,6,FALSE()),1)</f>
        <v>7</v>
      </c>
      <c r="N1823" s="216">
        <f>IFERROR(VLOOKUP(A1823,PARTIDAS!$A$2:$I$269,9,FALSE()),1)</f>
        <v>1</v>
      </c>
      <c r="O1823" s="217">
        <f t="shared" si="56"/>
        <v>0</v>
      </c>
      <c r="P1823" s="216">
        <f>IF(O1823=0,0,IF(B1823="MAT",G1823*(1+H1823)*L1823*PLAN_ETAPA!$C$5,IF(B1823="MO",IF(M1823=0,0,G1823*L1823*PLAN_ETAPA!$C$5*N1823/M1823),IF(B1823="EQ",IF(M1823=0,0,G1823*L1823*PLAN_ETAPA!$C$5/M1823),0))))</f>
        <v>0</v>
      </c>
      <c r="Q1823" s="218">
        <f t="shared" si="57"/>
        <v>0</v>
      </c>
    </row>
    <row r="1824" spans="1:17" x14ac:dyDescent="0.35">
      <c r="A1824" s="212" t="str">
        <f>COMPOSICIÓN!A1824</f>
        <v>PTO-2304</v>
      </c>
      <c r="B1824" s="212" t="str">
        <f>COMPOSICIÓN!B1824</f>
        <v>MAT</v>
      </c>
      <c r="C1824" s="212" t="str">
        <f>COMPOSICIÓN!C1824</f>
        <v>OTR</v>
      </c>
      <c r="D1824" s="212" t="str">
        <f>COMPOSICIÓN!D1824</f>
        <v>OTR-010</v>
      </c>
      <c r="E1824" s="212" t="str">
        <f>COMPOSICIÓN!E1824</f>
        <v>Fijacion completa del 8</v>
      </c>
      <c r="F1824" s="212" t="str">
        <f>COMPOSICIÓN!F1824</f>
        <v>u</v>
      </c>
      <c r="G1824" s="213">
        <f>COMPOSICIÓN!G1824</f>
        <v>3.5</v>
      </c>
      <c r="H1824" s="214">
        <f>COMPOSICIÓN!H1824</f>
        <v>0.05</v>
      </c>
      <c r="I1824" s="215">
        <f>COMPOSICIÓN!I1824</f>
        <v>65.919008264462803</v>
      </c>
      <c r="J1824" s="212" t="str">
        <f>IFERROR(VLOOKUP(A1824,PARTIDAS!$A$2:$C$269,3,FALSE()),"")</f>
        <v>TRABAJOS COMPLEMENTARIOS</v>
      </c>
      <c r="K1824" s="212" t="str">
        <f>IFERROR(INDEX(PPTO_GENERADOR!$B$4:$B$220,MATCH(A1824,PPTO_GENERADOR!$Q$4:$Q$220,0)),"")</f>
        <v>TRABAJOS COMPLEMENTARIOS</v>
      </c>
      <c r="L1824" s="216">
        <f>IF(PLAN_ETAPA!$C$4="(TODOS)",SUMIFS(PPTO_GENERADOR!$E$4:$E$220,PPTO_GENERADOR!$Q$4:$Q$220,A1824),SUMIFS(PPTO_GENERADOR!$E$4:$E$220,PPTO_GENERADOR!$Q$4:$Q$220,A1824,PPTO_GENERADOR!$B$4:$B$220,PLAN_ETAPA!$C$4))</f>
        <v>0</v>
      </c>
      <c r="M1824" s="216">
        <f>IFERROR(VLOOKUP(A1824,PARTIDAS!$A$2:$F$269,6,FALSE()),1)</f>
        <v>7</v>
      </c>
      <c r="N1824" s="216">
        <f>IFERROR(VLOOKUP(A1824,PARTIDAS!$A$2:$I$269,9,FALSE()),1)</f>
        <v>1</v>
      </c>
      <c r="O1824" s="217">
        <f t="shared" si="56"/>
        <v>0</v>
      </c>
      <c r="P1824" s="216">
        <f>IF(O1824=0,0,IF(B1824="MAT",G1824*(1+H1824)*L1824*PLAN_ETAPA!$C$5,IF(B1824="MO",IF(M1824=0,0,G1824*L1824*PLAN_ETAPA!$C$5*N1824/M1824),IF(B1824="EQ",IF(M1824=0,0,G1824*L1824*PLAN_ETAPA!$C$5/M1824),0))))</f>
        <v>0</v>
      </c>
      <c r="Q1824" s="218">
        <f t="shared" si="57"/>
        <v>0</v>
      </c>
    </row>
    <row r="1825" spans="1:17" x14ac:dyDescent="0.35">
      <c r="A1825" s="212" t="str">
        <f>COMPOSICIÓN!A1825</f>
        <v>PTO-2304</v>
      </c>
      <c r="B1825" s="212" t="str">
        <f>COMPOSICIÓN!B1825</f>
        <v>MAT</v>
      </c>
      <c r="C1825" s="212" t="str">
        <f>COMPOSICIÓN!C1825</f>
        <v>OTR</v>
      </c>
      <c r="D1825" s="212" t="str">
        <f>COMPOSICIÓN!D1825</f>
        <v>OTR-011</v>
      </c>
      <c r="E1825" s="212" t="str">
        <f>COMPOSICIÓN!E1825</f>
        <v>Cinta Entramada - 90m</v>
      </c>
      <c r="F1825" s="212" t="str">
        <f>COMPOSICIÓN!F1825</f>
        <v>u</v>
      </c>
      <c r="G1825" s="213">
        <f>COMPOSICIÓN!G1825</f>
        <v>0.04</v>
      </c>
      <c r="H1825" s="214">
        <f>COMPOSICIÓN!H1825</f>
        <v>0.05</v>
      </c>
      <c r="I1825" s="215">
        <f>COMPOSICIÓN!I1825</f>
        <v>4042.71</v>
      </c>
      <c r="J1825" s="212" t="str">
        <f>IFERROR(VLOOKUP(A1825,PARTIDAS!$A$2:$C$269,3,FALSE()),"")</f>
        <v>TRABAJOS COMPLEMENTARIOS</v>
      </c>
      <c r="K1825" s="212" t="str">
        <f>IFERROR(INDEX(PPTO_GENERADOR!$B$4:$B$220,MATCH(A1825,PPTO_GENERADOR!$Q$4:$Q$220,0)),"")</f>
        <v>TRABAJOS COMPLEMENTARIOS</v>
      </c>
      <c r="L1825" s="216">
        <f>IF(PLAN_ETAPA!$C$4="(TODOS)",SUMIFS(PPTO_GENERADOR!$E$4:$E$220,PPTO_GENERADOR!$Q$4:$Q$220,A1825),SUMIFS(PPTO_GENERADOR!$E$4:$E$220,PPTO_GENERADOR!$Q$4:$Q$220,A1825,PPTO_GENERADOR!$B$4:$B$220,PLAN_ETAPA!$C$4))</f>
        <v>0</v>
      </c>
      <c r="M1825" s="216">
        <f>IFERROR(VLOOKUP(A1825,PARTIDAS!$A$2:$F$269,6,FALSE()),1)</f>
        <v>7</v>
      </c>
      <c r="N1825" s="216">
        <f>IFERROR(VLOOKUP(A1825,PARTIDAS!$A$2:$I$269,9,FALSE()),1)</f>
        <v>1</v>
      </c>
      <c r="O1825" s="217">
        <f t="shared" si="56"/>
        <v>0</v>
      </c>
      <c r="P1825" s="216">
        <f>IF(O1825=0,0,IF(B1825="MAT",G1825*(1+H1825)*L1825*PLAN_ETAPA!$C$5,IF(B1825="MO",IF(M1825=0,0,G1825*L1825*PLAN_ETAPA!$C$5*N1825/M1825),IF(B1825="EQ",IF(M1825=0,0,G1825*L1825*PLAN_ETAPA!$C$5/M1825),0))))</f>
        <v>0</v>
      </c>
      <c r="Q1825" s="218">
        <f t="shared" si="57"/>
        <v>0</v>
      </c>
    </row>
    <row r="1826" spans="1:17" x14ac:dyDescent="0.35">
      <c r="A1826" s="212" t="str">
        <f>COMPOSICIÓN!A1826</f>
        <v>PTO-2304</v>
      </c>
      <c r="B1826" s="212" t="str">
        <f>COMPOSICIÓN!B1826</f>
        <v>MAT</v>
      </c>
      <c r="C1826" s="212" t="str">
        <f>COMPOSICIÓN!C1826</f>
        <v>OTR</v>
      </c>
      <c r="D1826" s="212" t="str">
        <f>COMPOSICIÓN!D1826</f>
        <v>REV-006</v>
      </c>
      <c r="E1826" s="212" t="str">
        <f>COMPOSICIÓN!E1826</f>
        <v>Placa Roca de Yeso 1220 x 2440 - 12.5mm - STD</v>
      </c>
      <c r="F1826" s="212" t="str">
        <f>COMPOSICIÓN!F1826</f>
        <v>u</v>
      </c>
      <c r="G1826" s="213">
        <f>COMPOSICIÓN!G1826</f>
        <v>0.71</v>
      </c>
      <c r="H1826" s="214">
        <f>COMPOSICIÓN!H1826</f>
        <v>0.1</v>
      </c>
      <c r="I1826" s="215">
        <f>COMPOSICIÓN!I1826</f>
        <v>10022.959999999999</v>
      </c>
      <c r="J1826" s="212" t="str">
        <f>IFERROR(VLOOKUP(A1826,PARTIDAS!$A$2:$C$269,3,FALSE()),"")</f>
        <v>TRABAJOS COMPLEMENTARIOS</v>
      </c>
      <c r="K1826" s="212" t="str">
        <f>IFERROR(INDEX(PPTO_GENERADOR!$B$4:$B$220,MATCH(A1826,PPTO_GENERADOR!$Q$4:$Q$220,0)),"")</f>
        <v>TRABAJOS COMPLEMENTARIOS</v>
      </c>
      <c r="L1826" s="216">
        <f>IF(PLAN_ETAPA!$C$4="(TODOS)",SUMIFS(PPTO_GENERADOR!$E$4:$E$220,PPTO_GENERADOR!$Q$4:$Q$220,A1826),SUMIFS(PPTO_GENERADOR!$E$4:$E$220,PPTO_GENERADOR!$Q$4:$Q$220,A1826,PPTO_GENERADOR!$B$4:$B$220,PLAN_ETAPA!$C$4))</f>
        <v>0</v>
      </c>
      <c r="M1826" s="216">
        <f>IFERROR(VLOOKUP(A1826,PARTIDAS!$A$2:$F$269,6,FALSE()),1)</f>
        <v>7</v>
      </c>
      <c r="N1826" s="216">
        <f>IFERROR(VLOOKUP(A1826,PARTIDAS!$A$2:$I$269,9,FALSE()),1)</f>
        <v>1</v>
      </c>
      <c r="O1826" s="217">
        <f t="shared" si="56"/>
        <v>0</v>
      </c>
      <c r="P1826" s="216">
        <f>IF(O1826=0,0,IF(B1826="MAT",G1826*(1+H1826)*L1826*PLAN_ETAPA!$C$5,IF(B1826="MO",IF(M1826=0,0,G1826*L1826*PLAN_ETAPA!$C$5*N1826/M1826),IF(B1826="EQ",IF(M1826=0,0,G1826*L1826*PLAN_ETAPA!$C$5/M1826),0))))</f>
        <v>0</v>
      </c>
      <c r="Q1826" s="218">
        <f t="shared" si="57"/>
        <v>0</v>
      </c>
    </row>
    <row r="1827" spans="1:17" x14ac:dyDescent="0.35">
      <c r="A1827" s="212" t="str">
        <f>COMPOSICIÓN!A1827</f>
        <v>PTO-2304</v>
      </c>
      <c r="B1827" s="212" t="str">
        <f>COMPOSICIÓN!B1827</f>
        <v>MAT</v>
      </c>
      <c r="C1827" s="212" t="str">
        <f>COMPOSICIÓN!C1827</f>
        <v>ALB</v>
      </c>
      <c r="D1827" s="212" t="str">
        <f>COMPOSICIÓN!D1827</f>
        <v>OTR-PTO015</v>
      </c>
      <c r="E1827" s="212" t="str">
        <f>COMPOSICIÓN!E1827</f>
        <v xml:space="preserve">Materiales varios </v>
      </c>
      <c r="F1827" s="212" t="str">
        <f>COMPOSICIÓN!F1827</f>
        <v>gl</v>
      </c>
      <c r="G1827" s="213">
        <f>COMPOSICIÓN!G1827</f>
        <v>8192.6823256636708</v>
      </c>
      <c r="H1827" s="214">
        <f>COMPOSICIÓN!H1827</f>
        <v>0</v>
      </c>
      <c r="I1827" s="215">
        <f>COMPOSICIÓN!I1827</f>
        <v>1</v>
      </c>
      <c r="J1827" s="212" t="str">
        <f>IFERROR(VLOOKUP(A1827,PARTIDAS!$A$2:$C$269,3,FALSE()),"")</f>
        <v>TRABAJOS COMPLEMENTARIOS</v>
      </c>
      <c r="K1827" s="212" t="str">
        <f>IFERROR(INDEX(PPTO_GENERADOR!$B$4:$B$220,MATCH(A1827,PPTO_GENERADOR!$Q$4:$Q$220,0)),"")</f>
        <v>TRABAJOS COMPLEMENTARIOS</v>
      </c>
      <c r="L1827" s="216">
        <f>IF(PLAN_ETAPA!$C$4="(TODOS)",SUMIFS(PPTO_GENERADOR!$E$4:$E$220,PPTO_GENERADOR!$Q$4:$Q$220,A1827),SUMIFS(PPTO_GENERADOR!$E$4:$E$220,PPTO_GENERADOR!$Q$4:$Q$220,A1827,PPTO_GENERADOR!$B$4:$B$220,PLAN_ETAPA!$C$4))</f>
        <v>0</v>
      </c>
      <c r="M1827" s="216">
        <f>IFERROR(VLOOKUP(A1827,PARTIDAS!$A$2:$F$269,6,FALSE()),1)</f>
        <v>7</v>
      </c>
      <c r="N1827" s="216">
        <f>IFERROR(VLOOKUP(A1827,PARTIDAS!$A$2:$I$269,9,FALSE()),1)</f>
        <v>1</v>
      </c>
      <c r="O1827" s="217">
        <f t="shared" si="56"/>
        <v>0</v>
      </c>
      <c r="P1827" s="216">
        <f>IF(O1827=0,0,IF(B1827="MAT",G1827*(1+H1827)*L1827*PLAN_ETAPA!$C$5,IF(B1827="MO",IF(M1827=0,0,G1827*L1827*PLAN_ETAPA!$C$5*N1827/M1827),IF(B1827="EQ",IF(M1827=0,0,G1827*L1827*PLAN_ETAPA!$C$5/M1827),0))))</f>
        <v>0</v>
      </c>
      <c r="Q1827" s="218">
        <f t="shared" si="57"/>
        <v>0</v>
      </c>
    </row>
    <row r="1828" spans="1:17" x14ac:dyDescent="0.35">
      <c r="A1828" s="212" t="str">
        <f>COMPOSICIÓN!A1828</f>
        <v>PTO-2304</v>
      </c>
      <c r="B1828" s="212" t="str">
        <f>COMPOSICIÓN!B1828</f>
        <v>MO</v>
      </c>
      <c r="C1828" s="212" t="str">
        <f>COMPOSICIÓN!C1828</f>
        <v>OTR</v>
      </c>
      <c r="D1828" s="212" t="str">
        <f>COMPOSICIÓN!D1828</f>
        <v>SUB-PTO088</v>
      </c>
      <c r="E1828" s="212" t="str">
        <f>COMPOSICIÓN!E1828</f>
        <v>MO Tabique divisorio dormitorios</v>
      </c>
      <c r="F1828" s="212" t="str">
        <f>COMPOSICIÓN!F1828</f>
        <v>j</v>
      </c>
      <c r="G1828" s="213">
        <f>COMPOSICIÓN!G1828</f>
        <v>7</v>
      </c>
      <c r="H1828" s="214">
        <f>COMPOSICIÓN!H1828</f>
        <v>0</v>
      </c>
      <c r="I1828" s="215">
        <f>COMPOSICIÓN!I1828</f>
        <v>5407.8631711837097</v>
      </c>
      <c r="J1828" s="212" t="str">
        <f>IFERROR(VLOOKUP(A1828,PARTIDAS!$A$2:$C$269,3,FALSE()),"")</f>
        <v>TRABAJOS COMPLEMENTARIOS</v>
      </c>
      <c r="K1828" s="212" t="str">
        <f>IFERROR(INDEX(PPTO_GENERADOR!$B$4:$B$220,MATCH(A1828,PPTO_GENERADOR!$Q$4:$Q$220,0)),"")</f>
        <v>TRABAJOS COMPLEMENTARIOS</v>
      </c>
      <c r="L1828" s="216">
        <f>IF(PLAN_ETAPA!$C$4="(TODOS)",SUMIFS(PPTO_GENERADOR!$E$4:$E$220,PPTO_GENERADOR!$Q$4:$Q$220,A1828),SUMIFS(PPTO_GENERADOR!$E$4:$E$220,PPTO_GENERADOR!$Q$4:$Q$220,A1828,PPTO_GENERADOR!$B$4:$B$220,PLAN_ETAPA!$C$4))</f>
        <v>0</v>
      </c>
      <c r="M1828" s="216">
        <f>IFERROR(VLOOKUP(A1828,PARTIDAS!$A$2:$F$269,6,FALSE()),1)</f>
        <v>7</v>
      </c>
      <c r="N1828" s="216">
        <f>IFERROR(VLOOKUP(A1828,PARTIDAS!$A$2:$I$269,9,FALSE()),1)</f>
        <v>1</v>
      </c>
      <c r="O1828" s="217">
        <f t="shared" si="56"/>
        <v>0</v>
      </c>
      <c r="P1828" s="216">
        <f>IF(O1828=0,0,IF(B1828="MAT",G1828*(1+H1828)*L1828*PLAN_ETAPA!$C$5,IF(B1828="MO",IF(M1828=0,0,G1828*L1828*PLAN_ETAPA!$C$5*N1828/M1828),IF(B1828="EQ",IF(M1828=0,0,G1828*L1828*PLAN_ETAPA!$C$5/M1828),0))))</f>
        <v>0</v>
      </c>
      <c r="Q1828" s="218">
        <f t="shared" si="57"/>
        <v>0</v>
      </c>
    </row>
    <row r="1829" spans="1:17" x14ac:dyDescent="0.35">
      <c r="A1829" s="212" t="str">
        <f>COMPOSICIÓN!A1829</f>
        <v>PTO-2304</v>
      </c>
      <c r="B1829" s="212" t="str">
        <f>COMPOSICIÓN!B1829</f>
        <v>MO</v>
      </c>
      <c r="C1829" s="212" t="str">
        <f>COMPOSICIÓN!C1829</f>
        <v>ALB</v>
      </c>
      <c r="D1829" s="212" t="str">
        <f>COMPOSICIÓN!D1829</f>
        <v>MO-EMEDI</v>
      </c>
      <c r="E1829" s="212" t="str">
        <f>COMPOSICIÓN!E1829</f>
        <v>MEDIO OFICIAL</v>
      </c>
      <c r="F1829" s="212" t="str">
        <f>COMPOSICIÓN!F1829</f>
        <v>j</v>
      </c>
      <c r="G1829" s="213">
        <f>COMPOSICIÓN!G1829</f>
        <v>1</v>
      </c>
      <c r="H1829" s="214">
        <f>COMPOSICIÓN!H1829</f>
        <v>0</v>
      </c>
      <c r="I1829" s="215">
        <f>COMPOSICIÓN!I1829</f>
        <v>65493.071636572</v>
      </c>
      <c r="J1829" s="212" t="str">
        <f>IFERROR(VLOOKUP(A1829,PARTIDAS!$A$2:$C$269,3,FALSE()),"")</f>
        <v>TRABAJOS COMPLEMENTARIOS</v>
      </c>
      <c r="K1829" s="212" t="str">
        <f>IFERROR(INDEX(PPTO_GENERADOR!$B$4:$B$220,MATCH(A1829,PPTO_GENERADOR!$Q$4:$Q$220,0)),"")</f>
        <v>TRABAJOS COMPLEMENTARIOS</v>
      </c>
      <c r="L1829" s="216">
        <f>IF(PLAN_ETAPA!$C$4="(TODOS)",SUMIFS(PPTO_GENERADOR!$E$4:$E$220,PPTO_GENERADOR!$Q$4:$Q$220,A1829),SUMIFS(PPTO_GENERADOR!$E$4:$E$220,PPTO_GENERADOR!$Q$4:$Q$220,A1829,PPTO_GENERADOR!$B$4:$B$220,PLAN_ETAPA!$C$4))</f>
        <v>0</v>
      </c>
      <c r="M1829" s="216">
        <f>IFERROR(VLOOKUP(A1829,PARTIDAS!$A$2:$F$269,6,FALSE()),1)</f>
        <v>7</v>
      </c>
      <c r="N1829" s="216">
        <f>IFERROR(VLOOKUP(A1829,PARTIDAS!$A$2:$I$269,9,FALSE()),1)</f>
        <v>1</v>
      </c>
      <c r="O1829" s="217">
        <f t="shared" si="56"/>
        <v>0</v>
      </c>
      <c r="P1829" s="216">
        <f>IF(O1829=0,0,IF(B1829="MAT",G1829*(1+H1829)*L1829*PLAN_ETAPA!$C$5,IF(B1829="MO",IF(M1829=0,0,G1829*L1829*PLAN_ETAPA!$C$5*N1829/M1829),IF(B1829="EQ",IF(M1829=0,0,G1829*L1829*PLAN_ETAPA!$C$5/M1829),0))))</f>
        <v>0</v>
      </c>
      <c r="Q1829" s="218">
        <f t="shared" si="57"/>
        <v>0</v>
      </c>
    </row>
    <row r="1830" spans="1:17" x14ac:dyDescent="0.35">
      <c r="A1830" s="212" t="str">
        <f>COMPOSICIÓN!A1830</f>
        <v>PTO-2304</v>
      </c>
      <c r="B1830" s="212" t="str">
        <f>COMPOSICIÓN!B1830</f>
        <v>MO</v>
      </c>
      <c r="C1830" s="212" t="str">
        <f>COMPOSICIÓN!C1830</f>
        <v>ALB</v>
      </c>
      <c r="D1830" s="212" t="str">
        <f>COMPOSICIÓN!D1830</f>
        <v>MO-EESPE</v>
      </c>
      <c r="E1830" s="212" t="str">
        <f>COMPOSICIÓN!E1830</f>
        <v>ESPECIALIZADO</v>
      </c>
      <c r="F1830" s="212" t="str">
        <f>COMPOSICIÓN!F1830</f>
        <v>j</v>
      </c>
      <c r="G1830" s="213">
        <f>COMPOSICIÓN!G1830</f>
        <v>1</v>
      </c>
      <c r="H1830" s="214">
        <f>COMPOSICIÓN!H1830</f>
        <v>0</v>
      </c>
      <c r="I1830" s="215">
        <f>COMPOSICIÓN!I1830</f>
        <v>85927.097156571996</v>
      </c>
      <c r="J1830" s="212" t="str">
        <f>IFERROR(VLOOKUP(A1830,PARTIDAS!$A$2:$C$269,3,FALSE()),"")</f>
        <v>TRABAJOS COMPLEMENTARIOS</v>
      </c>
      <c r="K1830" s="212" t="str">
        <f>IFERROR(INDEX(PPTO_GENERADOR!$B$4:$B$220,MATCH(A1830,PPTO_GENERADOR!$Q$4:$Q$220,0)),"")</f>
        <v>TRABAJOS COMPLEMENTARIOS</v>
      </c>
      <c r="L1830" s="216">
        <f>IF(PLAN_ETAPA!$C$4="(TODOS)",SUMIFS(PPTO_GENERADOR!$E$4:$E$220,PPTO_GENERADOR!$Q$4:$Q$220,A1830),SUMIFS(PPTO_GENERADOR!$E$4:$E$220,PPTO_GENERADOR!$Q$4:$Q$220,A1830,PPTO_GENERADOR!$B$4:$B$220,PLAN_ETAPA!$C$4))</f>
        <v>0</v>
      </c>
      <c r="M1830" s="216">
        <f>IFERROR(VLOOKUP(A1830,PARTIDAS!$A$2:$F$269,6,FALSE()),1)</f>
        <v>7</v>
      </c>
      <c r="N1830" s="216">
        <f>IFERROR(VLOOKUP(A1830,PARTIDAS!$A$2:$I$269,9,FALSE()),1)</f>
        <v>1</v>
      </c>
      <c r="O1830" s="217">
        <f t="shared" si="56"/>
        <v>0</v>
      </c>
      <c r="P1830" s="216">
        <f>IF(O1830=0,0,IF(B1830="MAT",G1830*(1+H1830)*L1830*PLAN_ETAPA!$C$5,IF(B1830="MO",IF(M1830=0,0,G1830*L1830*PLAN_ETAPA!$C$5*N1830/M1830),IF(B1830="EQ",IF(M1830=0,0,G1830*L1830*PLAN_ETAPA!$C$5/M1830),0))))</f>
        <v>0</v>
      </c>
      <c r="Q1830" s="218">
        <f t="shared" si="57"/>
        <v>0</v>
      </c>
    </row>
    <row r="1831" spans="1:17" x14ac:dyDescent="0.35">
      <c r="A1831" s="212" t="str">
        <f>COMPOSICIÓN!A1831</f>
        <v>PTO-2401</v>
      </c>
      <c r="B1831" s="212" t="str">
        <f>COMPOSICIÓN!B1831</f>
        <v>MO</v>
      </c>
      <c r="C1831" s="212" t="str">
        <f>COMPOSICIÓN!C1831</f>
        <v>OTR</v>
      </c>
      <c r="D1831" s="212" t="str">
        <f>COMPOSICIÓN!D1831</f>
        <v>SUB-PTO071</v>
      </c>
      <c r="E1831" s="212" t="str">
        <f>COMPOSICIÓN!E1831</f>
        <v>MO Sereno</v>
      </c>
      <c r="F1831" s="212" t="str">
        <f>COMPOSICIÓN!F1831</f>
        <v>j</v>
      </c>
      <c r="G1831" s="213">
        <f>COMPOSICIÓN!G1831</f>
        <v>1</v>
      </c>
      <c r="H1831" s="214">
        <f>COMPOSICIÓN!H1831</f>
        <v>0</v>
      </c>
      <c r="I1831" s="215">
        <f>COMPOSICIÓN!I1831</f>
        <v>730326.96931886405</v>
      </c>
      <c r="J1831" s="212" t="str">
        <f>IFERROR(VLOOKUP(A1831,PARTIDAS!$A$2:$C$269,3,FALSE()),"")</f>
        <v>AYUDA DE GREMIOS Y GGBB</v>
      </c>
      <c r="K1831" s="212" t="str">
        <f>IFERROR(INDEX(PPTO_GENERADOR!$B$4:$B$220,MATCH(A1831,PPTO_GENERADOR!$Q$4:$Q$220,0)),"")</f>
        <v>AYUDA DE GREMIOS Y GGBB</v>
      </c>
      <c r="L1831" s="216">
        <f>IF(PLAN_ETAPA!$C$4="(TODOS)",SUMIFS(PPTO_GENERADOR!$E$4:$E$220,PPTO_GENERADOR!$Q$4:$Q$220,A1831),SUMIFS(PPTO_GENERADOR!$E$4:$E$220,PPTO_GENERADOR!$Q$4:$Q$220,A1831,PPTO_GENERADOR!$B$4:$B$220,PLAN_ETAPA!$C$4))</f>
        <v>0</v>
      </c>
      <c r="M1831" s="216">
        <f>IFERROR(VLOOKUP(A1831,PARTIDAS!$A$2:$F$269,6,FALSE()),1)</f>
        <v>1</v>
      </c>
      <c r="N1831" s="216">
        <f>IFERROR(VLOOKUP(A1831,PARTIDAS!$A$2:$I$269,9,FALSE()),1)</f>
        <v>1</v>
      </c>
      <c r="O1831" s="217">
        <f t="shared" si="56"/>
        <v>0</v>
      </c>
      <c r="P1831" s="216">
        <f>IF(O1831=0,0,IF(B1831="MAT",G1831*(1+H1831)*L1831*PLAN_ETAPA!$C$5,IF(B1831="MO",IF(M1831=0,0,G1831*L1831*PLAN_ETAPA!$C$5*N1831/M1831),IF(B1831="EQ",IF(M1831=0,0,G1831*L1831*PLAN_ETAPA!$C$5/M1831),0))))</f>
        <v>0</v>
      </c>
      <c r="Q1831" s="218">
        <f t="shared" si="57"/>
        <v>0</v>
      </c>
    </row>
    <row r="1832" spans="1:17" x14ac:dyDescent="0.35">
      <c r="A1832" s="212" t="str">
        <f>COMPOSICIÓN!A1832</f>
        <v>PTO-2402</v>
      </c>
      <c r="B1832" s="212" t="str">
        <f>COMPOSICIÓN!B1832</f>
        <v>MO</v>
      </c>
      <c r="C1832" s="212" t="str">
        <f>COMPOSICIÓN!C1832</f>
        <v>OTR</v>
      </c>
      <c r="D1832" s="212" t="str">
        <f>COMPOSICIÓN!D1832</f>
        <v>SUB-PTO072</v>
      </c>
      <c r="E1832" s="212" t="str">
        <f>COMPOSICIÓN!E1832</f>
        <v>MO Tecnico de seguridad &amp; higiene permanente en Obra</v>
      </c>
      <c r="F1832" s="212" t="str">
        <f>COMPOSICIÓN!F1832</f>
        <v>j</v>
      </c>
      <c r="G1832" s="213">
        <f>COMPOSICIÓN!G1832</f>
        <v>1</v>
      </c>
      <c r="H1832" s="214">
        <f>COMPOSICIÓN!H1832</f>
        <v>0</v>
      </c>
      <c r="I1832" s="215">
        <f>COMPOSICIÓN!I1832</f>
        <v>1504670.291</v>
      </c>
      <c r="J1832" s="212" t="str">
        <f>IFERROR(VLOOKUP(A1832,PARTIDAS!$A$2:$C$269,3,FALSE()),"")</f>
        <v>AYUDA DE GREMIOS Y GGBB</v>
      </c>
      <c r="K1832" s="212" t="str">
        <f>IFERROR(INDEX(PPTO_GENERADOR!$B$4:$B$220,MATCH(A1832,PPTO_GENERADOR!$Q$4:$Q$220,0)),"")</f>
        <v>AYUDA DE GREMIOS Y GGBB</v>
      </c>
      <c r="L1832" s="216">
        <f>IF(PLAN_ETAPA!$C$4="(TODOS)",SUMIFS(PPTO_GENERADOR!$E$4:$E$220,PPTO_GENERADOR!$Q$4:$Q$220,A1832),SUMIFS(PPTO_GENERADOR!$E$4:$E$220,PPTO_GENERADOR!$Q$4:$Q$220,A1832,PPTO_GENERADOR!$B$4:$B$220,PLAN_ETAPA!$C$4))</f>
        <v>0</v>
      </c>
      <c r="M1832" s="216">
        <f>IFERROR(VLOOKUP(A1832,PARTIDAS!$A$2:$F$269,6,FALSE()),1)</f>
        <v>1</v>
      </c>
      <c r="N1832" s="216">
        <f>IFERROR(VLOOKUP(A1832,PARTIDAS!$A$2:$I$269,9,FALSE()),1)</f>
        <v>1</v>
      </c>
      <c r="O1832" s="217">
        <f t="shared" si="56"/>
        <v>0</v>
      </c>
      <c r="P1832" s="216">
        <f>IF(O1832=0,0,IF(B1832="MAT",G1832*(1+H1832)*L1832*PLAN_ETAPA!$C$5,IF(B1832="MO",IF(M1832=0,0,G1832*L1832*PLAN_ETAPA!$C$5*N1832/M1832),IF(B1832="EQ",IF(M1832=0,0,G1832*L1832*PLAN_ETAPA!$C$5/M1832),0))))</f>
        <v>0</v>
      </c>
      <c r="Q1832" s="218">
        <f t="shared" si="57"/>
        <v>0</v>
      </c>
    </row>
    <row r="1833" spans="1:17" x14ac:dyDescent="0.35">
      <c r="A1833" s="212" t="str">
        <f>COMPOSICIÓN!A1833</f>
        <v>PTO-2403</v>
      </c>
      <c r="B1833" s="212" t="str">
        <f>COMPOSICIÓN!B1833</f>
        <v>MO</v>
      </c>
      <c r="C1833" s="212" t="str">
        <f>COMPOSICIÓN!C1833</f>
        <v>OTR</v>
      </c>
      <c r="D1833" s="212" t="str">
        <f>COMPOSICIÓN!D1833</f>
        <v>SUB-PTO073</v>
      </c>
      <c r="E1833" s="212" t="str">
        <f>COMPOSICIÓN!E1833</f>
        <v>MO Higiene y seguridad Res 51</v>
      </c>
      <c r="F1833" s="212" t="str">
        <f>COMPOSICIÓN!F1833</f>
        <v>j</v>
      </c>
      <c r="G1833" s="213">
        <f>COMPOSICIÓN!G1833</f>
        <v>1</v>
      </c>
      <c r="H1833" s="214">
        <f>COMPOSICIÓN!H1833</f>
        <v>0</v>
      </c>
      <c r="I1833" s="215">
        <f>COMPOSICIÓN!I1833</f>
        <v>150000</v>
      </c>
      <c r="J1833" s="212" t="str">
        <f>IFERROR(VLOOKUP(A1833,PARTIDAS!$A$2:$C$269,3,FALSE()),"")</f>
        <v>AYUDA DE GREMIOS Y GGBB</v>
      </c>
      <c r="K1833" s="212" t="str">
        <f>IFERROR(INDEX(PPTO_GENERADOR!$B$4:$B$220,MATCH(A1833,PPTO_GENERADOR!$Q$4:$Q$220,0)),"")</f>
        <v>AYUDA DE GREMIOS Y GGBB</v>
      </c>
      <c r="L1833" s="216">
        <f>IF(PLAN_ETAPA!$C$4="(TODOS)",SUMIFS(PPTO_GENERADOR!$E$4:$E$220,PPTO_GENERADOR!$Q$4:$Q$220,A1833),SUMIFS(PPTO_GENERADOR!$E$4:$E$220,PPTO_GENERADOR!$Q$4:$Q$220,A1833,PPTO_GENERADOR!$B$4:$B$220,PLAN_ETAPA!$C$4))</f>
        <v>0</v>
      </c>
      <c r="M1833" s="216">
        <f>IFERROR(VLOOKUP(A1833,PARTIDAS!$A$2:$F$269,6,FALSE()),1)</f>
        <v>1</v>
      </c>
      <c r="N1833" s="216">
        <f>IFERROR(VLOOKUP(A1833,PARTIDAS!$A$2:$I$269,9,FALSE()),1)</f>
        <v>1</v>
      </c>
      <c r="O1833" s="217">
        <f t="shared" si="56"/>
        <v>0</v>
      </c>
      <c r="P1833" s="216">
        <f>IF(O1833=0,0,IF(B1833="MAT",G1833*(1+H1833)*L1833*PLAN_ETAPA!$C$5,IF(B1833="MO",IF(M1833=0,0,G1833*L1833*PLAN_ETAPA!$C$5*N1833/M1833),IF(B1833="EQ",IF(M1833=0,0,G1833*L1833*PLAN_ETAPA!$C$5/M1833),0))))</f>
        <v>0</v>
      </c>
      <c r="Q1833" s="218">
        <f t="shared" si="57"/>
        <v>0</v>
      </c>
    </row>
    <row r="1834" spans="1:17" x14ac:dyDescent="0.35">
      <c r="A1834" s="212" t="str">
        <f>COMPOSICIÓN!A1834</f>
        <v>PTO-2404</v>
      </c>
      <c r="B1834" s="212" t="str">
        <f>COMPOSICIÓN!B1834</f>
        <v>EQ</v>
      </c>
      <c r="C1834" s="212">
        <f>COMPOSICIÓN!C1834</f>
        <v>0</v>
      </c>
      <c r="D1834" s="212" t="str">
        <f>COMPOSICIÓN!D1834</f>
        <v>EQ-PTO111</v>
      </c>
      <c r="E1834" s="212" t="str">
        <f>COMPOSICIÓN!E1834</f>
        <v>Herramientas menores y consumibles - Protecciones y defensas</v>
      </c>
      <c r="F1834" s="212">
        <f>COMPOSICIÓN!F1834</f>
        <v>0</v>
      </c>
      <c r="G1834" s="213">
        <f>COMPOSICIÓN!G1834</f>
        <v>1</v>
      </c>
      <c r="H1834" s="214">
        <f>COMPOSICIÓN!H1834</f>
        <v>0</v>
      </c>
      <c r="I1834" s="215">
        <f>COMPOSICIÓN!I1834</f>
        <v>69686.966825754498</v>
      </c>
      <c r="J1834" s="212" t="str">
        <f>IFERROR(VLOOKUP(A1834,PARTIDAS!$A$2:$C$269,3,FALSE()),"")</f>
        <v>AYUDA DE GREMIOS Y GGBB</v>
      </c>
      <c r="K1834" s="212" t="str">
        <f>IFERROR(INDEX(PPTO_GENERADOR!$B$4:$B$220,MATCH(A1834,PPTO_GENERADOR!$Q$4:$Q$220,0)),"")</f>
        <v>AYUDA DE GREMIOS Y GGBB</v>
      </c>
      <c r="L1834" s="216">
        <f>IF(PLAN_ETAPA!$C$4="(TODOS)",SUMIFS(PPTO_GENERADOR!$E$4:$E$220,PPTO_GENERADOR!$Q$4:$Q$220,A1834),SUMIFS(PPTO_GENERADOR!$E$4:$E$220,PPTO_GENERADOR!$Q$4:$Q$220,A1834,PPTO_GENERADOR!$B$4:$B$220,PLAN_ETAPA!$C$4))</f>
        <v>0</v>
      </c>
      <c r="M1834" s="216">
        <f>IFERROR(VLOOKUP(A1834,PARTIDAS!$A$2:$F$269,6,FALSE()),1)</f>
        <v>1</v>
      </c>
      <c r="N1834" s="216">
        <f>IFERROR(VLOOKUP(A1834,PARTIDAS!$A$2:$I$269,9,FALSE()),1)</f>
        <v>1</v>
      </c>
      <c r="O1834" s="217">
        <f t="shared" si="56"/>
        <v>0</v>
      </c>
      <c r="P1834" s="216">
        <f>IF(O1834=0,0,IF(B1834="MAT",G1834*(1+H1834)*L1834*PLAN_ETAPA!$C$5,IF(B1834="MO",IF(M1834=0,0,G1834*L1834*PLAN_ETAPA!$C$5*N1834/M1834),IF(B1834="EQ",IF(M1834=0,0,G1834*L1834*PLAN_ETAPA!$C$5/M1834),0))))</f>
        <v>0</v>
      </c>
      <c r="Q1834" s="218">
        <f t="shared" si="57"/>
        <v>0</v>
      </c>
    </row>
    <row r="1835" spans="1:17" x14ac:dyDescent="0.35">
      <c r="A1835" s="212" t="str">
        <f>COMPOSICIÓN!A1835</f>
        <v>PTO-2404</v>
      </c>
      <c r="B1835" s="212" t="str">
        <f>COMPOSICIÓN!B1835</f>
        <v>MAT</v>
      </c>
      <c r="C1835" s="212" t="str">
        <f>COMPOSICIÓN!C1835</f>
        <v>OTR</v>
      </c>
      <c r="D1835" s="212" t="str">
        <f>COMPOSICIÓN!D1835</f>
        <v>OTR-PTO137</v>
      </c>
      <c r="E1835" s="212" t="str">
        <f>COMPOSICIÓN!E1835</f>
        <v>Defensas</v>
      </c>
      <c r="F1835" s="212" t="str">
        <f>COMPOSICIÓN!F1835</f>
        <v>ml</v>
      </c>
      <c r="G1835" s="213">
        <f>COMPOSICIÓN!G1835</f>
        <v>82</v>
      </c>
      <c r="H1835" s="214">
        <f>COMPOSICIÓN!H1835</f>
        <v>0</v>
      </c>
      <c r="I1835" s="215">
        <f>COMPOSICIÓN!I1835</f>
        <v>25783.917333333298</v>
      </c>
      <c r="J1835" s="212" t="str">
        <f>IFERROR(VLOOKUP(A1835,PARTIDAS!$A$2:$C$269,3,FALSE()),"")</f>
        <v>AYUDA DE GREMIOS Y GGBB</v>
      </c>
      <c r="K1835" s="212" t="str">
        <f>IFERROR(INDEX(PPTO_GENERADOR!$B$4:$B$220,MATCH(A1835,PPTO_GENERADOR!$Q$4:$Q$220,0)),"")</f>
        <v>AYUDA DE GREMIOS Y GGBB</v>
      </c>
      <c r="L1835" s="216">
        <f>IF(PLAN_ETAPA!$C$4="(TODOS)",SUMIFS(PPTO_GENERADOR!$E$4:$E$220,PPTO_GENERADOR!$Q$4:$Q$220,A1835),SUMIFS(PPTO_GENERADOR!$E$4:$E$220,PPTO_GENERADOR!$Q$4:$Q$220,A1835,PPTO_GENERADOR!$B$4:$B$220,PLAN_ETAPA!$C$4))</f>
        <v>0</v>
      </c>
      <c r="M1835" s="216">
        <f>IFERROR(VLOOKUP(A1835,PARTIDAS!$A$2:$F$269,6,FALSE()),1)</f>
        <v>1</v>
      </c>
      <c r="N1835" s="216">
        <f>IFERROR(VLOOKUP(A1835,PARTIDAS!$A$2:$I$269,9,FALSE()),1)</f>
        <v>1</v>
      </c>
      <c r="O1835" s="217">
        <f t="shared" si="56"/>
        <v>0</v>
      </c>
      <c r="P1835" s="216">
        <f>IF(O1835=0,0,IF(B1835="MAT",G1835*(1+H1835)*L1835*PLAN_ETAPA!$C$5,IF(B1835="MO",IF(M1835=0,0,G1835*L1835*PLAN_ETAPA!$C$5*N1835/M1835),IF(B1835="EQ",IF(M1835=0,0,G1835*L1835*PLAN_ETAPA!$C$5/M1835),0))))</f>
        <v>0</v>
      </c>
      <c r="Q1835" s="218">
        <f t="shared" si="57"/>
        <v>0</v>
      </c>
    </row>
    <row r="1836" spans="1:17" x14ac:dyDescent="0.35">
      <c r="A1836" s="212" t="str">
        <f>COMPOSICIÓN!A1836</f>
        <v>PTO-2404</v>
      </c>
      <c r="B1836" s="212" t="str">
        <f>COMPOSICIÓN!B1836</f>
        <v>MAT</v>
      </c>
      <c r="C1836" s="212" t="str">
        <f>COMPOSICIÓN!C1836</f>
        <v>OTR</v>
      </c>
      <c r="D1836" s="212" t="str">
        <f>COMPOSICIÓN!D1836</f>
        <v>OTR-PTO138</v>
      </c>
      <c r="E1836" s="212" t="str">
        <f>COMPOSICIÓN!E1836</f>
        <v>Tabla 4 x 1 x 3,6 Saligna bruto</v>
      </c>
      <c r="F1836" s="212" t="str">
        <f>COMPOSICIÓN!F1836</f>
        <v>u</v>
      </c>
      <c r="G1836" s="213">
        <f>COMPOSICIÓN!G1836</f>
        <v>75</v>
      </c>
      <c r="H1836" s="214">
        <f>COMPOSICIÓN!H1836</f>
        <v>0</v>
      </c>
      <c r="I1836" s="215">
        <f>COMPOSICIÓN!I1836</f>
        <v>1294.6320000000001</v>
      </c>
      <c r="J1836" s="212" t="str">
        <f>IFERROR(VLOOKUP(A1836,PARTIDAS!$A$2:$C$269,3,FALSE()),"")</f>
        <v>AYUDA DE GREMIOS Y GGBB</v>
      </c>
      <c r="K1836" s="212" t="str">
        <f>IFERROR(INDEX(PPTO_GENERADOR!$B$4:$B$220,MATCH(A1836,PPTO_GENERADOR!$Q$4:$Q$220,0)),"")</f>
        <v>AYUDA DE GREMIOS Y GGBB</v>
      </c>
      <c r="L1836" s="216">
        <f>IF(PLAN_ETAPA!$C$4="(TODOS)",SUMIFS(PPTO_GENERADOR!$E$4:$E$220,PPTO_GENERADOR!$Q$4:$Q$220,A1836),SUMIFS(PPTO_GENERADOR!$E$4:$E$220,PPTO_GENERADOR!$Q$4:$Q$220,A1836,PPTO_GENERADOR!$B$4:$B$220,PLAN_ETAPA!$C$4))</f>
        <v>0</v>
      </c>
      <c r="M1836" s="216">
        <f>IFERROR(VLOOKUP(A1836,PARTIDAS!$A$2:$F$269,6,FALSE()),1)</f>
        <v>1</v>
      </c>
      <c r="N1836" s="216">
        <f>IFERROR(VLOOKUP(A1836,PARTIDAS!$A$2:$I$269,9,FALSE()),1)</f>
        <v>1</v>
      </c>
      <c r="O1836" s="217">
        <f t="shared" si="56"/>
        <v>0</v>
      </c>
      <c r="P1836" s="216">
        <f>IF(O1836=0,0,IF(B1836="MAT",G1836*(1+H1836)*L1836*PLAN_ETAPA!$C$5,IF(B1836="MO",IF(M1836=0,0,G1836*L1836*PLAN_ETAPA!$C$5*N1836/M1836),IF(B1836="EQ",IF(M1836=0,0,G1836*L1836*PLAN_ETAPA!$C$5/M1836),0))))</f>
        <v>0</v>
      </c>
      <c r="Q1836" s="218">
        <f t="shared" si="57"/>
        <v>0</v>
      </c>
    </row>
    <row r="1837" spans="1:17" x14ac:dyDescent="0.35">
      <c r="A1837" s="212" t="str">
        <f>COMPOSICIÓN!A1837</f>
        <v>PTO-2404</v>
      </c>
      <c r="B1837" s="212" t="str">
        <f>COMPOSICIÓN!B1837</f>
        <v>MAT</v>
      </c>
      <c r="C1837" s="212" t="str">
        <f>COMPOSICIÓN!C1837</f>
        <v>OTR</v>
      </c>
      <c r="D1837" s="212" t="str">
        <f>COMPOSICIÓN!D1837</f>
        <v>OTR-PTO139</v>
      </c>
      <c r="E1837" s="212" t="str">
        <f>COMPOSICIÓN!E1837</f>
        <v>Tirante 3 x 3 x 3,6 Saligna bruto</v>
      </c>
      <c r="F1837" s="212" t="str">
        <f>COMPOSICIÓN!F1837</f>
        <v>u</v>
      </c>
      <c r="G1837" s="213">
        <f>COMPOSICIÓN!G1837</f>
        <v>32</v>
      </c>
      <c r="H1837" s="214">
        <f>COMPOSICIÓN!H1837</f>
        <v>0</v>
      </c>
      <c r="I1837" s="215">
        <f>COMPOSICIÓN!I1837</f>
        <v>2912.9520000000002</v>
      </c>
      <c r="J1837" s="212" t="str">
        <f>IFERROR(VLOOKUP(A1837,PARTIDAS!$A$2:$C$269,3,FALSE()),"")</f>
        <v>AYUDA DE GREMIOS Y GGBB</v>
      </c>
      <c r="K1837" s="212" t="str">
        <f>IFERROR(INDEX(PPTO_GENERADOR!$B$4:$B$220,MATCH(A1837,PPTO_GENERADOR!$Q$4:$Q$220,0)),"")</f>
        <v>AYUDA DE GREMIOS Y GGBB</v>
      </c>
      <c r="L1837" s="216">
        <f>IF(PLAN_ETAPA!$C$4="(TODOS)",SUMIFS(PPTO_GENERADOR!$E$4:$E$220,PPTO_GENERADOR!$Q$4:$Q$220,A1837),SUMIFS(PPTO_GENERADOR!$E$4:$E$220,PPTO_GENERADOR!$Q$4:$Q$220,A1837,PPTO_GENERADOR!$B$4:$B$220,PLAN_ETAPA!$C$4))</f>
        <v>0</v>
      </c>
      <c r="M1837" s="216">
        <f>IFERROR(VLOOKUP(A1837,PARTIDAS!$A$2:$F$269,6,FALSE()),1)</f>
        <v>1</v>
      </c>
      <c r="N1837" s="216">
        <f>IFERROR(VLOOKUP(A1837,PARTIDAS!$A$2:$I$269,9,FALSE()),1)</f>
        <v>1</v>
      </c>
      <c r="O1837" s="217">
        <f t="shared" si="56"/>
        <v>0</v>
      </c>
      <c r="P1837" s="216">
        <f>IF(O1837=0,0,IF(B1837="MAT",G1837*(1+H1837)*L1837*PLAN_ETAPA!$C$5,IF(B1837="MO",IF(M1837=0,0,G1837*L1837*PLAN_ETAPA!$C$5*N1837/M1837),IF(B1837="EQ",IF(M1837=0,0,G1837*L1837*PLAN_ETAPA!$C$5/M1837),0))))</f>
        <v>0</v>
      </c>
      <c r="Q1837" s="218">
        <f t="shared" si="57"/>
        <v>0</v>
      </c>
    </row>
    <row r="1838" spans="1:17" x14ac:dyDescent="0.35">
      <c r="A1838" s="212" t="str">
        <f>COMPOSICIÓN!A1838</f>
        <v>PTO-2404</v>
      </c>
      <c r="B1838" s="212" t="str">
        <f>COMPOSICIÓN!B1838</f>
        <v>MO</v>
      </c>
      <c r="C1838" s="212" t="str">
        <f>COMPOSICIÓN!C1838</f>
        <v>ALB</v>
      </c>
      <c r="D1838" s="212" t="str">
        <f>COMPOSICIÓN!D1838</f>
        <v>MO-EAYUD</v>
      </c>
      <c r="E1838" s="212" t="str">
        <f>COMPOSICIÓN!E1838</f>
        <v>AYUDANTE</v>
      </c>
      <c r="F1838" s="212" t="str">
        <f>COMPOSICIÓN!F1838</f>
        <v>j</v>
      </c>
      <c r="G1838" s="213">
        <f>COMPOSICIÓN!G1838</f>
        <v>12</v>
      </c>
      <c r="H1838" s="214">
        <f>COMPOSICIÓN!H1838</f>
        <v>0</v>
      </c>
      <c r="I1838" s="215">
        <f>COMPOSICIÓN!I1838</f>
        <v>60860.580776572002</v>
      </c>
      <c r="J1838" s="212" t="str">
        <f>IFERROR(VLOOKUP(A1838,PARTIDAS!$A$2:$C$269,3,FALSE()),"")</f>
        <v>AYUDA DE GREMIOS Y GGBB</v>
      </c>
      <c r="K1838" s="212" t="str">
        <f>IFERROR(INDEX(PPTO_GENERADOR!$B$4:$B$220,MATCH(A1838,PPTO_GENERADOR!$Q$4:$Q$220,0)),"")</f>
        <v>AYUDA DE GREMIOS Y GGBB</v>
      </c>
      <c r="L1838" s="216">
        <f>IF(PLAN_ETAPA!$C$4="(TODOS)",SUMIFS(PPTO_GENERADOR!$E$4:$E$220,PPTO_GENERADOR!$Q$4:$Q$220,A1838),SUMIFS(PPTO_GENERADOR!$E$4:$E$220,PPTO_GENERADOR!$Q$4:$Q$220,A1838,PPTO_GENERADOR!$B$4:$B$220,PLAN_ETAPA!$C$4))</f>
        <v>0</v>
      </c>
      <c r="M1838" s="216">
        <f>IFERROR(VLOOKUP(A1838,PARTIDAS!$A$2:$F$269,6,FALSE()),1)</f>
        <v>1</v>
      </c>
      <c r="N1838" s="216">
        <f>IFERROR(VLOOKUP(A1838,PARTIDAS!$A$2:$I$269,9,FALSE()),1)</f>
        <v>1</v>
      </c>
      <c r="O1838" s="217">
        <f t="shared" si="56"/>
        <v>0</v>
      </c>
      <c r="P1838" s="216">
        <f>IF(O1838=0,0,IF(B1838="MAT",G1838*(1+H1838)*L1838*PLAN_ETAPA!$C$5,IF(B1838="MO",IF(M1838=0,0,G1838*L1838*PLAN_ETAPA!$C$5*N1838/M1838),IF(B1838="EQ",IF(M1838=0,0,G1838*L1838*PLAN_ETAPA!$C$5/M1838),0))))</f>
        <v>0</v>
      </c>
      <c r="Q1838" s="218">
        <f t="shared" si="57"/>
        <v>0</v>
      </c>
    </row>
    <row r="1839" spans="1:17" x14ac:dyDescent="0.35">
      <c r="A1839" s="212" t="str">
        <f>COMPOSICIÓN!A1839</f>
        <v>PTO-2404</v>
      </c>
      <c r="B1839" s="212" t="str">
        <f>COMPOSICIÓN!B1839</f>
        <v>MO</v>
      </c>
      <c r="C1839" s="212" t="str">
        <f>COMPOSICIÓN!C1839</f>
        <v>ALB</v>
      </c>
      <c r="D1839" s="212" t="str">
        <f>COMPOSICIÓN!D1839</f>
        <v>MO-EESPE</v>
      </c>
      <c r="E1839" s="212" t="str">
        <f>COMPOSICIÓN!E1839</f>
        <v>ESPECIALIZADO</v>
      </c>
      <c r="F1839" s="212" t="str">
        <f>COMPOSICIÓN!F1839</f>
        <v>j</v>
      </c>
      <c r="G1839" s="213">
        <f>COMPOSICIÓN!G1839</f>
        <v>8</v>
      </c>
      <c r="H1839" s="214">
        <f>COMPOSICIÓN!H1839</f>
        <v>0</v>
      </c>
      <c r="I1839" s="215">
        <f>COMPOSICIÓN!I1839</f>
        <v>85927.097156571996</v>
      </c>
      <c r="J1839" s="212" t="str">
        <f>IFERROR(VLOOKUP(A1839,PARTIDAS!$A$2:$C$269,3,FALSE()),"")</f>
        <v>AYUDA DE GREMIOS Y GGBB</v>
      </c>
      <c r="K1839" s="212" t="str">
        <f>IFERROR(INDEX(PPTO_GENERADOR!$B$4:$B$220,MATCH(A1839,PPTO_GENERADOR!$Q$4:$Q$220,0)),"")</f>
        <v>AYUDA DE GREMIOS Y GGBB</v>
      </c>
      <c r="L1839" s="216">
        <f>IF(PLAN_ETAPA!$C$4="(TODOS)",SUMIFS(PPTO_GENERADOR!$E$4:$E$220,PPTO_GENERADOR!$Q$4:$Q$220,A1839),SUMIFS(PPTO_GENERADOR!$E$4:$E$220,PPTO_GENERADOR!$Q$4:$Q$220,A1839,PPTO_GENERADOR!$B$4:$B$220,PLAN_ETAPA!$C$4))</f>
        <v>0</v>
      </c>
      <c r="M1839" s="216">
        <f>IFERROR(VLOOKUP(A1839,PARTIDAS!$A$2:$F$269,6,FALSE()),1)</f>
        <v>1</v>
      </c>
      <c r="N1839" s="216">
        <f>IFERROR(VLOOKUP(A1839,PARTIDAS!$A$2:$I$269,9,FALSE()),1)</f>
        <v>1</v>
      </c>
      <c r="O1839" s="217">
        <f t="shared" si="56"/>
        <v>0</v>
      </c>
      <c r="P1839" s="216">
        <f>IF(O1839=0,0,IF(B1839="MAT",G1839*(1+H1839)*L1839*PLAN_ETAPA!$C$5,IF(B1839="MO",IF(M1839=0,0,G1839*L1839*PLAN_ETAPA!$C$5*N1839/M1839),IF(B1839="EQ",IF(M1839=0,0,G1839*L1839*PLAN_ETAPA!$C$5/M1839),0))))</f>
        <v>0</v>
      </c>
      <c r="Q1839" s="218">
        <f t="shared" si="57"/>
        <v>0</v>
      </c>
    </row>
    <row r="1840" spans="1:17" x14ac:dyDescent="0.35">
      <c r="A1840" s="212" t="str">
        <f>COMPOSICIÓN!A1840</f>
        <v>PTO-2404</v>
      </c>
      <c r="B1840" s="212" t="str">
        <f>COMPOSICIÓN!B1840</f>
        <v>MO</v>
      </c>
      <c r="C1840" s="212" t="str">
        <f>COMPOSICIÓN!C1840</f>
        <v>ALB</v>
      </c>
      <c r="D1840" s="212" t="str">
        <f>COMPOSICIÓN!D1840</f>
        <v>MO-EOFIC</v>
      </c>
      <c r="E1840" s="212" t="str">
        <f>COMPOSICIÓN!E1840</f>
        <v>OFICIAL</v>
      </c>
      <c r="F1840" s="212" t="str">
        <f>COMPOSICIÓN!F1840</f>
        <v>j</v>
      </c>
      <c r="G1840" s="213">
        <f>COMPOSICIÓN!G1840</f>
        <v>12</v>
      </c>
      <c r="H1840" s="214">
        <f>COMPOSICIÓN!H1840</f>
        <v>0</v>
      </c>
      <c r="I1840" s="215">
        <f>COMPOSICIÓN!I1840</f>
        <v>76955.079706571996</v>
      </c>
      <c r="J1840" s="212" t="str">
        <f>IFERROR(VLOOKUP(A1840,PARTIDAS!$A$2:$C$269,3,FALSE()),"")</f>
        <v>AYUDA DE GREMIOS Y GGBB</v>
      </c>
      <c r="K1840" s="212" t="str">
        <f>IFERROR(INDEX(PPTO_GENERADOR!$B$4:$B$220,MATCH(A1840,PPTO_GENERADOR!$Q$4:$Q$220,0)),"")</f>
        <v>AYUDA DE GREMIOS Y GGBB</v>
      </c>
      <c r="L1840" s="216">
        <f>IF(PLAN_ETAPA!$C$4="(TODOS)",SUMIFS(PPTO_GENERADOR!$E$4:$E$220,PPTO_GENERADOR!$Q$4:$Q$220,A1840),SUMIFS(PPTO_GENERADOR!$E$4:$E$220,PPTO_GENERADOR!$Q$4:$Q$220,A1840,PPTO_GENERADOR!$B$4:$B$220,PLAN_ETAPA!$C$4))</f>
        <v>0</v>
      </c>
      <c r="M1840" s="216">
        <f>IFERROR(VLOOKUP(A1840,PARTIDAS!$A$2:$F$269,6,FALSE()),1)</f>
        <v>1</v>
      </c>
      <c r="N1840" s="216">
        <f>IFERROR(VLOOKUP(A1840,PARTIDAS!$A$2:$I$269,9,FALSE()),1)</f>
        <v>1</v>
      </c>
      <c r="O1840" s="217">
        <f t="shared" si="56"/>
        <v>0</v>
      </c>
      <c r="P1840" s="216">
        <f>IF(O1840=0,0,IF(B1840="MAT",G1840*(1+H1840)*L1840*PLAN_ETAPA!$C$5,IF(B1840="MO",IF(M1840=0,0,G1840*L1840*PLAN_ETAPA!$C$5*N1840/M1840),IF(B1840="EQ",IF(M1840=0,0,G1840*L1840*PLAN_ETAPA!$C$5/M1840),0))))</f>
        <v>0</v>
      </c>
      <c r="Q1840" s="218">
        <f t="shared" si="57"/>
        <v>0</v>
      </c>
    </row>
    <row r="1841" spans="1:17" x14ac:dyDescent="0.35">
      <c r="A1841" s="212" t="str">
        <f>COMPOSICIÓN!A1841</f>
        <v>PTO-2405</v>
      </c>
      <c r="B1841" s="212" t="str">
        <f>COMPOSICIÓN!B1841</f>
        <v>EQ</v>
      </c>
      <c r="C1841" s="212">
        <f>COMPOSICIÓN!C1841</f>
        <v>0</v>
      </c>
      <c r="D1841" s="212" t="str">
        <f>COMPOSICIÓN!D1841</f>
        <v>EQ-PTO112</v>
      </c>
      <c r="E1841" s="212" t="str">
        <f>COMPOSICIÓN!E1841</f>
        <v>Herramientas menores y consumibles - Ayuda de gremios</v>
      </c>
      <c r="F1841" s="212">
        <f>COMPOSICIÓN!F1841</f>
        <v>0</v>
      </c>
      <c r="G1841" s="213">
        <f>COMPOSICIÓN!G1841</f>
        <v>1</v>
      </c>
      <c r="H1841" s="214">
        <f>COMPOSICIÓN!H1841</f>
        <v>0</v>
      </c>
      <c r="I1841" s="215">
        <f>COMPOSICIÓN!I1841</f>
        <v>9690.4308566872205</v>
      </c>
      <c r="J1841" s="212" t="str">
        <f>IFERROR(VLOOKUP(A1841,PARTIDAS!$A$2:$C$269,3,FALSE()),"")</f>
        <v>AYUDA DE GREMIOS Y GGBB</v>
      </c>
      <c r="K1841" s="212" t="str">
        <f>IFERROR(INDEX(PPTO_GENERADOR!$B$4:$B$220,MATCH(A1841,PPTO_GENERADOR!$Q$4:$Q$220,0)),"")</f>
        <v>AYUDA DE GREMIOS Y GGBB</v>
      </c>
      <c r="L1841" s="216">
        <f>IF(PLAN_ETAPA!$C$4="(TODOS)",SUMIFS(PPTO_GENERADOR!$E$4:$E$220,PPTO_GENERADOR!$Q$4:$Q$220,A1841),SUMIFS(PPTO_GENERADOR!$E$4:$E$220,PPTO_GENERADOR!$Q$4:$Q$220,A1841,PPTO_GENERADOR!$B$4:$B$220,PLAN_ETAPA!$C$4))</f>
        <v>0</v>
      </c>
      <c r="M1841" s="216">
        <f>IFERROR(VLOOKUP(A1841,PARTIDAS!$A$2:$F$269,6,FALSE()),1)</f>
        <v>1</v>
      </c>
      <c r="N1841" s="216">
        <f>IFERROR(VLOOKUP(A1841,PARTIDAS!$A$2:$I$269,9,FALSE()),1)</f>
        <v>1</v>
      </c>
      <c r="O1841" s="217">
        <f t="shared" si="56"/>
        <v>0</v>
      </c>
      <c r="P1841" s="216">
        <f>IF(O1841=0,0,IF(B1841="MAT",G1841*(1+H1841)*L1841*PLAN_ETAPA!$C$5,IF(B1841="MO",IF(M1841=0,0,G1841*L1841*PLAN_ETAPA!$C$5*N1841/M1841),IF(B1841="EQ",IF(M1841=0,0,G1841*L1841*PLAN_ETAPA!$C$5/M1841),0))))</f>
        <v>0</v>
      </c>
      <c r="Q1841" s="218">
        <f t="shared" si="57"/>
        <v>0</v>
      </c>
    </row>
    <row r="1842" spans="1:17" x14ac:dyDescent="0.35">
      <c r="A1842" s="212" t="str">
        <f>COMPOSICIÓN!A1842</f>
        <v>PTO-2405</v>
      </c>
      <c r="B1842" s="212" t="str">
        <f>COMPOSICIÓN!B1842</f>
        <v>MAT</v>
      </c>
      <c r="C1842" s="212" t="str">
        <f>COMPOSICIÓN!C1842</f>
        <v>COR</v>
      </c>
      <c r="D1842" s="212" t="str">
        <f>COMPOSICIÓN!D1842</f>
        <v>OTR-PTO140</v>
      </c>
      <c r="E1842" s="212" t="str">
        <f>COMPOSICIÓN!E1842</f>
        <v xml:space="preserve">Mat. </v>
      </c>
      <c r="F1842" s="212" t="str">
        <f>COMPOSICIÓN!F1842</f>
        <v>mes</v>
      </c>
      <c r="G1842" s="213">
        <f>COMPOSICIÓN!G1842</f>
        <v>1</v>
      </c>
      <c r="H1842" s="214">
        <f>COMPOSICIÓN!H1842</f>
        <v>0</v>
      </c>
      <c r="I1842" s="215">
        <f>COMPOSICIÓN!I1842</f>
        <v>50000</v>
      </c>
      <c r="J1842" s="212" t="str">
        <f>IFERROR(VLOOKUP(A1842,PARTIDAS!$A$2:$C$269,3,FALSE()),"")</f>
        <v>AYUDA DE GREMIOS Y GGBB</v>
      </c>
      <c r="K1842" s="212" t="str">
        <f>IFERROR(INDEX(PPTO_GENERADOR!$B$4:$B$220,MATCH(A1842,PPTO_GENERADOR!$Q$4:$Q$220,0)),"")</f>
        <v>AYUDA DE GREMIOS Y GGBB</v>
      </c>
      <c r="L1842" s="216">
        <f>IF(PLAN_ETAPA!$C$4="(TODOS)",SUMIFS(PPTO_GENERADOR!$E$4:$E$220,PPTO_GENERADOR!$Q$4:$Q$220,A1842),SUMIFS(PPTO_GENERADOR!$E$4:$E$220,PPTO_GENERADOR!$Q$4:$Q$220,A1842,PPTO_GENERADOR!$B$4:$B$220,PLAN_ETAPA!$C$4))</f>
        <v>0</v>
      </c>
      <c r="M1842" s="216">
        <f>IFERROR(VLOOKUP(A1842,PARTIDAS!$A$2:$F$269,6,FALSE()),1)</f>
        <v>1</v>
      </c>
      <c r="N1842" s="216">
        <f>IFERROR(VLOOKUP(A1842,PARTIDAS!$A$2:$I$269,9,FALSE()),1)</f>
        <v>1</v>
      </c>
      <c r="O1842" s="217">
        <f t="shared" si="56"/>
        <v>0</v>
      </c>
      <c r="P1842" s="216">
        <f>IF(O1842=0,0,IF(B1842="MAT",G1842*(1+H1842)*L1842*PLAN_ETAPA!$C$5,IF(B1842="MO",IF(M1842=0,0,G1842*L1842*PLAN_ETAPA!$C$5*N1842/M1842),IF(B1842="EQ",IF(M1842=0,0,G1842*L1842*PLAN_ETAPA!$C$5/M1842),0))))</f>
        <v>0</v>
      </c>
      <c r="Q1842" s="218">
        <f t="shared" si="57"/>
        <v>0</v>
      </c>
    </row>
    <row r="1843" spans="1:17" x14ac:dyDescent="0.35">
      <c r="A1843" s="212" t="str">
        <f>COMPOSICIÓN!A1843</f>
        <v>PTO-2405</v>
      </c>
      <c r="B1843" s="212" t="str">
        <f>COMPOSICIÓN!B1843</f>
        <v>MO</v>
      </c>
      <c r="C1843" s="212" t="str">
        <f>COMPOSICIÓN!C1843</f>
        <v>ALB</v>
      </c>
      <c r="D1843" s="212" t="str">
        <f>COMPOSICIÓN!D1843</f>
        <v>MO-EAYUD</v>
      </c>
      <c r="E1843" s="212" t="str">
        <f>COMPOSICIÓN!E1843</f>
        <v>AYUDANTE</v>
      </c>
      <c r="F1843" s="212" t="str">
        <f>COMPOSICIÓN!F1843</f>
        <v>j</v>
      </c>
      <c r="G1843" s="213">
        <f>COMPOSICIÓN!G1843</f>
        <v>6</v>
      </c>
      <c r="H1843" s="214">
        <f>COMPOSICIÓN!H1843</f>
        <v>0</v>
      </c>
      <c r="I1843" s="215">
        <f>COMPOSICIÓN!I1843</f>
        <v>60860.580776572002</v>
      </c>
      <c r="J1843" s="212" t="str">
        <f>IFERROR(VLOOKUP(A1843,PARTIDAS!$A$2:$C$269,3,FALSE()),"")</f>
        <v>AYUDA DE GREMIOS Y GGBB</v>
      </c>
      <c r="K1843" s="212" t="str">
        <f>IFERROR(INDEX(PPTO_GENERADOR!$B$4:$B$220,MATCH(A1843,PPTO_GENERADOR!$Q$4:$Q$220,0)),"")</f>
        <v>AYUDA DE GREMIOS Y GGBB</v>
      </c>
      <c r="L1843" s="216">
        <f>IF(PLAN_ETAPA!$C$4="(TODOS)",SUMIFS(PPTO_GENERADOR!$E$4:$E$220,PPTO_GENERADOR!$Q$4:$Q$220,A1843),SUMIFS(PPTO_GENERADOR!$E$4:$E$220,PPTO_GENERADOR!$Q$4:$Q$220,A1843,PPTO_GENERADOR!$B$4:$B$220,PLAN_ETAPA!$C$4))</f>
        <v>0</v>
      </c>
      <c r="M1843" s="216">
        <f>IFERROR(VLOOKUP(A1843,PARTIDAS!$A$2:$F$269,6,FALSE()),1)</f>
        <v>1</v>
      </c>
      <c r="N1843" s="216">
        <f>IFERROR(VLOOKUP(A1843,PARTIDAS!$A$2:$I$269,9,FALSE()),1)</f>
        <v>1</v>
      </c>
      <c r="O1843" s="217">
        <f t="shared" si="56"/>
        <v>0</v>
      </c>
      <c r="P1843" s="216">
        <f>IF(O1843=0,0,IF(B1843="MAT",G1843*(1+H1843)*L1843*PLAN_ETAPA!$C$5,IF(B1843="MO",IF(M1843=0,0,G1843*L1843*PLAN_ETAPA!$C$5*N1843/M1843),IF(B1843="EQ",IF(M1843=0,0,G1843*L1843*PLAN_ETAPA!$C$5/M1843),0))))</f>
        <v>0</v>
      </c>
      <c r="Q1843" s="218">
        <f t="shared" si="57"/>
        <v>0</v>
      </c>
    </row>
    <row r="1844" spans="1:17" x14ac:dyDescent="0.35">
      <c r="A1844" s="212" t="str">
        <f>COMPOSICIÓN!A1844</f>
        <v>PTO-2405</v>
      </c>
      <c r="B1844" s="212" t="str">
        <f>COMPOSICIÓN!B1844</f>
        <v>MO</v>
      </c>
      <c r="C1844" s="212" t="str">
        <f>COMPOSICIÓN!C1844</f>
        <v>ALB</v>
      </c>
      <c r="D1844" s="212" t="str">
        <f>COMPOSICIÓN!D1844</f>
        <v>MO-EOFIC</v>
      </c>
      <c r="E1844" s="212" t="str">
        <f>COMPOSICIÓN!E1844</f>
        <v>OFICIAL</v>
      </c>
      <c r="F1844" s="212" t="str">
        <f>COMPOSICIÓN!F1844</f>
        <v>j</v>
      </c>
      <c r="G1844" s="213">
        <f>COMPOSICIÓN!G1844</f>
        <v>3</v>
      </c>
      <c r="H1844" s="214">
        <f>COMPOSICIÓN!H1844</f>
        <v>0</v>
      </c>
      <c r="I1844" s="215">
        <f>COMPOSICIÓN!I1844</f>
        <v>76955.079706571996</v>
      </c>
      <c r="J1844" s="212" t="str">
        <f>IFERROR(VLOOKUP(A1844,PARTIDAS!$A$2:$C$269,3,FALSE()),"")</f>
        <v>AYUDA DE GREMIOS Y GGBB</v>
      </c>
      <c r="K1844" s="212" t="str">
        <f>IFERROR(INDEX(PPTO_GENERADOR!$B$4:$B$220,MATCH(A1844,PPTO_GENERADOR!$Q$4:$Q$220,0)),"")</f>
        <v>AYUDA DE GREMIOS Y GGBB</v>
      </c>
      <c r="L1844" s="216">
        <f>IF(PLAN_ETAPA!$C$4="(TODOS)",SUMIFS(PPTO_GENERADOR!$E$4:$E$220,PPTO_GENERADOR!$Q$4:$Q$220,A1844),SUMIFS(PPTO_GENERADOR!$E$4:$E$220,PPTO_GENERADOR!$Q$4:$Q$220,A1844,PPTO_GENERADOR!$B$4:$B$220,PLAN_ETAPA!$C$4))</f>
        <v>0</v>
      </c>
      <c r="M1844" s="216">
        <f>IFERROR(VLOOKUP(A1844,PARTIDAS!$A$2:$F$269,6,FALSE()),1)</f>
        <v>1</v>
      </c>
      <c r="N1844" s="216">
        <f>IFERROR(VLOOKUP(A1844,PARTIDAS!$A$2:$I$269,9,FALSE()),1)</f>
        <v>1</v>
      </c>
      <c r="O1844" s="217">
        <f t="shared" si="56"/>
        <v>0</v>
      </c>
      <c r="P1844" s="216">
        <f>IF(O1844=0,0,IF(B1844="MAT",G1844*(1+H1844)*L1844*PLAN_ETAPA!$C$5,IF(B1844="MO",IF(M1844=0,0,G1844*L1844*PLAN_ETAPA!$C$5*N1844/M1844),IF(B1844="EQ",IF(M1844=0,0,G1844*L1844*PLAN_ETAPA!$C$5/M1844),0))))</f>
        <v>0</v>
      </c>
      <c r="Q1844" s="218">
        <f t="shared" si="57"/>
        <v>0</v>
      </c>
    </row>
    <row r="1845" spans="1:17" x14ac:dyDescent="0.35">
      <c r="A1845" s="212" t="str">
        <f>COMPOSICIÓN!A1845</f>
        <v>PTO-2406</v>
      </c>
      <c r="B1845" s="212" t="str">
        <f>COMPOSICIÓN!B1845</f>
        <v>EQ</v>
      </c>
      <c r="C1845" s="212">
        <f>COMPOSICIÓN!C1845</f>
        <v>0</v>
      </c>
      <c r="D1845" s="212" t="str">
        <f>COMPOSICIÓN!D1845</f>
        <v>EQ-PTO113</v>
      </c>
      <c r="E1845" s="212" t="str">
        <f>COMPOSICIÓN!E1845</f>
        <v xml:space="preserve">Herramientas menores y consumibles - Limpieza periodica </v>
      </c>
      <c r="F1845" s="212">
        <f>COMPOSICIÓN!F1845</f>
        <v>0</v>
      </c>
      <c r="G1845" s="213">
        <f>COMPOSICIÓN!G1845</f>
        <v>1</v>
      </c>
      <c r="H1845" s="214">
        <f>COMPOSICIÓN!H1845</f>
        <v>0</v>
      </c>
      <c r="I1845" s="215">
        <f>COMPOSICIÓN!I1845</f>
        <v>6400.1974968806198</v>
      </c>
      <c r="J1845" s="212" t="str">
        <f>IFERROR(VLOOKUP(A1845,PARTIDAS!$A$2:$C$269,3,FALSE()),"")</f>
        <v>AYUDA DE GREMIOS Y GGBB</v>
      </c>
      <c r="K1845" s="212" t="str">
        <f>IFERROR(INDEX(PPTO_GENERADOR!$B$4:$B$220,MATCH(A1845,PPTO_GENERADOR!$Q$4:$Q$220,0)),"")</f>
        <v>AYUDA DE GREMIOS Y GGBB</v>
      </c>
      <c r="L1845" s="216">
        <f>IF(PLAN_ETAPA!$C$4="(TODOS)",SUMIFS(PPTO_GENERADOR!$E$4:$E$220,PPTO_GENERADOR!$Q$4:$Q$220,A1845),SUMIFS(PPTO_GENERADOR!$E$4:$E$220,PPTO_GENERADOR!$Q$4:$Q$220,A1845,PPTO_GENERADOR!$B$4:$B$220,PLAN_ETAPA!$C$4))</f>
        <v>0</v>
      </c>
      <c r="M1845" s="216">
        <f>IFERROR(VLOOKUP(A1845,PARTIDAS!$A$2:$F$269,6,FALSE()),1)</f>
        <v>1</v>
      </c>
      <c r="N1845" s="216">
        <f>IFERROR(VLOOKUP(A1845,PARTIDAS!$A$2:$I$269,9,FALSE()),1)</f>
        <v>1</v>
      </c>
      <c r="O1845" s="217">
        <f t="shared" si="56"/>
        <v>0</v>
      </c>
      <c r="P1845" s="216">
        <f>IF(O1845=0,0,IF(B1845="MAT",G1845*(1+H1845)*L1845*PLAN_ETAPA!$C$5,IF(B1845="MO",IF(M1845=0,0,G1845*L1845*PLAN_ETAPA!$C$5*N1845/M1845),IF(B1845="EQ",IF(M1845=0,0,G1845*L1845*PLAN_ETAPA!$C$5/M1845),0))))</f>
        <v>0</v>
      </c>
      <c r="Q1845" s="218">
        <f t="shared" si="57"/>
        <v>0</v>
      </c>
    </row>
    <row r="1846" spans="1:17" x14ac:dyDescent="0.35">
      <c r="A1846" s="212" t="str">
        <f>COMPOSICIÓN!A1846</f>
        <v>PTO-2406</v>
      </c>
      <c r="B1846" s="212" t="str">
        <f>COMPOSICIÓN!B1846</f>
        <v>MAT</v>
      </c>
      <c r="C1846" s="212" t="str">
        <f>COMPOSICIÓN!C1846</f>
        <v>COR</v>
      </c>
      <c r="D1846" s="212" t="str">
        <f>COMPOSICIÓN!D1846</f>
        <v>OTR-PTO140</v>
      </c>
      <c r="E1846" s="212" t="str">
        <f>COMPOSICIÓN!E1846</f>
        <v xml:space="preserve">Mat. </v>
      </c>
      <c r="F1846" s="212" t="str">
        <f>COMPOSICIÓN!F1846</f>
        <v>mes</v>
      </c>
      <c r="G1846" s="213">
        <f>COMPOSICIÓN!G1846</f>
        <v>0.5</v>
      </c>
      <c r="H1846" s="214">
        <f>COMPOSICIÓN!H1846</f>
        <v>0</v>
      </c>
      <c r="I1846" s="215">
        <f>COMPOSICIÓN!I1846</f>
        <v>50000</v>
      </c>
      <c r="J1846" s="212" t="str">
        <f>IFERROR(VLOOKUP(A1846,PARTIDAS!$A$2:$C$269,3,FALSE()),"")</f>
        <v>AYUDA DE GREMIOS Y GGBB</v>
      </c>
      <c r="K1846" s="212" t="str">
        <f>IFERROR(INDEX(PPTO_GENERADOR!$B$4:$B$220,MATCH(A1846,PPTO_GENERADOR!$Q$4:$Q$220,0)),"")</f>
        <v>AYUDA DE GREMIOS Y GGBB</v>
      </c>
      <c r="L1846" s="216">
        <f>IF(PLAN_ETAPA!$C$4="(TODOS)",SUMIFS(PPTO_GENERADOR!$E$4:$E$220,PPTO_GENERADOR!$Q$4:$Q$220,A1846),SUMIFS(PPTO_GENERADOR!$E$4:$E$220,PPTO_GENERADOR!$Q$4:$Q$220,A1846,PPTO_GENERADOR!$B$4:$B$220,PLAN_ETAPA!$C$4))</f>
        <v>0</v>
      </c>
      <c r="M1846" s="216">
        <f>IFERROR(VLOOKUP(A1846,PARTIDAS!$A$2:$F$269,6,FALSE()),1)</f>
        <v>1</v>
      </c>
      <c r="N1846" s="216">
        <f>IFERROR(VLOOKUP(A1846,PARTIDAS!$A$2:$I$269,9,FALSE()),1)</f>
        <v>1</v>
      </c>
      <c r="O1846" s="217">
        <f t="shared" si="56"/>
        <v>0</v>
      </c>
      <c r="P1846" s="216">
        <f>IF(O1846=0,0,IF(B1846="MAT",G1846*(1+H1846)*L1846*PLAN_ETAPA!$C$5,IF(B1846="MO",IF(M1846=0,0,G1846*L1846*PLAN_ETAPA!$C$5*N1846/M1846),IF(B1846="EQ",IF(M1846=0,0,G1846*L1846*PLAN_ETAPA!$C$5/M1846),0))))</f>
        <v>0</v>
      </c>
      <c r="Q1846" s="218">
        <f t="shared" si="57"/>
        <v>0</v>
      </c>
    </row>
    <row r="1847" spans="1:17" x14ac:dyDescent="0.35">
      <c r="A1847" s="212" t="str">
        <f>COMPOSICIÓN!A1847</f>
        <v>PTO-2406</v>
      </c>
      <c r="B1847" s="212" t="str">
        <f>COMPOSICIÓN!B1847</f>
        <v>MO</v>
      </c>
      <c r="C1847" s="212" t="str">
        <f>COMPOSICIÓN!C1847</f>
        <v>ALB</v>
      </c>
      <c r="D1847" s="212" t="str">
        <f>COMPOSICIÓN!D1847</f>
        <v>MO-EAYUD</v>
      </c>
      <c r="E1847" s="212" t="str">
        <f>COMPOSICIÓN!E1847</f>
        <v>AYUDANTE</v>
      </c>
      <c r="F1847" s="212" t="str">
        <f>COMPOSICIÓN!F1847</f>
        <v>j</v>
      </c>
      <c r="G1847" s="213">
        <f>COMPOSICIÓN!G1847</f>
        <v>6.6</v>
      </c>
      <c r="H1847" s="214">
        <f>COMPOSICIÓN!H1847</f>
        <v>0</v>
      </c>
      <c r="I1847" s="215">
        <f>COMPOSICIÓN!I1847</f>
        <v>60860.580776572002</v>
      </c>
      <c r="J1847" s="212" t="str">
        <f>IFERROR(VLOOKUP(A1847,PARTIDAS!$A$2:$C$269,3,FALSE()),"")</f>
        <v>AYUDA DE GREMIOS Y GGBB</v>
      </c>
      <c r="K1847" s="212" t="str">
        <f>IFERROR(INDEX(PPTO_GENERADOR!$B$4:$B$220,MATCH(A1847,PPTO_GENERADOR!$Q$4:$Q$220,0)),"")</f>
        <v>AYUDA DE GREMIOS Y GGBB</v>
      </c>
      <c r="L1847" s="216">
        <f>IF(PLAN_ETAPA!$C$4="(TODOS)",SUMIFS(PPTO_GENERADOR!$E$4:$E$220,PPTO_GENERADOR!$Q$4:$Q$220,A1847),SUMIFS(PPTO_GENERADOR!$E$4:$E$220,PPTO_GENERADOR!$Q$4:$Q$220,A1847,PPTO_GENERADOR!$B$4:$B$220,PLAN_ETAPA!$C$4))</f>
        <v>0</v>
      </c>
      <c r="M1847" s="216">
        <f>IFERROR(VLOOKUP(A1847,PARTIDAS!$A$2:$F$269,6,FALSE()),1)</f>
        <v>1</v>
      </c>
      <c r="N1847" s="216">
        <f>IFERROR(VLOOKUP(A1847,PARTIDAS!$A$2:$I$269,9,FALSE()),1)</f>
        <v>1</v>
      </c>
      <c r="O1847" s="217">
        <f t="shared" si="56"/>
        <v>0</v>
      </c>
      <c r="P1847" s="216">
        <f>IF(O1847=0,0,IF(B1847="MAT",G1847*(1+H1847)*L1847*PLAN_ETAPA!$C$5,IF(B1847="MO",IF(M1847=0,0,G1847*L1847*PLAN_ETAPA!$C$5*N1847/M1847),IF(B1847="EQ",IF(M1847=0,0,G1847*L1847*PLAN_ETAPA!$C$5/M1847),0))))</f>
        <v>0</v>
      </c>
      <c r="Q1847" s="218">
        <f t="shared" si="57"/>
        <v>0</v>
      </c>
    </row>
    <row r="1848" spans="1:17" x14ac:dyDescent="0.35">
      <c r="A1848" s="212" t="str">
        <f>COMPOSICIÓN!A1848</f>
        <v>PTO-2407</v>
      </c>
      <c r="B1848" s="212" t="str">
        <f>COMPOSICIÓN!B1848</f>
        <v>EQ</v>
      </c>
      <c r="C1848" s="212">
        <f>COMPOSICIÓN!C1848</f>
        <v>0</v>
      </c>
      <c r="D1848" s="212" t="str">
        <f>COMPOSICIÓN!D1848</f>
        <v>EQ-PTO114</v>
      </c>
      <c r="E1848" s="212" t="str">
        <f>COMPOSICIÓN!E1848</f>
        <v>Herramientas menores y consumibles - Limpieza final de Obra</v>
      </c>
      <c r="F1848" s="212">
        <f>COMPOSICIÓN!F1848</f>
        <v>0</v>
      </c>
      <c r="G1848" s="213">
        <f>COMPOSICIÓN!G1848</f>
        <v>1</v>
      </c>
      <c r="H1848" s="214">
        <f>COMPOSICIÓN!H1848</f>
        <v>0</v>
      </c>
      <c r="I1848" s="215">
        <f>COMPOSICIÓN!I1848</f>
        <v>58524.5226989148</v>
      </c>
      <c r="J1848" s="212" t="str">
        <f>IFERROR(VLOOKUP(A1848,PARTIDAS!$A$2:$C$269,3,FALSE()),"")</f>
        <v>AYUDA DE GREMIOS Y GGBB</v>
      </c>
      <c r="K1848" s="212" t="str">
        <f>IFERROR(INDEX(PPTO_GENERADOR!$B$4:$B$220,MATCH(A1848,PPTO_GENERADOR!$Q$4:$Q$220,0)),"")</f>
        <v>AYUDA DE GREMIOS Y GGBB</v>
      </c>
      <c r="L1848" s="216">
        <f>IF(PLAN_ETAPA!$C$4="(TODOS)",SUMIFS(PPTO_GENERADOR!$E$4:$E$220,PPTO_GENERADOR!$Q$4:$Q$220,A1848),SUMIFS(PPTO_GENERADOR!$E$4:$E$220,PPTO_GENERADOR!$Q$4:$Q$220,A1848,PPTO_GENERADOR!$B$4:$B$220,PLAN_ETAPA!$C$4))</f>
        <v>0</v>
      </c>
      <c r="M1848" s="216">
        <f>IFERROR(VLOOKUP(A1848,PARTIDAS!$A$2:$F$269,6,FALSE()),1)</f>
        <v>1</v>
      </c>
      <c r="N1848" s="216">
        <f>IFERROR(VLOOKUP(A1848,PARTIDAS!$A$2:$I$269,9,FALSE()),1)</f>
        <v>1</v>
      </c>
      <c r="O1848" s="217">
        <f t="shared" si="56"/>
        <v>0</v>
      </c>
      <c r="P1848" s="216">
        <f>IF(O1848=0,0,IF(B1848="MAT",G1848*(1+H1848)*L1848*PLAN_ETAPA!$C$5,IF(B1848="MO",IF(M1848=0,0,G1848*L1848*PLAN_ETAPA!$C$5*N1848/M1848),IF(B1848="EQ",IF(M1848=0,0,G1848*L1848*PLAN_ETAPA!$C$5/M1848),0))))</f>
        <v>0</v>
      </c>
      <c r="Q1848" s="218">
        <f t="shared" si="57"/>
        <v>0</v>
      </c>
    </row>
    <row r="1849" spans="1:17" x14ac:dyDescent="0.35">
      <c r="A1849" s="212" t="str">
        <f>COMPOSICIÓN!A1849</f>
        <v>PTO-2407</v>
      </c>
      <c r="B1849" s="212" t="str">
        <f>COMPOSICIÓN!B1849</f>
        <v>MAT</v>
      </c>
      <c r="C1849" s="212" t="str">
        <f>COMPOSICIÓN!C1849</f>
        <v>OTR</v>
      </c>
      <c r="D1849" s="212" t="str">
        <f>COMPOSICIÓN!D1849</f>
        <v>OTR-PTO140</v>
      </c>
      <c r="E1849" s="212" t="str">
        <f>COMPOSICIÓN!E1849</f>
        <v xml:space="preserve">Mat. </v>
      </c>
      <c r="F1849" s="212" t="str">
        <f>COMPOSICIÓN!F1849</f>
        <v>mes</v>
      </c>
      <c r="G1849" s="213">
        <f>COMPOSICIÓN!G1849</f>
        <v>5</v>
      </c>
      <c r="H1849" s="214">
        <f>COMPOSICIÓN!H1849</f>
        <v>0</v>
      </c>
      <c r="I1849" s="215">
        <f>COMPOSICIÓN!I1849</f>
        <v>50000</v>
      </c>
      <c r="J1849" s="212" t="str">
        <f>IFERROR(VLOOKUP(A1849,PARTIDAS!$A$2:$C$269,3,FALSE()),"")</f>
        <v>AYUDA DE GREMIOS Y GGBB</v>
      </c>
      <c r="K1849" s="212" t="str">
        <f>IFERROR(INDEX(PPTO_GENERADOR!$B$4:$B$220,MATCH(A1849,PPTO_GENERADOR!$Q$4:$Q$220,0)),"")</f>
        <v>AYUDA DE GREMIOS Y GGBB</v>
      </c>
      <c r="L1849" s="216">
        <f>IF(PLAN_ETAPA!$C$4="(TODOS)",SUMIFS(PPTO_GENERADOR!$E$4:$E$220,PPTO_GENERADOR!$Q$4:$Q$220,A1849),SUMIFS(PPTO_GENERADOR!$E$4:$E$220,PPTO_GENERADOR!$Q$4:$Q$220,A1849,PPTO_GENERADOR!$B$4:$B$220,PLAN_ETAPA!$C$4))</f>
        <v>0</v>
      </c>
      <c r="M1849" s="216">
        <f>IFERROR(VLOOKUP(A1849,PARTIDAS!$A$2:$F$269,6,FALSE()),1)</f>
        <v>1</v>
      </c>
      <c r="N1849" s="216">
        <f>IFERROR(VLOOKUP(A1849,PARTIDAS!$A$2:$I$269,9,FALSE()),1)</f>
        <v>1</v>
      </c>
      <c r="O1849" s="217">
        <f t="shared" si="56"/>
        <v>0</v>
      </c>
      <c r="P1849" s="216">
        <f>IF(O1849=0,0,IF(B1849="MAT",G1849*(1+H1849)*L1849*PLAN_ETAPA!$C$5,IF(B1849="MO",IF(M1849=0,0,G1849*L1849*PLAN_ETAPA!$C$5*N1849/M1849),IF(B1849="EQ",IF(M1849=0,0,G1849*L1849*PLAN_ETAPA!$C$5/M1849),0))))</f>
        <v>0</v>
      </c>
      <c r="Q1849" s="218">
        <f t="shared" si="57"/>
        <v>0</v>
      </c>
    </row>
    <row r="1850" spans="1:17" x14ac:dyDescent="0.35">
      <c r="A1850" s="212" t="str">
        <f>COMPOSICIÓN!A1850</f>
        <v>PTO-2407</v>
      </c>
      <c r="B1850" s="212" t="str">
        <f>COMPOSICIÓN!B1850</f>
        <v>MO</v>
      </c>
      <c r="C1850" s="212" t="str">
        <f>COMPOSICIÓN!C1850</f>
        <v>ALB</v>
      </c>
      <c r="D1850" s="212" t="str">
        <f>COMPOSICIÓN!D1850</f>
        <v>MO-EAYUD</v>
      </c>
      <c r="E1850" s="212" t="str">
        <f>COMPOSICIÓN!E1850</f>
        <v>AYUDANTE</v>
      </c>
      <c r="F1850" s="212" t="str">
        <f>COMPOSICIÓN!F1850</f>
        <v>j</v>
      </c>
      <c r="G1850" s="213">
        <f>COMPOSICIÓN!G1850</f>
        <v>60</v>
      </c>
      <c r="H1850" s="214">
        <f>COMPOSICIÓN!H1850</f>
        <v>0</v>
      </c>
      <c r="I1850" s="215">
        <f>COMPOSICIÓN!I1850</f>
        <v>60860.580776572002</v>
      </c>
      <c r="J1850" s="212" t="str">
        <f>IFERROR(VLOOKUP(A1850,PARTIDAS!$A$2:$C$269,3,FALSE()),"")</f>
        <v>AYUDA DE GREMIOS Y GGBB</v>
      </c>
      <c r="K1850" s="212" t="str">
        <f>IFERROR(INDEX(PPTO_GENERADOR!$B$4:$B$220,MATCH(A1850,PPTO_GENERADOR!$Q$4:$Q$220,0)),"")</f>
        <v>AYUDA DE GREMIOS Y GGBB</v>
      </c>
      <c r="L1850" s="216">
        <f>IF(PLAN_ETAPA!$C$4="(TODOS)",SUMIFS(PPTO_GENERADOR!$E$4:$E$220,PPTO_GENERADOR!$Q$4:$Q$220,A1850),SUMIFS(PPTO_GENERADOR!$E$4:$E$220,PPTO_GENERADOR!$Q$4:$Q$220,A1850,PPTO_GENERADOR!$B$4:$B$220,PLAN_ETAPA!$C$4))</f>
        <v>0</v>
      </c>
      <c r="M1850" s="216">
        <f>IFERROR(VLOOKUP(A1850,PARTIDAS!$A$2:$F$269,6,FALSE()),1)</f>
        <v>1</v>
      </c>
      <c r="N1850" s="216">
        <f>IFERROR(VLOOKUP(A1850,PARTIDAS!$A$2:$I$269,9,FALSE()),1)</f>
        <v>1</v>
      </c>
      <c r="O1850" s="217">
        <f t="shared" si="56"/>
        <v>0</v>
      </c>
      <c r="P1850" s="216">
        <f>IF(O1850=0,0,IF(B1850="MAT",G1850*(1+H1850)*L1850*PLAN_ETAPA!$C$5,IF(B1850="MO",IF(M1850=0,0,G1850*L1850*PLAN_ETAPA!$C$5*N1850/M1850),IF(B1850="EQ",IF(M1850=0,0,G1850*L1850*PLAN_ETAPA!$C$5/M1850),0))))</f>
        <v>0</v>
      </c>
      <c r="Q1850" s="218">
        <f t="shared" si="57"/>
        <v>0</v>
      </c>
    </row>
    <row r="1851" spans="1:17" x14ac:dyDescent="0.35">
      <c r="A1851" s="212" t="str">
        <f>COMPOSICIÓN!A1851</f>
        <v>PTO-2408</v>
      </c>
      <c r="B1851" s="212" t="str">
        <f>COMPOSICIÓN!B1851</f>
        <v>MO</v>
      </c>
      <c r="C1851" s="212" t="str">
        <f>COMPOSICIÓN!C1851</f>
        <v>OTR</v>
      </c>
      <c r="D1851" s="212" t="str">
        <f>COMPOSICIÓN!D1851</f>
        <v>SUB-PTO074</v>
      </c>
      <c r="E1851" s="212" t="str">
        <f>COMPOSICIÓN!E1851</f>
        <v>MO Fletes</v>
      </c>
      <c r="F1851" s="212" t="str">
        <f>COMPOSICIÓN!F1851</f>
        <v>j</v>
      </c>
      <c r="G1851" s="213">
        <f>COMPOSICIÓN!G1851</f>
        <v>1</v>
      </c>
      <c r="H1851" s="214">
        <f>COMPOSICIÓN!H1851</f>
        <v>0</v>
      </c>
      <c r="I1851" s="215">
        <f>COMPOSICIÓN!I1851</f>
        <v>300000</v>
      </c>
      <c r="J1851" s="212" t="str">
        <f>IFERROR(VLOOKUP(A1851,PARTIDAS!$A$2:$C$269,3,FALSE()),"")</f>
        <v>AYUDA DE GREMIOS Y GGBB</v>
      </c>
      <c r="K1851" s="212" t="str">
        <f>IFERROR(INDEX(PPTO_GENERADOR!$B$4:$B$220,MATCH(A1851,PPTO_GENERADOR!$Q$4:$Q$220,0)),"")</f>
        <v>AYUDA DE GREMIOS Y GGBB</v>
      </c>
      <c r="L1851" s="216">
        <f>IF(PLAN_ETAPA!$C$4="(TODOS)",SUMIFS(PPTO_GENERADOR!$E$4:$E$220,PPTO_GENERADOR!$Q$4:$Q$220,A1851),SUMIFS(PPTO_GENERADOR!$E$4:$E$220,PPTO_GENERADOR!$Q$4:$Q$220,A1851,PPTO_GENERADOR!$B$4:$B$220,PLAN_ETAPA!$C$4))</f>
        <v>0</v>
      </c>
      <c r="M1851" s="216">
        <f>IFERROR(VLOOKUP(A1851,PARTIDAS!$A$2:$F$269,6,FALSE()),1)</f>
        <v>1</v>
      </c>
      <c r="N1851" s="216">
        <f>IFERROR(VLOOKUP(A1851,PARTIDAS!$A$2:$I$269,9,FALSE()),1)</f>
        <v>1</v>
      </c>
      <c r="O1851" s="217">
        <f t="shared" si="56"/>
        <v>0</v>
      </c>
      <c r="P1851" s="216">
        <f>IF(O1851=0,0,IF(B1851="MAT",G1851*(1+H1851)*L1851*PLAN_ETAPA!$C$5,IF(B1851="MO",IF(M1851=0,0,G1851*L1851*PLAN_ETAPA!$C$5*N1851/M1851),IF(B1851="EQ",IF(M1851=0,0,G1851*L1851*PLAN_ETAPA!$C$5/M1851),0))))</f>
        <v>0</v>
      </c>
      <c r="Q1851" s="218">
        <f t="shared" si="57"/>
        <v>0</v>
      </c>
    </row>
    <row r="1852" spans="1:17" x14ac:dyDescent="0.35">
      <c r="A1852" s="212" t="str">
        <f>COMPOSICIÓN!A1852</f>
        <v>PTO-2409</v>
      </c>
      <c r="B1852" s="212" t="str">
        <f>COMPOSICIÓN!B1852</f>
        <v>MAT</v>
      </c>
      <c r="C1852" s="212" t="str">
        <f>COMPOSICIÓN!C1852</f>
        <v>OTR</v>
      </c>
      <c r="D1852" s="212" t="str">
        <f>COMPOSICIÓN!D1852</f>
        <v>OTR-PTO061</v>
      </c>
      <c r="E1852" s="212" t="str">
        <f>COMPOSICIÓN!E1852</f>
        <v>Volquetes</v>
      </c>
      <c r="F1852" s="212" t="str">
        <f>COMPOSICIÓN!F1852</f>
        <v>u</v>
      </c>
      <c r="G1852" s="213">
        <f>COMPOSICIÓN!G1852</f>
        <v>2</v>
      </c>
      <c r="H1852" s="214">
        <f>COMPOSICIÓN!H1852</f>
        <v>0</v>
      </c>
      <c r="I1852" s="215">
        <f>COMPOSICIÓN!I1852</f>
        <v>100000</v>
      </c>
      <c r="J1852" s="212" t="str">
        <f>IFERROR(VLOOKUP(A1852,PARTIDAS!$A$2:$C$269,3,FALSE()),"")</f>
        <v>AYUDA DE GREMIOS Y GGBB</v>
      </c>
      <c r="K1852" s="212" t="str">
        <f>IFERROR(INDEX(PPTO_GENERADOR!$B$4:$B$220,MATCH(A1852,PPTO_GENERADOR!$Q$4:$Q$220,0)),"")</f>
        <v>AYUDA DE GREMIOS Y GGBB</v>
      </c>
      <c r="L1852" s="216">
        <f>IF(PLAN_ETAPA!$C$4="(TODOS)",SUMIFS(PPTO_GENERADOR!$E$4:$E$220,PPTO_GENERADOR!$Q$4:$Q$220,A1852),SUMIFS(PPTO_GENERADOR!$E$4:$E$220,PPTO_GENERADOR!$Q$4:$Q$220,A1852,PPTO_GENERADOR!$B$4:$B$220,PLAN_ETAPA!$C$4))</f>
        <v>0</v>
      </c>
      <c r="M1852" s="216">
        <f>IFERROR(VLOOKUP(A1852,PARTIDAS!$A$2:$F$269,6,FALSE()),1)</f>
        <v>1</v>
      </c>
      <c r="N1852" s="216">
        <f>IFERROR(VLOOKUP(A1852,PARTIDAS!$A$2:$I$269,9,FALSE()),1)</f>
        <v>1</v>
      </c>
      <c r="O1852" s="217">
        <f t="shared" si="56"/>
        <v>0</v>
      </c>
      <c r="P1852" s="216">
        <f>IF(O1852=0,0,IF(B1852="MAT",G1852*(1+H1852)*L1852*PLAN_ETAPA!$C$5,IF(B1852="MO",IF(M1852=0,0,G1852*L1852*PLAN_ETAPA!$C$5*N1852/M1852),IF(B1852="EQ",IF(M1852=0,0,G1852*L1852*PLAN_ETAPA!$C$5/M1852),0))))</f>
        <v>0</v>
      </c>
      <c r="Q1852" s="218">
        <f t="shared" si="57"/>
        <v>0</v>
      </c>
    </row>
    <row r="1853" spans="1:17" x14ac:dyDescent="0.35">
      <c r="A1853" s="212" t="str">
        <f>COMPOSICIÓN!A1853</f>
        <v>PTO-2409</v>
      </c>
      <c r="B1853" s="212" t="str">
        <f>COMPOSICIÓN!B1853</f>
        <v>MO</v>
      </c>
      <c r="C1853" s="212" t="str">
        <f>COMPOSICIÓN!C1853</f>
        <v>OTR</v>
      </c>
      <c r="D1853" s="212" t="str">
        <f>COMPOSICIÓN!D1853</f>
        <v>SUB-PTO075</v>
      </c>
      <c r="E1853" s="212" t="str">
        <f>COMPOSICIÓN!E1853</f>
        <v>MO Volquetes</v>
      </c>
      <c r="F1853" s="212" t="str">
        <f>COMPOSICIÓN!F1853</f>
        <v>j</v>
      </c>
      <c r="G1853" s="213">
        <f>COMPOSICIÓN!G1853</f>
        <v>1</v>
      </c>
      <c r="H1853" s="214">
        <f>COMPOSICIÓN!H1853</f>
        <v>0</v>
      </c>
      <c r="I1853" s="215">
        <f>COMPOSICIÓN!I1853</f>
        <v>60860.580776572002</v>
      </c>
      <c r="J1853" s="212" t="str">
        <f>IFERROR(VLOOKUP(A1853,PARTIDAS!$A$2:$C$269,3,FALSE()),"")</f>
        <v>AYUDA DE GREMIOS Y GGBB</v>
      </c>
      <c r="K1853" s="212" t="str">
        <f>IFERROR(INDEX(PPTO_GENERADOR!$B$4:$B$220,MATCH(A1853,PPTO_GENERADOR!$Q$4:$Q$220,0)),"")</f>
        <v>AYUDA DE GREMIOS Y GGBB</v>
      </c>
      <c r="L1853" s="216">
        <f>IF(PLAN_ETAPA!$C$4="(TODOS)",SUMIFS(PPTO_GENERADOR!$E$4:$E$220,PPTO_GENERADOR!$Q$4:$Q$220,A1853),SUMIFS(PPTO_GENERADOR!$E$4:$E$220,PPTO_GENERADOR!$Q$4:$Q$220,A1853,PPTO_GENERADOR!$B$4:$B$220,PLAN_ETAPA!$C$4))</f>
        <v>0</v>
      </c>
      <c r="M1853" s="216">
        <f>IFERROR(VLOOKUP(A1853,PARTIDAS!$A$2:$F$269,6,FALSE()),1)</f>
        <v>1</v>
      </c>
      <c r="N1853" s="216">
        <f>IFERROR(VLOOKUP(A1853,PARTIDAS!$A$2:$I$269,9,FALSE()),1)</f>
        <v>1</v>
      </c>
      <c r="O1853" s="217">
        <f t="shared" si="56"/>
        <v>0</v>
      </c>
      <c r="P1853" s="216">
        <f>IF(O1853=0,0,IF(B1853="MAT",G1853*(1+H1853)*L1853*PLAN_ETAPA!$C$5,IF(B1853="MO",IF(M1853=0,0,G1853*L1853*PLAN_ETAPA!$C$5*N1853/M1853),IF(B1853="EQ",IF(M1853=0,0,G1853*L1853*PLAN_ETAPA!$C$5/M1853),0))))</f>
        <v>0</v>
      </c>
      <c r="Q1853" s="218">
        <f t="shared" si="57"/>
        <v>0</v>
      </c>
    </row>
    <row r="1854" spans="1:17" x14ac:dyDescent="0.35">
      <c r="A1854" s="212" t="str">
        <f>COMPOSICIÓN!A1854</f>
        <v>PTO-2501</v>
      </c>
      <c r="B1854" s="212" t="str">
        <f>COMPOSICIÓN!B1854</f>
        <v>MO</v>
      </c>
      <c r="C1854" s="212" t="str">
        <f>COMPOSICIÓN!C1854</f>
        <v>OTR</v>
      </c>
      <c r="D1854" s="212" t="str">
        <f>COMPOSICIÓN!D1854</f>
        <v>SUB-PTO076</v>
      </c>
      <c r="E1854" s="212" t="str">
        <f>COMPOSICIÓN!E1854</f>
        <v>MO Supervisión profesional de Obra</v>
      </c>
      <c r="F1854" s="212" t="str">
        <f>COMPOSICIÓN!F1854</f>
        <v>j</v>
      </c>
      <c r="G1854" s="213">
        <f>COMPOSICIÓN!G1854</f>
        <v>1</v>
      </c>
      <c r="H1854" s="214">
        <f>COMPOSICIÓN!H1854</f>
        <v>0</v>
      </c>
      <c r="I1854" s="215">
        <f>COMPOSICIÓN!I1854</f>
        <v>4372210.5820000004</v>
      </c>
      <c r="J1854" s="212" t="str">
        <f>IFERROR(VLOOKUP(A1854,PARTIDAS!$A$2:$C$269,3,FALSE()),"")</f>
        <v>HONORARIOS Y JEFATURA DE OBRA</v>
      </c>
      <c r="K1854" s="212" t="str">
        <f>IFERROR(INDEX(PPTO_GENERADOR!$B$4:$B$220,MATCH(A1854,PPTO_GENERADOR!$Q$4:$Q$220,0)),"")</f>
        <v>HONORARIOS Y JEFATURA DE OBRA</v>
      </c>
      <c r="L1854" s="216">
        <f>IF(PLAN_ETAPA!$C$4="(TODOS)",SUMIFS(PPTO_GENERADOR!$E$4:$E$220,PPTO_GENERADOR!$Q$4:$Q$220,A1854),SUMIFS(PPTO_GENERADOR!$E$4:$E$220,PPTO_GENERADOR!$Q$4:$Q$220,A1854,PPTO_GENERADOR!$B$4:$B$220,PLAN_ETAPA!$C$4))</f>
        <v>0</v>
      </c>
      <c r="M1854" s="216">
        <f>IFERROR(VLOOKUP(A1854,PARTIDAS!$A$2:$F$269,6,FALSE()),1)</f>
        <v>1</v>
      </c>
      <c r="N1854" s="216">
        <f>IFERROR(VLOOKUP(A1854,PARTIDAS!$A$2:$I$269,9,FALSE()),1)</f>
        <v>1</v>
      </c>
      <c r="O1854" s="217">
        <f t="shared" si="56"/>
        <v>0</v>
      </c>
      <c r="P1854" s="216">
        <f>IF(O1854=0,0,IF(B1854="MAT",G1854*(1+H1854)*L1854*PLAN_ETAPA!$C$5,IF(B1854="MO",IF(M1854=0,0,G1854*L1854*PLAN_ETAPA!$C$5*N1854/M1854),IF(B1854="EQ",IF(M1854=0,0,G1854*L1854*PLAN_ETAPA!$C$5/M1854),0))))</f>
        <v>0</v>
      </c>
      <c r="Q1854" s="218">
        <f t="shared" si="57"/>
        <v>0</v>
      </c>
    </row>
    <row r="1855" spans="1:17" x14ac:dyDescent="0.35">
      <c r="A1855" s="212" t="str">
        <f>COMPOSICIÓN!A1855</f>
        <v>PTO-2502</v>
      </c>
      <c r="B1855" s="212" t="str">
        <f>COMPOSICIÓN!B1855</f>
        <v>MO</v>
      </c>
      <c r="C1855" s="212" t="str">
        <f>COMPOSICIÓN!C1855</f>
        <v>OTR</v>
      </c>
      <c r="D1855" s="212" t="str">
        <f>COMPOSICIÓN!D1855</f>
        <v>SUB-PTO077</v>
      </c>
      <c r="E1855" s="212" t="str">
        <f>COMPOSICIÓN!E1855</f>
        <v>MO Movilidad y viaticos</v>
      </c>
      <c r="F1855" s="212" t="str">
        <f>COMPOSICIÓN!F1855</f>
        <v>j</v>
      </c>
      <c r="G1855" s="213">
        <f>COMPOSICIÓN!G1855</f>
        <v>1</v>
      </c>
      <c r="H1855" s="214">
        <f>COMPOSICIÓN!H1855</f>
        <v>0</v>
      </c>
      <c r="I1855" s="215">
        <f>COMPOSICIÓN!I1855</f>
        <v>500000</v>
      </c>
      <c r="J1855" s="212" t="str">
        <f>IFERROR(VLOOKUP(A1855,PARTIDAS!$A$2:$C$269,3,FALSE()),"")</f>
        <v>HONORARIOS Y JEFATURA DE OBRA</v>
      </c>
      <c r="K1855" s="212" t="str">
        <f>IFERROR(INDEX(PPTO_GENERADOR!$B$4:$B$220,MATCH(A1855,PPTO_GENERADOR!$Q$4:$Q$220,0)),"")</f>
        <v>HONORARIOS Y JEFATURA DE OBRA</v>
      </c>
      <c r="L1855" s="216">
        <f>IF(PLAN_ETAPA!$C$4="(TODOS)",SUMIFS(PPTO_GENERADOR!$E$4:$E$220,PPTO_GENERADOR!$Q$4:$Q$220,A1855),SUMIFS(PPTO_GENERADOR!$E$4:$E$220,PPTO_GENERADOR!$Q$4:$Q$220,A1855,PPTO_GENERADOR!$B$4:$B$220,PLAN_ETAPA!$C$4))</f>
        <v>0</v>
      </c>
      <c r="M1855" s="216">
        <f>IFERROR(VLOOKUP(A1855,PARTIDAS!$A$2:$F$269,6,FALSE()),1)</f>
        <v>1</v>
      </c>
      <c r="N1855" s="216">
        <f>IFERROR(VLOOKUP(A1855,PARTIDAS!$A$2:$I$269,9,FALSE()),1)</f>
        <v>1</v>
      </c>
      <c r="O1855" s="217">
        <f t="shared" si="56"/>
        <v>0</v>
      </c>
      <c r="P1855" s="216">
        <f>IF(O1855=0,0,IF(B1855="MAT",G1855*(1+H1855)*L1855*PLAN_ETAPA!$C$5,IF(B1855="MO",IF(M1855=0,0,G1855*L1855*PLAN_ETAPA!$C$5*N1855/M1855),IF(B1855="EQ",IF(M1855=0,0,G1855*L1855*PLAN_ETAPA!$C$5/M1855),0))))</f>
        <v>0</v>
      </c>
      <c r="Q1855" s="218">
        <f t="shared" si="57"/>
        <v>0</v>
      </c>
    </row>
    <row r="1856" spans="1:17" x14ac:dyDescent="0.35">
      <c r="A1856" s="212" t="str">
        <f>COMPOSICIÓN!A1856</f>
        <v>REV-072</v>
      </c>
      <c r="B1856" s="212" t="str">
        <f>COMPOSICIÓN!B1856</f>
        <v>EQ</v>
      </c>
      <c r="C1856" s="212">
        <f>COMPOSICIÓN!C1856</f>
        <v>0</v>
      </c>
      <c r="D1856" s="212" t="str">
        <f>COMPOSICIÓN!D1856</f>
        <v>EQ-ANDAM0</v>
      </c>
      <c r="E1856" s="212" t="str">
        <f>COMPOSICIÓN!E1856</f>
        <v>ANDAMIO TUBULAR DE UNO A TRES CUERPOS</v>
      </c>
      <c r="F1856" s="212">
        <f>COMPOSICIÓN!F1856</f>
        <v>0</v>
      </c>
      <c r="G1856" s="213">
        <f>COMPOSICIÓN!G1856</f>
        <v>1</v>
      </c>
      <c r="H1856" s="214">
        <f>COMPOSICIÓN!H1856</f>
        <v>0</v>
      </c>
      <c r="I1856" s="215">
        <f>COMPOSICIÓN!I1856</f>
        <v>571.1794909807611</v>
      </c>
      <c r="J1856" s="212" t="str">
        <f>IFERROR(VLOOKUP(A1856,PARTIDAS!$A$2:$C$269,3,FALSE()),"")</f>
        <v>REVOQUES</v>
      </c>
      <c r="K1856" s="212" t="str">
        <f>IFERROR(INDEX(PPTO_GENERADOR!$B$4:$B$220,MATCH(A1856,PPTO_GENERADOR!$Q$4:$Q$220,0)),"")</f>
        <v/>
      </c>
      <c r="L1856" s="216">
        <f>IF(PLAN_ETAPA!$C$4="(TODOS)",SUMIFS(PPTO_GENERADOR!$E$4:$E$220,PPTO_GENERADOR!$Q$4:$Q$220,A1856),SUMIFS(PPTO_GENERADOR!$E$4:$E$220,PPTO_GENERADOR!$Q$4:$Q$220,A1856,PPTO_GENERADOR!$B$4:$B$220,PLAN_ETAPA!$C$4))</f>
        <v>0</v>
      </c>
      <c r="M1856" s="216">
        <f>IFERROR(VLOOKUP(A1856,PARTIDAS!$A$2:$F$269,6,FALSE()),1)</f>
        <v>35</v>
      </c>
      <c r="N1856" s="216">
        <f>IFERROR(VLOOKUP(A1856,PARTIDAS!$A$2:$I$269,9,FALSE()),1)</f>
        <v>1</v>
      </c>
      <c r="O1856" s="217">
        <f t="shared" si="56"/>
        <v>0</v>
      </c>
      <c r="P1856" s="216">
        <f>IF(O1856=0,0,IF(B1856="MAT",G1856*(1+H1856)*L1856*PLAN_ETAPA!$C$5,IF(B1856="MO",IF(M1856=0,0,G1856*L1856*PLAN_ETAPA!$C$5*N1856/M1856),IF(B1856="EQ",IF(M1856=0,0,G1856*L1856*PLAN_ETAPA!$C$5/M1856),0))))</f>
        <v>0</v>
      </c>
      <c r="Q1856" s="218">
        <f t="shared" si="57"/>
        <v>0</v>
      </c>
    </row>
    <row r="1857" spans="1:17" x14ac:dyDescent="0.35">
      <c r="A1857" s="212" t="str">
        <f>COMPOSICIÓN!A1857</f>
        <v>REV-072</v>
      </c>
      <c r="B1857" s="212" t="str">
        <f>COMPOSICIÓN!B1857</f>
        <v>EQ</v>
      </c>
      <c r="C1857" s="212">
        <f>COMPOSICIÓN!C1857</f>
        <v>0</v>
      </c>
      <c r="D1857" s="212" t="str">
        <f>COMPOSICIÓN!D1857</f>
        <v>EQ-EQALBA</v>
      </c>
      <c r="E1857" s="212" t="str">
        <f>COMPOSICIÓN!E1857</f>
        <v>EQUIPO DE ALBAÑILERIA, carpetas, ladrillo</v>
      </c>
      <c r="F1857" s="212">
        <f>COMPOSICIÓN!F1857</f>
        <v>0</v>
      </c>
      <c r="G1857" s="213">
        <f>COMPOSICIÓN!G1857</f>
        <v>1</v>
      </c>
      <c r="H1857" s="214">
        <f>COMPOSICIÓN!H1857</f>
        <v>0</v>
      </c>
      <c r="I1857" s="215">
        <f>COMPOSICIÓN!I1857</f>
        <v>2287.1357450968057</v>
      </c>
      <c r="J1857" s="212" t="str">
        <f>IFERROR(VLOOKUP(A1857,PARTIDAS!$A$2:$C$269,3,FALSE()),"")</f>
        <v>REVOQUES</v>
      </c>
      <c r="K1857" s="212" t="str">
        <f>IFERROR(INDEX(PPTO_GENERADOR!$B$4:$B$220,MATCH(A1857,PPTO_GENERADOR!$Q$4:$Q$220,0)),"")</f>
        <v/>
      </c>
      <c r="L1857" s="216">
        <f>IF(PLAN_ETAPA!$C$4="(TODOS)",SUMIFS(PPTO_GENERADOR!$E$4:$E$220,PPTO_GENERADOR!$Q$4:$Q$220,A1857),SUMIFS(PPTO_GENERADOR!$E$4:$E$220,PPTO_GENERADOR!$Q$4:$Q$220,A1857,PPTO_GENERADOR!$B$4:$B$220,PLAN_ETAPA!$C$4))</f>
        <v>0</v>
      </c>
      <c r="M1857" s="216">
        <f>IFERROR(VLOOKUP(A1857,PARTIDAS!$A$2:$F$269,6,FALSE()),1)</f>
        <v>35</v>
      </c>
      <c r="N1857" s="216">
        <f>IFERROR(VLOOKUP(A1857,PARTIDAS!$A$2:$I$269,9,FALSE()),1)</f>
        <v>1</v>
      </c>
      <c r="O1857" s="217">
        <f t="shared" si="56"/>
        <v>0</v>
      </c>
      <c r="P1857" s="216">
        <f>IF(O1857=0,0,IF(B1857="MAT",G1857*(1+H1857)*L1857*PLAN_ETAPA!$C$5,IF(B1857="MO",IF(M1857=0,0,G1857*L1857*PLAN_ETAPA!$C$5*N1857/M1857),IF(B1857="EQ",IF(M1857=0,0,G1857*L1857*PLAN_ETAPA!$C$5/M1857),0))))</f>
        <v>0</v>
      </c>
      <c r="Q1857" s="218">
        <f t="shared" si="57"/>
        <v>0</v>
      </c>
    </row>
    <row r="1858" spans="1:17" x14ac:dyDescent="0.35">
      <c r="A1858" s="212" t="str">
        <f>COMPOSICIÓN!A1858</f>
        <v>REV-072</v>
      </c>
      <c r="B1858" s="212" t="str">
        <f>COMPOSICIÓN!B1858</f>
        <v>EQ</v>
      </c>
      <c r="C1858" s="212">
        <f>COMPOSICIÓN!C1858</f>
        <v>0</v>
      </c>
      <c r="D1858" s="212" t="str">
        <f>COMPOSICIÓN!D1858</f>
        <v>EQ-REVOC2</v>
      </c>
      <c r="E1858" s="212" t="str">
        <f>COMPOSICIÓN!E1858</f>
        <v>Maquina revocadora Revoque/Yeso - Alq. X mes</v>
      </c>
      <c r="F1858" s="212">
        <f>COMPOSICIÓN!F1858</f>
        <v>0</v>
      </c>
      <c r="G1858" s="213">
        <f>COMPOSICIÓN!G1858</f>
        <v>1</v>
      </c>
      <c r="H1858" s="214">
        <f>COMPOSICIÓN!H1858</f>
        <v>0</v>
      </c>
      <c r="I1858" s="215">
        <f>COMPOSICIÓN!I1858</f>
        <v>41000</v>
      </c>
      <c r="J1858" s="212" t="str">
        <f>IFERROR(VLOOKUP(A1858,PARTIDAS!$A$2:$C$269,3,FALSE()),"")</f>
        <v>REVOQUES</v>
      </c>
      <c r="K1858" s="212" t="str">
        <f>IFERROR(INDEX(PPTO_GENERADOR!$B$4:$B$220,MATCH(A1858,PPTO_GENERADOR!$Q$4:$Q$220,0)),"")</f>
        <v/>
      </c>
      <c r="L1858" s="216">
        <f>IF(PLAN_ETAPA!$C$4="(TODOS)",SUMIFS(PPTO_GENERADOR!$E$4:$E$220,PPTO_GENERADOR!$Q$4:$Q$220,A1858),SUMIFS(PPTO_GENERADOR!$E$4:$E$220,PPTO_GENERADOR!$Q$4:$Q$220,A1858,PPTO_GENERADOR!$B$4:$B$220,PLAN_ETAPA!$C$4))</f>
        <v>0</v>
      </c>
      <c r="M1858" s="216">
        <f>IFERROR(VLOOKUP(A1858,PARTIDAS!$A$2:$F$269,6,FALSE()),1)</f>
        <v>35</v>
      </c>
      <c r="N1858" s="216">
        <f>IFERROR(VLOOKUP(A1858,PARTIDAS!$A$2:$I$269,9,FALSE()),1)</f>
        <v>1</v>
      </c>
      <c r="O1858" s="217">
        <f t="shared" ref="O1858:O1879" si="58">IF(L1858&gt;0,1,0)</f>
        <v>0</v>
      </c>
      <c r="P1858" s="216">
        <f>IF(O1858=0,0,IF(B1858="MAT",G1858*(1+H1858)*L1858*PLAN_ETAPA!$C$5,IF(B1858="MO",IF(M1858=0,0,G1858*L1858*PLAN_ETAPA!$C$5*N1858/M1858),IF(B1858="EQ",IF(M1858=0,0,G1858*L1858*PLAN_ETAPA!$C$5/M1858),0))))</f>
        <v>0</v>
      </c>
      <c r="Q1858" s="218">
        <f t="shared" ref="Q1858:Q1879" si="59">P1858*I1858</f>
        <v>0</v>
      </c>
    </row>
    <row r="1859" spans="1:17" x14ac:dyDescent="0.35">
      <c r="A1859" s="212" t="str">
        <f>COMPOSICIÓN!A1859</f>
        <v>REV-072</v>
      </c>
      <c r="B1859" s="212" t="str">
        <f>COMPOSICIÓN!B1859</f>
        <v>MAT</v>
      </c>
      <c r="C1859" s="212" t="str">
        <f>COMPOSICIÓN!C1859</f>
        <v>OTR</v>
      </c>
      <c r="D1859" s="212" t="str">
        <f>COMPOSICIÓN!D1859</f>
        <v>AGR-001</v>
      </c>
      <c r="E1859" s="212" t="str">
        <f>COMPOSICIÓN!E1859</f>
        <v>ARENA LAVADA</v>
      </c>
      <c r="F1859" s="212" t="str">
        <f>COMPOSICIÓN!F1859</f>
        <v>m3</v>
      </c>
      <c r="G1859" s="213">
        <f>COMPOSICIÓN!G1859</f>
        <v>1.5</v>
      </c>
      <c r="H1859" s="214">
        <f>COMPOSICIÓN!H1859</f>
        <v>0.1</v>
      </c>
      <c r="I1859" s="215">
        <f>COMPOSICIÓN!I1859</f>
        <v>32399.77</v>
      </c>
      <c r="J1859" s="212" t="str">
        <f>IFERROR(VLOOKUP(A1859,PARTIDAS!$A$2:$C$269,3,FALSE()),"")</f>
        <v>REVOQUES</v>
      </c>
      <c r="K1859" s="212" t="str">
        <f>IFERROR(INDEX(PPTO_GENERADOR!$B$4:$B$220,MATCH(A1859,PPTO_GENERADOR!$Q$4:$Q$220,0)),"")</f>
        <v/>
      </c>
      <c r="L1859" s="216">
        <f>IF(PLAN_ETAPA!$C$4="(TODOS)",SUMIFS(PPTO_GENERADOR!$E$4:$E$220,PPTO_GENERADOR!$Q$4:$Q$220,A1859),SUMIFS(PPTO_GENERADOR!$E$4:$E$220,PPTO_GENERADOR!$Q$4:$Q$220,A1859,PPTO_GENERADOR!$B$4:$B$220,PLAN_ETAPA!$C$4))</f>
        <v>0</v>
      </c>
      <c r="M1859" s="216">
        <f>IFERROR(VLOOKUP(A1859,PARTIDAS!$A$2:$F$269,6,FALSE()),1)</f>
        <v>35</v>
      </c>
      <c r="N1859" s="216">
        <f>IFERROR(VLOOKUP(A1859,PARTIDAS!$A$2:$I$269,9,FALSE()),1)</f>
        <v>1</v>
      </c>
      <c r="O1859" s="217">
        <f t="shared" si="58"/>
        <v>0</v>
      </c>
      <c r="P1859" s="216">
        <f>IF(O1859=0,0,IF(B1859="MAT",G1859*(1+H1859)*L1859*PLAN_ETAPA!$C$5,IF(B1859="MO",IF(M1859=0,0,G1859*L1859*PLAN_ETAPA!$C$5*N1859/M1859),IF(B1859="EQ",IF(M1859=0,0,G1859*L1859*PLAN_ETAPA!$C$5/M1859),0))))</f>
        <v>0</v>
      </c>
      <c r="Q1859" s="218">
        <f t="shared" si="59"/>
        <v>0</v>
      </c>
    </row>
    <row r="1860" spans="1:17" x14ac:dyDescent="0.35">
      <c r="A1860" s="212" t="str">
        <f>COMPOSICIÓN!A1860</f>
        <v>REV-072</v>
      </c>
      <c r="B1860" s="212" t="str">
        <f>COMPOSICIÓN!B1860</f>
        <v>MAT</v>
      </c>
      <c r="C1860" s="212" t="str">
        <f>COMPOSICIÓN!C1860</f>
        <v>OTR</v>
      </c>
      <c r="D1860" s="212" t="str">
        <f>COMPOSICIÓN!D1860</f>
        <v>REV-013</v>
      </c>
      <c r="E1860" s="212" t="str">
        <f>COMPOSICIÓN!E1860</f>
        <v>Conjunto rotor estator Yeso ASE</v>
      </c>
      <c r="F1860" s="212" t="str">
        <f>COMPOSICIÓN!F1860</f>
        <v>gl</v>
      </c>
      <c r="G1860" s="213">
        <f>COMPOSICIÓN!G1860</f>
        <v>1E-3</v>
      </c>
      <c r="H1860" s="214">
        <f>COMPOSICIÓN!H1860</f>
        <v>0</v>
      </c>
      <c r="I1860" s="215">
        <f>COMPOSICIÓN!I1860</f>
        <v>465850</v>
      </c>
      <c r="J1860" s="212" t="str">
        <f>IFERROR(VLOOKUP(A1860,PARTIDAS!$A$2:$C$269,3,FALSE()),"")</f>
        <v>REVOQUES</v>
      </c>
      <c r="K1860" s="212" t="str">
        <f>IFERROR(INDEX(PPTO_GENERADOR!$B$4:$B$220,MATCH(A1860,PPTO_GENERADOR!$Q$4:$Q$220,0)),"")</f>
        <v/>
      </c>
      <c r="L1860" s="216">
        <f>IF(PLAN_ETAPA!$C$4="(TODOS)",SUMIFS(PPTO_GENERADOR!$E$4:$E$220,PPTO_GENERADOR!$Q$4:$Q$220,A1860),SUMIFS(PPTO_GENERADOR!$E$4:$E$220,PPTO_GENERADOR!$Q$4:$Q$220,A1860,PPTO_GENERADOR!$B$4:$B$220,PLAN_ETAPA!$C$4))</f>
        <v>0</v>
      </c>
      <c r="M1860" s="216">
        <f>IFERROR(VLOOKUP(A1860,PARTIDAS!$A$2:$F$269,6,FALSE()),1)</f>
        <v>35</v>
      </c>
      <c r="N1860" s="216">
        <f>IFERROR(VLOOKUP(A1860,PARTIDAS!$A$2:$I$269,9,FALSE()),1)</f>
        <v>1</v>
      </c>
      <c r="O1860" s="217">
        <f t="shared" si="58"/>
        <v>0</v>
      </c>
      <c r="P1860" s="216">
        <f>IF(O1860=0,0,IF(B1860="MAT",G1860*(1+H1860)*L1860*PLAN_ETAPA!$C$5,IF(B1860="MO",IF(M1860=0,0,G1860*L1860*PLAN_ETAPA!$C$5*N1860/M1860),IF(B1860="EQ",IF(M1860=0,0,G1860*L1860*PLAN_ETAPA!$C$5/M1860),0))))</f>
        <v>0</v>
      </c>
      <c r="Q1860" s="218">
        <f t="shared" si="59"/>
        <v>0</v>
      </c>
    </row>
    <row r="1861" spans="1:17" x14ac:dyDescent="0.35">
      <c r="A1861" s="212" t="str">
        <f>COMPOSICIÓN!A1861</f>
        <v>REV-072</v>
      </c>
      <c r="B1861" s="212" t="str">
        <f>COMPOSICIÓN!B1861</f>
        <v>MO</v>
      </c>
      <c r="C1861" s="212" t="str">
        <f>COMPOSICIÓN!C1861</f>
        <v>ALB</v>
      </c>
      <c r="D1861" s="212" t="str">
        <f>COMPOSICIÓN!D1861</f>
        <v>MO-EAYUD</v>
      </c>
      <c r="E1861" s="212" t="str">
        <f>COMPOSICIÓN!E1861</f>
        <v>AYUDANTE</v>
      </c>
      <c r="F1861" s="212" t="str">
        <f>COMPOSICIÓN!F1861</f>
        <v>j</v>
      </c>
      <c r="G1861" s="213">
        <f>COMPOSICIÓN!G1861</f>
        <v>1.5</v>
      </c>
      <c r="H1861" s="214">
        <f>COMPOSICIÓN!H1861</f>
        <v>0</v>
      </c>
      <c r="I1861" s="215">
        <f>COMPOSICIÓN!I1861</f>
        <v>60860.580776572002</v>
      </c>
      <c r="J1861" s="212" t="str">
        <f>IFERROR(VLOOKUP(A1861,PARTIDAS!$A$2:$C$269,3,FALSE()),"")</f>
        <v>REVOQUES</v>
      </c>
      <c r="K1861" s="212" t="str">
        <f>IFERROR(INDEX(PPTO_GENERADOR!$B$4:$B$220,MATCH(A1861,PPTO_GENERADOR!$Q$4:$Q$220,0)),"")</f>
        <v/>
      </c>
      <c r="L1861" s="216">
        <f>IF(PLAN_ETAPA!$C$4="(TODOS)",SUMIFS(PPTO_GENERADOR!$E$4:$E$220,PPTO_GENERADOR!$Q$4:$Q$220,A1861),SUMIFS(PPTO_GENERADOR!$E$4:$E$220,PPTO_GENERADOR!$Q$4:$Q$220,A1861,PPTO_GENERADOR!$B$4:$B$220,PLAN_ETAPA!$C$4))</f>
        <v>0</v>
      </c>
      <c r="M1861" s="216">
        <f>IFERROR(VLOOKUP(A1861,PARTIDAS!$A$2:$F$269,6,FALSE()),1)</f>
        <v>35</v>
      </c>
      <c r="N1861" s="216">
        <f>IFERROR(VLOOKUP(A1861,PARTIDAS!$A$2:$I$269,9,FALSE()),1)</f>
        <v>1</v>
      </c>
      <c r="O1861" s="217">
        <f t="shared" si="58"/>
        <v>0</v>
      </c>
      <c r="P1861" s="216">
        <f>IF(O1861=0,0,IF(B1861="MAT",G1861*(1+H1861)*L1861*PLAN_ETAPA!$C$5,IF(B1861="MO",IF(M1861=0,0,G1861*L1861*PLAN_ETAPA!$C$5*N1861/M1861),IF(B1861="EQ",IF(M1861=0,0,G1861*L1861*PLAN_ETAPA!$C$5/M1861),0))))</f>
        <v>0</v>
      </c>
      <c r="Q1861" s="218">
        <f t="shared" si="59"/>
        <v>0</v>
      </c>
    </row>
    <row r="1862" spans="1:17" x14ac:dyDescent="0.35">
      <c r="A1862" s="212" t="str">
        <f>COMPOSICIÓN!A1862</f>
        <v>REV-072</v>
      </c>
      <c r="B1862" s="212" t="str">
        <f>COMPOSICIÓN!B1862</f>
        <v>MO</v>
      </c>
      <c r="C1862" s="212" t="str">
        <f>COMPOSICIÓN!C1862</f>
        <v>ALB</v>
      </c>
      <c r="D1862" s="212" t="str">
        <f>COMPOSICIÓN!D1862</f>
        <v>MO-EMEDI</v>
      </c>
      <c r="E1862" s="212" t="str">
        <f>COMPOSICIÓN!E1862</f>
        <v>MEDIO OFICIAL</v>
      </c>
      <c r="F1862" s="212" t="str">
        <f>COMPOSICIÓN!F1862</f>
        <v>j</v>
      </c>
      <c r="G1862" s="213">
        <f>COMPOSICIÓN!G1862</f>
        <v>1</v>
      </c>
      <c r="H1862" s="214">
        <f>COMPOSICIÓN!H1862</f>
        <v>0</v>
      </c>
      <c r="I1862" s="215">
        <f>COMPOSICIÓN!I1862</f>
        <v>65493.071636572</v>
      </c>
      <c r="J1862" s="212" t="str">
        <f>IFERROR(VLOOKUP(A1862,PARTIDAS!$A$2:$C$269,3,FALSE()),"")</f>
        <v>REVOQUES</v>
      </c>
      <c r="K1862" s="212" t="str">
        <f>IFERROR(INDEX(PPTO_GENERADOR!$B$4:$B$220,MATCH(A1862,PPTO_GENERADOR!$Q$4:$Q$220,0)),"")</f>
        <v/>
      </c>
      <c r="L1862" s="216">
        <f>IF(PLAN_ETAPA!$C$4="(TODOS)",SUMIFS(PPTO_GENERADOR!$E$4:$E$220,PPTO_GENERADOR!$Q$4:$Q$220,A1862),SUMIFS(PPTO_GENERADOR!$E$4:$E$220,PPTO_GENERADOR!$Q$4:$Q$220,A1862,PPTO_GENERADOR!$B$4:$B$220,PLAN_ETAPA!$C$4))</f>
        <v>0</v>
      </c>
      <c r="M1862" s="216">
        <f>IFERROR(VLOOKUP(A1862,PARTIDAS!$A$2:$F$269,6,FALSE()),1)</f>
        <v>35</v>
      </c>
      <c r="N1862" s="216">
        <f>IFERROR(VLOOKUP(A1862,PARTIDAS!$A$2:$I$269,9,FALSE()),1)</f>
        <v>1</v>
      </c>
      <c r="O1862" s="217">
        <f t="shared" si="58"/>
        <v>0</v>
      </c>
      <c r="P1862" s="216">
        <f>IF(O1862=0,0,IF(B1862="MAT",G1862*(1+H1862)*L1862*PLAN_ETAPA!$C$5,IF(B1862="MO",IF(M1862=0,0,G1862*L1862*PLAN_ETAPA!$C$5*N1862/M1862),IF(B1862="EQ",IF(M1862=0,0,G1862*L1862*PLAN_ETAPA!$C$5/M1862),0))))</f>
        <v>0</v>
      </c>
      <c r="Q1862" s="218">
        <f t="shared" si="59"/>
        <v>0</v>
      </c>
    </row>
    <row r="1863" spans="1:17" x14ac:dyDescent="0.35">
      <c r="A1863" s="212" t="str">
        <f>COMPOSICIÓN!A1863</f>
        <v>REV-072</v>
      </c>
      <c r="B1863" s="212" t="str">
        <f>COMPOSICIÓN!B1863</f>
        <v>MO</v>
      </c>
      <c r="C1863" s="212" t="str">
        <f>COMPOSICIÓN!C1863</f>
        <v>ALB</v>
      </c>
      <c r="D1863" s="212" t="str">
        <f>COMPOSICIÓN!D1863</f>
        <v>MO-EESPE</v>
      </c>
      <c r="E1863" s="212" t="str">
        <f>COMPOSICIÓN!E1863</f>
        <v>ESPECIALIZADO</v>
      </c>
      <c r="F1863" s="212" t="str">
        <f>COMPOSICIÓN!F1863</f>
        <v>j</v>
      </c>
      <c r="G1863" s="213">
        <f>COMPOSICIÓN!G1863</f>
        <v>1</v>
      </c>
      <c r="H1863" s="214">
        <f>COMPOSICIÓN!H1863</f>
        <v>0</v>
      </c>
      <c r="I1863" s="215">
        <f>COMPOSICIÓN!I1863</f>
        <v>85927.097156571996</v>
      </c>
      <c r="J1863" s="212" t="str">
        <f>IFERROR(VLOOKUP(A1863,PARTIDAS!$A$2:$C$269,3,FALSE()),"")</f>
        <v>REVOQUES</v>
      </c>
      <c r="K1863" s="212" t="str">
        <f>IFERROR(INDEX(PPTO_GENERADOR!$B$4:$B$220,MATCH(A1863,PPTO_GENERADOR!$Q$4:$Q$220,0)),"")</f>
        <v/>
      </c>
      <c r="L1863" s="216">
        <f>IF(PLAN_ETAPA!$C$4="(TODOS)",SUMIFS(PPTO_GENERADOR!$E$4:$E$220,PPTO_GENERADOR!$Q$4:$Q$220,A1863),SUMIFS(PPTO_GENERADOR!$E$4:$E$220,PPTO_GENERADOR!$Q$4:$Q$220,A1863,PPTO_GENERADOR!$B$4:$B$220,PLAN_ETAPA!$C$4))</f>
        <v>0</v>
      </c>
      <c r="M1863" s="216">
        <f>IFERROR(VLOOKUP(A1863,PARTIDAS!$A$2:$F$269,6,FALSE()),1)</f>
        <v>35</v>
      </c>
      <c r="N1863" s="216">
        <f>IFERROR(VLOOKUP(A1863,PARTIDAS!$A$2:$I$269,9,FALSE()),1)</f>
        <v>1</v>
      </c>
      <c r="O1863" s="217">
        <f t="shared" si="58"/>
        <v>0</v>
      </c>
      <c r="P1863" s="216">
        <f>IF(O1863=0,0,IF(B1863="MAT",G1863*(1+H1863)*L1863*PLAN_ETAPA!$C$5,IF(B1863="MO",IF(M1863=0,0,G1863*L1863*PLAN_ETAPA!$C$5*N1863/M1863),IF(B1863="EQ",IF(M1863=0,0,G1863*L1863*PLAN_ETAPA!$C$5/M1863),0))))</f>
        <v>0</v>
      </c>
      <c r="Q1863" s="218">
        <f t="shared" si="59"/>
        <v>0</v>
      </c>
    </row>
    <row r="1864" spans="1:17" x14ac:dyDescent="0.35">
      <c r="A1864" s="212" t="str">
        <f>COMPOSICIÓN!A1864</f>
        <v>REV-134</v>
      </c>
      <c r="B1864" s="212" t="str">
        <f>COMPOSICIÓN!B1864</f>
        <v>EQ</v>
      </c>
      <c r="C1864" s="212">
        <f>COMPOSICIÓN!C1864</f>
        <v>0</v>
      </c>
      <c r="D1864" s="212" t="str">
        <f>COMPOSICIÓN!D1864</f>
        <v>EQ-ANDAM0</v>
      </c>
      <c r="E1864" s="212" t="str">
        <f>COMPOSICIÓN!E1864</f>
        <v>ANDAMIO TUBULAR DE UNO A TRES CUERPOS</v>
      </c>
      <c r="F1864" s="212">
        <f>COMPOSICIÓN!F1864</f>
        <v>0</v>
      </c>
      <c r="G1864" s="213">
        <f>COMPOSICIÓN!G1864</f>
        <v>1</v>
      </c>
      <c r="H1864" s="214">
        <f>COMPOSICIÓN!H1864</f>
        <v>0</v>
      </c>
      <c r="I1864" s="215">
        <f>COMPOSICIÓN!I1864</f>
        <v>571.1794909807611</v>
      </c>
      <c r="J1864" s="212" t="str">
        <f>IFERROR(VLOOKUP(A1864,PARTIDAS!$A$2:$C$269,3,FALSE()),"")</f>
        <v>REVOQUES</v>
      </c>
      <c r="K1864" s="212" t="str">
        <f>IFERROR(INDEX(PPTO_GENERADOR!$B$4:$B$220,MATCH(A1864,PPTO_GENERADOR!$Q$4:$Q$220,0)),"")</f>
        <v/>
      </c>
      <c r="L1864" s="216">
        <f>IF(PLAN_ETAPA!$C$4="(TODOS)",SUMIFS(PPTO_GENERADOR!$E$4:$E$220,PPTO_GENERADOR!$Q$4:$Q$220,A1864),SUMIFS(PPTO_GENERADOR!$E$4:$E$220,PPTO_GENERADOR!$Q$4:$Q$220,A1864,PPTO_GENERADOR!$B$4:$B$220,PLAN_ETAPA!$C$4))</f>
        <v>0</v>
      </c>
      <c r="M1864" s="216">
        <f>IFERROR(VLOOKUP(A1864,PARTIDAS!$A$2:$F$269,6,FALSE()),1)</f>
        <v>18</v>
      </c>
      <c r="N1864" s="216">
        <f>IFERROR(VLOOKUP(A1864,PARTIDAS!$A$2:$I$269,9,FALSE()),1)</f>
        <v>1</v>
      </c>
      <c r="O1864" s="217">
        <f t="shared" si="58"/>
        <v>0</v>
      </c>
      <c r="P1864" s="216">
        <f>IF(O1864=0,0,IF(B1864="MAT",G1864*(1+H1864)*L1864*PLAN_ETAPA!$C$5,IF(B1864="MO",IF(M1864=0,0,G1864*L1864*PLAN_ETAPA!$C$5*N1864/M1864),IF(B1864="EQ",IF(M1864=0,0,G1864*L1864*PLAN_ETAPA!$C$5/M1864),0))))</f>
        <v>0</v>
      </c>
      <c r="Q1864" s="218">
        <f t="shared" si="59"/>
        <v>0</v>
      </c>
    </row>
    <row r="1865" spans="1:17" x14ac:dyDescent="0.35">
      <c r="A1865" s="212" t="str">
        <f>COMPOSICIÓN!A1865</f>
        <v>REV-134</v>
      </c>
      <c r="B1865" s="212" t="str">
        <f>COMPOSICIÓN!B1865</f>
        <v>EQ</v>
      </c>
      <c r="C1865" s="212">
        <f>COMPOSICIÓN!C1865</f>
        <v>0</v>
      </c>
      <c r="D1865" s="212" t="str">
        <f>COMPOSICIÓN!D1865</f>
        <v>EQ-EQALBA</v>
      </c>
      <c r="E1865" s="212" t="str">
        <f>COMPOSICIÓN!E1865</f>
        <v>EQUIPO DE ALBAÑILERIA, carpetas, ladrillo</v>
      </c>
      <c r="F1865" s="212">
        <f>COMPOSICIÓN!F1865</f>
        <v>0</v>
      </c>
      <c r="G1865" s="213">
        <f>COMPOSICIÓN!G1865</f>
        <v>1</v>
      </c>
      <c r="H1865" s="214">
        <f>COMPOSICIÓN!H1865</f>
        <v>0</v>
      </c>
      <c r="I1865" s="215">
        <f>COMPOSICIÓN!I1865</f>
        <v>2287.1357450968057</v>
      </c>
      <c r="J1865" s="212" t="str">
        <f>IFERROR(VLOOKUP(A1865,PARTIDAS!$A$2:$C$269,3,FALSE()),"")</f>
        <v>REVOQUES</v>
      </c>
      <c r="K1865" s="212" t="str">
        <f>IFERROR(INDEX(PPTO_GENERADOR!$B$4:$B$220,MATCH(A1865,PPTO_GENERADOR!$Q$4:$Q$220,0)),"")</f>
        <v/>
      </c>
      <c r="L1865" s="216">
        <f>IF(PLAN_ETAPA!$C$4="(TODOS)",SUMIFS(PPTO_GENERADOR!$E$4:$E$220,PPTO_GENERADOR!$Q$4:$Q$220,A1865),SUMIFS(PPTO_GENERADOR!$E$4:$E$220,PPTO_GENERADOR!$Q$4:$Q$220,A1865,PPTO_GENERADOR!$B$4:$B$220,PLAN_ETAPA!$C$4))</f>
        <v>0</v>
      </c>
      <c r="M1865" s="216">
        <f>IFERROR(VLOOKUP(A1865,PARTIDAS!$A$2:$F$269,6,FALSE()),1)</f>
        <v>18</v>
      </c>
      <c r="N1865" s="216">
        <f>IFERROR(VLOOKUP(A1865,PARTIDAS!$A$2:$I$269,9,FALSE()),1)</f>
        <v>1</v>
      </c>
      <c r="O1865" s="217">
        <f t="shared" si="58"/>
        <v>0</v>
      </c>
      <c r="P1865" s="216">
        <f>IF(O1865=0,0,IF(B1865="MAT",G1865*(1+H1865)*L1865*PLAN_ETAPA!$C$5,IF(B1865="MO",IF(M1865=0,0,G1865*L1865*PLAN_ETAPA!$C$5*N1865/M1865),IF(B1865="EQ",IF(M1865=0,0,G1865*L1865*PLAN_ETAPA!$C$5/M1865),0))))</f>
        <v>0</v>
      </c>
      <c r="Q1865" s="218">
        <f t="shared" si="59"/>
        <v>0</v>
      </c>
    </row>
    <row r="1866" spans="1:17" x14ac:dyDescent="0.35">
      <c r="A1866" s="212" t="str">
        <f>COMPOSICIÓN!A1866</f>
        <v>REV-134</v>
      </c>
      <c r="B1866" s="212" t="str">
        <f>COMPOSICIÓN!B1866</f>
        <v>EQ</v>
      </c>
      <c r="C1866" s="212">
        <f>COMPOSICIÓN!C1866</f>
        <v>0</v>
      </c>
      <c r="D1866" s="212" t="str">
        <f>COMPOSICIÓN!D1866</f>
        <v>EQ-TROMPO</v>
      </c>
      <c r="E1866" s="212" t="str">
        <f>COMPOSICIÓN!E1866</f>
        <v>Hormigonera De 150 Litros 1hp Con Rueda Maciza</v>
      </c>
      <c r="F1866" s="212">
        <f>COMPOSICIÓN!F1866</f>
        <v>0</v>
      </c>
      <c r="G1866" s="213">
        <f>COMPOSICIÓN!G1866</f>
        <v>1</v>
      </c>
      <c r="H1866" s="214">
        <f>COMPOSICIÓN!H1866</f>
        <v>0</v>
      </c>
      <c r="I1866" s="215">
        <f>COMPOSICIÓN!I1866</f>
        <v>957.25319614994726</v>
      </c>
      <c r="J1866" s="212" t="str">
        <f>IFERROR(VLOOKUP(A1866,PARTIDAS!$A$2:$C$269,3,FALSE()),"")</f>
        <v>REVOQUES</v>
      </c>
      <c r="K1866" s="212" t="str">
        <f>IFERROR(INDEX(PPTO_GENERADOR!$B$4:$B$220,MATCH(A1866,PPTO_GENERADOR!$Q$4:$Q$220,0)),"")</f>
        <v/>
      </c>
      <c r="L1866" s="216">
        <f>IF(PLAN_ETAPA!$C$4="(TODOS)",SUMIFS(PPTO_GENERADOR!$E$4:$E$220,PPTO_GENERADOR!$Q$4:$Q$220,A1866),SUMIFS(PPTO_GENERADOR!$E$4:$E$220,PPTO_GENERADOR!$Q$4:$Q$220,A1866,PPTO_GENERADOR!$B$4:$B$220,PLAN_ETAPA!$C$4))</f>
        <v>0</v>
      </c>
      <c r="M1866" s="216">
        <f>IFERROR(VLOOKUP(A1866,PARTIDAS!$A$2:$F$269,6,FALSE()),1)</f>
        <v>18</v>
      </c>
      <c r="N1866" s="216">
        <f>IFERROR(VLOOKUP(A1866,PARTIDAS!$A$2:$I$269,9,FALSE()),1)</f>
        <v>1</v>
      </c>
      <c r="O1866" s="217">
        <f t="shared" si="58"/>
        <v>0</v>
      </c>
      <c r="P1866" s="216">
        <f>IF(O1866=0,0,IF(B1866="MAT",G1866*(1+H1866)*L1866*PLAN_ETAPA!$C$5,IF(B1866="MO",IF(M1866=0,0,G1866*L1866*PLAN_ETAPA!$C$5*N1866/M1866),IF(B1866="EQ",IF(M1866=0,0,G1866*L1866*PLAN_ETAPA!$C$5/M1866),0))))</f>
        <v>0</v>
      </c>
      <c r="Q1866" s="218">
        <f t="shared" si="59"/>
        <v>0</v>
      </c>
    </row>
    <row r="1867" spans="1:17" x14ac:dyDescent="0.35">
      <c r="A1867" s="212" t="str">
        <f>COMPOSICIÓN!A1867</f>
        <v>REV-134</v>
      </c>
      <c r="B1867" s="212" t="str">
        <f>COMPOSICIÓN!B1867</f>
        <v>MAT</v>
      </c>
      <c r="C1867" s="212" t="str">
        <f>COMPOSICIÓN!C1867</f>
        <v>OTR</v>
      </c>
      <c r="D1867" s="212" t="str">
        <f>COMPOSICIÓN!D1867</f>
        <v>AGR-001</v>
      </c>
      <c r="E1867" s="212" t="str">
        <f>COMPOSICIÓN!E1867</f>
        <v>ARENA LAVADA</v>
      </c>
      <c r="F1867" s="212" t="str">
        <f>COMPOSICIÓN!F1867</f>
        <v>m3</v>
      </c>
      <c r="G1867" s="213">
        <f>COMPOSICIÓN!G1867</f>
        <v>1.7000000000000001E-2</v>
      </c>
      <c r="H1867" s="214">
        <f>COMPOSICIÓN!H1867</f>
        <v>0.1</v>
      </c>
      <c r="I1867" s="215">
        <f>COMPOSICIÓN!I1867</f>
        <v>32399.77</v>
      </c>
      <c r="J1867" s="212" t="str">
        <f>IFERROR(VLOOKUP(A1867,PARTIDAS!$A$2:$C$269,3,FALSE()),"")</f>
        <v>REVOQUES</v>
      </c>
      <c r="K1867" s="212" t="str">
        <f>IFERROR(INDEX(PPTO_GENERADOR!$B$4:$B$220,MATCH(A1867,PPTO_GENERADOR!$Q$4:$Q$220,0)),"")</f>
        <v/>
      </c>
      <c r="L1867" s="216">
        <f>IF(PLAN_ETAPA!$C$4="(TODOS)",SUMIFS(PPTO_GENERADOR!$E$4:$E$220,PPTO_GENERADOR!$Q$4:$Q$220,A1867),SUMIFS(PPTO_GENERADOR!$E$4:$E$220,PPTO_GENERADOR!$Q$4:$Q$220,A1867,PPTO_GENERADOR!$B$4:$B$220,PLAN_ETAPA!$C$4))</f>
        <v>0</v>
      </c>
      <c r="M1867" s="216">
        <f>IFERROR(VLOOKUP(A1867,PARTIDAS!$A$2:$F$269,6,FALSE()),1)</f>
        <v>18</v>
      </c>
      <c r="N1867" s="216">
        <f>IFERROR(VLOOKUP(A1867,PARTIDAS!$A$2:$I$269,9,FALSE()),1)</f>
        <v>1</v>
      </c>
      <c r="O1867" s="217">
        <f t="shared" si="58"/>
        <v>0</v>
      </c>
      <c r="P1867" s="216">
        <f>IF(O1867=0,0,IF(B1867="MAT",G1867*(1+H1867)*L1867*PLAN_ETAPA!$C$5,IF(B1867="MO",IF(M1867=0,0,G1867*L1867*PLAN_ETAPA!$C$5*N1867/M1867),IF(B1867="EQ",IF(M1867=0,0,G1867*L1867*PLAN_ETAPA!$C$5/M1867),0))))</f>
        <v>0</v>
      </c>
      <c r="Q1867" s="218">
        <f t="shared" si="59"/>
        <v>0</v>
      </c>
    </row>
    <row r="1868" spans="1:17" x14ac:dyDescent="0.35">
      <c r="A1868" s="212" t="str">
        <f>COMPOSICIÓN!A1868</f>
        <v>REV-134</v>
      </c>
      <c r="B1868" s="212" t="str">
        <f>COMPOSICIÓN!B1868</f>
        <v>MAT</v>
      </c>
      <c r="C1868" s="212" t="str">
        <f>COMPOSICIÓN!C1868</f>
        <v>OTR</v>
      </c>
      <c r="D1868" s="212" t="str">
        <f>COMPOSICIÓN!D1868</f>
        <v>AGR-004</v>
      </c>
      <c r="E1868" s="212" t="str">
        <f>COMPOSICIÓN!E1868</f>
        <v>Cemento Portland x 50kg</v>
      </c>
      <c r="F1868" s="212" t="str">
        <f>COMPOSICIÓN!F1868</f>
        <v>Bol</v>
      </c>
      <c r="G1868" s="213">
        <f>COMPOSICIÓN!G1868</f>
        <v>3.6999999999999998E-2</v>
      </c>
      <c r="H1868" s="214">
        <f>COMPOSICIÓN!H1868</f>
        <v>0.1</v>
      </c>
      <c r="I1868" s="215">
        <f>COMPOSICIÓN!I1868</f>
        <v>7809.48</v>
      </c>
      <c r="J1868" s="212" t="str">
        <f>IFERROR(VLOOKUP(A1868,PARTIDAS!$A$2:$C$269,3,FALSE()),"")</f>
        <v>REVOQUES</v>
      </c>
      <c r="K1868" s="212" t="str">
        <f>IFERROR(INDEX(PPTO_GENERADOR!$B$4:$B$220,MATCH(A1868,PPTO_GENERADOR!$Q$4:$Q$220,0)),"")</f>
        <v/>
      </c>
      <c r="L1868" s="216">
        <f>IF(PLAN_ETAPA!$C$4="(TODOS)",SUMIFS(PPTO_GENERADOR!$E$4:$E$220,PPTO_GENERADOR!$Q$4:$Q$220,A1868),SUMIFS(PPTO_GENERADOR!$E$4:$E$220,PPTO_GENERADOR!$Q$4:$Q$220,A1868,PPTO_GENERADOR!$B$4:$B$220,PLAN_ETAPA!$C$4))</f>
        <v>0</v>
      </c>
      <c r="M1868" s="216">
        <f>IFERROR(VLOOKUP(A1868,PARTIDAS!$A$2:$F$269,6,FALSE()),1)</f>
        <v>18</v>
      </c>
      <c r="N1868" s="216">
        <f>IFERROR(VLOOKUP(A1868,PARTIDAS!$A$2:$I$269,9,FALSE()),1)</f>
        <v>1</v>
      </c>
      <c r="O1868" s="217">
        <f t="shared" si="58"/>
        <v>0</v>
      </c>
      <c r="P1868" s="216">
        <f>IF(O1868=0,0,IF(B1868="MAT",G1868*(1+H1868)*L1868*PLAN_ETAPA!$C$5,IF(B1868="MO",IF(M1868=0,0,G1868*L1868*PLAN_ETAPA!$C$5*N1868/M1868),IF(B1868="EQ",IF(M1868=0,0,G1868*L1868*PLAN_ETAPA!$C$5/M1868),0))))</f>
        <v>0</v>
      </c>
      <c r="Q1868" s="218">
        <f t="shared" si="59"/>
        <v>0</v>
      </c>
    </row>
    <row r="1869" spans="1:17" x14ac:dyDescent="0.35">
      <c r="A1869" s="212" t="str">
        <f>COMPOSICIÓN!A1869</f>
        <v>REV-134</v>
      </c>
      <c r="B1869" s="212" t="str">
        <f>COMPOSICIÓN!B1869</f>
        <v>MAT</v>
      </c>
      <c r="C1869" s="212" t="str">
        <f>COMPOSICIÓN!C1869</f>
        <v>OTR</v>
      </c>
      <c r="D1869" s="212" t="str">
        <f>COMPOSICIÓN!D1869</f>
        <v>AGR-005</v>
      </c>
      <c r="E1869" s="212" t="str">
        <f>COMPOSICIÓN!E1869</f>
        <v>Cal Comun x 25kg</v>
      </c>
      <c r="F1869" s="212" t="str">
        <f>COMPOSICIÓN!F1869</f>
        <v>bol</v>
      </c>
      <c r="G1869" s="213">
        <f>COMPOSICIÓN!G1869</f>
        <v>0.14399999999999999</v>
      </c>
      <c r="H1869" s="214">
        <f>COMPOSICIÓN!H1869</f>
        <v>0.1</v>
      </c>
      <c r="I1869" s="215">
        <f>COMPOSICIÓN!I1869</f>
        <v>3837.96</v>
      </c>
      <c r="J1869" s="212" t="str">
        <f>IFERROR(VLOOKUP(A1869,PARTIDAS!$A$2:$C$269,3,FALSE()),"")</f>
        <v>REVOQUES</v>
      </c>
      <c r="K1869" s="212" t="str">
        <f>IFERROR(INDEX(PPTO_GENERADOR!$B$4:$B$220,MATCH(A1869,PPTO_GENERADOR!$Q$4:$Q$220,0)),"")</f>
        <v/>
      </c>
      <c r="L1869" s="216">
        <f>IF(PLAN_ETAPA!$C$4="(TODOS)",SUMIFS(PPTO_GENERADOR!$E$4:$E$220,PPTO_GENERADOR!$Q$4:$Q$220,A1869),SUMIFS(PPTO_GENERADOR!$E$4:$E$220,PPTO_GENERADOR!$Q$4:$Q$220,A1869,PPTO_GENERADOR!$B$4:$B$220,PLAN_ETAPA!$C$4))</f>
        <v>0</v>
      </c>
      <c r="M1869" s="216">
        <f>IFERROR(VLOOKUP(A1869,PARTIDAS!$A$2:$F$269,6,FALSE()),1)</f>
        <v>18</v>
      </c>
      <c r="N1869" s="216">
        <f>IFERROR(VLOOKUP(A1869,PARTIDAS!$A$2:$I$269,9,FALSE()),1)</f>
        <v>1</v>
      </c>
      <c r="O1869" s="217">
        <f t="shared" si="58"/>
        <v>0</v>
      </c>
      <c r="P1869" s="216">
        <f>IF(O1869=0,0,IF(B1869="MAT",G1869*(1+H1869)*L1869*PLAN_ETAPA!$C$5,IF(B1869="MO",IF(M1869=0,0,G1869*L1869*PLAN_ETAPA!$C$5*N1869/M1869),IF(B1869="EQ",IF(M1869=0,0,G1869*L1869*PLAN_ETAPA!$C$5/M1869),0))))</f>
        <v>0</v>
      </c>
      <c r="Q1869" s="218">
        <f t="shared" si="59"/>
        <v>0</v>
      </c>
    </row>
    <row r="1870" spans="1:17" x14ac:dyDescent="0.35">
      <c r="A1870" s="212" t="str">
        <f>COMPOSICIÓN!A1870</f>
        <v>REV-134</v>
      </c>
      <c r="B1870" s="212" t="str">
        <f>COMPOSICIÓN!B1870</f>
        <v>MO</v>
      </c>
      <c r="C1870" s="212" t="str">
        <f>COMPOSICIÓN!C1870</f>
        <v>ALB</v>
      </c>
      <c r="D1870" s="212" t="str">
        <f>COMPOSICIÓN!D1870</f>
        <v>MO-EAYUD</v>
      </c>
      <c r="E1870" s="212" t="str">
        <f>COMPOSICIÓN!E1870</f>
        <v>AYUDANTE</v>
      </c>
      <c r="F1870" s="212" t="str">
        <f>COMPOSICIÓN!F1870</f>
        <v>j</v>
      </c>
      <c r="G1870" s="213">
        <f>COMPOSICIÓN!G1870</f>
        <v>0.75</v>
      </c>
      <c r="H1870" s="214">
        <f>COMPOSICIÓN!H1870</f>
        <v>0</v>
      </c>
      <c r="I1870" s="215">
        <f>COMPOSICIÓN!I1870</f>
        <v>60860.580776572002</v>
      </c>
      <c r="J1870" s="212" t="str">
        <f>IFERROR(VLOOKUP(A1870,PARTIDAS!$A$2:$C$269,3,FALSE()),"")</f>
        <v>REVOQUES</v>
      </c>
      <c r="K1870" s="212" t="str">
        <f>IFERROR(INDEX(PPTO_GENERADOR!$B$4:$B$220,MATCH(A1870,PPTO_GENERADOR!$Q$4:$Q$220,0)),"")</f>
        <v/>
      </c>
      <c r="L1870" s="216">
        <f>IF(PLAN_ETAPA!$C$4="(TODOS)",SUMIFS(PPTO_GENERADOR!$E$4:$E$220,PPTO_GENERADOR!$Q$4:$Q$220,A1870),SUMIFS(PPTO_GENERADOR!$E$4:$E$220,PPTO_GENERADOR!$Q$4:$Q$220,A1870,PPTO_GENERADOR!$B$4:$B$220,PLAN_ETAPA!$C$4))</f>
        <v>0</v>
      </c>
      <c r="M1870" s="216">
        <f>IFERROR(VLOOKUP(A1870,PARTIDAS!$A$2:$F$269,6,FALSE()),1)</f>
        <v>18</v>
      </c>
      <c r="N1870" s="216">
        <f>IFERROR(VLOOKUP(A1870,PARTIDAS!$A$2:$I$269,9,FALSE()),1)</f>
        <v>1</v>
      </c>
      <c r="O1870" s="217">
        <f t="shared" si="58"/>
        <v>0</v>
      </c>
      <c r="P1870" s="216">
        <f>IF(O1870=0,0,IF(B1870="MAT",G1870*(1+H1870)*L1870*PLAN_ETAPA!$C$5,IF(B1870="MO",IF(M1870=0,0,G1870*L1870*PLAN_ETAPA!$C$5*N1870/M1870),IF(B1870="EQ",IF(M1870=0,0,G1870*L1870*PLAN_ETAPA!$C$5/M1870),0))))</f>
        <v>0</v>
      </c>
      <c r="Q1870" s="218">
        <f t="shared" si="59"/>
        <v>0</v>
      </c>
    </row>
    <row r="1871" spans="1:17" x14ac:dyDescent="0.35">
      <c r="A1871" s="212" t="str">
        <f>COMPOSICIÓN!A1871</f>
        <v>REV-134</v>
      </c>
      <c r="B1871" s="212" t="str">
        <f>COMPOSICIÓN!B1871</f>
        <v>MO</v>
      </c>
      <c r="C1871" s="212" t="str">
        <f>COMPOSICIÓN!C1871</f>
        <v>ALB</v>
      </c>
      <c r="D1871" s="212" t="str">
        <f>COMPOSICIÓN!D1871</f>
        <v>MO-EESPE</v>
      </c>
      <c r="E1871" s="212" t="str">
        <f>COMPOSICIÓN!E1871</f>
        <v>ESPECIALIZADO</v>
      </c>
      <c r="F1871" s="212" t="str">
        <f>COMPOSICIÓN!F1871</f>
        <v>j</v>
      </c>
      <c r="G1871" s="213">
        <f>COMPOSICIÓN!G1871</f>
        <v>1</v>
      </c>
      <c r="H1871" s="214">
        <f>COMPOSICIÓN!H1871</f>
        <v>0</v>
      </c>
      <c r="I1871" s="215">
        <f>COMPOSICIÓN!I1871</f>
        <v>85927.097156571996</v>
      </c>
      <c r="J1871" s="212" t="str">
        <f>IFERROR(VLOOKUP(A1871,PARTIDAS!$A$2:$C$269,3,FALSE()),"")</f>
        <v>REVOQUES</v>
      </c>
      <c r="K1871" s="212" t="str">
        <f>IFERROR(INDEX(PPTO_GENERADOR!$B$4:$B$220,MATCH(A1871,PPTO_GENERADOR!$Q$4:$Q$220,0)),"")</f>
        <v/>
      </c>
      <c r="L1871" s="216">
        <f>IF(PLAN_ETAPA!$C$4="(TODOS)",SUMIFS(PPTO_GENERADOR!$E$4:$E$220,PPTO_GENERADOR!$Q$4:$Q$220,A1871),SUMIFS(PPTO_GENERADOR!$E$4:$E$220,PPTO_GENERADOR!$Q$4:$Q$220,A1871,PPTO_GENERADOR!$B$4:$B$220,PLAN_ETAPA!$C$4))</f>
        <v>0</v>
      </c>
      <c r="M1871" s="216">
        <f>IFERROR(VLOOKUP(A1871,PARTIDAS!$A$2:$F$269,6,FALSE()),1)</f>
        <v>18</v>
      </c>
      <c r="N1871" s="216">
        <f>IFERROR(VLOOKUP(A1871,PARTIDAS!$A$2:$I$269,9,FALSE()),1)</f>
        <v>1</v>
      </c>
      <c r="O1871" s="217">
        <f t="shared" si="58"/>
        <v>0</v>
      </c>
      <c r="P1871" s="216">
        <f>IF(O1871=0,0,IF(B1871="MAT",G1871*(1+H1871)*L1871*PLAN_ETAPA!$C$5,IF(B1871="MO",IF(M1871=0,0,G1871*L1871*PLAN_ETAPA!$C$5*N1871/M1871),IF(B1871="EQ",IF(M1871=0,0,G1871*L1871*PLAN_ETAPA!$C$5/M1871),0))))</f>
        <v>0</v>
      </c>
      <c r="Q1871" s="218">
        <f t="shared" si="59"/>
        <v>0</v>
      </c>
    </row>
    <row r="1872" spans="1:17" x14ac:dyDescent="0.35">
      <c r="A1872" s="212" t="str">
        <f>COMPOSICIÓN!A1872</f>
        <v>REV-135</v>
      </c>
      <c r="B1872" s="212" t="str">
        <f>COMPOSICIÓN!B1872</f>
        <v>EQ</v>
      </c>
      <c r="C1872" s="212">
        <f>COMPOSICIÓN!C1872</f>
        <v>0</v>
      </c>
      <c r="D1872" s="212" t="str">
        <f>COMPOSICIÓN!D1872</f>
        <v>EQ-ANDAM0</v>
      </c>
      <c r="E1872" s="212" t="str">
        <f>COMPOSICIÓN!E1872</f>
        <v>ANDAMIO TUBULAR DE UNO A TRES CUERPOS</v>
      </c>
      <c r="F1872" s="212">
        <f>COMPOSICIÓN!F1872</f>
        <v>0</v>
      </c>
      <c r="G1872" s="213">
        <f>COMPOSICIÓN!G1872</f>
        <v>1</v>
      </c>
      <c r="H1872" s="214">
        <f>COMPOSICIÓN!H1872</f>
        <v>0</v>
      </c>
      <c r="I1872" s="215">
        <f>COMPOSICIÓN!I1872</f>
        <v>571.1794909807611</v>
      </c>
      <c r="J1872" s="212" t="str">
        <f>IFERROR(VLOOKUP(A1872,PARTIDAS!$A$2:$C$269,3,FALSE()),"")</f>
        <v>REVOQUES</v>
      </c>
      <c r="K1872" s="212" t="str">
        <f>IFERROR(INDEX(PPTO_GENERADOR!$B$4:$B$220,MATCH(A1872,PPTO_GENERADOR!$Q$4:$Q$220,0)),"")</f>
        <v/>
      </c>
      <c r="L1872" s="216">
        <f>IF(PLAN_ETAPA!$C$4="(TODOS)",SUMIFS(PPTO_GENERADOR!$E$4:$E$220,PPTO_GENERADOR!$Q$4:$Q$220,A1872),SUMIFS(PPTO_GENERADOR!$E$4:$E$220,PPTO_GENERADOR!$Q$4:$Q$220,A1872,PPTO_GENERADOR!$B$4:$B$220,PLAN_ETAPA!$C$4))</f>
        <v>0</v>
      </c>
      <c r="M1872" s="216">
        <f>IFERROR(VLOOKUP(A1872,PARTIDAS!$A$2:$F$269,6,FALSE()),1)</f>
        <v>9</v>
      </c>
      <c r="N1872" s="216">
        <f>IFERROR(VLOOKUP(A1872,PARTIDAS!$A$2:$I$269,9,FALSE()),1)</f>
        <v>1</v>
      </c>
      <c r="O1872" s="217">
        <f t="shared" si="58"/>
        <v>0</v>
      </c>
      <c r="P1872" s="216">
        <f>IF(O1872=0,0,IF(B1872="MAT",G1872*(1+H1872)*L1872*PLAN_ETAPA!$C$5,IF(B1872="MO",IF(M1872=0,0,G1872*L1872*PLAN_ETAPA!$C$5*N1872/M1872),IF(B1872="EQ",IF(M1872=0,0,G1872*L1872*PLAN_ETAPA!$C$5/M1872),0))))</f>
        <v>0</v>
      </c>
      <c r="Q1872" s="218">
        <f t="shared" si="59"/>
        <v>0</v>
      </c>
    </row>
    <row r="1873" spans="1:17" x14ac:dyDescent="0.35">
      <c r="A1873" s="212" t="str">
        <f>COMPOSICIÓN!A1873</f>
        <v>REV-135</v>
      </c>
      <c r="B1873" s="212" t="str">
        <f>COMPOSICIÓN!B1873</f>
        <v>EQ</v>
      </c>
      <c r="C1873" s="212">
        <f>COMPOSICIÓN!C1873</f>
        <v>0</v>
      </c>
      <c r="D1873" s="212" t="str">
        <f>COMPOSICIÓN!D1873</f>
        <v>EQ-EQALBA</v>
      </c>
      <c r="E1873" s="212" t="str">
        <f>COMPOSICIÓN!E1873</f>
        <v>EQUIPO DE ALBAÑILERIA, carpetas, ladrillo</v>
      </c>
      <c r="F1873" s="212">
        <f>COMPOSICIÓN!F1873</f>
        <v>0</v>
      </c>
      <c r="G1873" s="213">
        <f>COMPOSICIÓN!G1873</f>
        <v>1</v>
      </c>
      <c r="H1873" s="214">
        <f>COMPOSICIÓN!H1873</f>
        <v>0</v>
      </c>
      <c r="I1873" s="215">
        <f>COMPOSICIÓN!I1873</f>
        <v>2287.1357450968057</v>
      </c>
      <c r="J1873" s="212" t="str">
        <f>IFERROR(VLOOKUP(A1873,PARTIDAS!$A$2:$C$269,3,FALSE()),"")</f>
        <v>REVOQUES</v>
      </c>
      <c r="K1873" s="212" t="str">
        <f>IFERROR(INDEX(PPTO_GENERADOR!$B$4:$B$220,MATCH(A1873,PPTO_GENERADOR!$Q$4:$Q$220,0)),"")</f>
        <v/>
      </c>
      <c r="L1873" s="216">
        <f>IF(PLAN_ETAPA!$C$4="(TODOS)",SUMIFS(PPTO_GENERADOR!$E$4:$E$220,PPTO_GENERADOR!$Q$4:$Q$220,A1873),SUMIFS(PPTO_GENERADOR!$E$4:$E$220,PPTO_GENERADOR!$Q$4:$Q$220,A1873,PPTO_GENERADOR!$B$4:$B$220,PLAN_ETAPA!$C$4))</f>
        <v>0</v>
      </c>
      <c r="M1873" s="216">
        <f>IFERROR(VLOOKUP(A1873,PARTIDAS!$A$2:$F$269,6,FALSE()),1)</f>
        <v>9</v>
      </c>
      <c r="N1873" s="216">
        <f>IFERROR(VLOOKUP(A1873,PARTIDAS!$A$2:$I$269,9,FALSE()),1)</f>
        <v>1</v>
      </c>
      <c r="O1873" s="217">
        <f t="shared" si="58"/>
        <v>0</v>
      </c>
      <c r="P1873" s="216">
        <f>IF(O1873=0,0,IF(B1873="MAT",G1873*(1+H1873)*L1873*PLAN_ETAPA!$C$5,IF(B1873="MO",IF(M1873=0,0,G1873*L1873*PLAN_ETAPA!$C$5*N1873/M1873),IF(B1873="EQ",IF(M1873=0,0,G1873*L1873*PLAN_ETAPA!$C$5/M1873),0))))</f>
        <v>0</v>
      </c>
      <c r="Q1873" s="218">
        <f t="shared" si="59"/>
        <v>0</v>
      </c>
    </row>
    <row r="1874" spans="1:17" x14ac:dyDescent="0.35">
      <c r="A1874" s="212" t="str">
        <f>COMPOSICIÓN!A1874</f>
        <v>REV-135</v>
      </c>
      <c r="B1874" s="212" t="str">
        <f>COMPOSICIÓN!B1874</f>
        <v>EQ</v>
      </c>
      <c r="C1874" s="212">
        <f>COMPOSICIÓN!C1874</f>
        <v>0</v>
      </c>
      <c r="D1874" s="212" t="str">
        <f>COMPOSICIÓN!D1874</f>
        <v>EQ-TROMPO</v>
      </c>
      <c r="E1874" s="212" t="str">
        <f>COMPOSICIÓN!E1874</f>
        <v>Hormigonera De 150 Litros 1hp Con Rueda Maciza</v>
      </c>
      <c r="F1874" s="212">
        <f>COMPOSICIÓN!F1874</f>
        <v>0</v>
      </c>
      <c r="G1874" s="213">
        <f>COMPOSICIÓN!G1874</f>
        <v>1</v>
      </c>
      <c r="H1874" s="214">
        <f>COMPOSICIÓN!H1874</f>
        <v>0</v>
      </c>
      <c r="I1874" s="215">
        <f>COMPOSICIÓN!I1874</f>
        <v>957.25319614994726</v>
      </c>
      <c r="J1874" s="212" t="str">
        <f>IFERROR(VLOOKUP(A1874,PARTIDAS!$A$2:$C$269,3,FALSE()),"")</f>
        <v>REVOQUES</v>
      </c>
      <c r="K1874" s="212" t="str">
        <f>IFERROR(INDEX(PPTO_GENERADOR!$B$4:$B$220,MATCH(A1874,PPTO_GENERADOR!$Q$4:$Q$220,0)),"")</f>
        <v/>
      </c>
      <c r="L1874" s="216">
        <f>IF(PLAN_ETAPA!$C$4="(TODOS)",SUMIFS(PPTO_GENERADOR!$E$4:$E$220,PPTO_GENERADOR!$Q$4:$Q$220,A1874),SUMIFS(PPTO_GENERADOR!$E$4:$E$220,PPTO_GENERADOR!$Q$4:$Q$220,A1874,PPTO_GENERADOR!$B$4:$B$220,PLAN_ETAPA!$C$4))</f>
        <v>0</v>
      </c>
      <c r="M1874" s="216">
        <f>IFERROR(VLOOKUP(A1874,PARTIDAS!$A$2:$F$269,6,FALSE()),1)</f>
        <v>9</v>
      </c>
      <c r="N1874" s="216">
        <f>IFERROR(VLOOKUP(A1874,PARTIDAS!$A$2:$I$269,9,FALSE()),1)</f>
        <v>1</v>
      </c>
      <c r="O1874" s="217">
        <f t="shared" si="58"/>
        <v>0</v>
      </c>
      <c r="P1874" s="216">
        <f>IF(O1874=0,0,IF(B1874="MAT",G1874*(1+H1874)*L1874*PLAN_ETAPA!$C$5,IF(B1874="MO",IF(M1874=0,0,G1874*L1874*PLAN_ETAPA!$C$5*N1874/M1874),IF(B1874="EQ",IF(M1874=0,0,G1874*L1874*PLAN_ETAPA!$C$5/M1874),0))))</f>
        <v>0</v>
      </c>
      <c r="Q1874" s="218">
        <f t="shared" si="59"/>
        <v>0</v>
      </c>
    </row>
    <row r="1875" spans="1:17" x14ac:dyDescent="0.35">
      <c r="A1875" s="212" t="str">
        <f>COMPOSICIÓN!A1875</f>
        <v>REV-135</v>
      </c>
      <c r="B1875" s="212" t="str">
        <f>COMPOSICIÓN!B1875</f>
        <v>MAT</v>
      </c>
      <c r="C1875" s="212" t="str">
        <f>COMPOSICIÓN!C1875</f>
        <v>OTR</v>
      </c>
      <c r="D1875" s="212" t="str">
        <f>COMPOSICIÓN!D1875</f>
        <v>AGR-001</v>
      </c>
      <c r="E1875" s="212" t="str">
        <f>COMPOSICIÓN!E1875</f>
        <v>ARENA LAVADA</v>
      </c>
      <c r="F1875" s="212" t="str">
        <f>COMPOSICIÓN!F1875</f>
        <v>m3</v>
      </c>
      <c r="G1875" s="213">
        <f>COMPOSICIÓN!G1875</f>
        <v>0.01</v>
      </c>
      <c r="H1875" s="214">
        <f>COMPOSICIÓN!H1875</f>
        <v>0.1</v>
      </c>
      <c r="I1875" s="215">
        <f>COMPOSICIÓN!I1875</f>
        <v>32399.77</v>
      </c>
      <c r="J1875" s="212" t="str">
        <f>IFERROR(VLOOKUP(A1875,PARTIDAS!$A$2:$C$269,3,FALSE()),"")</f>
        <v>REVOQUES</v>
      </c>
      <c r="K1875" s="212" t="str">
        <f>IFERROR(INDEX(PPTO_GENERADOR!$B$4:$B$220,MATCH(A1875,PPTO_GENERADOR!$Q$4:$Q$220,0)),"")</f>
        <v/>
      </c>
      <c r="L1875" s="216">
        <f>IF(PLAN_ETAPA!$C$4="(TODOS)",SUMIFS(PPTO_GENERADOR!$E$4:$E$220,PPTO_GENERADOR!$Q$4:$Q$220,A1875),SUMIFS(PPTO_GENERADOR!$E$4:$E$220,PPTO_GENERADOR!$Q$4:$Q$220,A1875,PPTO_GENERADOR!$B$4:$B$220,PLAN_ETAPA!$C$4))</f>
        <v>0</v>
      </c>
      <c r="M1875" s="216">
        <f>IFERROR(VLOOKUP(A1875,PARTIDAS!$A$2:$F$269,6,FALSE()),1)</f>
        <v>9</v>
      </c>
      <c r="N1875" s="216">
        <f>IFERROR(VLOOKUP(A1875,PARTIDAS!$A$2:$I$269,9,FALSE()),1)</f>
        <v>1</v>
      </c>
      <c r="O1875" s="217">
        <f t="shared" si="58"/>
        <v>0</v>
      </c>
      <c r="P1875" s="216">
        <f>IF(O1875=0,0,IF(B1875="MAT",G1875*(1+H1875)*L1875*PLAN_ETAPA!$C$5,IF(B1875="MO",IF(M1875=0,0,G1875*L1875*PLAN_ETAPA!$C$5*N1875/M1875),IF(B1875="EQ",IF(M1875=0,0,G1875*L1875*PLAN_ETAPA!$C$5/M1875),0))))</f>
        <v>0</v>
      </c>
      <c r="Q1875" s="218">
        <f t="shared" si="59"/>
        <v>0</v>
      </c>
    </row>
    <row r="1876" spans="1:17" x14ac:dyDescent="0.35">
      <c r="A1876" s="212" t="str">
        <f>COMPOSICIÓN!A1876</f>
        <v>REV-135</v>
      </c>
      <c r="B1876" s="212" t="str">
        <f>COMPOSICIÓN!B1876</f>
        <v>MAT</v>
      </c>
      <c r="C1876" s="212" t="str">
        <f>COMPOSICIÓN!C1876</f>
        <v>OTR</v>
      </c>
      <c r="D1876" s="212" t="str">
        <f>COMPOSICIÓN!D1876</f>
        <v>AGR-004</v>
      </c>
      <c r="E1876" s="212" t="str">
        <f>COMPOSICIÓN!E1876</f>
        <v>Cemento Portland x 50kg</v>
      </c>
      <c r="F1876" s="212" t="str">
        <f>COMPOSICIÓN!F1876</f>
        <v>Bol</v>
      </c>
      <c r="G1876" s="213">
        <f>COMPOSICIÓN!G1876</f>
        <v>8.9999999999999993E-3</v>
      </c>
      <c r="H1876" s="214">
        <f>COMPOSICIÓN!H1876</f>
        <v>0.1</v>
      </c>
      <c r="I1876" s="215">
        <f>COMPOSICIÓN!I1876</f>
        <v>7809.48</v>
      </c>
      <c r="J1876" s="212" t="str">
        <f>IFERROR(VLOOKUP(A1876,PARTIDAS!$A$2:$C$269,3,FALSE()),"")</f>
        <v>REVOQUES</v>
      </c>
      <c r="K1876" s="212" t="str">
        <f>IFERROR(INDEX(PPTO_GENERADOR!$B$4:$B$220,MATCH(A1876,PPTO_GENERADOR!$Q$4:$Q$220,0)),"")</f>
        <v/>
      </c>
      <c r="L1876" s="216">
        <f>IF(PLAN_ETAPA!$C$4="(TODOS)",SUMIFS(PPTO_GENERADOR!$E$4:$E$220,PPTO_GENERADOR!$Q$4:$Q$220,A1876),SUMIFS(PPTO_GENERADOR!$E$4:$E$220,PPTO_GENERADOR!$Q$4:$Q$220,A1876,PPTO_GENERADOR!$B$4:$B$220,PLAN_ETAPA!$C$4))</f>
        <v>0</v>
      </c>
      <c r="M1876" s="216">
        <f>IFERROR(VLOOKUP(A1876,PARTIDAS!$A$2:$F$269,6,FALSE()),1)</f>
        <v>9</v>
      </c>
      <c r="N1876" s="216">
        <f>IFERROR(VLOOKUP(A1876,PARTIDAS!$A$2:$I$269,9,FALSE()),1)</f>
        <v>1</v>
      </c>
      <c r="O1876" s="217">
        <f t="shared" si="58"/>
        <v>0</v>
      </c>
      <c r="P1876" s="216">
        <f>IF(O1876=0,0,IF(B1876="MAT",G1876*(1+H1876)*L1876*PLAN_ETAPA!$C$5,IF(B1876="MO",IF(M1876=0,0,G1876*L1876*PLAN_ETAPA!$C$5*N1876/M1876),IF(B1876="EQ",IF(M1876=0,0,G1876*L1876*PLAN_ETAPA!$C$5/M1876),0))))</f>
        <v>0</v>
      </c>
      <c r="Q1876" s="218">
        <f t="shared" si="59"/>
        <v>0</v>
      </c>
    </row>
    <row r="1877" spans="1:17" x14ac:dyDescent="0.35">
      <c r="A1877" s="212" t="str">
        <f>COMPOSICIÓN!A1877</f>
        <v>REV-135</v>
      </c>
      <c r="B1877" s="212" t="str">
        <f>COMPOSICIÓN!B1877</f>
        <v>MAT</v>
      </c>
      <c r="C1877" s="212" t="str">
        <f>COMPOSICIÓN!C1877</f>
        <v>OTR</v>
      </c>
      <c r="D1877" s="212" t="str">
        <f>COMPOSICIÓN!D1877</f>
        <v>AGR-005</v>
      </c>
      <c r="E1877" s="212" t="str">
        <f>COMPOSICIÓN!E1877</f>
        <v>Cal Comun x 25kg</v>
      </c>
      <c r="F1877" s="212" t="str">
        <f>COMPOSICIÓN!F1877</f>
        <v>bol</v>
      </c>
      <c r="G1877" s="213">
        <f>COMPOSICIÓN!G1877</f>
        <v>6.4000000000000001E-2</v>
      </c>
      <c r="H1877" s="214">
        <f>COMPOSICIÓN!H1877</f>
        <v>0.1</v>
      </c>
      <c r="I1877" s="215">
        <f>COMPOSICIÓN!I1877</f>
        <v>3837.96</v>
      </c>
      <c r="J1877" s="212" t="str">
        <f>IFERROR(VLOOKUP(A1877,PARTIDAS!$A$2:$C$269,3,FALSE()),"")</f>
        <v>REVOQUES</v>
      </c>
      <c r="K1877" s="212" t="str">
        <f>IFERROR(INDEX(PPTO_GENERADOR!$B$4:$B$220,MATCH(A1877,PPTO_GENERADOR!$Q$4:$Q$220,0)),"")</f>
        <v/>
      </c>
      <c r="L1877" s="216">
        <f>IF(PLAN_ETAPA!$C$4="(TODOS)",SUMIFS(PPTO_GENERADOR!$E$4:$E$220,PPTO_GENERADOR!$Q$4:$Q$220,A1877),SUMIFS(PPTO_GENERADOR!$E$4:$E$220,PPTO_GENERADOR!$Q$4:$Q$220,A1877,PPTO_GENERADOR!$B$4:$B$220,PLAN_ETAPA!$C$4))</f>
        <v>0</v>
      </c>
      <c r="M1877" s="216">
        <f>IFERROR(VLOOKUP(A1877,PARTIDAS!$A$2:$F$269,6,FALSE()),1)</f>
        <v>9</v>
      </c>
      <c r="N1877" s="216">
        <f>IFERROR(VLOOKUP(A1877,PARTIDAS!$A$2:$I$269,9,FALSE()),1)</f>
        <v>1</v>
      </c>
      <c r="O1877" s="217">
        <f t="shared" si="58"/>
        <v>0</v>
      </c>
      <c r="P1877" s="216">
        <f>IF(O1877=0,0,IF(B1877="MAT",G1877*(1+H1877)*L1877*PLAN_ETAPA!$C$5,IF(B1877="MO",IF(M1877=0,0,G1877*L1877*PLAN_ETAPA!$C$5*N1877/M1877),IF(B1877="EQ",IF(M1877=0,0,G1877*L1877*PLAN_ETAPA!$C$5/M1877),0))))</f>
        <v>0</v>
      </c>
      <c r="Q1877" s="218">
        <f t="shared" si="59"/>
        <v>0</v>
      </c>
    </row>
    <row r="1878" spans="1:17" x14ac:dyDescent="0.35">
      <c r="A1878" s="212" t="str">
        <f>COMPOSICIÓN!A1878</f>
        <v>REV-135</v>
      </c>
      <c r="B1878" s="212" t="str">
        <f>COMPOSICIÓN!B1878</f>
        <v>MO</v>
      </c>
      <c r="C1878" s="212" t="str">
        <f>COMPOSICIÓN!C1878</f>
        <v>ALB</v>
      </c>
      <c r="D1878" s="212" t="str">
        <f>COMPOSICIÓN!D1878</f>
        <v>MO-EAYUD</v>
      </c>
      <c r="E1878" s="212" t="str">
        <f>COMPOSICIÓN!E1878</f>
        <v>AYUDANTE</v>
      </c>
      <c r="F1878" s="212" t="str">
        <f>COMPOSICIÓN!F1878</f>
        <v>j</v>
      </c>
      <c r="G1878" s="213">
        <f>COMPOSICIÓN!G1878</f>
        <v>0.6</v>
      </c>
      <c r="H1878" s="214">
        <f>COMPOSICIÓN!H1878</f>
        <v>0</v>
      </c>
      <c r="I1878" s="215">
        <f>COMPOSICIÓN!I1878</f>
        <v>60860.580776572002</v>
      </c>
      <c r="J1878" s="212" t="str">
        <f>IFERROR(VLOOKUP(A1878,PARTIDAS!$A$2:$C$269,3,FALSE()),"")</f>
        <v>REVOQUES</v>
      </c>
      <c r="K1878" s="212" t="str">
        <f>IFERROR(INDEX(PPTO_GENERADOR!$B$4:$B$220,MATCH(A1878,PPTO_GENERADOR!$Q$4:$Q$220,0)),"")</f>
        <v/>
      </c>
      <c r="L1878" s="216">
        <f>IF(PLAN_ETAPA!$C$4="(TODOS)",SUMIFS(PPTO_GENERADOR!$E$4:$E$220,PPTO_GENERADOR!$Q$4:$Q$220,A1878),SUMIFS(PPTO_GENERADOR!$E$4:$E$220,PPTO_GENERADOR!$Q$4:$Q$220,A1878,PPTO_GENERADOR!$B$4:$B$220,PLAN_ETAPA!$C$4))</f>
        <v>0</v>
      </c>
      <c r="M1878" s="216">
        <f>IFERROR(VLOOKUP(A1878,PARTIDAS!$A$2:$F$269,6,FALSE()),1)</f>
        <v>9</v>
      </c>
      <c r="N1878" s="216">
        <f>IFERROR(VLOOKUP(A1878,PARTIDAS!$A$2:$I$269,9,FALSE()),1)</f>
        <v>1</v>
      </c>
      <c r="O1878" s="217">
        <f t="shared" si="58"/>
        <v>0</v>
      </c>
      <c r="P1878" s="216">
        <f>IF(O1878=0,0,IF(B1878="MAT",G1878*(1+H1878)*L1878*PLAN_ETAPA!$C$5,IF(B1878="MO",IF(M1878=0,0,G1878*L1878*PLAN_ETAPA!$C$5*N1878/M1878),IF(B1878="EQ",IF(M1878=0,0,G1878*L1878*PLAN_ETAPA!$C$5/M1878),0))))</f>
        <v>0</v>
      </c>
      <c r="Q1878" s="218">
        <f t="shared" si="59"/>
        <v>0</v>
      </c>
    </row>
    <row r="1879" spans="1:17" x14ac:dyDescent="0.35">
      <c r="A1879" s="212" t="str">
        <f>COMPOSICIÓN!A1879</f>
        <v>REV-135</v>
      </c>
      <c r="B1879" s="212" t="str">
        <f>COMPOSICIÓN!B1879</f>
        <v>MO</v>
      </c>
      <c r="C1879" s="212" t="str">
        <f>COMPOSICIÓN!C1879</f>
        <v>ALB</v>
      </c>
      <c r="D1879" s="212" t="str">
        <f>COMPOSICIÓN!D1879</f>
        <v>MO-EESPE</v>
      </c>
      <c r="E1879" s="212" t="str">
        <f>COMPOSICIÓN!E1879</f>
        <v>ESPECIALIZADO</v>
      </c>
      <c r="F1879" s="212" t="str">
        <f>COMPOSICIÓN!F1879</f>
        <v>j</v>
      </c>
      <c r="G1879" s="213">
        <f>COMPOSICIÓN!G1879</f>
        <v>1</v>
      </c>
      <c r="H1879" s="214">
        <f>COMPOSICIÓN!H1879</f>
        <v>0</v>
      </c>
      <c r="I1879" s="215">
        <f>COMPOSICIÓN!I1879</f>
        <v>85927.097156571996</v>
      </c>
      <c r="J1879" s="212" t="str">
        <f>IFERROR(VLOOKUP(A1879,PARTIDAS!$A$2:$C$269,3,FALSE()),"")</f>
        <v>REVOQUES</v>
      </c>
      <c r="K1879" s="212" t="str">
        <f>IFERROR(INDEX(PPTO_GENERADOR!$B$4:$B$220,MATCH(A1879,PPTO_GENERADOR!$Q$4:$Q$220,0)),"")</f>
        <v/>
      </c>
      <c r="L1879" s="216">
        <f>IF(PLAN_ETAPA!$C$4="(TODOS)",SUMIFS(PPTO_GENERADOR!$E$4:$E$220,PPTO_GENERADOR!$Q$4:$Q$220,A1879),SUMIFS(PPTO_GENERADOR!$E$4:$E$220,PPTO_GENERADOR!$Q$4:$Q$220,A1879,PPTO_GENERADOR!$B$4:$B$220,PLAN_ETAPA!$C$4))</f>
        <v>0</v>
      </c>
      <c r="M1879" s="216">
        <f>IFERROR(VLOOKUP(A1879,PARTIDAS!$A$2:$F$269,6,FALSE()),1)</f>
        <v>9</v>
      </c>
      <c r="N1879" s="216">
        <f>IFERROR(VLOOKUP(A1879,PARTIDAS!$A$2:$I$269,9,FALSE()),1)</f>
        <v>1</v>
      </c>
      <c r="O1879" s="217">
        <f t="shared" si="58"/>
        <v>0</v>
      </c>
      <c r="P1879" s="216">
        <f>IF(O1879=0,0,IF(B1879="MAT",G1879*(1+H1879)*L1879*PLAN_ETAPA!$C$5,IF(B1879="MO",IF(M1879=0,0,G1879*L1879*PLAN_ETAPA!$C$5*N1879/M1879),IF(B1879="EQ",IF(M1879=0,0,G1879*L1879*PLAN_ETAPA!$C$5/M1879),0))))</f>
        <v>0</v>
      </c>
      <c r="Q1879" s="218">
        <f t="shared" si="59"/>
        <v>0</v>
      </c>
    </row>
  </sheetData>
  <autoFilter ref="A1:Q1879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6"/>
  <sheetViews>
    <sheetView zoomScaleNormal="100" workbookViewId="0">
      <selection activeCell="F1" sqref="F1"/>
    </sheetView>
  </sheetViews>
  <sheetFormatPr defaultColWidth="8.6328125" defaultRowHeight="14.5" x14ac:dyDescent="0.35"/>
  <cols>
    <col min="1" max="1" width="32" customWidth="1"/>
    <col min="3" max="3" width="16" customWidth="1"/>
  </cols>
  <sheetData>
    <row r="1" spans="1:3" x14ac:dyDescent="0.35">
      <c r="A1" s="219" t="s">
        <v>2997</v>
      </c>
      <c r="C1" s="219" t="s">
        <v>2998</v>
      </c>
    </row>
    <row r="2" spans="1:3" x14ac:dyDescent="0.35">
      <c r="A2" t="s">
        <v>2999</v>
      </c>
      <c r="C2">
        <v>1</v>
      </c>
    </row>
    <row r="3" spans="1:3" x14ac:dyDescent="0.35">
      <c r="A3" t="s">
        <v>3023</v>
      </c>
      <c r="C3">
        <v>0.75</v>
      </c>
    </row>
    <row r="4" spans="1:3" x14ac:dyDescent="0.35">
      <c r="A4" t="s">
        <v>94</v>
      </c>
      <c r="C4">
        <v>0.5</v>
      </c>
    </row>
    <row r="5" spans="1:3" x14ac:dyDescent="0.35">
      <c r="A5" t="s">
        <v>229</v>
      </c>
      <c r="C5">
        <v>0.25</v>
      </c>
    </row>
    <row r="6" spans="1:3" x14ac:dyDescent="0.35">
      <c r="A6" t="s">
        <v>3030</v>
      </c>
    </row>
    <row r="7" spans="1:3" x14ac:dyDescent="0.35">
      <c r="A7" t="s">
        <v>3026</v>
      </c>
    </row>
    <row r="8" spans="1:3" x14ac:dyDescent="0.35">
      <c r="A8" t="s">
        <v>141</v>
      </c>
    </row>
    <row r="9" spans="1:3" x14ac:dyDescent="0.35">
      <c r="A9" t="s">
        <v>3024</v>
      </c>
    </row>
    <row r="10" spans="1:3" x14ac:dyDescent="0.35">
      <c r="A10" t="s">
        <v>3021</v>
      </c>
    </row>
    <row r="11" spans="1:3" x14ac:dyDescent="0.35">
      <c r="A11" t="s">
        <v>3025</v>
      </c>
    </row>
    <row r="12" spans="1:3" x14ac:dyDescent="0.35">
      <c r="A12" t="s">
        <v>138</v>
      </c>
    </row>
    <row r="13" spans="1:3" x14ac:dyDescent="0.35">
      <c r="A13" t="s">
        <v>154</v>
      </c>
    </row>
    <row r="14" spans="1:3" x14ac:dyDescent="0.35">
      <c r="A14" t="s">
        <v>170</v>
      </c>
    </row>
    <row r="15" spans="1:3" x14ac:dyDescent="0.35">
      <c r="A15" t="s">
        <v>3032</v>
      </c>
    </row>
    <row r="16" spans="1:3" x14ac:dyDescent="0.35">
      <c r="A16" t="s">
        <v>3036</v>
      </c>
    </row>
    <row r="17" spans="1:1" x14ac:dyDescent="0.35">
      <c r="A17" t="s">
        <v>3031</v>
      </c>
    </row>
    <row r="18" spans="1:1" x14ac:dyDescent="0.35">
      <c r="A18" t="s">
        <v>3034</v>
      </c>
    </row>
    <row r="19" spans="1:1" x14ac:dyDescent="0.35">
      <c r="A19" t="s">
        <v>3027</v>
      </c>
    </row>
    <row r="20" spans="1:1" x14ac:dyDescent="0.35">
      <c r="A20" t="s">
        <v>3028</v>
      </c>
    </row>
    <row r="21" spans="1:1" x14ac:dyDescent="0.35">
      <c r="A21" t="s">
        <v>3029</v>
      </c>
    </row>
    <row r="22" spans="1:1" x14ac:dyDescent="0.35">
      <c r="A22" t="s">
        <v>3035</v>
      </c>
    </row>
    <row r="23" spans="1:1" x14ac:dyDescent="0.35">
      <c r="A23" t="s">
        <v>3018</v>
      </c>
    </row>
    <row r="24" spans="1:1" x14ac:dyDescent="0.35">
      <c r="A24" t="s">
        <v>368</v>
      </c>
    </row>
    <row r="25" spans="1:1" x14ac:dyDescent="0.35">
      <c r="A25" t="s">
        <v>3019</v>
      </c>
    </row>
    <row r="26" spans="1:1" x14ac:dyDescent="0.35">
      <c r="A26" t="s">
        <v>3020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CONFIG</vt:lpstr>
      <vt:lpstr>MATERIALES</vt:lpstr>
      <vt:lpstr>MANO_DE_OBRA</vt:lpstr>
      <vt:lpstr>EQUIPOS</vt:lpstr>
      <vt:lpstr>SUBCONTRATOS</vt:lpstr>
      <vt:lpstr>SUBCONTRATOS_PRY</vt:lpstr>
      <vt:lpstr>PARTIDAS</vt:lpstr>
      <vt:lpstr>COMPOSICIÓN</vt:lpstr>
      <vt:lpstr>PPTO_GENERADOR</vt:lpstr>
      <vt:lpstr>Sheet1</vt:lpstr>
      <vt:lpstr>CONSULTA_COMP</vt:lpstr>
      <vt:lpstr>CUADRILLA</vt:lpstr>
      <vt:lpstr>PLAN_ETAPA</vt:lpstr>
      <vt:lpstr>RQ_INPUT</vt:lpstr>
      <vt:lpstr>RQ_OUTPUT</vt:lpstr>
      <vt:lpstr>COLOR CODING REFERENCE</vt:lpstr>
      <vt:lpstr>_PLAN_STG</vt:lpstr>
      <vt:lpstr>_PLAN_LISTAS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Pagliaricci</cp:lastModifiedBy>
  <cp:revision>0</cp:revision>
  <dcterms:created xsi:type="dcterms:W3CDTF">2026-04-22T22:55:50Z</dcterms:created>
  <dcterms:modified xsi:type="dcterms:W3CDTF">2026-06-11T20:26:10Z</dcterms:modified>
  <dc:language>en-US</dc:language>
</cp:coreProperties>
</file>